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ustomProperty1.bin" ContentType="application/vnd.openxmlformats-officedocument.spreadsheetml.customProperty"/>
  <Override PartName="/xl/drawings/drawing2.xml" ContentType="application/vnd.openxmlformats-officedocument.drawing+xml"/>
  <Override PartName="/xl/customProperty2.bin" ContentType="application/vnd.openxmlformats-officedocument.spreadsheetml.customProperty"/>
  <Override PartName="/xl/customProperty3.bin" ContentType="application/vnd.openxmlformats-officedocument.spreadsheetml.customProperty"/>
  <Override PartName="/xl/comments2.xml" ContentType="application/vnd.openxmlformats-officedocument.spreadsheetml.comments+xml"/>
  <Override PartName="/xl/threadedComments/threadedComment1.xml" ContentType="application/vnd.ms-excel.threadedcomments+xml"/>
  <Override PartName="/xl/customProperty4.bin" ContentType="application/vnd.openxmlformats-officedocument.spreadsheetml.customProperty"/>
  <Override PartName="/xl/customProperty5.bin" ContentType="application/vnd.openxmlformats-officedocument.spreadsheetml.customProperty"/>
  <Override PartName="/xl/drawings/drawing3.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drawings/drawing7.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S:\RP GRUPPE\Deal Advisory\Masterflex SE\FDD Namur\500 Dealtool und Arbeitspapiere\510 Dealtool\"/>
    </mc:Choice>
  </mc:AlternateContent>
  <xr:revisionPtr revIDLastSave="0" documentId="13_ncr:2001_{3AAB4D4C-532E-44B4-BF00-FE3D8C2AC1CD}" xr6:coauthVersionLast="47" xr6:coauthVersionMax="47" xr10:uidLastSave="{00000000-0000-0000-0000-000000000000}"/>
  <bookViews>
    <workbookView xWindow="-120" yWindow="-120" windowWidth="29040" windowHeight="15840" firstSheet="40" activeTab="40" xr2:uid="{9B00D038-D84E-4856-AE82-FFEFEEC1CEE2}"/>
  </bookViews>
  <sheets>
    <sheet name="Disclaimer" sheetId="2" r:id="rId1"/>
    <sheet name="Cockpit" sheetId="3" r:id="rId2"/>
    <sheet name="Datengrundlage" sheetId="4" r:id="rId3"/>
    <sheet name="Lead &gt;&gt;" sheetId="7" r:id="rId4"/>
    <sheet name="Lead PL" sheetId="8" r:id="rId5"/>
    <sheet name="Lead NA" sheetId="9" r:id="rId6"/>
    <sheet name="Lead CF" sheetId="10" r:id="rId7"/>
    <sheet name="PL &gt;&gt;" sheetId="11" r:id="rId8"/>
    <sheet name="PL_Top customer" sheetId="12" state="hidden" r:id="rId9"/>
    <sheet name="PL_PEX" sheetId="13" r:id="rId10"/>
    <sheet name="PL_oOPEX" sheetId="14" r:id="rId11"/>
    <sheet name="PL_YTD" sheetId="15" state="hidden" r:id="rId12"/>
    <sheet name="PL_QoE" sheetId="16" r:id="rId13"/>
    <sheet name="PL_monthly" sheetId="24" r:id="rId14"/>
    <sheet name="NA &gt;&gt;" sheetId="17" r:id="rId15"/>
    <sheet name="NA_Ford LuL" sheetId="54" r:id="rId16"/>
    <sheet name="NA_Verb LuL" sheetId="55" r:id="rId17"/>
    <sheet name="NA_TWC" sheetId="21" r:id="rId18"/>
    <sheet name="Equity Bridge SONNTAG" sheetId="67" r:id="rId19"/>
    <sheet name="NA_Net Debt" sheetId="22" r:id="rId20"/>
    <sheet name="NA_monthly" sheetId="28" r:id="rId21"/>
    <sheet name="NA_CAPEX" sheetId="18" state="hidden" r:id="rId22"/>
    <sheet name="NA_Vorräte" sheetId="20" state="hidden" r:id="rId23"/>
    <sheet name="Weitere Vorlagen &gt;&gt;" sheetId="23" r:id="rId24"/>
    <sheet name="PL_Dummy" sheetId="25" state="hidden" r:id="rId25"/>
    <sheet name="PL_Rohergebnis" sheetId="26" state="hidden" r:id="rId26"/>
    <sheet name="PL_Preis_Menge" sheetId="27" state="hidden" r:id="rId27"/>
    <sheet name="CF_monthly" sheetId="40" state="hidden" r:id="rId28"/>
    <sheet name="NA_Dummy" sheetId="29" state="hidden" r:id="rId29"/>
    <sheet name="NA_Sachanlagen" sheetId="30" state="hidden" r:id="rId30"/>
    <sheet name="NA_Cons" sheetId="32" state="hidden" r:id="rId31"/>
    <sheet name="PL_Cons" sheetId="33" state="hidden" r:id="rId32"/>
    <sheet name="Plan_IST_Vergleich" sheetId="35" state="hidden" r:id="rId33"/>
    <sheet name="Delta_JA_SuSa_PL" sheetId="34" state="hidden" r:id="rId34"/>
    <sheet name="Delta_JA_SuSa_BS" sheetId="46" state="hidden" r:id="rId35"/>
    <sheet name="Zahlen &gt;&gt;" sheetId="47" r:id="rId36"/>
    <sheet name="Balance Sheet (Annual Report)" sheetId="41" r:id="rId37"/>
    <sheet name="P&amp;L (Annual Report)" sheetId="42" r:id="rId38"/>
    <sheet name="P&amp;L (Susa)" sheetId="43" state="hidden" r:id="rId39"/>
    <sheet name="Balance Sheet (Susa)" sheetId="44" state="hidden" r:id="rId40"/>
    <sheet name="Trial Balance (Susa)" sheetId="45" r:id="rId41"/>
    <sheet name="BWA Dez25" sheetId="62" r:id="rId42"/>
    <sheet name="SuSa Okt25" sheetId="59" r:id="rId43"/>
    <sheet name="SuSa Nov25" sheetId="60" r:id="rId44"/>
    <sheet name="SuSa Dez25" sheetId="61" r:id="rId45"/>
    <sheet name="sonstige BGA" sheetId="48" r:id="rId46"/>
    <sheet name="Debitoren-Kreditoren &gt;&gt;" sheetId="49" r:id="rId47"/>
    <sheet name="2024 Debitoren" sheetId="50" r:id="rId48"/>
    <sheet name="Sep25 Debitoren" sheetId="58" r:id="rId49"/>
    <sheet name="Dez25 Debitoren" sheetId="66" r:id="rId50"/>
    <sheet name="2024 Kreditoren" sheetId="52" r:id="rId51"/>
    <sheet name="Sep25 Kreditoren" sheetId="56" r:id="rId52"/>
    <sheet name="Dez25 Kreditoren" sheetId="65" r:id="rId53"/>
    <sheet name="Trial Balance Dropdown" sheetId="36" r:id="rId54"/>
    <sheet name="Management Bereinigung 2024" sheetId="63" r:id="rId55"/>
    <sheet name="Management Bereinigung 2025" sheetId="64" r:id="rId56"/>
    <sheet name="Abkürzungsverzeichnis" sheetId="5" r:id="rId57"/>
    <sheet name="Think Cell" sheetId="6" r:id="rId58"/>
    <sheet name="UPSLIDE_UndoFormatting" sheetId="38" state="hidden" r:id="rId59"/>
    <sheet name="UPSLIDE_Undo" sheetId="37" state="hidden" r:id="rId60"/>
  </sheets>
  <externalReferences>
    <externalReference r:id="rId61"/>
    <externalReference r:id="rId62"/>
    <externalReference r:id="rId63"/>
    <externalReference r:id="rId64"/>
    <externalReference r:id="rId65"/>
  </externalReferences>
  <definedNames>
    <definedName name="\" hidden="1">{"detail",#N/A,FALSE,"mfg";"summary",#N/A,FALSE,"mfg"}</definedName>
    <definedName name="__________________________________________________________guv1" hidden="1">{"K GuV o. Kommentar",#N/A,FALSE,"Kaufhof"}</definedName>
    <definedName name="__________________________________________________________guv3" hidden="1">{"K GuV o. Kommentar",#N/A,FALSE,"Kaufhof"}</definedName>
    <definedName name="_________________________________________________________guv1" hidden="1">{"K GuV o. Kommentar",#N/A,FALSE,"Kaufhof"}</definedName>
    <definedName name="_________________________________________________________guv3" hidden="1">{"K GuV o. Kommentar",#N/A,FALSE,"Kaufhof"}</definedName>
    <definedName name="________________________________________________________guv1" hidden="1">{"K GuV o. Kommentar",#N/A,FALSE,"Kaufhof"}</definedName>
    <definedName name="________________________________________________________guv3" hidden="1">{"K GuV o. Kommentar",#N/A,FALSE,"Kaufhof"}</definedName>
    <definedName name="_______________________________________________________guv1" hidden="1">{"K GuV o. Kommentar",#N/A,FALSE,"Kaufhof"}</definedName>
    <definedName name="_______________________________________________________guv3" hidden="1">{"K GuV o. Kommentar",#N/A,FALSE,"Kaufhof"}</definedName>
    <definedName name="______________________________________________________guv1" hidden="1">{"K GuV o. Kommentar",#N/A,FALSE,"Kaufhof"}</definedName>
    <definedName name="______________________________________________________guv3" hidden="1">{"K GuV o. Kommentar",#N/A,FALSE,"Kaufhof"}</definedName>
    <definedName name="_____________________________________________________guv1" hidden="1">{"K GuV o. Kommentar",#N/A,FALSE,"Kaufhof"}</definedName>
    <definedName name="_____________________________________________________guv3" hidden="1">{"K GuV o. Kommentar",#N/A,FALSE,"Kaufhof"}</definedName>
    <definedName name="____________________________________________________guv1" hidden="1">{"K GuV o. Kommentar",#N/A,FALSE,"Kaufhof"}</definedName>
    <definedName name="____________________________________________________guv3" hidden="1">{"K GuV o. Kommentar",#N/A,FALSE,"Kaufhof"}</definedName>
    <definedName name="___________________________________________________guv1" hidden="1">{"K GuV o. Kommentar",#N/A,FALSE,"Kaufhof"}</definedName>
    <definedName name="___________________________________________________guv3" hidden="1">{"K GuV o. Kommentar",#N/A,FALSE,"Kaufhof"}</definedName>
    <definedName name="__________________________________________________guv1" hidden="1">{"K GuV o. Kommentar",#N/A,FALSE,"Kaufhof"}</definedName>
    <definedName name="__________________________________________________guv3" hidden="1">{"K GuV o. Kommentar",#N/A,FALSE,"Kaufhof"}</definedName>
    <definedName name="_________________________________________________guv1" hidden="1">{"K GuV o. Kommentar",#N/A,FALSE,"Kaufhof"}</definedName>
    <definedName name="_________________________________________________guv3" hidden="1">{"K GuV o. Kommentar",#N/A,FALSE,"Kaufhof"}</definedName>
    <definedName name="________________________________________________guv1" hidden="1">{"K GuV o. Kommentar",#N/A,FALSE,"Kaufhof"}</definedName>
    <definedName name="________________________________________________guv3" hidden="1">{"K GuV o. Kommentar",#N/A,FALSE,"Kaufhof"}</definedName>
    <definedName name="_______________________________________________guv1" hidden="1">{"K GuV o. Kommentar",#N/A,FALSE,"Kaufhof"}</definedName>
    <definedName name="_______________________________________________guv3" hidden="1">{"K GuV o. Kommentar",#N/A,FALSE,"Kaufhof"}</definedName>
    <definedName name="______________________________________________guv1" hidden="1">{"K GuV o. Kommentar",#N/A,FALSE,"Kaufhof"}</definedName>
    <definedName name="______________________________________________guv3" hidden="1">{"K GuV o. Kommentar",#N/A,FALSE,"Kaufhof"}</definedName>
    <definedName name="_____________________________________________guv1" hidden="1">{"K GuV o. Kommentar",#N/A,FALSE,"Kaufhof"}</definedName>
    <definedName name="_____________________________________________guv3" hidden="1">{"K GuV o. Kommentar",#N/A,FALSE,"Kaufhof"}</definedName>
    <definedName name="____________________________________________guv1" hidden="1">{"K GuV o. Kommentar",#N/A,FALSE,"Kaufhof"}</definedName>
    <definedName name="____________________________________________guv3" hidden="1">{"K GuV o. Kommentar",#N/A,FALSE,"Kaufhof"}</definedName>
    <definedName name="___________________________________________guv1" hidden="1">{"K GuV o. Kommentar",#N/A,FALSE,"Kaufhof"}</definedName>
    <definedName name="___________________________________________guv3" hidden="1">{"K GuV o. Kommentar",#N/A,FALSE,"Kaufhof"}</definedName>
    <definedName name="__________________________________________guv1" hidden="1">{"K GuV o. Kommentar",#N/A,FALSE,"Kaufhof"}</definedName>
    <definedName name="__________________________________________guv3" hidden="1">{"K GuV o. Kommentar",#N/A,FALSE,"Kaufhof"}</definedName>
    <definedName name="_________________________________________guv1" hidden="1">{"K GuV o. Kommentar",#N/A,FALSE,"Kaufhof"}</definedName>
    <definedName name="_________________________________________guv3" hidden="1">{"K GuV o. Kommentar",#N/A,FALSE,"Kaufhof"}</definedName>
    <definedName name="________________________________________guv1" hidden="1">{"K GuV o. Kommentar",#N/A,FALSE,"Kaufhof"}</definedName>
    <definedName name="________________________________________guv3" hidden="1">{"K GuV o. Kommentar",#N/A,FALSE,"Kaufhof"}</definedName>
    <definedName name="_______________________________________guv1" hidden="1">{"K GuV o. Kommentar",#N/A,FALSE,"Kaufhof"}</definedName>
    <definedName name="_______________________________________guv3" hidden="1">{"K GuV o. Kommentar",#N/A,FALSE,"Kaufhof"}</definedName>
    <definedName name="______________________________________guv1" hidden="1">{"K GuV o. Kommentar",#N/A,FALSE,"Kaufhof"}</definedName>
    <definedName name="______________________________________guv3" hidden="1">{"K GuV o. Kommentar",#N/A,FALSE,"Kaufhof"}</definedName>
    <definedName name="_____________________________________guv1" hidden="1">{"K GuV o. Kommentar",#N/A,FALSE,"Kaufhof"}</definedName>
    <definedName name="_____________________________________guv3" hidden="1">{"K GuV o. Kommentar",#N/A,FALSE,"Kaufhof"}</definedName>
    <definedName name="____________________________________guv1" hidden="1">{"K GuV o. Kommentar",#N/A,FALSE,"Kaufhof"}</definedName>
    <definedName name="____________________________________guv3" hidden="1">{"K GuV o. Kommentar",#N/A,FALSE,"Kaufhof"}</definedName>
    <definedName name="___________________________________guv1" hidden="1">{"K GuV o. Kommentar",#N/A,FALSE,"Kaufhof"}</definedName>
    <definedName name="___________________________________guv3" hidden="1">{"K GuV o. Kommentar",#N/A,FALSE,"Kaufhof"}</definedName>
    <definedName name="__________________________________guv1" hidden="1">{"K GuV o. Kommentar",#N/A,FALSE,"Kaufhof"}</definedName>
    <definedName name="__________________________________guv3" hidden="1">{"K GuV o. Kommentar",#N/A,FALSE,"Kaufhof"}</definedName>
    <definedName name="_________________________________guv1" hidden="1">{"K GuV o. Kommentar",#N/A,FALSE,"Kaufhof"}</definedName>
    <definedName name="_________________________________guv3" hidden="1">{"K GuV o. Kommentar",#N/A,FALSE,"Kaufhof"}</definedName>
    <definedName name="________________________________guv1" hidden="1">{"K GuV o. Kommentar",#N/A,FALSE,"Kaufhof"}</definedName>
    <definedName name="________________________________guv3" hidden="1">{"K GuV o. Kommentar",#N/A,FALSE,"Kaufhof"}</definedName>
    <definedName name="_______________________________guv1" hidden="1">{"K GuV o. Kommentar",#N/A,FALSE,"Kaufhof"}</definedName>
    <definedName name="_______________________________guv3" hidden="1">{"K GuV o. Kommentar",#N/A,FALSE,"Kaufhof"}</definedName>
    <definedName name="______________________________guv1" hidden="1">{"K GuV o. Kommentar",#N/A,FALSE,"Kaufhof"}</definedName>
    <definedName name="______________________________guv3" hidden="1">{"K GuV o. Kommentar",#N/A,FALSE,"Kaufhof"}</definedName>
    <definedName name="_____________________________guv1" hidden="1">{"K GuV o. Kommentar",#N/A,FALSE,"Kaufhof"}</definedName>
    <definedName name="_____________________________guv3" hidden="1">{"K GuV o. Kommentar",#N/A,FALSE,"Kaufhof"}</definedName>
    <definedName name="____________________________guv1" hidden="1">{"K GuV o. Kommentar",#N/A,FALSE,"Kaufhof"}</definedName>
    <definedName name="____________________________guv3" hidden="1">{"K GuV o. Kommentar",#N/A,FALSE,"Kaufhof"}</definedName>
    <definedName name="____________________________ww2" hidden="1">{#N/A,#N/A,FALSE,"Admin";#N/A,#N/A,FALSE,"Other"}</definedName>
    <definedName name="___________________________guv1" hidden="1">{"K GuV o. Kommentar",#N/A,FALSE,"Kaufhof"}</definedName>
    <definedName name="___________________________guv3" hidden="1">{"K GuV o. Kommentar",#N/A,FALSE,"Kaufhof"}</definedName>
    <definedName name="__________________________guv1" hidden="1">{"K GuV o. Kommentar",#N/A,FALSE,"Kaufhof"}</definedName>
    <definedName name="__________________________guv3" hidden="1">{"K GuV o. Kommentar",#N/A,FALSE,"Kaufhof"}</definedName>
    <definedName name="_________________________guv1" hidden="1">{"K GuV o. Kommentar",#N/A,FALSE,"Kaufhof"}</definedName>
    <definedName name="_________________________guv3" hidden="1">{"K GuV o. Kommentar",#N/A,FALSE,"Kaufhof"}</definedName>
    <definedName name="________________________guv1" hidden="1">{"K GuV o. Kommentar",#N/A,FALSE,"Kaufhof"}</definedName>
    <definedName name="________________________guv3" hidden="1">{"K GuV o. Kommentar",#N/A,FALSE,"Kaufhof"}</definedName>
    <definedName name="_______________________guv1" hidden="1">{"K GuV o. Kommentar",#N/A,FALSE,"Kaufhof"}</definedName>
    <definedName name="_______________________guv3" hidden="1">{"K GuV o. Kommentar",#N/A,FALSE,"Kaufhof"}</definedName>
    <definedName name="______________________guv1" hidden="1">{"K GuV o. Kommentar",#N/A,FALSE,"Kaufhof"}</definedName>
    <definedName name="______________________guv3" hidden="1">{"K GuV o. Kommentar",#N/A,FALSE,"Kaufhof"}</definedName>
    <definedName name="_____________________guv1" hidden="1">{"K GuV o. Kommentar",#N/A,FALSE,"Kaufhof"}</definedName>
    <definedName name="_____________________guv3" hidden="1">{"K GuV o. Kommentar",#N/A,FALSE,"Kaufhof"}</definedName>
    <definedName name="____________________guv1" hidden="1">{"K GuV o. Kommentar",#N/A,FALSE,"Kaufhof"}</definedName>
    <definedName name="____________________guv3" hidden="1">{"K GuV o. Kommentar",#N/A,FALSE,"Kaufhof"}</definedName>
    <definedName name="___________________guv1" hidden="1">{"K GuV o. Kommentar",#N/A,FALSE,"Kaufhof"}</definedName>
    <definedName name="___________________guv3" hidden="1">{"K GuV o. Kommentar",#N/A,FALSE,"Kaufhof"}</definedName>
    <definedName name="__________________guv1" hidden="1">{"K GuV o. Kommentar",#N/A,FALSE,"Kaufhof"}</definedName>
    <definedName name="__________________guv3" hidden="1">{"K GuV o. Kommentar",#N/A,FALSE,"Kaufhof"}</definedName>
    <definedName name="__________________s" hidden="1">{"CONS12",#N/A,FALSE,"1996BSCH";"DOM12",#N/A,FALSE,"1996BSCH";"CAN12",#N/A,FALSE,"1996BSCH";"DDODC12",#N/A,FALSE,"1996BSCH";"DDE12",#N/A,FALSE,"1996BSCH";"DDOC12",#N/A,FALSE,"1996BSCH";"ELIM6MO",#N/A,FALSE,"1996BSCH";"other12",#N/A,FALSE,"1996BSCH";"var12",#N/A,FALSE,"1996BSCH"}</definedName>
    <definedName name="__________________z" hidden="1">{"mgmt forecast",#N/A,FALSE,"Mgmt Forecast";"dcf table",#N/A,FALSE,"Mgmt Forecast";"sensitivity",#N/A,FALSE,"Mgmt Forecast";"table inputs",#N/A,FALSE,"Mgmt Forecast";"calculations",#N/A,FALSE,"Mgmt Forecast"}</definedName>
    <definedName name="_________________guv1" hidden="1">{"K GuV o. Kommentar",#N/A,FALSE,"Kaufhof"}</definedName>
    <definedName name="_________________guv3" hidden="1">{"K GuV o. Kommentar",#N/A,FALSE,"Kaufhof"}</definedName>
    <definedName name="________________guv1" hidden="1">{"K GuV o. Kommentar",#N/A,FALSE,"Kaufhof"}</definedName>
    <definedName name="________________guv3" hidden="1">{"K GuV o. Kommentar",#N/A,FALSE,"Kaufhof"}</definedName>
    <definedName name="________________s" hidden="1">{"CONS12",#N/A,FALSE,"1996BSCH";"DOM12",#N/A,FALSE,"1996BSCH";"CAN12",#N/A,FALSE,"1996BSCH";"DDODC12",#N/A,FALSE,"1996BSCH";"DDE12",#N/A,FALSE,"1996BSCH";"DDOC12",#N/A,FALSE,"1996BSCH";"ELIM6MO",#N/A,FALSE,"1996BSCH";"other12",#N/A,FALSE,"1996BSCH";"var12",#N/A,FALSE,"1996BSCH"}</definedName>
    <definedName name="________________SDW1" hidden="1">#REF!</definedName>
    <definedName name="________________z" hidden="1">{"mgmt forecast",#N/A,FALSE,"Mgmt Forecast";"dcf table",#N/A,FALSE,"Mgmt Forecast";"sensitivity",#N/A,FALSE,"Mgmt Forecast";"table inputs",#N/A,FALSE,"Mgmt Forecast";"calculations",#N/A,FALSE,"Mgmt Forecast"}</definedName>
    <definedName name="_______________guv1" hidden="1">{"K GuV o. Kommentar",#N/A,FALSE,"Kaufhof"}</definedName>
    <definedName name="_______________guv3" hidden="1">{"K GuV o. Kommentar",#N/A,FALSE,"Kaufhof"}</definedName>
    <definedName name="_______________s" hidden="1">{"CONS12",#N/A,FALSE,"1996BSCH";"DOM12",#N/A,FALSE,"1996BSCH";"CAN12",#N/A,FALSE,"1996BSCH";"DDODC12",#N/A,FALSE,"1996BSCH";"DDE12",#N/A,FALSE,"1996BSCH";"DDOC12",#N/A,FALSE,"1996BSCH";"ELIM6MO",#N/A,FALSE,"1996BSCH";"other12",#N/A,FALSE,"1996BSCH";"var12",#N/A,FALSE,"1996BSCH"}</definedName>
    <definedName name="_______________SDW1" hidden="1">#REF!</definedName>
    <definedName name="_______________z" hidden="1">{"mgmt forecast",#N/A,FALSE,"Mgmt Forecast";"dcf table",#N/A,FALSE,"Mgmt Forecast";"sensitivity",#N/A,FALSE,"Mgmt Forecast";"table inputs",#N/A,FALSE,"Mgmt Forecast";"calculations",#N/A,FALSE,"Mgmt Forecast"}</definedName>
    <definedName name="______________a14" hidden="1">{"TAG1AGMS",#N/A,FALSE,"TAG 1A"}</definedName>
    <definedName name="______________a15" hidden="1">{"weichwaren",#N/A,FALSE,"Liste 1";"hartwaren",#N/A,FALSE,"Liste 1";"food",#N/A,FALSE,"Liste 1";"fleisch",#N/A,FALSE,"Liste 1"}</definedName>
    <definedName name="______________a16" hidden="1">{"weichwaren",#N/A,FALSE,"Liste 1";"hartwaren",#N/A,FALSE,"Liste 1";"food",#N/A,FALSE,"Liste 1";"fleisch",#N/A,FALSE,"Liste 1"}</definedName>
    <definedName name="______________a17" hidden="1">{"TAG1AGMS",#N/A,FALSE,"TAG 1A"}</definedName>
    <definedName name="______________a18" hidden="1">{"Tages_D",#N/A,FALSE,"Tagesbericht";"Tages_PL",#N/A,FALSE,"Tagesbericht"}</definedName>
    <definedName name="______________a19" hidden="1">{"fleisch",#N/A,FALSE,"WG HK";"food",#N/A,FALSE,"WG HK";"hartwaren",#N/A,FALSE,"WG HK";"weichwaren",#N/A,FALSE,"WG HK"}</definedName>
    <definedName name="______________a33" hidden="1">{"fleisch",#N/A,FALSE,"WG HK";"food",#N/A,FALSE,"WG HK";"hartwaren",#N/A,FALSE,"WG HK";"weichwaren",#N/A,FALSE,"WG HK"}</definedName>
    <definedName name="______________a55" hidden="1">{"Tages_D",#N/A,FALSE,"Tagesbericht";"Tages_PL",#N/A,FALSE,"Tagesbericht"}</definedName>
    <definedName name="______________a66" hidden="1">{"TAG1AGMS",#N/A,FALSE,"TAG 1A"}</definedName>
    <definedName name="______________aa22" hidden="1">{"Tages_D",#N/A,FALSE,"Tagesbericht";"Tages_PL",#N/A,FALSE,"Tagesbericht"}</definedName>
    <definedName name="______________b18" hidden="1">{"Tages_D",#N/A,FALSE,"Tagesbericht";"Tages_PL",#N/A,FALSE,"Tagesbericht"}</definedName>
    <definedName name="______________guv1" hidden="1">{"K GuV o. Kommentar",#N/A,FALSE,"Kaufhof"}</definedName>
    <definedName name="______________guv3" hidden="1">{"K GuV o. Kommentar",#N/A,FALSE,"Kaufhof"}</definedName>
    <definedName name="______________LG2" hidden="1">{#N/A,#N/A,TRUE,"매출진척-1";#N/A,#N/A,TRUE,"매출진척-2";#N/A,#N/A,TRUE,"제품실적";#N/A,#N/A,TRUE,"RAC";#N/A,#N/A,TRUE,"PAC ";#N/A,#N/A,TRUE,"재고현황";#N/A,#N/A,TRUE,"공지사항"}</definedName>
    <definedName name="______________na2" hidden="1">{"'SIVA Pricing Model'!$A$1:$F$39"}</definedName>
    <definedName name="______________na3" hidden="1">{"'SIVA Pricing Model'!$A$1:$F$39"}</definedName>
    <definedName name="______________P2" hidden="1">{#N/A,#N/A,FALSE,"단축1";#N/A,#N/A,FALSE,"단축2";#N/A,#N/A,FALSE,"단축3";#N/A,#N/A,FALSE,"장축";#N/A,#N/A,FALSE,"4WD"}</definedName>
    <definedName name="______________s" hidden="1">{"SCM_Detail",#N/A,FALSE,"SCM";"SCM_Top",#N/A,FALSE,"SCM"}</definedName>
    <definedName name="______________T2" hidden="1">{#N/A,#N/A,FALSE,"단축1";#N/A,#N/A,FALSE,"단축2";#N/A,#N/A,FALSE,"단축3";#N/A,#N/A,FALSE,"장축";#N/A,#N/A,FALSE,"4WD"}</definedName>
    <definedName name="______________T3" hidden="1">{#N/A,#N/A,FALSE,"단축1";#N/A,#N/A,FALSE,"단축2";#N/A,#N/A,FALSE,"단축3";#N/A,#N/A,FALSE,"장축";#N/A,#N/A,FALSE,"4WD"}</definedName>
    <definedName name="______________T5" hidden="1">{#N/A,#N/A,FALSE,"단축1";#N/A,#N/A,FALSE,"단축2";#N/A,#N/A,FALSE,"단축3";#N/A,#N/A,FALSE,"장축";#N/A,#N/A,FALSE,"4WD"}</definedName>
    <definedName name="______________Tes6" hidden="1">{"'SIVA Pricing Model'!$A$1:$F$39"}</definedName>
    <definedName name="______________u18" hidden="1">{"Tages_D",#N/A,FALSE,"Tagesbericht";"Tages_PL",#N/A,FALSE,"Tagesbericht"}</definedName>
    <definedName name="______________u20" hidden="1">{"fleisch",#N/A,FALSE,"WG HK";"food",#N/A,FALSE,"WG HK";"hartwaren",#N/A,FALSE,"WG HK";"weichwaren",#N/A,FALSE,"WG HK"}</definedName>
    <definedName name="______________ww2" hidden="1">{#N/A,#N/A,FALSE,"Admin";#N/A,#N/A,FALSE,"Other"}</definedName>
    <definedName name="______________XG2" hidden="1">{#N/A,#N/A,FALSE,"단축1";#N/A,#N/A,FALSE,"단축2";#N/A,#N/A,FALSE,"단축3";#N/A,#N/A,FALSE,"장축";#N/A,#N/A,FALSE,"4WD"}</definedName>
    <definedName name="_____________A11" hidden="1">{#N/A,#N/A,FALSE,"Umsatz 99";#N/A,#N/A,FALSE,"ER 99 "}</definedName>
    <definedName name="_____________a14" hidden="1">{"TAG1AGMS",#N/A,FALSE,"TAG 1A"}</definedName>
    <definedName name="_____________a15" hidden="1">{"weichwaren",#N/A,FALSE,"Liste 1";"hartwaren",#N/A,FALSE,"Liste 1";"food",#N/A,FALSE,"Liste 1";"fleisch",#N/A,FALSE,"Liste 1"}</definedName>
    <definedName name="_____________a16" hidden="1">{"weichwaren",#N/A,FALSE,"Liste 1";"hartwaren",#N/A,FALSE,"Liste 1";"food",#N/A,FALSE,"Liste 1";"fleisch",#N/A,FALSE,"Liste 1"}</definedName>
    <definedName name="_____________a17" hidden="1">{"TAG1AGMS",#N/A,FALSE,"TAG 1A"}</definedName>
    <definedName name="_____________a18" hidden="1">{"Tages_D",#N/A,FALSE,"Tagesbericht";"Tages_PL",#N/A,FALSE,"Tagesbericht"}</definedName>
    <definedName name="_____________a19" hidden="1">{"fleisch",#N/A,FALSE,"WG HK";"food",#N/A,FALSE,"WG HK";"hartwaren",#N/A,FALSE,"WG HK";"weichwaren",#N/A,FALSE,"WG HK"}</definedName>
    <definedName name="_____________a33" hidden="1">{"fleisch",#N/A,FALSE,"WG HK";"food",#N/A,FALSE,"WG HK";"hartwaren",#N/A,FALSE,"WG HK";"weichwaren",#N/A,FALSE,"WG HK"}</definedName>
    <definedName name="_____________a55" hidden="1">{"Tages_D",#N/A,FALSE,"Tagesbericht";"Tages_PL",#N/A,FALSE,"Tagesbericht"}</definedName>
    <definedName name="_____________a66" hidden="1">{"TAG1AGMS",#N/A,FALSE,"TAG 1A"}</definedName>
    <definedName name="_____________aa22" hidden="1">{"Tages_D",#N/A,FALSE,"Tagesbericht";"Tages_PL",#N/A,FALSE,"Tagesbericht"}</definedName>
    <definedName name="_____________b18" hidden="1">{"Tages_D",#N/A,FALSE,"Tagesbericht";"Tages_PL",#N/A,FALSE,"Tagesbericht"}</definedName>
    <definedName name="_____________b19" hidden="1">{"Tages_D",#N/A,FALSE,"Tagesbericht";"Tages_PL",#N/A,FALSE,"Tagesbericht"}</definedName>
    <definedName name="_____________c" hidden="1">{"Fiesta Facer Page",#N/A,FALSE,"Q_C_S";"Fiesta Main Page",#N/A,FALSE,"V_L";"Fiesta 95BP Struct",#N/A,FALSE,"StructBP";"Fiesta Post 95BP Struct",#N/A,FALSE,"AdjStructBP"}</definedName>
    <definedName name="_____________guv1" hidden="1">{"K GuV o. Kommentar",#N/A,FALSE,"Kaufhof"}</definedName>
    <definedName name="_____________guv3" hidden="1">{"K GuV o. Kommentar",#N/A,FALSE,"Kaufhof"}</definedName>
    <definedName name="_____________LG2" hidden="1">{#N/A,#N/A,TRUE,"매출진척-1";#N/A,#N/A,TRUE,"매출진척-2";#N/A,#N/A,TRUE,"제품실적";#N/A,#N/A,TRUE,"RAC";#N/A,#N/A,TRUE,"PAC ";#N/A,#N/A,TRUE,"재고현황";#N/A,#N/A,TRUE,"공지사항"}</definedName>
    <definedName name="_____________P2" hidden="1">{#N/A,#N/A,FALSE,"단축1";#N/A,#N/A,FALSE,"단축2";#N/A,#N/A,FALSE,"단축3";#N/A,#N/A,FALSE,"장축";#N/A,#N/A,FALSE,"4WD"}</definedName>
    <definedName name="_____________s" hidden="1">{"CONS12",#N/A,FALSE,"1996BSCH";"DOM12",#N/A,FALSE,"1996BSCH";"CAN12",#N/A,FALSE,"1996BSCH";"DDODC12",#N/A,FALSE,"1996BSCH";"DDE12",#N/A,FALSE,"1996BSCH";"DDOC12",#N/A,FALSE,"1996BSCH";"ELIM6MO",#N/A,FALSE,"1996BSCH";"other12",#N/A,FALSE,"1996BSCH";"var12",#N/A,FALSE,"1996BSCH"}</definedName>
    <definedName name="_____________SDW1" hidden="1">#REF!</definedName>
    <definedName name="_____________T2" hidden="1">{#N/A,#N/A,FALSE,"단축1";#N/A,#N/A,FALSE,"단축2";#N/A,#N/A,FALSE,"단축3";#N/A,#N/A,FALSE,"장축";#N/A,#N/A,FALSE,"4WD"}</definedName>
    <definedName name="_____________T3" hidden="1">{#N/A,#N/A,FALSE,"단축1";#N/A,#N/A,FALSE,"단축2";#N/A,#N/A,FALSE,"단축3";#N/A,#N/A,FALSE,"장축";#N/A,#N/A,FALSE,"4WD"}</definedName>
    <definedName name="_____________T5" hidden="1">{#N/A,#N/A,FALSE,"단축1";#N/A,#N/A,FALSE,"단축2";#N/A,#N/A,FALSE,"단축3";#N/A,#N/A,FALSE,"장축";#N/A,#N/A,FALSE,"4WD"}</definedName>
    <definedName name="_____________u18" hidden="1">{"Tages_D",#N/A,FALSE,"Tagesbericht";"Tages_PL",#N/A,FALSE,"Tagesbericht"}</definedName>
    <definedName name="_____________u20" hidden="1">{"fleisch",#N/A,FALSE,"WG HK";"food",#N/A,FALSE,"WG HK";"hartwaren",#N/A,FALSE,"WG HK";"weichwaren",#N/A,FALSE,"WG HK"}</definedName>
    <definedName name="_____________ww2" hidden="1">{#N/A,#N/A,FALSE,"Admin";#N/A,#N/A,FALSE,"Other"}</definedName>
    <definedName name="_____________XG2" hidden="1">{#N/A,#N/A,FALSE,"단축1";#N/A,#N/A,FALSE,"단축2";#N/A,#N/A,FALSE,"단축3";#N/A,#N/A,FALSE,"장축";#N/A,#N/A,FALSE,"4WD"}</definedName>
    <definedName name="_____________z" hidden="1">{"mgmt forecast",#N/A,FALSE,"Mgmt Forecast";"dcf table",#N/A,FALSE,"Mgmt Forecast";"sensitivity",#N/A,FALSE,"Mgmt Forecast";"table inputs",#N/A,FALSE,"Mgmt Forecast";"calculations",#N/A,FALSE,"Mgmt Forecast"}</definedName>
    <definedName name="____________A11" hidden="1">{#N/A,#N/A,FALSE,"Umsatz 99";#N/A,#N/A,FALSE,"ER 99 "}</definedName>
    <definedName name="____________a14" hidden="1">{"TAG1AGMS",#N/A,FALSE,"TAG 1A"}</definedName>
    <definedName name="____________a15" hidden="1">{"weichwaren",#N/A,FALSE,"Liste 1";"hartwaren",#N/A,FALSE,"Liste 1";"food",#N/A,FALSE,"Liste 1";"fleisch",#N/A,FALSE,"Liste 1"}</definedName>
    <definedName name="____________a16" hidden="1">{"weichwaren",#N/A,FALSE,"Liste 1";"hartwaren",#N/A,FALSE,"Liste 1";"food",#N/A,FALSE,"Liste 1";"fleisch",#N/A,FALSE,"Liste 1"}</definedName>
    <definedName name="____________a17" hidden="1">{"TAG1AGMS",#N/A,FALSE,"TAG 1A"}</definedName>
    <definedName name="____________a18" hidden="1">{"Tages_D",#N/A,FALSE,"Tagesbericht";"Tages_PL",#N/A,FALSE,"Tagesbericht"}</definedName>
    <definedName name="____________a19" hidden="1">{"fleisch",#N/A,FALSE,"WG HK";"food",#N/A,FALSE,"WG HK";"hartwaren",#N/A,FALSE,"WG HK";"weichwaren",#N/A,FALSE,"WG HK"}</definedName>
    <definedName name="____________a33" hidden="1">{"fleisch",#N/A,FALSE,"WG HK";"food",#N/A,FALSE,"WG HK";"hartwaren",#N/A,FALSE,"WG HK";"weichwaren",#N/A,FALSE,"WG HK"}</definedName>
    <definedName name="____________a55" hidden="1">{"Tages_D",#N/A,FALSE,"Tagesbericht";"Tages_PL",#N/A,FALSE,"Tagesbericht"}</definedName>
    <definedName name="____________a66" hidden="1">{"TAG1AGMS",#N/A,FALSE,"TAG 1A"}</definedName>
    <definedName name="____________aa22" hidden="1">{"Tages_D",#N/A,FALSE,"Tagesbericht";"Tages_PL",#N/A,FALSE,"Tagesbericht"}</definedName>
    <definedName name="____________abc1" hidden="1">{"detail",#N/A,FALSE,"mfg";"summary",#N/A,FALSE,"mfg"}</definedName>
    <definedName name="____________abc2" hidden="1">{"detail",#N/A,FALSE,"mfg";"summary",#N/A,FALSE,"mfg"}</definedName>
    <definedName name="____________b18" hidden="1">{"Tages_D",#N/A,FALSE,"Tagesbericht";"Tages_PL",#N/A,FALSE,"Tagesbericht"}</definedName>
    <definedName name="____________b19" hidden="1">{"Tages_D",#N/A,FALSE,"Tagesbericht";"Tages_PL",#N/A,FALSE,"Tagesbericht"}</definedName>
    <definedName name="____________c" hidden="1">{"Fiesta Facer Page",#N/A,FALSE,"Q_C_S";"Fiesta Main Page",#N/A,FALSE,"V_L";"Fiesta 95BP Struct",#N/A,FALSE,"StructBP";"Fiesta Post 95BP Struct",#N/A,FALSE,"AdjStructBP"}</definedName>
    <definedName name="____________guv1" hidden="1">{"K GuV o. Kommentar",#N/A,FALSE,"Kaufhof"}</definedName>
    <definedName name="____________guv3" hidden="1">{"K GuV o. Kommentar",#N/A,FALSE,"Kaufhof"}</definedName>
    <definedName name="____________LG2" hidden="1">{#N/A,#N/A,TRUE,"매출진척-1";#N/A,#N/A,TRUE,"매출진척-2";#N/A,#N/A,TRUE,"제품실적";#N/A,#N/A,TRUE,"RAC";#N/A,#N/A,TRUE,"PAC ";#N/A,#N/A,TRUE,"재고현황";#N/A,#N/A,TRUE,"공지사항"}</definedName>
    <definedName name="____________New2" hidden="1">{"ROIC",#N/A,FALSE,"ROIC";"Graphs",#N/A,FALSE,"TY analysis";"fcf",#N/A,FALSE,"FCF";"Matrix_2004",#N/A,FALSE,"MATRIX(2004)";"matrix_2008",#N/A,FALSE,"MATRIX(2008)";"FS_Condensed",#N/A,FALSE,"Financial Statements2";"TAXES",#N/A,FALSE,"Taxes";"DEBT_INVEST",#N/A,FALSE,"Debt&amp;Investment Schedule";"Main_menu",#N/A,FALSE,"Main Menu"}</definedName>
    <definedName name="____________OSX2" hidden="1">{"Area1",#N/A,FALSE,"OREWACC";"Area2",#N/A,FALSE,"OREWACC"}</definedName>
    <definedName name="____________P2" hidden="1">{#N/A,#N/A,FALSE,"단축1";#N/A,#N/A,FALSE,"단축2";#N/A,#N/A,FALSE,"단축3";#N/A,#N/A,FALSE,"장축";#N/A,#N/A,FALSE,"4WD"}</definedName>
    <definedName name="____________s" hidden="1">{"SCM_Detail",#N/A,FALSE,"SCM";"SCM_Top",#N/A,FALSE,"SCM"}</definedName>
    <definedName name="____________SDW1" hidden="1">#REF!</definedName>
    <definedName name="____________T2" hidden="1">{#N/A,#N/A,FALSE,"단축1";#N/A,#N/A,FALSE,"단축2";#N/A,#N/A,FALSE,"단축3";#N/A,#N/A,FALSE,"장축";#N/A,#N/A,FALSE,"4WD"}</definedName>
    <definedName name="____________T3" hidden="1">{#N/A,#N/A,FALSE,"단축1";#N/A,#N/A,FALSE,"단축2";#N/A,#N/A,FALSE,"단축3";#N/A,#N/A,FALSE,"장축";#N/A,#N/A,FALSE,"4WD"}</definedName>
    <definedName name="____________T5" hidden="1">{#N/A,#N/A,FALSE,"단축1";#N/A,#N/A,FALSE,"단축2";#N/A,#N/A,FALSE,"단축3";#N/A,#N/A,FALSE,"장축";#N/A,#N/A,FALSE,"4WD"}</definedName>
    <definedName name="____________u18" hidden="1">{"Tages_D",#N/A,FALSE,"Tagesbericht";"Tages_PL",#N/A,FALSE,"Tagesbericht"}</definedName>
    <definedName name="____________u20" hidden="1">{"fleisch",#N/A,FALSE,"WG HK";"food",#N/A,FALSE,"WG HK";"hartwaren",#N/A,FALSE,"WG HK";"weichwaren",#N/A,FALSE,"WG HK"}</definedName>
    <definedName name="____________ww2" hidden="1">{#N/A,#N/A,FALSE,"Admin";#N/A,#N/A,FALSE,"Other"}</definedName>
    <definedName name="____________XG2" hidden="1">{#N/A,#N/A,FALSE,"단축1";#N/A,#N/A,FALSE,"단축2";#N/A,#N/A,FALSE,"단축3";#N/A,#N/A,FALSE,"장축";#N/A,#N/A,FALSE,"4WD"}</definedName>
    <definedName name="____________z" hidden="1">{"mgmt forecast",#N/A,FALSE,"Mgmt Forecast";"dcf table",#N/A,FALSE,"Mgmt Forecast";"sensitivity",#N/A,FALSE,"Mgmt Forecast";"table inputs",#N/A,FALSE,"Mgmt Forecast";"calculations",#N/A,FALSE,"Mgmt Forecast"}</definedName>
    <definedName name="____________z12" hidden="1">{"pro_view",#N/A,FALSE,"EEFSNAP2";"rep_view",#N/A,FALSE,"EEFSNAP2"}</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hidden="1">{"detail",#N/A,FALSE,"mfg";"summary",#N/A,FALSE,"mfg"}</definedName>
    <definedName name="___________a14" hidden="1">{"TAG1AGMS",#N/A,FALSE,"TAG 1A"}</definedName>
    <definedName name="___________a15" hidden="1">{"weichwaren",#N/A,FALSE,"Liste 1";"hartwaren",#N/A,FALSE,"Liste 1";"food",#N/A,FALSE,"Liste 1";"fleisch",#N/A,FALSE,"Liste 1"}</definedName>
    <definedName name="___________a16" hidden="1">{"weichwaren",#N/A,FALSE,"Liste 1";"hartwaren",#N/A,FALSE,"Liste 1";"food",#N/A,FALSE,"Liste 1";"fleisch",#N/A,FALSE,"Liste 1"}</definedName>
    <definedName name="___________a17" hidden="1">{"TAG1AGMS",#N/A,FALSE,"TAG 1A"}</definedName>
    <definedName name="___________a18" hidden="1">{"Tages_D",#N/A,FALSE,"Tagesbericht";"Tages_PL",#N/A,FALSE,"Tagesbericht"}</definedName>
    <definedName name="___________a19" hidden="1">{"fleisch",#N/A,FALSE,"WG HK";"food",#N/A,FALSE,"WG HK";"hartwaren",#N/A,FALSE,"WG HK";"weichwaren",#N/A,FALSE,"WG HK"}</definedName>
    <definedName name="___________a33" hidden="1">{"fleisch",#N/A,FALSE,"WG HK";"food",#N/A,FALSE,"WG HK";"hartwaren",#N/A,FALSE,"WG HK";"weichwaren",#N/A,FALSE,"WG HK"}</definedName>
    <definedName name="___________a55" hidden="1">{"Tages_D",#N/A,FALSE,"Tagesbericht";"Tages_PL",#N/A,FALSE,"Tagesbericht"}</definedName>
    <definedName name="___________a66" hidden="1">{"TAG1AGMS",#N/A,FALSE,"TAG 1A"}</definedName>
    <definedName name="___________aa22" hidden="1">{"Tages_D",#N/A,FALSE,"Tagesbericht";"Tages_PL",#N/A,FALSE,"Tagesbericht"}</definedName>
    <definedName name="___________abc1" hidden="1">{"detail",#N/A,FALSE,"mfg";"summary",#N/A,FALSE,"mfg"}</definedName>
    <definedName name="___________abc2" hidden="1">{"detail",#N/A,FALSE,"mfg";"summary",#N/A,FALSE,"mfg"}</definedName>
    <definedName name="___________b18" hidden="1">{"Tages_D",#N/A,FALSE,"Tagesbericht";"Tages_PL",#N/A,FALSE,"Tagesbericht"}</definedName>
    <definedName name="___________b19" hidden="1">{"Tages_D",#N/A,FALSE,"Tagesbericht";"Tages_PL",#N/A,FALSE,"Tagesbericht"}</definedName>
    <definedName name="___________guv1" hidden="1">{"K GuV o. Kommentar",#N/A,FALSE,"Kaufhof"}</definedName>
    <definedName name="___________guv3" hidden="1">{"K GuV o. Kommentar",#N/A,FALSE,"Kaufhof"}</definedName>
    <definedName name="___________LG2" hidden="1">{#N/A,#N/A,TRUE,"매출진척-1";#N/A,#N/A,TRUE,"매출진척-2";#N/A,#N/A,TRUE,"제품실적";#N/A,#N/A,TRUE,"RAC";#N/A,#N/A,TRUE,"PAC ";#N/A,#N/A,TRUE,"재고현황";#N/A,#N/A,TRUE,"공지사항"}</definedName>
    <definedName name="___________New2" hidden="1">{"ROIC",#N/A,FALSE,"ROIC";"Graphs",#N/A,FALSE,"TY analysis";"fcf",#N/A,FALSE,"FCF";"Matrix_2004",#N/A,FALSE,"MATRIX(2004)";"matrix_2008",#N/A,FALSE,"MATRIX(2008)";"FS_Condensed",#N/A,FALSE,"Financial Statements2";"TAXES",#N/A,FALSE,"Taxes";"DEBT_INVEST",#N/A,FALSE,"Debt&amp;Investment Schedule";"Main_menu",#N/A,FALSE,"Main Menu"}</definedName>
    <definedName name="___________OSX2" hidden="1">{"Area1",#N/A,FALSE,"OREWACC";"Area2",#N/A,FALSE,"OREWACC"}</definedName>
    <definedName name="___________P2" hidden="1">{#N/A,#N/A,FALSE,"단축1";#N/A,#N/A,FALSE,"단축2";#N/A,#N/A,FALSE,"단축3";#N/A,#N/A,FALSE,"장축";#N/A,#N/A,FALSE,"4WD"}</definedName>
    <definedName name="___________q3" hidden="1">#REF!</definedName>
    <definedName name="___________s" hidden="1">{"SCM_Detail",#N/A,FALSE,"SCM";"SCM_Top",#N/A,FALSE,"SCM"}</definedName>
    <definedName name="___________SDW1" hidden="1">#REF!</definedName>
    <definedName name="___________T2" hidden="1">{#N/A,#N/A,FALSE,"단축1";#N/A,#N/A,FALSE,"단축2";#N/A,#N/A,FALSE,"단축3";#N/A,#N/A,FALSE,"장축";#N/A,#N/A,FALSE,"4WD"}</definedName>
    <definedName name="___________T3" hidden="1">{#N/A,#N/A,FALSE,"단축1";#N/A,#N/A,FALSE,"단축2";#N/A,#N/A,FALSE,"단축3";#N/A,#N/A,FALSE,"장축";#N/A,#N/A,FALSE,"4WD"}</definedName>
    <definedName name="___________T5" hidden="1">{#N/A,#N/A,FALSE,"단축1";#N/A,#N/A,FALSE,"단축2";#N/A,#N/A,FALSE,"단축3";#N/A,#N/A,FALSE,"장축";#N/A,#N/A,FALSE,"4WD"}</definedName>
    <definedName name="___________u18" hidden="1">{"Tages_D",#N/A,FALSE,"Tagesbericht";"Tages_PL",#N/A,FALSE,"Tagesbericht"}</definedName>
    <definedName name="___________u20" hidden="1">{"fleisch",#N/A,FALSE,"WG HK";"food",#N/A,FALSE,"WG HK";"hartwaren",#N/A,FALSE,"WG HK";"weichwaren",#N/A,FALSE,"WG HK"}</definedName>
    <definedName name="___________ww2" hidden="1">{#N/A,#N/A,FALSE,"Admin";#N/A,#N/A,FALSE,"Other"}</definedName>
    <definedName name="___________XG2" hidden="1">{#N/A,#N/A,FALSE,"단축1";#N/A,#N/A,FALSE,"단축2";#N/A,#N/A,FALSE,"단축3";#N/A,#N/A,FALSE,"장축";#N/A,#N/A,FALSE,"4WD"}</definedName>
    <definedName name="___________z12" hidden="1">{"pro_view",#N/A,FALSE,"EEFSNAP2";"rep_view",#N/A,FALSE,"EEFSNAP2"}</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hidden="1">{"detail",#N/A,FALSE,"mfg";"summary",#N/A,FALSE,"mfg"}</definedName>
    <definedName name="__________A11" hidden="1">{#N/A,#N/A,FALSE,"Umsatz 99";#N/A,#N/A,FALSE,"ER 99 "}</definedName>
    <definedName name="__________a14" hidden="1">{"TAG1AGMS",#N/A,FALSE,"TAG 1A"}</definedName>
    <definedName name="__________a15" hidden="1">{"weichwaren",#N/A,FALSE,"Liste 1";"hartwaren",#N/A,FALSE,"Liste 1";"food",#N/A,FALSE,"Liste 1";"fleisch",#N/A,FALSE,"Liste 1"}</definedName>
    <definedName name="__________a16" hidden="1">{"weichwaren",#N/A,FALSE,"Liste 1";"hartwaren",#N/A,FALSE,"Liste 1";"food",#N/A,FALSE,"Liste 1";"fleisch",#N/A,FALSE,"Liste 1"}</definedName>
    <definedName name="__________a17" hidden="1">{"TAG1AGMS",#N/A,FALSE,"TAG 1A"}</definedName>
    <definedName name="__________a18" hidden="1">{"Tages_D",#N/A,FALSE,"Tagesbericht";"Tages_PL",#N/A,FALSE,"Tagesbericht"}</definedName>
    <definedName name="__________a19" hidden="1">{"fleisch",#N/A,FALSE,"WG HK";"food",#N/A,FALSE,"WG HK";"hartwaren",#N/A,FALSE,"WG HK";"weichwaren",#N/A,FALSE,"WG HK"}</definedName>
    <definedName name="__________a33" hidden="1">{"fleisch",#N/A,FALSE,"WG HK";"food",#N/A,FALSE,"WG HK";"hartwaren",#N/A,FALSE,"WG HK";"weichwaren",#N/A,FALSE,"WG HK"}</definedName>
    <definedName name="__________a55" hidden="1">{"Tages_D",#N/A,FALSE,"Tagesbericht";"Tages_PL",#N/A,FALSE,"Tagesbericht"}</definedName>
    <definedName name="__________a66" hidden="1">{"TAG1AGMS",#N/A,FALSE,"TAG 1A"}</definedName>
    <definedName name="__________aa22" hidden="1">{"Tages_D",#N/A,FALSE,"Tagesbericht";"Tages_PL",#N/A,FALSE,"Tagesbericht"}</definedName>
    <definedName name="__________abc1" hidden="1">{"detail",#N/A,FALSE,"mfg";"summary",#N/A,FALSE,"mfg"}</definedName>
    <definedName name="__________abc2" hidden="1">{"detail",#N/A,FALSE,"mfg";"summary",#N/A,FALSE,"mfg"}</definedName>
    <definedName name="__________b18" hidden="1">{"Tages_D",#N/A,FALSE,"Tagesbericht";"Tages_PL",#N/A,FALSE,"Tagesbericht"}</definedName>
    <definedName name="__________b19" hidden="1">{"Tages_D",#N/A,FALSE,"Tagesbericht";"Tages_PL",#N/A,FALSE,"Tagesbericht"}</definedName>
    <definedName name="__________c" hidden="1">{"Fiesta Facer Page",#N/A,FALSE,"Q_C_S";"Fiesta Main Page",#N/A,FALSE,"V_L";"Fiesta 95BP Struct",#N/A,FALSE,"StructBP";"Fiesta Post 95BP Struct",#N/A,FALSE,"AdjStructBP"}</definedName>
    <definedName name="__________guv1" hidden="1">{"K GuV o. Kommentar",#N/A,FALSE,"Kaufhof"}</definedName>
    <definedName name="__________guv3" hidden="1">{"K GuV o. Kommentar",#N/A,FALSE,"Kaufhof"}</definedName>
    <definedName name="__________LG2" hidden="1">{#N/A,#N/A,TRUE,"매출진척-1";#N/A,#N/A,TRUE,"매출진척-2";#N/A,#N/A,TRUE,"제품실적";#N/A,#N/A,TRUE,"RAC";#N/A,#N/A,TRUE,"PAC ";#N/A,#N/A,TRUE,"재고현황";#N/A,#N/A,TRUE,"공지사항"}</definedName>
    <definedName name="__________New2" hidden="1">{"ROIC",#N/A,FALSE,"ROIC";"Graphs",#N/A,FALSE,"TY analysis";"fcf",#N/A,FALSE,"FCF";"Matrix_2004",#N/A,FALSE,"MATRIX(2004)";"matrix_2008",#N/A,FALSE,"MATRIX(2008)";"FS_Condensed",#N/A,FALSE,"Financial Statements2";"TAXES",#N/A,FALSE,"Taxes";"DEBT_INVEST",#N/A,FALSE,"Debt&amp;Investment Schedule";"Main_menu",#N/A,FALSE,"Main Menu"}</definedName>
    <definedName name="__________OSX2" hidden="1">{"Area1",#N/A,FALSE,"OREWACC";"Area2",#N/A,FALSE,"OREWACC"}</definedName>
    <definedName name="__________P2" hidden="1">{#N/A,#N/A,FALSE,"단축1";#N/A,#N/A,FALSE,"단축2";#N/A,#N/A,FALSE,"단축3";#N/A,#N/A,FALSE,"장축";#N/A,#N/A,FALSE,"4WD"}</definedName>
    <definedName name="__________q3" hidden="1">#REF!</definedName>
    <definedName name="__________s" hidden="1">{"SCM_Detail",#N/A,FALSE,"SCM";"SCM_Top",#N/A,FALSE,"SCM"}</definedName>
    <definedName name="__________SDW1" hidden="1">#REF!</definedName>
    <definedName name="__________T2" hidden="1">{#N/A,#N/A,FALSE,"단축1";#N/A,#N/A,FALSE,"단축2";#N/A,#N/A,FALSE,"단축3";#N/A,#N/A,FALSE,"장축";#N/A,#N/A,FALSE,"4WD"}</definedName>
    <definedName name="__________T3" hidden="1">{#N/A,#N/A,FALSE,"단축1";#N/A,#N/A,FALSE,"단축2";#N/A,#N/A,FALSE,"단축3";#N/A,#N/A,FALSE,"장축";#N/A,#N/A,FALSE,"4WD"}</definedName>
    <definedName name="__________T5" hidden="1">{#N/A,#N/A,FALSE,"단축1";#N/A,#N/A,FALSE,"단축2";#N/A,#N/A,FALSE,"단축3";#N/A,#N/A,FALSE,"장축";#N/A,#N/A,FALSE,"4WD"}</definedName>
    <definedName name="__________u18" hidden="1">{"Tages_D",#N/A,FALSE,"Tagesbericht";"Tages_PL",#N/A,FALSE,"Tagesbericht"}</definedName>
    <definedName name="__________u20" hidden="1">{"fleisch",#N/A,FALSE,"WG HK";"food",#N/A,FALSE,"WG HK";"hartwaren",#N/A,FALSE,"WG HK";"weichwaren",#N/A,FALSE,"WG HK"}</definedName>
    <definedName name="__________ww2" hidden="1">{#N/A,#N/A,FALSE,"Admin";#N/A,#N/A,FALSE,"Other"}</definedName>
    <definedName name="__________XG2" hidden="1">{#N/A,#N/A,FALSE,"단축1";#N/A,#N/A,FALSE,"단축2";#N/A,#N/A,FALSE,"단축3";#N/A,#N/A,FALSE,"장축";#N/A,#N/A,FALSE,"4WD"}</definedName>
    <definedName name="__________z" hidden="1">{"mgmt forecast",#N/A,FALSE,"Mgmt Forecast";"dcf table",#N/A,FALSE,"Mgmt Forecast";"sensitivity",#N/A,FALSE,"Mgmt Forecast";"table inputs",#N/A,FALSE,"Mgmt Forecast";"calculations",#N/A,FALSE,"Mgmt Forecast"}</definedName>
    <definedName name="__________z12" hidden="1">{"pro_view",#N/A,FALSE,"EEFSNAP2";"rep_view",#N/A,FALSE,"EEFSNAP2"}</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hidden="1">{"detail",#N/A,FALSE,"mfg";"summary",#N/A,FALSE,"mfg"}</definedName>
    <definedName name="_________a14" hidden="1">{"TAG1AGMS",#N/A,FALSE,"TAG 1A"}</definedName>
    <definedName name="_________a15" hidden="1">{"weichwaren",#N/A,FALSE,"Liste 1";"hartwaren",#N/A,FALSE,"Liste 1";"food",#N/A,FALSE,"Liste 1";"fleisch",#N/A,FALSE,"Liste 1"}</definedName>
    <definedName name="_________a16" hidden="1">{"weichwaren",#N/A,FALSE,"Liste 1";"hartwaren",#N/A,FALSE,"Liste 1";"food",#N/A,FALSE,"Liste 1";"fleisch",#N/A,FALSE,"Liste 1"}</definedName>
    <definedName name="_________a17" hidden="1">{"TAG1AGMS",#N/A,FALSE,"TAG 1A"}</definedName>
    <definedName name="_________a18" hidden="1">{"Tages_D",#N/A,FALSE,"Tagesbericht";"Tages_PL",#N/A,FALSE,"Tagesbericht"}</definedName>
    <definedName name="_________a19" hidden="1">{"fleisch",#N/A,FALSE,"WG HK";"food",#N/A,FALSE,"WG HK";"hartwaren",#N/A,FALSE,"WG HK";"weichwaren",#N/A,FALSE,"WG HK"}</definedName>
    <definedName name="_________a33" hidden="1">{"fleisch",#N/A,FALSE,"WG HK";"food",#N/A,FALSE,"WG HK";"hartwaren",#N/A,FALSE,"WG HK";"weichwaren",#N/A,FALSE,"WG HK"}</definedName>
    <definedName name="_________a55" hidden="1">{"Tages_D",#N/A,FALSE,"Tagesbericht";"Tages_PL",#N/A,FALSE,"Tagesbericht"}</definedName>
    <definedName name="_________a66" hidden="1">{"TAG1AGMS",#N/A,FALSE,"TAG 1A"}</definedName>
    <definedName name="_________aa22" hidden="1">{"Tages_D",#N/A,FALSE,"Tagesbericht";"Tages_PL",#N/A,FALSE,"Tagesbericht"}</definedName>
    <definedName name="_________abc1" hidden="1">{"detail",#N/A,FALSE,"mfg";"summary",#N/A,FALSE,"mfg"}</definedName>
    <definedName name="_________abc2" hidden="1">{"detail",#N/A,FALSE,"mfg";"summary",#N/A,FALSE,"mfg"}</definedName>
    <definedName name="_________b18" hidden="1">{"Tages_D",#N/A,FALSE,"Tagesbericht";"Tages_PL",#N/A,FALSE,"Tagesbericht"}</definedName>
    <definedName name="_________b19" hidden="1">{"Tages_D",#N/A,FALSE,"Tagesbericht";"Tages_PL",#N/A,FALSE,"Tagesbericht"}</definedName>
    <definedName name="_________c" hidden="1">{"Fiesta Facer Page",#N/A,FALSE,"Q_C_S";"Fiesta Main Page",#N/A,FALSE,"V_L";"Fiesta 95BP Struct",#N/A,FALSE,"StructBP";"Fiesta Post 95BP Struct",#N/A,FALSE,"AdjStructBP"}</definedName>
    <definedName name="_________eo2" hidden="1">{"'B1'!$B$3:$E$3"}</definedName>
    <definedName name="_________eo4" hidden="1">{"'B1'!$B$3:$E$3"}</definedName>
    <definedName name="_________ew10" hidden="1">{"'B1'!$B$3:$E$3"}</definedName>
    <definedName name="_________ew2" hidden="1">{"'B1'!$B$3:$E$3"}</definedName>
    <definedName name="_________ew3" hidden="1">{"'B1'!$B$3:$E$3"}</definedName>
    <definedName name="_________ew4" hidden="1">{"'B1'!$B$3:$E$3"}</definedName>
    <definedName name="_________ew5" hidden="1">{"'B1'!$B$3:$E$3"}</definedName>
    <definedName name="_________ew6" hidden="1">{"'B1'!$B$3:$E$3"}</definedName>
    <definedName name="_________ew8" hidden="1">{"'B1'!$B$3:$E$3"}</definedName>
    <definedName name="_________guv1" hidden="1">{"K GuV o. Kommentar",#N/A,FALSE,"Kaufhof"}</definedName>
    <definedName name="_________guv3" hidden="1">{"K GuV o. Kommentar",#N/A,FALSE,"Kaufhof"}</definedName>
    <definedName name="_________LG2" hidden="1">{#N/A,#N/A,TRUE,"매출진척-1";#N/A,#N/A,TRUE,"매출진척-2";#N/A,#N/A,TRUE,"제품실적";#N/A,#N/A,TRUE,"RAC";#N/A,#N/A,TRUE,"PAC ";#N/A,#N/A,TRUE,"재고현황";#N/A,#N/A,TRUE,"공지사항"}</definedName>
    <definedName name="_________P2" hidden="1">{#N/A,#N/A,FALSE,"단축1";#N/A,#N/A,FALSE,"단축2";#N/A,#N/A,FALSE,"단축3";#N/A,#N/A,FALSE,"장축";#N/A,#N/A,FALSE,"4WD"}</definedName>
    <definedName name="_________q3" hidden="1">#REF!</definedName>
    <definedName name="_________s" hidden="1">{"SCM_Detail",#N/A,FALSE,"SCM";"SCM_Top",#N/A,FALSE,"SCM"}</definedName>
    <definedName name="_________SDW1" hidden="1">#REF!</definedName>
    <definedName name="_________T2" hidden="1">{#N/A,#N/A,FALSE,"단축1";#N/A,#N/A,FALSE,"단축2";#N/A,#N/A,FALSE,"단축3";#N/A,#N/A,FALSE,"장축";#N/A,#N/A,FALSE,"4WD"}</definedName>
    <definedName name="_________T3" hidden="1">{#N/A,#N/A,FALSE,"단축1";#N/A,#N/A,FALSE,"단축2";#N/A,#N/A,FALSE,"단축3";#N/A,#N/A,FALSE,"장축";#N/A,#N/A,FALSE,"4WD"}</definedName>
    <definedName name="_________T5" hidden="1">{#N/A,#N/A,FALSE,"단축1";#N/A,#N/A,FALSE,"단축2";#N/A,#N/A,FALSE,"단축3";#N/A,#N/A,FALSE,"장축";#N/A,#N/A,FALSE,"4WD"}</definedName>
    <definedName name="_________u18" hidden="1">{"Tages_D",#N/A,FALSE,"Tagesbericht";"Tages_PL",#N/A,FALSE,"Tagesbericht"}</definedName>
    <definedName name="_________u20" hidden="1">{"fleisch",#N/A,FALSE,"WG HK";"food",#N/A,FALSE,"WG HK";"hartwaren",#N/A,FALSE,"WG HK";"weichwaren",#N/A,FALSE,"WG HK"}</definedName>
    <definedName name="_________ww2" hidden="1">{#N/A,#N/A,FALSE,"Admin";#N/A,#N/A,FALSE,"Other"}</definedName>
    <definedName name="_________XG2" hidden="1">{#N/A,#N/A,FALSE,"단축1";#N/A,#N/A,FALSE,"단축2";#N/A,#N/A,FALSE,"단축3";#N/A,#N/A,FALSE,"장축";#N/A,#N/A,FALSE,"4WD"}</definedName>
    <definedName name="_________z" hidden="1">{"mgmt forecast",#N/A,FALSE,"Mgmt Forecast";"dcf table",#N/A,FALSE,"Mgmt Forecast";"sensitivity",#N/A,FALSE,"Mgmt Forecast";"table inputs",#N/A,FALSE,"Mgmt Forecast";"calculations",#N/A,FALSE,"Mgmt Forecast"}</definedName>
    <definedName name="_________z12" hidden="1">{"pro_view",#N/A,FALSE,"EEFSNAP2";"rep_view",#N/A,FALSE,"EEFSNAP2"}</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hidden="1">{"detail",#N/A,FALSE,"mfg";"summary",#N/A,FALSE,"mfg"}</definedName>
    <definedName name="________A11" hidden="1">{#N/A,#N/A,FALSE,"Umsatz 99";#N/A,#N/A,FALSE,"ER 99 "}</definedName>
    <definedName name="________a14" hidden="1">{"TAG1AGMS",#N/A,FALSE,"TAG 1A"}</definedName>
    <definedName name="________a15" hidden="1">{"weichwaren",#N/A,FALSE,"Liste 1";"hartwaren",#N/A,FALSE,"Liste 1";"food",#N/A,FALSE,"Liste 1";"fleisch",#N/A,FALSE,"Liste 1"}</definedName>
    <definedName name="________a16" hidden="1">{"weichwaren",#N/A,FALSE,"Liste 1";"hartwaren",#N/A,FALSE,"Liste 1";"food",#N/A,FALSE,"Liste 1";"fleisch",#N/A,FALSE,"Liste 1"}</definedName>
    <definedName name="________a17" hidden="1">{"TAG1AGMS",#N/A,FALSE,"TAG 1A"}</definedName>
    <definedName name="________a18" hidden="1">{"Tages_D",#N/A,FALSE,"Tagesbericht";"Tages_PL",#N/A,FALSE,"Tagesbericht"}</definedName>
    <definedName name="________a19" hidden="1">{"fleisch",#N/A,FALSE,"WG HK";"food",#N/A,FALSE,"WG HK";"hartwaren",#N/A,FALSE,"WG HK";"weichwaren",#N/A,FALSE,"WG HK"}</definedName>
    <definedName name="________a33" hidden="1">{"fleisch",#N/A,FALSE,"WG HK";"food",#N/A,FALSE,"WG HK";"hartwaren",#N/A,FALSE,"WG HK";"weichwaren",#N/A,FALSE,"WG HK"}</definedName>
    <definedName name="________a55" hidden="1">{"Tages_D",#N/A,FALSE,"Tagesbericht";"Tages_PL",#N/A,FALSE,"Tagesbericht"}</definedName>
    <definedName name="________a66" hidden="1">{"TAG1AGMS",#N/A,FALSE,"TAG 1A"}</definedName>
    <definedName name="________aa22" hidden="1">{"Tages_D",#N/A,FALSE,"Tagesbericht";"Tages_PL",#N/A,FALSE,"Tagesbericht"}</definedName>
    <definedName name="________abc1" hidden="1">{"detail",#N/A,FALSE,"mfg";"summary",#N/A,FALSE,"mfg"}</definedName>
    <definedName name="________abc2" hidden="1">{"detail",#N/A,FALSE,"mfg";"summary",#N/A,FALSE,"mfg"}</definedName>
    <definedName name="________b18" hidden="1">{"Tages_D",#N/A,FALSE,"Tagesbericht";"Tages_PL",#N/A,FALSE,"Tagesbericht"}</definedName>
    <definedName name="________b19" hidden="1">{"Tages_D",#N/A,FALSE,"Tagesbericht";"Tages_PL",#N/A,FALSE,"Tagesbericht"}</definedName>
    <definedName name="________c" hidden="1">{"Fiesta Facer Page",#N/A,FALSE,"Q_C_S";"Fiesta Main Page",#N/A,FALSE,"V_L";"Fiesta 95BP Struct",#N/A,FALSE,"StructBP";"Fiesta Post 95BP Struct",#N/A,FALSE,"AdjStructBP"}</definedName>
    <definedName name="________cum1" hidden="1">{"SCM_Detail",#N/A,FALSE,"SCM";"SCM_Top",#N/A,FALSE,"SCM"}</definedName>
    <definedName name="________eo2" hidden="1">{"'B1'!$B$3:$E$3"}</definedName>
    <definedName name="________eo4" hidden="1">{"'B1'!$B$3:$E$3"}</definedName>
    <definedName name="________ew10" hidden="1">{"'B1'!$B$3:$E$3"}</definedName>
    <definedName name="________ew2" hidden="1">{"'B1'!$B$3:$E$3"}</definedName>
    <definedName name="________ew3" hidden="1">{"'B1'!$B$3:$E$3"}</definedName>
    <definedName name="________ew4" hidden="1">{"'B1'!$B$3:$E$3"}</definedName>
    <definedName name="________ew5" hidden="1">{"'B1'!$B$3:$E$3"}</definedName>
    <definedName name="________ew6" hidden="1">{"'B1'!$B$3:$E$3"}</definedName>
    <definedName name="________ew8" hidden="1">{"'B1'!$B$3:$E$3"}</definedName>
    <definedName name="________guv1" hidden="1">{"K GuV o. Kommentar",#N/A,FALSE,"Kaufhof"}</definedName>
    <definedName name="________guv3" hidden="1">{"K GuV o. Kommentar",#N/A,FALSE,"Kaufhof"}</definedName>
    <definedName name="________LG2" hidden="1">{#N/A,#N/A,TRUE,"매출진척-1";#N/A,#N/A,TRUE,"매출진척-2";#N/A,#N/A,TRUE,"제품실적";#N/A,#N/A,TRUE,"RAC";#N/A,#N/A,TRUE,"PAC ";#N/A,#N/A,TRUE,"재고현황";#N/A,#N/A,TRUE,"공지사항"}</definedName>
    <definedName name="________New2" hidden="1">{"ROIC",#N/A,FALSE,"ROIC";"Graphs",#N/A,FALSE,"TY analysis";"fcf",#N/A,FALSE,"FCF";"Matrix_2004",#N/A,FALSE,"MATRIX(2004)";"matrix_2008",#N/A,FALSE,"MATRIX(2008)";"FS_Condensed",#N/A,FALSE,"Financial Statements2";"TAXES",#N/A,FALSE,"Taxes";"DEBT_INVEST",#N/A,FALSE,"Debt&amp;Investment Schedule";"Main_menu",#N/A,FALSE,"Main Menu"}</definedName>
    <definedName name="________OSX2" hidden="1">{"Area1",#N/A,FALSE,"OREWACC";"Area2",#N/A,FALSE,"OREWACC"}</definedName>
    <definedName name="________P2" hidden="1">{#N/A,#N/A,FALSE,"단축1";#N/A,#N/A,FALSE,"단축2";#N/A,#N/A,FALSE,"단축3";#N/A,#N/A,FALSE,"장축";#N/A,#N/A,FALSE,"4WD"}</definedName>
    <definedName name="________q3" hidden="1">#REF!</definedName>
    <definedName name="________s" hidden="1">{"SCM_Detail",#N/A,FALSE,"SCM";"SCM_Top",#N/A,FALSE,"SCM"}</definedName>
    <definedName name="________SDW1" hidden="1">#REF!</definedName>
    <definedName name="________T2" hidden="1">{#N/A,#N/A,FALSE,"단축1";#N/A,#N/A,FALSE,"단축2";#N/A,#N/A,FALSE,"단축3";#N/A,#N/A,FALSE,"장축";#N/A,#N/A,FALSE,"4WD"}</definedName>
    <definedName name="________T3" hidden="1">{#N/A,#N/A,FALSE,"단축1";#N/A,#N/A,FALSE,"단축2";#N/A,#N/A,FALSE,"단축3";#N/A,#N/A,FALSE,"장축";#N/A,#N/A,FALSE,"4WD"}</definedName>
    <definedName name="________T5" hidden="1">{#N/A,#N/A,FALSE,"단축1";#N/A,#N/A,FALSE,"단축2";#N/A,#N/A,FALSE,"단축3";#N/A,#N/A,FALSE,"장축";#N/A,#N/A,FALSE,"4WD"}</definedName>
    <definedName name="________u18" hidden="1">{"Tages_D",#N/A,FALSE,"Tagesbericht";"Tages_PL",#N/A,FALSE,"Tagesbericht"}</definedName>
    <definedName name="________u20" hidden="1">{"fleisch",#N/A,FALSE,"WG HK";"food",#N/A,FALSE,"WG HK";"hartwaren",#N/A,FALSE,"WG HK";"weichwaren",#N/A,FALSE,"WG HK"}</definedName>
    <definedName name="________ww2" hidden="1">{#N/A,#N/A,FALSE,"Admin";#N/A,#N/A,FALSE,"Other"}</definedName>
    <definedName name="________XG2" hidden="1">{#N/A,#N/A,FALSE,"단축1";#N/A,#N/A,FALSE,"단축2";#N/A,#N/A,FALSE,"단축3";#N/A,#N/A,FALSE,"장축";#N/A,#N/A,FALSE,"4WD"}</definedName>
    <definedName name="________z" hidden="1">{"mgmt forecast",#N/A,FALSE,"Mgmt Forecast";"dcf table",#N/A,FALSE,"Mgmt Forecast";"sensitivity",#N/A,FALSE,"Mgmt Forecast";"table inputs",#N/A,FALSE,"Mgmt Forecast";"calculations",#N/A,FALSE,"Mgmt Forecast"}</definedName>
    <definedName name="________z12" hidden="1">{"pro_view",#N/A,FALSE,"EEFSNAP2";"rep_view",#N/A,FALSE,"EEFSNAP2"}</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hidden="1">{"detail",#N/A,FALSE,"mfg";"summary",#N/A,FALSE,"mfg"}</definedName>
    <definedName name="_______A11" hidden="1">{#N/A,#N/A,FALSE,"Umsatz 99";#N/A,#N/A,FALSE,"ER 99 "}</definedName>
    <definedName name="_______a14" hidden="1">{"TAG1AGMS",#N/A,FALSE,"TAG 1A"}</definedName>
    <definedName name="_______a15" hidden="1">{"weichwaren",#N/A,FALSE,"Liste 1";"hartwaren",#N/A,FALSE,"Liste 1";"food",#N/A,FALSE,"Liste 1";"fleisch",#N/A,FALSE,"Liste 1"}</definedName>
    <definedName name="_______a16" hidden="1">{"weichwaren",#N/A,FALSE,"Liste 1";"hartwaren",#N/A,FALSE,"Liste 1";"food",#N/A,FALSE,"Liste 1";"fleisch",#N/A,FALSE,"Liste 1"}</definedName>
    <definedName name="_______a17" hidden="1">{"TAG1AGMS",#N/A,FALSE,"TAG 1A"}</definedName>
    <definedName name="_______a18" hidden="1">{"Tages_D",#N/A,FALSE,"Tagesbericht";"Tages_PL",#N/A,FALSE,"Tagesbericht"}</definedName>
    <definedName name="_______a19" hidden="1">{"fleisch",#N/A,FALSE,"WG HK";"food",#N/A,FALSE,"WG HK";"hartwaren",#N/A,FALSE,"WG HK";"weichwaren",#N/A,FALSE,"WG HK"}</definedName>
    <definedName name="_______a33" hidden="1">{"fleisch",#N/A,FALSE,"WG HK";"food",#N/A,FALSE,"WG HK";"hartwaren",#N/A,FALSE,"WG HK";"weichwaren",#N/A,FALSE,"WG HK"}</definedName>
    <definedName name="_______a55" hidden="1">{"Tages_D",#N/A,FALSE,"Tagesbericht";"Tages_PL",#N/A,FALSE,"Tagesbericht"}</definedName>
    <definedName name="_______a66" hidden="1">{"TAG1AGMS",#N/A,FALSE,"TAG 1A"}</definedName>
    <definedName name="_______aa22" hidden="1">{"Tages_D",#N/A,FALSE,"Tagesbericht";"Tages_PL",#N/A,FALSE,"Tagesbericht"}</definedName>
    <definedName name="_______abc1" hidden="1">{"detail",#N/A,FALSE,"mfg";"summary",#N/A,FALSE,"mfg"}</definedName>
    <definedName name="_______abc2" hidden="1">{"detail",#N/A,FALSE,"mfg";"summary",#N/A,FALSE,"mfg"}</definedName>
    <definedName name="___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b18" hidden="1">{"Tages_D",#N/A,FALSE,"Tagesbericht";"Tages_PL",#N/A,FALSE,"Tagesbericht"}</definedName>
    <definedName name="_______b19" hidden="1">{"Tages_D",#N/A,FALSE,"Tagesbericht";"Tages_PL",#N/A,FALSE,"Tagesbericht"}</definedName>
    <definedName name="_______c" hidden="1">{"Fiesta Facer Page",#N/A,FALSE,"Q_C_S";"Fiesta Main Page",#N/A,FALSE,"V_L";"Fiesta 95BP Struct",#N/A,FALSE,"StructBP";"Fiesta Post 95BP Struct",#N/A,FALSE,"AdjStructBP"}</definedName>
    <definedName name="_______CAP10" hidden="1">{"LC",#N/A,FALSE,"FC-15 Cap Expend"}</definedName>
    <definedName name="_______cum1" hidden="1">{"SCM_Detail",#N/A,FALSE,"SCM";"SCM_Top",#N/A,FALSE,"SCM"}</definedName>
    <definedName name="___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_FA96434" hidden="1">{"TOTALFAB",#N/A,FALSE,"WAFER FAB 2 EXPENSE";"FABPRODUCTION",#N/A,FALSE,"WAFER FAB 2 EXPENSE";"FABENGINEERING",#N/A,FALSE,"WAFER FAB 2 EXPENSE";"FABEQUIPSUPPORT",#N/A,FALSE,"WAFER FAB 2 EXPENSE";"FABPRODUCTLINE",#N/A,FALSE,"WAFER FAB 2 EXPENSE";"FABMATERIALS",#N/A,FALSE,"WAFER FAB 2 EXPENSE"}</definedName>
    <definedName name="_______FAC6434" hidden="1">{"TOTAL",#N/A,FALSE,"FACILITIES EXPENSE";"TOTALDETAIL",#N/A,FALSE,"FACILITIES EXPENSE";"MATERIALS",#N/A,FALSE,"FACILITIES EXPENSE";"FACILITIES",#N/A,FALSE,"FACILITIES EXPENSE";"CHEM",#N/A,FALSE,"FACILITIES EXPENSE";"GENSVC",#N/A,FALSE,"FACILITIES EXPENSE";"SAFETY",#N/A,FALSE,"FACILITIES EXPENSE"}</definedName>
    <definedName name="_______guv1" hidden="1">{"K GuV o. Kommentar",#N/A,FALSE,"Kaufhof"}</definedName>
    <definedName name="_______guv3" hidden="1">{"K GuV o. Kommentar",#N/A,FALSE,"Kaufhof"}</definedName>
    <definedName name="_______LG2" hidden="1">{#N/A,#N/A,TRUE,"매출진척-1";#N/A,#N/A,TRUE,"매출진척-2";#N/A,#N/A,TRUE,"제품실적";#N/A,#N/A,TRUE,"RAC";#N/A,#N/A,TRUE,"PAC ";#N/A,#N/A,TRUE,"재고현황";#N/A,#N/A,TRUE,"공지사항"}</definedName>
    <definedName name="_______New2" hidden="1">{"TOTAL",#N/A,FALSE,"A";"FISCAL94",#N/A,FALSE,"A";"FISCAL95",#N/A,FALSE,"A";"FISCAL96",#N/A,FALSE,"A";"misc page",#N/A,FALSE,"A"}</definedName>
    <definedName name="_______new3" hidden="1">{"FY98Q1 nvs",#N/A,FALSE,"FY98 - Q1";"FY98Q2 nvs",#N/A,FALSE,"FY98 - Q2";"FY98Q3 nvs",#N/A,FALSE,"FY98 - Q3";"FY98Q4 nvs",#N/A,FALSE,"FY98 - Q4"}</definedName>
    <definedName name="_______new4" hidden="1">{"INPUT",#N/A,FALSE,"REVENUE AND GM ";"CONTROL",#N/A,FALSE,"REVENUE AND GM ";"SWITCH",#N/A,FALSE,"REVENUE AND GM ";"OUTPUT",#N/A,FALSE,"REVENUE AND GM ";"TOTAL",#N/A,FALSE,"REVENUE AND GM "}</definedName>
    <definedName name="_______new5" hidden="1">{"FY97Total",#N/A,FALSE,"FY97 - Total";"FY98Total",#N/A,FALSE,"FY98 - Total"}</definedName>
    <definedName name="_______new6" hidden="1">{"FY97Q1",#N/A,FALSE,"FY97 - Q1";"FY97Q2",#N/A,FALSE,"FY97 - Q2";"FY97Q3",#N/A,FALSE,"FY97 - Q3";"FY97Q4",#N/A,FALSE,"FY97 - Q4"}</definedName>
    <definedName name="_______o1" hidden="1">{#N/A,#N/A,FALSE,"SUMMARY";#N/A,#N/A,FALSE,"mcsh";#N/A,#N/A,FALSE,"vol&amp;rev";#N/A,#N/A,FALSE,"wkgcap";#N/A,#N/A,FALSE,"DEPR&amp;DT";#N/A,#N/A,FALSE,"ASSETS";#N/A,#N/A,FALSE,"NI&amp;OTH&amp;DIV";#N/A,#N/A,FALSE,"CASHFLOW";#N/A,#N/A,FALSE,"CAPEMPL";#N/A,#N/A,FALSE,"ROCE"}</definedName>
    <definedName name="_______OSX2" hidden="1">{"Area1",#N/A,FALSE,"OREWACC";"Area2",#N/A,FALSE,"OREWACC"}</definedName>
    <definedName name="_______P2" hidden="1">{#N/A,#N/A,FALSE,"단축1";#N/A,#N/A,FALSE,"단축2";#N/A,#N/A,FALSE,"단축3";#N/A,#N/A,FALSE,"장축";#N/A,#N/A,FALSE,"4WD"}</definedName>
    <definedName name="_______q3" hidden="1">#REF!</definedName>
    <definedName name="_______s" hidden="1">{"SCM_Detail",#N/A,FALSE,"SCM";"SCM_Top",#N/A,FALSE,"SCM"}</definedName>
    <definedName name="_______SDW1" hidden="1">#REF!</definedName>
    <definedName name="_______T2" hidden="1">{#N/A,#N/A,FALSE,"단축1";#N/A,#N/A,FALSE,"단축2";#N/A,#N/A,FALSE,"단축3";#N/A,#N/A,FALSE,"장축";#N/A,#N/A,FALSE,"4WD"}</definedName>
    <definedName name="_______T3" hidden="1">{#N/A,#N/A,FALSE,"단축1";#N/A,#N/A,FALSE,"단축2";#N/A,#N/A,FALSE,"단축3";#N/A,#N/A,FALSE,"장축";#N/A,#N/A,FALSE,"4WD"}</definedName>
    <definedName name="_______T5" hidden="1">{#N/A,#N/A,FALSE,"단축1";#N/A,#N/A,FALSE,"단축2";#N/A,#N/A,FALSE,"단축3";#N/A,#N/A,FALSE,"장축";#N/A,#N/A,FALSE,"4WD"}</definedName>
    <definedName name="_______Tes6" hidden="1">{"'SIVA Pricing Model'!$A$1:$F$39"}</definedName>
    <definedName name="_______u18" hidden="1">{"Tages_D",#N/A,FALSE,"Tagesbericht";"Tages_PL",#N/A,FALSE,"Tagesbericht"}</definedName>
    <definedName name="_______u20" hidden="1">{"fleisch",#N/A,FALSE,"WG HK";"food",#N/A,FALSE,"WG HK";"hartwaren",#N/A,FALSE,"WG HK";"weichwaren",#N/A,FALSE,"WG HK"}</definedName>
    <definedName name="_______ww2" hidden="1">{#N/A,#N/A,FALSE,"Admin";#N/A,#N/A,FALSE,"Other"}</definedName>
    <definedName name="_______XG2" hidden="1">{#N/A,#N/A,FALSE,"단축1";#N/A,#N/A,FALSE,"단축2";#N/A,#N/A,FALSE,"단축3";#N/A,#N/A,FALSE,"장축";#N/A,#N/A,FALSE,"4WD"}</definedName>
    <definedName name="_______z" hidden="1">{"mgmt forecast",#N/A,FALSE,"Mgmt Forecast";"dcf table",#N/A,FALSE,"Mgmt Forecast";"sensitivity",#N/A,FALSE,"Mgmt Forecast";"table inputs",#N/A,FALSE,"Mgmt Forecast";"calculations",#N/A,FALSE,"Mgmt Forecast"}</definedName>
    <definedName name="_______z12" hidden="1">{"pro_view",#N/A,FALSE,"EEFSNAP2";"rep_view",#N/A,FALSE,"EEFSNAP2"}</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hidden="1">{"detail",#N/A,FALSE,"mfg";"summary",#N/A,FALSE,"mfg"}</definedName>
    <definedName name="______A11" hidden="1">{#N/A,#N/A,FALSE,"Umsatz 99";#N/A,#N/A,FALSE,"ER 99 "}</definedName>
    <definedName name="______a14" hidden="1">{"TAG1AGMS",#N/A,FALSE,"TAG 1A"}</definedName>
    <definedName name="______a15" hidden="1">{"weichwaren",#N/A,FALSE,"Liste 1";"hartwaren",#N/A,FALSE,"Liste 1";"food",#N/A,FALSE,"Liste 1";"fleisch",#N/A,FALSE,"Liste 1"}</definedName>
    <definedName name="______a16" hidden="1">{"weichwaren",#N/A,FALSE,"Liste 1";"hartwaren",#N/A,FALSE,"Liste 1";"food",#N/A,FALSE,"Liste 1";"fleisch",#N/A,FALSE,"Liste 1"}</definedName>
    <definedName name="______a17" hidden="1">{"TAG1AGMS",#N/A,FALSE,"TAG 1A"}</definedName>
    <definedName name="______a18" hidden="1">{"Tages_D",#N/A,FALSE,"Tagesbericht";"Tages_PL",#N/A,FALSE,"Tagesbericht"}</definedName>
    <definedName name="______a19" hidden="1">{"fleisch",#N/A,FALSE,"WG HK";"food",#N/A,FALSE,"WG HK";"hartwaren",#N/A,FALSE,"WG HK";"weichwaren",#N/A,FALSE,"WG HK"}</definedName>
    <definedName name="______a33" hidden="1">{"fleisch",#N/A,FALSE,"WG HK";"food",#N/A,FALSE,"WG HK";"hartwaren",#N/A,FALSE,"WG HK";"weichwaren",#N/A,FALSE,"WG HK"}</definedName>
    <definedName name="______a55" hidden="1">{"Tages_D",#N/A,FALSE,"Tagesbericht";"Tages_PL",#N/A,FALSE,"Tagesbericht"}</definedName>
    <definedName name="______a66" hidden="1">{"TAG1AGMS",#N/A,FALSE,"TAG 1A"}</definedName>
    <definedName name="______aa22" hidden="1">{"Tages_D",#N/A,FALSE,"Tagesbericht";"Tages_PL",#N/A,FALSE,"Tagesbericht"}</definedName>
    <definedName name="______aaa1" hidden="1">{#N/A,#N/A,FALSE,"REPORT"}</definedName>
    <definedName name="______aas1" hidden="1">{#N/A,#N/A,FALSE,"REPORT"}</definedName>
    <definedName name="______ACS2000" hidden="1">{#N/A,#N/A,FALSE,"REPORT"}</definedName>
    <definedName name="__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ASS6434"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___b111" hidden="1">{#N/A,#N/A,FALSE,"Pharm";#N/A,#N/A,FALSE,"WWCM"}</definedName>
    <definedName name="______b18" hidden="1">{"Tages_D",#N/A,FALSE,"Tagesbericht";"Tages_PL",#N/A,FALSE,"Tagesbericht"}</definedName>
    <definedName name="______b19" hidden="1">{"Tages_D",#N/A,FALSE,"Tagesbericht";"Tages_PL",#N/A,FALSE,"Tagesbericht"}</definedName>
    <definedName name="______c" hidden="1">{"Fiesta Facer Page",#N/A,FALSE,"Q_C_S";"Fiesta Main Page",#N/A,FALSE,"V_L";"Fiesta 95BP Struct",#N/A,FALSE,"StructBP";"Fiesta Post 95BP Struct",#N/A,FALSE,"AdjStructBP"}</definedName>
    <definedName name="______CAP10" hidden="1">{"LC",#N/A,FALSE,"FC-15 Cap Expend"}</definedName>
    <definedName name="______cum1" hidden="1">{"SCM_Detail",#N/A,FALSE,"SCM";"SCM_Top",#N/A,FALSE,"SCM"}</definedName>
    <definedName name="__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_DP6434" hidden="1">{"TOTALDPAK",#N/A,FALSE,"DPAK PRODUCTION";"HADPAK",#N/A,FALSE,"DPAK PRODUCTION";"PSIDPAK",#N/A,FALSE,"DPAK PRODUCTION"}</definedName>
    <definedName name="______eo2" hidden="1">{"'B1'!$B$3:$E$3"}</definedName>
    <definedName name="______eo4" hidden="1">{"'B1'!$B$3:$E$3"}</definedName>
    <definedName name="______ew10" hidden="1">{"'B1'!$B$3:$E$3"}</definedName>
    <definedName name="______ew2" hidden="1">{"'B1'!$B$3:$E$3"}</definedName>
    <definedName name="______ew3" hidden="1">{"'B1'!$B$3:$E$3"}</definedName>
    <definedName name="______ew4" hidden="1">{"'B1'!$B$3:$E$3"}</definedName>
    <definedName name="______ew5" hidden="1">{"'B1'!$B$3:$E$3"}</definedName>
    <definedName name="______ew6" hidden="1">{"'B1'!$B$3:$E$3"}</definedName>
    <definedName name="______ew8" hidden="1">{"'B1'!$B$3:$E$3"}</definedName>
    <definedName name="_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_FA96434" hidden="1">{"TOTALFAB",#N/A,FALSE,"WAFER FAB 2 EXPENSE";"FABPRODUCTION",#N/A,FALSE,"WAFER FAB 2 EXPENSE";"FABENGINEERING",#N/A,FALSE,"WAFER FAB 2 EXPENSE";"FABEQUIPSUPPORT",#N/A,FALSE,"WAFER FAB 2 EXPENSE";"FABPRODUCTLINE",#N/A,FALSE,"WAFER FAB 2 EXPENSE";"FABMATERIALS",#N/A,FALSE,"WAFER FAB 2 EXPENSE"}</definedName>
    <definedName name="______FAC6434" hidden="1">{"TOTAL",#N/A,FALSE,"FACILITIES EXPENSE";"TOTALDETAIL",#N/A,FALSE,"FACILITIES EXPENSE";"MATERIALS",#N/A,FALSE,"FACILITIES EXPENSE";"FACILITIES",#N/A,FALSE,"FACILITIES EXPENSE";"CHEM",#N/A,FALSE,"FACILITIES EXPENSE";"GENSVC",#N/A,FALSE,"FACILITIES EXPENSE";"SAFETY",#N/A,FALSE,"FACILITIES EXPENSE"}</definedName>
    <definedName name="______guv1" hidden="1">{"K GuV o. Kommentar",#N/A,FALSE,"Kaufhof"}</definedName>
    <definedName name="______guv3" hidden="1">{"K GuV o. Kommentar",#N/A,FALSE,"Kaufhof"}</definedName>
    <definedName name="______i3" hidden="1">{"vue1",#N/A,FALSE,"synthese";"vue2",#N/A,FALSE,"synthese"}</definedName>
    <definedName name="______LG2" hidden="1">{#N/A,#N/A,TRUE,"매출진척-1";#N/A,#N/A,TRUE,"매출진척-2";#N/A,#N/A,TRUE,"제품실적";#N/A,#N/A,TRUE,"RAC";#N/A,#N/A,TRUE,"PAC ";#N/A,#N/A,TRUE,"재고현황";#N/A,#N/A,TRUE,"공지사항"}</definedName>
    <definedName name="______na2" hidden="1">{"'SIVA Pricing Model'!$A$1:$F$39"}</definedName>
    <definedName name="______na3" hidden="1">{"'SIVA Pricing Model'!$A$1:$F$39"}</definedName>
    <definedName name="______new1" hidden="1">{#N/A,#N/A,FALSE,"Pharm";#N/A,#N/A,FALSE,"WWCM"}</definedName>
    <definedName name="______New2" hidden="1">{"ROIC",#N/A,FALSE,"ROIC";"Graphs",#N/A,FALSE,"TY analysis";"fcf",#N/A,FALSE,"FCF";"Matrix_2004",#N/A,FALSE,"MATRIX(2004)";"matrix_2008",#N/A,FALSE,"MATRIX(2008)";"FS_Condensed",#N/A,FALSE,"Financial Statements2";"TAXES",#N/A,FALSE,"Taxes";"DEBT_INVEST",#N/A,FALSE,"Debt&amp;Investment Schedule";"Main_menu",#N/A,FALSE,"Main Menu"}</definedName>
    <definedName name="______new3" hidden="1">{"FY98Q1 nvs",#N/A,FALSE,"FY98 - Q1";"FY98Q2 nvs",#N/A,FALSE,"FY98 - Q2";"FY98Q3 nvs",#N/A,FALSE,"FY98 - Q3";"FY98Q4 nvs",#N/A,FALSE,"FY98 - Q4"}</definedName>
    <definedName name="______new4" hidden="1">{"INPUT",#N/A,FALSE,"REVENUE AND GM ";"CONTROL",#N/A,FALSE,"REVENUE AND GM ";"SWITCH",#N/A,FALSE,"REVENUE AND GM ";"OUTPUT",#N/A,FALSE,"REVENUE AND GM ";"TOTAL",#N/A,FALSE,"REVENUE AND GM "}</definedName>
    <definedName name="______new5" hidden="1">{"FY97Total",#N/A,FALSE,"FY97 - Total";"FY98Total",#N/A,FALSE,"FY98 - Total"}</definedName>
    <definedName name="______new6" hidden="1">{"FY97Q1",#N/A,FALSE,"FY97 - Q1";"FY97Q2",#N/A,FALSE,"FY97 - Q2";"FY97Q3",#N/A,FALSE,"FY97 - Q3";"FY97Q4",#N/A,FALSE,"FY97 - Q4"}</definedName>
    <definedName name="______o1" hidden="1">{#N/A,#N/A,FALSE,"SUMMARY";#N/A,#N/A,FALSE,"mcsh";#N/A,#N/A,FALSE,"vol&amp;rev";#N/A,#N/A,FALSE,"wkgcap";#N/A,#N/A,FALSE,"DEPR&amp;DT";#N/A,#N/A,FALSE,"ASSETS";#N/A,#N/A,FALSE,"NI&amp;OTH&amp;DIV";#N/A,#N/A,FALSE,"CASHFLOW";#N/A,#N/A,FALSE,"CAPEMPL";#N/A,#N/A,FALSE,"ROCE"}</definedName>
    <definedName name="______OSX2" hidden="1">{"Area1",#N/A,FALSE,"OREWACC";"Area2",#N/A,FALSE,"OREWACC"}</definedName>
    <definedName name="______P2" hidden="1">{#N/A,#N/A,FALSE,"단축1";#N/A,#N/A,FALSE,"단축2";#N/A,#N/A,FALSE,"단축3";#N/A,#N/A,FALSE,"장축";#N/A,#N/A,FALSE,"4WD"}</definedName>
    <definedName name="______q3" hidden="1">#REF!</definedName>
    <definedName name="______QR6434" hidden="1">{"QAEXPENSE",#N/A,FALSE,"QUALITY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___r" hidden="1">{#N/A,#N/A,FALSE,"Pharm";#N/A,#N/A,FALSE,"WWCM"}</definedName>
    <definedName name="______s" hidden="1">{"SCM_Detail",#N/A,FALSE,"SCM";"SCM_Top",#N/A,FALSE,"SCM"}</definedName>
    <definedName name="______SDW1" hidden="1">#REF!</definedName>
    <definedName name="______T2" hidden="1">{#N/A,#N/A,FALSE,"단축1";#N/A,#N/A,FALSE,"단축2";#N/A,#N/A,FALSE,"단축3";#N/A,#N/A,FALSE,"장축";#N/A,#N/A,FALSE,"4WD"}</definedName>
    <definedName name="______T3" hidden="1">{#N/A,#N/A,FALSE,"단축1";#N/A,#N/A,FALSE,"단축2";#N/A,#N/A,FALSE,"단축3";#N/A,#N/A,FALSE,"장축";#N/A,#N/A,FALSE,"4WD"}</definedName>
    <definedName name="______T5" hidden="1">{#N/A,#N/A,FALSE,"단축1";#N/A,#N/A,FALSE,"단축2";#N/A,#N/A,FALSE,"단축3";#N/A,#N/A,FALSE,"장축";#N/A,#N/A,FALSE,"4WD"}</definedName>
    <definedName name="______TEM6434" hidden="1">{"ALLOCATION1",#N/A,FALSE,"EXPENSE ALLOCATIONS";"ALLOCATION2",#N/A,FALSE,"EXPENSE ALLOCATIONS";"ALLOCATION3",#N/A,FALSE,"EXPENSE ALLOCATIONS";"ALLOCATION4",#N/A,FALSE,"EXPENSE ALLOCATIONS"}</definedName>
    <definedName name="______Tes6" hidden="1">{"'SIVA Pricing Model'!$A$1:$F$39"}</definedName>
    <definedName name="______tm1" hidden="1">{#N/A,#N/A,FALSE,"Pharm";#N/A,#N/A,FALSE,"WWCM"}</definedName>
    <definedName name="______u18" hidden="1">{"Tages_D",#N/A,FALSE,"Tagesbericht";"Tages_PL",#N/A,FALSE,"Tagesbericht"}</definedName>
    <definedName name="______u20" hidden="1">{"fleisch",#N/A,FALSE,"WG HK";"food",#N/A,FALSE,"WG HK";"hartwaren",#N/A,FALSE,"WG HK";"weichwaren",#N/A,FALSE,"WG HK"}</definedName>
    <definedName name="______wrm3" hidden="1">{"vue1",#N/A,FALSE,"synthese";"vue2",#N/A,FALSE,"synthese"}</definedName>
    <definedName name="______wrn2" hidden="1">{"vue1",#N/A,FALSE,"synthese";"vue2",#N/A,FALSE,"synthese"}</definedName>
    <definedName name="______wrn3" hidden="1">{"vue1",#N/A,FALSE,"synthese";"vue2",#N/A,FALSE,"synthese"}</definedName>
    <definedName name="______ww2" hidden="1">{#N/A,#N/A,FALSE,"Admin";#N/A,#N/A,FALSE,"Other"}</definedName>
    <definedName name="______X2" hidden="1">{#N/A,#N/A,FALSE,"Other";#N/A,#N/A,FALSE,"Ace";#N/A,#N/A,FALSE,"Derm"}</definedName>
    <definedName name="______XG2" hidden="1">{#N/A,#N/A,FALSE,"단축1";#N/A,#N/A,FALSE,"단축2";#N/A,#N/A,FALSE,"단축3";#N/A,#N/A,FALSE,"장축";#N/A,#N/A,FALSE,"4WD"}</definedName>
    <definedName name="______z" hidden="1">{"mgmt forecast",#N/A,FALSE,"Mgmt Forecast";"dcf table",#N/A,FALSE,"Mgmt Forecast";"sensitivity",#N/A,FALSE,"Mgmt Forecast";"table inputs",#N/A,FALSE,"Mgmt Forecast";"calculations",#N/A,FALSE,"Mgmt Forecast"}</definedName>
    <definedName name="_____a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_____A11" hidden="1">{#N/A,#N/A,FALSE,"Umsatz 99";#N/A,#N/A,FALSE,"ER 99 "}</definedName>
    <definedName name="_____a14" hidden="1">{"TAG1AGMS",#N/A,FALSE,"TAG 1A"}</definedName>
    <definedName name="_____a15" hidden="1">{"weichwaren",#N/A,FALSE,"Liste 1";"hartwaren",#N/A,FALSE,"Liste 1";"food",#N/A,FALSE,"Liste 1";"fleisch",#N/A,FALSE,"Liste 1"}</definedName>
    <definedName name="_____a16" hidden="1">{"weichwaren",#N/A,FALSE,"Liste 1";"hartwaren",#N/A,FALSE,"Liste 1";"food",#N/A,FALSE,"Liste 1";"fleisch",#N/A,FALSE,"Liste 1"}</definedName>
    <definedName name="_____a17" hidden="1">{"TAG1AGMS",#N/A,FALSE,"TAG 1A"}</definedName>
    <definedName name="_____a18" hidden="1">{"Tages_D",#N/A,FALSE,"Tagesbericht";"Tages_PL",#N/A,FALSE,"Tagesbericht"}</definedName>
    <definedName name="_____a19" hidden="1">{"fleisch",#N/A,FALSE,"WG HK";"food",#N/A,FALSE,"WG HK";"hartwaren",#N/A,FALSE,"WG HK";"weichwaren",#N/A,FALSE,"WG HK"}</definedName>
    <definedName name="_____a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____a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____a33" hidden="1">{"fleisch",#N/A,FALSE,"WG HK";"food",#N/A,FALSE,"WG HK";"hartwaren",#N/A,FALSE,"WG HK";"weichwaren",#N/A,FALSE,"WG HK"}</definedName>
    <definedName name="_____a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____a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____a55" hidden="1">{"Tages_D",#N/A,FALSE,"Tagesbericht";"Tages_PL",#N/A,FALSE,"Tagesbericht"}</definedName>
    <definedName name="_____a66" hidden="1">{"TAG1AGMS",#N/A,FALSE,"TAG 1A"}</definedName>
    <definedName name="_____aa22" hidden="1">{"Tages_D",#N/A,FALSE,"Tagesbericht";"Tages_PL",#N/A,FALSE,"Tagesbericht"}</definedName>
    <definedName name="_____abc1" hidden="1">{"detail",#N/A,FALSE,"mfg";"summary",#N/A,FALSE,"mfg"}</definedName>
    <definedName name="_____abc2" hidden="1">{"detail",#N/A,FALSE,"mfg";"summary",#N/A,FALSE,"mfg"}</definedName>
    <definedName name="_____ae2" hidden="1">{"'Inventory &amp; Anal-Cur Wkbk'!$A$7:$AP$71"}</definedName>
    <definedName name="_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ALL6434" hidden="1">{"ALLOCATION1",#N/A,FALSE,"EXPENSE ALLOCATIONS";"ALLOCATION2",#N/A,FALSE,"EXPENSE ALLOCATIONS";"ALLOCATION3",#N/A,FALSE,"EXPENSE ALLOCATIONS";"ALLOCATION4",#N/A,FALSE,"EXPENSE ALLOCATIONS"}</definedName>
    <definedName name="_____ASS6434"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__b18" hidden="1">{"Tages_D",#N/A,FALSE,"Tagesbericht";"Tages_PL",#N/A,FALSE,"Tagesbericht"}</definedName>
    <definedName name="_____b19" hidden="1">{"Tages_D",#N/A,FALSE,"Tagesbericht";"Tages_PL",#N/A,FALSE,"Tagesbericht"}</definedName>
    <definedName name="_____c" hidden="1">{"Fiesta Facer Page",#N/A,FALSE,"Q_C_S";"Fiesta Main Page",#N/A,FALSE,"V_L";"Fiesta 95BP Struct",#N/A,FALSE,"StructBP";"Fiesta Post 95BP Struct",#N/A,FALSE,"AdjStructBP"}</definedName>
    <definedName name="_____CAP10" hidden="1">{"LC",#N/A,FALSE,"FC-15 Cap Expend"}</definedName>
    <definedName name="_____cum1" hidden="1">{"SCM_Detail",#N/A,FALSE,"SCM";"SCM_Top",#N/A,FALSE,"SCM"}</definedName>
    <definedName name="_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_DP6434" hidden="1">{"TOTALDPAK",#N/A,FALSE,"DPAK PRODUCTION";"HADPAK",#N/A,FALSE,"DPAK PRODUCTION";"PSIDPAK",#N/A,FALSE,"DPAK PRODUCTION"}</definedName>
    <definedName name="_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_FA96434" hidden="1">{"TOTALFAB",#N/A,FALSE,"WAFER FAB 2 EXPENSE";"FABPRODUCTION",#N/A,FALSE,"WAFER FAB 2 EXPENSE";"FABENGINEERING",#N/A,FALSE,"WAFER FAB 2 EXPENSE";"FABEQUIPSUPPORT",#N/A,FALSE,"WAFER FAB 2 EXPENSE";"FABPRODUCTLINE",#N/A,FALSE,"WAFER FAB 2 EXPENSE";"FABMATERIALS",#N/A,FALSE,"WAFER FAB 2 EXPENSE"}</definedName>
    <definedName name="_____FAC6434" hidden="1">{"TOTAL",#N/A,FALSE,"FACILITIES EXPENSE";"TOTALDETAIL",#N/A,FALSE,"FACILITIES EXPENSE";"MATERIALS",#N/A,FALSE,"FACILITIES EXPENSE";"FACILITIES",#N/A,FALSE,"FACILITIES EXPENSE";"CHEM",#N/A,FALSE,"FACILITIES EXPENSE";"GENSVC",#N/A,FALSE,"FACILITIES EXPENSE";"SAFETY",#N/A,FALSE,"FACILITIES EXPENSE"}</definedName>
    <definedName name="_____guv1" hidden="1">{"K GuV o. Kommentar",#N/A,FALSE,"Kaufhof"}</definedName>
    <definedName name="_____guv3" hidden="1">{"K GuV o. Kommentar",#N/A,FALSE,"Kaufhof"}</definedName>
    <definedName name="_____LG2" hidden="1">{#N/A,#N/A,TRUE,"매출진척-1";#N/A,#N/A,TRUE,"매출진척-2";#N/A,#N/A,TRUE,"제품실적";#N/A,#N/A,TRUE,"RAC";#N/A,#N/A,TRUE,"PAC ";#N/A,#N/A,TRUE,"재고현황";#N/A,#N/A,TRUE,"공지사항"}</definedName>
    <definedName name="_____na2" hidden="1">{"'SIVA Pricing Model'!$A$1:$F$39"}</definedName>
    <definedName name="_____na3" hidden="1">{"'SIVA Pricing Model'!$A$1:$F$39"}</definedName>
    <definedName name="_____New2" hidden="1">{"TOTAL",#N/A,FALSE,"A";"FISCAL94",#N/A,FALSE,"A";"FISCAL95",#N/A,FALSE,"A";"FISCAL96",#N/A,FALSE,"A";"misc page",#N/A,FALSE,"A"}</definedName>
    <definedName name="_____new3" hidden="1">{"FY98Q1 nvs",#N/A,FALSE,"FY98 - Q1";"FY98Q2 nvs",#N/A,FALSE,"FY98 - Q2";"FY98Q3 nvs",#N/A,FALSE,"FY98 - Q3";"FY98Q4 nvs",#N/A,FALSE,"FY98 - Q4"}</definedName>
    <definedName name="_____new4" hidden="1">{"INPUT",#N/A,FALSE,"REVENUE AND GM ";"CONTROL",#N/A,FALSE,"REVENUE AND GM ";"SWITCH",#N/A,FALSE,"REVENUE AND GM ";"OUTPUT",#N/A,FALSE,"REVENUE AND GM ";"TOTAL",#N/A,FALSE,"REVENUE AND GM "}</definedName>
    <definedName name="_____new5" hidden="1">{"FY97Total",#N/A,FALSE,"FY97 - Total";"FY98Total",#N/A,FALSE,"FY98 - Total"}</definedName>
    <definedName name="_____new6" hidden="1">{"FY97Q1",#N/A,FALSE,"FY97 - Q1";"FY97Q2",#N/A,FALSE,"FY97 - Q2";"FY97Q3",#N/A,FALSE,"FY97 - Q3";"FY97Q4",#N/A,FALSE,"FY97 - Q4"}</definedName>
    <definedName name="_____o1" hidden="1">{#N/A,#N/A,FALSE,"SUMMARY";#N/A,#N/A,FALSE,"mcsh";#N/A,#N/A,FALSE,"vol&amp;rev";#N/A,#N/A,FALSE,"wkgcap";#N/A,#N/A,FALSE,"DEPR&amp;DT";#N/A,#N/A,FALSE,"ASSETS";#N/A,#N/A,FALSE,"NI&amp;OTH&amp;DIV";#N/A,#N/A,FALSE,"CASHFLOW";#N/A,#N/A,FALSE,"CAPEMPL";#N/A,#N/A,FALSE,"ROCE"}</definedName>
    <definedName name="_____OSX2" hidden="1">{"Area1",#N/A,FALSE,"OREWACC";"Area2",#N/A,FALSE,"OREWACC"}</definedName>
    <definedName name="_____P2" hidden="1">{#N/A,#N/A,FALSE,"단축1";#N/A,#N/A,FALSE,"단축2";#N/A,#N/A,FALSE,"단축3";#N/A,#N/A,FALSE,"장축";#N/A,#N/A,FALSE,"4WD"}</definedName>
    <definedName name="_____q3" hidden="1">#REF!</definedName>
    <definedName name="_____QR6434" hidden="1">{"QAEXPENSE",#N/A,FALSE,"QUALITY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__s" hidden="1">{"CONS12",#N/A,FALSE,"1996BSCH";"DOM12",#N/A,FALSE,"1996BSCH";"CAN12",#N/A,FALSE,"1996BSCH";"DDODC12",#N/A,FALSE,"1996BSCH";"DDE12",#N/A,FALSE,"1996BSCH";"DDOC12",#N/A,FALSE,"1996BSCH";"ELIM6MO",#N/A,FALSE,"1996BSCH";"other12",#N/A,FALSE,"1996BSCH";"var12",#N/A,FALSE,"1996BSCH"}</definedName>
    <definedName name="_____SDW1" hidden="1">#REF!</definedName>
    <definedName name="_____T2" hidden="1">{#N/A,#N/A,FALSE,"단축1";#N/A,#N/A,FALSE,"단축2";#N/A,#N/A,FALSE,"단축3";#N/A,#N/A,FALSE,"장축";#N/A,#N/A,FALSE,"4WD"}</definedName>
    <definedName name="_____T3" hidden="1">{#N/A,#N/A,FALSE,"단축1";#N/A,#N/A,FALSE,"단축2";#N/A,#N/A,FALSE,"단축3";#N/A,#N/A,FALSE,"장축";#N/A,#N/A,FALSE,"4WD"}</definedName>
    <definedName name="_____T5" hidden="1">{#N/A,#N/A,FALSE,"단축1";#N/A,#N/A,FALSE,"단축2";#N/A,#N/A,FALSE,"단축3";#N/A,#N/A,FALSE,"장축";#N/A,#N/A,FALSE,"4WD"}</definedName>
    <definedName name="_____TEM6434" hidden="1">{"ALLOCATION1",#N/A,FALSE,"EXPENSE ALLOCATIONS";"ALLOCATION2",#N/A,FALSE,"EXPENSE ALLOCATIONS";"ALLOCATION3",#N/A,FALSE,"EXPENSE ALLOCATIONS";"ALLOCATION4",#N/A,FALSE,"EXPENSE ALLOCATIONS"}</definedName>
    <definedName name="_____Tes6" hidden="1">{"'SIVA Pricing Model'!$A$1:$F$39"}</definedName>
    <definedName name="_____u18" hidden="1">{"Tages_D",#N/A,FALSE,"Tagesbericht";"Tages_PL",#N/A,FALSE,"Tagesbericht"}</definedName>
    <definedName name="_____u20" hidden="1">{"fleisch",#N/A,FALSE,"WG HK";"food",#N/A,FALSE,"WG HK";"hartwaren",#N/A,FALSE,"WG HK";"weichwaren",#N/A,FALSE,"WG HK"}</definedName>
    <definedName name="_____ww2" hidden="1">{#N/A,#N/A,FALSE,"Admin";#N/A,#N/A,FALSE,"Other"}</definedName>
    <definedName name="_____XG2" hidden="1">{#N/A,#N/A,FALSE,"단축1";#N/A,#N/A,FALSE,"단축2";#N/A,#N/A,FALSE,"단축3";#N/A,#N/A,FALSE,"장축";#N/A,#N/A,FALSE,"4WD"}</definedName>
    <definedName name="_____z" hidden="1">{"mgmt forecast",#N/A,FALSE,"Mgmt Forecast";"dcf table",#N/A,FALSE,"Mgmt Forecast";"sensitivity",#N/A,FALSE,"Mgmt Forecast";"table inputs",#N/A,FALSE,"Mgmt Forecast";"calculations",#N/A,FALSE,"Mgmt Forecast"}</definedName>
    <definedName name="_____z12" hidden="1">{"pro_view",#N/A,FALSE,"EEFSNAP2";"rep_view",#N/A,FALSE,"EEFSNAP2"}</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hidden="1">{"detail",#N/A,FALSE,"mfg";"summary",#N/A,FALSE,"mfg"}</definedName>
    <definedName name="____A11" hidden="1">{#N/A,#N/A,FALSE,"Umsatz 99";#N/A,#N/A,FALSE,"ER 99 "}</definedName>
    <definedName name="____a14" hidden="1">{"TAG1AGMS",#N/A,FALSE,"TAG 1A"}</definedName>
    <definedName name="____a15" hidden="1">{"weichwaren",#N/A,FALSE,"Liste 1";"hartwaren",#N/A,FALSE,"Liste 1";"food",#N/A,FALSE,"Liste 1";"fleisch",#N/A,FALSE,"Liste 1"}</definedName>
    <definedName name="____a16" hidden="1">{"weichwaren",#N/A,FALSE,"Liste 1";"hartwaren",#N/A,FALSE,"Liste 1";"food",#N/A,FALSE,"Liste 1";"fleisch",#N/A,FALSE,"Liste 1"}</definedName>
    <definedName name="____a17" hidden="1">{"TAG1AGMS",#N/A,FALSE,"TAG 1A"}</definedName>
    <definedName name="____a18" hidden="1">{"Tages_D",#N/A,FALSE,"Tagesbericht";"Tages_PL",#N/A,FALSE,"Tagesbericht"}</definedName>
    <definedName name="____a19" hidden="1">{"fleisch",#N/A,FALSE,"WG HK";"food",#N/A,FALSE,"WG HK";"hartwaren",#N/A,FALSE,"WG HK";"weichwaren",#N/A,FALSE,"WG HK"}</definedName>
    <definedName name="____a2" hidden="1">{#N/A,#N/A,FALSE,"Sheet1"}</definedName>
    <definedName name="____a3" hidden="1">{#N/A,#N/A,FALSE,"Sheet1"}</definedName>
    <definedName name="____a33" hidden="1">{"fleisch",#N/A,FALSE,"WG HK";"food",#N/A,FALSE,"WG HK";"hartwaren",#N/A,FALSE,"WG HK";"weichwaren",#N/A,FALSE,"WG HK"}</definedName>
    <definedName name="____a55" hidden="1">{"Tages_D",#N/A,FALSE,"Tagesbericht";"Tages_PL",#N/A,FALSE,"Tagesbericht"}</definedName>
    <definedName name="____a66" hidden="1">{"TAG1AGMS",#N/A,FALSE,"TAG 1A"}</definedName>
    <definedName name="____aa22" hidden="1">{"Tages_D",#N/A,FALSE,"Tagesbericht";"Tages_PL",#N/A,FALSE,"Tagesbericht"}</definedName>
    <definedName name="____abc1" hidden="1">{"detail",#N/A,FALSE,"mfg";"summary",#N/A,FALSE,"mfg"}</definedName>
    <definedName name="____abc2" hidden="1">{"detail",#N/A,FALSE,"mfg";"summary",#N/A,FALSE,"mfg"}</definedName>
    <definedName name="____ae2" hidden="1">{"'Inventory &amp; Anal-Cur Wkbk'!$A$7:$AP$71"}</definedName>
    <definedName name="_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LL6434" hidden="1">{"ALLOCATION1",#N/A,FALSE,"EXPENSE ALLOCATIONS";"ALLOCATION2",#N/A,FALSE,"EXPENSE ALLOCATIONS";"ALLOCATION3",#N/A,FALSE,"EXPENSE ALLOCATIONS";"ALLOCATION4",#N/A,FALSE,"EXPENSE ALLOCATIONS"}</definedName>
    <definedName name="____ASS6434"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_b18" hidden="1">{"Tages_D",#N/A,FALSE,"Tagesbericht";"Tages_PL",#N/A,FALSE,"Tagesbericht"}</definedName>
    <definedName name="____b19" hidden="1">{"Tages_D",#N/A,FALSE,"Tagesbericht";"Tages_PL",#N/A,FALSE,"Tagesbericht"}</definedName>
    <definedName name="____c" hidden="1">{"Fiesta Facer Page",#N/A,FALSE,"Q_C_S";"Fiesta Main Page",#N/A,FALSE,"V_L";"Fiesta 95BP Struct",#N/A,FALSE,"StructBP";"Fiesta Post 95BP Struct",#N/A,FALSE,"AdjStructBP"}</definedName>
    <definedName name="____CAP10" hidden="1">{"LC",#N/A,FALSE,"FC-15 Cap Expend"}</definedName>
    <definedName name="____cum1" hidden="1">{"SCM_Detail",#N/A,FALSE,"SCM";"SCM_Top",#N/A,FALSE,"SCM"}</definedName>
    <definedName name="____DF4" hidden="1">#REF!</definedName>
    <definedName name="_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P6434" hidden="1">{"TOTALDPAK",#N/A,FALSE,"DPAK PRODUCTION";"HADPAK",#N/A,FALSE,"DPAK PRODUCTION";"PSIDPAK",#N/A,FALSE,"DPAK PRODUCTION"}</definedName>
    <definedName name="____dsd1"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____eo2" hidden="1">{"'B1'!$B$3:$E$3"}</definedName>
    <definedName name="____eo4" hidden="1">{"'B1'!$B$3:$E$3"}</definedName>
    <definedName name="____ew10" hidden="1">{"'B1'!$B$3:$E$3"}</definedName>
    <definedName name="____ew2" hidden="1">{"'B1'!$B$3:$E$3"}</definedName>
    <definedName name="____ew3" hidden="1">{"'B1'!$B$3:$E$3"}</definedName>
    <definedName name="____ew4" hidden="1">{"'B1'!$B$3:$E$3"}</definedName>
    <definedName name="____ew5" hidden="1">{"'B1'!$B$3:$E$3"}</definedName>
    <definedName name="____ew6" hidden="1">{"'B1'!$B$3:$E$3"}</definedName>
    <definedName name="____ew8" hidden="1">{"'B1'!$B$3:$E$3"}</definedName>
    <definedName name="_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_FA96434" hidden="1">{"TOTALFAB",#N/A,FALSE,"WAFER FAB 2 EXPENSE";"FABPRODUCTION",#N/A,FALSE,"WAFER FAB 2 EXPENSE";"FABENGINEERING",#N/A,FALSE,"WAFER FAB 2 EXPENSE";"FABEQUIPSUPPORT",#N/A,FALSE,"WAFER FAB 2 EXPENSE";"FABPRODUCTLINE",#N/A,FALSE,"WAFER FAB 2 EXPENSE";"FABMATERIALS",#N/A,FALSE,"WAFER FAB 2 EXPENSE"}</definedName>
    <definedName name="____FAC6434" hidden="1">{"TOTAL",#N/A,FALSE,"FACILITIES EXPENSE";"TOTALDETAIL",#N/A,FALSE,"FACILITIES EXPENSE";"MATERIALS",#N/A,FALSE,"FACILITIES EXPENSE";"FACILITIES",#N/A,FALSE,"FACILITIES EXPENSE";"CHEM",#N/A,FALSE,"FACILITIES EXPENSE";"GENSVC",#N/A,FALSE,"FACILITIES EXPENSE";"SAFETY",#N/A,FALSE,"FACILITIES EXPENSE"}</definedName>
    <definedName name="____guv1" hidden="1">{"K GuV o. Kommentar",#N/A,FALSE,"Kaufhof"}</definedName>
    <definedName name="____guv3" hidden="1">{"K GuV o. Kommentar",#N/A,FALSE,"Kaufhof"}</definedName>
    <definedName name="____i3" hidden="1">{"vue1",#N/A,FALSE,"synthese";"vue2",#N/A,FALSE,"synthese"}</definedName>
    <definedName name="____key3" hidden="1">#REF!</definedName>
    <definedName name="____LG2" hidden="1">{#N/A,#N/A,TRUE,"매출진척-1";#N/A,#N/A,TRUE,"매출진척-2";#N/A,#N/A,TRUE,"제품실적";#N/A,#N/A,TRUE,"RAC";#N/A,#N/A,TRUE,"PAC ";#N/A,#N/A,TRUE,"재고현황";#N/A,#N/A,TRUE,"공지사항"}</definedName>
    <definedName name="____na2" hidden="1">{"'SIVA Pricing Model'!$A$1:$F$39"}</definedName>
    <definedName name="____na3" hidden="1">{"'SIVA Pricing Model'!$A$1:$F$39"}</definedName>
    <definedName name="____New2" hidden="1">{"ROIC",#N/A,FALSE,"ROIC";"Graphs",#N/A,FALSE,"TY analysis";"fcf",#N/A,FALSE,"FCF";"Matrix_2004",#N/A,FALSE,"MATRIX(2004)";"matrix_2008",#N/A,FALSE,"MATRIX(2008)";"FS_Condensed",#N/A,FALSE,"Financial Statements2";"TAXES",#N/A,FALSE,"Taxes";"DEBT_INVEST",#N/A,FALSE,"Debt&amp;Investment Schedule";"Main_menu",#N/A,FALSE,"Main Menu"}</definedName>
    <definedName name="____new3" hidden="1">{"FY98Q1 nvs",#N/A,FALSE,"FY98 - Q1";"FY98Q2 nvs",#N/A,FALSE,"FY98 - Q2";"FY98Q3 nvs",#N/A,FALSE,"FY98 - Q3";"FY98Q4 nvs",#N/A,FALSE,"FY98 - Q4"}</definedName>
    <definedName name="____new4" hidden="1">{"INPUT",#N/A,FALSE,"REVENUE AND GM ";"CONTROL",#N/A,FALSE,"REVENUE AND GM ";"SWITCH",#N/A,FALSE,"REVENUE AND GM ";"OUTPUT",#N/A,FALSE,"REVENUE AND GM ";"TOTAL",#N/A,FALSE,"REVENUE AND GM "}</definedName>
    <definedName name="____new5" hidden="1">{"FY97Total",#N/A,FALSE,"FY97 - Total";"FY98Total",#N/A,FALSE,"FY98 - Total"}</definedName>
    <definedName name="____new6" hidden="1">{"FY97Q1",#N/A,FALSE,"FY97 - Q1";"FY97Q2",#N/A,FALSE,"FY97 - Q2";"FY97Q3",#N/A,FALSE,"FY97 - Q3";"FY97Q4",#N/A,FALSE,"FY97 - Q4"}</definedName>
    <definedName name="____o1" hidden="1">{#N/A,#N/A,FALSE,"SUMMARY";#N/A,#N/A,FALSE,"mcsh";#N/A,#N/A,FALSE,"vol&amp;rev";#N/A,#N/A,FALSE,"wkgcap";#N/A,#N/A,FALSE,"DEPR&amp;DT";#N/A,#N/A,FALSE,"ASSETS";#N/A,#N/A,FALSE,"NI&amp;OTH&amp;DIV";#N/A,#N/A,FALSE,"CASHFLOW";#N/A,#N/A,FALSE,"CAPEMPL";#N/A,#N/A,FALSE,"ROCE"}</definedName>
    <definedName name="____OSX2" hidden="1">{"Area1",#N/A,FALSE,"OREWACC";"Area2",#N/A,FALSE,"OREWACC"}</definedName>
    <definedName name="____P2" hidden="1">{#N/A,#N/A,FALSE,"단축1";#N/A,#N/A,FALSE,"단축2";#N/A,#N/A,FALSE,"단축3";#N/A,#N/A,FALSE,"장축";#N/A,#N/A,FALSE,"4WD"}</definedName>
    <definedName name="____q3" hidden="1">#REF!</definedName>
    <definedName name="____QR6434" hidden="1">{"QAEXPENSE",#N/A,FALSE,"QUALITY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s" hidden="1">{"CONS12",#N/A,FALSE,"1996BSCH";"DOM12",#N/A,FALSE,"1996BSCH";"CAN12",#N/A,FALSE,"1996BSCH";"DDODC12",#N/A,FALSE,"1996BSCH";"DDE12",#N/A,FALSE,"1996BSCH";"DDOC12",#N/A,FALSE,"1996BSCH";"ELIM6MO",#N/A,FALSE,"1996BSCH";"other12",#N/A,FALSE,"1996BSCH";"var12",#N/A,FALSE,"1996BSCH"}</definedName>
    <definedName name="____SDW1" hidden="1">#REF!</definedName>
    <definedName name="____t1" hidden="1">{#N/A,#N/A,FALSE,"1996PL";#N/A,#N/A,FALSE,"1997PL";#N/A,#N/A,FALSE,"1998PL";#N/A,#N/A,FALSE,"1999PL"}</definedName>
    <definedName name="____T2" hidden="1">{#N/A,#N/A,FALSE,"단축1";#N/A,#N/A,FALSE,"단축2";#N/A,#N/A,FALSE,"단축3";#N/A,#N/A,FALSE,"장축";#N/A,#N/A,FALSE,"4WD"}</definedName>
    <definedName name="____T3" hidden="1">{#N/A,#N/A,FALSE,"단축1";#N/A,#N/A,FALSE,"단축2";#N/A,#N/A,FALSE,"단축3";#N/A,#N/A,FALSE,"장축";#N/A,#N/A,FALSE,"4WD"}</definedName>
    <definedName name="____T5" hidden="1">{#N/A,#N/A,FALSE,"단축1";#N/A,#N/A,FALSE,"단축2";#N/A,#N/A,FALSE,"단축3";#N/A,#N/A,FALSE,"장축";#N/A,#N/A,FALSE,"4WD"}</definedName>
    <definedName name="____TEM6434" hidden="1">{"ALLOCATION1",#N/A,FALSE,"EXPENSE ALLOCATIONS";"ALLOCATION2",#N/A,FALSE,"EXPENSE ALLOCATIONS";"ALLOCATION3",#N/A,FALSE,"EXPENSE ALLOCATIONS";"ALLOCATION4",#N/A,FALSE,"EXPENSE ALLOCATIONS"}</definedName>
    <definedName name="____Tes6" hidden="1">{"'SIVA Pricing Model'!$A$1:$F$39"}</definedName>
    <definedName name="____u18" hidden="1">{"Tages_D",#N/A,FALSE,"Tagesbericht";"Tages_PL",#N/A,FALSE,"Tagesbericht"}</definedName>
    <definedName name="____u20" hidden="1">{"fleisch",#N/A,FALSE,"WG HK";"food",#N/A,FALSE,"WG HK";"hartwaren",#N/A,FALSE,"WG HK";"weichwaren",#N/A,FALSE,"WG HK"}</definedName>
    <definedName name="____wrm3" hidden="1">{"vue1",#N/A,FALSE,"synthese";"vue2",#N/A,FALSE,"synthese"}</definedName>
    <definedName name="____wrn2" hidden="1">{"vue1",#N/A,FALSE,"synthese";"vue2",#N/A,FALSE,"synthese"}</definedName>
    <definedName name="____wrn3" hidden="1">{"vue1",#N/A,FALSE,"synthese";"vue2",#N/A,FALSE,"synthese"}</definedName>
    <definedName name="____ww2" hidden="1">{#N/A,#N/A,FALSE,"Admin";#N/A,#N/A,FALSE,"Other"}</definedName>
    <definedName name="____x1" hidden="1">{"detail",#N/A,FALSE,"mfg";"summary",#N/A,FALSE,"mfg"}</definedName>
    <definedName name="____x2" hidden="1">{#N/A,"PURCHM",FALSE,"Business Analysis";#N/A,"SPADD",FALSE,"Business Analysis"}</definedName>
    <definedName name="____x3" hidden="1">{"detail",#N/A,FALSE,"mfg";"summary",#N/A,FALSE,"mfg"}</definedName>
    <definedName name="____x4" hidden="1">{#N/A,"PURCHM",FALSE,"Business Analysis";#N/A,"SPADD",FALSE,"Business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G2" hidden="1">{#N/A,#N/A,FALSE,"단축1";#N/A,#N/A,FALSE,"단축2";#N/A,#N/A,FALSE,"단축3";#N/A,#N/A,FALSE,"장축";#N/A,#N/A,FALSE,"4WD"}</definedName>
    <definedName name="____xx10" hidden="1">{#N/A,"PURCHM",FALSE,"Business Analysis";#N/A,"SPADD",FALSE,"Business Analysis"}</definedName>
    <definedName name="____xx3" hidden="1">{"detail",#N/A,FALSE,"mfg";"summary",#N/A,FALSE,"mfg"}</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hidden="1">{"oct_res_comm",#N/A,FALSE,"VarToBud"}</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hidden="1">{"AS REP",#N/A,FALSE,"EEFSNAP2";"PROP",#N/A,FALSE,"EEFSNAP2";"RISKS",#N/A,FALSE,"EEFSNAP2";"VIEW ALL",#N/A,FALSE,"EEFSNAP2"}</definedName>
    <definedName name="____z" hidden="1">{"mgmt forecast",#N/A,FALSE,"Mgmt Forecast";"dcf table",#N/A,FALSE,"Mgmt Forecast";"sensitivity",#N/A,FALSE,"Mgmt Forecast";"table inputs",#N/A,FALSE,"Mgmt Forecast";"calculations",#N/A,FALSE,"Mgmt Forecast"}</definedName>
    <definedName name="____z12" hidden="1">{"pro_view",#N/A,FALSE,"EEFSNAP2";"rep_view",#N/A,FALSE,"EEFSNAP2"}</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hidden="1">{"detail",#N/A,FALSE,"mfg";"summary",#N/A,FALSE,"mfg"}</definedName>
    <definedName name="____zz1" hidden="1">{"pro_view",#N/A,FALSE,"EEFSNAP2";"rep_view",#N/A,FALSE,"EEFSNAP2"}</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a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___A11" hidden="1">{#N/A,#N/A,FALSE,"Umsatz 99";#N/A,#N/A,FALSE,"ER 99 "}</definedName>
    <definedName name="___a14" hidden="1">{"TAG1AGMS",#N/A,FALSE,"TAG 1A"}</definedName>
    <definedName name="___a15" hidden="1">{"weichwaren",#N/A,FALSE,"Liste 1";"hartwaren",#N/A,FALSE,"Liste 1";"food",#N/A,FALSE,"Liste 1";"fleisch",#N/A,FALSE,"Liste 1"}</definedName>
    <definedName name="___a16" hidden="1">{"weichwaren",#N/A,FALSE,"Liste 1";"hartwaren",#N/A,FALSE,"Liste 1";"food",#N/A,FALSE,"Liste 1";"fleisch",#N/A,FALSE,"Liste 1"}</definedName>
    <definedName name="___a17" hidden="1">{"TAG1AGMS",#N/A,FALSE,"TAG 1A"}</definedName>
    <definedName name="___a18" hidden="1">{"Tages_D",#N/A,FALSE,"Tagesbericht";"Tages_PL",#N/A,FALSE,"Tagesbericht"}</definedName>
    <definedName name="___a19" hidden="1">{"fleisch",#N/A,FALSE,"WG HK";"food",#N/A,FALSE,"WG HK";"hartwaren",#N/A,FALSE,"WG HK";"weichwaren",#N/A,FALSE,"WG HK"}</definedName>
    <definedName name="___a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__a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__a33" hidden="1">{"fleisch",#N/A,FALSE,"WG HK";"food",#N/A,FALSE,"WG HK";"hartwaren",#N/A,FALSE,"WG HK";"weichwaren",#N/A,FALSE,"WG HK"}</definedName>
    <definedName name="___a36" hidden="1">{"Accretion",#N/A,FALSE,"Assum"}</definedName>
    <definedName name="___a37" hidden="1">{#N/A,#N/A,TRUE,"Lines";#N/A,#N/A,TRUE,"Stations";#N/A,#N/A,TRUE,"Cap. Expenses";#N/A,#N/A,TRUE,"Land";#N/A,#N/A,TRUE,"Cen Proces Sys";#N/A,#N/A,TRUE,"telecom";#N/A,#N/A,TRUE,"Other"}</definedName>
    <definedName name="___a38" hidden="1">{"Assumptions",#N/A,FALSE,"Assum"}</definedName>
    <definedName name="___a39" hidden="1">{#N/A,#N/A,FALSE,"CAG"}</definedName>
    <definedName name="___a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__a40" hidden="1">{#N/A,#N/A,FALSE,"CPB"}</definedName>
    <definedName name="___a41" hidden="1">{#N/A,#N/A,FALSE,"Credit Summary"}</definedName>
    <definedName name="___a42" hidden="1">{"FCB_ALL",#N/A,FALSE,"FCB"}</definedName>
    <definedName name="___a43" hidden="1">{"FCB_ALL",#N/A,FALSE,"FCB"}</definedName>
    <definedName name="___a44"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___a45" hidden="1">{#N/A,#N/A,FALSE,"GIS"}</definedName>
    <definedName name="___a46" hidden="1">{#N/A,#N/A,TRUE,"Cover His PWC";#N/A,#N/A,TRUE,"P&amp;L";#N/A,#N/A,TRUE,"BS";#N/A,#N/A,TRUE,"Depreciation";#N/A,#N/A,TRUE,"GRAPHS";#N/A,#N/A,TRUE,"DCF EBITDA Multiple";#N/A,#N/A,TRUE,"DCF Perpetual Growth"}</definedName>
    <definedName name="___a47" hidden="1">{#N/A,#N/A,TRUE,"Cover His T";#N/A,#N/A,TRUE,"P&amp;L";#N/A,#N/A,TRUE,"BS";#N/A,#N/A,TRUE,"Depreciation";#N/A,#N/A,TRUE,"GRAPHS";#N/A,#N/A,TRUE,"DCF EBITDA Multiple";#N/A,#N/A,TRUE,"DCF Perpetual Growth"}</definedName>
    <definedName name="___a48" hidden="1">{#N/A,#N/A,FALSE,"HNZ"}</definedName>
    <definedName name="___a49"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___a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__a50" hidden="1">{#N/A,#N/A,FALSE,"K"}</definedName>
    <definedName name="___a5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___a52" hidden="1">{#N/A,#N/A,FALSE,"MCCRK"}</definedName>
    <definedName name="___a53" hidden="1">{#N/A,#N/A,FALSE,"NA"}</definedName>
    <definedName name="___a54" hidden="1">{"cap_structure",#N/A,FALSE,"Graph-Mkt Cap";"price",#N/A,FALSE,"Graph-Price";"ebit",#N/A,FALSE,"Graph-EBITDA";"ebitda",#N/A,FALSE,"Graph-EBITDA"}</definedName>
    <definedName name="___a55" hidden="1">{"Tages_D",#N/A,FALSE,"Tagesbericht";"Tages_PL",#N/A,FALSE,"Tagesbericht"}</definedName>
    <definedName name="___a56" hidden="1">{"summary1",#N/A,TRUE,"Comps";"summary2",#N/A,TRUE,"Comps";"summary3",#N/A,TRUE,"Comps"}</definedName>
    <definedName name="___a57" hidden="1">{"summary1",#N/A,TRUE,"Comps";"summary2",#N/A,TRUE,"Comps";"summary3",#N/A,TRUE,"Comps"}</definedName>
    <definedName name="___a58" hidden="1">{#N/A,"DR",FALSE,"increm pf";#N/A,"MAMSI",FALSE,"increm pf";#N/A,"MAXI",FALSE,"increm pf";#N/A,"PCAM",FALSE,"increm pf";#N/A,"PHSV",FALSE,"increm pf";#N/A,"SIE",FALSE,"increm pf"}</definedName>
    <definedName name="___a5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__a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___a60" hidden="1">{#N/A,#N/A,TRUE,"Cover Repl";#N/A,#N/A,TRUE,"P&amp;L";#N/A,#N/A,TRUE,"P&amp;L (2)";#N/A,#N/A,TRUE,"BS";#N/A,#N/A,TRUE,"Depreciation";#N/A,#N/A,TRUE,"GRAPHS";#N/A,#N/A,TRUE,"DCF EBITDA Multiple";#N/A,#N/A,TRUE,"DCF Perpetual Growth"}</definedName>
    <definedName name="___a61" hidden="1">{#N/A,#N/A,FALSE,"Trading Summary"}</definedName>
    <definedName name="___a63" hidden="1">{#N/A,#N/A,FALSE,"WWY"}</definedName>
    <definedName name="___a64" hidden="1">{TRUE,TRUE,-1.25,-15.5,604.5,369,FALSE,FALSE,TRUE,TRUE,0,1,83,1,38,4,5,4,TRUE,TRUE,3,TRUE,1,TRUE,75,"Swvu.inputs._.raw._.data.","ACwvu.inputs._.raw._.data.",#N/A,FALSE,FALSE,0.5,0.5,0.5,0.5,2,"&amp;F","&amp;A&amp;RPage &amp;P",FALSE,FALSE,FALSE,FALSE,1,60,#N/A,#N/A,"=R1C61:R53C89","=C1:C5",#N/A,#N/A,FALSE,FALSE,FALSE,1,600,600,FALSE,FALSE,TRUE,TRUE,TRUE}</definedName>
    <definedName name="___a6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___a66" hidden="1">{"TAG1AGMS",#N/A,FALSE,"TAG 1A"}</definedName>
    <definedName name="___a6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___a6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___a7"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__aa22" hidden="1">{"Tages_D",#N/A,FALSE,"Tagesbericht";"Tages_PL",#N/A,FALSE,"Tagesbericht"}</definedName>
    <definedName name="___aaa1" hidden="1">{#N/A,#N/A,FALSE,"Model";#N/A,#N/A,FALSE,"Division"}</definedName>
    <definedName name="___abc1" hidden="1">{"detail",#N/A,FALSE,"mfg";"summary",#N/A,FALSE,"mfg"}</definedName>
    <definedName name="___abc2" hidden="1">{"detail",#N/A,FALSE,"mfg";"summary",#N/A,FALSE,"mfg"}</definedName>
    <definedName name="___ae2" hidden="1">{"'Inventory &amp; Anal-Cur Wkbk'!$A$7:$AP$71"}</definedName>
    <definedName name="_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ALL6434" hidden="1">{"ALLOCATION1",#N/A,FALSE,"EXPENSE ALLOCATIONS";"ALLOCATION2",#N/A,FALSE,"EXPENSE ALLOCATIONS";"ALLOCATION3",#N/A,FALSE,"EXPENSE ALLOCATIONS";"ALLOCATION4",#N/A,FALSE,"EXPENSE ALLOCATIONS"}</definedName>
    <definedName name="___ASS6434"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_b18" hidden="1">{"Tages_D",#N/A,FALSE,"Tagesbericht";"Tages_PL",#N/A,FALSE,"Tagesbericht"}</definedName>
    <definedName name="___b19" hidden="1">{"Tages_D",#N/A,FALSE,"Tagesbericht";"Tages_PL",#N/A,FALSE,"Tagesbericht"}</definedName>
    <definedName name="_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_c" hidden="1">{#N/A,#N/A,FALSE,"Layout Cash Flow"}</definedName>
    <definedName name="___CAP10" hidden="1">{"LC",#N/A,FALSE,"FC-15 Cap Expend"}</definedName>
    <definedName name="___cum1" hidden="1">{"SCM_Detail",#N/A,FALSE,"SCM";"SCM_Top",#N/A,FALSE,"SCM"}</definedName>
    <definedName name="___DCF1" hidden="1">{#N/A,#N/A,FALSE,"DCF Summary";#N/A,#N/A,FALSE,"Casema";#N/A,#N/A,FALSE,"Casema NoTel";#N/A,#N/A,FALSE,"UK";#N/A,#N/A,FALSE,"RCF";#N/A,#N/A,FALSE,"Intercable CZ";#N/A,#N/A,FALSE,"Interkabel P"}</definedName>
    <definedName name="___DF4" hidden="1">#REF!</definedName>
    <definedName name="_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DP6434" hidden="1">{"TOTALDPAK",#N/A,FALSE,"DPAK PRODUCTION";"HADPAK",#N/A,FALSE,"DPAK PRODUCTION";"PSIDPAK",#N/A,FALSE,"DPAK PRODUCTION"}</definedName>
    <definedName name="___eo2" hidden="1">{"'B1'!$B$3:$E$3"}</definedName>
    <definedName name="___eo4" hidden="1">{"'B1'!$B$3:$E$3"}</definedName>
    <definedName name="___ew10" hidden="1">{"'B1'!$B$3:$E$3"}</definedName>
    <definedName name="___ew2" hidden="1">{"'B1'!$B$3:$E$3"}</definedName>
    <definedName name="___ew3" hidden="1">{"'B1'!$B$3:$E$3"}</definedName>
    <definedName name="___ew4" hidden="1">{"'B1'!$B$3:$E$3"}</definedName>
    <definedName name="___ew5" hidden="1">{"'B1'!$B$3:$E$3"}</definedName>
    <definedName name="___ew6" hidden="1">{"'B1'!$B$3:$E$3"}</definedName>
    <definedName name="___ew8" hidden="1">{"'B1'!$B$3:$E$3"}</definedName>
    <definedName name="_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_FA26434" hidden="1">{"TOTALFAB",#N/A,FALSE,"WAFER FAB 2 EXPENSE";"FABPRODUCTION",#N/A,FALSE,"WAFER FAB 2 EXPENSE";"FABENGINEERING",#N/A,FALSE,"WAFER FAB 2 EXPENSE";"FABEQUIPSUPPORT",#N/A,FALSE,"WAFER FAB 2 EXPENSE";"FABPRODUCTLINE",#N/A,FALSE,"WAFER FAB 2 EXPENSE";"FABMATERIALS",#N/A,FALSE,"WAFER FAB 2 EXPENSE"}</definedName>
    <definedName name="___FA96434" hidden="1">{"TOTALFAB",#N/A,FALSE,"WAFER FAB 2 EXPENSE";"FABPRODUCTION",#N/A,FALSE,"WAFER FAB 2 EXPENSE";"FABENGINEERING",#N/A,FALSE,"WAFER FAB 2 EXPENSE";"FABEQUIPSUPPORT",#N/A,FALSE,"WAFER FAB 2 EXPENSE";"FABPRODUCTLINE",#N/A,FALSE,"WAFER FAB 2 EXPENSE";"FABMATERIALS",#N/A,FALSE,"WAFER FAB 2 EXPENSE"}</definedName>
    <definedName name="___FAC6434" hidden="1">{"TOTAL",#N/A,FALSE,"FACILITIES EXPENSE";"TOTALDETAIL",#N/A,FALSE,"FACILITIES EXPENSE";"MATERIALS",#N/A,FALSE,"FACILITIES EXPENSE";"FACILITIES",#N/A,FALSE,"FACILITIES EXPENSE";"CHEM",#N/A,FALSE,"FACILITIES EXPENSE";"GENSVC",#N/A,FALSE,"FACILITIES EXPENSE";"SAFETY",#N/A,FALSE,"FACILITIES EXPENSE"}</definedName>
    <definedName name="___fy97" hidden="1">{#N/A,#N/A,FALSE,"FY97";#N/A,#N/A,FALSE,"FY98";#N/A,#N/A,FALSE,"FY99";#N/A,#N/A,FALSE,"FY00";#N/A,#N/A,FALSE,"FY01"}</definedName>
    <definedName name="___gh1" hidden="1">{"'Data'!$A$1:$D$17"}</definedName>
    <definedName name="___guv1" hidden="1">{"K GuV o. Kommentar",#N/A,FALSE,"Kaufhof"}</definedName>
    <definedName name="___guv3" hidden="1">{"K GuV o. Kommentar",#N/A,FALSE,"Kaufhof"}</definedName>
    <definedName name="___key3" hidden="1">#REF!</definedName>
    <definedName name="___LG2" hidden="1">{#N/A,#N/A,TRUE,"매출진척-1";#N/A,#N/A,TRUE,"매출진척-2";#N/A,#N/A,TRUE,"제품실적";#N/A,#N/A,TRUE,"RAC";#N/A,#N/A,TRUE,"PAC ";#N/A,#N/A,TRUE,"재고현황";#N/A,#N/A,TRUE,"공지사항"}</definedName>
    <definedName name="___mai99" hidden="1">{"en FRF",#N/A,FALSE,"fév99";"en €uros",#N/A,FALSE,"fév99"}</definedName>
    <definedName name="___mds_allowwriteback___">""</definedName>
    <definedName name="___mds_asyncwriteback___">FALSE</definedName>
    <definedName name="___mds_description___" hidden="1">"Demo Template"</definedName>
    <definedName name="___mds_first_cell___">#REF!</definedName>
    <definedName name="___mds_last_dataset_cell__">"593~5"</definedName>
    <definedName name="___mds_spreading___">FALSE</definedName>
    <definedName name="___mds_view_data___">#REF!</definedName>
    <definedName name="___na2" hidden="1">{"'SIVA Pricing Model'!$A$1:$F$39"}</definedName>
    <definedName name="___na3" hidden="1">{"'SIVA Pricing Model'!$A$1:$F$39"}</definedName>
    <definedName name="___New2" hidden="1">{"TOTAL",#N/A,FALSE,"A";"FISCAL94",#N/A,FALSE,"A";"FISCAL95",#N/A,FALSE,"A";"FISCAL96",#N/A,FALSE,"A";"misc page",#N/A,FALSE,"A"}</definedName>
    <definedName name="___new3" hidden="1">{"FY98Q1 nvs",#N/A,FALSE,"FY98 - Q1";"FY98Q2 nvs",#N/A,FALSE,"FY98 - Q2";"FY98Q3 nvs",#N/A,FALSE,"FY98 - Q3";"FY98Q4 nvs",#N/A,FALSE,"FY98 - Q4"}</definedName>
    <definedName name="___new4" hidden="1">{"INPUT",#N/A,FALSE,"REVENUE AND GM ";"CONTROL",#N/A,FALSE,"REVENUE AND GM ";"SWITCH",#N/A,FALSE,"REVENUE AND GM ";"OUTPUT",#N/A,FALSE,"REVENUE AND GM ";"TOTAL",#N/A,FALSE,"REVENUE AND GM "}</definedName>
    <definedName name="___new5" hidden="1">{"FY97Total",#N/A,FALSE,"FY97 - Total";"FY98Total",#N/A,FALSE,"FY98 - Total"}</definedName>
    <definedName name="___new6" hidden="1">{"FY97Q1",#N/A,FALSE,"FY97 - Q1";"FY97Q2",#N/A,FALSE,"FY97 - Q2";"FY97Q3",#N/A,FALSE,"FY97 - Q3";"FY97Q4",#N/A,FALSE,"FY97 - Q4"}</definedName>
    <definedName name="___o1" hidden="1">{#N/A,#N/A,FALSE,"SUMMARY";#N/A,#N/A,FALSE,"mcsh";#N/A,#N/A,FALSE,"vol&amp;rev";#N/A,#N/A,FALSE,"wkgcap";#N/A,#N/A,FALSE,"DEPR&amp;DT";#N/A,#N/A,FALSE,"ASSETS";#N/A,#N/A,FALSE,"NI&amp;OTH&amp;DIV";#N/A,#N/A,FALSE,"CASHFLOW";#N/A,#N/A,FALSE,"CAPEMPL";#N/A,#N/A,FALSE,"ROCE"}</definedName>
    <definedName name="___OSX2" hidden="1">{"Area1",#N/A,FALSE,"OREWACC";"Area2",#N/A,FALSE,"OREWACC"}</definedName>
    <definedName name="___P2" hidden="1">{#N/A,#N/A,FALSE,"단축1";#N/A,#N/A,FALSE,"단축2";#N/A,#N/A,FALSE,"단축3";#N/A,#N/A,FALSE,"장축";#N/A,#N/A,FALSE,"4WD"}</definedName>
    <definedName name="___q3" hidden="1">#REF!</definedName>
    <definedName name="___QR6434" hidden="1">{"QAEXPENSE",#N/A,FALSE,"QUALITY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_r" hidden="1">{"consolidated",#N/A,FALSE,"Sheet1";"cms",#N/A,FALSE,"Sheet1";"fse",#N/A,FALSE,"Sheet1"}</definedName>
    <definedName name="___s" hidden="1">{"CONS12",#N/A,FALSE,"1996BSCH";"DOM12",#N/A,FALSE,"1996BSCH";"CAN12",#N/A,FALSE,"1996BSCH";"DDODC12",#N/A,FALSE,"1996BSCH";"DDE12",#N/A,FALSE,"1996BSCH";"DDOC12",#N/A,FALSE,"1996BSCH";"ELIM6MO",#N/A,FALSE,"1996BSCH";"other12",#N/A,FALSE,"1996BSCH";"var12",#N/A,FALSE,"1996BSCH"}</definedName>
    <definedName name="___SDW1" hidden="1">#REF!</definedName>
    <definedName name="___t1" hidden="1">{#N/A,#N/A,FALSE,"1996PL";#N/A,#N/A,FALSE,"1997PL";#N/A,#N/A,FALSE,"1998PL";#N/A,#N/A,FALSE,"1999PL"}</definedName>
    <definedName name="___T2" hidden="1">{#N/A,#N/A,FALSE,"단축1";#N/A,#N/A,FALSE,"단축2";#N/A,#N/A,FALSE,"단축3";#N/A,#N/A,FALSE,"장축";#N/A,#N/A,FALSE,"4WD"}</definedName>
    <definedName name="___T3" hidden="1">{#N/A,#N/A,FALSE,"단축1";#N/A,#N/A,FALSE,"단축2";#N/A,#N/A,FALSE,"단축3";#N/A,#N/A,FALSE,"장축";#N/A,#N/A,FALSE,"4WD"}</definedName>
    <definedName name="___T5" hidden="1">{#N/A,#N/A,FALSE,"단축1";#N/A,#N/A,FALSE,"단축2";#N/A,#N/A,FALSE,"단축3";#N/A,#N/A,FALSE,"장축";#N/A,#N/A,FALSE,"4WD"}</definedName>
    <definedName name="___TEM6434" hidden="1">{"ALLOCATION1",#N/A,FALSE,"EXPENSE ALLOCATIONS";"ALLOCATION2",#N/A,FALSE,"EXPENSE ALLOCATIONS";"ALLOCATION3",#N/A,FALSE,"EXPENSE ALLOCATIONS";"ALLOCATION4",#N/A,FALSE,"EXPENSE ALLOCATIONS"}</definedName>
    <definedName name="___Tes6" hidden="1">{"'SIVA Pricing Model'!$A$1:$F$39"}</definedName>
    <definedName name="___u18" hidden="1">{"Tages_D",#N/A,FALSE,"Tagesbericht";"Tages_PL",#N/A,FALSE,"Tagesbericht"}</definedName>
    <definedName name="___u20" hidden="1">{"fleisch",#N/A,FALSE,"WG HK";"food",#N/A,FALSE,"WG HK";"hartwaren",#N/A,FALSE,"WG HK";"weichwaren",#N/A,FALSE,"WG HK"}</definedName>
    <definedName name="___wrn1" hidden="1">{#N/A,#N/A,FALSE,"DCF";#N/A,#N/A,FALSE,"WACC";#N/A,#N/A,FALSE,"Sales_EBIT";#N/A,#N/A,FALSE,"Capex_Depreciation";#N/A,#N/A,FALSE,"WC";#N/A,#N/A,FALSE,"Interest";#N/A,#N/A,FALSE,"Assumptions"}</definedName>
    <definedName name="___ww2" hidden="1">{#N/A,#N/A,FALSE,"Admin";#N/A,#N/A,FALSE,"Other"}</definedName>
    <definedName name="___XG2" hidden="1">{#N/A,#N/A,FALSE,"단축1";#N/A,#N/A,FALSE,"단축2";#N/A,#N/A,FALSE,"단축3";#N/A,#N/A,FALSE,"장축";#N/A,#N/A,FALSE,"4WD"}</definedName>
    <definedName name="___z" hidden="1">{"mgmt forecast",#N/A,FALSE,"Mgmt Forecast";"dcf table",#N/A,FALSE,"Mgmt Forecast";"sensitivity",#N/A,FALSE,"Mgmt Forecast";"table inputs",#N/A,FALSE,"Mgmt Forecast";"calculations",#N/A,FALSE,"Mgmt Forecast"}</definedName>
    <definedName name="___z12" hidden="1">{"pro_view",#N/A,FALSE,"EEFSNAP2";"rep_view",#N/A,FALSE,"EEFSNAP2"}</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hidden="1">{"detail",#N/A,FALSE,"mfg";"summary",#N/A,FALSE,"mfg"}</definedName>
    <definedName name="__1__123Graph_ACHART_1" hidden="1">#REF!</definedName>
    <definedName name="__10__123Graph_CCHART_3" hidden="1">#REF!</definedName>
    <definedName name="__11__123Graph_CCHART_8" hidden="1">#REF!</definedName>
    <definedName name="__12__123Graph_DCHART_1" hidden="1">#REF!</definedName>
    <definedName name="__123Graph_A" hidden="1">#REF!</definedName>
    <definedName name="__123Graph_AANNUAL" hidden="1">#REF!</definedName>
    <definedName name="__123Graph_ABEEFINDEXES" hidden="1">#REF!</definedName>
    <definedName name="__123Graph_ACOMP" hidden="1">#REF!</definedName>
    <definedName name="__123Graph_ACurrent" hidden="1">#REF!</definedName>
    <definedName name="__123Graph_AGRAPH" hidden="1">#REF!</definedName>
    <definedName name="__123Graph_AGRAPH1" localSheetId="54" hidden="1">'[1]Piper Heidsieck'!#REF!</definedName>
    <definedName name="__123Graph_AGRAPH1" localSheetId="55" hidden="1">'[1]Piper Heidsieck'!#REF!</definedName>
    <definedName name="__123Graph_AGraph1" hidden="1">#REF!</definedName>
    <definedName name="__123Graph_AGraph10" hidden="1">#REF!</definedName>
    <definedName name="__123Graph_AGraph11" hidden="1">#REF!</definedName>
    <definedName name="__123Graph_AGRAPH3" localSheetId="54" hidden="1">'[1]Piper Heidsieck'!#REF!</definedName>
    <definedName name="__123Graph_AGRAPH3" localSheetId="55" hidden="1">'[1]Piper Heidsieck'!#REF!</definedName>
    <definedName name="__123Graph_AGraph3" hidden="1">#REF!</definedName>
    <definedName name="__123Graph_AGRAPH4" localSheetId="55" hidden="1">'[1]Piper Heidsieck'!#REF!</definedName>
    <definedName name="__123Graph_AGRAPH4" hidden="1">'[1]Piper Heidsieck'!#REF!</definedName>
    <definedName name="__123Graph_AGraph5" hidden="1">#REF!</definedName>
    <definedName name="__123Graph_AGraph6" hidden="1">#REF!</definedName>
    <definedName name="__123Graph_AGraph7" hidden="1">#REF!</definedName>
    <definedName name="__123Graph_AGraph8" hidden="1">#REF!</definedName>
    <definedName name="__123Graph_AGRPH_EXPIRE" hidden="1">#REF!</definedName>
    <definedName name="__123Graph_AHISTORY" hidden="1">#REF!</definedName>
    <definedName name="__123Graph_AKNS" hidden="1">#REF!</definedName>
    <definedName name="__123Graph_AKVS" hidden="1">#REF!</definedName>
    <definedName name="__123Graph_AMEATEXP" hidden="1">#REF!</definedName>
    <definedName name="__123Graph_APREZZI1" hidden="1">#REF!</definedName>
    <definedName name="__123Graph_APREZZI1A" hidden="1">#REF!</definedName>
    <definedName name="__123Graph_APREZZI2" hidden="1">#REF!</definedName>
    <definedName name="__123Graph_APREZZI2A" hidden="1">#REF!</definedName>
    <definedName name="__123Graph_APREZZI3" hidden="1">#REF!</definedName>
    <definedName name="__123Graph_APREZZI3A" hidden="1">#REF!</definedName>
    <definedName name="__123Graph_APREZZI4" hidden="1">#REF!</definedName>
    <definedName name="__123Graph_APREZZI4A" hidden="1">#REF!</definedName>
    <definedName name="__123Graph_APREZZI5" hidden="1">#REF!</definedName>
    <definedName name="__123Graph_APREZZI5A" hidden="1">#REF!</definedName>
    <definedName name="__123Graph_APREZZI6" hidden="1">#REF!</definedName>
    <definedName name="__123Graph_APREZZI6A" hidden="1">#REF!</definedName>
    <definedName name="__123Graph_APREZZI7" hidden="1">#REF!</definedName>
    <definedName name="__123Graph_APREZZI7A" hidden="1">#REF!</definedName>
    <definedName name="__123Graph_APROCEEDS" hidden="1">#REF!</definedName>
    <definedName name="__123Graph_ASALEPIE" hidden="1">#REF!</definedName>
    <definedName name="__123Graph_ASALESTREND" hidden="1">#REF!</definedName>
    <definedName name="__123Graph_ATURKNR" hidden="1">#REF!</definedName>
    <definedName name="__123Graph_AUNIT" hidden="1">#REF!</definedName>
    <definedName name="__123Graph_A収益" hidden="1">#REF!</definedName>
    <definedName name="__123Graph_B" hidden="1">#REF!</definedName>
    <definedName name="__123Graph_BBEEFINDEXES" hidden="1">#REF!</definedName>
    <definedName name="__123Graph_BBEEFNR" hidden="1">#REF!</definedName>
    <definedName name="__123Graph_BCOMP" hidden="1">#REF!</definedName>
    <definedName name="__123Graph_BCurrent" hidden="1">#REF!</definedName>
    <definedName name="__123Graph_BFUEL" hidden="1">#REF!</definedName>
    <definedName name="__123Graph_BGRAPH" hidden="1">#REF!</definedName>
    <definedName name="__123Graph_BGRAPH1" localSheetId="55" hidden="1">'[1]Piper Heidsieck'!#REF!</definedName>
    <definedName name="__123Graph_BGRAPH1" hidden="1">'[1]Piper Heidsieck'!#REF!</definedName>
    <definedName name="__123Graph_BGRAPH3" localSheetId="55" hidden="1">'[1]Piper Heidsieck'!#REF!</definedName>
    <definedName name="__123Graph_BGRAPH3" hidden="1">'[1]Piper Heidsieck'!#REF!</definedName>
    <definedName name="__123Graph_BGRAPH4" hidden="1">'[1]Piper Heidsieck'!#REF!</definedName>
    <definedName name="__123Graph_BGraph8" hidden="1">#REF!</definedName>
    <definedName name="__123Graph_BMEATEXP" hidden="1">#REF!</definedName>
    <definedName name="__123Graph_BPORKNR" hidden="1">#REF!</definedName>
    <definedName name="__123Graph_BPROCEEDS" hidden="1">#REF!</definedName>
    <definedName name="__123Graph_BTURKNR" hidden="1">#REF!</definedName>
    <definedName name="__123Graph_BUNIT" hidden="1">#REF!</definedName>
    <definedName name="__123Graph_B収益" hidden="1">#REF!</definedName>
    <definedName name="__123Graph_C" hidden="1">#REF!</definedName>
    <definedName name="__123Graph_CCOMP" hidden="1">#REF!</definedName>
    <definedName name="__123Graph_CCurrent" hidden="1">#REF!</definedName>
    <definedName name="__123Graph_CGRAPH3" hidden="1">'[1]Piper Heidsieck'!#REF!</definedName>
    <definedName name="__123Graph_CGRAPH4" hidden="1">'[1]Piper Heidsieck'!#REF!</definedName>
    <definedName name="__123Graph_CGraph8" hidden="1">#REF!</definedName>
    <definedName name="__123Graph_CPROCEEDS" hidden="1">#REF!</definedName>
    <definedName name="__123Graph_D" hidden="1">#REF!</definedName>
    <definedName name="__123Graph_DCOMP" hidden="1">#REF!</definedName>
    <definedName name="__123Graph_DCurrent" hidden="1">#REF!</definedName>
    <definedName name="__123Graph_DGRAPH4" hidden="1">'[1]Piper Heidsieck'!#REF!</definedName>
    <definedName name="__123Graph_DGraph8" hidden="1">#REF!</definedName>
    <definedName name="__123Graph_E" hidden="1">#REF!</definedName>
    <definedName name="__123Graph_ECOMP" hidden="1">#REF!</definedName>
    <definedName name="__123Graph_ECurrent" hidden="1">#REF!</definedName>
    <definedName name="__123Graph_EGRAPH4" hidden="1">'[1]Piper Heidsieck'!#REF!</definedName>
    <definedName name="__123Graph_F" hidden="1">#REF!</definedName>
    <definedName name="__123Graph_FGRAPH4" hidden="1">'[1]Piper Heidsieck'!#REF!</definedName>
    <definedName name="__123Graph_FMEATEXP" hidden="1">#REF!</definedName>
    <definedName name="__123Graph_LBL_A" hidden="1">#REF!</definedName>
    <definedName name="__123Graph_LBL_ACOMP" hidden="1">#REF!</definedName>
    <definedName name="__123Graph_LBL_AGRAPH1" localSheetId="54" hidden="1">'[1]Piper Heidsieck'!#REF!</definedName>
    <definedName name="__123Graph_LBL_AGRAPH1" localSheetId="55" hidden="1">'[1]Piper Heidsieck'!#REF!</definedName>
    <definedName name="__123Graph_LBL_AGraph1" hidden="1">#REF!</definedName>
    <definedName name="__123Graph_LBL_AGRAPH3" hidden="1">'[1]Piper Heidsieck'!#REF!</definedName>
    <definedName name="__123Graph_LBL_AGRAPH4" hidden="1">'[1]Piper Heidsieck'!#REF!</definedName>
    <definedName name="__123Graph_LBL_AHISTORY" hidden="1">#REF!</definedName>
    <definedName name="__123Graph_LBL_ASALESTREND" hidden="1">#REF!</definedName>
    <definedName name="__123Graph_LBL_B" hidden="1">#REF!</definedName>
    <definedName name="__123Graph_LBL_BCOMP" hidden="1">#REF!</definedName>
    <definedName name="__123Graph_LBL_BGRAPH1" localSheetId="54" hidden="1">'[1]Piper Heidsieck'!#REF!</definedName>
    <definedName name="__123Graph_LBL_BGRAPH1" localSheetId="55" hidden="1">'[1]Piper Heidsieck'!#REF!</definedName>
    <definedName name="__123Graph_LBL_BGraph1" hidden="1">#REF!</definedName>
    <definedName name="__123Graph_LBL_BGRAPH3" hidden="1">'[1]Piper Heidsieck'!#REF!</definedName>
    <definedName name="__123Graph_LBL_BGRAPH4" hidden="1">'[1]Piper Heidsieck'!#REF!</definedName>
    <definedName name="__123Graph_LBL_C" hidden="1">#N/A</definedName>
    <definedName name="__123Graph_LBL_CCOMP" hidden="1">#REF!</definedName>
    <definedName name="__123Graph_LBL_CGRAPH3" hidden="1">'[1]Piper Heidsieck'!#REF!</definedName>
    <definedName name="__123Graph_LBL_CGRAPH4" hidden="1">'[1]Piper Heidsieck'!#REF!</definedName>
    <definedName name="__123Graph_LBL_D" hidden="1">#N/A</definedName>
    <definedName name="__123Graph_LBL_DCOMP" hidden="1">#REF!</definedName>
    <definedName name="__123Graph_LBL_DGRAPH4" hidden="1">'[1]Piper Heidsieck'!#REF!</definedName>
    <definedName name="__123Graph_LBL_ECOMP" hidden="1">#REF!</definedName>
    <definedName name="__123Graph_LBL_EGRAPH4" hidden="1">'[1]Piper Heidsieck'!#REF!</definedName>
    <definedName name="__123Graph_LBL_FGRAPH4" hidden="1">'[1]Piper Heidsieck'!#REF!</definedName>
    <definedName name="__123Graph_X" hidden="1">#REF!</definedName>
    <definedName name="__123Graph_XANNUAL" hidden="1">#REF!</definedName>
    <definedName name="__123Graph_XBEEFBROIL" hidden="1">#REF!</definedName>
    <definedName name="__123Graph_XBEEFINDEXES" hidden="1">#REF!</definedName>
    <definedName name="__123Graph_XCOMP" hidden="1">#REF!</definedName>
    <definedName name="__123Graph_XCPIS" hidden="1">#REF!</definedName>
    <definedName name="__123Graph_XCPISSHORT" hidden="1">#REF!</definedName>
    <definedName name="__123Graph_XCurrent" hidden="1">#REF!</definedName>
    <definedName name="__123Graph_XGRAPH" hidden="1">#REF!</definedName>
    <definedName name="__123Graph_XGraph11" hidden="1">#REF!</definedName>
    <definedName name="__123Graph_XGraph3" hidden="1">#REF!</definedName>
    <definedName name="__123Graph_XGRAPH4" hidden="1">'[1]Piper Heidsieck'!#REF!</definedName>
    <definedName name="__123Graph_XGraph5" hidden="1">#REF!</definedName>
    <definedName name="__123Graph_XGRPH_EXPIRE" hidden="1">#REF!</definedName>
    <definedName name="__123Graph_XHISTORY" hidden="1">#REF!</definedName>
    <definedName name="__123Graph_XKNS" hidden="1">#REF!</definedName>
    <definedName name="__123Graph_XKVS" hidden="1">#REF!</definedName>
    <definedName name="__123Graph_XMEATEXP" hidden="1">#REF!</definedName>
    <definedName name="__123Graph_XPORKBROIL" hidden="1">#REF!</definedName>
    <definedName name="__123Graph_XPREZZI1" hidden="1">#REF!</definedName>
    <definedName name="__123Graph_XPREZZI1A" hidden="1">#REF!</definedName>
    <definedName name="__123Graph_XPREZZI2" hidden="1">#REF!</definedName>
    <definedName name="__123Graph_XPREZZI2A" hidden="1">#REF!</definedName>
    <definedName name="__123Graph_XPREZZI3" hidden="1">#REF!</definedName>
    <definedName name="__123Graph_XPREZZI3A" hidden="1">#REF!</definedName>
    <definedName name="__123Graph_XPREZZI4" hidden="1">#REF!</definedName>
    <definedName name="__123Graph_XPREZZI4A" hidden="1">#REF!</definedName>
    <definedName name="__123Graph_XPREZZI5" hidden="1">#REF!</definedName>
    <definedName name="__123Graph_XPREZZI5A" hidden="1">#REF!</definedName>
    <definedName name="__123Graph_XPREZZI6" hidden="1">#REF!</definedName>
    <definedName name="__123Graph_XPREZZI6A" hidden="1">#REF!</definedName>
    <definedName name="__123Graph_XPREZZI7" hidden="1">#REF!</definedName>
    <definedName name="__123Graph_XPREZZI7A" hidden="1">#REF!</definedName>
    <definedName name="__123Graph_XPROCEEDS" hidden="1">#REF!</definedName>
    <definedName name="__123Graph_XSALEPIE" hidden="1">#REF!</definedName>
    <definedName name="__123Graph_XSALESTREND" hidden="1">#REF!</definedName>
    <definedName name="__123Graph_XTURKNR" hidden="1">#REF!</definedName>
    <definedName name="__123Graph_XUNIT" hidden="1">#REF!</definedName>
    <definedName name="__123Graph_X収益" hidden="1">#REF!</definedName>
    <definedName name="__13__123Graph_DCHART_8" hidden="1">#REF!</definedName>
    <definedName name="__14__123Graph_LBL_ACHART_3" hidden="1">#REF!</definedName>
    <definedName name="__15__123Graph_LBL_ACHART_4" hidden="1">#REF!</definedName>
    <definedName name="__16__123Graph_LBL_BCHART_3" hidden="1">#REF!</definedName>
    <definedName name="__17__123Graph_LBL_BCHART_4" hidden="1">#REF!</definedName>
    <definedName name="__18__123Graph_LBL_CCHART_3" hidden="1">#REF!</definedName>
    <definedName name="__19__123Graph_XCHART_1" hidden="1">#REF!</definedName>
    <definedName name="__2__123Graph_ACHART_3" hidden="1">#REF!</definedName>
    <definedName name="__20__123Graph_XCHART_3" hidden="1">#REF!</definedName>
    <definedName name="__21__123Graph_XCHART_4" hidden="1">#REF!</definedName>
    <definedName name="__22__123Graph_XCHART_8" hidden="1">#REF!</definedName>
    <definedName name="__3__123Graph_ACHART_4" hidden="1">#REF!</definedName>
    <definedName name="__4__123Graph_ACHART_8" hidden="1">#REF!</definedName>
    <definedName name="__4_123Grap" hidden="1">#REF!</definedName>
    <definedName name="__5__123Graph_BCHART_1" hidden="1">#REF!</definedName>
    <definedName name="__6__123Graph_BCHART_3" hidden="1">#REF!</definedName>
    <definedName name="__7__123Graph_BCHART_4" hidden="1">#REF!</definedName>
    <definedName name="__8__123Graph_BCHART_8" hidden="1">#REF!</definedName>
    <definedName name="__9__123Graph_CCHART_1" hidden="1">#REF!</definedName>
    <definedName name="__a1" hidden="1">{#N/A,#N/A,FALSE,"Pharm";#N/A,#N/A,FALSE,"WWCM"}</definedName>
    <definedName name="__A11" hidden="1">{#N/A,#N/A,FALSE,"Umsatz 99";#N/A,#N/A,FALSE,"ER 99 "}</definedName>
    <definedName name="__a14" hidden="1">{"TAG1AGMS",#N/A,FALSE,"TAG 1A"}</definedName>
    <definedName name="__a15" hidden="1">{"weichwaren",#N/A,FALSE,"Liste 1";"hartwaren",#N/A,FALSE,"Liste 1";"food",#N/A,FALSE,"Liste 1";"fleisch",#N/A,FALSE,"Liste 1"}</definedName>
    <definedName name="__a16" hidden="1">{"weichwaren",#N/A,FALSE,"Liste 1";"hartwaren",#N/A,FALSE,"Liste 1";"food",#N/A,FALSE,"Liste 1";"fleisch",#N/A,FALSE,"Liste 1"}</definedName>
    <definedName name="__a17" hidden="1">{"TAG1AGMS",#N/A,FALSE,"TAG 1A"}</definedName>
    <definedName name="__a18" hidden="1">{"Tages_D",#N/A,FALSE,"Tagesbericht";"Tages_PL",#N/A,FALSE,"Tagesbericht"}</definedName>
    <definedName name="__a19" hidden="1">{"fleisch",#N/A,FALSE,"WG HK";"food",#N/A,FALSE,"WG HK";"hartwaren",#N/A,FALSE,"WG HK";"weichwaren",#N/A,FALSE,"WG HK"}</definedName>
    <definedName name="__a2" hidden="1">#REF!</definedName>
    <definedName name="__a3" hidden="1">#REF!</definedName>
    <definedName name="__a33" hidden="1">{"fleisch",#N/A,FALSE,"WG HK";"food",#N/A,FALSE,"WG HK";"hartwaren",#N/A,FALSE,"WG HK";"weichwaren",#N/A,FALSE,"WG HK"}</definedName>
    <definedName name="_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5" hidden="1">{"andy_p",#N/A,FALSE,"A";"andy_s",#N/A,FALSE,"A"}</definedName>
    <definedName name="__a55" hidden="1">{"Tages_D",#N/A,FALSE,"Tagesbericht";"Tages_PL",#N/A,FALSE,"Tagesbericht"}</definedName>
    <definedName name="_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6" hidden="1">{"TAG1AGMS",#N/A,FALSE,"TAG 1A"}</definedName>
    <definedName name="_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9" hidden="1">{"SUMM",#N/A,TRUE,"C";"ACT_PROD",#N/A,TRUE,"A";"ACT_SHIP",#N/A,TRUE,"A";"BP_YLD",#N/A,TRUE,"B";"ACTZ_PROD",#N/A,TRUE,"D";"ACTZ_SHIP",#N/A,TRUE,"D";"ACTZ_YLD",#N/A,TRUE,"E";"CPSI_PROD",#N/A,TRUE,"F";"CPSI_SHIP",#N/A,TRUE,"F"}</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2" hidden="1">{#N/A,#N/A,FALSE,"Hip.Bas";#N/A,#N/A,FALSE,"ventas";#N/A,#N/A,FALSE,"ingre-Año";#N/A,#N/A,FALSE,"ventas-Año";#N/A,#N/A,FALSE,"Costepro";#N/A,#N/A,FALSE,"inversion";#N/A,#N/A,FALSE,"personal";#N/A,#N/A,FALSE,"Gastos-V";#N/A,#N/A,FALSE,"Circulante";#N/A,#N/A,FALSE,"CONSOLI";#N/A,#N/A,FALSE,"Es-Fin";#N/A,#N/A,FALSE,"Margen-P"}</definedName>
    <definedName name="__aa22" hidden="1">{"Tages_D",#N/A,FALSE,"Tagesbericht";"Tages_PL",#N/A,FALSE,"Tagesbericht"}</definedName>
    <definedName name="__aa3" hidden="1">{#N/A,#N/A,FALSE,"Hip.Bas";#N/A,#N/A,FALSE,"ventas";#N/A,#N/A,FALSE,"ingre-Año";#N/A,#N/A,FALSE,"ventas-Año";#N/A,#N/A,FALSE,"Costepro";#N/A,#N/A,FALSE,"inversion";#N/A,#N/A,FALSE,"personal";#N/A,#N/A,FALSE,"Gastos-V";#N/A,#N/A,FALSE,"Circulante";#N/A,#N/A,FALSE,"CONSOLI";#N/A,#N/A,FALSE,"Es-Fin";#N/A,#N/A,FALSE,"Margen-P"}</definedName>
    <definedName name="__aaa1" hidden="1">{#N/A,#N/A,FALSE,"Model";#N/A,#N/A,FALSE,"Division"}</definedName>
    <definedName name="__aas1" hidden="1">{#N/A,#N/A,FALSE,"REPORT"}</definedName>
    <definedName name="__abc1" hidden="1">{"detail",#N/A,FALSE,"mfg";"summary",#N/A,FALSE,"mfg"}</definedName>
    <definedName name="__abc2" hidden="1">{"detail",#N/A,FALSE,"mfg";"summary",#N/A,FALSE,"mfg"}</definedName>
    <definedName name="__abc3" hidden="1">{"detail",#N/A,FALSE,"mfg";"summary",#N/A,FALSE,"mfg"}</definedName>
    <definedName name="__ACS2000" hidden="1">{#N/A,#N/A,FALSE,"REPORT"}</definedName>
    <definedName name="__ae2" hidden="1">{"'Inventory &amp; Anal-Cur Wkbk'!$A$7:$AP$71"}</definedName>
    <definedName name="_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ALL6434" hidden="1">{"ALLOCATION1",#N/A,FALSE,"EXPENSE ALLOCATIONS";"ALLOCATION2",#N/A,FALSE,"EXPENSE ALLOCATIONS";"ALLOCATION3",#N/A,FALSE,"EXPENSE ALLOCATIONS";"ALLOCATION4",#N/A,FALSE,"EXPENSE ALLOCATIONS"}</definedName>
    <definedName name="__ap2" hidden="1">{"detail",#N/A,FALSE,"mfg";"summary",#N/A,FALSE,"mfg"}</definedName>
    <definedName name="__APW_RESTORE_DATA0__" hidden="1">#REF!</definedName>
    <definedName name="__APW_RESTORE_DATA1__" hidden="1">#REF!</definedName>
    <definedName name="__APW_RESTORE_DATA10__" hidden="1">#REF!</definedName>
    <definedName name="__APW_RESTORE_DATA100__" hidden="1">#REF!,#REF!</definedName>
    <definedName name="__APW_RESTORE_DATA1000__" hidden="1">#REF!,#REF!,#REF!,#REF!,#REF!,#REF!,#REF!,#REF!,#REF!,#REF!,#REF!,#REF!,#REF!,#REF!,#REF!</definedName>
    <definedName name="__APW_RESTORE_DATA1001__" hidden="1">#REF!,#REF!,#REF!,#REF!,#REF!,#REF!,#REF!,#REF!,#REF!,#REF!,#REF!,#REF!,#REF!,#REF!,#REF!</definedName>
    <definedName name="__APW_RESTORE_DATA1002__" hidden="1">#REF!,#REF!,#REF!,#REF!,#REF!,#REF!,#REF!,#REF!,#REF!,#REF!,#REF!,#REF!,#REF!,#REF!,#REF!</definedName>
    <definedName name="__APW_RESTORE_DATA1003__" hidden="1">#REF!,#REF!,#REF!,#REF!,#REF!,#REF!,#REF!,#REF!,#REF!,#REF!,#REF!,#REF!,#REF!,#REF!,#REF!</definedName>
    <definedName name="__APW_RESTORE_DATA1004__" hidden="1">#REF!,#REF!,#REF!,#REF!,#REF!,#REF!</definedName>
    <definedName name="__APW_RESTORE_DATA1005__" hidden="1">#REF!</definedName>
    <definedName name="__APW_RESTORE_DATA1006__" hidden="1">#REF!</definedName>
    <definedName name="__APW_RESTORE_DATA1008__" hidden="1">#REF!</definedName>
    <definedName name="__APW_RESTORE_DATA1009__" hidden="1">#REF!,#REF!,#REF!,#REF!,#REF!,#REF!,#REF!,#REF!,#REF!,#REF!,#REF!,#REF!,#REF!,#REF!,#REF!,#REF!</definedName>
    <definedName name="__APW_RESTORE_DATA101__" hidden="1">#REF!,#REF!,#REF!,#REF!,#REF!,#REF!,#REF!,#REF!,#REF!,#REF!,#REF!,#REF!,#REF!,#REF!,#REF!</definedName>
    <definedName name="__APW_RESTORE_DATA1010__" hidden="1">#REF!,#REF!,#REF!,#REF!,#REF!,#REF!,#REF!,#REF!,#REF!,#REF!,#REF!,#REF!,#REF!,#REF!,#REF!,#REF!</definedName>
    <definedName name="__APW_RESTORE_DATA1011__" hidden="1">#REF!,#REF!,#REF!,#REF!,#REF!,#REF!,#REF!,#REF!,#REF!,#REF!,#REF!,#REF!,#REF!,#REF!,#REF!,#REF!</definedName>
    <definedName name="__APW_RESTORE_DATA1012__" hidden="1">#REF!,#REF!,#REF!,#REF!,#REF!,#REF!,#REF!,#REF!,#REF!,#REF!,#REF!,#REF!,#REF!,#REF!,#REF!,#REF!</definedName>
    <definedName name="__APW_RESTORE_DATA1013__" hidden="1">#REF!,#REF!,#REF!,#REF!,#REF!,#REF!,#REF!,#REF!,#REF!,#REF!,#REF!,#REF!,#REF!,#REF!,#REF!,#REF!</definedName>
    <definedName name="__APW_RESTORE_DATA1014__" hidden="1">#REF!,#REF!,#REF!,#REF!,#REF!,#REF!,#REF!,#REF!,#REF!,#REF!,#REF!,#REF!,#REF!,#REF!,#REF!,#REF!</definedName>
    <definedName name="__APW_RESTORE_DATA1015__" hidden="1">#REF!,#REF!,#REF!,#REF!,#REF!,#REF!,#REF!,#REF!,#REF!,#REF!,#REF!,#REF!,#REF!,#REF!,#REF!</definedName>
    <definedName name="__APW_RESTORE_DATA1016__" hidden="1">#REF!,#REF!,#REF!,#REF!,#REF!,#REF!,#REF!,#REF!,#REF!,#REF!,#REF!,#REF!,#REF!,#REF!,#REF!</definedName>
    <definedName name="__APW_RESTORE_DATA1017__" hidden="1">#REF!,#REF!,#REF!,#REF!,#REF!,#REF!,#REF!,#REF!,#REF!,#REF!,#REF!,#REF!,#REF!,#REF!,#REF!</definedName>
    <definedName name="__APW_RESTORE_DATA1018__" hidden="1">#REF!,#REF!,#REF!,#REF!,#REF!,#REF!,#REF!,#REF!,#REF!,#REF!,#REF!,#REF!,#REF!,#REF!,#REF!</definedName>
    <definedName name="__APW_RESTORE_DATA1019__" hidden="1">#REF!,#REF!,#REF!,#REF!,#REF!,#REF!,#REF!,#REF!,#REF!,#REF!,#REF!,#REF!,#REF!,#REF!,#REF!</definedName>
    <definedName name="__APW_RESTORE_DATA102__" hidden="1">#REF!,#REF!,#REF!,#REF!,#REF!,#REF!,#REF!,#REF!,#REF!,#REF!,#REF!,#REF!,#REF!,#REF!,#REF!</definedName>
    <definedName name="__APW_RESTORE_DATA1020__" hidden="1">#REF!,#REF!,#REF!,#REF!,#REF!,#REF!,#REF!,#REF!,#REF!,#REF!,#REF!,#REF!,#REF!,#REF!,#REF!</definedName>
    <definedName name="__APW_RESTORE_DATA1021__" hidden="1">#REF!,#REF!,#REF!,#REF!,#REF!,#REF!,#REF!,#REF!,#REF!,#REF!,#REF!,#REF!,#REF!,#REF!,#REF!</definedName>
    <definedName name="__APW_RESTORE_DATA1022__" hidden="1">#REF!,#REF!,#REF!,#REF!,#REF!,#REF!,#REF!,#REF!,#REF!,#REF!,#REF!,#REF!,#REF!,#REF!,#REF!</definedName>
    <definedName name="__APW_RESTORE_DATA1023__" hidden="1">#REF!,#REF!,#REF!,#REF!,#REF!,#REF!,#REF!,#REF!,#REF!,#REF!,#REF!,#REF!,#REF!,#REF!,#REF!</definedName>
    <definedName name="__APW_RESTORE_DATA1024__" hidden="1">#REF!,#REF!,#REF!,#REF!,#REF!,#REF!,#REF!,#REF!,#REF!,#REF!,#REF!,#REF!,#REF!,#REF!,#REF!</definedName>
    <definedName name="__APW_RESTORE_DATA1025__" hidden="1">#REF!,#REF!,#REF!,#REF!,#REF!,#REF!,#REF!,#REF!,#REF!,#REF!,#REF!,#REF!,#REF!,#REF!,#REF!</definedName>
    <definedName name="__APW_RESTORE_DATA1026__" hidden="1">#REF!,#REF!,#REF!,#REF!,#REF!,#REF!,#REF!,#REF!,#REF!,#REF!,#REF!,#REF!,#REF!,#REF!,#REF!</definedName>
    <definedName name="__APW_RESTORE_DATA1027__" hidden="1">#REF!,#REF!,#REF!,#REF!,#REF!,#REF!,#REF!,#REF!,#REF!,#REF!,#REF!,#REF!,#REF!,#REF!,#REF!</definedName>
    <definedName name="__APW_RESTORE_DATA1028__" hidden="1">#REF!,#REF!,#REF!,#REF!,#REF!,#REF!,#REF!,#REF!,#REF!,#REF!,#REF!,#REF!,#REF!,#REF!,#REF!</definedName>
    <definedName name="__APW_RESTORE_DATA1029__" hidden="1">#REF!,#REF!,#REF!,#REF!,#REF!,#REF!,#REF!,#REF!,#REF!,#REF!,#REF!,#REF!,#REF!,#REF!,#REF!</definedName>
    <definedName name="__APW_RESTORE_DATA103__" hidden="1">#REF!,#REF!,#REF!,#REF!,#REF!,#REF!,#REF!,#REF!,#REF!,#REF!,#REF!,#REF!,#REF!,#REF!,#REF!</definedName>
    <definedName name="__APW_RESTORE_DATA1030__" hidden="1">#REF!,#REF!,#REF!,#REF!,#REF!,#REF!,#REF!,#REF!,#REF!,#REF!,#REF!,#REF!,#REF!,#REF!,#REF!</definedName>
    <definedName name="__APW_RESTORE_DATA1031__" hidden="1">#REF!,#REF!,#REF!,#REF!,#REF!,#REF!,#REF!,#REF!,#REF!,#REF!,#REF!,#REF!,#REF!,#REF!,#REF!</definedName>
    <definedName name="__APW_RESTORE_DATA1032__" hidden="1">#REF!,#REF!,#REF!,#REF!,#REF!,#REF!,#REF!,#REF!,#REF!,#REF!,#REF!,#REF!,#REF!,#REF!,#REF!</definedName>
    <definedName name="__APW_RESTORE_DATA1033__" hidden="1">#REF!,#REF!,#REF!,#REF!,#REF!,#REF!,#REF!,#REF!,#REF!,#REF!,#REF!,#REF!,#REF!,#REF!,#REF!</definedName>
    <definedName name="__APW_RESTORE_DATA1034__" hidden="1">#REF!,#REF!,#REF!,#REF!,#REF!,#REF!,#REF!,#REF!,#REF!,#REF!,#REF!,#REF!,#REF!,#REF!,#REF!</definedName>
    <definedName name="__APW_RESTORE_DATA1035__" hidden="1">#REF!,#REF!,#REF!,#REF!,#REF!,#REF!,#REF!,#REF!,#REF!,#REF!,#REF!,#REF!,#REF!,#REF!,#REF!</definedName>
    <definedName name="__APW_RESTORE_DATA1036__" hidden="1">#REF!,#REF!,#REF!,#REF!,#REF!,#REF!,#REF!,#REF!,#REF!,#REF!,#REF!,#REF!,#REF!,#REF!,#REF!</definedName>
    <definedName name="__APW_RESTORE_DATA1037__" hidden="1">#REF!,#REF!,#REF!,#REF!,#REF!,#REF!,#REF!,#REF!,#REF!,#REF!,#REF!,#REF!,#REF!,#REF!,#REF!</definedName>
    <definedName name="__APW_RESTORE_DATA1038__" hidden="1">#REF!,#REF!,#REF!,#REF!,#REF!,#REF!,#REF!,#REF!,#REF!,#REF!,#REF!,#REF!,#REF!,#REF!,#REF!</definedName>
    <definedName name="__APW_RESTORE_DATA1039__" hidden="1">#REF!,#REF!,#REF!,#REF!,#REF!,#REF!,#REF!,#REF!,#REF!,#REF!,#REF!,#REF!,#REF!,#REF!,#REF!</definedName>
    <definedName name="__APW_RESTORE_DATA104__" hidden="1">#REF!,#REF!,#REF!,#REF!,#REF!,#REF!,#REF!,#REF!,#REF!,#REF!,#REF!,#REF!,#REF!,#REF!,#REF!</definedName>
    <definedName name="__APW_RESTORE_DATA1040__" hidden="1">#REF!,#REF!,#REF!,#REF!,#REF!,#REF!,#REF!,#REF!,#REF!,#REF!,#REF!,#REF!,#REF!,#REF!,#REF!</definedName>
    <definedName name="__APW_RESTORE_DATA1041__" hidden="1">#REF!,#REF!,#REF!,#REF!,#REF!,#REF!,#REF!,#REF!,#REF!,#REF!,#REF!,#REF!,#REF!,#REF!,#REF!</definedName>
    <definedName name="__APW_RESTORE_DATA1042__" hidden="1">#REF!,#REF!,#REF!,#REF!,#REF!,#REF!,#REF!,#REF!,#REF!,#REF!,#REF!,#REF!,#REF!,#REF!,#REF!</definedName>
    <definedName name="__APW_RESTORE_DATA1043__" hidden="1">#REF!,#REF!,#REF!,#REF!,#REF!,#REF!</definedName>
    <definedName name="__APW_RESTORE_DATA1044__" hidden="1">#REF!,#REF!,#REF!,#REF!,#REF!,#REF!,#REF!,#REF!,#REF!,#REF!,#REF!,#REF!,#REF!,#REF!,#REF!,#REF!</definedName>
    <definedName name="__APW_RESTORE_DATA1045__" hidden="1">#REF!,#REF!,#REF!,#REF!,#REF!,#REF!,#REF!,#REF!,#REF!,#REF!,#REF!,#REF!,#REF!,#REF!,#REF!,#REF!</definedName>
    <definedName name="__APW_RESTORE_DATA1046__" hidden="1">#REF!,#REF!,#REF!,#REF!,#REF!,#REF!,#REF!,#REF!,#REF!,#REF!,#REF!,#REF!,#REF!,#REF!,#REF!,#REF!</definedName>
    <definedName name="__APW_RESTORE_DATA1047__" hidden="1">#REF!,#REF!,#REF!,#REF!,#REF!,#REF!,#REF!,#REF!,#REF!,#REF!,#REF!,#REF!,#REF!,#REF!,#REF!,#REF!</definedName>
    <definedName name="__APW_RESTORE_DATA1048__" hidden="1">#REF!,#REF!,#REF!,#REF!,#REF!,#REF!,#REF!,#REF!,#REF!,#REF!,#REF!,#REF!,#REF!,#REF!,#REF!,#REF!</definedName>
    <definedName name="__APW_RESTORE_DATA1049__" hidden="1">#REF!,#REF!,#REF!,#REF!,#REF!,#REF!,#REF!,#REF!,#REF!,#REF!,#REF!,#REF!,#REF!,#REF!,#REF!,#REF!</definedName>
    <definedName name="__APW_RESTORE_DATA105__" hidden="1">#REF!,#REF!,#REF!,#REF!,#REF!,#REF!,#REF!,#REF!,#REF!,#REF!,#REF!,#REF!,#REF!,#REF!,#REF!</definedName>
    <definedName name="__APW_RESTORE_DATA1050__" hidden="1">#REF!,#REF!,#REF!,#REF!,#REF!,#REF!,#REF!,#REF!,#REF!,#REF!,#REF!,#REF!,#REF!,#REF!,#REF!</definedName>
    <definedName name="__APW_RESTORE_DATA1051__" hidden="1">#REF!,#REF!,#REF!,#REF!,#REF!,#REF!,#REF!,#REF!,#REF!,#REF!,#REF!,#REF!,#REF!,#REF!,#REF!</definedName>
    <definedName name="__APW_RESTORE_DATA1052__" hidden="1">#REF!,#REF!,#REF!,#REF!,#REF!,#REF!,#REF!,#REF!,#REF!,#REF!,#REF!,#REF!,#REF!,#REF!,#REF!</definedName>
    <definedName name="__APW_RESTORE_DATA1053__" hidden="1">#REF!,#REF!,#REF!,#REF!,#REF!,#REF!,#REF!,#REF!,#REF!,#REF!,#REF!,#REF!,#REF!,#REF!,#REF!</definedName>
    <definedName name="__APW_RESTORE_DATA1054__" hidden="1">#REF!,#REF!,#REF!,#REF!,#REF!,#REF!,#REF!,#REF!,#REF!,#REF!,#REF!,#REF!,#REF!,#REF!,#REF!</definedName>
    <definedName name="__APW_RESTORE_DATA1055__" hidden="1">#REF!,#REF!,#REF!,#REF!,#REF!,#REF!,#REF!,#REF!,#REF!,#REF!,#REF!,#REF!,#REF!,#REF!,#REF!</definedName>
    <definedName name="__APW_RESTORE_DATA1056__" hidden="1">#REF!,#REF!,#REF!,#REF!,#REF!,#REF!,#REF!,#REF!,#REF!,#REF!,#REF!,#REF!,#REF!,#REF!,#REF!</definedName>
    <definedName name="__APW_RESTORE_DATA1057__" hidden="1">#REF!,#REF!,#REF!,#REF!,#REF!,#REF!,#REF!,#REF!,#REF!,#REF!,#REF!,#REF!,#REF!,#REF!,#REF!</definedName>
    <definedName name="__APW_RESTORE_DATA1058__" hidden="1">#REF!,#REF!,#REF!,#REF!,#REF!,#REF!,#REF!,#REF!,#REF!,#REF!,#REF!,#REF!,#REF!,#REF!,#REF!</definedName>
    <definedName name="__APW_RESTORE_DATA1059__" hidden="1">#REF!,#REF!,#REF!,#REF!,#REF!,#REF!,#REF!,#REF!,#REF!,#REF!,#REF!,#REF!,#REF!,#REF!,#REF!</definedName>
    <definedName name="__APW_RESTORE_DATA106__" hidden="1">#REF!,#REF!,#REF!,#REF!,#REF!,#REF!,#REF!,#REF!,#REF!,#REF!,#REF!,#REF!,#REF!,#REF!,#REF!</definedName>
    <definedName name="__APW_RESTORE_DATA1060__" hidden="1">#REF!,#REF!,#REF!,#REF!,#REF!,#REF!,#REF!,#REF!,#REF!,#REF!,#REF!,#REF!,#REF!,#REF!,#REF!</definedName>
    <definedName name="__APW_RESTORE_DATA1061__" hidden="1">#REF!,#REF!,#REF!,#REF!,#REF!,#REF!,#REF!,#REF!,#REF!,#REF!,#REF!,#REF!,#REF!,#REF!,#REF!</definedName>
    <definedName name="__APW_RESTORE_DATA1062__" hidden="1">#REF!,#REF!,#REF!,#REF!,#REF!,#REF!,#REF!,#REF!,#REF!,#REF!,#REF!,#REF!,#REF!,#REF!,#REF!</definedName>
    <definedName name="__APW_RESTORE_DATA1063__" hidden="1">#REF!,#REF!,#REF!,#REF!,#REF!,#REF!,#REF!,#REF!,#REF!,#REF!,#REF!,#REF!,#REF!,#REF!,#REF!</definedName>
    <definedName name="__APW_RESTORE_DATA1064__" hidden="1">#REF!,#REF!,#REF!,#REF!,#REF!,#REF!,#REF!,#REF!,#REF!,#REF!,#REF!,#REF!,#REF!,#REF!,#REF!</definedName>
    <definedName name="__APW_RESTORE_DATA1065__" hidden="1">#REF!,#REF!,#REF!,#REF!,#REF!,#REF!,#REF!,#REF!,#REF!,#REF!,#REF!,#REF!,#REF!,#REF!,#REF!</definedName>
    <definedName name="__APW_RESTORE_DATA1066__" hidden="1">#REF!,#REF!,#REF!,#REF!,#REF!,#REF!,#REF!,#REF!,#REF!,#REF!,#REF!,#REF!,#REF!,#REF!,#REF!</definedName>
    <definedName name="__APW_RESTORE_DATA1067__" hidden="1">#REF!,#REF!,#REF!,#REF!,#REF!,#REF!,#REF!,#REF!,#REF!,#REF!,#REF!,#REF!,#REF!,#REF!,#REF!</definedName>
    <definedName name="__APW_RESTORE_DATA1068__" hidden="1">#REF!,#REF!,#REF!,#REF!,#REF!,#REF!,#REF!,#REF!,#REF!,#REF!,#REF!,#REF!,#REF!,#REF!,#REF!</definedName>
    <definedName name="__APW_RESTORE_DATA1069__" hidden="1">#REF!,#REF!,#REF!,#REF!,#REF!,#REF!,#REF!,#REF!,#REF!,#REF!,#REF!,#REF!,#REF!,#REF!,#REF!</definedName>
    <definedName name="__APW_RESTORE_DATA107__" hidden="1">#REF!,#REF!,#REF!,#REF!,#REF!,#REF!,#REF!,#REF!,#REF!,#REF!,#REF!,#REF!,#REF!,#REF!,#REF!</definedName>
    <definedName name="__APW_RESTORE_DATA1070__" hidden="1">#REF!,#REF!,#REF!,#REF!,#REF!,#REF!,#REF!,#REF!,#REF!,#REF!,#REF!,#REF!,#REF!,#REF!,#REF!</definedName>
    <definedName name="__APW_RESTORE_DATA1071__" hidden="1">#REF!,#REF!,#REF!,#REF!,#REF!,#REF!,#REF!,#REF!,#REF!,#REF!,#REF!,#REF!,#REF!,#REF!,#REF!</definedName>
    <definedName name="__APW_RESTORE_DATA1072__" hidden="1">#REF!,#REF!,#REF!,#REF!,#REF!,#REF!,#REF!,#REF!,#REF!,#REF!,#REF!,#REF!,#REF!,#REF!,#REF!</definedName>
    <definedName name="__APW_RESTORE_DATA1073__" hidden="1">#REF!,#REF!,#REF!,#REF!,#REF!,#REF!,#REF!,#REF!,#REF!,#REF!,#REF!,#REF!,#REF!,#REF!,#REF!</definedName>
    <definedName name="__APW_RESTORE_DATA1074__" hidden="1">#REF!,#REF!,#REF!,#REF!,#REF!,#REF!,#REF!,#REF!,#REF!,#REF!,#REF!,#REF!,#REF!,#REF!,#REF!</definedName>
    <definedName name="__APW_RESTORE_DATA1075__" hidden="1">#REF!,#REF!,#REF!,#REF!,#REF!,#REF!,#REF!,#REF!,#REF!,#REF!,#REF!,#REF!,#REF!,#REF!,#REF!</definedName>
    <definedName name="__APW_RESTORE_DATA1076__" hidden="1">#REF!,#REF!,#REF!,#REF!,#REF!,#REF!,#REF!,#REF!,#REF!,#REF!,#REF!,#REF!,#REF!,#REF!,#REF!</definedName>
    <definedName name="__APW_RESTORE_DATA1077__" hidden="1">#REF!,#REF!,#REF!,#REF!,#REF!,#REF!,#REF!,#REF!,#REF!,#REF!,#REF!,#REF!,#REF!,#REF!,#REF!</definedName>
    <definedName name="__APW_RESTORE_DATA1078__" hidden="1">#REF!,#REF!,#REF!,#REF!,#REF!,#REF!</definedName>
    <definedName name="__APW_RESTORE_DATA1079__" hidden="1">#REF!,#REF!,#REF!,#REF!,#REF!,#REF!,#REF!,#REF!,#REF!,#REF!,#REF!,#REF!,#REF!,#REF!,#REF!,#REF!</definedName>
    <definedName name="__APW_RESTORE_DATA108__" hidden="1">#REF!,#REF!,#REF!,#REF!,#REF!,#REF!,#REF!,#REF!,#REF!,#REF!,#REF!,#REF!,#REF!,#REF!,#REF!</definedName>
    <definedName name="__APW_RESTORE_DATA1080__" hidden="1">#REF!,#REF!,#REF!,#REF!,#REF!,#REF!,#REF!,#REF!,#REF!,#REF!,#REF!,#REF!,#REF!,#REF!,#REF!,#REF!</definedName>
    <definedName name="__APW_RESTORE_DATA1081__" hidden="1">#REF!,#REF!,#REF!,#REF!,#REF!,#REF!,#REF!,#REF!,#REF!,#REF!,#REF!,#REF!,#REF!,#REF!,#REF!,#REF!</definedName>
    <definedName name="__APW_RESTORE_DATA1082__" hidden="1">#REF!,#REF!,#REF!,#REF!,#REF!,#REF!,#REF!,#REF!,#REF!,#REF!,#REF!,#REF!,#REF!,#REF!,#REF!,#REF!</definedName>
    <definedName name="__APW_RESTORE_DATA1083__" hidden="1">#REF!,#REF!,#REF!,#REF!,#REF!,#REF!,#REF!,#REF!,#REF!,#REF!,#REF!,#REF!,#REF!,#REF!,#REF!,#REF!</definedName>
    <definedName name="__APW_RESTORE_DATA1084__" hidden="1">#REF!,#REF!,#REF!,#REF!,#REF!,#REF!,#REF!,#REF!,#REF!,#REF!,#REF!,#REF!,#REF!,#REF!,#REF!,#REF!</definedName>
    <definedName name="__APW_RESTORE_DATA1085__" hidden="1">#REF!,#REF!,#REF!,#REF!,#REF!,#REF!,#REF!,#REF!,#REF!,#REF!,#REF!,#REF!,#REF!,#REF!,#REF!</definedName>
    <definedName name="__APW_RESTORE_DATA1086__" hidden="1">#REF!,#REF!,#REF!,#REF!,#REF!,#REF!,#REF!,#REF!,#REF!,#REF!,#REF!,#REF!,#REF!,#REF!,#REF!</definedName>
    <definedName name="__APW_RESTORE_DATA1087__" hidden="1">#REF!,#REF!,#REF!,#REF!,#REF!,#REF!,#REF!,#REF!,#REF!,#REF!,#REF!,#REF!,#REF!,#REF!,#REF!</definedName>
    <definedName name="__APW_RESTORE_DATA1088__" hidden="1">#REF!,#REF!,#REF!,#REF!,#REF!,#REF!,#REF!,#REF!,#REF!,#REF!,#REF!,#REF!,#REF!,#REF!,#REF!</definedName>
    <definedName name="__APW_RESTORE_DATA1089__" hidden="1">#REF!,#REF!,#REF!,#REF!,#REF!,#REF!,#REF!,#REF!,#REF!,#REF!,#REF!,#REF!,#REF!,#REF!,#REF!</definedName>
    <definedName name="__APW_RESTORE_DATA109__" hidden="1">#REF!,#REF!,#REF!,#REF!,#REF!,#REF!,#REF!</definedName>
    <definedName name="__APW_RESTORE_DATA1090__" hidden="1">#REF!,#REF!,#REF!,#REF!,#REF!,#REF!,#REF!,#REF!,#REF!,#REF!,#REF!,#REF!,#REF!,#REF!,#REF!</definedName>
    <definedName name="__APW_RESTORE_DATA1091__" hidden="1">#REF!,#REF!,#REF!,#REF!,#REF!,#REF!,#REF!,#REF!,#REF!,#REF!,#REF!,#REF!,#REF!,#REF!,#REF!</definedName>
    <definedName name="__APW_RESTORE_DATA1092__" hidden="1">#REF!,#REF!,#REF!,#REF!,#REF!,#REF!,#REF!,#REF!,#REF!,#REF!,#REF!,#REF!,#REF!,#REF!,#REF!</definedName>
    <definedName name="__APW_RESTORE_DATA1093__" hidden="1">#REF!,#REF!,#REF!,#REF!,#REF!,#REF!,#REF!,#REF!,#REF!,#REF!,#REF!,#REF!,#REF!,#REF!,#REF!</definedName>
    <definedName name="__APW_RESTORE_DATA1094__" hidden="1">#REF!,#REF!,#REF!,#REF!,#REF!,#REF!,#REF!,#REF!,#REF!,#REF!,#REF!,#REF!,#REF!,#REF!,#REF!</definedName>
    <definedName name="__APW_RESTORE_DATA1095__" hidden="1">#REF!,#REF!,#REF!,#REF!,#REF!,#REF!,#REF!,#REF!,#REF!,#REF!,#REF!,#REF!,#REF!,#REF!,#REF!</definedName>
    <definedName name="__APW_RESTORE_DATA1096__" hidden="1">#REF!,#REF!,#REF!,#REF!,#REF!,#REF!,#REF!,#REF!,#REF!,#REF!,#REF!,#REF!,#REF!,#REF!,#REF!</definedName>
    <definedName name="__APW_RESTORE_DATA1097__" hidden="1">#REF!,#REF!,#REF!,#REF!,#REF!,#REF!,#REF!,#REF!,#REF!,#REF!,#REF!,#REF!,#REF!,#REF!,#REF!</definedName>
    <definedName name="__APW_RESTORE_DATA1098__" hidden="1">#REF!,#REF!,#REF!,#REF!,#REF!,#REF!,#REF!,#REF!,#REF!,#REF!,#REF!,#REF!,#REF!,#REF!,#REF!</definedName>
    <definedName name="__APW_RESTORE_DATA1099__" hidden="1">#REF!,#REF!,#REF!,#REF!,#REF!,#REF!,#REF!,#REF!,#REF!,#REF!,#REF!,#REF!,#REF!,#REF!,#REF!</definedName>
    <definedName name="__APW_RESTORE_DATA11__" hidden="1">#REF!</definedName>
    <definedName name="__APW_RESTORE_DATA110__" hidden="1">#REF!,#REF!,#REF!,#REF!,#REF!,#REF!,#REF!,#REF!,#REF!,#REF!,#REF!,#REF!,#REF!,#REF!,#REF!,#REF!</definedName>
    <definedName name="__APW_RESTORE_DATA1100__" hidden="1">#REF!,#REF!,#REF!,#REF!,#REF!,#REF!,#REF!,#REF!,#REF!,#REF!,#REF!,#REF!,#REF!,#REF!,#REF!</definedName>
    <definedName name="__APW_RESTORE_DATA1101__" hidden="1">#REF!,#REF!,#REF!,#REF!,#REF!,#REF!,#REF!,#REF!,#REF!,#REF!,#REF!,#REF!,#REF!,#REF!,#REF!</definedName>
    <definedName name="__APW_RESTORE_DATA1102__" hidden="1">#REF!,#REF!,#REF!,#REF!,#REF!,#REF!,#REF!,#REF!,#REF!,#REF!,#REF!,#REF!,#REF!,#REF!,#REF!</definedName>
    <definedName name="__APW_RESTORE_DATA1103__" hidden="1">#REF!,#REF!,#REF!,#REF!,#REF!,#REF!,#REF!,#REF!,#REF!,#REF!,#REF!,#REF!,#REF!,#REF!,#REF!</definedName>
    <definedName name="__APW_RESTORE_DATA1104__" hidden="1">#REF!,#REF!,#REF!,#REF!,#REF!,#REF!,#REF!,#REF!,#REF!,#REF!,#REF!,#REF!,#REF!,#REF!,#REF!</definedName>
    <definedName name="__APW_RESTORE_DATA1105__" hidden="1">#REF!,#REF!,#REF!,#REF!,#REF!,#REF!,#REF!,#REF!,#REF!,#REF!,#REF!,#REF!,#REF!,#REF!,#REF!</definedName>
    <definedName name="__APW_RESTORE_DATA1106__" hidden="1">#REF!,#REF!,#REF!,#REF!,#REF!,#REF!,#REF!,#REF!,#REF!,#REF!,#REF!,#REF!,#REF!,#REF!,#REF!</definedName>
    <definedName name="__APW_RESTORE_DATA1107__" hidden="1">#REF!,#REF!,#REF!,#REF!,#REF!,#REF!,#REF!,#REF!,#REF!,#REF!,#REF!,#REF!,#REF!,#REF!,#REF!</definedName>
    <definedName name="__APW_RESTORE_DATA1108__" hidden="1">#REF!,#REF!,#REF!,#REF!,#REF!,#REF!,#REF!,#REF!,#REF!,#REF!,#REF!,#REF!,#REF!,#REF!,#REF!</definedName>
    <definedName name="__APW_RESTORE_DATA1109__" hidden="1">#REF!,#REF!,#REF!,#REF!,#REF!,#REF!,#REF!,#REF!,#REF!,#REF!,#REF!,#REF!,#REF!,#REF!,#REF!</definedName>
    <definedName name="__APW_RESTORE_DATA111__" hidden="1">#REF!,#REF!,#REF!,#REF!,#REF!,#REF!,#REF!,#REF!,#REF!,#REF!,#REF!,#REF!,#REF!,#REF!,#REF!,#REF!</definedName>
    <definedName name="__APW_RESTORE_DATA1110__" hidden="1">#REF!,#REF!,#REF!,#REF!,#REF!,#REF!,#REF!,#REF!,#REF!,#REF!,#REF!,#REF!,#REF!,#REF!,#REF!</definedName>
    <definedName name="__APW_RESTORE_DATA1111__" hidden="1">#REF!,#REF!,#REF!,#REF!,#REF!,#REF!,#REF!,#REF!,#REF!,#REF!,#REF!,#REF!,#REF!,#REF!,#REF!</definedName>
    <definedName name="__APW_RESTORE_DATA1112__" hidden="1">#REF!,#REF!,#REF!,#REF!,#REF!,#REF!,#REF!,#REF!,#REF!,#REF!,#REF!,#REF!,#REF!,#REF!,#REF!</definedName>
    <definedName name="__APW_RESTORE_DATA1113__" hidden="1">#REF!,#REF!,#REF!,#REF!,#REF!,#REF!</definedName>
    <definedName name="__APW_RESTORE_DATA1114__" hidden="1">#REF!,#REF!,#REF!,#REF!,#REF!,#REF!,#REF!,#REF!,#REF!,#REF!,#REF!,#REF!,#REF!,#REF!,#REF!,#REF!</definedName>
    <definedName name="__APW_RESTORE_DATA1115__" hidden="1">#REF!,#REF!,#REF!,#REF!,#REF!,#REF!,#REF!,#REF!,#REF!,#REF!,#REF!,#REF!,#REF!,#REF!,#REF!,#REF!</definedName>
    <definedName name="__APW_RESTORE_DATA1116__" hidden="1">#REF!,#REF!,#REF!,#REF!,#REF!,#REF!,#REF!,#REF!,#REF!,#REF!,#REF!,#REF!,#REF!,#REF!,#REF!,#REF!</definedName>
    <definedName name="__APW_RESTORE_DATA1117__" hidden="1">#REF!,#REF!,#REF!,#REF!,#REF!,#REF!,#REF!,#REF!,#REF!,#REF!,#REF!,#REF!,#REF!,#REF!,#REF!,#REF!</definedName>
    <definedName name="__APW_RESTORE_DATA1118__" hidden="1">#REF!,#REF!,#REF!,#REF!,#REF!,#REF!,#REF!,#REF!,#REF!,#REF!,#REF!,#REF!,#REF!,#REF!,#REF!,#REF!</definedName>
    <definedName name="__APW_RESTORE_DATA1119__" hidden="1">#REF!,#REF!,#REF!,#REF!,#REF!,#REF!,#REF!,#REF!,#REF!,#REF!,#REF!,#REF!,#REF!,#REF!,#REF!,#REF!</definedName>
    <definedName name="__APW_RESTORE_DATA112__" hidden="1">#REF!,#REF!,#REF!,#REF!,#REF!,#REF!,#REF!,#REF!,#REF!,#REF!,#REF!,#REF!,#REF!,#REF!,#REF!,#REF!</definedName>
    <definedName name="__APW_RESTORE_DATA1120__" hidden="1">#REF!,#REF!,#REF!,#REF!,#REF!,#REF!,#REF!,#REF!,#REF!,#REF!,#REF!,#REF!,#REF!,#REF!,#REF!</definedName>
    <definedName name="__APW_RESTORE_DATA1121__" hidden="1">#REF!,#REF!,#REF!,#REF!,#REF!,#REF!,#REF!,#REF!,#REF!,#REF!,#REF!,#REF!,#REF!,#REF!,#REF!</definedName>
    <definedName name="__APW_RESTORE_DATA1122__" hidden="1">#REF!,#REF!,#REF!,#REF!,#REF!,#REF!,#REF!,#REF!,#REF!,#REF!,#REF!,#REF!,#REF!,#REF!,#REF!</definedName>
    <definedName name="__APW_RESTORE_DATA1123__" hidden="1">#REF!,#REF!,#REF!,#REF!,#REF!,#REF!,#REF!,#REF!,#REF!,#REF!,#REF!,#REF!,#REF!,#REF!,#REF!</definedName>
    <definedName name="__APW_RESTORE_DATA1124__" hidden="1">#REF!,#REF!,#REF!,#REF!,#REF!,#REF!,#REF!,#REF!,#REF!,#REF!,#REF!,#REF!,#REF!,#REF!,#REF!</definedName>
    <definedName name="__APW_RESTORE_DATA1125__" hidden="1">#REF!,#REF!,#REF!,#REF!,#REF!,#REF!,#REF!,#REF!,#REF!,#REF!,#REF!,#REF!,#REF!,#REF!,#REF!</definedName>
    <definedName name="__APW_RESTORE_DATA1126__" hidden="1">#REF!,#REF!,#REF!,#REF!,#REF!,#REF!,#REF!,#REF!,#REF!,#REF!,#REF!,#REF!,#REF!,#REF!,#REF!</definedName>
    <definedName name="__APW_RESTORE_DATA1127__" hidden="1">#REF!,#REF!,#REF!,#REF!,#REF!,#REF!,#REF!,#REF!,#REF!,#REF!,#REF!,#REF!,#REF!,#REF!,#REF!</definedName>
    <definedName name="__APW_RESTORE_DATA1128__" hidden="1">#REF!,#REF!,#REF!,#REF!,#REF!,#REF!,#REF!,#REF!,#REF!,#REF!,#REF!,#REF!,#REF!,#REF!,#REF!</definedName>
    <definedName name="__APW_RESTORE_DATA1129__" hidden="1">#REF!,#REF!,#REF!,#REF!,#REF!,#REF!,#REF!,#REF!,#REF!,#REF!,#REF!,#REF!,#REF!,#REF!,#REF!</definedName>
    <definedName name="__APW_RESTORE_DATA113__" hidden="1">#REF!,#REF!,#REF!,#REF!,#REF!,#REF!,#REF!,#REF!,#REF!,#REF!,#REF!,#REF!,#REF!,#REF!,#REF!,#REF!</definedName>
    <definedName name="__APW_RESTORE_DATA1130__" hidden="1">#REF!,#REF!,#REF!,#REF!,#REF!,#REF!,#REF!,#REF!,#REF!,#REF!,#REF!,#REF!,#REF!,#REF!,#REF!</definedName>
    <definedName name="__APW_RESTORE_DATA1131__" hidden="1">#REF!,#REF!,#REF!,#REF!,#REF!,#REF!,#REF!,#REF!,#REF!,#REF!,#REF!,#REF!,#REF!,#REF!,#REF!</definedName>
    <definedName name="__APW_RESTORE_DATA1132__" hidden="1">#REF!,#REF!,#REF!,#REF!,#REF!,#REF!,#REF!,#REF!,#REF!,#REF!,#REF!,#REF!,#REF!,#REF!,#REF!</definedName>
    <definedName name="__APW_RESTORE_DATA1133__" hidden="1">#REF!,#REF!,#REF!,#REF!,#REF!,#REF!,#REF!,#REF!,#REF!,#REF!,#REF!,#REF!,#REF!,#REF!,#REF!</definedName>
    <definedName name="__APW_RESTORE_DATA1134__" hidden="1">#REF!,#REF!,#REF!,#REF!,#REF!,#REF!,#REF!,#REF!,#REF!,#REF!,#REF!,#REF!,#REF!,#REF!,#REF!</definedName>
    <definedName name="__APW_RESTORE_DATA1135__" hidden="1">#REF!,#REF!,#REF!,#REF!,#REF!,#REF!,#REF!,#REF!,#REF!,#REF!,#REF!,#REF!,#REF!,#REF!,#REF!</definedName>
    <definedName name="__APW_RESTORE_DATA1136__" hidden="1">#REF!,#REF!,#REF!,#REF!,#REF!,#REF!,#REF!,#REF!,#REF!,#REF!,#REF!,#REF!,#REF!,#REF!,#REF!</definedName>
    <definedName name="__APW_RESTORE_DATA1137__" hidden="1">#REF!,#REF!,#REF!,#REF!,#REF!,#REF!,#REF!,#REF!,#REF!,#REF!,#REF!,#REF!,#REF!,#REF!,#REF!</definedName>
    <definedName name="__APW_RESTORE_DATA1138__" hidden="1">#REF!,#REF!,#REF!,#REF!,#REF!,#REF!,#REF!,#REF!,#REF!,#REF!,#REF!,#REF!,#REF!,#REF!,#REF!</definedName>
    <definedName name="__APW_RESTORE_DATA1139__" hidden="1">#REF!,#REF!,#REF!,#REF!,#REF!,#REF!,#REF!,#REF!,#REF!,#REF!,#REF!,#REF!,#REF!,#REF!,#REF!</definedName>
    <definedName name="__APW_RESTORE_DATA114__" hidden="1">#REF!,#REF!,#REF!,#REF!,#REF!,#REF!,#REF!,#REF!,#REF!,#REF!,#REF!,#REF!,#REF!,#REF!,#REF!,#REF!</definedName>
    <definedName name="__APW_RESTORE_DATA1140__" hidden="1">#REF!,#REF!,#REF!,#REF!,#REF!,#REF!,#REF!,#REF!,#REF!,#REF!,#REF!,#REF!,#REF!,#REF!,#REF!</definedName>
    <definedName name="__APW_RESTORE_DATA1141__" hidden="1">#REF!,#REF!,#REF!,#REF!,#REF!,#REF!,#REF!,#REF!,#REF!,#REF!,#REF!,#REF!,#REF!,#REF!,#REF!</definedName>
    <definedName name="__APW_RESTORE_DATA1142__" hidden="1">#REF!,#REF!,#REF!,#REF!,#REF!,#REF!,#REF!,#REF!,#REF!,#REF!,#REF!,#REF!,#REF!,#REF!,#REF!</definedName>
    <definedName name="__APW_RESTORE_DATA1143__" hidden="1">#REF!,#REF!,#REF!,#REF!,#REF!,#REF!,#REF!,#REF!,#REF!,#REF!,#REF!,#REF!,#REF!,#REF!,#REF!</definedName>
    <definedName name="__APW_RESTORE_DATA1144__" hidden="1">#REF!,#REF!,#REF!,#REF!,#REF!,#REF!,#REF!,#REF!,#REF!,#REF!,#REF!,#REF!,#REF!,#REF!,#REF!</definedName>
    <definedName name="__APW_RESTORE_DATA1145__" hidden="1">#REF!,#REF!,#REF!,#REF!,#REF!,#REF!,#REF!,#REF!,#REF!,#REF!,#REF!,#REF!,#REF!,#REF!,#REF!</definedName>
    <definedName name="__APW_RESTORE_DATA1146__" hidden="1">#REF!,#REF!,#REF!,#REF!,#REF!,#REF!,#REF!,#REF!,#REF!,#REF!,#REF!,#REF!,#REF!,#REF!,#REF!</definedName>
    <definedName name="__APW_RESTORE_DATA1147__" hidden="1">#REF!,#REF!,#REF!,#REF!,#REF!,#REF!,#REF!,#REF!,#REF!,#REF!,#REF!,#REF!,#REF!,#REF!,#REF!</definedName>
    <definedName name="__APW_RESTORE_DATA1148__" hidden="1">#REF!,#REF!,#REF!,#REF!,#REF!,#REF!</definedName>
    <definedName name="__APW_RESTORE_DATA1149__" hidden="1">#REF!</definedName>
    <definedName name="__APW_RESTORE_DATA115__" hidden="1">#REF!,#REF!</definedName>
    <definedName name="__APW_RESTORE_DATA1151__" hidden="1">#REF!</definedName>
    <definedName name="__APW_RESTORE_DATA1152__" hidden="1">#REF!,#REF!,#REF!,#REF!,#REF!,#REF!,#REF!,#REF!,#REF!,#REF!,#REF!,#REF!,#REF!,#REF!,#REF!,#REF!</definedName>
    <definedName name="__APW_RESTORE_DATA1153__" hidden="1">#REF!,#REF!,#REF!,#REF!,#REF!,#REF!,#REF!,#REF!,#REF!,#REF!,#REF!,#REF!,#REF!,#REF!,#REF!,#REF!</definedName>
    <definedName name="__APW_RESTORE_DATA1154__" hidden="1">#REF!,#REF!,#REF!,#REF!,#REF!,#REF!,#REF!,#REF!,#REF!,#REF!,#REF!,#REF!,#REF!,#REF!,#REF!,#REF!</definedName>
    <definedName name="__APW_RESTORE_DATA1155__" hidden="1">#REF!,#REF!,#REF!,#REF!,#REF!,#REF!,#REF!,#REF!,#REF!,#REF!,#REF!,#REF!,#REF!,#REF!,#REF!,#REF!</definedName>
    <definedName name="__APW_RESTORE_DATA1156__" hidden="1">#REF!,#REF!,#REF!,#REF!,#REF!,#REF!,#REF!,#REF!,#REF!,#REF!,#REF!,#REF!,#REF!,#REF!,#REF!,#REF!</definedName>
    <definedName name="__APW_RESTORE_DATA1157__" hidden="1">#REF!,#REF!,#REF!,#REF!,#REF!,#REF!,#REF!,#REF!,#REF!,#REF!,#REF!,#REF!,#REF!,#REF!,#REF!,#REF!</definedName>
    <definedName name="__APW_RESTORE_DATA1158__" hidden="1">#REF!,#REF!,#REF!,#REF!,#REF!,#REF!,#REF!,#REF!,#REF!,#REF!,#REF!,#REF!,#REF!,#REF!,#REF!</definedName>
    <definedName name="__APW_RESTORE_DATA1159__" hidden="1">#REF!,#REF!,#REF!,#REF!,#REF!,#REF!,#REF!,#REF!,#REF!,#REF!,#REF!,#REF!,#REF!,#REF!,#REF!</definedName>
    <definedName name="__APW_RESTORE_DATA116__" hidden="1">#REF!,#REF!</definedName>
    <definedName name="__APW_RESTORE_DATA1160__" hidden="1">#REF!,#REF!,#REF!,#REF!,#REF!,#REF!,#REF!,#REF!,#REF!,#REF!,#REF!,#REF!,#REF!,#REF!,#REF!</definedName>
    <definedName name="__APW_RESTORE_DATA1161__" hidden="1">#REF!,#REF!,#REF!,#REF!,#REF!,#REF!,#REF!,#REF!,#REF!,#REF!,#REF!,#REF!,#REF!,#REF!,#REF!</definedName>
    <definedName name="__APW_RESTORE_DATA1162__" hidden="1">#REF!,#REF!,#REF!,#REF!,#REF!,#REF!,#REF!,#REF!,#REF!,#REF!,#REF!,#REF!,#REF!,#REF!,#REF!</definedName>
    <definedName name="__APW_RESTORE_DATA1163__" hidden="1">#REF!,#REF!,#REF!,#REF!,#REF!,#REF!,#REF!,#REF!,#REF!,#REF!,#REF!,#REF!,#REF!,#REF!,#REF!</definedName>
    <definedName name="__APW_RESTORE_DATA1164__" hidden="1">#REF!,#REF!,#REF!,#REF!,#REF!,#REF!,#REF!,#REF!,#REF!,#REF!,#REF!,#REF!,#REF!,#REF!,#REF!</definedName>
    <definedName name="__APW_RESTORE_DATA1165__" hidden="1">#REF!,#REF!,#REF!,#REF!,#REF!,#REF!,#REF!,#REF!,#REF!,#REF!,#REF!,#REF!,#REF!,#REF!,#REF!</definedName>
    <definedName name="__APW_RESTORE_DATA1166__" hidden="1">#REF!,#REF!,#REF!,#REF!,#REF!,#REF!,#REF!,#REF!,#REF!,#REF!,#REF!,#REF!,#REF!,#REF!,#REF!</definedName>
    <definedName name="__APW_RESTORE_DATA1167__" hidden="1">#REF!,#REF!,#REF!,#REF!,#REF!,#REF!,#REF!,#REF!,#REF!,#REF!,#REF!,#REF!,#REF!,#REF!,#REF!</definedName>
    <definedName name="__APW_RESTORE_DATA1168__" hidden="1">#REF!,#REF!,#REF!,#REF!,#REF!,#REF!,#REF!,#REF!,#REF!,#REF!,#REF!,#REF!,#REF!,#REF!,#REF!</definedName>
    <definedName name="__APW_RESTORE_DATA1169__" hidden="1">#REF!,#REF!,#REF!,#REF!,#REF!,#REF!,#REF!,#REF!,#REF!,#REF!,#REF!,#REF!,#REF!,#REF!,#REF!</definedName>
    <definedName name="__APW_RESTORE_DATA117__" hidden="1">#REF!,#REF!,#REF!,#REF!,#REF!,#REF!,#REF!,#REF!,#REF!,#REF!,#REF!,#REF!,#REF!,#REF!,#REF!</definedName>
    <definedName name="__APW_RESTORE_DATA1170__" hidden="1">#REF!,#REF!,#REF!,#REF!,#REF!,#REF!,#REF!,#REF!,#REF!,#REF!,#REF!,#REF!,#REF!,#REF!,#REF!</definedName>
    <definedName name="__APW_RESTORE_DATA1171__" hidden="1">#REF!,#REF!,#REF!,#REF!,#REF!,#REF!,#REF!,#REF!,#REF!,#REF!,#REF!,#REF!,#REF!,#REF!,#REF!</definedName>
    <definedName name="__APW_RESTORE_DATA1172__" hidden="1">#REF!,#REF!,#REF!,#REF!,#REF!,#REF!,#REF!,#REF!,#REF!,#REF!,#REF!,#REF!,#REF!,#REF!,#REF!</definedName>
    <definedName name="__APW_RESTORE_DATA1173__" hidden="1">#REF!,#REF!,#REF!,#REF!,#REF!,#REF!,#REF!,#REF!,#REF!,#REF!,#REF!,#REF!,#REF!,#REF!,#REF!</definedName>
    <definedName name="__APW_RESTORE_DATA1174__" hidden="1">#REF!,#REF!,#REF!,#REF!,#REF!,#REF!,#REF!,#REF!,#REF!,#REF!,#REF!,#REF!,#REF!,#REF!,#REF!</definedName>
    <definedName name="__APW_RESTORE_DATA1175__" hidden="1">#REF!,#REF!,#REF!,#REF!,#REF!,#REF!,#REF!,#REF!,#REF!,#REF!,#REF!,#REF!,#REF!,#REF!,#REF!</definedName>
    <definedName name="__APW_RESTORE_DATA1176__" hidden="1">#REF!,#REF!,#REF!,#REF!,#REF!,#REF!,#REF!,#REF!,#REF!,#REF!,#REF!,#REF!,#REF!,#REF!,#REF!</definedName>
    <definedName name="__APW_RESTORE_DATA1177__" hidden="1">#REF!,#REF!,#REF!,#REF!,#REF!,#REF!,#REF!,#REF!,#REF!,#REF!,#REF!,#REF!,#REF!,#REF!,#REF!</definedName>
    <definedName name="__APW_RESTORE_DATA1178__" hidden="1">#REF!,#REF!,#REF!,#REF!,#REF!,#REF!,#REF!,#REF!,#REF!,#REF!,#REF!,#REF!,#REF!,#REF!,#REF!</definedName>
    <definedName name="__APW_RESTORE_DATA1179__" hidden="1">#REF!,#REF!,#REF!,#REF!,#REF!,#REF!,#REF!,#REF!,#REF!,#REF!,#REF!,#REF!,#REF!,#REF!,#REF!</definedName>
    <definedName name="__APW_RESTORE_DATA118__" hidden="1">#REF!,#REF!,#REF!,#REF!,#REF!,#REF!,#REF!,#REF!,#REF!,#REF!,#REF!,#REF!,#REF!,#REF!,#REF!</definedName>
    <definedName name="__APW_RESTORE_DATA1180__" hidden="1">#REF!,#REF!,#REF!,#REF!,#REF!,#REF!,#REF!,#REF!,#REF!,#REF!,#REF!,#REF!,#REF!,#REF!,#REF!</definedName>
    <definedName name="__APW_RESTORE_DATA1181__" hidden="1">#REF!,#REF!,#REF!,#REF!,#REF!,#REF!,#REF!,#REF!,#REF!,#REF!,#REF!,#REF!,#REF!,#REF!,#REF!</definedName>
    <definedName name="__APW_RESTORE_DATA1182__" hidden="1">#REF!,#REF!,#REF!,#REF!,#REF!,#REF!,#REF!,#REF!,#REF!,#REF!,#REF!,#REF!,#REF!,#REF!,#REF!</definedName>
    <definedName name="__APW_RESTORE_DATA1183__" hidden="1">#REF!,#REF!,#REF!,#REF!,#REF!,#REF!,#REF!,#REF!,#REF!,#REF!,#REF!,#REF!,#REF!,#REF!,#REF!</definedName>
    <definedName name="__APW_RESTORE_DATA1184__" hidden="1">#REF!,#REF!,#REF!,#REF!,#REF!,#REF!,#REF!,#REF!,#REF!,#REF!,#REF!,#REF!,#REF!,#REF!,#REF!</definedName>
    <definedName name="__APW_RESTORE_DATA1185__" hidden="1">#REF!,#REF!,#REF!,#REF!,#REF!,#REF!,#REF!,#REF!,#REF!,#REF!,#REF!,#REF!,#REF!,#REF!,#REF!</definedName>
    <definedName name="__APW_RESTORE_DATA1186__" hidden="1">#REF!,#REF!,#REF!,#REF!,#REF!,#REF!</definedName>
    <definedName name="__APW_RESTORE_DATA1187__" hidden="1">#REF!,#REF!,#REF!,#REF!,#REF!,#REF!,#REF!,#REF!,#REF!,#REF!,#REF!,#REF!,#REF!,#REF!,#REF!,#REF!</definedName>
    <definedName name="__APW_RESTORE_DATA1188__" hidden="1">#REF!,#REF!,#REF!,#REF!,#REF!,#REF!,#REF!,#REF!,#REF!,#REF!,#REF!,#REF!,#REF!,#REF!,#REF!,#REF!</definedName>
    <definedName name="__APW_RESTORE_DATA1189__" hidden="1">#REF!,#REF!,#REF!,#REF!,#REF!,#REF!,#REF!,#REF!,#REF!,#REF!,#REF!,#REF!,#REF!,#REF!,#REF!,#REF!</definedName>
    <definedName name="__APW_RESTORE_DATA119__" hidden="1">#REF!,#REF!,#REF!,#REF!,#REF!,#REF!,#REF!,#REF!,#REF!,#REF!,#REF!,#REF!,#REF!,#REF!,#REF!</definedName>
    <definedName name="__APW_RESTORE_DATA1190__" hidden="1">#REF!,#REF!,#REF!,#REF!,#REF!,#REF!,#REF!,#REF!,#REF!,#REF!,#REF!,#REF!,#REF!,#REF!,#REF!,#REF!</definedName>
    <definedName name="__APW_RESTORE_DATA1191__" hidden="1">#REF!,#REF!,#REF!,#REF!,#REF!,#REF!,#REF!,#REF!,#REF!,#REF!,#REF!,#REF!,#REF!,#REF!,#REF!,#REF!</definedName>
    <definedName name="__APW_RESTORE_DATA1192__" hidden="1">#REF!,#REF!,#REF!,#REF!,#REF!,#REF!,#REF!,#REF!,#REF!,#REF!,#REF!,#REF!,#REF!,#REF!,#REF!,#REF!</definedName>
    <definedName name="__APW_RESTORE_DATA1193__" hidden="1">#REF!,#REF!,#REF!,#REF!,#REF!,#REF!,#REF!,#REF!,#REF!,#REF!,#REF!,#REF!,#REF!,#REF!,#REF!</definedName>
    <definedName name="__APW_RESTORE_DATA1194__" hidden="1">#REF!,#REF!,#REF!,#REF!,#REF!,#REF!,#REF!,#REF!,#REF!,#REF!,#REF!,#REF!,#REF!,#REF!,#REF!</definedName>
    <definedName name="__APW_RESTORE_DATA1195__" hidden="1">#REF!,#REF!,#REF!,#REF!,#REF!,#REF!,#REF!,#REF!,#REF!,#REF!,#REF!,#REF!,#REF!,#REF!,#REF!</definedName>
    <definedName name="__APW_RESTORE_DATA1196__" hidden="1">#REF!,#REF!,#REF!,#REF!,#REF!,#REF!,#REF!,#REF!,#REF!,#REF!,#REF!,#REF!,#REF!,#REF!,#REF!</definedName>
    <definedName name="__APW_RESTORE_DATA1197__" hidden="1">#REF!,#REF!,#REF!,#REF!,#REF!,#REF!,#REF!,#REF!,#REF!,#REF!,#REF!,#REF!,#REF!,#REF!,#REF!</definedName>
    <definedName name="__APW_RESTORE_DATA1198__" hidden="1">#REF!,#REF!,#REF!,#REF!,#REF!,#REF!,#REF!,#REF!,#REF!,#REF!,#REF!,#REF!,#REF!,#REF!,#REF!</definedName>
    <definedName name="__APW_RESTORE_DATA1199__" hidden="1">#REF!,#REF!,#REF!,#REF!,#REF!,#REF!,#REF!,#REF!,#REF!,#REF!,#REF!,#REF!,#REF!,#REF!,#REF!</definedName>
    <definedName name="__APW_RESTORE_DATA12__" hidden="1">#REF!,#REF!,#REF!,#REF!,#REF!,#REF!,#REF!,#REF!,#REF!,#REF!,#REF!,#REF!,#REF!,#REF!,#REF!,#REF!</definedName>
    <definedName name="__APW_RESTORE_DATA120__" hidden="1">#REF!,#REF!,#REF!,#REF!,#REF!,#REF!,#REF!,#REF!,#REF!,#REF!,#REF!,#REF!,#REF!,#REF!,#REF!</definedName>
    <definedName name="__APW_RESTORE_DATA1200__" hidden="1">#REF!,#REF!,#REF!,#REF!,#REF!,#REF!,#REF!,#REF!,#REF!,#REF!,#REF!,#REF!,#REF!,#REF!,#REF!</definedName>
    <definedName name="__APW_RESTORE_DATA1201__" hidden="1">#REF!,#REF!,#REF!,#REF!,#REF!,#REF!,#REF!,#REF!,#REF!,#REF!,#REF!,#REF!,#REF!,#REF!,#REF!</definedName>
    <definedName name="__APW_RESTORE_DATA1202__" hidden="1">#REF!,#REF!,#REF!,#REF!,#REF!,#REF!,#REF!,#REF!,#REF!,#REF!,#REF!,#REF!,#REF!,#REF!,#REF!</definedName>
    <definedName name="__APW_RESTORE_DATA1203__" hidden="1">#REF!,#REF!,#REF!,#REF!,#REF!,#REF!,#REF!,#REF!,#REF!,#REF!,#REF!,#REF!,#REF!,#REF!,#REF!</definedName>
    <definedName name="__APW_RESTORE_DATA1204__" hidden="1">#REF!,#REF!,#REF!,#REF!,#REF!,#REF!,#REF!,#REF!,#REF!,#REF!,#REF!,#REF!,#REF!,#REF!,#REF!</definedName>
    <definedName name="__APW_RESTORE_DATA1205__" hidden="1">#REF!,#REF!,#REF!,#REF!,#REF!,#REF!,#REF!,#REF!,#REF!,#REF!,#REF!,#REF!,#REF!,#REF!,#REF!</definedName>
    <definedName name="__APW_RESTORE_DATA1206__" hidden="1">#REF!,#REF!,#REF!,#REF!,#REF!,#REF!,#REF!,#REF!,#REF!,#REF!,#REF!,#REF!,#REF!,#REF!,#REF!</definedName>
    <definedName name="__APW_RESTORE_DATA1207__" hidden="1">#REF!,#REF!,#REF!,#REF!,#REF!,#REF!,#REF!,#REF!,#REF!,#REF!,#REF!,#REF!,#REF!,#REF!,#REF!</definedName>
    <definedName name="__APW_RESTORE_DATA1208__" hidden="1">#REF!,#REF!,#REF!,#REF!,#REF!,#REF!,#REF!,#REF!,#REF!,#REF!,#REF!,#REF!,#REF!,#REF!,#REF!</definedName>
    <definedName name="__APW_RESTORE_DATA1209__" hidden="1">#REF!,#REF!,#REF!,#REF!,#REF!,#REF!,#REF!,#REF!,#REF!,#REF!,#REF!,#REF!,#REF!,#REF!,#REF!</definedName>
    <definedName name="__APW_RESTORE_DATA121__" hidden="1">#REF!,#REF!,#REF!,#REF!,#REF!,#REF!,#REF!,#REF!,#REF!,#REF!,#REF!,#REF!,#REF!,#REF!,#REF!</definedName>
    <definedName name="__APW_RESTORE_DATA1210__" hidden="1">#REF!,#REF!,#REF!,#REF!,#REF!,#REF!,#REF!,#REF!,#REF!,#REF!,#REF!,#REF!,#REF!,#REF!,#REF!</definedName>
    <definedName name="__APW_RESTORE_DATA1211__" hidden="1">#REF!,#REF!,#REF!,#REF!,#REF!,#REF!,#REF!,#REF!,#REF!,#REF!,#REF!,#REF!,#REF!,#REF!,#REF!</definedName>
    <definedName name="__APW_RESTORE_DATA1212__" hidden="1">#REF!,#REF!,#REF!,#REF!,#REF!,#REF!,#REF!,#REF!,#REF!,#REF!,#REF!,#REF!,#REF!,#REF!,#REF!</definedName>
    <definedName name="__APW_RESTORE_DATA1213__" hidden="1">#REF!,#REF!,#REF!,#REF!,#REF!,#REF!,#REF!,#REF!,#REF!,#REF!,#REF!,#REF!,#REF!,#REF!,#REF!</definedName>
    <definedName name="__APW_RESTORE_DATA1214__" hidden="1">#REF!,#REF!,#REF!,#REF!,#REF!,#REF!,#REF!,#REF!,#REF!,#REF!,#REF!,#REF!,#REF!,#REF!,#REF!</definedName>
    <definedName name="__APW_RESTORE_DATA1215__" hidden="1">#REF!,#REF!,#REF!,#REF!,#REF!,#REF!,#REF!,#REF!,#REF!,#REF!,#REF!,#REF!,#REF!,#REF!,#REF!</definedName>
    <definedName name="__APW_RESTORE_DATA1216__" hidden="1">#REF!,#REF!,#REF!,#REF!,#REF!,#REF!,#REF!,#REF!,#REF!,#REF!,#REF!,#REF!,#REF!,#REF!,#REF!</definedName>
    <definedName name="__APW_RESTORE_DATA1217__" hidden="1">#REF!,#REF!,#REF!,#REF!,#REF!,#REF!,#REF!,#REF!,#REF!,#REF!,#REF!,#REF!,#REF!,#REF!,#REF!</definedName>
    <definedName name="__APW_RESTORE_DATA1218__" hidden="1">#REF!,#REF!,#REF!,#REF!,#REF!,#REF!,#REF!,#REF!,#REF!,#REF!,#REF!,#REF!,#REF!,#REF!,#REF!</definedName>
    <definedName name="__APW_RESTORE_DATA1219__" hidden="1">#REF!,#REF!,#REF!,#REF!,#REF!,#REF!,#REF!,#REF!,#REF!,#REF!,#REF!,#REF!,#REF!,#REF!,#REF!</definedName>
    <definedName name="__APW_RESTORE_DATA122__" hidden="1">#REF!,#REF!,#REF!,#REF!,#REF!,#REF!,#REF!,#REF!,#REF!,#REF!,#REF!,#REF!,#REF!,#REF!,#REF!</definedName>
    <definedName name="__APW_RESTORE_DATA1220__" hidden="1">#REF!,#REF!,#REF!,#REF!,#REF!,#REF!,#REF!,#REF!,#REF!,#REF!,#REF!,#REF!,#REF!,#REF!,#REF!</definedName>
    <definedName name="__APW_RESTORE_DATA1221__" hidden="1">#REF!,#REF!,#REF!,#REF!,#REF!,#REF!</definedName>
    <definedName name="__APW_RESTORE_DATA1222__" hidden="1">#REF!,#REF!,#REF!,#REF!,#REF!,#REF!,#REF!,#REF!,#REF!,#REF!,#REF!,#REF!,#REF!,#REF!,#REF!,#REF!</definedName>
    <definedName name="__APW_RESTORE_DATA1223__" hidden="1">#REF!,#REF!,#REF!,#REF!,#REF!,#REF!,#REF!,#REF!,#REF!,#REF!,#REF!,#REF!,#REF!,#REF!,#REF!,#REF!</definedName>
    <definedName name="__APW_RESTORE_DATA1224__" hidden="1">#REF!,#REF!,#REF!,#REF!,#REF!,#REF!,#REF!,#REF!,#REF!,#REF!,#REF!,#REF!,#REF!,#REF!,#REF!,#REF!</definedName>
    <definedName name="__APW_RESTORE_DATA1225__" hidden="1">#REF!,#REF!,#REF!,#REF!,#REF!,#REF!,#REF!,#REF!,#REF!,#REF!,#REF!,#REF!,#REF!,#REF!,#REF!,#REF!</definedName>
    <definedName name="__APW_RESTORE_DATA1226__" hidden="1">#REF!,#REF!,#REF!,#REF!,#REF!,#REF!,#REF!,#REF!,#REF!,#REF!,#REF!,#REF!,#REF!,#REF!,#REF!,#REF!</definedName>
    <definedName name="__APW_RESTORE_DATA1227__" hidden="1">#REF!,#REF!,#REF!,#REF!,#REF!,#REF!,#REF!,#REF!,#REF!,#REF!,#REF!,#REF!,#REF!,#REF!,#REF!,#REF!</definedName>
    <definedName name="__APW_RESTORE_DATA1228__" hidden="1">#REF!,#REF!,#REF!,#REF!,#REF!,#REF!,#REF!,#REF!,#REF!,#REF!,#REF!,#REF!,#REF!,#REF!,#REF!</definedName>
    <definedName name="__APW_RESTORE_DATA1229__" hidden="1">#REF!,#REF!,#REF!,#REF!,#REF!,#REF!,#REF!,#REF!,#REF!,#REF!,#REF!,#REF!,#REF!,#REF!,#REF!</definedName>
    <definedName name="__APW_RESTORE_DATA123__" hidden="1">#REF!,#REF!,#REF!,#REF!,#REF!,#REF!,#REF!,#REF!,#REF!,#REF!,#REF!,#REF!,#REF!,#REF!,#REF!</definedName>
    <definedName name="__APW_RESTORE_DATA1230__" hidden="1">#REF!,#REF!,#REF!,#REF!,#REF!,#REF!,#REF!,#REF!,#REF!,#REF!,#REF!,#REF!,#REF!,#REF!,#REF!</definedName>
    <definedName name="__APW_RESTORE_DATA1231__" hidden="1">#REF!,#REF!,#REF!,#REF!,#REF!,#REF!,#REF!,#REF!,#REF!,#REF!,#REF!,#REF!,#REF!,#REF!,#REF!</definedName>
    <definedName name="__APW_RESTORE_DATA1232__" hidden="1">#REF!,#REF!,#REF!,#REF!,#REF!,#REF!,#REF!,#REF!,#REF!,#REF!,#REF!,#REF!,#REF!,#REF!,#REF!</definedName>
    <definedName name="__APW_RESTORE_DATA1233__" hidden="1">#REF!,#REF!,#REF!,#REF!,#REF!,#REF!,#REF!,#REF!,#REF!,#REF!,#REF!,#REF!,#REF!,#REF!,#REF!</definedName>
    <definedName name="__APW_RESTORE_DATA1234__" hidden="1">#REF!,#REF!,#REF!,#REF!,#REF!,#REF!,#REF!,#REF!,#REF!,#REF!,#REF!,#REF!,#REF!,#REF!,#REF!</definedName>
    <definedName name="__APW_RESTORE_DATA1235__" hidden="1">#REF!,#REF!,#REF!,#REF!,#REF!,#REF!,#REF!,#REF!,#REF!,#REF!,#REF!,#REF!,#REF!,#REF!,#REF!</definedName>
    <definedName name="__APW_RESTORE_DATA1236__" hidden="1">#REF!,#REF!,#REF!,#REF!,#REF!,#REF!,#REF!,#REF!,#REF!,#REF!,#REF!,#REF!,#REF!,#REF!,#REF!</definedName>
    <definedName name="__APW_RESTORE_DATA1237__" hidden="1">#REF!,#REF!,#REF!,#REF!,#REF!,#REF!,#REF!,#REF!,#REF!,#REF!,#REF!,#REF!,#REF!,#REF!,#REF!</definedName>
    <definedName name="__APW_RESTORE_DATA1238__" hidden="1">#REF!,#REF!,#REF!,#REF!,#REF!,#REF!,#REF!,#REF!,#REF!,#REF!,#REF!,#REF!,#REF!,#REF!,#REF!</definedName>
    <definedName name="__APW_RESTORE_DATA1239__" hidden="1">#REF!,#REF!,#REF!,#REF!,#REF!,#REF!,#REF!,#REF!,#REF!,#REF!,#REF!,#REF!,#REF!,#REF!,#REF!</definedName>
    <definedName name="__APW_RESTORE_DATA124__" hidden="1">#REF!,#REF!,#REF!,#REF!,#REF!,#REF!,#REF!,#REF!,#REF!,#REF!,#REF!,#REF!,#REF!,#REF!,#REF!</definedName>
    <definedName name="__APW_RESTORE_DATA1240__" hidden="1">#REF!,#REF!,#REF!,#REF!,#REF!,#REF!,#REF!,#REF!,#REF!,#REF!,#REF!,#REF!,#REF!,#REF!,#REF!</definedName>
    <definedName name="__APW_RESTORE_DATA1241__" hidden="1">#REF!,#REF!,#REF!,#REF!,#REF!,#REF!,#REF!,#REF!,#REF!,#REF!,#REF!,#REF!,#REF!,#REF!,#REF!</definedName>
    <definedName name="__APW_RESTORE_DATA1242__" hidden="1">#REF!,#REF!,#REF!,#REF!,#REF!,#REF!,#REF!,#REF!,#REF!,#REF!,#REF!,#REF!,#REF!,#REF!,#REF!</definedName>
    <definedName name="__APW_RESTORE_DATA1243__" hidden="1">#REF!,#REF!,#REF!,#REF!,#REF!,#REF!,#REF!,#REF!,#REF!,#REF!,#REF!,#REF!,#REF!,#REF!,#REF!</definedName>
    <definedName name="__APW_RESTORE_DATA1244__" hidden="1">#REF!,#REF!,#REF!,#REF!,#REF!,#REF!,#REF!,#REF!,#REF!,#REF!,#REF!,#REF!,#REF!,#REF!,#REF!</definedName>
    <definedName name="__APW_RESTORE_DATA1245__" hidden="1">#REF!,#REF!,#REF!,#REF!,#REF!,#REF!,#REF!,#REF!,#REF!,#REF!,#REF!,#REF!,#REF!,#REF!,#REF!</definedName>
    <definedName name="__APW_RESTORE_DATA1246__" hidden="1">#REF!,#REF!,#REF!,#REF!,#REF!,#REF!,#REF!,#REF!,#REF!,#REF!,#REF!,#REF!,#REF!,#REF!,#REF!</definedName>
    <definedName name="__APW_RESTORE_DATA1247__" hidden="1">#REF!,#REF!,#REF!,#REF!,#REF!,#REF!,#REF!,#REF!,#REF!,#REF!,#REF!,#REF!,#REF!,#REF!,#REF!</definedName>
    <definedName name="__APW_RESTORE_DATA1248__" hidden="1">#REF!,#REF!,#REF!,#REF!,#REF!,#REF!,#REF!,#REF!,#REF!,#REF!,#REF!,#REF!,#REF!,#REF!,#REF!</definedName>
    <definedName name="__APW_RESTORE_DATA1249__" hidden="1">#REF!,#REF!,#REF!,#REF!,#REF!,#REF!,#REF!,#REF!,#REF!,#REF!,#REF!,#REF!,#REF!,#REF!,#REF!</definedName>
    <definedName name="__APW_RESTORE_DATA125__" hidden="1">#REF!,#REF!,#REF!,#REF!,#REF!,#REF!,#REF!,#REF!,#REF!,#REF!,#REF!,#REF!,#REF!,#REF!,#REF!</definedName>
    <definedName name="__APW_RESTORE_DATA1250__" hidden="1">#REF!,#REF!,#REF!,#REF!,#REF!,#REF!,#REF!,#REF!,#REF!,#REF!,#REF!,#REF!,#REF!,#REF!,#REF!</definedName>
    <definedName name="__APW_RESTORE_DATA1251__" hidden="1">#REF!,#REF!,#REF!,#REF!,#REF!,#REF!,#REF!,#REF!,#REF!,#REF!,#REF!,#REF!,#REF!,#REF!,#REF!</definedName>
    <definedName name="__APW_RESTORE_DATA1252__" hidden="1">#REF!,#REF!,#REF!,#REF!,#REF!,#REF!,#REF!,#REF!,#REF!,#REF!,#REF!,#REF!,#REF!,#REF!,#REF!</definedName>
    <definedName name="__APW_RESTORE_DATA1253__" hidden="1">#REF!,#REF!,#REF!,#REF!,#REF!,#REF!,#REF!,#REF!,#REF!,#REF!,#REF!,#REF!,#REF!,#REF!,#REF!</definedName>
    <definedName name="__APW_RESTORE_DATA1254__" hidden="1">#REF!,#REF!,#REF!,#REF!,#REF!,#REF!,#REF!,#REF!,#REF!,#REF!,#REF!,#REF!,#REF!,#REF!,#REF!</definedName>
    <definedName name="__APW_RESTORE_DATA1255__" hidden="1">#REF!,#REF!,#REF!,#REF!,#REF!,#REF!,#REF!,#REF!,#REF!,#REF!,#REF!,#REF!,#REF!,#REF!,#REF!</definedName>
    <definedName name="__APW_RESTORE_DATA1256__" hidden="1">#REF!,#REF!,#REF!,#REF!,#REF!,#REF!</definedName>
    <definedName name="__APW_RESTORE_DATA1257__" hidden="1">#REF!,#REF!,#REF!,#REF!,#REF!,#REF!,#REF!,#REF!,#REF!,#REF!,#REF!,#REF!,#REF!,#REF!,#REF!,#REF!</definedName>
    <definedName name="__APW_RESTORE_DATA1258__" hidden="1">#REF!,#REF!,#REF!,#REF!,#REF!,#REF!,#REF!,#REF!,#REF!,#REF!,#REF!,#REF!,#REF!,#REF!,#REF!,#REF!</definedName>
    <definedName name="__APW_RESTORE_DATA1259__" hidden="1">#REF!,#REF!,#REF!,#REF!,#REF!,#REF!,#REF!,#REF!,#REF!,#REF!,#REF!,#REF!,#REF!,#REF!,#REF!,#REF!</definedName>
    <definedName name="__APW_RESTORE_DATA126__" hidden="1">#REF!,#REF!,#REF!,#REF!,#REF!,#REF!,#REF!,#REF!,#REF!,#REF!,#REF!,#REF!,#REF!,#REF!,#REF!</definedName>
    <definedName name="__APW_RESTORE_DATA1260__" hidden="1">#REF!,#REF!,#REF!,#REF!,#REF!,#REF!,#REF!,#REF!,#REF!,#REF!,#REF!,#REF!,#REF!,#REF!,#REF!,#REF!</definedName>
    <definedName name="__APW_RESTORE_DATA1261__" hidden="1">#REF!,#REF!,#REF!,#REF!,#REF!,#REF!,#REF!,#REF!,#REF!,#REF!,#REF!,#REF!,#REF!,#REF!,#REF!,#REF!</definedName>
    <definedName name="__APW_RESTORE_DATA1262__" hidden="1">#REF!,#REF!,#REF!,#REF!,#REF!,#REF!,#REF!,#REF!,#REF!,#REF!,#REF!,#REF!,#REF!,#REF!,#REF!,#REF!</definedName>
    <definedName name="__APW_RESTORE_DATA1263__" hidden="1">#REF!,#REF!,#REF!,#REF!,#REF!,#REF!,#REF!,#REF!,#REF!,#REF!,#REF!,#REF!,#REF!,#REF!,#REF!</definedName>
    <definedName name="__APW_RESTORE_DATA1264__" hidden="1">#REF!,#REF!,#REF!,#REF!,#REF!,#REF!,#REF!,#REF!,#REF!,#REF!,#REF!,#REF!,#REF!,#REF!,#REF!</definedName>
    <definedName name="__APW_RESTORE_DATA1265__" hidden="1">#REF!,#REF!,#REF!,#REF!,#REF!,#REF!,#REF!,#REF!,#REF!,#REF!,#REF!,#REF!,#REF!,#REF!,#REF!</definedName>
    <definedName name="__APW_RESTORE_DATA1266__" hidden="1">#REF!,#REF!,#REF!,#REF!,#REF!,#REF!,#REF!,#REF!,#REF!,#REF!,#REF!,#REF!,#REF!,#REF!,#REF!</definedName>
    <definedName name="__APW_RESTORE_DATA1267__" hidden="1">#REF!,#REF!,#REF!,#REF!,#REF!,#REF!,#REF!,#REF!,#REF!,#REF!,#REF!,#REF!,#REF!,#REF!,#REF!</definedName>
    <definedName name="__APW_RESTORE_DATA1268__" hidden="1">#REF!,#REF!,#REF!,#REF!,#REF!,#REF!,#REF!,#REF!,#REF!,#REF!,#REF!,#REF!,#REF!,#REF!,#REF!</definedName>
    <definedName name="__APW_RESTORE_DATA1269__" hidden="1">#REF!,#REF!,#REF!,#REF!,#REF!,#REF!,#REF!,#REF!,#REF!,#REF!,#REF!,#REF!,#REF!,#REF!,#REF!</definedName>
    <definedName name="__APW_RESTORE_DATA127__" hidden="1">#REF!,#REF!,#REF!,#REF!,#REF!,#REF!,#REF!,#REF!,#REF!,#REF!,#REF!,#REF!,#REF!,#REF!,#REF!</definedName>
    <definedName name="__APW_RESTORE_DATA1270__" hidden="1">#REF!,#REF!,#REF!,#REF!,#REF!,#REF!,#REF!,#REF!,#REF!,#REF!,#REF!,#REF!,#REF!,#REF!,#REF!</definedName>
    <definedName name="__APW_RESTORE_DATA1271__" hidden="1">#REF!,#REF!,#REF!,#REF!,#REF!,#REF!,#REF!,#REF!,#REF!,#REF!,#REF!,#REF!,#REF!,#REF!,#REF!</definedName>
    <definedName name="__APW_RESTORE_DATA1272__" hidden="1">#REF!,#REF!,#REF!,#REF!,#REF!,#REF!,#REF!,#REF!,#REF!,#REF!,#REF!,#REF!,#REF!,#REF!,#REF!</definedName>
    <definedName name="__APW_RESTORE_DATA1273__" hidden="1">#REF!,#REF!,#REF!,#REF!,#REF!,#REF!,#REF!,#REF!,#REF!,#REF!,#REF!,#REF!,#REF!,#REF!,#REF!</definedName>
    <definedName name="__APW_RESTORE_DATA1274__" hidden="1">#REF!,#REF!,#REF!,#REF!,#REF!,#REF!,#REF!,#REF!,#REF!,#REF!,#REF!,#REF!,#REF!,#REF!,#REF!</definedName>
    <definedName name="__APW_RESTORE_DATA1275__" hidden="1">#REF!,#REF!,#REF!,#REF!,#REF!,#REF!,#REF!,#REF!,#REF!,#REF!,#REF!,#REF!,#REF!,#REF!,#REF!</definedName>
    <definedName name="__APW_RESTORE_DATA1276__" hidden="1">#REF!,#REF!,#REF!,#REF!,#REF!,#REF!,#REF!,#REF!,#REF!,#REF!,#REF!,#REF!,#REF!,#REF!,#REF!</definedName>
    <definedName name="__APW_RESTORE_DATA1277__" hidden="1">#REF!,#REF!,#REF!,#REF!,#REF!,#REF!,#REF!,#REF!,#REF!,#REF!,#REF!,#REF!,#REF!,#REF!,#REF!</definedName>
    <definedName name="__APW_RESTORE_DATA1278__" hidden="1">#REF!,#REF!,#REF!,#REF!,#REF!,#REF!,#REF!,#REF!,#REF!,#REF!,#REF!,#REF!,#REF!,#REF!,#REF!</definedName>
    <definedName name="__APW_RESTORE_DATA1279__" hidden="1">#REF!,#REF!,#REF!,#REF!,#REF!,#REF!,#REF!,#REF!,#REF!,#REF!,#REF!,#REF!,#REF!,#REF!,#REF!</definedName>
    <definedName name="__APW_RESTORE_DATA128__" hidden="1">#REF!,#REF!,#REF!,#REF!,#REF!,#REF!,#REF!,#REF!,#REF!,#REF!,#REF!,#REF!,#REF!,#REF!,#REF!</definedName>
    <definedName name="__APW_RESTORE_DATA1280__" hidden="1">#REF!,#REF!,#REF!,#REF!,#REF!,#REF!,#REF!,#REF!,#REF!,#REF!,#REF!,#REF!,#REF!,#REF!,#REF!</definedName>
    <definedName name="__APW_RESTORE_DATA1281__" hidden="1">#REF!,#REF!,#REF!,#REF!,#REF!,#REF!,#REF!,#REF!,#REF!,#REF!,#REF!,#REF!,#REF!,#REF!,#REF!</definedName>
    <definedName name="__APW_RESTORE_DATA1282__" hidden="1">#REF!,#REF!,#REF!,#REF!,#REF!,#REF!,#REF!,#REF!,#REF!,#REF!,#REF!,#REF!,#REF!,#REF!,#REF!</definedName>
    <definedName name="__APW_RESTORE_DATA1283__" hidden="1">#REF!,#REF!,#REF!,#REF!,#REF!,#REF!,#REF!,#REF!,#REF!,#REF!,#REF!,#REF!,#REF!,#REF!,#REF!</definedName>
    <definedName name="__APW_RESTORE_DATA1284__" hidden="1">#REF!,#REF!,#REF!,#REF!,#REF!,#REF!,#REF!,#REF!,#REF!,#REF!,#REF!,#REF!,#REF!,#REF!,#REF!</definedName>
    <definedName name="__APW_RESTORE_DATA1285__" hidden="1">#REF!,#REF!,#REF!,#REF!,#REF!,#REF!,#REF!,#REF!,#REF!,#REF!,#REF!,#REF!,#REF!,#REF!,#REF!</definedName>
    <definedName name="__APW_RESTORE_DATA1286__" hidden="1">#REF!,#REF!,#REF!,#REF!,#REF!,#REF!,#REF!,#REF!,#REF!,#REF!,#REF!,#REF!,#REF!,#REF!,#REF!</definedName>
    <definedName name="__APW_RESTORE_DATA1287__" hidden="1">#REF!,#REF!,#REF!,#REF!,#REF!,#REF!,#REF!,#REF!,#REF!,#REF!,#REF!,#REF!,#REF!,#REF!,#REF!</definedName>
    <definedName name="__APW_RESTORE_DATA1288__" hidden="1">#REF!,#REF!,#REF!,#REF!,#REF!,#REF!,#REF!,#REF!,#REF!,#REF!,#REF!,#REF!,#REF!,#REF!,#REF!</definedName>
    <definedName name="__APW_RESTORE_DATA1289__" hidden="1">#REF!,#REF!,#REF!,#REF!,#REF!,#REF!,#REF!,#REF!,#REF!,#REF!,#REF!,#REF!,#REF!,#REF!,#REF!</definedName>
    <definedName name="__APW_RESTORE_DATA129__" hidden="1">#REF!,#REF!</definedName>
    <definedName name="__APW_RESTORE_DATA1290__" hidden="1">#REF!,#REF!,#REF!,#REF!,#REF!,#REF!,#REF!,#REF!,#REF!,#REF!,#REF!,#REF!,#REF!,#REF!,#REF!</definedName>
    <definedName name="__APW_RESTORE_DATA1291__" hidden="1">#REF!,#REF!,#REF!,#REF!,#REF!,#REF!</definedName>
    <definedName name="__APW_RESTORE_DATA1292__" hidden="1">#REF!</definedName>
    <definedName name="__APW_RESTORE_DATA1293__" hidden="1">#REF!</definedName>
    <definedName name="__APW_RESTORE_DATA1294__" hidden="1">#REF!</definedName>
    <definedName name="__APW_RESTORE_DATA1296__" hidden="1">#REF!</definedName>
    <definedName name="__APW_RESTORE_DATA1297__" hidden="1">#REF!,#REF!,#REF!,#REF!,#REF!,#REF!,#REF!,#REF!,#REF!,#REF!,#REF!,#REF!,#REF!,#REF!,#REF!,#REF!</definedName>
    <definedName name="__APW_RESTORE_DATA1298__" hidden="1">#REF!,#REF!,#REF!,#REF!,#REF!,#REF!,#REF!,#REF!,#REF!,#REF!,#REF!,#REF!,#REF!,#REF!,#REF!,#REF!</definedName>
    <definedName name="__APW_RESTORE_DATA1299__" hidden="1">#REF!,#REF!,#REF!,#REF!,#REF!,#REF!,#REF!,#REF!,#REF!,#REF!,#REF!,#REF!,#REF!,#REF!,#REF!,#REF!</definedName>
    <definedName name="__APW_RESTORE_DATA13__" hidden="1">#REF!,#REF!,#REF!,#REF!,#REF!,#REF!,#REF!,#REF!,#REF!,#REF!,#REF!,#REF!,#REF!,#REF!,#REF!</definedName>
    <definedName name="__APW_RESTORE_DATA130__" hidden="1">#REF!,#REF!,#REF!,#REF!,#REF!,#REF!,#REF!,#REF!,#REF!,#REF!,#REF!,#REF!,#REF!,#REF!,#REF!</definedName>
    <definedName name="__APW_RESTORE_DATA1300__" hidden="1">#REF!,#REF!,#REF!,#REF!,#REF!,#REF!,#REF!,#REF!,#REF!,#REF!,#REF!,#REF!,#REF!,#REF!,#REF!,#REF!</definedName>
    <definedName name="__APW_RESTORE_DATA1301__" hidden="1">#REF!,#REF!,#REF!,#REF!,#REF!,#REF!,#REF!,#REF!,#REF!,#REF!,#REF!,#REF!,#REF!,#REF!,#REF!,#REF!</definedName>
    <definedName name="__APW_RESTORE_DATA1302__" hidden="1">#REF!,#REF!,#REF!,#REF!,#REF!,#REF!,#REF!,#REF!,#REF!,#REF!,#REF!,#REF!,#REF!,#REF!,#REF!,#REF!</definedName>
    <definedName name="__APW_RESTORE_DATA1303__" hidden="1">#REF!,#REF!,#REF!,#REF!,#REF!,#REF!,#REF!,#REF!,#REF!,#REF!,#REF!,#REF!,#REF!,#REF!,#REF!</definedName>
    <definedName name="__APW_RESTORE_DATA1304__" hidden="1">#REF!,#REF!,#REF!,#REF!,#REF!,#REF!,#REF!,#REF!,#REF!,#REF!,#REF!,#REF!,#REF!,#REF!,#REF!</definedName>
    <definedName name="__APW_RESTORE_DATA1305__" hidden="1">#REF!,#REF!,#REF!,#REF!,#REF!,#REF!,#REF!,#REF!,#REF!,#REF!,#REF!,#REF!,#REF!,#REF!,#REF!</definedName>
    <definedName name="__APW_RESTORE_DATA1306__" hidden="1">#REF!,#REF!,#REF!,#REF!,#REF!,#REF!,#REF!,#REF!,#REF!,#REF!,#REF!,#REF!,#REF!,#REF!,#REF!</definedName>
    <definedName name="__APW_RESTORE_DATA1307__" hidden="1">#REF!,#REF!,#REF!,#REF!,#REF!,#REF!,#REF!,#REF!,#REF!,#REF!,#REF!,#REF!,#REF!,#REF!,#REF!</definedName>
    <definedName name="__APW_RESTORE_DATA1308__" hidden="1">#REF!,#REF!,#REF!,#REF!,#REF!,#REF!,#REF!,#REF!,#REF!,#REF!,#REF!,#REF!,#REF!,#REF!,#REF!</definedName>
    <definedName name="__APW_RESTORE_DATA1309__" hidden="1">#REF!,#REF!,#REF!,#REF!,#REF!,#REF!,#REF!,#REF!,#REF!,#REF!,#REF!,#REF!,#REF!,#REF!,#REF!</definedName>
    <definedName name="__APW_RESTORE_DATA131__" hidden="1">#REF!,#REF!,#REF!,#REF!,#REF!,#REF!,#REF!,#REF!,#REF!,#REF!,#REF!,#REF!,#REF!,#REF!,#REF!</definedName>
    <definedName name="__APW_RESTORE_DATA1310__" hidden="1">#REF!,#REF!,#REF!,#REF!,#REF!,#REF!,#REF!,#REF!,#REF!,#REF!,#REF!,#REF!,#REF!,#REF!,#REF!</definedName>
    <definedName name="__APW_RESTORE_DATA1311__" hidden="1">#REF!,#REF!,#REF!,#REF!,#REF!,#REF!,#REF!,#REF!,#REF!,#REF!,#REF!,#REF!,#REF!,#REF!,#REF!</definedName>
    <definedName name="__APW_RESTORE_DATA1312__" hidden="1">#REF!,#REF!,#REF!,#REF!,#REF!,#REF!,#REF!,#REF!,#REF!,#REF!,#REF!,#REF!,#REF!,#REF!,#REF!</definedName>
    <definedName name="__APW_RESTORE_DATA1313__" hidden="1">#REF!,#REF!,#REF!,#REF!,#REF!,#REF!,#REF!,#REF!,#REF!,#REF!,#REF!,#REF!,#REF!,#REF!,#REF!</definedName>
    <definedName name="__APW_RESTORE_DATA1314__" hidden="1">#REF!,#REF!,#REF!,#REF!,#REF!,#REF!,#REF!,#REF!,#REF!,#REF!,#REF!,#REF!,#REF!,#REF!,#REF!</definedName>
    <definedName name="__APW_RESTORE_DATA1315__" hidden="1">#REF!,#REF!,#REF!,#REF!,#REF!,#REF!,#REF!,#REF!,#REF!,#REF!,#REF!,#REF!,#REF!,#REF!,#REF!</definedName>
    <definedName name="__APW_RESTORE_DATA1316__" hidden="1">#REF!,#REF!,#REF!,#REF!,#REF!,#REF!,#REF!,#REF!,#REF!,#REF!,#REF!,#REF!,#REF!,#REF!,#REF!</definedName>
    <definedName name="__APW_RESTORE_DATA1317__" hidden="1">#REF!,#REF!,#REF!,#REF!,#REF!,#REF!,#REF!,#REF!,#REF!,#REF!,#REF!,#REF!,#REF!,#REF!,#REF!</definedName>
    <definedName name="__APW_RESTORE_DATA1318__" hidden="1">#REF!,#REF!,#REF!,#REF!,#REF!,#REF!,#REF!,#REF!,#REF!,#REF!,#REF!,#REF!,#REF!,#REF!,#REF!</definedName>
    <definedName name="__APW_RESTORE_DATA1319__" hidden="1">#REF!,#REF!,#REF!,#REF!,#REF!,#REF!,#REF!,#REF!,#REF!,#REF!,#REF!,#REF!,#REF!,#REF!,#REF!</definedName>
    <definedName name="__APW_RESTORE_DATA132__" hidden="1">#REF!,#REF!,#REF!,#REF!,#REF!,#REF!,#REF!,#REF!,#REF!,#REF!,#REF!,#REF!,#REF!,#REF!,#REF!</definedName>
    <definedName name="__APW_RESTORE_DATA1320__" hidden="1">#REF!,#REF!,#REF!,#REF!,#REF!,#REF!,#REF!,#REF!,#REF!,#REF!,#REF!,#REF!,#REF!,#REF!,#REF!</definedName>
    <definedName name="__APW_RESTORE_DATA1321__" hidden="1">#REF!,#REF!,#REF!,#REF!,#REF!,#REF!,#REF!,#REF!,#REF!,#REF!,#REF!,#REF!,#REF!,#REF!,#REF!</definedName>
    <definedName name="__APW_RESTORE_DATA1322__" hidden="1">#REF!,#REF!,#REF!,#REF!,#REF!,#REF!,#REF!,#REF!,#REF!,#REF!,#REF!,#REF!,#REF!,#REF!,#REF!</definedName>
    <definedName name="__APW_RESTORE_DATA1323__" hidden="1">#REF!,#REF!,#REF!,#REF!,#REF!,#REF!,#REF!,#REF!,#REF!,#REF!,#REF!,#REF!,#REF!,#REF!,#REF!</definedName>
    <definedName name="__APW_RESTORE_DATA1324__" hidden="1">#REF!,#REF!,#REF!,#REF!,#REF!,#REF!,#REF!,#REF!,#REF!,#REF!,#REF!,#REF!,#REF!,#REF!,#REF!</definedName>
    <definedName name="__APW_RESTORE_DATA1325__" hidden="1">#REF!,#REF!,#REF!,#REF!,#REF!,#REF!,#REF!,#REF!,#REF!,#REF!,#REF!,#REF!,#REF!,#REF!,#REF!</definedName>
    <definedName name="__APW_RESTORE_DATA1326__" hidden="1">#REF!,#REF!,#REF!,#REF!,#REF!,#REF!,#REF!,#REF!,#REF!,#REF!,#REF!,#REF!,#REF!,#REF!,#REF!</definedName>
    <definedName name="__APW_RESTORE_DATA1327__" hidden="1">#REF!,#REF!,#REF!,#REF!,#REF!,#REF!,#REF!,#REF!,#REF!,#REF!,#REF!,#REF!,#REF!,#REF!,#REF!</definedName>
    <definedName name="__APW_RESTORE_DATA1328__" hidden="1">#REF!,#REF!,#REF!,#REF!,#REF!,#REF!,#REF!,#REF!,#REF!,#REF!,#REF!,#REF!,#REF!,#REF!,#REF!</definedName>
    <definedName name="__APW_RESTORE_DATA1329__" hidden="1">#REF!,#REF!,#REF!,#REF!,#REF!,#REF!,#REF!,#REF!,#REF!,#REF!,#REF!,#REF!,#REF!,#REF!,#REF!</definedName>
    <definedName name="__APW_RESTORE_DATA133__" hidden="1">#REF!,#REF!,#REF!,#REF!,#REF!,#REF!,#REF!,#REF!,#REF!,#REF!,#REF!,#REF!,#REF!,#REF!,#REF!</definedName>
    <definedName name="__APW_RESTORE_DATA1330__" hidden="1">#REF!,#REF!,#REF!,#REF!,#REF!,#REF!,#REF!,#REF!,#REF!,#REF!,#REF!,#REF!,#REF!,#REF!,#REF!</definedName>
    <definedName name="__APW_RESTORE_DATA1331__" hidden="1">#REF!,#REF!,#REF!,#REF!,#REF!,#REF!</definedName>
    <definedName name="__APW_RESTORE_DATA1332__" hidden="1">#REF!,#REF!,#REF!,#REF!,#REF!,#REF!,#REF!,#REF!,#REF!,#REF!,#REF!,#REF!,#REF!,#REF!,#REF!,#REF!</definedName>
    <definedName name="__APW_RESTORE_DATA1333__" hidden="1">#REF!,#REF!,#REF!,#REF!,#REF!,#REF!,#REF!,#REF!,#REF!,#REF!,#REF!,#REF!,#REF!,#REF!,#REF!,#REF!</definedName>
    <definedName name="__APW_RESTORE_DATA1334__" hidden="1">#REF!,#REF!,#REF!,#REF!,#REF!,#REF!,#REF!,#REF!,#REF!,#REF!,#REF!,#REF!,#REF!,#REF!,#REF!,#REF!</definedName>
    <definedName name="__APW_RESTORE_DATA1335__" hidden="1">#REF!,#REF!,#REF!,#REF!,#REF!,#REF!,#REF!,#REF!,#REF!,#REF!,#REF!,#REF!,#REF!,#REF!,#REF!,#REF!</definedName>
    <definedName name="__APW_RESTORE_DATA1336__" hidden="1">#REF!,#REF!,#REF!,#REF!,#REF!,#REF!,#REF!,#REF!,#REF!,#REF!,#REF!,#REF!,#REF!,#REF!,#REF!,#REF!</definedName>
    <definedName name="__APW_RESTORE_DATA1337__" hidden="1">#REF!,#REF!,#REF!,#REF!,#REF!,#REF!,#REF!,#REF!,#REF!,#REF!,#REF!,#REF!,#REF!,#REF!,#REF!,#REF!</definedName>
    <definedName name="__APW_RESTORE_DATA1338__" hidden="1">#REF!,#REF!,#REF!,#REF!,#REF!,#REF!,#REF!,#REF!,#REF!,#REF!,#REF!,#REF!,#REF!,#REF!,#REF!</definedName>
    <definedName name="__APW_RESTORE_DATA1339__" hidden="1">#REF!,#REF!,#REF!,#REF!,#REF!,#REF!,#REF!,#REF!,#REF!,#REF!,#REF!,#REF!,#REF!,#REF!,#REF!</definedName>
    <definedName name="__APW_RESTORE_DATA134__" hidden="1">#REF!,#REF!</definedName>
    <definedName name="__APW_RESTORE_DATA1340__" hidden="1">#REF!,#REF!,#REF!,#REF!,#REF!,#REF!,#REF!,#REF!,#REF!,#REF!,#REF!,#REF!,#REF!,#REF!,#REF!</definedName>
    <definedName name="__APW_RESTORE_DATA1341__" hidden="1">#REF!,#REF!,#REF!,#REF!,#REF!,#REF!,#REF!,#REF!,#REF!,#REF!,#REF!,#REF!,#REF!,#REF!,#REF!</definedName>
    <definedName name="__APW_RESTORE_DATA1342__" hidden="1">#REF!,#REF!,#REF!,#REF!,#REF!,#REF!,#REF!,#REF!,#REF!,#REF!,#REF!,#REF!,#REF!,#REF!,#REF!</definedName>
    <definedName name="__APW_RESTORE_DATA1343__" hidden="1">#REF!,#REF!,#REF!,#REF!,#REF!,#REF!,#REF!,#REF!,#REF!,#REF!,#REF!,#REF!,#REF!,#REF!,#REF!</definedName>
    <definedName name="__APW_RESTORE_DATA1344__" hidden="1">#REF!,#REF!,#REF!,#REF!,#REF!,#REF!,#REF!,#REF!,#REF!,#REF!,#REF!,#REF!,#REF!,#REF!,#REF!</definedName>
    <definedName name="__APW_RESTORE_DATA1345__" hidden="1">#REF!,#REF!,#REF!,#REF!,#REF!,#REF!,#REF!,#REF!,#REF!,#REF!,#REF!,#REF!,#REF!,#REF!,#REF!</definedName>
    <definedName name="__APW_RESTORE_DATA1346__" hidden="1">#REF!,#REF!,#REF!,#REF!,#REF!,#REF!,#REF!,#REF!,#REF!,#REF!,#REF!,#REF!,#REF!,#REF!,#REF!</definedName>
    <definedName name="__APW_RESTORE_DATA1347__" hidden="1">#REF!,#REF!,#REF!,#REF!,#REF!,#REF!,#REF!,#REF!,#REF!,#REF!,#REF!,#REF!,#REF!,#REF!,#REF!</definedName>
    <definedName name="__APW_RESTORE_DATA1348__" hidden="1">#REF!,#REF!,#REF!,#REF!,#REF!,#REF!,#REF!,#REF!,#REF!,#REF!,#REF!,#REF!,#REF!,#REF!,#REF!</definedName>
    <definedName name="__APW_RESTORE_DATA1349__" hidden="1">#REF!,#REF!,#REF!,#REF!,#REF!,#REF!,#REF!,#REF!,#REF!,#REF!,#REF!,#REF!,#REF!,#REF!,#REF!</definedName>
    <definedName name="__APW_RESTORE_DATA135__" hidden="1">#REF!,#REF!,#REF!,#REF!,#REF!,#REF!,#REF!,#REF!,#REF!,#REF!,#REF!,#REF!,#REF!,#REF!,#REF!</definedName>
    <definedName name="__APW_RESTORE_DATA1350__" hidden="1">#REF!,#REF!,#REF!,#REF!,#REF!,#REF!,#REF!,#REF!,#REF!,#REF!,#REF!,#REF!,#REF!,#REF!,#REF!</definedName>
    <definedName name="__APW_RESTORE_DATA1351__" hidden="1">#REF!,#REF!,#REF!,#REF!,#REF!,#REF!,#REF!,#REF!,#REF!,#REF!,#REF!,#REF!,#REF!,#REF!,#REF!</definedName>
    <definedName name="__APW_RESTORE_DATA1352__" hidden="1">#REF!,#REF!,#REF!,#REF!,#REF!,#REF!,#REF!,#REF!,#REF!,#REF!,#REF!,#REF!,#REF!,#REF!,#REF!</definedName>
    <definedName name="__APW_RESTORE_DATA1353__" hidden="1">#REF!,#REF!,#REF!,#REF!,#REF!,#REF!,#REF!,#REF!,#REF!,#REF!,#REF!,#REF!,#REF!,#REF!,#REF!</definedName>
    <definedName name="__APW_RESTORE_DATA1354__" hidden="1">#REF!,#REF!,#REF!,#REF!,#REF!,#REF!,#REF!,#REF!,#REF!,#REF!,#REF!,#REF!,#REF!,#REF!,#REF!</definedName>
    <definedName name="__APW_RESTORE_DATA1355__" hidden="1">#REF!,#REF!,#REF!,#REF!,#REF!,#REF!,#REF!,#REF!,#REF!,#REF!,#REF!,#REF!,#REF!,#REF!,#REF!</definedName>
    <definedName name="__APW_RESTORE_DATA1356__" hidden="1">#REF!,#REF!,#REF!,#REF!,#REF!,#REF!,#REF!,#REF!,#REF!,#REF!,#REF!,#REF!,#REF!,#REF!,#REF!</definedName>
    <definedName name="__APW_RESTORE_DATA1357__" hidden="1">#REF!,#REF!,#REF!,#REF!,#REF!,#REF!,#REF!,#REF!,#REF!,#REF!,#REF!,#REF!,#REF!,#REF!,#REF!</definedName>
    <definedName name="__APW_RESTORE_DATA1358__" hidden="1">#REF!,#REF!,#REF!,#REF!,#REF!,#REF!,#REF!,#REF!,#REF!,#REF!,#REF!,#REF!,#REF!,#REF!,#REF!</definedName>
    <definedName name="__APW_RESTORE_DATA1359__" hidden="1">#REF!,#REF!,#REF!,#REF!,#REF!,#REF!,#REF!,#REF!,#REF!,#REF!,#REF!,#REF!,#REF!,#REF!,#REF!</definedName>
    <definedName name="__APW_RESTORE_DATA136__" hidden="1">#REF!,#REF!,#REF!,#REF!,#REF!,#REF!,#REF!,#REF!,#REF!,#REF!,#REF!,#REF!,#REF!,#REF!,#REF!</definedName>
    <definedName name="__APW_RESTORE_DATA1360__" hidden="1">#REF!,#REF!,#REF!,#REF!,#REF!,#REF!,#REF!,#REF!,#REF!,#REF!,#REF!,#REF!,#REF!,#REF!,#REF!</definedName>
    <definedName name="__APW_RESTORE_DATA1361__" hidden="1">#REF!,#REF!,#REF!,#REF!,#REF!,#REF!,#REF!,#REF!,#REF!,#REF!,#REF!,#REF!,#REF!,#REF!,#REF!</definedName>
    <definedName name="__APW_RESTORE_DATA1362__" hidden="1">#REF!,#REF!,#REF!,#REF!,#REF!,#REF!,#REF!,#REF!,#REF!,#REF!,#REF!,#REF!,#REF!,#REF!,#REF!</definedName>
    <definedName name="__APW_RESTORE_DATA1363__" hidden="1">#REF!,#REF!,#REF!,#REF!,#REF!,#REF!,#REF!,#REF!,#REF!,#REF!,#REF!,#REF!,#REF!,#REF!,#REF!</definedName>
    <definedName name="__APW_RESTORE_DATA1364__" hidden="1">#REF!,#REF!,#REF!,#REF!,#REF!,#REF!,#REF!,#REF!,#REF!,#REF!,#REF!,#REF!,#REF!,#REF!,#REF!</definedName>
    <definedName name="__APW_RESTORE_DATA1365__" hidden="1">#REF!,#REF!,#REF!,#REF!,#REF!,#REF!,#REF!,#REF!,#REF!,#REF!,#REF!,#REF!,#REF!,#REF!,#REF!</definedName>
    <definedName name="__APW_RESTORE_DATA1366__" hidden="1">#REF!,#REF!,#REF!,#REF!,#REF!,#REF!</definedName>
    <definedName name="__APW_RESTORE_DATA1367__" hidden="1">#REF!,#REF!,#REF!,#REF!,#REF!,#REF!,#REF!,#REF!,#REF!,#REF!,#REF!,#REF!,#REF!,#REF!,#REF!,#REF!</definedName>
    <definedName name="__APW_RESTORE_DATA1368__" hidden="1">#REF!,#REF!,#REF!,#REF!,#REF!,#REF!,#REF!,#REF!,#REF!,#REF!,#REF!,#REF!,#REF!,#REF!,#REF!,#REF!</definedName>
    <definedName name="__APW_RESTORE_DATA1369__" hidden="1">#REF!,#REF!,#REF!,#REF!,#REF!,#REF!,#REF!,#REF!,#REF!,#REF!,#REF!,#REF!,#REF!,#REF!,#REF!,#REF!</definedName>
    <definedName name="__APW_RESTORE_DATA137__" hidden="1">#REF!,#REF!,#REF!,#REF!,#REF!,#REF!,#REF!,#REF!,#REF!,#REF!,#REF!,#REF!,#REF!,#REF!,#REF!</definedName>
    <definedName name="__APW_RESTORE_DATA1370__" hidden="1">#REF!,#REF!,#REF!,#REF!,#REF!,#REF!,#REF!,#REF!,#REF!,#REF!,#REF!,#REF!,#REF!,#REF!,#REF!,#REF!</definedName>
    <definedName name="__APW_RESTORE_DATA1371__" hidden="1">#REF!,#REF!,#REF!,#REF!,#REF!,#REF!,#REF!,#REF!,#REF!,#REF!,#REF!,#REF!,#REF!,#REF!,#REF!,#REF!</definedName>
    <definedName name="__APW_RESTORE_DATA1372__" hidden="1">#REF!,#REF!,#REF!,#REF!,#REF!,#REF!,#REF!,#REF!,#REF!,#REF!,#REF!,#REF!,#REF!,#REF!,#REF!,#REF!</definedName>
    <definedName name="__APW_RESTORE_DATA1373__" hidden="1">#REF!,#REF!,#REF!,#REF!,#REF!,#REF!,#REF!,#REF!,#REF!,#REF!,#REF!,#REF!,#REF!,#REF!,#REF!</definedName>
    <definedName name="__APW_RESTORE_DATA1374__" hidden="1">#REF!,#REF!,#REF!,#REF!,#REF!,#REF!,#REF!,#REF!,#REF!,#REF!,#REF!,#REF!,#REF!,#REF!,#REF!</definedName>
    <definedName name="__APW_RESTORE_DATA1375__" hidden="1">#REF!,#REF!,#REF!,#REF!,#REF!,#REF!,#REF!,#REF!,#REF!,#REF!,#REF!,#REF!,#REF!,#REF!,#REF!</definedName>
    <definedName name="__APW_RESTORE_DATA1376__" hidden="1">#REF!,#REF!,#REF!,#REF!,#REF!,#REF!,#REF!,#REF!,#REF!,#REF!,#REF!,#REF!,#REF!,#REF!,#REF!</definedName>
    <definedName name="__APW_RESTORE_DATA1377__" hidden="1">#REF!,#REF!,#REF!,#REF!,#REF!,#REF!,#REF!,#REF!,#REF!,#REF!,#REF!,#REF!,#REF!,#REF!,#REF!</definedName>
    <definedName name="__APW_RESTORE_DATA1378__" hidden="1">#REF!,#REF!,#REF!,#REF!,#REF!,#REF!,#REF!,#REF!,#REF!,#REF!,#REF!,#REF!,#REF!,#REF!,#REF!</definedName>
    <definedName name="__APW_RESTORE_DATA1379__" hidden="1">#REF!,#REF!,#REF!,#REF!,#REF!,#REF!,#REF!,#REF!,#REF!,#REF!,#REF!,#REF!,#REF!,#REF!,#REF!</definedName>
    <definedName name="__APW_RESTORE_DATA138__" hidden="1">#REF!,#REF!,#REF!,#REF!,#REF!,#REF!,#REF!,#REF!,#REF!,#REF!,#REF!,#REF!,#REF!,#REF!,#REF!</definedName>
    <definedName name="__APW_RESTORE_DATA1380__" hidden="1">#REF!,#REF!,#REF!,#REF!,#REF!,#REF!,#REF!,#REF!,#REF!,#REF!,#REF!,#REF!,#REF!,#REF!,#REF!</definedName>
    <definedName name="__APW_RESTORE_DATA1381__" hidden="1">#REF!,#REF!,#REF!,#REF!,#REF!,#REF!,#REF!,#REF!,#REF!,#REF!,#REF!,#REF!,#REF!,#REF!,#REF!</definedName>
    <definedName name="__APW_RESTORE_DATA1382__" hidden="1">#REF!,#REF!,#REF!,#REF!,#REF!,#REF!,#REF!,#REF!,#REF!,#REF!,#REF!,#REF!,#REF!,#REF!,#REF!</definedName>
    <definedName name="__APW_RESTORE_DATA1383__" hidden="1">#REF!,#REF!,#REF!,#REF!,#REF!,#REF!,#REF!,#REF!,#REF!,#REF!,#REF!,#REF!,#REF!,#REF!,#REF!</definedName>
    <definedName name="__APW_RESTORE_DATA1384__" hidden="1">#REF!,#REF!,#REF!,#REF!,#REF!,#REF!,#REF!,#REF!,#REF!,#REF!,#REF!,#REF!,#REF!,#REF!,#REF!</definedName>
    <definedName name="__APW_RESTORE_DATA1385__" hidden="1">#REF!,#REF!,#REF!,#REF!,#REF!,#REF!,#REF!,#REF!,#REF!,#REF!,#REF!,#REF!,#REF!,#REF!,#REF!</definedName>
    <definedName name="__APW_RESTORE_DATA1386__" hidden="1">#REF!,#REF!,#REF!,#REF!,#REF!,#REF!,#REF!,#REF!,#REF!,#REF!,#REF!,#REF!,#REF!,#REF!,#REF!</definedName>
    <definedName name="__APW_RESTORE_DATA1387__" hidden="1">#REF!,#REF!,#REF!,#REF!,#REF!,#REF!,#REF!,#REF!,#REF!,#REF!,#REF!,#REF!,#REF!,#REF!,#REF!</definedName>
    <definedName name="__APW_RESTORE_DATA1388__" hidden="1">#REF!,#REF!,#REF!,#REF!,#REF!,#REF!,#REF!,#REF!,#REF!,#REF!,#REF!,#REF!,#REF!,#REF!,#REF!</definedName>
    <definedName name="__APW_RESTORE_DATA1389__" hidden="1">#REF!,#REF!,#REF!,#REF!,#REF!,#REF!,#REF!,#REF!,#REF!,#REF!,#REF!,#REF!,#REF!,#REF!,#REF!</definedName>
    <definedName name="__APW_RESTORE_DATA139__" hidden="1">#REF!,#REF!</definedName>
    <definedName name="__APW_RESTORE_DATA1390__" hidden="1">#REF!,#REF!,#REF!,#REF!,#REF!,#REF!,#REF!,#REF!,#REF!,#REF!,#REF!,#REF!,#REF!,#REF!,#REF!</definedName>
    <definedName name="__APW_RESTORE_DATA1391__" hidden="1">#REF!,#REF!,#REF!,#REF!,#REF!,#REF!,#REF!,#REF!,#REF!,#REF!,#REF!,#REF!,#REF!,#REF!,#REF!</definedName>
    <definedName name="__APW_RESTORE_DATA1392__" hidden="1">#REF!,#REF!,#REF!,#REF!,#REF!,#REF!,#REF!,#REF!,#REF!,#REF!,#REF!,#REF!,#REF!,#REF!,#REF!</definedName>
    <definedName name="__APW_RESTORE_DATA1393__" hidden="1">#REF!,#REF!,#REF!,#REF!,#REF!,#REF!,#REF!,#REF!,#REF!,#REF!,#REF!,#REF!,#REF!,#REF!,#REF!</definedName>
    <definedName name="__APW_RESTORE_DATA1394__" hidden="1">#REF!,#REF!,#REF!,#REF!,#REF!,#REF!,#REF!,#REF!,#REF!,#REF!,#REF!,#REF!,#REF!,#REF!,#REF!</definedName>
    <definedName name="__APW_RESTORE_DATA1395__" hidden="1">#REF!,#REF!,#REF!,#REF!,#REF!,#REF!,#REF!,#REF!,#REF!,#REF!,#REF!,#REF!,#REF!,#REF!,#REF!</definedName>
    <definedName name="__APW_RESTORE_DATA1396__" hidden="1">#REF!,#REF!,#REF!,#REF!,#REF!,#REF!,#REF!,#REF!,#REF!,#REF!,#REF!,#REF!,#REF!,#REF!,#REF!</definedName>
    <definedName name="__APW_RESTORE_DATA1397__" hidden="1">#REF!,#REF!,#REF!,#REF!,#REF!,#REF!,#REF!,#REF!,#REF!,#REF!,#REF!,#REF!,#REF!,#REF!,#REF!</definedName>
    <definedName name="__APW_RESTORE_DATA1398__" hidden="1">#REF!,#REF!,#REF!,#REF!,#REF!,#REF!,#REF!,#REF!,#REF!,#REF!,#REF!,#REF!,#REF!,#REF!,#REF!</definedName>
    <definedName name="__APW_RESTORE_DATA1399__" hidden="1">#REF!,#REF!,#REF!,#REF!,#REF!,#REF!,#REF!,#REF!,#REF!,#REF!,#REF!,#REF!,#REF!,#REF!,#REF!</definedName>
    <definedName name="__APW_RESTORE_DATA14__" hidden="1">#REF!</definedName>
    <definedName name="__APW_RESTORE_DATA140__" hidden="1">#REF!,#REF!,#REF!,#REF!,#REF!,#REF!,#REF!,#REF!,#REF!,#REF!,#REF!,#REF!,#REF!,#REF!,#REF!</definedName>
    <definedName name="__APW_RESTORE_DATA1400__" hidden="1">#REF!,#REF!,#REF!,#REF!,#REF!,#REF!,#REF!,#REF!,#REF!,#REF!,#REF!,#REF!,#REF!,#REF!,#REF!</definedName>
    <definedName name="__APW_RESTORE_DATA1401__" hidden="1">#REF!,#REF!,#REF!,#REF!,#REF!,#REF!</definedName>
    <definedName name="__APW_RESTORE_DATA1402__" hidden="1">#REF!,#REF!,#REF!,#REF!,#REF!,#REF!,#REF!,#REF!,#REF!,#REF!,#REF!,#REF!,#REF!,#REF!,#REF!,#REF!</definedName>
    <definedName name="__APW_RESTORE_DATA1403__" hidden="1">#REF!,#REF!,#REF!,#REF!,#REF!,#REF!,#REF!,#REF!,#REF!,#REF!,#REF!,#REF!,#REF!,#REF!,#REF!,#REF!</definedName>
    <definedName name="__APW_RESTORE_DATA1404__" hidden="1">#REF!,#REF!,#REF!,#REF!,#REF!,#REF!,#REF!,#REF!,#REF!,#REF!,#REF!,#REF!,#REF!,#REF!,#REF!,#REF!</definedName>
    <definedName name="__APW_RESTORE_DATA1405__" hidden="1">#REF!,#REF!,#REF!,#REF!,#REF!,#REF!,#REF!,#REF!,#REF!,#REF!,#REF!,#REF!,#REF!,#REF!,#REF!,#REF!</definedName>
    <definedName name="__APW_RESTORE_DATA1406__" hidden="1">#REF!,#REF!,#REF!,#REF!,#REF!,#REF!,#REF!,#REF!,#REF!,#REF!,#REF!,#REF!,#REF!,#REF!,#REF!,#REF!</definedName>
    <definedName name="__APW_RESTORE_DATA1407__" hidden="1">#REF!,#REF!,#REF!,#REF!,#REF!,#REF!,#REF!,#REF!,#REF!,#REF!,#REF!,#REF!,#REF!,#REF!,#REF!,#REF!</definedName>
    <definedName name="__APW_RESTORE_DATA1408__" hidden="1">#REF!,#REF!,#REF!,#REF!,#REF!,#REF!,#REF!,#REF!,#REF!,#REF!,#REF!,#REF!,#REF!,#REF!,#REF!</definedName>
    <definedName name="__APW_RESTORE_DATA1409__" hidden="1">#REF!,#REF!,#REF!,#REF!,#REF!,#REF!,#REF!,#REF!,#REF!,#REF!,#REF!,#REF!,#REF!,#REF!,#REF!</definedName>
    <definedName name="__APW_RESTORE_DATA141__" hidden="1">#REF!,#REF!,#REF!,#REF!,#REF!,#REF!,#REF!,#REF!,#REF!,#REF!,#REF!,#REF!,#REF!,#REF!,#REF!</definedName>
    <definedName name="__APW_RESTORE_DATA1410__" hidden="1">#REF!,#REF!,#REF!,#REF!,#REF!,#REF!,#REF!,#REF!,#REF!,#REF!,#REF!,#REF!,#REF!,#REF!,#REF!</definedName>
    <definedName name="__APW_RESTORE_DATA1411__" hidden="1">#REF!,#REF!,#REF!,#REF!,#REF!,#REF!,#REF!,#REF!,#REF!,#REF!,#REF!,#REF!,#REF!,#REF!,#REF!</definedName>
    <definedName name="__APW_RESTORE_DATA1412__" hidden="1">#REF!,#REF!,#REF!,#REF!,#REF!,#REF!,#REF!,#REF!,#REF!,#REF!,#REF!,#REF!,#REF!,#REF!,#REF!</definedName>
    <definedName name="__APW_RESTORE_DATA1413__" hidden="1">#REF!,#REF!,#REF!,#REF!,#REF!,#REF!,#REF!,#REF!,#REF!,#REF!,#REF!,#REF!,#REF!,#REF!,#REF!</definedName>
    <definedName name="__APW_RESTORE_DATA1414__" hidden="1">#REF!,#REF!,#REF!,#REF!,#REF!,#REF!,#REF!,#REF!,#REF!,#REF!,#REF!,#REF!,#REF!,#REF!,#REF!</definedName>
    <definedName name="__APW_RESTORE_DATA1415__" hidden="1">#REF!,#REF!,#REF!,#REF!,#REF!,#REF!,#REF!,#REF!,#REF!,#REF!,#REF!,#REF!,#REF!,#REF!,#REF!</definedName>
    <definedName name="__APW_RESTORE_DATA1416__" hidden="1">#REF!,#REF!,#REF!,#REF!,#REF!,#REF!,#REF!,#REF!,#REF!,#REF!,#REF!,#REF!,#REF!,#REF!,#REF!</definedName>
    <definedName name="__APW_RESTORE_DATA1417__" hidden="1">#REF!,#REF!,#REF!,#REF!,#REF!,#REF!,#REF!,#REF!,#REF!,#REF!,#REF!,#REF!,#REF!,#REF!,#REF!</definedName>
    <definedName name="__APW_RESTORE_DATA1418__" hidden="1">#REF!,#REF!,#REF!,#REF!,#REF!,#REF!,#REF!,#REF!,#REF!,#REF!,#REF!,#REF!,#REF!,#REF!,#REF!</definedName>
    <definedName name="__APW_RESTORE_DATA1419__" hidden="1">#REF!,#REF!,#REF!,#REF!,#REF!,#REF!,#REF!,#REF!,#REF!,#REF!,#REF!,#REF!,#REF!,#REF!,#REF!</definedName>
    <definedName name="__APW_RESTORE_DATA142__" hidden="1">#REF!,#REF!,#REF!,#REF!,#REF!,#REF!,#REF!,#REF!,#REF!,#REF!,#REF!,#REF!,#REF!,#REF!,#REF!</definedName>
    <definedName name="__APW_RESTORE_DATA1420__" hidden="1">#REF!,#REF!,#REF!,#REF!,#REF!,#REF!,#REF!,#REF!,#REF!,#REF!,#REF!,#REF!,#REF!,#REF!,#REF!</definedName>
    <definedName name="__APW_RESTORE_DATA1421__" hidden="1">#REF!,#REF!,#REF!,#REF!,#REF!,#REF!,#REF!,#REF!,#REF!,#REF!,#REF!,#REF!,#REF!,#REF!,#REF!</definedName>
    <definedName name="__APW_RESTORE_DATA1422__" hidden="1">#REF!,#REF!,#REF!,#REF!,#REF!,#REF!,#REF!,#REF!,#REF!,#REF!,#REF!,#REF!,#REF!,#REF!,#REF!</definedName>
    <definedName name="__APW_RESTORE_DATA1423__" hidden="1">#REF!,#REF!,#REF!,#REF!,#REF!,#REF!,#REF!,#REF!,#REF!,#REF!,#REF!,#REF!,#REF!,#REF!,#REF!</definedName>
    <definedName name="__APW_RESTORE_DATA1424__" hidden="1">#REF!,#REF!,#REF!,#REF!,#REF!,#REF!,#REF!,#REF!,#REF!,#REF!,#REF!,#REF!,#REF!,#REF!,#REF!</definedName>
    <definedName name="__APW_RESTORE_DATA1425__" hidden="1">#REF!,#REF!,#REF!,#REF!,#REF!,#REF!,#REF!,#REF!,#REF!,#REF!,#REF!,#REF!,#REF!,#REF!,#REF!</definedName>
    <definedName name="__APW_RESTORE_DATA1426__" hidden="1">#REF!,#REF!,#REF!,#REF!,#REF!,#REF!,#REF!,#REF!,#REF!,#REF!,#REF!,#REF!,#REF!,#REF!,#REF!</definedName>
    <definedName name="__APW_RESTORE_DATA1427__" hidden="1">#REF!,#REF!,#REF!,#REF!,#REF!,#REF!,#REF!,#REF!,#REF!,#REF!,#REF!,#REF!,#REF!,#REF!,#REF!</definedName>
    <definedName name="__APW_RESTORE_DATA1428__" hidden="1">#REF!,#REF!,#REF!,#REF!,#REF!,#REF!,#REF!,#REF!,#REF!,#REF!,#REF!,#REF!,#REF!,#REF!,#REF!</definedName>
    <definedName name="__APW_RESTORE_DATA1429__" hidden="1">#REF!,#REF!,#REF!,#REF!,#REF!,#REF!,#REF!,#REF!,#REF!,#REF!,#REF!,#REF!,#REF!,#REF!,#REF!</definedName>
    <definedName name="__APW_RESTORE_DATA143__" hidden="1">#REF!,#REF!,#REF!,#REF!,#REF!,#REF!,#REF!,#REF!,#REF!,#REF!,#REF!,#REF!,#REF!,#REF!,#REF!</definedName>
    <definedName name="__APW_RESTORE_DATA1430__" hidden="1">#REF!,#REF!,#REF!,#REF!,#REF!,#REF!,#REF!,#REF!,#REF!,#REF!,#REF!,#REF!,#REF!,#REF!,#REF!</definedName>
    <definedName name="__APW_RESTORE_DATA1431__" hidden="1">#REF!,#REF!,#REF!,#REF!,#REF!,#REF!,#REF!,#REF!,#REF!,#REF!,#REF!,#REF!,#REF!,#REF!,#REF!</definedName>
    <definedName name="__APW_RESTORE_DATA1432__" hidden="1">#REF!,#REF!,#REF!,#REF!,#REF!,#REF!,#REF!,#REF!,#REF!,#REF!,#REF!,#REF!,#REF!,#REF!,#REF!</definedName>
    <definedName name="__APW_RESTORE_DATA1433__" hidden="1">#REF!,#REF!,#REF!,#REF!,#REF!,#REF!,#REF!,#REF!,#REF!,#REF!,#REF!,#REF!,#REF!,#REF!,#REF!</definedName>
    <definedName name="__APW_RESTORE_DATA1434__" hidden="1">#REF!,#REF!,#REF!,#REF!,#REF!,#REF!,#REF!,#REF!,#REF!,#REF!,#REF!,#REF!,#REF!,#REF!,#REF!</definedName>
    <definedName name="__APW_RESTORE_DATA1435__" hidden="1">#REF!,#REF!,#REF!,#REF!,#REF!,#REF!,#REF!,#REF!,#REF!,#REF!,#REF!,#REF!,#REF!,#REF!,#REF!</definedName>
    <definedName name="__APW_RESTORE_DATA1436__" hidden="1">#REF!,#REF!,#REF!,#REF!,#REF!,#REF!</definedName>
    <definedName name="__APW_RESTORE_DATA1437__" hidden="1">#REF!</definedName>
    <definedName name="__APW_RESTORE_DATA1438__" hidden="1">#REF!</definedName>
    <definedName name="__APW_RESTORE_DATA1439__" hidden="1">#REF!</definedName>
    <definedName name="__APW_RESTORE_DATA144__" hidden="1">#REF!,#REF!,#REF!,#REF!,#REF!,#REF!,#REF!</definedName>
    <definedName name="__APW_RESTORE_DATA1441__" hidden="1">#REF!</definedName>
    <definedName name="__APW_RESTORE_DATA1442__" hidden="1">#REF!,#REF!,#REF!,#REF!,#REF!,#REF!,#REF!,#REF!,#REF!,#REF!,#REF!,#REF!,#REF!,#REF!,#REF!,#REF!</definedName>
    <definedName name="__APW_RESTORE_DATA1443__" hidden="1">#REF!,#REF!,#REF!,#REF!,#REF!,#REF!,#REF!,#REF!,#REF!,#REF!,#REF!,#REF!,#REF!,#REF!,#REF!,#REF!</definedName>
    <definedName name="__APW_RESTORE_DATA1444__" hidden="1">#REF!,#REF!,#REF!,#REF!,#REF!,#REF!,#REF!,#REF!,#REF!,#REF!,#REF!,#REF!,#REF!,#REF!,#REF!,#REF!</definedName>
    <definedName name="__APW_RESTORE_DATA1445__" hidden="1">#REF!,#REF!,#REF!,#REF!,#REF!,#REF!,#REF!,#REF!,#REF!,#REF!,#REF!,#REF!,#REF!,#REF!,#REF!,#REF!</definedName>
    <definedName name="__APW_RESTORE_DATA1446__" hidden="1">#REF!,#REF!,#REF!,#REF!,#REF!,#REF!,#REF!,#REF!,#REF!,#REF!,#REF!,#REF!,#REF!,#REF!,#REF!,#REF!</definedName>
    <definedName name="__APW_RESTORE_DATA1447__" hidden="1">#REF!,#REF!,#REF!,#REF!,#REF!,#REF!,#REF!,#REF!,#REF!,#REF!,#REF!,#REF!,#REF!,#REF!,#REF!,#REF!</definedName>
    <definedName name="__APW_RESTORE_DATA1448__" hidden="1">#REF!,#REF!,#REF!,#REF!,#REF!,#REF!,#REF!,#REF!,#REF!,#REF!,#REF!,#REF!,#REF!,#REF!,#REF!</definedName>
    <definedName name="__APW_RESTORE_DATA1449__" hidden="1">#REF!,#REF!,#REF!,#REF!,#REF!,#REF!,#REF!,#REF!,#REF!,#REF!,#REF!,#REF!,#REF!,#REF!,#REF!</definedName>
    <definedName name="__APW_RESTORE_DATA145__" hidden="1">#REF!</definedName>
    <definedName name="__APW_RESTORE_DATA1450__" hidden="1">#REF!,#REF!,#REF!,#REF!,#REF!,#REF!,#REF!,#REF!,#REF!,#REF!,#REF!,#REF!,#REF!,#REF!,#REF!</definedName>
    <definedName name="__APW_RESTORE_DATA1451__" hidden="1">#REF!,#REF!,#REF!,#REF!,#REF!,#REF!,#REF!,#REF!,#REF!,#REF!,#REF!,#REF!,#REF!,#REF!,#REF!</definedName>
    <definedName name="__APW_RESTORE_DATA1452__" hidden="1">#REF!,#REF!,#REF!,#REF!,#REF!,#REF!,#REF!,#REF!,#REF!,#REF!,#REF!,#REF!,#REF!,#REF!,#REF!</definedName>
    <definedName name="__APW_RESTORE_DATA1453__" hidden="1">#REF!,#REF!,#REF!,#REF!,#REF!,#REF!,#REF!,#REF!,#REF!,#REF!,#REF!,#REF!,#REF!,#REF!,#REF!</definedName>
    <definedName name="__APW_RESTORE_DATA1454__" hidden="1">#REF!,#REF!,#REF!,#REF!,#REF!,#REF!,#REF!,#REF!,#REF!,#REF!,#REF!,#REF!,#REF!,#REF!,#REF!</definedName>
    <definedName name="__APW_RESTORE_DATA1455__" hidden="1">#REF!,#REF!,#REF!,#REF!,#REF!,#REF!,#REF!,#REF!,#REF!,#REF!,#REF!,#REF!,#REF!,#REF!,#REF!</definedName>
    <definedName name="__APW_RESTORE_DATA1456__" hidden="1">#REF!,#REF!,#REF!,#REF!,#REF!,#REF!,#REF!,#REF!,#REF!,#REF!,#REF!,#REF!,#REF!,#REF!,#REF!</definedName>
    <definedName name="__APW_RESTORE_DATA1457__" hidden="1">#REF!,#REF!,#REF!,#REF!,#REF!,#REF!,#REF!,#REF!,#REF!,#REF!,#REF!,#REF!,#REF!,#REF!,#REF!</definedName>
    <definedName name="__APW_RESTORE_DATA1458__" hidden="1">#REF!,#REF!,#REF!,#REF!,#REF!,#REF!,#REF!,#REF!,#REF!,#REF!,#REF!,#REF!,#REF!,#REF!,#REF!</definedName>
    <definedName name="__APW_RESTORE_DATA1459__" hidden="1">#REF!,#REF!,#REF!,#REF!,#REF!,#REF!,#REF!,#REF!,#REF!,#REF!,#REF!,#REF!,#REF!,#REF!,#REF!</definedName>
    <definedName name="__APW_RESTORE_DATA146__" hidden="1">#REF!</definedName>
    <definedName name="__APW_RESTORE_DATA1460__" hidden="1">#REF!,#REF!,#REF!,#REF!,#REF!,#REF!,#REF!,#REF!,#REF!,#REF!,#REF!,#REF!,#REF!,#REF!,#REF!</definedName>
    <definedName name="__APW_RESTORE_DATA1461__" hidden="1">#REF!,#REF!,#REF!,#REF!,#REF!,#REF!,#REF!,#REF!,#REF!,#REF!,#REF!,#REF!,#REF!,#REF!,#REF!</definedName>
    <definedName name="__APW_RESTORE_DATA1462__" hidden="1">#REF!,#REF!,#REF!,#REF!,#REF!,#REF!,#REF!,#REF!,#REF!,#REF!,#REF!,#REF!,#REF!,#REF!,#REF!</definedName>
    <definedName name="__APW_RESTORE_DATA1463__" hidden="1">#REF!,#REF!,#REF!,#REF!,#REF!,#REF!,#REF!,#REF!,#REF!,#REF!,#REF!,#REF!,#REF!,#REF!,#REF!</definedName>
    <definedName name="__APW_RESTORE_DATA1464__" hidden="1">#REF!,#REF!,#REF!,#REF!,#REF!,#REF!,#REF!,#REF!,#REF!,#REF!,#REF!,#REF!,#REF!,#REF!,#REF!</definedName>
    <definedName name="__APW_RESTORE_DATA1465__" hidden="1">#REF!,#REF!,#REF!,#REF!,#REF!,#REF!,#REF!,#REF!,#REF!,#REF!,#REF!,#REF!,#REF!,#REF!,#REF!</definedName>
    <definedName name="__APW_RESTORE_DATA1466__" hidden="1">#REF!,#REF!,#REF!,#REF!,#REF!,#REF!,#REF!,#REF!,#REF!,#REF!,#REF!,#REF!,#REF!,#REF!,#REF!</definedName>
    <definedName name="__APW_RESTORE_DATA1467__" hidden="1">#REF!,#REF!,#REF!,#REF!,#REF!,#REF!,#REF!,#REF!,#REF!,#REF!,#REF!,#REF!,#REF!,#REF!,#REF!</definedName>
    <definedName name="__APW_RESTORE_DATA1468__" hidden="1">#REF!,#REF!,#REF!,#REF!,#REF!,#REF!,#REF!,#REF!,#REF!,#REF!,#REF!,#REF!,#REF!,#REF!,#REF!</definedName>
    <definedName name="__APW_RESTORE_DATA1469__" hidden="1">#REF!,#REF!,#REF!,#REF!,#REF!,#REF!,#REF!,#REF!,#REF!,#REF!,#REF!,#REF!,#REF!,#REF!,#REF!</definedName>
    <definedName name="__APW_RESTORE_DATA147__" hidden="1">#REF!,#REF!,#REF!,#REF!,#REF!,#REF!,#REF!,#REF!,#REF!,#REF!,#REF!,#REF!,#REF!,#REF!,#REF!,#REF!</definedName>
    <definedName name="__APW_RESTORE_DATA1470__" hidden="1">#REF!,#REF!,#REF!,#REF!,#REF!,#REF!,#REF!,#REF!,#REF!,#REF!,#REF!,#REF!,#REF!,#REF!,#REF!</definedName>
    <definedName name="__APW_RESTORE_DATA1471__" hidden="1">#REF!,#REF!,#REF!,#REF!,#REF!,#REF!,#REF!,#REF!,#REF!,#REF!,#REF!,#REF!,#REF!,#REF!,#REF!</definedName>
    <definedName name="__APW_RESTORE_DATA1472__" hidden="1">#REF!,#REF!,#REF!,#REF!,#REF!,#REF!,#REF!,#REF!,#REF!,#REF!,#REF!,#REF!,#REF!,#REF!,#REF!</definedName>
    <definedName name="__APW_RESTORE_DATA1473__" hidden="1">#REF!,#REF!,#REF!,#REF!,#REF!,#REF!,#REF!,#REF!,#REF!,#REF!,#REF!,#REF!,#REF!,#REF!,#REF!</definedName>
    <definedName name="__APW_RESTORE_DATA1474__" hidden="1">#REF!,#REF!,#REF!,#REF!,#REF!,#REF!,#REF!,#REF!,#REF!,#REF!,#REF!,#REF!,#REF!,#REF!,#REF!</definedName>
    <definedName name="__APW_RESTORE_DATA1475__" hidden="1">#REF!,#REF!,#REF!,#REF!,#REF!,#REF!,#REF!,#REF!,#REF!,#REF!,#REF!,#REF!,#REF!,#REF!,#REF!</definedName>
    <definedName name="__APW_RESTORE_DATA1476__" hidden="1">#REF!,#REF!,#REF!,#REF!,#REF!,#REF!</definedName>
    <definedName name="__APW_RESTORE_DATA1477__" hidden="1">#REF!,#REF!,#REF!,#REF!,#REF!,#REF!,#REF!,#REF!,#REF!,#REF!,#REF!,#REF!,#REF!,#REF!,#REF!,#REF!</definedName>
    <definedName name="__APW_RESTORE_DATA1478__" hidden="1">#REF!,#REF!,#REF!,#REF!,#REF!,#REF!,#REF!,#REF!,#REF!,#REF!,#REF!,#REF!,#REF!,#REF!,#REF!,#REF!</definedName>
    <definedName name="__APW_RESTORE_DATA1479__" hidden="1">#REF!,#REF!,#REF!,#REF!,#REF!,#REF!,#REF!,#REF!,#REF!,#REF!,#REF!,#REF!,#REF!,#REF!,#REF!,#REF!</definedName>
    <definedName name="__APW_RESTORE_DATA148__" hidden="1">#REF!,#REF!,#REF!,#REF!,#REF!,#REF!,#REF!,#REF!,#REF!,#REF!,#REF!,#REF!,#REF!,#REF!,#REF!,#REF!</definedName>
    <definedName name="__APW_RESTORE_DATA1480__" hidden="1">#REF!,#REF!,#REF!,#REF!,#REF!,#REF!,#REF!,#REF!,#REF!,#REF!,#REF!,#REF!,#REF!,#REF!,#REF!,#REF!</definedName>
    <definedName name="__APW_RESTORE_DATA1481__" hidden="1">#REF!,#REF!,#REF!,#REF!,#REF!,#REF!,#REF!,#REF!,#REF!,#REF!,#REF!,#REF!,#REF!,#REF!,#REF!,#REF!</definedName>
    <definedName name="__APW_RESTORE_DATA1482__" hidden="1">#REF!,#REF!,#REF!,#REF!,#REF!,#REF!,#REF!,#REF!,#REF!,#REF!,#REF!,#REF!,#REF!,#REF!,#REF!,#REF!</definedName>
    <definedName name="__APW_RESTORE_DATA1483__" hidden="1">#REF!,#REF!,#REF!,#REF!,#REF!,#REF!,#REF!,#REF!,#REF!,#REF!,#REF!,#REF!,#REF!,#REF!,#REF!</definedName>
    <definedName name="__APW_RESTORE_DATA1484__" hidden="1">#REF!,#REF!,#REF!,#REF!,#REF!,#REF!,#REF!,#REF!,#REF!,#REF!,#REF!,#REF!,#REF!,#REF!,#REF!</definedName>
    <definedName name="__APW_RESTORE_DATA1485__" hidden="1">#REF!,#REF!,#REF!,#REF!,#REF!,#REF!,#REF!,#REF!,#REF!,#REF!,#REF!,#REF!,#REF!,#REF!,#REF!</definedName>
    <definedName name="__APW_RESTORE_DATA1486__" hidden="1">#REF!,#REF!,#REF!,#REF!,#REF!,#REF!,#REF!,#REF!,#REF!,#REF!,#REF!,#REF!,#REF!,#REF!,#REF!</definedName>
    <definedName name="__APW_RESTORE_DATA1487__" hidden="1">#REF!,#REF!,#REF!,#REF!,#REF!,#REF!,#REF!,#REF!,#REF!,#REF!,#REF!,#REF!,#REF!,#REF!,#REF!</definedName>
    <definedName name="__APW_RESTORE_DATA1488__" hidden="1">#REF!,#REF!,#REF!,#REF!,#REF!,#REF!,#REF!,#REF!,#REF!,#REF!,#REF!,#REF!,#REF!,#REF!,#REF!</definedName>
    <definedName name="__APW_RESTORE_DATA1489__" hidden="1">#REF!,#REF!,#REF!,#REF!,#REF!,#REF!,#REF!,#REF!,#REF!,#REF!,#REF!,#REF!,#REF!,#REF!,#REF!</definedName>
    <definedName name="__APW_RESTORE_DATA149__" hidden="1">#REF!,#REF!,#REF!,#REF!,#REF!,#REF!,#REF!,#REF!,#REF!,#REF!,#REF!,#REF!,#REF!,#REF!,#REF!,#REF!</definedName>
    <definedName name="__APW_RESTORE_DATA1490__" hidden="1">#REF!,#REF!,#REF!,#REF!,#REF!,#REF!,#REF!,#REF!,#REF!,#REF!,#REF!,#REF!,#REF!,#REF!,#REF!</definedName>
    <definedName name="__APW_RESTORE_DATA1491__" hidden="1">#REF!,#REF!,#REF!,#REF!,#REF!,#REF!,#REF!,#REF!,#REF!,#REF!,#REF!,#REF!,#REF!,#REF!,#REF!</definedName>
    <definedName name="__APW_RESTORE_DATA1492__" hidden="1">#REF!,#REF!,#REF!,#REF!,#REF!,#REF!,#REF!,#REF!,#REF!,#REF!,#REF!,#REF!,#REF!,#REF!,#REF!</definedName>
    <definedName name="__APW_RESTORE_DATA1493__" hidden="1">#REF!,#REF!,#REF!,#REF!,#REF!,#REF!,#REF!,#REF!,#REF!,#REF!,#REF!,#REF!,#REF!,#REF!,#REF!</definedName>
    <definedName name="__APW_RESTORE_DATA1494__" hidden="1">#REF!,#REF!,#REF!,#REF!,#REF!,#REF!,#REF!,#REF!,#REF!,#REF!,#REF!,#REF!,#REF!,#REF!,#REF!</definedName>
    <definedName name="__APW_RESTORE_DATA1495__" hidden="1">#REF!,#REF!,#REF!,#REF!,#REF!,#REF!,#REF!,#REF!,#REF!,#REF!,#REF!,#REF!,#REF!,#REF!,#REF!</definedName>
    <definedName name="__APW_RESTORE_DATA1496__" hidden="1">#REF!,#REF!,#REF!,#REF!,#REF!,#REF!,#REF!,#REF!,#REF!,#REF!,#REF!,#REF!,#REF!,#REF!,#REF!</definedName>
    <definedName name="__APW_RESTORE_DATA1497__" hidden="1">#REF!,#REF!,#REF!,#REF!,#REF!,#REF!,#REF!,#REF!,#REF!,#REF!,#REF!,#REF!,#REF!,#REF!,#REF!</definedName>
    <definedName name="__APW_RESTORE_DATA1498__" hidden="1">#REF!,#REF!,#REF!,#REF!,#REF!,#REF!,#REF!,#REF!,#REF!,#REF!,#REF!,#REF!,#REF!,#REF!,#REF!</definedName>
    <definedName name="__APW_RESTORE_DATA1499__" hidden="1">#REF!,#REF!,#REF!,#REF!,#REF!,#REF!,#REF!,#REF!,#REF!,#REF!,#REF!,#REF!,#REF!,#REF!,#REF!</definedName>
    <definedName name="__APW_RESTORE_DATA15__" hidden="1">#REF!</definedName>
    <definedName name="__APW_RESTORE_DATA150__" hidden="1">#REF!,#REF!,#REF!,#REF!,#REF!,#REF!,#REF!,#REF!,#REF!,#REF!,#REF!,#REF!,#REF!,#REF!,#REF!,#REF!</definedName>
    <definedName name="__APW_RESTORE_DATA1500__" hidden="1">#REF!,#REF!,#REF!,#REF!,#REF!,#REF!,#REF!,#REF!,#REF!,#REF!,#REF!,#REF!,#REF!,#REF!,#REF!</definedName>
    <definedName name="__APW_RESTORE_DATA1501__" hidden="1">#REF!,#REF!,#REF!,#REF!,#REF!,#REF!,#REF!,#REF!,#REF!,#REF!,#REF!,#REF!,#REF!,#REF!,#REF!</definedName>
    <definedName name="__APW_RESTORE_DATA1502__" hidden="1">#REF!,#REF!,#REF!,#REF!,#REF!,#REF!,#REF!,#REF!,#REF!,#REF!,#REF!,#REF!,#REF!,#REF!,#REF!</definedName>
    <definedName name="__APW_RESTORE_DATA1503__" hidden="1">#REF!,#REF!,#REF!,#REF!,#REF!,#REF!,#REF!,#REF!,#REF!,#REF!,#REF!,#REF!,#REF!,#REF!,#REF!</definedName>
    <definedName name="__APW_RESTORE_DATA1504__" hidden="1">#REF!,#REF!,#REF!,#REF!,#REF!,#REF!,#REF!,#REF!,#REF!,#REF!,#REF!,#REF!,#REF!,#REF!,#REF!</definedName>
    <definedName name="__APW_RESTORE_DATA1505__" hidden="1">#REF!,#REF!,#REF!,#REF!,#REF!,#REF!,#REF!,#REF!,#REF!,#REF!,#REF!,#REF!,#REF!,#REF!,#REF!</definedName>
    <definedName name="__APW_RESTORE_DATA1506__" hidden="1">#REF!,#REF!,#REF!,#REF!,#REF!,#REF!,#REF!,#REF!,#REF!,#REF!,#REF!,#REF!,#REF!,#REF!,#REF!</definedName>
    <definedName name="__APW_RESTORE_DATA1507__" hidden="1">#REF!,#REF!,#REF!,#REF!,#REF!,#REF!,#REF!,#REF!,#REF!,#REF!,#REF!,#REF!,#REF!,#REF!,#REF!</definedName>
    <definedName name="__APW_RESTORE_DATA1508__" hidden="1">#REF!,#REF!,#REF!,#REF!,#REF!,#REF!,#REF!,#REF!,#REF!,#REF!,#REF!,#REF!,#REF!,#REF!,#REF!</definedName>
    <definedName name="__APW_RESTORE_DATA1509__" hidden="1">#REF!,#REF!,#REF!,#REF!,#REF!,#REF!,#REF!,#REF!,#REF!,#REF!,#REF!,#REF!,#REF!,#REF!,#REF!</definedName>
    <definedName name="__APW_RESTORE_DATA151__" hidden="1">#REF!,#REF!,#REF!,#REF!,#REF!,#REF!,#REF!,#REF!,#REF!,#REF!,#REF!,#REF!,#REF!,#REF!,#REF!,#REF!</definedName>
    <definedName name="__APW_RESTORE_DATA1510__" hidden="1">#REF!,#REF!,#REF!,#REF!,#REF!,#REF!,#REF!,#REF!,#REF!,#REF!,#REF!,#REF!,#REF!,#REF!,#REF!</definedName>
    <definedName name="__APW_RESTORE_DATA1511__" hidden="1">#REF!,#REF!,#REF!,#REF!,#REF!,#REF!</definedName>
    <definedName name="__APW_RESTORE_DATA1512__" hidden="1">#REF!,#REF!,#REF!,#REF!,#REF!,#REF!,#REF!,#REF!,#REF!,#REF!,#REF!,#REF!,#REF!,#REF!,#REF!,#REF!</definedName>
    <definedName name="__APW_RESTORE_DATA1513__" hidden="1">#REF!,#REF!,#REF!,#REF!,#REF!,#REF!,#REF!,#REF!,#REF!,#REF!,#REF!,#REF!,#REF!,#REF!,#REF!,#REF!</definedName>
    <definedName name="__APW_RESTORE_DATA1514__" hidden="1">#REF!,#REF!,#REF!,#REF!,#REF!,#REF!,#REF!,#REF!,#REF!,#REF!,#REF!,#REF!,#REF!,#REF!,#REF!,#REF!</definedName>
    <definedName name="__APW_RESTORE_DATA1515__" hidden="1">#REF!,#REF!,#REF!,#REF!,#REF!,#REF!,#REF!,#REF!,#REF!,#REF!,#REF!,#REF!,#REF!,#REF!,#REF!,#REF!</definedName>
    <definedName name="__APW_RESTORE_DATA1516__" hidden="1">#REF!,#REF!,#REF!,#REF!,#REF!,#REF!,#REF!,#REF!,#REF!,#REF!,#REF!,#REF!,#REF!,#REF!,#REF!,#REF!</definedName>
    <definedName name="__APW_RESTORE_DATA1517__" hidden="1">#REF!,#REF!,#REF!,#REF!,#REF!,#REF!,#REF!,#REF!,#REF!,#REF!,#REF!,#REF!,#REF!,#REF!,#REF!,#REF!</definedName>
    <definedName name="__APW_RESTORE_DATA1518__" hidden="1">#REF!,#REF!,#REF!,#REF!,#REF!,#REF!,#REF!,#REF!,#REF!,#REF!,#REF!,#REF!,#REF!,#REF!,#REF!</definedName>
    <definedName name="__APW_RESTORE_DATA1519__" hidden="1">#REF!,#REF!,#REF!,#REF!,#REF!,#REF!,#REF!,#REF!,#REF!,#REF!,#REF!,#REF!,#REF!,#REF!,#REF!</definedName>
    <definedName name="__APW_RESTORE_DATA152__" hidden="1">#REF!,#REF!,#REF!,#REF!,#REF!,#REF!,#REF!,#REF!,#REF!,#REF!,#REF!,#REF!,#REF!,#REF!,#REF!,#REF!</definedName>
    <definedName name="__APW_RESTORE_DATA1520__" hidden="1">#REF!,#REF!,#REF!,#REF!,#REF!,#REF!,#REF!,#REF!,#REF!,#REF!,#REF!,#REF!,#REF!,#REF!,#REF!</definedName>
    <definedName name="__APW_RESTORE_DATA1521__" hidden="1">#REF!,#REF!,#REF!,#REF!,#REF!,#REF!,#REF!,#REF!,#REF!,#REF!,#REF!,#REF!,#REF!,#REF!,#REF!</definedName>
    <definedName name="__APW_RESTORE_DATA1522__" hidden="1">#REF!,#REF!,#REF!,#REF!,#REF!,#REF!,#REF!,#REF!,#REF!,#REF!,#REF!,#REF!,#REF!,#REF!,#REF!</definedName>
    <definedName name="__APW_RESTORE_DATA1523__" hidden="1">#REF!,#REF!,#REF!,#REF!,#REF!,#REF!,#REF!,#REF!,#REF!,#REF!,#REF!,#REF!,#REF!,#REF!,#REF!</definedName>
    <definedName name="__APW_RESTORE_DATA1524__" hidden="1">#REF!,#REF!,#REF!,#REF!,#REF!,#REF!,#REF!,#REF!,#REF!,#REF!,#REF!,#REF!,#REF!,#REF!,#REF!</definedName>
    <definedName name="__APW_RESTORE_DATA1525__" hidden="1">#REF!,#REF!,#REF!,#REF!,#REF!,#REF!,#REF!,#REF!,#REF!,#REF!,#REF!,#REF!,#REF!,#REF!,#REF!</definedName>
    <definedName name="__APW_RESTORE_DATA1526__" hidden="1">#REF!,#REF!,#REF!,#REF!,#REF!,#REF!,#REF!,#REF!,#REF!,#REF!,#REF!,#REF!,#REF!,#REF!,#REF!</definedName>
    <definedName name="__APW_RESTORE_DATA1527__" hidden="1">#REF!,#REF!,#REF!,#REF!,#REF!,#REF!,#REF!,#REF!,#REF!,#REF!,#REF!,#REF!,#REF!,#REF!,#REF!</definedName>
    <definedName name="__APW_RESTORE_DATA1528__" hidden="1">#REF!,#REF!,#REF!,#REF!,#REF!,#REF!,#REF!,#REF!,#REF!,#REF!,#REF!,#REF!,#REF!,#REF!,#REF!</definedName>
    <definedName name="__APW_RESTORE_DATA1529__" hidden="1">#REF!,#REF!,#REF!,#REF!,#REF!,#REF!,#REF!,#REF!,#REF!,#REF!,#REF!,#REF!,#REF!,#REF!,#REF!</definedName>
    <definedName name="__APW_RESTORE_DATA153__" hidden="1">#REF!,#REF!,#REF!,#REF!,#REF!,#REF!,#REF!,#REF!,#REF!,#REF!,#REF!,#REF!,#REF!,#REF!,#REF!</definedName>
    <definedName name="__APW_RESTORE_DATA1530__" hidden="1">#REF!,#REF!,#REF!,#REF!,#REF!,#REF!,#REF!,#REF!,#REF!,#REF!,#REF!,#REF!,#REF!,#REF!,#REF!</definedName>
    <definedName name="__APW_RESTORE_DATA1531__" hidden="1">#REF!,#REF!,#REF!,#REF!,#REF!,#REF!,#REF!,#REF!,#REF!,#REF!,#REF!,#REF!,#REF!,#REF!,#REF!</definedName>
    <definedName name="__APW_RESTORE_DATA1532__" hidden="1">#REF!,#REF!,#REF!,#REF!,#REF!,#REF!,#REF!,#REF!,#REF!,#REF!,#REF!,#REF!,#REF!,#REF!,#REF!</definedName>
    <definedName name="__APW_RESTORE_DATA1533__" hidden="1">#REF!,#REF!,#REF!,#REF!,#REF!,#REF!,#REF!,#REF!,#REF!,#REF!,#REF!,#REF!,#REF!,#REF!,#REF!</definedName>
    <definedName name="__APW_RESTORE_DATA1534__" hidden="1">#REF!,#REF!,#REF!,#REF!,#REF!,#REF!,#REF!,#REF!,#REF!,#REF!,#REF!,#REF!,#REF!,#REF!,#REF!</definedName>
    <definedName name="__APW_RESTORE_DATA1535__" hidden="1">#REF!,#REF!,#REF!,#REF!,#REF!,#REF!,#REF!,#REF!,#REF!,#REF!,#REF!,#REF!,#REF!,#REF!,#REF!</definedName>
    <definedName name="__APW_RESTORE_DATA1536__" hidden="1">#REF!,#REF!,#REF!,#REF!,#REF!,#REF!,#REF!,#REF!,#REF!,#REF!,#REF!,#REF!,#REF!,#REF!,#REF!</definedName>
    <definedName name="__APW_RESTORE_DATA1537__" hidden="1">#REF!,#REF!,#REF!,#REF!,#REF!,#REF!,#REF!,#REF!,#REF!,#REF!,#REF!,#REF!,#REF!,#REF!,#REF!</definedName>
    <definedName name="__APW_RESTORE_DATA1538__" hidden="1">#REF!,#REF!,#REF!,#REF!,#REF!,#REF!,#REF!,#REF!,#REF!,#REF!,#REF!,#REF!,#REF!,#REF!,#REF!</definedName>
    <definedName name="__APW_RESTORE_DATA1539__" hidden="1">#REF!,#REF!,#REF!,#REF!,#REF!,#REF!,#REF!,#REF!,#REF!,#REF!,#REF!,#REF!,#REF!,#REF!,#REF!</definedName>
    <definedName name="__APW_RESTORE_DATA154__" hidden="1">#REF!,#REF!</definedName>
    <definedName name="__APW_RESTORE_DATA1540__" hidden="1">#REF!,#REF!,#REF!,#REF!,#REF!,#REF!,#REF!,#REF!,#REF!,#REF!,#REF!,#REF!,#REF!,#REF!,#REF!</definedName>
    <definedName name="__APW_RESTORE_DATA1541__" hidden="1">#REF!,#REF!,#REF!,#REF!,#REF!,#REF!,#REF!,#REF!,#REF!,#REF!,#REF!,#REF!,#REF!,#REF!,#REF!</definedName>
    <definedName name="__APW_RESTORE_DATA1542__" hidden="1">#REF!,#REF!,#REF!,#REF!,#REF!,#REF!,#REF!,#REF!,#REF!,#REF!,#REF!,#REF!,#REF!,#REF!,#REF!</definedName>
    <definedName name="__APW_RESTORE_DATA1543__" hidden="1">#REF!,#REF!,#REF!,#REF!,#REF!,#REF!,#REF!,#REF!,#REF!,#REF!,#REF!,#REF!,#REF!,#REF!,#REF!</definedName>
    <definedName name="__APW_RESTORE_DATA1544__" hidden="1">#REF!,#REF!,#REF!,#REF!,#REF!,#REF!,#REF!,#REF!,#REF!,#REF!,#REF!,#REF!,#REF!,#REF!,#REF!</definedName>
    <definedName name="__APW_RESTORE_DATA1545__" hidden="1">#REF!,#REF!,#REF!,#REF!,#REF!,#REF!,#REF!,#REF!,#REF!,#REF!,#REF!,#REF!,#REF!,#REF!,#REF!</definedName>
    <definedName name="__APW_RESTORE_DATA1546__" hidden="1">#REF!,#REF!,#REF!,#REF!,#REF!,#REF!</definedName>
    <definedName name="__APW_RESTORE_DATA1547__" hidden="1">#REF!,#REF!,#REF!,#REF!,#REF!,#REF!,#REF!,#REF!,#REF!,#REF!,#REF!,#REF!,#REF!,#REF!,#REF!,#REF!</definedName>
    <definedName name="__APW_RESTORE_DATA1548__" hidden="1">#REF!,#REF!,#REF!,#REF!,#REF!,#REF!,#REF!,#REF!,#REF!,#REF!,#REF!,#REF!,#REF!,#REF!,#REF!,#REF!</definedName>
    <definedName name="__APW_RESTORE_DATA1549__" hidden="1">#REF!,#REF!,#REF!,#REF!,#REF!,#REF!,#REF!,#REF!,#REF!,#REF!,#REF!,#REF!,#REF!,#REF!,#REF!,#REF!</definedName>
    <definedName name="__APW_RESTORE_DATA155__" hidden="1">#REF!,#REF!</definedName>
    <definedName name="__APW_RESTORE_DATA1550__" hidden="1">#REF!,#REF!,#REF!,#REF!,#REF!,#REF!,#REF!,#REF!,#REF!,#REF!,#REF!,#REF!,#REF!,#REF!,#REF!,#REF!</definedName>
    <definedName name="__APW_RESTORE_DATA1551__" hidden="1">#REF!,#REF!,#REF!,#REF!,#REF!,#REF!,#REF!,#REF!,#REF!,#REF!,#REF!,#REF!,#REF!,#REF!,#REF!,#REF!</definedName>
    <definedName name="__APW_RESTORE_DATA1552__" hidden="1">#REF!,#REF!,#REF!,#REF!,#REF!,#REF!,#REF!,#REF!,#REF!,#REF!,#REF!,#REF!,#REF!,#REF!,#REF!,#REF!</definedName>
    <definedName name="__APW_RESTORE_DATA1553__" hidden="1">#REF!,#REF!,#REF!,#REF!,#REF!,#REF!,#REF!,#REF!,#REF!,#REF!,#REF!,#REF!,#REF!,#REF!,#REF!</definedName>
    <definedName name="__APW_RESTORE_DATA1554__" hidden="1">#REF!,#REF!,#REF!,#REF!,#REF!,#REF!,#REF!,#REF!,#REF!,#REF!,#REF!,#REF!,#REF!,#REF!,#REF!</definedName>
    <definedName name="__APW_RESTORE_DATA1555__" hidden="1">#REF!,#REF!,#REF!,#REF!,#REF!,#REF!,#REF!,#REF!,#REF!,#REF!,#REF!,#REF!,#REF!,#REF!,#REF!</definedName>
    <definedName name="__APW_RESTORE_DATA1556__" hidden="1">#REF!,#REF!,#REF!,#REF!,#REF!,#REF!,#REF!,#REF!,#REF!,#REF!,#REF!,#REF!,#REF!,#REF!,#REF!</definedName>
    <definedName name="__APW_RESTORE_DATA1557__" hidden="1">#REF!,#REF!,#REF!,#REF!,#REF!,#REF!,#REF!,#REF!,#REF!,#REF!,#REF!,#REF!,#REF!,#REF!,#REF!</definedName>
    <definedName name="__APW_RESTORE_DATA1558__" hidden="1">#REF!,#REF!,#REF!,#REF!,#REF!,#REF!,#REF!,#REF!,#REF!,#REF!,#REF!,#REF!,#REF!,#REF!,#REF!</definedName>
    <definedName name="__APW_RESTORE_DATA1559__" hidden="1">#REF!,#REF!,#REF!,#REF!,#REF!,#REF!,#REF!,#REF!,#REF!,#REF!,#REF!,#REF!,#REF!,#REF!,#REF!</definedName>
    <definedName name="__APW_RESTORE_DATA156__" hidden="1">#REF!,#REF!,#REF!,#REF!,#REF!,#REF!,#REF!,#REF!,#REF!,#REF!,#REF!,#REF!,#REF!,#REF!,#REF!</definedName>
    <definedName name="__APW_RESTORE_DATA1560__" hidden="1">#REF!,#REF!,#REF!,#REF!,#REF!,#REF!,#REF!,#REF!,#REF!,#REF!,#REF!,#REF!,#REF!,#REF!,#REF!</definedName>
    <definedName name="__APW_RESTORE_DATA1561__" hidden="1">#REF!,#REF!,#REF!,#REF!,#REF!,#REF!,#REF!,#REF!,#REF!,#REF!,#REF!,#REF!,#REF!,#REF!,#REF!</definedName>
    <definedName name="__APW_RESTORE_DATA1562__" hidden="1">#REF!,#REF!,#REF!,#REF!,#REF!,#REF!,#REF!,#REF!,#REF!,#REF!,#REF!,#REF!,#REF!,#REF!,#REF!</definedName>
    <definedName name="__APW_RESTORE_DATA1563__" hidden="1">#REF!,#REF!,#REF!,#REF!,#REF!,#REF!,#REF!,#REF!,#REF!,#REF!,#REF!,#REF!,#REF!,#REF!,#REF!</definedName>
    <definedName name="__APW_RESTORE_DATA1564__" hidden="1">#REF!,#REF!,#REF!,#REF!,#REF!,#REF!,#REF!,#REF!,#REF!,#REF!,#REF!,#REF!,#REF!,#REF!,#REF!</definedName>
    <definedName name="__APW_RESTORE_DATA1565__" hidden="1">#REF!,#REF!,#REF!,#REF!,#REF!,#REF!,#REF!,#REF!,#REF!,#REF!,#REF!,#REF!,#REF!,#REF!,#REF!</definedName>
    <definedName name="__APW_RESTORE_DATA1566__" hidden="1">#REF!,#REF!,#REF!,#REF!,#REF!,#REF!,#REF!,#REF!,#REF!,#REF!,#REF!,#REF!,#REF!,#REF!,#REF!</definedName>
    <definedName name="__APW_RESTORE_DATA1567__" hidden="1">#REF!,#REF!,#REF!,#REF!,#REF!,#REF!,#REF!,#REF!,#REF!,#REF!,#REF!,#REF!,#REF!,#REF!,#REF!</definedName>
    <definedName name="__APW_RESTORE_DATA1568__" hidden="1">#REF!,#REF!,#REF!,#REF!,#REF!,#REF!,#REF!,#REF!,#REF!,#REF!,#REF!,#REF!,#REF!,#REF!,#REF!</definedName>
    <definedName name="__APW_RESTORE_DATA1569__" hidden="1">#REF!,#REF!,#REF!,#REF!,#REF!,#REF!,#REF!,#REF!,#REF!,#REF!,#REF!,#REF!,#REF!,#REF!,#REF!</definedName>
    <definedName name="__APW_RESTORE_DATA157__" hidden="1">#REF!,#REF!,#REF!,#REF!,#REF!,#REF!,#REF!,#REF!,#REF!,#REF!,#REF!,#REF!,#REF!,#REF!,#REF!</definedName>
    <definedName name="__APW_RESTORE_DATA1570__" hidden="1">#REF!,#REF!,#REF!,#REF!,#REF!,#REF!,#REF!,#REF!,#REF!,#REF!,#REF!,#REF!,#REF!,#REF!,#REF!</definedName>
    <definedName name="__APW_RESTORE_DATA1571__" hidden="1">#REF!,#REF!,#REF!,#REF!,#REF!,#REF!,#REF!,#REF!,#REF!,#REF!,#REF!,#REF!,#REF!,#REF!,#REF!</definedName>
    <definedName name="__APW_RESTORE_DATA1572__" hidden="1">#REF!,#REF!,#REF!,#REF!,#REF!,#REF!,#REF!,#REF!,#REF!,#REF!,#REF!,#REF!,#REF!,#REF!,#REF!</definedName>
    <definedName name="__APW_RESTORE_DATA1573__" hidden="1">#REF!,#REF!,#REF!,#REF!,#REF!,#REF!,#REF!,#REF!,#REF!,#REF!,#REF!,#REF!,#REF!,#REF!,#REF!</definedName>
    <definedName name="__APW_RESTORE_DATA1574__" hidden="1">#REF!,#REF!,#REF!,#REF!,#REF!,#REF!,#REF!,#REF!,#REF!,#REF!,#REF!,#REF!,#REF!,#REF!,#REF!</definedName>
    <definedName name="__APW_RESTORE_DATA1575__" hidden="1">#REF!,#REF!,#REF!,#REF!,#REF!,#REF!,#REF!,#REF!,#REF!,#REF!,#REF!,#REF!,#REF!,#REF!,#REF!</definedName>
    <definedName name="__APW_RESTORE_DATA1576__" hidden="1">#REF!,#REF!,#REF!,#REF!,#REF!,#REF!,#REF!,#REF!,#REF!,#REF!,#REF!,#REF!,#REF!,#REF!,#REF!</definedName>
    <definedName name="__APW_RESTORE_DATA1577__" hidden="1">#REF!,#REF!,#REF!,#REF!,#REF!,#REF!,#REF!,#REF!,#REF!,#REF!,#REF!,#REF!,#REF!,#REF!,#REF!</definedName>
    <definedName name="__APW_RESTORE_DATA1578__" hidden="1">#REF!,#REF!,#REF!,#REF!,#REF!,#REF!,#REF!,#REF!,#REF!,#REF!,#REF!,#REF!,#REF!,#REF!,#REF!</definedName>
    <definedName name="__APW_RESTORE_DATA1579__" hidden="1">#REF!,#REF!,#REF!,#REF!,#REF!,#REF!,#REF!,#REF!,#REF!,#REF!,#REF!,#REF!,#REF!,#REF!,#REF!</definedName>
    <definedName name="__APW_RESTORE_DATA158__" hidden="1">#REF!,#REF!,#REF!,#REF!,#REF!,#REF!,#REF!,#REF!,#REF!,#REF!,#REF!,#REF!,#REF!,#REF!,#REF!</definedName>
    <definedName name="__APW_RESTORE_DATA1580__" hidden="1">#REF!,#REF!,#REF!,#REF!,#REF!,#REF!,#REF!,#REF!,#REF!,#REF!,#REF!,#REF!,#REF!,#REF!,#REF!</definedName>
    <definedName name="__APW_RESTORE_DATA1581__" hidden="1">#REF!,#REF!,#REF!,#REF!,#REF!,#REF!</definedName>
    <definedName name="__APW_RESTORE_DATA1582__" hidden="1">#REF!</definedName>
    <definedName name="__APW_RESTORE_DATA1583__" hidden="1">#REF!</definedName>
    <definedName name="__APW_RESTORE_DATA1585__" hidden="1">#REF!</definedName>
    <definedName name="__APW_RESTORE_DATA1586__" hidden="1">#REF!</definedName>
    <definedName name="__APW_RESTORE_DATA1587__" hidden="1">#REF!,#REF!,#REF!,#REF!,#REF!,#REF!,#REF!,#REF!,#REF!,#REF!,#REF!,#REF!,#REF!,#REF!,#REF!,#REF!</definedName>
    <definedName name="__APW_RESTORE_DATA1588__" hidden="1">#REF!,#REF!,#REF!,#REF!,#REF!,#REF!,#REF!,#REF!,#REF!,#REF!,#REF!,#REF!,#REF!,#REF!,#REF!,#REF!</definedName>
    <definedName name="__APW_RESTORE_DATA1589__" hidden="1">#REF!,#REF!,#REF!,#REF!,#REF!,#REF!,#REF!,#REF!,#REF!,#REF!,#REF!,#REF!,#REF!,#REF!,#REF!,#REF!</definedName>
    <definedName name="__APW_RESTORE_DATA159__" hidden="1">#REF!,#REF!,#REF!,#REF!,#REF!,#REF!,#REF!,#REF!,#REF!,#REF!,#REF!,#REF!,#REF!,#REF!,#REF!</definedName>
    <definedName name="__APW_RESTORE_DATA1590__" hidden="1">#REF!,#REF!,#REF!,#REF!,#REF!,#REF!,#REF!,#REF!,#REF!,#REF!,#REF!,#REF!,#REF!,#REF!,#REF!,#REF!</definedName>
    <definedName name="__APW_RESTORE_DATA1591__" hidden="1">#REF!,#REF!,#REF!,#REF!,#REF!,#REF!,#REF!,#REF!,#REF!,#REF!,#REF!,#REF!,#REF!,#REF!,#REF!,#REF!</definedName>
    <definedName name="__APW_RESTORE_DATA1592__" hidden="1">#REF!,#REF!,#REF!,#REF!,#REF!,#REF!,#REF!,#REF!,#REF!,#REF!,#REF!,#REF!,#REF!,#REF!,#REF!,#REF!</definedName>
    <definedName name="__APW_RESTORE_DATA1593__" hidden="1">#REF!,#REF!,#REF!,#REF!,#REF!,#REF!,#REF!,#REF!,#REF!,#REF!,#REF!,#REF!,#REF!,#REF!,#REF!</definedName>
    <definedName name="__APW_RESTORE_DATA1594__" hidden="1">#REF!,#REF!,#REF!,#REF!,#REF!,#REF!,#REF!,#REF!,#REF!,#REF!,#REF!,#REF!,#REF!,#REF!,#REF!</definedName>
    <definedName name="__APW_RESTORE_DATA1595__" hidden="1">#REF!,#REF!,#REF!,#REF!,#REF!,#REF!,#REF!,#REF!,#REF!,#REF!,#REF!,#REF!,#REF!,#REF!,#REF!</definedName>
    <definedName name="__APW_RESTORE_DATA1596__" hidden="1">#REF!,#REF!,#REF!,#REF!,#REF!,#REF!,#REF!,#REF!,#REF!,#REF!,#REF!,#REF!,#REF!,#REF!,#REF!</definedName>
    <definedName name="__APW_RESTORE_DATA1597__" hidden="1">#REF!,#REF!,#REF!,#REF!,#REF!,#REF!,#REF!,#REF!,#REF!,#REF!,#REF!,#REF!,#REF!,#REF!,#REF!</definedName>
    <definedName name="__APW_RESTORE_DATA1598__" hidden="1">#REF!,#REF!,#REF!,#REF!,#REF!,#REF!,#REF!,#REF!,#REF!,#REF!,#REF!,#REF!,#REF!,#REF!,#REF!</definedName>
    <definedName name="__APW_RESTORE_DATA1599__" hidden="1">#REF!,#REF!,#REF!,#REF!,#REF!,#REF!,#REF!,#REF!,#REF!,#REF!,#REF!,#REF!,#REF!,#REF!,#REF!</definedName>
    <definedName name="__APW_RESTORE_DATA16__" hidden="1">#REF!,#REF!,#REF!,#REF!,#REF!,#REF!,#REF!,#REF!,#REF!,#REF!,#REF!,#REF!,#REF!,#REF!,#REF!,#REF!</definedName>
    <definedName name="__APW_RESTORE_DATA160__" hidden="1">#REF!,#REF!,#REF!,#REF!,#REF!,#REF!,#REF!,#REF!,#REF!,#REF!,#REF!,#REF!,#REF!,#REF!,#REF!</definedName>
    <definedName name="__APW_RESTORE_DATA1600__" hidden="1">#REF!,#REF!,#REF!,#REF!,#REF!,#REF!,#REF!,#REF!,#REF!,#REF!,#REF!,#REF!,#REF!,#REF!,#REF!</definedName>
    <definedName name="__APW_RESTORE_DATA1601__" hidden="1">#REF!,#REF!,#REF!,#REF!,#REF!,#REF!,#REF!,#REF!,#REF!,#REF!,#REF!,#REF!,#REF!,#REF!,#REF!</definedName>
    <definedName name="__APW_RESTORE_DATA1602__" hidden="1">#REF!,#REF!,#REF!,#REF!,#REF!,#REF!,#REF!,#REF!,#REF!,#REF!,#REF!,#REF!,#REF!,#REF!,#REF!</definedName>
    <definedName name="__APW_RESTORE_DATA1603__" hidden="1">#REF!,#REF!,#REF!,#REF!,#REF!,#REF!,#REF!,#REF!,#REF!,#REF!,#REF!,#REF!,#REF!,#REF!,#REF!</definedName>
    <definedName name="__APW_RESTORE_DATA1604__" hidden="1">#REF!,#REF!,#REF!,#REF!,#REF!,#REF!,#REF!,#REF!,#REF!,#REF!,#REF!,#REF!,#REF!,#REF!,#REF!</definedName>
    <definedName name="__APW_RESTORE_DATA1605__" hidden="1">#REF!,#REF!,#REF!,#REF!,#REF!,#REF!,#REF!,#REF!,#REF!,#REF!,#REF!,#REF!,#REF!,#REF!,#REF!</definedName>
    <definedName name="__APW_RESTORE_DATA1606__" hidden="1">#REF!,#REF!,#REF!,#REF!,#REF!,#REF!,#REF!,#REF!,#REF!,#REF!,#REF!,#REF!,#REF!,#REF!,#REF!</definedName>
    <definedName name="__APW_RESTORE_DATA1607__" hidden="1">#REF!,#REF!,#REF!,#REF!,#REF!,#REF!,#REF!,#REF!,#REF!,#REF!,#REF!,#REF!,#REF!,#REF!,#REF!</definedName>
    <definedName name="__APW_RESTORE_DATA1608__" hidden="1">#REF!,#REF!,#REF!,#REF!,#REF!,#REF!,#REF!,#REF!,#REF!,#REF!,#REF!,#REF!,#REF!,#REF!,#REF!</definedName>
    <definedName name="__APW_RESTORE_DATA1609__" hidden="1">#REF!,#REF!,#REF!,#REF!,#REF!,#REF!,#REF!,#REF!,#REF!,#REF!,#REF!,#REF!,#REF!,#REF!,#REF!</definedName>
    <definedName name="__APW_RESTORE_DATA161__" hidden="1">#REF!,#REF!,#REF!,#REF!,#REF!,#REF!,#REF!,#REF!,#REF!,#REF!,#REF!,#REF!,#REF!,#REF!,#REF!</definedName>
    <definedName name="__APW_RESTORE_DATA1610__" hidden="1">#REF!,#REF!,#REF!,#REF!,#REF!,#REF!,#REF!,#REF!,#REF!,#REF!,#REF!,#REF!,#REF!,#REF!,#REF!</definedName>
    <definedName name="__APW_RESTORE_DATA1611__" hidden="1">#REF!,#REF!,#REF!,#REF!,#REF!,#REF!,#REF!,#REF!,#REF!,#REF!,#REF!,#REF!,#REF!,#REF!,#REF!</definedName>
    <definedName name="__APW_RESTORE_DATA1612__" hidden="1">#REF!,#REF!,#REF!,#REF!,#REF!,#REF!,#REF!,#REF!,#REF!,#REF!,#REF!,#REF!,#REF!,#REF!,#REF!</definedName>
    <definedName name="__APW_RESTORE_DATA1613__" hidden="1">#REF!,#REF!,#REF!,#REF!,#REF!,#REF!,#REF!,#REF!,#REF!,#REF!,#REF!,#REF!,#REF!,#REF!,#REF!</definedName>
    <definedName name="__APW_RESTORE_DATA1614__" hidden="1">#REF!,#REF!,#REF!,#REF!,#REF!,#REF!,#REF!,#REF!,#REF!,#REF!,#REF!,#REF!,#REF!,#REF!,#REF!</definedName>
    <definedName name="__APW_RESTORE_DATA1615__" hidden="1">#REF!,#REF!,#REF!,#REF!,#REF!,#REF!,#REF!,#REF!,#REF!,#REF!,#REF!,#REF!,#REF!,#REF!,#REF!</definedName>
    <definedName name="__APW_RESTORE_DATA1616__" hidden="1">#REF!,#REF!,#REF!,#REF!,#REF!,#REF!,#REF!,#REF!,#REF!,#REF!,#REF!,#REF!,#REF!,#REF!,#REF!</definedName>
    <definedName name="__APW_RESTORE_DATA1617__" hidden="1">#REF!,#REF!,#REF!,#REF!,#REF!,#REF!,#REF!,#REF!,#REF!,#REF!,#REF!,#REF!,#REF!,#REF!,#REF!</definedName>
    <definedName name="__APW_RESTORE_DATA1618__" hidden="1">#REF!,#REF!,#REF!,#REF!,#REF!,#REF!,#REF!,#REF!,#REF!,#REF!,#REF!,#REF!,#REF!,#REF!,#REF!</definedName>
    <definedName name="__APW_RESTORE_DATA1619__" hidden="1">#REF!,#REF!,#REF!,#REF!,#REF!,#REF!,#REF!,#REF!,#REF!,#REF!,#REF!,#REF!,#REF!,#REF!,#REF!</definedName>
    <definedName name="__APW_RESTORE_DATA162__" hidden="1">#REF!,#REF!,#REF!,#REF!,#REF!,#REF!,#REF!,#REF!,#REF!,#REF!,#REF!,#REF!,#REF!,#REF!,#REF!</definedName>
    <definedName name="__APW_RESTORE_DATA1620__" hidden="1">#REF!,#REF!,#REF!,#REF!,#REF!,#REF!,#REF!,#REF!,#REF!,#REF!,#REF!,#REF!,#REF!,#REF!,#REF!</definedName>
    <definedName name="__APW_RESTORE_DATA1621__" hidden="1">#REF!,#REF!,#REF!,#REF!,#REF!,#REF!</definedName>
    <definedName name="__APW_RESTORE_DATA1622__" hidden="1">#REF!,#REF!,#REF!,#REF!,#REF!,#REF!,#REF!,#REF!,#REF!,#REF!,#REF!,#REF!,#REF!,#REF!,#REF!,#REF!</definedName>
    <definedName name="__APW_RESTORE_DATA1623__" hidden="1">#REF!,#REF!,#REF!,#REF!,#REF!,#REF!,#REF!,#REF!,#REF!,#REF!,#REF!,#REF!,#REF!,#REF!,#REF!,#REF!</definedName>
    <definedName name="__APW_RESTORE_DATA1624__" hidden="1">#REF!,#REF!,#REF!,#REF!,#REF!,#REF!,#REF!,#REF!,#REF!,#REF!,#REF!,#REF!,#REF!,#REF!,#REF!,#REF!</definedName>
    <definedName name="__APW_RESTORE_DATA1625__" hidden="1">#REF!,#REF!,#REF!,#REF!,#REF!,#REF!,#REF!,#REF!,#REF!,#REF!,#REF!,#REF!,#REF!,#REF!,#REF!,#REF!</definedName>
    <definedName name="__APW_RESTORE_DATA1626__" hidden="1">#REF!,#REF!,#REF!,#REF!,#REF!,#REF!,#REF!,#REF!,#REF!,#REF!,#REF!,#REF!,#REF!,#REF!,#REF!,#REF!</definedName>
    <definedName name="__APW_RESTORE_DATA1627__" hidden="1">#REF!,#REF!,#REF!,#REF!,#REF!,#REF!,#REF!,#REF!,#REF!,#REF!,#REF!,#REF!,#REF!,#REF!,#REF!,#REF!</definedName>
    <definedName name="__APW_RESTORE_DATA1628__" hidden="1">#REF!,#REF!,#REF!,#REF!,#REF!,#REF!,#REF!,#REF!,#REF!,#REF!,#REF!,#REF!,#REF!,#REF!,#REF!</definedName>
    <definedName name="__APW_RESTORE_DATA1629__" hidden="1">#REF!,#REF!,#REF!,#REF!,#REF!,#REF!,#REF!,#REF!,#REF!,#REF!,#REF!,#REF!,#REF!,#REF!,#REF!</definedName>
    <definedName name="__APW_RESTORE_DATA163__" hidden="1">#REF!,#REF!,#REF!,#REF!,#REF!,#REF!,#REF!,#REF!,#REF!,#REF!,#REF!,#REF!,#REF!,#REF!,#REF!</definedName>
    <definedName name="__APW_RESTORE_DATA1630__" hidden="1">#REF!,#REF!,#REF!,#REF!,#REF!,#REF!,#REF!,#REF!,#REF!,#REF!,#REF!,#REF!,#REF!,#REF!,#REF!</definedName>
    <definedName name="__APW_RESTORE_DATA1631__" hidden="1">#REF!,#REF!,#REF!,#REF!,#REF!,#REF!,#REF!,#REF!,#REF!,#REF!,#REF!,#REF!,#REF!,#REF!,#REF!</definedName>
    <definedName name="__APW_RESTORE_DATA1632__" hidden="1">#REF!,#REF!,#REF!,#REF!,#REF!,#REF!,#REF!,#REF!,#REF!,#REF!,#REF!,#REF!,#REF!,#REF!,#REF!</definedName>
    <definedName name="__APW_RESTORE_DATA1633__" hidden="1">#REF!,#REF!,#REF!,#REF!,#REF!,#REF!,#REF!,#REF!,#REF!,#REF!,#REF!,#REF!,#REF!,#REF!,#REF!</definedName>
    <definedName name="__APW_RESTORE_DATA1634__" hidden="1">#REF!,#REF!,#REF!,#REF!,#REF!,#REF!,#REF!,#REF!,#REF!,#REF!,#REF!,#REF!,#REF!,#REF!,#REF!</definedName>
    <definedName name="__APW_RESTORE_DATA1635__" hidden="1">#REF!,#REF!,#REF!,#REF!,#REF!,#REF!,#REF!,#REF!,#REF!,#REF!,#REF!,#REF!,#REF!,#REF!,#REF!</definedName>
    <definedName name="__APW_RESTORE_DATA1636__" hidden="1">#REF!,#REF!,#REF!,#REF!,#REF!,#REF!,#REF!,#REF!,#REF!,#REF!,#REF!,#REF!,#REF!,#REF!,#REF!</definedName>
    <definedName name="__APW_RESTORE_DATA1637__" hidden="1">#REF!,#REF!,#REF!,#REF!,#REF!,#REF!,#REF!,#REF!,#REF!,#REF!,#REF!,#REF!,#REF!,#REF!,#REF!</definedName>
    <definedName name="__APW_RESTORE_DATA1638__" hidden="1">#REF!,#REF!,#REF!,#REF!,#REF!,#REF!,#REF!,#REF!,#REF!,#REF!,#REF!,#REF!,#REF!,#REF!,#REF!</definedName>
    <definedName name="__APW_RESTORE_DATA1639__" hidden="1">#REF!,#REF!,#REF!,#REF!,#REF!,#REF!,#REF!,#REF!,#REF!,#REF!,#REF!,#REF!,#REF!,#REF!,#REF!</definedName>
    <definedName name="__APW_RESTORE_DATA164__" hidden="1">#REF!,#REF!,#REF!,#REF!,#REF!,#REF!,#REF!,#REF!,#REF!,#REF!,#REF!,#REF!,#REF!,#REF!,#REF!</definedName>
    <definedName name="__APW_RESTORE_DATA1640__" hidden="1">#REF!,#REF!,#REF!,#REF!,#REF!,#REF!,#REF!,#REF!,#REF!,#REF!,#REF!,#REF!,#REF!,#REF!,#REF!</definedName>
    <definedName name="__APW_RESTORE_DATA1641__" hidden="1">#REF!,#REF!,#REF!,#REF!,#REF!,#REF!,#REF!,#REF!,#REF!,#REF!,#REF!,#REF!,#REF!,#REF!,#REF!</definedName>
    <definedName name="__APW_RESTORE_DATA1642__" hidden="1">#REF!,#REF!,#REF!,#REF!,#REF!,#REF!,#REF!,#REF!,#REF!,#REF!,#REF!,#REF!,#REF!,#REF!,#REF!</definedName>
    <definedName name="__APW_RESTORE_DATA1643__" hidden="1">#REF!,#REF!,#REF!,#REF!,#REF!,#REF!,#REF!,#REF!,#REF!,#REF!,#REF!,#REF!,#REF!,#REF!,#REF!</definedName>
    <definedName name="__APW_RESTORE_DATA1644__" hidden="1">#REF!,#REF!,#REF!,#REF!,#REF!,#REF!,#REF!,#REF!,#REF!,#REF!,#REF!,#REF!,#REF!,#REF!,#REF!</definedName>
    <definedName name="__APW_RESTORE_DATA1645__" hidden="1">#REF!,#REF!,#REF!,#REF!,#REF!,#REF!,#REF!,#REF!,#REF!,#REF!,#REF!,#REF!,#REF!,#REF!,#REF!</definedName>
    <definedName name="__APW_RESTORE_DATA1646__" hidden="1">#REF!,#REF!,#REF!,#REF!,#REF!,#REF!,#REF!,#REF!,#REF!,#REF!,#REF!,#REF!,#REF!,#REF!,#REF!</definedName>
    <definedName name="__APW_RESTORE_DATA1647__" hidden="1">#REF!,#REF!,#REF!,#REF!,#REF!,#REF!,#REF!,#REF!,#REF!,#REF!,#REF!,#REF!,#REF!,#REF!,#REF!</definedName>
    <definedName name="__APW_RESTORE_DATA1648__" hidden="1">#REF!,#REF!,#REF!,#REF!,#REF!,#REF!,#REF!,#REF!,#REF!,#REF!,#REF!,#REF!,#REF!,#REF!,#REF!</definedName>
    <definedName name="__APW_RESTORE_DATA1649__" hidden="1">#REF!,#REF!,#REF!,#REF!,#REF!,#REF!,#REF!,#REF!,#REF!,#REF!,#REF!,#REF!,#REF!,#REF!,#REF!</definedName>
    <definedName name="__APW_RESTORE_DATA165__" hidden="1">#REF!,#REF!,#REF!,#REF!,#REF!,#REF!,#REF!,#REF!,#REF!,#REF!,#REF!,#REF!,#REF!,#REF!,#REF!</definedName>
    <definedName name="__APW_RESTORE_DATA1650__" hidden="1">#REF!,#REF!,#REF!,#REF!,#REF!,#REF!,#REF!,#REF!,#REF!,#REF!,#REF!,#REF!,#REF!,#REF!,#REF!</definedName>
    <definedName name="__APW_RESTORE_DATA1651__" hidden="1">#REF!,#REF!,#REF!,#REF!,#REF!,#REF!,#REF!,#REF!,#REF!,#REF!,#REF!,#REF!,#REF!,#REF!,#REF!</definedName>
    <definedName name="__APW_RESTORE_DATA1652__" hidden="1">#REF!,#REF!,#REF!,#REF!,#REF!,#REF!,#REF!,#REF!,#REF!,#REF!,#REF!,#REF!,#REF!,#REF!,#REF!</definedName>
    <definedName name="__APW_RESTORE_DATA1653__" hidden="1">#REF!,#REF!,#REF!,#REF!,#REF!,#REF!,#REF!,#REF!,#REF!,#REF!,#REF!,#REF!,#REF!,#REF!,#REF!</definedName>
    <definedName name="__APW_RESTORE_DATA1654__" hidden="1">#REF!,#REF!,#REF!,#REF!,#REF!,#REF!,#REF!,#REF!,#REF!,#REF!,#REF!,#REF!,#REF!,#REF!,#REF!</definedName>
    <definedName name="__APW_RESTORE_DATA1655__" hidden="1">#REF!,#REF!,#REF!,#REF!,#REF!,#REF!,#REF!,#REF!,#REF!,#REF!,#REF!,#REF!,#REF!,#REF!,#REF!</definedName>
    <definedName name="__APW_RESTORE_DATA1656__" hidden="1">#REF!,#REF!,#REF!,#REF!,#REF!,#REF!</definedName>
    <definedName name="__APW_RESTORE_DATA1657__" hidden="1">#REF!,#REF!,#REF!,#REF!,#REF!,#REF!,#REF!,#REF!,#REF!,#REF!,#REF!,#REF!,#REF!,#REF!,#REF!,#REF!</definedName>
    <definedName name="__APW_RESTORE_DATA1658__" hidden="1">#REF!,#REF!,#REF!,#REF!,#REF!,#REF!,#REF!,#REF!,#REF!,#REF!,#REF!,#REF!,#REF!,#REF!,#REF!,#REF!</definedName>
    <definedName name="__APW_RESTORE_DATA1659__" hidden="1">#REF!,#REF!,#REF!,#REF!,#REF!,#REF!,#REF!,#REF!,#REF!,#REF!,#REF!,#REF!,#REF!,#REF!,#REF!,#REF!</definedName>
    <definedName name="__APW_RESTORE_DATA166__" hidden="1">#REF!,#REF!,#REF!,#REF!,#REF!,#REF!,#REF!,#REF!,#REF!,#REF!,#REF!,#REF!,#REF!,#REF!,#REF!</definedName>
    <definedName name="__APW_RESTORE_DATA1660__" hidden="1">#REF!,#REF!,#REF!,#REF!,#REF!,#REF!,#REF!,#REF!,#REF!,#REF!,#REF!,#REF!,#REF!,#REF!,#REF!,#REF!</definedName>
    <definedName name="__APW_RESTORE_DATA1661__" hidden="1">#REF!,#REF!,#REF!,#REF!,#REF!,#REF!,#REF!,#REF!,#REF!,#REF!,#REF!,#REF!,#REF!,#REF!,#REF!,#REF!</definedName>
    <definedName name="__APW_RESTORE_DATA1662__" hidden="1">#REF!,#REF!,#REF!,#REF!,#REF!,#REF!,#REF!,#REF!,#REF!,#REF!,#REF!,#REF!,#REF!,#REF!,#REF!,#REF!</definedName>
    <definedName name="__APW_RESTORE_DATA1663__" hidden="1">#REF!,#REF!,#REF!,#REF!,#REF!,#REF!,#REF!,#REF!,#REF!,#REF!,#REF!,#REF!,#REF!,#REF!,#REF!</definedName>
    <definedName name="__APW_RESTORE_DATA1664__" hidden="1">#REF!,#REF!,#REF!,#REF!,#REF!,#REF!,#REF!,#REF!,#REF!,#REF!,#REF!,#REF!,#REF!,#REF!,#REF!</definedName>
    <definedName name="__APW_RESTORE_DATA1665__" hidden="1">#REF!,#REF!,#REF!,#REF!,#REF!,#REF!,#REF!,#REF!,#REF!,#REF!,#REF!,#REF!,#REF!,#REF!,#REF!</definedName>
    <definedName name="__APW_RESTORE_DATA1666__" hidden="1">#REF!,#REF!,#REF!,#REF!,#REF!,#REF!,#REF!,#REF!,#REF!,#REF!,#REF!,#REF!,#REF!,#REF!,#REF!</definedName>
    <definedName name="__APW_RESTORE_DATA1667__" hidden="1">#REF!,#REF!,#REF!,#REF!,#REF!,#REF!,#REF!,#REF!,#REF!,#REF!,#REF!,#REF!,#REF!,#REF!,#REF!</definedName>
    <definedName name="__APW_RESTORE_DATA1668__" hidden="1">#REF!,#REF!,#REF!,#REF!,#REF!,#REF!,#REF!,#REF!,#REF!,#REF!,#REF!,#REF!,#REF!,#REF!,#REF!</definedName>
    <definedName name="__APW_RESTORE_DATA1669__" hidden="1">#REF!,#REF!,#REF!,#REF!,#REF!,#REF!,#REF!,#REF!,#REF!,#REF!,#REF!,#REF!,#REF!,#REF!,#REF!</definedName>
    <definedName name="__APW_RESTORE_DATA167__" hidden="1">#REF!,#REF!,#REF!,#REF!,#REF!,#REF!,#REF!,#REF!,#REF!,#REF!,#REF!,#REF!,#REF!,#REF!,#REF!</definedName>
    <definedName name="__APW_RESTORE_DATA1670__" hidden="1">#REF!,#REF!,#REF!,#REF!,#REF!,#REF!,#REF!,#REF!,#REF!,#REF!,#REF!,#REF!,#REF!,#REF!,#REF!</definedName>
    <definedName name="__APW_RESTORE_DATA1671__" hidden="1">#REF!,#REF!,#REF!,#REF!,#REF!,#REF!,#REF!,#REF!,#REF!,#REF!,#REF!,#REF!,#REF!,#REF!,#REF!</definedName>
    <definedName name="__APW_RESTORE_DATA1672__" hidden="1">#REF!,#REF!,#REF!,#REF!,#REF!,#REF!,#REF!,#REF!,#REF!,#REF!,#REF!,#REF!,#REF!,#REF!,#REF!</definedName>
    <definedName name="__APW_RESTORE_DATA1673__" hidden="1">#REF!,#REF!,#REF!,#REF!,#REF!,#REF!,#REF!,#REF!,#REF!,#REF!,#REF!,#REF!,#REF!,#REF!,#REF!</definedName>
    <definedName name="__APW_RESTORE_DATA1674__" hidden="1">#REF!,#REF!,#REF!,#REF!,#REF!,#REF!,#REF!,#REF!,#REF!,#REF!,#REF!,#REF!,#REF!,#REF!,#REF!</definedName>
    <definedName name="__APW_RESTORE_DATA1675__" hidden="1">#REF!,#REF!,#REF!,#REF!,#REF!,#REF!,#REF!,#REF!,#REF!,#REF!,#REF!,#REF!,#REF!,#REF!,#REF!</definedName>
    <definedName name="__APW_RESTORE_DATA1676__" hidden="1">#REF!,#REF!,#REF!,#REF!,#REF!,#REF!,#REF!,#REF!,#REF!,#REF!,#REF!,#REF!,#REF!,#REF!,#REF!</definedName>
    <definedName name="__APW_RESTORE_DATA1677__" hidden="1">#REF!,#REF!,#REF!,#REF!,#REF!,#REF!,#REF!,#REF!,#REF!,#REF!,#REF!,#REF!,#REF!,#REF!,#REF!</definedName>
    <definedName name="__APW_RESTORE_DATA1678__" hidden="1">#REF!,#REF!,#REF!,#REF!,#REF!,#REF!,#REF!,#REF!,#REF!,#REF!,#REF!,#REF!,#REF!,#REF!,#REF!</definedName>
    <definedName name="__APW_RESTORE_DATA1679__" hidden="1">#REF!,#REF!,#REF!,#REF!,#REF!,#REF!,#REF!,#REF!,#REF!,#REF!,#REF!,#REF!,#REF!,#REF!,#REF!</definedName>
    <definedName name="__APW_RESTORE_DATA168__" hidden="1">#REF!,#REF!</definedName>
    <definedName name="__APW_RESTORE_DATA1680__" hidden="1">#REF!,#REF!,#REF!,#REF!,#REF!,#REF!,#REF!,#REF!,#REF!,#REF!,#REF!,#REF!,#REF!,#REF!,#REF!</definedName>
    <definedName name="__APW_RESTORE_DATA1681__" hidden="1">#REF!,#REF!,#REF!,#REF!,#REF!,#REF!,#REF!,#REF!,#REF!,#REF!,#REF!,#REF!,#REF!,#REF!,#REF!</definedName>
    <definedName name="__APW_RESTORE_DATA1682__" hidden="1">#REF!,#REF!,#REF!,#REF!,#REF!,#REF!,#REF!,#REF!,#REF!,#REF!,#REF!,#REF!,#REF!,#REF!,#REF!</definedName>
    <definedName name="__APW_RESTORE_DATA1683__" hidden="1">#REF!,#REF!,#REF!,#REF!,#REF!,#REF!,#REF!,#REF!,#REF!,#REF!,#REF!,#REF!,#REF!,#REF!,#REF!</definedName>
    <definedName name="__APW_RESTORE_DATA1684__" hidden="1">#REF!,#REF!,#REF!,#REF!,#REF!,#REF!,#REF!,#REF!,#REF!,#REF!,#REF!,#REF!,#REF!,#REF!,#REF!</definedName>
    <definedName name="__APW_RESTORE_DATA1685__" hidden="1">#REF!,#REF!,#REF!,#REF!,#REF!,#REF!,#REF!,#REF!,#REF!,#REF!,#REF!,#REF!,#REF!,#REF!,#REF!</definedName>
    <definedName name="__APW_RESTORE_DATA1686__" hidden="1">#REF!,#REF!,#REF!,#REF!,#REF!,#REF!,#REF!,#REF!,#REF!,#REF!,#REF!,#REF!,#REF!,#REF!,#REF!</definedName>
    <definedName name="__APW_RESTORE_DATA1687__" hidden="1">#REF!,#REF!,#REF!,#REF!,#REF!,#REF!,#REF!,#REF!,#REF!,#REF!,#REF!,#REF!,#REF!,#REF!,#REF!</definedName>
    <definedName name="__APW_RESTORE_DATA1688__" hidden="1">#REF!,#REF!,#REF!,#REF!,#REF!,#REF!,#REF!,#REF!,#REF!,#REF!,#REF!,#REF!,#REF!,#REF!,#REF!</definedName>
    <definedName name="__APW_RESTORE_DATA1689__" hidden="1">#REF!,#REF!,#REF!,#REF!,#REF!,#REF!,#REF!,#REF!,#REF!,#REF!,#REF!,#REF!,#REF!,#REF!,#REF!</definedName>
    <definedName name="__APW_RESTORE_DATA169__" hidden="1">#REF!,#REF!,#REF!,#REF!,#REF!,#REF!,#REF!,#REF!,#REF!,#REF!,#REF!,#REF!,#REF!,#REF!,#REF!</definedName>
    <definedName name="__APW_RESTORE_DATA1690__" hidden="1">#REF!,#REF!,#REF!,#REF!,#REF!,#REF!,#REF!,#REF!,#REF!,#REF!,#REF!,#REF!,#REF!,#REF!,#REF!</definedName>
    <definedName name="__APW_RESTORE_DATA1691__" hidden="1">#REF!,#REF!,#REF!,#REF!,#REF!,#REF!</definedName>
    <definedName name="__APW_RESTORE_DATA1692__" hidden="1">#REF!,#REF!,#REF!,#REF!,#REF!,#REF!,#REF!,#REF!,#REF!,#REF!,#REF!,#REF!,#REF!,#REF!,#REF!,#REF!</definedName>
    <definedName name="__APW_RESTORE_DATA1693__" hidden="1">#REF!,#REF!,#REF!,#REF!,#REF!,#REF!,#REF!,#REF!,#REF!,#REF!,#REF!,#REF!,#REF!,#REF!,#REF!,#REF!</definedName>
    <definedName name="__APW_RESTORE_DATA1694__" hidden="1">#REF!,#REF!,#REF!,#REF!,#REF!,#REF!,#REF!,#REF!,#REF!,#REF!,#REF!,#REF!,#REF!,#REF!,#REF!,#REF!</definedName>
    <definedName name="__APW_RESTORE_DATA1695__" hidden="1">#REF!,#REF!,#REF!,#REF!,#REF!,#REF!,#REF!,#REF!,#REF!,#REF!,#REF!,#REF!,#REF!,#REF!,#REF!,#REF!</definedName>
    <definedName name="__APW_RESTORE_DATA1696__" hidden="1">#REF!,#REF!,#REF!,#REF!,#REF!,#REF!,#REF!,#REF!,#REF!,#REF!,#REF!,#REF!,#REF!,#REF!,#REF!,#REF!</definedName>
    <definedName name="__APW_RESTORE_DATA1697__" hidden="1">#REF!,#REF!,#REF!,#REF!,#REF!,#REF!,#REF!,#REF!,#REF!,#REF!,#REF!,#REF!,#REF!,#REF!,#REF!,#REF!</definedName>
    <definedName name="__APW_RESTORE_DATA1698__" hidden="1">#REF!,#REF!,#REF!,#REF!,#REF!,#REF!,#REF!,#REF!,#REF!,#REF!,#REF!,#REF!,#REF!,#REF!,#REF!</definedName>
    <definedName name="__APW_RESTORE_DATA1699__" hidden="1">#REF!,#REF!,#REF!,#REF!,#REF!,#REF!,#REF!,#REF!,#REF!,#REF!,#REF!,#REF!,#REF!,#REF!,#REF!</definedName>
    <definedName name="__APW_RESTORE_DATA17__" hidden="1">#REF!,#REF!,#REF!,#REF!,#REF!,#REF!,#REF!,#REF!,#REF!,#REF!,#REF!,#REF!,#REF!,#REF!,#REF!</definedName>
    <definedName name="__APW_RESTORE_DATA170__" hidden="1">#REF!,#REF!,#REF!,#REF!,#REF!,#REF!,#REF!,#REF!,#REF!,#REF!,#REF!,#REF!,#REF!,#REF!,#REF!</definedName>
    <definedName name="__APW_RESTORE_DATA1700__" hidden="1">#REF!,#REF!,#REF!,#REF!,#REF!,#REF!,#REF!,#REF!,#REF!,#REF!,#REF!,#REF!,#REF!,#REF!,#REF!</definedName>
    <definedName name="__APW_RESTORE_DATA1701__" hidden="1">#REF!,#REF!,#REF!,#REF!,#REF!,#REF!,#REF!,#REF!,#REF!,#REF!,#REF!,#REF!,#REF!,#REF!,#REF!</definedName>
    <definedName name="__APW_RESTORE_DATA1702__" hidden="1">#REF!,#REF!,#REF!,#REF!,#REF!,#REF!,#REF!,#REF!,#REF!,#REF!,#REF!,#REF!,#REF!,#REF!,#REF!</definedName>
    <definedName name="__APW_RESTORE_DATA1703__" hidden="1">#REF!,#REF!,#REF!,#REF!,#REF!,#REF!,#REF!,#REF!,#REF!,#REF!,#REF!,#REF!,#REF!,#REF!,#REF!</definedName>
    <definedName name="__APW_RESTORE_DATA1704__" hidden="1">#REF!,#REF!,#REF!,#REF!,#REF!,#REF!,#REF!,#REF!,#REF!,#REF!,#REF!,#REF!,#REF!,#REF!,#REF!</definedName>
    <definedName name="__APW_RESTORE_DATA1705__" hidden="1">#REF!,#REF!,#REF!,#REF!,#REF!,#REF!,#REF!,#REF!,#REF!,#REF!,#REF!,#REF!,#REF!,#REF!,#REF!</definedName>
    <definedName name="__APW_RESTORE_DATA1706__" hidden="1">#REF!,#REF!,#REF!,#REF!,#REF!,#REF!,#REF!,#REF!,#REF!,#REF!,#REF!,#REF!,#REF!,#REF!,#REF!</definedName>
    <definedName name="__APW_RESTORE_DATA1707__" hidden="1">#REF!,#REF!,#REF!,#REF!,#REF!,#REF!,#REF!,#REF!,#REF!,#REF!,#REF!,#REF!,#REF!,#REF!,#REF!</definedName>
    <definedName name="__APW_RESTORE_DATA1708__" hidden="1">#REF!,#REF!,#REF!,#REF!,#REF!,#REF!,#REF!,#REF!,#REF!,#REF!,#REF!,#REF!,#REF!,#REF!,#REF!</definedName>
    <definedName name="__APW_RESTORE_DATA1709__" hidden="1">#REF!,#REF!,#REF!,#REF!,#REF!,#REF!,#REF!,#REF!,#REF!,#REF!,#REF!,#REF!,#REF!,#REF!,#REF!</definedName>
    <definedName name="__APW_RESTORE_DATA171__" hidden="1">#REF!,#REF!,#REF!,#REF!,#REF!,#REF!,#REF!,#REF!,#REF!,#REF!,#REF!,#REF!,#REF!,#REF!,#REF!</definedName>
    <definedName name="__APW_RESTORE_DATA1710__" hidden="1">#REF!,#REF!,#REF!,#REF!,#REF!,#REF!,#REF!,#REF!,#REF!,#REF!,#REF!,#REF!,#REF!,#REF!,#REF!</definedName>
    <definedName name="__APW_RESTORE_DATA1711__" hidden="1">#REF!,#REF!,#REF!,#REF!,#REF!,#REF!,#REF!,#REF!,#REF!,#REF!,#REF!,#REF!,#REF!,#REF!,#REF!</definedName>
    <definedName name="__APW_RESTORE_DATA1712__" hidden="1">#REF!,#REF!,#REF!,#REF!,#REF!,#REF!,#REF!,#REF!,#REF!,#REF!,#REF!,#REF!,#REF!,#REF!,#REF!</definedName>
    <definedName name="__APW_RESTORE_DATA1713__" hidden="1">#REF!,#REF!,#REF!,#REF!,#REF!,#REF!,#REF!,#REF!,#REF!,#REF!,#REF!,#REF!,#REF!,#REF!,#REF!</definedName>
    <definedName name="__APW_RESTORE_DATA1714__" hidden="1">#REF!,#REF!,#REF!,#REF!,#REF!,#REF!,#REF!,#REF!,#REF!,#REF!,#REF!,#REF!,#REF!,#REF!,#REF!</definedName>
    <definedName name="__APW_RESTORE_DATA1715__" hidden="1">#REF!,#REF!,#REF!,#REF!,#REF!,#REF!,#REF!,#REF!,#REF!,#REF!,#REF!,#REF!,#REF!,#REF!,#REF!</definedName>
    <definedName name="__APW_RESTORE_DATA1716__" hidden="1">#REF!,#REF!,#REF!,#REF!,#REF!,#REF!,#REF!,#REF!,#REF!,#REF!,#REF!,#REF!,#REF!,#REF!,#REF!</definedName>
    <definedName name="__APW_RESTORE_DATA1717__" hidden="1">#REF!,#REF!,#REF!,#REF!,#REF!,#REF!,#REF!,#REF!,#REF!,#REF!,#REF!,#REF!,#REF!,#REF!,#REF!</definedName>
    <definedName name="__APW_RESTORE_DATA1718__" hidden="1">#REF!,#REF!,#REF!,#REF!,#REF!,#REF!,#REF!,#REF!,#REF!,#REF!,#REF!,#REF!,#REF!,#REF!,#REF!</definedName>
    <definedName name="__APW_RESTORE_DATA1719__" hidden="1">#REF!,#REF!,#REF!,#REF!,#REF!,#REF!,#REF!,#REF!,#REF!,#REF!,#REF!,#REF!,#REF!,#REF!,#REF!</definedName>
    <definedName name="__APW_RESTORE_DATA172__" hidden="1">#REF!,#REF!,#REF!,#REF!,#REF!,#REF!,#REF!,#REF!,#REF!,#REF!,#REF!,#REF!,#REF!,#REF!,#REF!</definedName>
    <definedName name="__APW_RESTORE_DATA1720__" hidden="1">#REF!,#REF!,#REF!,#REF!,#REF!,#REF!,#REF!,#REF!,#REF!,#REF!,#REF!,#REF!,#REF!,#REF!,#REF!</definedName>
    <definedName name="__APW_RESTORE_DATA1721__" hidden="1">#REF!,#REF!,#REF!,#REF!,#REF!,#REF!,#REF!,#REF!,#REF!,#REF!,#REF!,#REF!,#REF!,#REF!,#REF!</definedName>
    <definedName name="__APW_RESTORE_DATA1722__" hidden="1">#REF!,#REF!,#REF!,#REF!,#REF!,#REF!,#REF!,#REF!,#REF!,#REF!,#REF!,#REF!,#REF!,#REF!,#REF!</definedName>
    <definedName name="__APW_RESTORE_DATA1723__" hidden="1">#REF!,#REF!,#REF!,#REF!,#REF!,#REF!,#REF!,#REF!,#REF!,#REF!,#REF!,#REF!,#REF!,#REF!,#REF!</definedName>
    <definedName name="__APW_RESTORE_DATA1724__" hidden="1">#REF!,#REF!,#REF!,#REF!,#REF!,#REF!,#REF!,#REF!,#REF!,#REF!,#REF!,#REF!,#REF!,#REF!,#REF!</definedName>
    <definedName name="__APW_RESTORE_DATA1725__" hidden="1">#REF!,#REF!,#REF!,#REF!,#REF!,#REF!,#REF!,#REF!,#REF!,#REF!,#REF!,#REF!,#REF!,#REF!,#REF!</definedName>
    <definedName name="__APW_RESTORE_DATA1726__" hidden="1">#REF!,#REF!,#REF!,#REF!,#REF!,#REF!</definedName>
    <definedName name="__APW_RESTORE_DATA1727__" hidden="1">#REF!</definedName>
    <definedName name="__APW_RESTORE_DATA1728__" hidden="1">#REF!</definedName>
    <definedName name="__APW_RESTORE_DATA173__" hidden="1">#REF!,#REF!</definedName>
    <definedName name="__APW_RESTORE_DATA1730__" hidden="1">#REF!</definedName>
    <definedName name="__APW_RESTORE_DATA1731__" hidden="1">#REF!,#REF!,#REF!,#REF!,#REF!,#REF!,#REF!,#REF!,#REF!,#REF!,#REF!,#REF!,#REF!,#REF!,#REF!,#REF!</definedName>
    <definedName name="__APW_RESTORE_DATA1732__" hidden="1">#REF!,#REF!,#REF!,#REF!,#REF!,#REF!,#REF!,#REF!,#REF!,#REF!,#REF!,#REF!,#REF!,#REF!,#REF!,#REF!</definedName>
    <definedName name="__APW_RESTORE_DATA1733__" hidden="1">#REF!,#REF!,#REF!,#REF!,#REF!,#REF!,#REF!,#REF!,#REF!,#REF!,#REF!,#REF!,#REF!,#REF!,#REF!,#REF!</definedName>
    <definedName name="__APW_RESTORE_DATA1734__" hidden="1">#REF!,#REF!,#REF!,#REF!,#REF!,#REF!,#REF!,#REF!,#REF!,#REF!,#REF!,#REF!,#REF!,#REF!,#REF!,#REF!</definedName>
    <definedName name="__APW_RESTORE_DATA1735__" hidden="1">#REF!,#REF!,#REF!,#REF!,#REF!,#REF!,#REF!,#REF!,#REF!,#REF!,#REF!,#REF!,#REF!,#REF!,#REF!,#REF!</definedName>
    <definedName name="__APW_RESTORE_DATA1736__" hidden="1">#REF!,#REF!,#REF!,#REF!,#REF!,#REF!,#REF!,#REF!,#REF!,#REF!,#REF!,#REF!,#REF!,#REF!,#REF!,#REF!</definedName>
    <definedName name="__APW_RESTORE_DATA1737__" hidden="1">#REF!,#REF!,#REF!,#REF!,#REF!,#REF!,#REF!,#REF!,#REF!,#REF!,#REF!,#REF!,#REF!,#REF!,#REF!</definedName>
    <definedName name="__APW_RESTORE_DATA1738__" hidden="1">#REF!,#REF!,#REF!,#REF!,#REF!,#REF!,#REF!,#REF!,#REF!,#REF!,#REF!,#REF!,#REF!,#REF!,#REF!</definedName>
    <definedName name="__APW_RESTORE_DATA1739__" hidden="1">#REF!,#REF!,#REF!,#REF!,#REF!,#REF!,#REF!,#REF!,#REF!,#REF!,#REF!,#REF!,#REF!,#REF!,#REF!</definedName>
    <definedName name="__APW_RESTORE_DATA174__" hidden="1">#REF!,#REF!,#REF!,#REF!,#REF!,#REF!,#REF!,#REF!,#REF!,#REF!,#REF!,#REF!,#REF!,#REF!,#REF!</definedName>
    <definedName name="__APW_RESTORE_DATA1740__" hidden="1">#REF!,#REF!,#REF!,#REF!,#REF!,#REF!,#REF!,#REF!,#REF!,#REF!,#REF!,#REF!,#REF!,#REF!,#REF!</definedName>
    <definedName name="__APW_RESTORE_DATA1741__" hidden="1">#REF!,#REF!,#REF!,#REF!,#REF!,#REF!,#REF!,#REF!,#REF!,#REF!,#REF!,#REF!,#REF!,#REF!,#REF!</definedName>
    <definedName name="__APW_RESTORE_DATA1742__" hidden="1">#REF!,#REF!,#REF!,#REF!,#REF!,#REF!,#REF!,#REF!,#REF!,#REF!,#REF!,#REF!,#REF!,#REF!,#REF!</definedName>
    <definedName name="__APW_RESTORE_DATA1743__" hidden="1">#REF!,#REF!,#REF!,#REF!,#REF!,#REF!,#REF!,#REF!,#REF!,#REF!,#REF!,#REF!,#REF!,#REF!,#REF!</definedName>
    <definedName name="__APW_RESTORE_DATA1744__" hidden="1">#REF!,#REF!,#REF!,#REF!,#REF!,#REF!,#REF!,#REF!,#REF!,#REF!,#REF!,#REF!,#REF!,#REF!,#REF!</definedName>
    <definedName name="__APW_RESTORE_DATA1745__" hidden="1">#REF!,#REF!,#REF!,#REF!,#REF!,#REF!,#REF!,#REF!,#REF!,#REF!,#REF!,#REF!,#REF!,#REF!,#REF!</definedName>
    <definedName name="__APW_RESTORE_DATA1746__" hidden="1">#REF!,#REF!,#REF!,#REF!,#REF!,#REF!,#REF!,#REF!,#REF!,#REF!,#REF!,#REF!,#REF!,#REF!,#REF!</definedName>
    <definedName name="__APW_RESTORE_DATA1747__" hidden="1">#REF!,#REF!,#REF!,#REF!,#REF!,#REF!,#REF!,#REF!,#REF!,#REF!,#REF!,#REF!,#REF!,#REF!,#REF!</definedName>
    <definedName name="__APW_RESTORE_DATA1748__" hidden="1">#REF!,#REF!,#REF!,#REF!,#REF!,#REF!,#REF!,#REF!,#REF!,#REF!,#REF!,#REF!,#REF!,#REF!,#REF!</definedName>
    <definedName name="__APW_RESTORE_DATA1749__" hidden="1">#REF!,#REF!,#REF!,#REF!,#REF!,#REF!,#REF!,#REF!,#REF!,#REF!,#REF!,#REF!,#REF!,#REF!,#REF!</definedName>
    <definedName name="__APW_RESTORE_DATA175__" hidden="1">#REF!,#REF!,#REF!,#REF!,#REF!,#REF!,#REF!,#REF!,#REF!,#REF!,#REF!,#REF!,#REF!,#REF!,#REF!</definedName>
    <definedName name="__APW_RESTORE_DATA1750__" hidden="1">#REF!,#REF!,#REF!,#REF!,#REF!,#REF!,#REF!,#REF!,#REF!,#REF!,#REF!,#REF!,#REF!,#REF!,#REF!</definedName>
    <definedName name="__APW_RESTORE_DATA1751__" hidden="1">#REF!,#REF!,#REF!,#REF!,#REF!,#REF!,#REF!,#REF!,#REF!,#REF!,#REF!,#REF!,#REF!,#REF!,#REF!</definedName>
    <definedName name="__APW_RESTORE_DATA1752__" hidden="1">#REF!,#REF!,#REF!,#REF!,#REF!,#REF!,#REF!,#REF!,#REF!,#REF!,#REF!,#REF!,#REF!,#REF!,#REF!</definedName>
    <definedName name="__APW_RESTORE_DATA1753__" hidden="1">#REF!,#REF!,#REF!,#REF!,#REF!,#REF!,#REF!,#REF!,#REF!,#REF!,#REF!,#REF!,#REF!,#REF!,#REF!</definedName>
    <definedName name="__APW_RESTORE_DATA1754__" hidden="1">#REF!,#REF!,#REF!,#REF!,#REF!,#REF!,#REF!,#REF!,#REF!,#REF!,#REF!,#REF!,#REF!,#REF!,#REF!</definedName>
    <definedName name="__APW_RESTORE_DATA1755__" hidden="1">#REF!,#REF!,#REF!,#REF!,#REF!,#REF!,#REF!,#REF!,#REF!,#REF!,#REF!,#REF!,#REF!,#REF!,#REF!</definedName>
    <definedName name="__APW_RESTORE_DATA1756__" hidden="1">#REF!,#REF!,#REF!,#REF!,#REF!,#REF!,#REF!,#REF!,#REF!,#REF!,#REF!,#REF!,#REF!,#REF!,#REF!</definedName>
    <definedName name="__APW_RESTORE_DATA1757__" hidden="1">#REF!,#REF!,#REF!,#REF!,#REF!,#REF!,#REF!,#REF!,#REF!,#REF!,#REF!,#REF!,#REF!,#REF!,#REF!</definedName>
    <definedName name="__APW_RESTORE_DATA1758__" hidden="1">#REF!,#REF!,#REF!,#REF!,#REF!,#REF!,#REF!,#REF!,#REF!,#REF!,#REF!,#REF!,#REF!,#REF!,#REF!</definedName>
    <definedName name="__APW_RESTORE_DATA1759__" hidden="1">#REF!,#REF!,#REF!,#REF!,#REF!,#REF!,#REF!,#REF!,#REF!,#REF!,#REF!,#REF!,#REF!,#REF!,#REF!</definedName>
    <definedName name="__APW_RESTORE_DATA176__" hidden="1">#REF!,#REF!,#REF!,#REF!,#REF!,#REF!,#REF!,#REF!,#REF!,#REF!,#REF!,#REF!,#REF!,#REF!,#REF!</definedName>
    <definedName name="__APW_RESTORE_DATA1760__" hidden="1">#REF!,#REF!,#REF!,#REF!,#REF!,#REF!,#REF!,#REF!,#REF!,#REF!,#REF!,#REF!,#REF!,#REF!,#REF!</definedName>
    <definedName name="__APW_RESTORE_DATA1761__" hidden="1">#REF!,#REF!,#REF!,#REF!,#REF!,#REF!,#REF!,#REF!,#REF!,#REF!,#REF!,#REF!,#REF!,#REF!,#REF!</definedName>
    <definedName name="__APW_RESTORE_DATA1762__" hidden="1">#REF!,#REF!,#REF!,#REF!,#REF!,#REF!,#REF!,#REF!,#REF!,#REF!,#REF!,#REF!,#REF!,#REF!,#REF!</definedName>
    <definedName name="__APW_RESTORE_DATA1763__" hidden="1">#REF!,#REF!,#REF!,#REF!,#REF!,#REF!,#REF!,#REF!,#REF!,#REF!,#REF!,#REF!,#REF!,#REF!,#REF!</definedName>
    <definedName name="__APW_RESTORE_DATA1764__" hidden="1">#REF!,#REF!,#REF!,#REF!,#REF!,#REF!,#REF!,#REF!,#REF!,#REF!,#REF!,#REF!,#REF!,#REF!,#REF!</definedName>
    <definedName name="__APW_RESTORE_DATA1765__" hidden="1">#REF!,#REF!,#REF!,#REF!,#REF!,#REF!</definedName>
    <definedName name="__APW_RESTORE_DATA1766__" hidden="1">#REF!,#REF!,#REF!,#REF!,#REF!,#REF!,#REF!,#REF!,#REF!,#REF!,#REF!,#REF!,#REF!,#REF!,#REF!,#REF!</definedName>
    <definedName name="__APW_RESTORE_DATA1767__" hidden="1">#REF!,#REF!,#REF!,#REF!,#REF!,#REF!,#REF!,#REF!,#REF!,#REF!,#REF!,#REF!,#REF!,#REF!,#REF!,#REF!</definedName>
    <definedName name="__APW_RESTORE_DATA1768__" hidden="1">#REF!,#REF!,#REF!,#REF!,#REF!,#REF!,#REF!,#REF!,#REF!,#REF!,#REF!,#REF!,#REF!,#REF!,#REF!,#REF!</definedName>
    <definedName name="__APW_RESTORE_DATA1769__" hidden="1">#REF!,#REF!,#REF!,#REF!,#REF!,#REF!,#REF!,#REF!,#REF!,#REF!,#REF!,#REF!,#REF!,#REF!,#REF!,#REF!</definedName>
    <definedName name="__APW_RESTORE_DATA177__" hidden="1">#REF!,#REF!,#REF!,#REF!,#REF!,#REF!,#REF!,#REF!,#REF!,#REF!,#REF!,#REF!,#REF!,#REF!,#REF!</definedName>
    <definedName name="__APW_RESTORE_DATA1770__" hidden="1">#REF!,#REF!,#REF!,#REF!,#REF!,#REF!,#REF!,#REF!,#REF!,#REF!,#REF!,#REF!,#REF!,#REF!,#REF!,#REF!</definedName>
    <definedName name="__APW_RESTORE_DATA1771__" hidden="1">#REF!,#REF!,#REF!,#REF!,#REF!,#REF!,#REF!,#REF!,#REF!,#REF!,#REF!,#REF!,#REF!,#REF!,#REF!,#REF!</definedName>
    <definedName name="__APW_RESTORE_DATA1772__" hidden="1">#REF!,#REF!,#REF!,#REF!,#REF!,#REF!,#REF!,#REF!,#REF!,#REF!,#REF!,#REF!,#REF!,#REF!,#REF!</definedName>
    <definedName name="__APW_RESTORE_DATA1773__" hidden="1">#REF!,#REF!,#REF!,#REF!,#REF!,#REF!,#REF!,#REF!,#REF!,#REF!,#REF!,#REF!,#REF!,#REF!,#REF!</definedName>
    <definedName name="__APW_RESTORE_DATA1774__" hidden="1">#REF!,#REF!,#REF!,#REF!,#REF!,#REF!,#REF!,#REF!,#REF!,#REF!,#REF!,#REF!,#REF!,#REF!,#REF!</definedName>
    <definedName name="__APW_RESTORE_DATA1775__" hidden="1">#REF!,#REF!,#REF!,#REF!,#REF!,#REF!,#REF!,#REF!,#REF!,#REF!,#REF!,#REF!,#REF!,#REF!,#REF!</definedName>
    <definedName name="__APW_RESTORE_DATA1776__" hidden="1">#REF!,#REF!,#REF!,#REF!,#REF!,#REF!,#REF!,#REF!,#REF!,#REF!,#REF!,#REF!,#REF!,#REF!,#REF!</definedName>
    <definedName name="__APW_RESTORE_DATA1777__" hidden="1">#REF!,#REF!,#REF!,#REF!,#REF!,#REF!,#REF!,#REF!,#REF!,#REF!,#REF!,#REF!,#REF!,#REF!,#REF!</definedName>
    <definedName name="__APW_RESTORE_DATA1778__" hidden="1">#REF!,#REF!,#REF!,#REF!,#REF!,#REF!,#REF!,#REF!,#REF!,#REF!,#REF!,#REF!,#REF!,#REF!,#REF!</definedName>
    <definedName name="__APW_RESTORE_DATA1779__" hidden="1">#REF!,#REF!,#REF!,#REF!,#REF!,#REF!,#REF!,#REF!,#REF!,#REF!,#REF!,#REF!,#REF!,#REF!,#REF!</definedName>
    <definedName name="__APW_RESTORE_DATA178__" hidden="1">#REF!,#REF!</definedName>
    <definedName name="__APW_RESTORE_DATA1780__" hidden="1">#REF!,#REF!,#REF!,#REF!,#REF!,#REF!,#REF!,#REF!,#REF!,#REF!,#REF!,#REF!,#REF!,#REF!,#REF!</definedName>
    <definedName name="__APW_RESTORE_DATA1781__" hidden="1">#REF!,#REF!,#REF!,#REF!,#REF!,#REF!,#REF!,#REF!,#REF!,#REF!,#REF!,#REF!,#REF!,#REF!,#REF!</definedName>
    <definedName name="__APW_RESTORE_DATA1782__" hidden="1">#REF!,#REF!,#REF!,#REF!,#REF!,#REF!,#REF!,#REF!,#REF!,#REF!,#REF!,#REF!,#REF!,#REF!,#REF!</definedName>
    <definedName name="__APW_RESTORE_DATA1783__" hidden="1">#REF!,#REF!,#REF!,#REF!,#REF!,#REF!,#REF!,#REF!,#REF!,#REF!,#REF!,#REF!,#REF!,#REF!,#REF!</definedName>
    <definedName name="__APW_RESTORE_DATA1784__" hidden="1">#REF!,#REF!,#REF!,#REF!,#REF!,#REF!,#REF!,#REF!,#REF!,#REF!,#REF!,#REF!,#REF!,#REF!,#REF!</definedName>
    <definedName name="__APW_RESTORE_DATA1785__" hidden="1">#REF!,#REF!,#REF!,#REF!,#REF!,#REF!,#REF!,#REF!,#REF!,#REF!,#REF!,#REF!,#REF!,#REF!,#REF!</definedName>
    <definedName name="__APW_RESTORE_DATA1786__" hidden="1">#REF!,#REF!,#REF!,#REF!,#REF!,#REF!,#REF!,#REF!,#REF!,#REF!,#REF!,#REF!,#REF!,#REF!,#REF!</definedName>
    <definedName name="__APW_RESTORE_DATA1787__" hidden="1">#REF!,#REF!,#REF!,#REF!,#REF!,#REF!,#REF!,#REF!,#REF!,#REF!,#REF!,#REF!,#REF!,#REF!,#REF!</definedName>
    <definedName name="__APW_RESTORE_DATA1788__" hidden="1">#REF!,#REF!,#REF!,#REF!,#REF!,#REF!,#REF!,#REF!,#REF!,#REF!,#REF!,#REF!,#REF!,#REF!,#REF!</definedName>
    <definedName name="__APW_RESTORE_DATA1789__" hidden="1">#REF!,#REF!,#REF!,#REF!,#REF!,#REF!,#REF!,#REF!,#REF!,#REF!,#REF!,#REF!,#REF!,#REF!,#REF!</definedName>
    <definedName name="__APW_RESTORE_DATA179__" hidden="1">#REF!,#REF!,#REF!,#REF!,#REF!,#REF!,#REF!,#REF!,#REF!,#REF!,#REF!,#REF!,#REF!,#REF!,#REF!</definedName>
    <definedName name="__APW_RESTORE_DATA1790__" hidden="1">#REF!,#REF!,#REF!,#REF!,#REF!,#REF!,#REF!,#REF!,#REF!,#REF!,#REF!,#REF!,#REF!,#REF!,#REF!</definedName>
    <definedName name="__APW_RESTORE_DATA1791__" hidden="1">#REF!,#REF!,#REF!,#REF!,#REF!,#REF!,#REF!,#REF!,#REF!,#REF!,#REF!,#REF!,#REF!,#REF!,#REF!</definedName>
    <definedName name="__APW_RESTORE_DATA1792__" hidden="1">#REF!,#REF!,#REF!,#REF!,#REF!,#REF!,#REF!,#REF!,#REF!,#REF!,#REF!,#REF!,#REF!,#REF!,#REF!</definedName>
    <definedName name="__APW_RESTORE_DATA1793__" hidden="1">#REF!,#REF!,#REF!,#REF!,#REF!,#REF!,#REF!,#REF!,#REF!,#REF!,#REF!,#REF!,#REF!,#REF!,#REF!</definedName>
    <definedName name="__APW_RESTORE_DATA1794__" hidden="1">#REF!,#REF!,#REF!,#REF!,#REF!,#REF!,#REF!,#REF!,#REF!,#REF!,#REF!,#REF!,#REF!,#REF!,#REF!</definedName>
    <definedName name="__APW_RESTORE_DATA1795__" hidden="1">#REF!,#REF!,#REF!,#REF!,#REF!,#REF!,#REF!,#REF!,#REF!,#REF!,#REF!,#REF!,#REF!,#REF!,#REF!</definedName>
    <definedName name="__APW_RESTORE_DATA1796__" hidden="1">#REF!,#REF!,#REF!,#REF!,#REF!,#REF!,#REF!,#REF!,#REF!,#REF!,#REF!,#REF!,#REF!,#REF!,#REF!</definedName>
    <definedName name="__APW_RESTORE_DATA1797__" hidden="1">#REF!,#REF!,#REF!,#REF!,#REF!,#REF!,#REF!,#REF!,#REF!,#REF!,#REF!,#REF!,#REF!,#REF!,#REF!</definedName>
    <definedName name="__APW_RESTORE_DATA1798__" hidden="1">#REF!,#REF!,#REF!,#REF!,#REF!,#REF!,#REF!,#REF!,#REF!,#REF!,#REF!,#REF!,#REF!,#REF!,#REF!</definedName>
    <definedName name="__APW_RESTORE_DATA1799__" hidden="1">#REF!,#REF!,#REF!,#REF!,#REF!,#REF!,#REF!,#REF!,#REF!,#REF!,#REF!,#REF!,#REF!,#REF!,#REF!</definedName>
    <definedName name="__APW_RESTORE_DATA18__" hidden="1">#REF!,#REF!,#REF!,#REF!,#REF!,#REF!,#REF!,#REF!,#REF!,#REF!,#REF!,#REF!,#REF!,#REF!,#REF!,#REF!</definedName>
    <definedName name="__APW_RESTORE_DATA180__" hidden="1">#REF!,#REF!,#REF!,#REF!,#REF!,#REF!,#REF!,#REF!,#REF!,#REF!,#REF!,#REF!,#REF!,#REF!,#REF!</definedName>
    <definedName name="__APW_RESTORE_DATA1800__" hidden="1">#REF!,#REF!,#REF!,#REF!,#REF!,#REF!</definedName>
    <definedName name="__APW_RESTORE_DATA1801__" hidden="1">#REF!,#REF!,#REF!,#REF!,#REF!,#REF!,#REF!,#REF!,#REF!,#REF!,#REF!,#REF!,#REF!,#REF!,#REF!,#REF!</definedName>
    <definedName name="__APW_RESTORE_DATA1802__" hidden="1">#REF!,#REF!,#REF!,#REF!,#REF!,#REF!,#REF!,#REF!,#REF!,#REF!,#REF!,#REF!,#REF!,#REF!,#REF!,#REF!</definedName>
    <definedName name="__APW_RESTORE_DATA1803__" hidden="1">#REF!,#REF!,#REF!,#REF!,#REF!,#REF!,#REF!,#REF!,#REF!,#REF!,#REF!,#REF!,#REF!,#REF!,#REF!,#REF!</definedName>
    <definedName name="__APW_RESTORE_DATA1804__" hidden="1">#REF!,#REF!,#REF!,#REF!,#REF!,#REF!,#REF!,#REF!,#REF!,#REF!,#REF!,#REF!,#REF!,#REF!,#REF!,#REF!</definedName>
    <definedName name="__APW_RESTORE_DATA1805__" hidden="1">#REF!,#REF!,#REF!,#REF!,#REF!,#REF!,#REF!,#REF!,#REF!,#REF!,#REF!,#REF!,#REF!,#REF!,#REF!,#REF!</definedName>
    <definedName name="__APW_RESTORE_DATA1806__" hidden="1">#REF!,#REF!,#REF!,#REF!,#REF!,#REF!,#REF!,#REF!,#REF!,#REF!,#REF!,#REF!,#REF!,#REF!,#REF!,#REF!</definedName>
    <definedName name="__APW_RESTORE_DATA1807__" hidden="1">#REF!,#REF!,#REF!,#REF!,#REF!,#REF!,#REF!,#REF!,#REF!,#REF!,#REF!,#REF!,#REF!,#REF!,#REF!</definedName>
    <definedName name="__APW_RESTORE_DATA1808__" hidden="1">#REF!,#REF!,#REF!,#REF!,#REF!,#REF!,#REF!,#REF!,#REF!,#REF!,#REF!,#REF!,#REF!,#REF!,#REF!</definedName>
    <definedName name="__APW_RESTORE_DATA1809__" hidden="1">#REF!,#REF!,#REF!,#REF!,#REF!,#REF!,#REF!,#REF!,#REF!,#REF!,#REF!,#REF!,#REF!,#REF!,#REF!</definedName>
    <definedName name="__APW_RESTORE_DATA181__" hidden="1">#REF!,#REF!,#REF!,#REF!,#REF!,#REF!,#REF!,#REF!</definedName>
    <definedName name="__APW_RESTORE_DATA1810__" hidden="1">#REF!,#REF!,#REF!,#REF!,#REF!,#REF!,#REF!,#REF!,#REF!,#REF!,#REF!,#REF!,#REF!,#REF!,#REF!</definedName>
    <definedName name="__APW_RESTORE_DATA1811__" hidden="1">#REF!,#REF!,#REF!,#REF!,#REF!,#REF!,#REF!,#REF!,#REF!,#REF!,#REF!,#REF!,#REF!,#REF!,#REF!</definedName>
    <definedName name="__APW_RESTORE_DATA1812__" hidden="1">#REF!,#REF!,#REF!,#REF!,#REF!,#REF!,#REF!,#REF!,#REF!,#REF!,#REF!,#REF!,#REF!,#REF!,#REF!</definedName>
    <definedName name="__APW_RESTORE_DATA1813__" hidden="1">#REF!,#REF!,#REF!,#REF!,#REF!,#REF!,#REF!,#REF!,#REF!,#REF!,#REF!,#REF!,#REF!,#REF!,#REF!</definedName>
    <definedName name="__APW_RESTORE_DATA1814__" hidden="1">#REF!,#REF!,#REF!,#REF!,#REF!,#REF!,#REF!,#REF!,#REF!,#REF!,#REF!,#REF!,#REF!,#REF!,#REF!</definedName>
    <definedName name="__APW_RESTORE_DATA1815__" hidden="1">#REF!,#REF!,#REF!,#REF!,#REF!,#REF!,#REF!,#REF!,#REF!,#REF!,#REF!,#REF!,#REF!,#REF!,#REF!</definedName>
    <definedName name="__APW_RESTORE_DATA1816__" hidden="1">#REF!,#REF!,#REF!,#REF!,#REF!,#REF!,#REF!,#REF!,#REF!,#REF!,#REF!,#REF!,#REF!,#REF!,#REF!</definedName>
    <definedName name="__APW_RESTORE_DATA1817__" hidden="1">#REF!,#REF!,#REF!,#REF!,#REF!,#REF!,#REF!,#REF!,#REF!,#REF!,#REF!,#REF!,#REF!,#REF!,#REF!</definedName>
    <definedName name="__APW_RESTORE_DATA1818__" hidden="1">#REF!,#REF!,#REF!,#REF!,#REF!,#REF!,#REF!,#REF!,#REF!,#REF!,#REF!,#REF!,#REF!,#REF!,#REF!</definedName>
    <definedName name="__APW_RESTORE_DATA1819__" hidden="1">#REF!,#REF!,#REF!,#REF!,#REF!,#REF!,#REF!,#REF!,#REF!,#REF!,#REF!,#REF!,#REF!,#REF!,#REF!</definedName>
    <definedName name="__APW_RESTORE_DATA182__" hidden="1">#REF!,#REF!,#REF!,#REF!,#REF!,#REF!,#REF!,#REF!,#REF!,#REF!,#REF!,#REF!,#REF!,#REF!,#REF!,#REF!</definedName>
    <definedName name="__APW_RESTORE_DATA1820__" hidden="1">#REF!,#REF!,#REF!,#REF!,#REF!,#REF!,#REF!,#REF!,#REF!,#REF!,#REF!,#REF!,#REF!,#REF!,#REF!</definedName>
    <definedName name="__APW_RESTORE_DATA1821__" hidden="1">#REF!,#REF!,#REF!,#REF!,#REF!,#REF!,#REF!,#REF!,#REF!,#REF!,#REF!,#REF!,#REF!,#REF!,#REF!</definedName>
    <definedName name="__APW_RESTORE_DATA1822__" hidden="1">#REF!,#REF!,#REF!,#REF!,#REF!,#REF!,#REF!,#REF!,#REF!,#REF!,#REF!,#REF!,#REF!,#REF!,#REF!</definedName>
    <definedName name="__APW_RESTORE_DATA1823__" hidden="1">#REF!,#REF!,#REF!,#REF!,#REF!,#REF!,#REF!,#REF!,#REF!,#REF!,#REF!,#REF!,#REF!,#REF!,#REF!</definedName>
    <definedName name="__APW_RESTORE_DATA1824__" hidden="1">#REF!,#REF!,#REF!,#REF!,#REF!,#REF!,#REF!,#REF!,#REF!,#REF!,#REF!,#REF!,#REF!,#REF!,#REF!</definedName>
    <definedName name="__APW_RESTORE_DATA1825__" hidden="1">#REF!,#REF!,#REF!,#REF!,#REF!,#REF!,#REF!,#REF!,#REF!,#REF!,#REF!,#REF!,#REF!,#REF!,#REF!</definedName>
    <definedName name="__APW_RESTORE_DATA1826__" hidden="1">#REF!,#REF!,#REF!,#REF!,#REF!,#REF!,#REF!,#REF!,#REF!,#REF!,#REF!,#REF!,#REF!,#REF!,#REF!</definedName>
    <definedName name="__APW_RESTORE_DATA1827__" hidden="1">#REF!,#REF!,#REF!,#REF!,#REF!,#REF!,#REF!,#REF!,#REF!,#REF!,#REF!,#REF!,#REF!,#REF!,#REF!</definedName>
    <definedName name="__APW_RESTORE_DATA1828__" hidden="1">#REF!,#REF!,#REF!,#REF!,#REF!,#REF!,#REF!,#REF!,#REF!,#REF!,#REF!,#REF!,#REF!,#REF!,#REF!</definedName>
    <definedName name="__APW_RESTORE_DATA1829__" hidden="1">#REF!,#REF!,#REF!,#REF!,#REF!,#REF!,#REF!,#REF!,#REF!,#REF!,#REF!,#REF!,#REF!,#REF!,#REF!</definedName>
    <definedName name="__APW_RESTORE_DATA183__" hidden="1">#REF!,#REF!,#REF!,#REF!,#REF!,#REF!,#REF!,#REF!,#REF!,#REF!,#REF!,#REF!,#REF!,#REF!,#REF!,#REF!</definedName>
    <definedName name="__APW_RESTORE_DATA1830__" hidden="1">#REF!,#REF!,#REF!,#REF!,#REF!,#REF!,#REF!,#REF!,#REF!,#REF!,#REF!,#REF!,#REF!,#REF!,#REF!</definedName>
    <definedName name="__APW_RESTORE_DATA1831__" hidden="1">#REF!,#REF!,#REF!,#REF!,#REF!,#REF!,#REF!,#REF!,#REF!,#REF!,#REF!,#REF!,#REF!,#REF!,#REF!</definedName>
    <definedName name="__APW_RESTORE_DATA1832__" hidden="1">#REF!,#REF!,#REF!,#REF!,#REF!,#REF!,#REF!,#REF!,#REF!,#REF!,#REF!,#REF!,#REF!,#REF!,#REF!</definedName>
    <definedName name="__APW_RESTORE_DATA1833__" hidden="1">#REF!,#REF!,#REF!,#REF!,#REF!,#REF!,#REF!,#REF!,#REF!,#REF!,#REF!,#REF!,#REF!,#REF!,#REF!</definedName>
    <definedName name="__APW_RESTORE_DATA1834__" hidden="1">#REF!,#REF!,#REF!,#REF!,#REF!,#REF!,#REF!,#REF!,#REF!,#REF!,#REF!,#REF!,#REF!,#REF!,#REF!</definedName>
    <definedName name="__APW_RESTORE_DATA1835__" hidden="1">#REF!,#REF!,#REF!,#REF!,#REF!,#REF!</definedName>
    <definedName name="__APW_RESTORE_DATA1836__" hidden="1">#REF!,#REF!,#REF!,#REF!,#REF!,#REF!,#REF!,#REF!,#REF!,#REF!,#REF!,#REF!,#REF!,#REF!,#REF!,#REF!</definedName>
    <definedName name="__APW_RESTORE_DATA1837__" hidden="1">#REF!,#REF!,#REF!,#REF!,#REF!,#REF!,#REF!,#REF!,#REF!,#REF!,#REF!,#REF!,#REF!,#REF!,#REF!,#REF!</definedName>
    <definedName name="__APW_RESTORE_DATA1838__" hidden="1">#REF!,#REF!,#REF!,#REF!,#REF!,#REF!,#REF!,#REF!,#REF!,#REF!,#REF!,#REF!,#REF!,#REF!,#REF!,#REF!</definedName>
    <definedName name="__APW_RESTORE_DATA1839__" hidden="1">#REF!,#REF!,#REF!,#REF!,#REF!,#REF!,#REF!,#REF!,#REF!,#REF!,#REF!,#REF!,#REF!,#REF!,#REF!,#REF!</definedName>
    <definedName name="__APW_RESTORE_DATA184__" hidden="1">#REF!,#REF!,#REF!,#REF!,#REF!,#REF!,#REF!,#REF!,#REF!,#REF!,#REF!,#REF!,#REF!,#REF!,#REF!,#REF!</definedName>
    <definedName name="__APW_RESTORE_DATA1840__" hidden="1">#REF!,#REF!,#REF!,#REF!,#REF!,#REF!,#REF!,#REF!,#REF!,#REF!,#REF!,#REF!,#REF!,#REF!,#REF!,#REF!</definedName>
    <definedName name="__APW_RESTORE_DATA1841__" hidden="1">#REF!,#REF!,#REF!,#REF!,#REF!,#REF!,#REF!,#REF!,#REF!,#REF!,#REF!,#REF!,#REF!,#REF!,#REF!,#REF!</definedName>
    <definedName name="__APW_RESTORE_DATA1842__" hidden="1">#REF!,#REF!,#REF!,#REF!,#REF!,#REF!,#REF!,#REF!,#REF!,#REF!,#REF!,#REF!,#REF!,#REF!,#REF!</definedName>
    <definedName name="__APW_RESTORE_DATA1843__" hidden="1">#REF!,#REF!,#REF!,#REF!,#REF!,#REF!,#REF!,#REF!,#REF!,#REF!,#REF!,#REF!,#REF!,#REF!,#REF!</definedName>
    <definedName name="__APW_RESTORE_DATA1844__" hidden="1">#REF!,#REF!,#REF!,#REF!,#REF!,#REF!,#REF!,#REF!,#REF!,#REF!,#REF!,#REF!,#REF!,#REF!,#REF!</definedName>
    <definedName name="__APW_RESTORE_DATA1845__" hidden="1">#REF!,#REF!,#REF!,#REF!,#REF!,#REF!,#REF!,#REF!,#REF!,#REF!,#REF!,#REF!,#REF!,#REF!,#REF!</definedName>
    <definedName name="__APW_RESTORE_DATA1846__" hidden="1">#REF!,#REF!,#REF!,#REF!,#REF!,#REF!,#REF!,#REF!,#REF!,#REF!,#REF!,#REF!,#REF!,#REF!,#REF!</definedName>
    <definedName name="__APW_RESTORE_DATA1847__" hidden="1">#REF!,#REF!,#REF!,#REF!,#REF!,#REF!,#REF!,#REF!,#REF!,#REF!,#REF!,#REF!,#REF!,#REF!,#REF!</definedName>
    <definedName name="__APW_RESTORE_DATA1848__" hidden="1">#REF!,#REF!,#REF!,#REF!,#REF!,#REF!,#REF!,#REF!,#REF!,#REF!,#REF!,#REF!,#REF!,#REF!,#REF!</definedName>
    <definedName name="__APW_RESTORE_DATA1849__" hidden="1">#REF!,#REF!,#REF!,#REF!,#REF!,#REF!,#REF!,#REF!,#REF!,#REF!,#REF!,#REF!,#REF!,#REF!,#REF!</definedName>
    <definedName name="__APW_RESTORE_DATA185__" hidden="1">#REF!,#REF!,#REF!,#REF!,#REF!,#REF!,#REF!,#REF!,#REF!,#REF!,#REF!,#REF!,#REF!,#REF!,#REF!,#REF!</definedName>
    <definedName name="__APW_RESTORE_DATA1850__" hidden="1">#REF!,#REF!,#REF!,#REF!,#REF!,#REF!,#REF!,#REF!,#REF!,#REF!,#REF!,#REF!,#REF!,#REF!,#REF!</definedName>
    <definedName name="__APW_RESTORE_DATA1851__" hidden="1">#REF!,#REF!,#REF!,#REF!,#REF!,#REF!,#REF!,#REF!,#REF!,#REF!,#REF!,#REF!,#REF!,#REF!,#REF!</definedName>
    <definedName name="__APW_RESTORE_DATA1852__" hidden="1">#REF!,#REF!,#REF!,#REF!,#REF!,#REF!,#REF!,#REF!,#REF!,#REF!,#REF!,#REF!,#REF!,#REF!,#REF!</definedName>
    <definedName name="__APW_RESTORE_DATA1853__" hidden="1">#REF!,#REF!,#REF!,#REF!,#REF!,#REF!,#REF!,#REF!,#REF!,#REF!,#REF!,#REF!,#REF!,#REF!,#REF!</definedName>
    <definedName name="__APW_RESTORE_DATA1856__" hidden="1">#REF!,#REF!,#REF!,#REF!,#REF!,#REF!,#REF!,#REF!,#REF!,#REF!,#REF!,#REF!,#REF!,#REF!,#REF!</definedName>
    <definedName name="__APW_RESTORE_DATA1857__" hidden="1">#REF!,#REF!,#REF!,#REF!,#REF!,#REF!,#REF!,#REF!,#REF!,#REF!,#REF!,#REF!,#REF!,#REF!,#REF!</definedName>
    <definedName name="__APW_RESTORE_DATA1858__" hidden="1">#REF!,#REF!,#REF!,#REF!,#REF!,#REF!,#REF!,#REF!,#REF!,#REF!,#REF!,#REF!,#REF!,#REF!,#REF!</definedName>
    <definedName name="__APW_RESTORE_DATA1859__" hidden="1">#REF!,#REF!,#REF!,#REF!,#REF!,#REF!,#REF!,#REF!,#REF!,#REF!,#REF!,#REF!,#REF!,#REF!,#REF!</definedName>
    <definedName name="__APW_RESTORE_DATA186__" hidden="1">#REF!,#REF!,#REF!,#REF!,#REF!,#REF!,#REF!,#REF!,#REF!,#REF!,#REF!,#REF!,#REF!,#REF!,#REF!,#REF!</definedName>
    <definedName name="__APW_RESTORE_DATA1860__" hidden="1">#REF!,#REF!,#REF!,#REF!,#REF!,#REF!,#REF!,#REF!,#REF!,#REF!,#REF!,#REF!,#REF!,#REF!,#REF!</definedName>
    <definedName name="__APW_RESTORE_DATA1861__" hidden="1">#REF!,#REF!,#REF!,#REF!,#REF!,#REF!,#REF!,#REF!,#REF!,#REF!,#REF!,#REF!,#REF!,#REF!,#REF!</definedName>
    <definedName name="__APW_RESTORE_DATA1862__" hidden="1">#REF!,#REF!,#REF!,#REF!,#REF!,#REF!,#REF!,#REF!,#REF!,#REF!,#REF!,#REF!,#REF!,#REF!,#REF!</definedName>
    <definedName name="__APW_RESTORE_DATA1863__" hidden="1">#REF!,#REF!,#REF!,#REF!,#REF!,#REF!,#REF!,#REF!,#REF!,#REF!,#REF!,#REF!,#REF!,#REF!,#REF!</definedName>
    <definedName name="__APW_RESTORE_DATA1864__" hidden="1">#REF!,#REF!,#REF!,#REF!,#REF!,#REF!,#REF!,#REF!,#REF!,#REF!,#REF!,#REF!,#REF!,#REF!,#REF!</definedName>
    <definedName name="__APW_RESTORE_DATA1865__" hidden="1">#REF!,#REF!,#REF!,#REF!,#REF!,#REF!,#REF!,#REF!,#REF!,#REF!,#REF!,#REF!,#REF!,#REF!,#REF!</definedName>
    <definedName name="__APW_RESTORE_DATA1866__" hidden="1">#REF!,#REF!,#REF!,#REF!,#REF!,#REF!,#REF!,#REF!,#REF!,#REF!,#REF!,#REF!,#REF!,#REF!,#REF!</definedName>
    <definedName name="__APW_RESTORE_DATA1867__" hidden="1">#REF!,#REF!,#REF!,#REF!,#REF!,#REF!,#REF!,#REF!,#REF!,#REF!,#REF!,#REF!,#REF!,#REF!,#REF!</definedName>
    <definedName name="__APW_RESTORE_DATA1868__" hidden="1">#REF!,#REF!,#REF!,#REF!,#REF!,#REF!,#REF!,#REF!,#REF!,#REF!,#REF!,#REF!,#REF!,#REF!,#REF!</definedName>
    <definedName name="__APW_RESTORE_DATA1869__" hidden="1">#REF!,#REF!,#REF!,#REF!,#REF!,#REF!,#REF!,#REF!,#REF!,#REF!,#REF!,#REF!,#REF!,#REF!,#REF!</definedName>
    <definedName name="__APW_RESTORE_DATA187__" hidden="1">#REF!,#REF!,#REF!,#REF!,#REF!,#REF!,#REF!,#REF!,#REF!,#REF!,#REF!,#REF!,#REF!,#REF!,#REF!,#REF!</definedName>
    <definedName name="__APW_RESTORE_DATA1870__" hidden="1">#REF!,#REF!,#REF!,#REF!,#REF!,#REF!</definedName>
    <definedName name="__APW_RESTORE_DATA1871__" hidden="1">#REF!</definedName>
    <definedName name="__APW_RESTORE_DATA1872__" hidden="1">#REF!</definedName>
    <definedName name="__APW_RESTORE_DATA1874__" hidden="1">#REF!</definedName>
    <definedName name="__APW_RESTORE_DATA1875__" hidden="1">#REF!,#REF!,#REF!,#REF!,#REF!,#REF!,#REF!,#REF!,#REF!,#REF!,#REF!,#REF!,#REF!,#REF!,#REF!,#REF!</definedName>
    <definedName name="__APW_RESTORE_DATA1876__" hidden="1">#REF!,#REF!,#REF!,#REF!,#REF!,#REF!,#REF!,#REF!,#REF!,#REF!,#REF!,#REF!,#REF!,#REF!,#REF!,#REF!</definedName>
    <definedName name="__APW_RESTORE_DATA1877__" hidden="1">#REF!,#REF!,#REF!,#REF!,#REF!,#REF!,#REF!,#REF!,#REF!,#REF!,#REF!,#REF!,#REF!,#REF!,#REF!,#REF!</definedName>
    <definedName name="__APW_RESTORE_DATA1878__" hidden="1">#REF!,#REF!,#REF!,#REF!,#REF!,#REF!,#REF!,#REF!,#REF!,#REF!,#REF!,#REF!,#REF!,#REF!,#REF!,#REF!</definedName>
    <definedName name="__APW_RESTORE_DATA1879__" hidden="1">#REF!,#REF!,#REF!,#REF!,#REF!,#REF!,#REF!,#REF!,#REF!,#REF!,#REF!,#REF!,#REF!,#REF!,#REF!,#REF!</definedName>
    <definedName name="__APW_RESTORE_DATA188__" hidden="1">#REF!,#REF!,#REF!,#REF!,#REF!,#REF!,#REF!,#REF!,#REF!,#REF!,#REF!,#REF!,#REF!,#REF!,#REF!</definedName>
    <definedName name="__APW_RESTORE_DATA1880__" hidden="1">#REF!,#REF!,#REF!,#REF!,#REF!,#REF!,#REF!,#REF!,#REF!,#REF!,#REF!,#REF!,#REF!,#REF!,#REF!,#REF!</definedName>
    <definedName name="__APW_RESTORE_DATA1881__" hidden="1">#REF!,#REF!,#REF!,#REF!,#REF!,#REF!,#REF!,#REF!,#REF!,#REF!,#REF!,#REF!,#REF!,#REF!,#REF!</definedName>
    <definedName name="__APW_RESTORE_DATA1882__" hidden="1">#REF!,#REF!,#REF!,#REF!,#REF!,#REF!,#REF!,#REF!,#REF!,#REF!,#REF!,#REF!,#REF!,#REF!,#REF!</definedName>
    <definedName name="__APW_RESTORE_DATA1883__" hidden="1">#REF!,#REF!,#REF!,#REF!,#REF!,#REF!,#REF!,#REF!,#REF!,#REF!,#REF!,#REF!,#REF!,#REF!,#REF!</definedName>
    <definedName name="__APW_RESTORE_DATA1884__" hidden="1">#REF!,#REF!,#REF!,#REF!,#REF!,#REF!,#REF!,#REF!,#REF!,#REF!,#REF!,#REF!,#REF!,#REF!,#REF!</definedName>
    <definedName name="__APW_RESTORE_DATA1885__" hidden="1">#REF!,#REF!,#REF!,#REF!,#REF!,#REF!,#REF!,#REF!,#REF!,#REF!,#REF!,#REF!,#REF!,#REF!,#REF!</definedName>
    <definedName name="__APW_RESTORE_DATA1886__" hidden="1">#REF!,#REF!,#REF!,#REF!,#REF!,#REF!,#REF!,#REF!,#REF!,#REF!,#REF!,#REF!,#REF!,#REF!,#REF!</definedName>
    <definedName name="__APW_RESTORE_DATA1887__" hidden="1">#REF!,#REF!,#REF!,#REF!,#REF!,#REF!,#REF!,#REF!,#REF!,#REF!,#REF!,#REF!,#REF!,#REF!,#REF!</definedName>
    <definedName name="__APW_RESTORE_DATA1888__" hidden="1">#REF!,#REF!,#REF!,#REF!,#REF!,#REF!,#REF!,#REF!,#REF!,#REF!,#REF!,#REF!,#REF!,#REF!,#REF!</definedName>
    <definedName name="__APW_RESTORE_DATA1889__" hidden="1">#REF!,#REF!,#REF!,#REF!,#REF!,#REF!,#REF!,#REF!,#REF!,#REF!,#REF!,#REF!,#REF!,#REF!,#REF!</definedName>
    <definedName name="__APW_RESTORE_DATA189__" hidden="1">#REF!,#REF!,#REF!,#REF!,#REF!,#REF!,#REF!,#REF!,#REF!,#REF!,#REF!,#REF!,#REF!,#REF!,#REF!</definedName>
    <definedName name="__APW_RESTORE_DATA1890__" hidden="1">#REF!,#REF!,#REF!,#REF!,#REF!,#REF!,#REF!,#REF!,#REF!,#REF!,#REF!,#REF!,#REF!,#REF!,#REF!</definedName>
    <definedName name="__APW_RESTORE_DATA1891__" hidden="1">#REF!,#REF!,#REF!,#REF!,#REF!,#REF!,#REF!,#REF!,#REF!,#REF!,#REF!,#REF!,#REF!,#REF!,#REF!</definedName>
    <definedName name="__APW_RESTORE_DATA1892__" hidden="1">#REF!,#REF!,#REF!,#REF!,#REF!,#REF!,#REF!,#REF!,#REF!,#REF!,#REF!,#REF!,#REF!,#REF!,#REF!</definedName>
    <definedName name="__APW_RESTORE_DATA1893__" hidden="1">#REF!,#REF!,#REF!,#REF!,#REF!,#REF!,#REF!,#REF!,#REF!,#REF!,#REF!,#REF!,#REF!,#REF!,#REF!</definedName>
    <definedName name="__APW_RESTORE_DATA1894__" hidden="1">#REF!,#REF!,#REF!,#REF!,#REF!,#REF!,#REF!,#REF!,#REF!,#REF!,#REF!,#REF!,#REF!,#REF!,#REF!</definedName>
    <definedName name="__APW_RESTORE_DATA1895__" hidden="1">#REF!,#REF!,#REF!,#REF!,#REF!,#REF!,#REF!,#REF!,#REF!,#REF!,#REF!,#REF!,#REF!,#REF!,#REF!</definedName>
    <definedName name="__APW_RESTORE_DATA1896__" hidden="1">#REF!,#REF!,#REF!,#REF!,#REF!,#REF!,#REF!,#REF!,#REF!,#REF!,#REF!,#REF!,#REF!,#REF!,#REF!</definedName>
    <definedName name="__APW_RESTORE_DATA1897__" hidden="1">#REF!,#REF!,#REF!,#REF!,#REF!,#REF!,#REF!,#REF!,#REF!,#REF!,#REF!,#REF!,#REF!,#REF!,#REF!</definedName>
    <definedName name="__APW_RESTORE_DATA1898__" hidden="1">#REF!,#REF!,#REF!,#REF!,#REF!,#REF!,#REF!,#REF!,#REF!,#REF!,#REF!,#REF!,#REF!,#REF!,#REF!</definedName>
    <definedName name="__APW_RESTORE_DATA1899__" hidden="1">#REF!,#REF!,#REF!,#REF!,#REF!,#REF!,#REF!,#REF!,#REF!,#REF!,#REF!,#REF!,#REF!,#REF!,#REF!</definedName>
    <definedName name="__APW_RESTORE_DATA19__" hidden="1">#REF!,#REF!,#REF!,#REF!,#REF!,#REF!,#REF!,#REF!,#REF!,#REF!,#REF!,#REF!,#REF!,#REF!,#REF!</definedName>
    <definedName name="__APW_RESTORE_DATA190__" hidden="1">#REF!,#REF!,#REF!,#REF!,#REF!,#REF!,#REF!,#REF!,#REF!,#REF!,#REF!,#REF!,#REF!,#REF!,#REF!</definedName>
    <definedName name="__APW_RESTORE_DATA1900__" hidden="1">#REF!,#REF!,#REF!,#REF!,#REF!,#REF!,#REF!,#REF!,#REF!,#REF!,#REF!,#REF!,#REF!,#REF!,#REF!</definedName>
    <definedName name="__APW_RESTORE_DATA1901__" hidden="1">#REF!,#REF!,#REF!,#REF!,#REF!,#REF!,#REF!,#REF!,#REF!,#REF!,#REF!,#REF!,#REF!,#REF!,#REF!</definedName>
    <definedName name="__APW_RESTORE_DATA1902__" hidden="1">#REF!,#REF!,#REF!,#REF!,#REF!,#REF!,#REF!,#REF!,#REF!,#REF!,#REF!,#REF!,#REF!,#REF!,#REF!</definedName>
    <definedName name="__APW_RESTORE_DATA1903__" hidden="1">#REF!,#REF!,#REF!,#REF!,#REF!,#REF!,#REF!,#REF!,#REF!,#REF!,#REF!,#REF!,#REF!,#REF!,#REF!</definedName>
    <definedName name="__APW_RESTORE_DATA1904__" hidden="1">#REF!,#REF!,#REF!,#REF!,#REF!,#REF!,#REF!,#REF!,#REF!,#REF!,#REF!,#REF!,#REF!,#REF!,#REF!</definedName>
    <definedName name="__APW_RESTORE_DATA1905__" hidden="1">#REF!,#REF!,#REF!,#REF!,#REF!,#REF!,#REF!,#REF!,#REF!,#REF!,#REF!,#REF!,#REF!,#REF!,#REF!</definedName>
    <definedName name="__APW_RESTORE_DATA1906__" hidden="1">#REF!,#REF!,#REF!,#REF!,#REF!,#REF!,#REF!,#REF!,#REF!,#REF!,#REF!,#REF!,#REF!,#REF!,#REF!</definedName>
    <definedName name="__APW_RESTORE_DATA1907__" hidden="1">#REF!,#REF!,#REF!,#REF!,#REF!,#REF!,#REF!,#REF!,#REF!,#REF!,#REF!,#REF!,#REF!,#REF!,#REF!</definedName>
    <definedName name="__APW_RESTORE_DATA1908__" hidden="1">#REF!,#REF!,#REF!,#REF!,#REF!,#REF!,#REF!,#REF!,#REF!,#REF!,#REF!,#REF!,#REF!,#REF!,#REF!</definedName>
    <definedName name="__APW_RESTORE_DATA1909__" hidden="1">#REF!,#REF!,#REF!,#REF!,#REF!,#REF!</definedName>
    <definedName name="__APW_RESTORE_DATA191__" hidden="1">#REF!,#REF!,#REF!,#REF!,#REF!,#REF!,#REF!,#REF!,#REF!,#REF!,#REF!,#REF!,#REF!,#REF!,#REF!</definedName>
    <definedName name="__APW_RESTORE_DATA1910__" hidden="1">#REF!,#REF!,#REF!,#REF!,#REF!,#REF!,#REF!,#REF!,#REF!,#REF!,#REF!,#REF!,#REF!,#REF!,#REF!,#REF!</definedName>
    <definedName name="__APW_RESTORE_DATA1911__" hidden="1">#REF!,#REF!,#REF!,#REF!,#REF!,#REF!,#REF!,#REF!,#REF!,#REF!,#REF!,#REF!,#REF!,#REF!,#REF!,#REF!</definedName>
    <definedName name="__APW_RESTORE_DATA1912__" hidden="1">#REF!,#REF!,#REF!,#REF!,#REF!,#REF!,#REF!,#REF!,#REF!,#REF!,#REF!,#REF!,#REF!,#REF!,#REF!,#REF!</definedName>
    <definedName name="__APW_RESTORE_DATA1913__" hidden="1">#REF!,#REF!,#REF!,#REF!,#REF!,#REF!,#REF!,#REF!,#REF!,#REF!,#REF!,#REF!,#REF!,#REF!,#REF!,#REF!</definedName>
    <definedName name="__APW_RESTORE_DATA1914__" hidden="1">#REF!,#REF!,#REF!,#REF!,#REF!,#REF!,#REF!,#REF!,#REF!,#REF!,#REF!,#REF!,#REF!,#REF!,#REF!,#REF!</definedName>
    <definedName name="__APW_RESTORE_DATA1915__" hidden="1">#REF!,#REF!,#REF!,#REF!,#REF!,#REF!,#REF!,#REF!,#REF!,#REF!,#REF!,#REF!,#REF!,#REF!,#REF!,#REF!</definedName>
    <definedName name="__APW_RESTORE_DATA1916__" hidden="1">#REF!,#REF!,#REF!,#REF!,#REF!,#REF!,#REF!,#REF!,#REF!,#REF!,#REF!,#REF!,#REF!,#REF!,#REF!</definedName>
    <definedName name="__APW_RESTORE_DATA1917__" hidden="1">#REF!,#REF!,#REF!,#REF!,#REF!,#REF!,#REF!,#REF!,#REF!,#REF!,#REF!,#REF!,#REF!,#REF!,#REF!</definedName>
    <definedName name="__APW_RESTORE_DATA1918__" hidden="1">#REF!,#REF!,#REF!,#REF!,#REF!,#REF!,#REF!,#REF!,#REF!,#REF!,#REF!,#REF!,#REF!,#REF!,#REF!</definedName>
    <definedName name="__APW_RESTORE_DATA1919__" hidden="1">#REF!,#REF!,#REF!,#REF!,#REF!,#REF!,#REF!,#REF!,#REF!,#REF!,#REF!,#REF!,#REF!,#REF!,#REF!</definedName>
    <definedName name="__APW_RESTORE_DATA192__" hidden="1">#REF!,#REF!,#REF!,#REF!,#REF!,#REF!,#REF!,#REF!,#REF!,#REF!,#REF!,#REF!,#REF!,#REF!,#REF!</definedName>
    <definedName name="__APW_RESTORE_DATA1920__" hidden="1">#REF!,#REF!,#REF!,#REF!,#REF!,#REF!,#REF!,#REF!,#REF!,#REF!,#REF!,#REF!,#REF!,#REF!,#REF!</definedName>
    <definedName name="__APW_RESTORE_DATA1921__" hidden="1">#REF!,#REF!,#REF!,#REF!,#REF!,#REF!,#REF!,#REF!,#REF!,#REF!,#REF!,#REF!,#REF!,#REF!,#REF!</definedName>
    <definedName name="__APW_RESTORE_DATA1922__" hidden="1">#REF!,#REF!,#REF!,#REF!,#REF!,#REF!,#REF!,#REF!,#REF!,#REF!,#REF!,#REF!,#REF!,#REF!,#REF!</definedName>
    <definedName name="__APW_RESTORE_DATA1923__" hidden="1">#REF!,#REF!,#REF!,#REF!,#REF!,#REF!,#REF!,#REF!,#REF!,#REF!,#REF!,#REF!,#REF!,#REF!,#REF!</definedName>
    <definedName name="__APW_RESTORE_DATA1924__" hidden="1">#REF!,#REF!,#REF!,#REF!,#REF!,#REF!,#REF!,#REF!,#REF!,#REF!,#REF!,#REF!,#REF!,#REF!,#REF!</definedName>
    <definedName name="__APW_RESTORE_DATA1925__" hidden="1">#REF!,#REF!,#REF!,#REF!,#REF!,#REF!,#REF!,#REF!,#REF!,#REF!,#REF!,#REF!,#REF!,#REF!,#REF!</definedName>
    <definedName name="__APW_RESTORE_DATA1926__" hidden="1">#REF!,#REF!,#REF!,#REF!,#REF!,#REF!,#REF!,#REF!,#REF!,#REF!,#REF!,#REF!,#REF!,#REF!,#REF!</definedName>
    <definedName name="__APW_RESTORE_DATA1927__" hidden="1">#REF!,#REF!,#REF!,#REF!,#REF!,#REF!,#REF!,#REF!,#REF!,#REF!,#REF!,#REF!,#REF!,#REF!,#REF!</definedName>
    <definedName name="__APW_RESTORE_DATA1928__" hidden="1">#REF!,#REF!,#REF!,#REF!,#REF!,#REF!,#REF!,#REF!,#REF!,#REF!,#REF!,#REF!,#REF!,#REF!,#REF!</definedName>
    <definedName name="__APW_RESTORE_DATA1929__" hidden="1">#REF!,#REF!,#REF!,#REF!,#REF!,#REF!,#REF!,#REF!,#REF!,#REF!,#REF!,#REF!,#REF!,#REF!,#REF!</definedName>
    <definedName name="__APW_RESTORE_DATA193__" hidden="1">#REF!,#REF!</definedName>
    <definedName name="__APW_RESTORE_DATA1930__" hidden="1">#REF!,#REF!,#REF!,#REF!,#REF!,#REF!,#REF!,#REF!,#REF!,#REF!,#REF!,#REF!,#REF!,#REF!,#REF!</definedName>
    <definedName name="__APW_RESTORE_DATA1931__" hidden="1">#REF!,#REF!,#REF!,#REF!,#REF!,#REF!,#REF!,#REF!,#REF!,#REF!,#REF!,#REF!,#REF!,#REF!,#REF!</definedName>
    <definedName name="__APW_RESTORE_DATA1932__" hidden="1">#REF!,#REF!,#REF!,#REF!,#REF!,#REF!,#REF!,#REF!,#REF!,#REF!,#REF!,#REF!,#REF!,#REF!,#REF!</definedName>
    <definedName name="__APW_RESTORE_DATA1933__" hidden="1">#REF!,#REF!,#REF!,#REF!,#REF!,#REF!,#REF!,#REF!,#REF!,#REF!,#REF!,#REF!,#REF!,#REF!,#REF!</definedName>
    <definedName name="__APW_RESTORE_DATA1934__" hidden="1">#REF!,#REF!,#REF!,#REF!,#REF!,#REF!,#REF!,#REF!,#REF!,#REF!,#REF!,#REF!,#REF!,#REF!,#REF!</definedName>
    <definedName name="__APW_RESTORE_DATA1935__" hidden="1">#REF!,#REF!,#REF!,#REF!,#REF!,#REF!,#REF!,#REF!,#REF!,#REF!,#REF!,#REF!,#REF!,#REF!,#REF!</definedName>
    <definedName name="__APW_RESTORE_DATA1936__" hidden="1">#REF!,#REF!,#REF!,#REF!,#REF!,#REF!,#REF!,#REF!,#REF!,#REF!,#REF!,#REF!,#REF!,#REF!,#REF!</definedName>
    <definedName name="__APW_RESTORE_DATA1937__" hidden="1">#REF!,#REF!,#REF!,#REF!,#REF!,#REF!,#REF!,#REF!,#REF!,#REF!,#REF!,#REF!,#REF!,#REF!,#REF!</definedName>
    <definedName name="__APW_RESTORE_DATA1938__" hidden="1">#REF!,#REF!,#REF!,#REF!,#REF!,#REF!,#REF!,#REF!,#REF!,#REF!,#REF!,#REF!,#REF!,#REF!,#REF!</definedName>
    <definedName name="__APW_RESTORE_DATA1939__" hidden="1">#REF!,#REF!,#REF!,#REF!,#REF!,#REF!,#REF!,#REF!,#REF!,#REF!,#REF!,#REF!,#REF!,#REF!,#REF!</definedName>
    <definedName name="__APW_RESTORE_DATA194__" hidden="1">#REF!,#REF!</definedName>
    <definedName name="__APW_RESTORE_DATA1940__" hidden="1">#REF!,#REF!,#REF!,#REF!,#REF!,#REF!,#REF!,#REF!,#REF!,#REF!,#REF!,#REF!,#REF!,#REF!,#REF!</definedName>
    <definedName name="__APW_RESTORE_DATA1941__" hidden="1">#REF!,#REF!,#REF!,#REF!,#REF!,#REF!,#REF!,#REF!,#REF!,#REF!,#REF!,#REF!,#REF!,#REF!,#REF!</definedName>
    <definedName name="__APW_RESTORE_DATA1942__" hidden="1">#REF!,#REF!,#REF!,#REF!,#REF!,#REF!,#REF!,#REF!,#REF!,#REF!,#REF!,#REF!,#REF!,#REF!,#REF!</definedName>
    <definedName name="__APW_RESTORE_DATA1943__" hidden="1">#REF!,#REF!,#REF!,#REF!,#REF!,#REF!,#REF!,#REF!,#REF!,#REF!,#REF!,#REF!,#REF!,#REF!,#REF!</definedName>
    <definedName name="__APW_RESTORE_DATA1944__" hidden="1">#REF!,#REF!,#REF!,#REF!,#REF!,#REF!</definedName>
    <definedName name="__APW_RESTORE_DATA1945__" hidden="1">#REF!,#REF!,#REF!,#REF!,#REF!,#REF!,#REF!,#REF!,#REF!,#REF!,#REF!,#REF!,#REF!,#REF!,#REF!,#REF!</definedName>
    <definedName name="__APW_RESTORE_DATA1946__" hidden="1">#REF!,#REF!,#REF!,#REF!,#REF!,#REF!,#REF!,#REF!,#REF!,#REF!,#REF!,#REF!,#REF!,#REF!,#REF!,#REF!</definedName>
    <definedName name="__APW_RESTORE_DATA1947__" hidden="1">#REF!,#REF!,#REF!,#REF!,#REF!,#REF!,#REF!,#REF!,#REF!,#REF!,#REF!,#REF!,#REF!,#REF!,#REF!,#REF!</definedName>
    <definedName name="__APW_RESTORE_DATA1948__" hidden="1">#REF!,#REF!,#REF!,#REF!,#REF!,#REF!,#REF!,#REF!,#REF!,#REF!,#REF!,#REF!,#REF!,#REF!,#REF!,#REF!</definedName>
    <definedName name="__APW_RESTORE_DATA1949__" hidden="1">#REF!,#REF!,#REF!,#REF!,#REF!,#REF!,#REF!,#REF!,#REF!,#REF!,#REF!,#REF!,#REF!,#REF!,#REF!,#REF!</definedName>
    <definedName name="__APW_RESTORE_DATA195__" hidden="1">#REF!,#REF!,#REF!,#REF!,#REF!,#REF!,#REF!,#REF!,#REF!,#REF!,#REF!,#REF!,#REF!,#REF!,#REF!</definedName>
    <definedName name="__APW_RESTORE_DATA1950__" hidden="1">#REF!,#REF!,#REF!,#REF!,#REF!,#REF!,#REF!,#REF!,#REF!,#REF!,#REF!,#REF!,#REF!,#REF!,#REF!,#REF!</definedName>
    <definedName name="__APW_RESTORE_DATA1951__" hidden="1">#REF!,#REF!,#REF!,#REF!,#REF!,#REF!,#REF!,#REF!,#REF!,#REF!,#REF!,#REF!,#REF!,#REF!,#REF!</definedName>
    <definedName name="__APW_RESTORE_DATA1952__" hidden="1">#REF!,#REF!,#REF!,#REF!,#REF!,#REF!,#REF!,#REF!,#REF!,#REF!,#REF!,#REF!,#REF!,#REF!,#REF!</definedName>
    <definedName name="__APW_RESTORE_DATA1953__" hidden="1">#REF!,#REF!,#REF!,#REF!,#REF!,#REF!,#REF!,#REF!,#REF!,#REF!,#REF!,#REF!,#REF!,#REF!,#REF!</definedName>
    <definedName name="__APW_RESTORE_DATA1954__" hidden="1">#REF!,#REF!,#REF!,#REF!,#REF!,#REF!,#REF!,#REF!,#REF!,#REF!,#REF!,#REF!,#REF!,#REF!,#REF!</definedName>
    <definedName name="__APW_RESTORE_DATA1955__" hidden="1">#REF!,#REF!,#REF!,#REF!,#REF!,#REF!,#REF!,#REF!,#REF!,#REF!,#REF!,#REF!,#REF!,#REF!,#REF!</definedName>
    <definedName name="__APW_RESTORE_DATA1956__" hidden="1">#REF!,#REF!,#REF!,#REF!,#REF!,#REF!,#REF!,#REF!,#REF!,#REF!,#REF!,#REF!,#REF!,#REF!,#REF!</definedName>
    <definedName name="__APW_RESTORE_DATA1957__" hidden="1">#REF!,#REF!,#REF!,#REF!,#REF!,#REF!,#REF!,#REF!,#REF!,#REF!,#REF!,#REF!,#REF!,#REF!,#REF!</definedName>
    <definedName name="__APW_RESTORE_DATA1958__" hidden="1">#REF!,#REF!,#REF!,#REF!,#REF!,#REF!,#REF!,#REF!,#REF!,#REF!,#REF!,#REF!,#REF!,#REF!,#REF!</definedName>
    <definedName name="__APW_RESTORE_DATA1959__" hidden="1">#REF!,#REF!,#REF!,#REF!,#REF!,#REF!,#REF!,#REF!,#REF!,#REF!,#REF!,#REF!,#REF!,#REF!,#REF!</definedName>
    <definedName name="__APW_RESTORE_DATA196__" hidden="1">#REF!,#REF!,#REF!,#REF!,#REF!,#REF!,#REF!,#REF!,#REF!,#REF!,#REF!,#REF!,#REF!,#REF!,#REF!</definedName>
    <definedName name="__APW_RESTORE_DATA1960__" hidden="1">#REF!,#REF!,#REF!,#REF!,#REF!,#REF!,#REF!,#REF!,#REF!,#REF!,#REF!,#REF!,#REF!,#REF!,#REF!</definedName>
    <definedName name="__APW_RESTORE_DATA1961__" hidden="1">#REF!,#REF!,#REF!,#REF!,#REF!,#REF!,#REF!,#REF!,#REF!,#REF!,#REF!,#REF!,#REF!,#REF!,#REF!</definedName>
    <definedName name="__APW_RESTORE_DATA1962__" hidden="1">#REF!,#REF!,#REF!,#REF!,#REF!,#REF!,#REF!,#REF!,#REF!,#REF!,#REF!,#REF!,#REF!,#REF!,#REF!</definedName>
    <definedName name="__APW_RESTORE_DATA1963__" hidden="1">#REF!,#REF!,#REF!,#REF!,#REF!,#REF!,#REF!,#REF!,#REF!,#REF!,#REF!,#REF!,#REF!,#REF!,#REF!</definedName>
    <definedName name="__APW_RESTORE_DATA1964__" hidden="1">#REF!,#REF!,#REF!,#REF!,#REF!,#REF!,#REF!,#REF!,#REF!,#REF!,#REF!,#REF!,#REF!,#REF!,#REF!</definedName>
    <definedName name="__APW_RESTORE_DATA1965__" hidden="1">#REF!,#REF!,#REF!,#REF!,#REF!,#REF!,#REF!,#REF!,#REF!,#REF!,#REF!,#REF!,#REF!,#REF!,#REF!</definedName>
    <definedName name="__APW_RESTORE_DATA1966__" hidden="1">#REF!,#REF!,#REF!,#REF!,#REF!,#REF!,#REF!,#REF!,#REF!,#REF!,#REF!,#REF!,#REF!,#REF!,#REF!</definedName>
    <definedName name="__APW_RESTORE_DATA1967__" hidden="1">#REF!,#REF!,#REF!,#REF!,#REF!,#REF!,#REF!,#REF!,#REF!,#REF!,#REF!,#REF!,#REF!,#REF!,#REF!</definedName>
    <definedName name="__APW_RESTORE_DATA1968__" hidden="1">#REF!,#REF!,#REF!,#REF!,#REF!,#REF!,#REF!,#REF!,#REF!,#REF!,#REF!,#REF!,#REF!,#REF!,#REF!</definedName>
    <definedName name="__APW_RESTORE_DATA1969__" hidden="1">#REF!,#REF!,#REF!,#REF!,#REF!,#REF!,#REF!,#REF!,#REF!,#REF!,#REF!,#REF!,#REF!,#REF!,#REF!</definedName>
    <definedName name="__APW_RESTORE_DATA197__" hidden="1">#REF!,#REF!,#REF!,#REF!,#REF!,#REF!,#REF!,#REF!,#REF!,#REF!,#REF!,#REF!,#REF!,#REF!,#REF!</definedName>
    <definedName name="__APW_RESTORE_DATA1970__" hidden="1">#REF!,#REF!,#REF!,#REF!,#REF!,#REF!,#REF!,#REF!,#REF!,#REF!,#REF!,#REF!,#REF!,#REF!,#REF!</definedName>
    <definedName name="__APW_RESTORE_DATA1971__" hidden="1">#REF!,#REF!,#REF!,#REF!,#REF!,#REF!,#REF!,#REF!,#REF!,#REF!,#REF!,#REF!,#REF!,#REF!,#REF!</definedName>
    <definedName name="__APW_RESTORE_DATA1972__" hidden="1">#REF!,#REF!,#REF!,#REF!,#REF!,#REF!,#REF!,#REF!,#REF!,#REF!,#REF!,#REF!,#REF!,#REF!,#REF!</definedName>
    <definedName name="__APW_RESTORE_DATA1973__" hidden="1">#REF!,#REF!,#REF!,#REF!,#REF!,#REF!,#REF!,#REF!,#REF!,#REF!,#REF!,#REF!,#REF!,#REF!,#REF!</definedName>
    <definedName name="__APW_RESTORE_DATA1974__" hidden="1">#REF!,#REF!,#REF!,#REF!,#REF!,#REF!,#REF!,#REF!,#REF!,#REF!,#REF!,#REF!,#REF!,#REF!,#REF!</definedName>
    <definedName name="__APW_RESTORE_DATA1975__" hidden="1">#REF!,#REF!,#REF!,#REF!,#REF!,#REF!,#REF!,#REF!,#REF!,#REF!,#REF!,#REF!,#REF!,#REF!,#REF!</definedName>
    <definedName name="__APW_RESTORE_DATA1976__" hidden="1">#REF!,#REF!,#REF!,#REF!,#REF!,#REF!,#REF!,#REF!,#REF!,#REF!,#REF!,#REF!,#REF!,#REF!,#REF!</definedName>
    <definedName name="__APW_RESTORE_DATA1977__" hidden="1">#REF!,#REF!,#REF!,#REF!,#REF!,#REF!,#REF!,#REF!,#REF!,#REF!,#REF!,#REF!,#REF!,#REF!,#REF!</definedName>
    <definedName name="__APW_RESTORE_DATA1978__" hidden="1">#REF!,#REF!,#REF!,#REF!,#REF!,#REF!,#REF!,#REF!,#REF!,#REF!,#REF!,#REF!,#REF!,#REF!,#REF!</definedName>
    <definedName name="__APW_RESTORE_DATA1979__" hidden="1">#REF!,#REF!,#REF!,#REF!,#REF!,#REF!</definedName>
    <definedName name="__APW_RESTORE_DATA198__" hidden="1">#REF!,#REF!,#REF!,#REF!,#REF!,#REF!,#REF!,#REF!,#REF!,#REF!,#REF!,#REF!,#REF!,#REF!,#REF!</definedName>
    <definedName name="__APW_RESTORE_DATA1980__" hidden="1">#REF!,#REF!,#REF!,#REF!,#REF!,#REF!,#REF!,#REF!,#REF!,#REF!,#REF!,#REF!,#REF!,#REF!,#REF!,#REF!</definedName>
    <definedName name="__APW_RESTORE_DATA1981__" hidden="1">#REF!,#REF!,#REF!,#REF!,#REF!,#REF!,#REF!,#REF!,#REF!,#REF!,#REF!,#REF!,#REF!,#REF!,#REF!,#REF!</definedName>
    <definedName name="__APW_RESTORE_DATA1982__" hidden="1">#REF!,#REF!,#REF!,#REF!,#REF!,#REF!,#REF!,#REF!,#REF!,#REF!,#REF!,#REF!,#REF!,#REF!,#REF!,#REF!</definedName>
    <definedName name="__APW_RESTORE_DATA1983__" hidden="1">#REF!,#REF!,#REF!,#REF!,#REF!,#REF!,#REF!,#REF!,#REF!,#REF!,#REF!,#REF!,#REF!,#REF!,#REF!,#REF!</definedName>
    <definedName name="__APW_RESTORE_DATA1984__" hidden="1">#REF!,#REF!,#REF!,#REF!,#REF!,#REF!,#REF!,#REF!,#REF!,#REF!,#REF!,#REF!,#REF!,#REF!,#REF!,#REF!</definedName>
    <definedName name="__APW_RESTORE_DATA1985__" hidden="1">#REF!,#REF!,#REF!,#REF!,#REF!,#REF!,#REF!,#REF!,#REF!,#REF!,#REF!,#REF!,#REF!,#REF!,#REF!,#REF!</definedName>
    <definedName name="__APW_RESTORE_DATA1986__" hidden="1">#REF!,#REF!,#REF!,#REF!,#REF!,#REF!,#REF!,#REF!,#REF!,#REF!,#REF!,#REF!,#REF!,#REF!,#REF!</definedName>
    <definedName name="__APW_RESTORE_DATA1987__" hidden="1">#REF!,#REF!,#REF!,#REF!,#REF!,#REF!,#REF!,#REF!,#REF!,#REF!,#REF!,#REF!,#REF!,#REF!,#REF!</definedName>
    <definedName name="__APW_RESTORE_DATA1988__" hidden="1">#REF!,#REF!,#REF!,#REF!,#REF!,#REF!,#REF!,#REF!,#REF!,#REF!,#REF!,#REF!,#REF!,#REF!,#REF!</definedName>
    <definedName name="__APW_RESTORE_DATA1989__" hidden="1">#REF!,#REF!,#REF!,#REF!,#REF!,#REF!,#REF!,#REF!,#REF!,#REF!,#REF!,#REF!,#REF!,#REF!,#REF!</definedName>
    <definedName name="__APW_RESTORE_DATA199__" hidden="1">#REF!,#REF!,#REF!,#REF!,#REF!,#REF!,#REF!,#REF!,#REF!,#REF!,#REF!,#REF!,#REF!,#REF!,#REF!</definedName>
    <definedName name="__APW_RESTORE_DATA1990__" hidden="1">#REF!,#REF!,#REF!,#REF!,#REF!,#REF!,#REF!,#REF!,#REF!,#REF!,#REF!,#REF!,#REF!,#REF!,#REF!</definedName>
    <definedName name="__APW_RESTORE_DATA1991__" hidden="1">#REF!,#REF!,#REF!,#REF!,#REF!,#REF!,#REF!,#REF!,#REF!,#REF!,#REF!,#REF!,#REF!,#REF!,#REF!</definedName>
    <definedName name="__APW_RESTORE_DATA1992__" hidden="1">#REF!,#REF!,#REF!,#REF!,#REF!,#REF!,#REF!,#REF!,#REF!,#REF!,#REF!,#REF!,#REF!,#REF!,#REF!</definedName>
    <definedName name="__APW_RESTORE_DATA1993__" hidden="1">#REF!,#REF!,#REF!,#REF!,#REF!,#REF!,#REF!,#REF!,#REF!,#REF!,#REF!,#REF!,#REF!,#REF!,#REF!</definedName>
    <definedName name="__APW_RESTORE_DATA1994__" hidden="1">#REF!,#REF!,#REF!,#REF!,#REF!,#REF!,#REF!,#REF!,#REF!,#REF!,#REF!,#REF!,#REF!,#REF!,#REF!</definedName>
    <definedName name="__APW_RESTORE_DATA1995__" hidden="1">#REF!,#REF!,#REF!,#REF!,#REF!,#REF!,#REF!,#REF!,#REF!,#REF!,#REF!,#REF!,#REF!,#REF!,#REF!</definedName>
    <definedName name="__APW_RESTORE_DATA1996__" hidden="1">#REF!,#REF!,#REF!,#REF!,#REF!,#REF!,#REF!,#REF!,#REF!,#REF!,#REF!,#REF!,#REF!,#REF!,#REF!</definedName>
    <definedName name="__APW_RESTORE_DATA1997__" hidden="1">#REF!,#REF!,#REF!,#REF!,#REF!,#REF!,#REF!,#REF!,#REF!,#REF!,#REF!,#REF!,#REF!,#REF!,#REF!</definedName>
    <definedName name="__APW_RESTORE_DATA1998__" hidden="1">#REF!,#REF!,#REF!,#REF!,#REF!,#REF!,#REF!,#REF!,#REF!,#REF!,#REF!,#REF!,#REF!,#REF!,#REF!</definedName>
    <definedName name="__APW_RESTORE_DATA1999__" hidden="1">#REF!,#REF!,#REF!,#REF!,#REF!,#REF!,#REF!,#REF!,#REF!,#REF!,#REF!,#REF!,#REF!,#REF!,#REF!</definedName>
    <definedName name="__APW_RESTORE_DATA2__" hidden="1">#REF!</definedName>
    <definedName name="__APW_RESTORE_DATA20__" hidden="1">#REF!</definedName>
    <definedName name="__APW_RESTORE_DATA200__" hidden="1">#REF!,#REF!,#REF!,#REF!,#REF!,#REF!,#REF!,#REF!,#REF!,#REF!,#REF!,#REF!,#REF!,#REF!,#REF!</definedName>
    <definedName name="__APW_RESTORE_DATA2000__" hidden="1">#REF!,#REF!,#REF!,#REF!,#REF!,#REF!,#REF!,#REF!,#REF!,#REF!,#REF!,#REF!,#REF!,#REF!,#REF!</definedName>
    <definedName name="__APW_RESTORE_DATA2001__" hidden="1">#REF!,#REF!,#REF!,#REF!,#REF!,#REF!,#REF!,#REF!,#REF!,#REF!,#REF!,#REF!,#REF!,#REF!,#REF!</definedName>
    <definedName name="__APW_RESTORE_DATA2002__" hidden="1">#REF!,#REF!,#REF!,#REF!,#REF!,#REF!,#REF!,#REF!,#REF!,#REF!,#REF!,#REF!,#REF!,#REF!,#REF!</definedName>
    <definedName name="__APW_RESTORE_DATA2003__" hidden="1">#REF!,#REF!,#REF!,#REF!,#REF!,#REF!,#REF!,#REF!,#REF!,#REF!,#REF!,#REF!,#REF!,#REF!,#REF!</definedName>
    <definedName name="__APW_RESTORE_DATA2004__" hidden="1">#REF!,#REF!,#REF!,#REF!,#REF!,#REF!,#REF!,#REF!,#REF!,#REF!,#REF!,#REF!,#REF!,#REF!,#REF!</definedName>
    <definedName name="__APW_RESTORE_DATA2005__" hidden="1">#REF!,#REF!,#REF!,#REF!,#REF!,#REF!,#REF!,#REF!,#REF!,#REF!,#REF!,#REF!,#REF!,#REF!,#REF!</definedName>
    <definedName name="__APW_RESTORE_DATA2006__" hidden="1">#REF!,#REF!,#REF!,#REF!,#REF!,#REF!,#REF!,#REF!,#REF!,#REF!,#REF!,#REF!,#REF!,#REF!,#REF!</definedName>
    <definedName name="__APW_RESTORE_DATA2007__" hidden="1">#REF!,#REF!,#REF!,#REF!,#REF!,#REF!,#REF!,#REF!,#REF!,#REF!,#REF!,#REF!,#REF!,#REF!,#REF!</definedName>
    <definedName name="__APW_RESTORE_DATA2008__" hidden="1">#REF!,#REF!,#REF!,#REF!,#REF!,#REF!,#REF!,#REF!,#REF!,#REF!,#REF!,#REF!,#REF!,#REF!,#REF!</definedName>
    <definedName name="__APW_RESTORE_DATA2009__" hidden="1">#REF!,#REF!,#REF!,#REF!,#REF!,#REF!,#REF!,#REF!,#REF!,#REF!,#REF!,#REF!,#REF!,#REF!,#REF!</definedName>
    <definedName name="__APW_RESTORE_DATA201__" hidden="1">#REF!,#REF!,#REF!,#REF!,#REF!,#REF!,#REF!,#REF!,#REF!,#REF!,#REF!,#REF!,#REF!,#REF!,#REF!</definedName>
    <definedName name="__APW_RESTORE_DATA2010__" hidden="1">#REF!,#REF!,#REF!,#REF!,#REF!,#REF!,#REF!,#REF!,#REF!,#REF!,#REF!,#REF!,#REF!,#REF!,#REF!</definedName>
    <definedName name="__APW_RESTORE_DATA2011__" hidden="1">#REF!,#REF!,#REF!,#REF!,#REF!,#REF!,#REF!,#REF!,#REF!,#REF!,#REF!,#REF!,#REF!,#REF!,#REF!</definedName>
    <definedName name="__APW_RESTORE_DATA2012__" hidden="1">#REF!,#REF!,#REF!,#REF!,#REF!,#REF!,#REF!,#REF!,#REF!,#REF!,#REF!,#REF!,#REF!,#REF!,#REF!</definedName>
    <definedName name="__APW_RESTORE_DATA2013__" hidden="1">#REF!,#REF!,#REF!,#REF!,#REF!,#REF!,#REF!,#REF!,#REF!,#REF!,#REF!,#REF!,#REF!,#REF!,#REF!</definedName>
    <definedName name="__APW_RESTORE_DATA2014__" hidden="1">#REF!,#REF!,#REF!,#REF!,#REF!,#REF!</definedName>
    <definedName name="__APW_RESTORE_DATA2015__" hidden="1">#REF!</definedName>
    <definedName name="__APW_RESTORE_DATA2016__" hidden="1">#REF!</definedName>
    <definedName name="__APW_RESTORE_DATA2017__" hidden="1">#REF!</definedName>
    <definedName name="__APW_RESTORE_DATA2019__" hidden="1">#REF!</definedName>
    <definedName name="__APW_RESTORE_DATA202__" hidden="1">#REF!,#REF!,#REF!,#REF!,#REF!,#REF!,#REF!,#REF!,#REF!,#REF!,#REF!,#REF!,#REF!,#REF!,#REF!</definedName>
    <definedName name="__APW_RESTORE_DATA2020__" hidden="1">#REF!,#REF!,#REF!,#REF!,#REF!,#REF!,#REF!,#REF!,#REF!,#REF!,#REF!,#REF!,#REF!,#REF!,#REF!,#REF!</definedName>
    <definedName name="__APW_RESTORE_DATA2021__" hidden="1">#REF!,#REF!,#REF!,#REF!,#REF!,#REF!,#REF!,#REF!,#REF!,#REF!,#REF!,#REF!,#REF!,#REF!,#REF!,#REF!</definedName>
    <definedName name="__APW_RESTORE_DATA2022__" hidden="1">#REF!,#REF!,#REF!,#REF!,#REF!,#REF!,#REF!,#REF!,#REF!,#REF!,#REF!,#REF!,#REF!,#REF!,#REF!,#REF!</definedName>
    <definedName name="__APW_RESTORE_DATA2023__" hidden="1">#REF!,#REF!,#REF!,#REF!,#REF!,#REF!,#REF!,#REF!,#REF!,#REF!,#REF!,#REF!,#REF!,#REF!,#REF!,#REF!</definedName>
    <definedName name="__APW_RESTORE_DATA2024__" hidden="1">#REF!,#REF!,#REF!,#REF!,#REF!,#REF!,#REF!,#REF!,#REF!,#REF!,#REF!,#REF!,#REF!,#REF!,#REF!,#REF!</definedName>
    <definedName name="__APW_RESTORE_DATA2025__" hidden="1">#REF!,#REF!,#REF!,#REF!,#REF!,#REF!,#REF!,#REF!,#REF!,#REF!,#REF!,#REF!,#REF!,#REF!,#REF!,#REF!</definedName>
    <definedName name="__APW_RESTORE_DATA2026__" hidden="1">#REF!,#REF!,#REF!,#REF!,#REF!,#REF!,#REF!,#REF!,#REF!,#REF!,#REF!,#REF!,#REF!,#REF!,#REF!</definedName>
    <definedName name="__APW_RESTORE_DATA2027__" hidden="1">#REF!,#REF!,#REF!,#REF!,#REF!,#REF!,#REF!,#REF!,#REF!,#REF!,#REF!,#REF!,#REF!,#REF!,#REF!</definedName>
    <definedName name="__APW_RESTORE_DATA2028__" hidden="1">#REF!,#REF!,#REF!,#REF!,#REF!,#REF!,#REF!,#REF!,#REF!,#REF!,#REF!,#REF!,#REF!,#REF!,#REF!</definedName>
    <definedName name="__APW_RESTORE_DATA2029__" hidden="1">#REF!,#REF!,#REF!,#REF!,#REF!,#REF!,#REF!,#REF!,#REF!,#REF!,#REF!,#REF!,#REF!,#REF!,#REF!</definedName>
    <definedName name="__APW_RESTORE_DATA203__" hidden="1">#REF!,#REF!,#REF!,#REF!,#REF!,#REF!,#REF!,#REF!,#REF!,#REF!,#REF!,#REF!,#REF!,#REF!,#REF!</definedName>
    <definedName name="__APW_RESTORE_DATA2030__" hidden="1">#REF!,#REF!,#REF!,#REF!,#REF!,#REF!,#REF!,#REF!,#REF!,#REF!,#REF!,#REF!,#REF!,#REF!,#REF!</definedName>
    <definedName name="__APW_RESTORE_DATA2031__" hidden="1">#REF!,#REF!,#REF!,#REF!,#REF!,#REF!,#REF!,#REF!,#REF!,#REF!,#REF!,#REF!,#REF!,#REF!,#REF!</definedName>
    <definedName name="__APW_RESTORE_DATA2032__" hidden="1">#REF!,#REF!,#REF!,#REF!,#REF!,#REF!,#REF!,#REF!,#REF!,#REF!,#REF!,#REF!,#REF!,#REF!,#REF!</definedName>
    <definedName name="__APW_RESTORE_DATA2033__" hidden="1">#REF!,#REF!,#REF!,#REF!,#REF!,#REF!,#REF!,#REF!,#REF!,#REF!,#REF!,#REF!,#REF!,#REF!,#REF!</definedName>
    <definedName name="__APW_RESTORE_DATA2034__" hidden="1">#REF!,#REF!,#REF!,#REF!,#REF!,#REF!,#REF!,#REF!,#REF!,#REF!,#REF!,#REF!,#REF!,#REF!,#REF!</definedName>
    <definedName name="__APW_RESTORE_DATA2035__" hidden="1">#REF!,#REF!,#REF!,#REF!,#REF!,#REF!,#REF!,#REF!,#REF!,#REF!,#REF!,#REF!,#REF!,#REF!,#REF!</definedName>
    <definedName name="__APW_RESTORE_DATA2036__" hidden="1">#REF!,#REF!,#REF!,#REF!,#REF!,#REF!,#REF!,#REF!,#REF!,#REF!,#REF!,#REF!,#REF!,#REF!,#REF!</definedName>
    <definedName name="__APW_RESTORE_DATA2037__" hidden="1">#REF!,#REF!,#REF!,#REF!,#REF!,#REF!,#REF!,#REF!,#REF!,#REF!,#REF!,#REF!,#REF!,#REF!,#REF!</definedName>
    <definedName name="__APW_RESTORE_DATA2038__" hidden="1">#REF!,#REF!,#REF!,#REF!,#REF!,#REF!,#REF!,#REF!,#REF!,#REF!,#REF!,#REF!,#REF!,#REF!,#REF!</definedName>
    <definedName name="__APW_RESTORE_DATA2039__" hidden="1">#REF!,#REF!,#REF!,#REF!,#REF!,#REF!,#REF!,#REF!,#REF!,#REF!,#REF!,#REF!,#REF!,#REF!,#REF!</definedName>
    <definedName name="__APW_RESTORE_DATA204__" hidden="1">#REF!,#REF!,#REF!,#REF!,#REF!,#REF!,#REF!,#REF!,#REF!,#REF!,#REF!,#REF!,#REF!,#REF!,#REF!</definedName>
    <definedName name="__APW_RESTORE_DATA2040__" hidden="1">#REF!,#REF!,#REF!,#REF!,#REF!,#REF!,#REF!,#REF!,#REF!,#REF!,#REF!,#REF!,#REF!,#REF!,#REF!</definedName>
    <definedName name="__APW_RESTORE_DATA2041__" hidden="1">#REF!,#REF!,#REF!,#REF!,#REF!,#REF!,#REF!,#REF!,#REF!,#REF!,#REF!,#REF!,#REF!,#REF!,#REF!</definedName>
    <definedName name="__APW_RESTORE_DATA2042__" hidden="1">#REF!,#REF!,#REF!,#REF!,#REF!,#REF!,#REF!,#REF!,#REF!,#REF!,#REF!,#REF!,#REF!,#REF!,#REF!</definedName>
    <definedName name="__APW_RESTORE_DATA2043__" hidden="1">#REF!,#REF!,#REF!,#REF!,#REF!,#REF!,#REF!,#REF!,#REF!,#REF!,#REF!,#REF!,#REF!,#REF!,#REF!</definedName>
    <definedName name="__APW_RESTORE_DATA2044__" hidden="1">#REF!,#REF!,#REF!,#REF!,#REF!,#REF!,#REF!,#REF!,#REF!,#REF!,#REF!,#REF!,#REF!,#REF!,#REF!</definedName>
    <definedName name="__APW_RESTORE_DATA2045__" hidden="1">#REF!,#REF!,#REF!,#REF!,#REF!,#REF!,#REF!,#REF!,#REF!,#REF!,#REF!,#REF!,#REF!,#REF!,#REF!</definedName>
    <definedName name="__APW_RESTORE_DATA2046__" hidden="1">#REF!,#REF!,#REF!,#REF!,#REF!,#REF!,#REF!,#REF!,#REF!,#REF!,#REF!,#REF!,#REF!,#REF!,#REF!</definedName>
    <definedName name="__APW_RESTORE_DATA2047__" hidden="1">#REF!,#REF!,#REF!,#REF!,#REF!,#REF!,#REF!,#REF!,#REF!,#REF!,#REF!,#REF!,#REF!,#REF!,#REF!</definedName>
    <definedName name="__APW_RESTORE_DATA2048__" hidden="1">#REF!,#REF!,#REF!,#REF!,#REF!,#REF!,#REF!,#REF!,#REF!,#REF!,#REF!,#REF!,#REF!,#REF!,#REF!</definedName>
    <definedName name="__APW_RESTORE_DATA2049__" hidden="1">#REF!,#REF!,#REF!,#REF!,#REF!,#REF!,#REF!,#REF!,#REF!,#REF!,#REF!,#REF!,#REF!,#REF!,#REF!</definedName>
    <definedName name="__APW_RESTORE_DATA205__" hidden="1">#REF!,#REF!,#REF!,#REF!,#REF!,#REF!,#REF!,#REF!,#REF!,#REF!,#REF!,#REF!,#REF!,#REF!,#REF!</definedName>
    <definedName name="__APW_RESTORE_DATA2050__" hidden="1">#REF!,#REF!,#REF!,#REF!,#REF!,#REF!,#REF!,#REF!,#REF!,#REF!,#REF!,#REF!,#REF!,#REF!,#REF!</definedName>
    <definedName name="__APW_RESTORE_DATA2051__" hidden="1">#REF!,#REF!,#REF!,#REF!,#REF!,#REF!,#REF!,#REF!,#REF!,#REF!,#REF!,#REF!,#REF!,#REF!,#REF!</definedName>
    <definedName name="__APW_RESTORE_DATA2052__" hidden="1">#REF!,#REF!,#REF!,#REF!,#REF!,#REF!,#REF!,#REF!,#REF!,#REF!,#REF!,#REF!,#REF!,#REF!,#REF!</definedName>
    <definedName name="__APW_RESTORE_DATA2053__" hidden="1">#REF!,#REF!,#REF!,#REF!,#REF!,#REF!,#REF!,#REF!,#REF!,#REF!,#REF!,#REF!,#REF!,#REF!,#REF!</definedName>
    <definedName name="__APW_RESTORE_DATA2054__" hidden="1">#REF!,#REF!,#REF!,#REF!,#REF!,#REF!</definedName>
    <definedName name="__APW_RESTORE_DATA2055__" hidden="1">#REF!,#REF!,#REF!,#REF!,#REF!,#REF!,#REF!,#REF!,#REF!,#REF!,#REF!,#REF!,#REF!,#REF!,#REF!,#REF!</definedName>
    <definedName name="__APW_RESTORE_DATA2056__" hidden="1">#REF!,#REF!,#REF!,#REF!,#REF!,#REF!,#REF!,#REF!,#REF!,#REF!,#REF!,#REF!,#REF!,#REF!,#REF!,#REF!</definedName>
    <definedName name="__APW_RESTORE_DATA2057__" hidden="1">#REF!,#REF!,#REF!,#REF!,#REF!,#REF!,#REF!,#REF!,#REF!,#REF!,#REF!,#REF!,#REF!,#REF!,#REF!,#REF!</definedName>
    <definedName name="__APW_RESTORE_DATA2058__" hidden="1">#REF!,#REF!,#REF!,#REF!,#REF!,#REF!,#REF!,#REF!,#REF!,#REF!,#REF!,#REF!,#REF!,#REF!,#REF!,#REF!</definedName>
    <definedName name="__APW_RESTORE_DATA2059__" hidden="1">#REF!,#REF!,#REF!,#REF!,#REF!,#REF!,#REF!,#REF!,#REF!,#REF!,#REF!,#REF!,#REF!,#REF!,#REF!,#REF!</definedName>
    <definedName name="__APW_RESTORE_DATA206__" hidden="1">#REF!,#REF!,#REF!,#REF!,#REF!,#REF!,#REF!,#REF!,#REF!,#REF!,#REF!,#REF!,#REF!,#REF!,#REF!</definedName>
    <definedName name="__APW_RESTORE_DATA2060__" hidden="1">#REF!,#REF!,#REF!,#REF!,#REF!,#REF!,#REF!,#REF!,#REF!,#REF!,#REF!,#REF!,#REF!,#REF!,#REF!,#REF!</definedName>
    <definedName name="__APW_RESTORE_DATA2061__" hidden="1">#REF!,#REF!,#REF!,#REF!,#REF!,#REF!,#REF!,#REF!,#REF!,#REF!,#REF!,#REF!,#REF!,#REF!,#REF!</definedName>
    <definedName name="__APW_RESTORE_DATA2062__" hidden="1">#REF!,#REF!,#REF!,#REF!,#REF!,#REF!,#REF!,#REF!,#REF!,#REF!,#REF!,#REF!,#REF!,#REF!,#REF!</definedName>
    <definedName name="__APW_RESTORE_DATA2063__" hidden="1">#REF!,#REF!,#REF!,#REF!,#REF!,#REF!,#REF!,#REF!,#REF!,#REF!,#REF!,#REF!,#REF!,#REF!,#REF!</definedName>
    <definedName name="__APW_RESTORE_DATA2064__" hidden="1">#REF!,#REF!,#REF!,#REF!,#REF!,#REF!,#REF!,#REF!,#REF!,#REF!,#REF!,#REF!,#REF!,#REF!,#REF!</definedName>
    <definedName name="__APW_RESTORE_DATA2065__" hidden="1">#REF!,#REF!,#REF!,#REF!,#REF!,#REF!,#REF!,#REF!,#REF!,#REF!,#REF!,#REF!,#REF!,#REF!,#REF!</definedName>
    <definedName name="__APW_RESTORE_DATA2066__" hidden="1">#REF!,#REF!,#REF!,#REF!,#REF!,#REF!,#REF!,#REF!,#REF!,#REF!,#REF!,#REF!,#REF!,#REF!,#REF!</definedName>
    <definedName name="__APW_RESTORE_DATA2067__" hidden="1">#REF!,#REF!,#REF!,#REF!,#REF!,#REF!,#REF!,#REF!,#REF!,#REF!,#REF!,#REF!,#REF!,#REF!,#REF!</definedName>
    <definedName name="__APW_RESTORE_DATA2068__" hidden="1">#REF!,#REF!,#REF!,#REF!,#REF!,#REF!,#REF!,#REF!,#REF!,#REF!,#REF!,#REF!,#REF!,#REF!,#REF!</definedName>
    <definedName name="__APW_RESTORE_DATA2069__" hidden="1">#REF!,#REF!,#REF!,#REF!,#REF!,#REF!,#REF!,#REF!,#REF!,#REF!,#REF!,#REF!,#REF!,#REF!,#REF!</definedName>
    <definedName name="__APW_RESTORE_DATA207__" hidden="1">#REF!,#REF!</definedName>
    <definedName name="__APW_RESTORE_DATA2070__" hidden="1">#REF!,#REF!,#REF!,#REF!,#REF!,#REF!,#REF!,#REF!,#REF!,#REF!,#REF!,#REF!,#REF!,#REF!,#REF!</definedName>
    <definedName name="__APW_RESTORE_DATA2071__" hidden="1">#REF!,#REF!,#REF!,#REF!,#REF!,#REF!,#REF!,#REF!,#REF!,#REF!,#REF!,#REF!,#REF!,#REF!,#REF!</definedName>
    <definedName name="__APW_RESTORE_DATA2072__" hidden="1">#REF!,#REF!,#REF!,#REF!,#REF!,#REF!,#REF!,#REF!,#REF!,#REF!,#REF!,#REF!,#REF!,#REF!,#REF!</definedName>
    <definedName name="__APW_RESTORE_DATA2073__" hidden="1">#REF!,#REF!,#REF!,#REF!,#REF!,#REF!,#REF!,#REF!,#REF!,#REF!,#REF!,#REF!,#REF!,#REF!,#REF!</definedName>
    <definedName name="__APW_RESTORE_DATA2074__" hidden="1">#REF!,#REF!,#REF!,#REF!,#REF!,#REF!,#REF!,#REF!,#REF!,#REF!,#REF!,#REF!,#REF!,#REF!,#REF!</definedName>
    <definedName name="__APW_RESTORE_DATA2075__" hidden="1">#REF!,#REF!,#REF!,#REF!,#REF!,#REF!,#REF!,#REF!,#REF!,#REF!,#REF!,#REF!,#REF!,#REF!,#REF!</definedName>
    <definedName name="__APW_RESTORE_DATA2076__" hidden="1">#REF!,#REF!,#REF!,#REF!,#REF!,#REF!,#REF!,#REF!,#REF!,#REF!,#REF!,#REF!,#REF!,#REF!,#REF!</definedName>
    <definedName name="__APW_RESTORE_DATA2077__" hidden="1">#REF!,#REF!,#REF!,#REF!,#REF!,#REF!,#REF!,#REF!,#REF!,#REF!,#REF!,#REF!,#REF!,#REF!,#REF!</definedName>
    <definedName name="__APW_RESTORE_DATA2078__" hidden="1">#REF!,#REF!,#REF!,#REF!,#REF!,#REF!,#REF!,#REF!,#REF!,#REF!,#REF!,#REF!,#REF!,#REF!,#REF!</definedName>
    <definedName name="__APW_RESTORE_DATA2079__" hidden="1">#REF!,#REF!,#REF!,#REF!,#REF!,#REF!,#REF!,#REF!,#REF!,#REF!,#REF!,#REF!,#REF!,#REF!,#REF!</definedName>
    <definedName name="__APW_RESTORE_DATA208__" hidden="1">#REF!,#REF!,#REF!,#REF!,#REF!,#REF!,#REF!,#REF!,#REF!,#REF!,#REF!,#REF!,#REF!,#REF!,#REF!</definedName>
    <definedName name="__APW_RESTORE_DATA2080__" hidden="1">#REF!,#REF!,#REF!,#REF!,#REF!,#REF!,#REF!,#REF!,#REF!,#REF!,#REF!,#REF!,#REF!,#REF!,#REF!</definedName>
    <definedName name="__APW_RESTORE_DATA2081__" hidden="1">#REF!,#REF!,#REF!,#REF!,#REF!,#REF!,#REF!,#REF!,#REF!,#REF!,#REF!,#REF!,#REF!,#REF!,#REF!</definedName>
    <definedName name="__APW_RESTORE_DATA2082__" hidden="1">#REF!,#REF!,#REF!,#REF!,#REF!,#REF!,#REF!,#REF!,#REF!,#REF!,#REF!,#REF!,#REF!,#REF!,#REF!</definedName>
    <definedName name="__APW_RESTORE_DATA2083__" hidden="1">#REF!,#REF!,#REF!,#REF!,#REF!,#REF!,#REF!,#REF!,#REF!,#REF!,#REF!,#REF!,#REF!,#REF!,#REF!</definedName>
    <definedName name="__APW_RESTORE_DATA2084__" hidden="1">#REF!,#REF!,#REF!,#REF!,#REF!,#REF!,#REF!,#REF!,#REF!,#REF!,#REF!,#REF!,#REF!,#REF!,#REF!</definedName>
    <definedName name="__APW_RESTORE_DATA2085__" hidden="1">#REF!,#REF!,#REF!,#REF!,#REF!,#REF!,#REF!,#REF!,#REF!,#REF!,#REF!,#REF!,#REF!,#REF!,#REF!</definedName>
    <definedName name="__APW_RESTORE_DATA2086__" hidden="1">#REF!,#REF!,#REF!,#REF!,#REF!,#REF!,#REF!,#REF!,#REF!,#REF!,#REF!,#REF!,#REF!,#REF!,#REF!</definedName>
    <definedName name="__APW_RESTORE_DATA2087__" hidden="1">#REF!,#REF!,#REF!,#REF!,#REF!,#REF!,#REF!,#REF!,#REF!,#REF!,#REF!,#REF!,#REF!,#REF!,#REF!</definedName>
    <definedName name="__APW_RESTORE_DATA2088__" hidden="1">#REF!,#REF!,#REF!,#REF!,#REF!,#REF!,#REF!,#REF!,#REF!,#REF!,#REF!,#REF!,#REF!,#REF!,#REF!</definedName>
    <definedName name="__APW_RESTORE_DATA2089__" hidden="1">#REF!,#REF!,#REF!,#REF!,#REF!,#REF!</definedName>
    <definedName name="__APW_RESTORE_DATA209__" hidden="1">#REF!,#REF!,#REF!,#REF!,#REF!,#REF!,#REF!,#REF!,#REF!,#REF!,#REF!,#REF!,#REF!,#REF!,#REF!</definedName>
    <definedName name="__APW_RESTORE_DATA2090__" hidden="1">#REF!,#REF!,#REF!,#REF!,#REF!,#REF!,#REF!,#REF!,#REF!,#REF!,#REF!,#REF!,#REF!,#REF!,#REF!,#REF!</definedName>
    <definedName name="__APW_RESTORE_DATA2091__" hidden="1">#REF!,#REF!,#REF!,#REF!,#REF!,#REF!,#REF!,#REF!,#REF!,#REF!,#REF!,#REF!,#REF!,#REF!,#REF!,#REF!</definedName>
    <definedName name="__APW_RESTORE_DATA2092__" hidden="1">#REF!,#REF!,#REF!,#REF!,#REF!,#REF!,#REF!,#REF!,#REF!,#REF!,#REF!,#REF!,#REF!,#REF!,#REF!,#REF!</definedName>
    <definedName name="__APW_RESTORE_DATA2093__" hidden="1">#REF!,#REF!,#REF!,#REF!,#REF!,#REF!,#REF!,#REF!,#REF!,#REF!,#REF!,#REF!,#REF!,#REF!,#REF!,#REF!</definedName>
    <definedName name="__APW_RESTORE_DATA2094__" hidden="1">#REF!,#REF!,#REF!,#REF!,#REF!,#REF!,#REF!,#REF!,#REF!,#REF!,#REF!,#REF!,#REF!,#REF!,#REF!,#REF!</definedName>
    <definedName name="__APW_RESTORE_DATA2095__" hidden="1">#REF!,#REF!,#REF!,#REF!,#REF!,#REF!,#REF!,#REF!,#REF!,#REF!,#REF!,#REF!,#REF!,#REF!,#REF!,#REF!</definedName>
    <definedName name="__APW_RESTORE_DATA2096__" hidden="1">#REF!,#REF!,#REF!,#REF!,#REF!,#REF!,#REF!,#REF!,#REF!,#REF!,#REF!,#REF!,#REF!,#REF!,#REF!</definedName>
    <definedName name="__APW_RESTORE_DATA2097__" hidden="1">#REF!,#REF!,#REF!,#REF!,#REF!,#REF!,#REF!,#REF!,#REF!,#REF!,#REF!,#REF!,#REF!,#REF!,#REF!</definedName>
    <definedName name="__APW_RESTORE_DATA2098__" hidden="1">#REF!,#REF!,#REF!,#REF!,#REF!,#REF!,#REF!,#REF!,#REF!,#REF!,#REF!,#REF!,#REF!,#REF!,#REF!</definedName>
    <definedName name="__APW_RESTORE_DATA2099__" hidden="1">#REF!,#REF!,#REF!,#REF!,#REF!,#REF!,#REF!,#REF!,#REF!,#REF!,#REF!,#REF!,#REF!,#REF!,#REF!</definedName>
    <definedName name="__APW_RESTORE_DATA21__" hidden="1">#REF!</definedName>
    <definedName name="__APW_RESTORE_DATA210__" hidden="1">#REF!,#REF!,#REF!,#REF!,#REF!,#REF!,#REF!,#REF!,#REF!,#REF!,#REF!,#REF!,#REF!,#REF!,#REF!</definedName>
    <definedName name="__APW_RESTORE_DATA2100__" hidden="1">#REF!,#REF!,#REF!,#REF!,#REF!,#REF!,#REF!,#REF!,#REF!,#REF!,#REF!,#REF!,#REF!,#REF!,#REF!</definedName>
    <definedName name="__APW_RESTORE_DATA2101__" hidden="1">#REF!,#REF!,#REF!,#REF!,#REF!,#REF!,#REF!,#REF!,#REF!,#REF!,#REF!,#REF!,#REF!,#REF!,#REF!</definedName>
    <definedName name="__APW_RESTORE_DATA2102__" hidden="1">#REF!,#REF!,#REF!,#REF!,#REF!,#REF!,#REF!,#REF!,#REF!,#REF!,#REF!,#REF!,#REF!,#REF!,#REF!</definedName>
    <definedName name="__APW_RESTORE_DATA2103__" hidden="1">#REF!,#REF!,#REF!,#REF!,#REF!,#REF!,#REF!,#REF!,#REF!,#REF!,#REF!,#REF!,#REF!,#REF!,#REF!</definedName>
    <definedName name="__APW_RESTORE_DATA2104__" hidden="1">#REF!,#REF!,#REF!,#REF!,#REF!,#REF!,#REF!,#REF!,#REF!,#REF!,#REF!,#REF!,#REF!,#REF!,#REF!</definedName>
    <definedName name="__APW_RESTORE_DATA2105__" hidden="1">#REF!,#REF!,#REF!,#REF!,#REF!,#REF!,#REF!,#REF!,#REF!,#REF!,#REF!,#REF!,#REF!,#REF!,#REF!</definedName>
    <definedName name="__APW_RESTORE_DATA2106__" hidden="1">#REF!,#REF!,#REF!,#REF!,#REF!,#REF!,#REF!,#REF!,#REF!,#REF!,#REF!,#REF!,#REF!,#REF!,#REF!</definedName>
    <definedName name="__APW_RESTORE_DATA2107__" hidden="1">#REF!,#REF!,#REF!,#REF!,#REF!,#REF!,#REF!,#REF!,#REF!,#REF!,#REF!,#REF!,#REF!,#REF!,#REF!</definedName>
    <definedName name="__APW_RESTORE_DATA2108__" hidden="1">#REF!,#REF!,#REF!,#REF!,#REF!,#REF!,#REF!,#REF!,#REF!,#REF!,#REF!,#REF!,#REF!,#REF!,#REF!</definedName>
    <definedName name="__APW_RESTORE_DATA2109__" hidden="1">#REF!,#REF!,#REF!,#REF!,#REF!,#REF!,#REF!,#REF!,#REF!,#REF!,#REF!,#REF!,#REF!,#REF!,#REF!</definedName>
    <definedName name="__APW_RESTORE_DATA211__" hidden="1">#REF!,#REF!,#REF!,#REF!,#REF!,#REF!,#REF!,#REF!,#REF!,#REF!,#REF!,#REF!,#REF!,#REF!,#REF!</definedName>
    <definedName name="__APW_RESTORE_DATA2110__" hidden="1">#REF!,#REF!,#REF!,#REF!,#REF!,#REF!,#REF!,#REF!,#REF!,#REF!,#REF!,#REF!,#REF!,#REF!,#REF!</definedName>
    <definedName name="__APW_RESTORE_DATA2111__" hidden="1">#REF!,#REF!,#REF!,#REF!,#REF!,#REF!,#REF!,#REF!,#REF!,#REF!,#REF!,#REF!,#REF!,#REF!,#REF!</definedName>
    <definedName name="__APW_RESTORE_DATA2112__" hidden="1">#REF!,#REF!,#REF!,#REF!,#REF!,#REF!,#REF!,#REF!,#REF!,#REF!,#REF!,#REF!,#REF!,#REF!,#REF!</definedName>
    <definedName name="__APW_RESTORE_DATA2113__" hidden="1">#REF!,#REF!,#REF!,#REF!,#REF!,#REF!,#REF!,#REF!,#REF!,#REF!,#REF!,#REF!,#REF!,#REF!,#REF!</definedName>
    <definedName name="__APW_RESTORE_DATA2114__" hidden="1">#REF!,#REF!,#REF!,#REF!,#REF!,#REF!,#REF!,#REF!,#REF!,#REF!,#REF!,#REF!,#REF!,#REF!,#REF!</definedName>
    <definedName name="__APW_RESTORE_DATA2115__" hidden="1">#REF!,#REF!,#REF!,#REF!,#REF!,#REF!,#REF!,#REF!,#REF!,#REF!,#REF!,#REF!,#REF!,#REF!,#REF!</definedName>
    <definedName name="__APW_RESTORE_DATA2116__" hidden="1">#REF!,#REF!,#REF!,#REF!,#REF!,#REF!,#REF!,#REF!,#REF!,#REF!,#REF!,#REF!,#REF!,#REF!,#REF!</definedName>
    <definedName name="__APW_RESTORE_DATA2117__" hidden="1">#REF!,#REF!,#REF!,#REF!,#REF!,#REF!,#REF!,#REF!,#REF!,#REF!,#REF!,#REF!,#REF!,#REF!,#REF!</definedName>
    <definedName name="__APW_RESTORE_DATA2118__" hidden="1">#REF!,#REF!,#REF!,#REF!,#REF!,#REF!,#REF!,#REF!,#REF!,#REF!,#REF!,#REF!,#REF!,#REF!,#REF!</definedName>
    <definedName name="__APW_RESTORE_DATA2119__" hidden="1">#REF!,#REF!,#REF!,#REF!,#REF!,#REF!,#REF!,#REF!,#REF!,#REF!,#REF!,#REF!,#REF!,#REF!,#REF!</definedName>
    <definedName name="__APW_RESTORE_DATA212__" hidden="1">#REF!,#REF!</definedName>
    <definedName name="__APW_RESTORE_DATA2120__" hidden="1">#REF!,#REF!,#REF!,#REF!,#REF!,#REF!,#REF!,#REF!,#REF!,#REF!,#REF!,#REF!,#REF!,#REF!,#REF!</definedName>
    <definedName name="__APW_RESTORE_DATA2121__" hidden="1">#REF!,#REF!,#REF!,#REF!,#REF!,#REF!,#REF!,#REF!,#REF!,#REF!,#REF!,#REF!,#REF!,#REF!,#REF!</definedName>
    <definedName name="__APW_RESTORE_DATA2122__" hidden="1">#REF!,#REF!,#REF!,#REF!,#REF!,#REF!,#REF!,#REF!,#REF!,#REF!,#REF!,#REF!,#REF!,#REF!,#REF!</definedName>
    <definedName name="__APW_RESTORE_DATA2123__" hidden="1">#REF!,#REF!,#REF!,#REF!,#REF!,#REF!,#REF!,#REF!,#REF!,#REF!,#REF!,#REF!,#REF!,#REF!,#REF!</definedName>
    <definedName name="__APW_RESTORE_DATA2124__" hidden="1">#REF!,#REF!,#REF!,#REF!,#REF!,#REF!</definedName>
    <definedName name="__APW_RESTORE_DATA2125__" hidden="1">#REF!,#REF!,#REF!,#REF!,#REF!,#REF!,#REF!,#REF!,#REF!,#REF!,#REF!,#REF!,#REF!,#REF!,#REF!,#REF!</definedName>
    <definedName name="__APW_RESTORE_DATA2126__" hidden="1">#REF!,#REF!,#REF!,#REF!,#REF!,#REF!,#REF!,#REF!,#REF!,#REF!,#REF!,#REF!,#REF!,#REF!,#REF!,#REF!</definedName>
    <definedName name="__APW_RESTORE_DATA2127__" hidden="1">#REF!,#REF!,#REF!,#REF!,#REF!,#REF!,#REF!,#REF!,#REF!,#REF!,#REF!,#REF!,#REF!,#REF!,#REF!,#REF!</definedName>
    <definedName name="__APW_RESTORE_DATA2128__" hidden="1">#REF!,#REF!,#REF!,#REF!,#REF!,#REF!,#REF!,#REF!,#REF!,#REF!,#REF!,#REF!,#REF!,#REF!,#REF!,#REF!</definedName>
    <definedName name="__APW_RESTORE_DATA2129__" hidden="1">#REF!,#REF!,#REF!,#REF!,#REF!,#REF!,#REF!,#REF!,#REF!,#REF!,#REF!,#REF!,#REF!,#REF!,#REF!,#REF!</definedName>
    <definedName name="__APW_RESTORE_DATA213__" hidden="1">#REF!,#REF!,#REF!,#REF!,#REF!,#REF!,#REF!,#REF!,#REF!,#REF!,#REF!,#REF!,#REF!,#REF!,#REF!</definedName>
    <definedName name="__APW_RESTORE_DATA2130__" hidden="1">#REF!,#REF!,#REF!,#REF!,#REF!,#REF!,#REF!,#REF!,#REF!,#REF!,#REF!,#REF!,#REF!,#REF!,#REF!,#REF!</definedName>
    <definedName name="__APW_RESTORE_DATA2131__" hidden="1">#REF!,#REF!,#REF!,#REF!,#REF!,#REF!,#REF!,#REF!,#REF!,#REF!,#REF!,#REF!,#REF!,#REF!,#REF!</definedName>
    <definedName name="__APW_RESTORE_DATA2132__" hidden="1">#REF!,#REF!,#REF!,#REF!,#REF!,#REF!,#REF!,#REF!,#REF!,#REF!,#REF!,#REF!,#REF!,#REF!,#REF!</definedName>
    <definedName name="__APW_RESTORE_DATA2133__" hidden="1">#REF!,#REF!,#REF!,#REF!,#REF!,#REF!,#REF!,#REF!,#REF!,#REF!,#REF!,#REF!,#REF!,#REF!,#REF!</definedName>
    <definedName name="__APW_RESTORE_DATA2134__" hidden="1">#REF!,#REF!,#REF!,#REF!,#REF!,#REF!,#REF!,#REF!,#REF!,#REF!,#REF!,#REF!,#REF!,#REF!,#REF!</definedName>
    <definedName name="__APW_RESTORE_DATA2135__" hidden="1">#REF!,#REF!,#REF!,#REF!,#REF!,#REF!,#REF!,#REF!,#REF!,#REF!,#REF!,#REF!,#REF!,#REF!,#REF!</definedName>
    <definedName name="__APW_RESTORE_DATA2136__" hidden="1">#REF!,#REF!,#REF!,#REF!,#REF!,#REF!,#REF!,#REF!,#REF!,#REF!,#REF!,#REF!,#REF!,#REF!,#REF!</definedName>
    <definedName name="__APW_RESTORE_DATA2137__" hidden="1">#REF!,#REF!,#REF!,#REF!,#REF!,#REF!,#REF!,#REF!,#REF!,#REF!,#REF!,#REF!,#REF!,#REF!,#REF!</definedName>
    <definedName name="__APW_RESTORE_DATA2138__" hidden="1">#REF!,#REF!,#REF!,#REF!,#REF!,#REF!,#REF!,#REF!,#REF!,#REF!,#REF!,#REF!,#REF!,#REF!,#REF!</definedName>
    <definedName name="__APW_RESTORE_DATA2139__" hidden="1">#REF!,#REF!,#REF!,#REF!,#REF!,#REF!,#REF!,#REF!,#REF!,#REF!,#REF!,#REF!,#REF!,#REF!,#REF!</definedName>
    <definedName name="__APW_RESTORE_DATA214__" hidden="1">#REF!,#REF!,#REF!,#REF!,#REF!,#REF!,#REF!,#REF!,#REF!,#REF!,#REF!,#REF!,#REF!,#REF!,#REF!</definedName>
    <definedName name="__APW_RESTORE_DATA2140__" hidden="1">#REF!,#REF!,#REF!,#REF!,#REF!,#REF!,#REF!,#REF!,#REF!,#REF!,#REF!,#REF!,#REF!,#REF!,#REF!</definedName>
    <definedName name="__APW_RESTORE_DATA2141__" hidden="1">#REF!,#REF!,#REF!,#REF!,#REF!,#REF!,#REF!,#REF!,#REF!,#REF!,#REF!,#REF!,#REF!,#REF!,#REF!</definedName>
    <definedName name="__APW_RESTORE_DATA2142__" hidden="1">#REF!,#REF!,#REF!,#REF!,#REF!,#REF!,#REF!,#REF!,#REF!,#REF!,#REF!,#REF!,#REF!,#REF!,#REF!</definedName>
    <definedName name="__APW_RESTORE_DATA2143__" hidden="1">#REF!,#REF!,#REF!,#REF!,#REF!,#REF!,#REF!,#REF!,#REF!,#REF!,#REF!,#REF!,#REF!,#REF!,#REF!</definedName>
    <definedName name="__APW_RESTORE_DATA2144__" hidden="1">#REF!,#REF!,#REF!,#REF!,#REF!,#REF!,#REF!,#REF!,#REF!,#REF!,#REF!,#REF!,#REF!,#REF!,#REF!</definedName>
    <definedName name="__APW_RESTORE_DATA2145__" hidden="1">#REF!,#REF!,#REF!,#REF!,#REF!,#REF!,#REF!,#REF!,#REF!,#REF!,#REF!,#REF!,#REF!,#REF!,#REF!</definedName>
    <definedName name="__APW_RESTORE_DATA2146__" hidden="1">#REF!,#REF!,#REF!,#REF!,#REF!,#REF!,#REF!,#REF!,#REF!,#REF!,#REF!,#REF!,#REF!,#REF!,#REF!</definedName>
    <definedName name="__APW_RESTORE_DATA2147__" hidden="1">#REF!,#REF!,#REF!,#REF!,#REF!,#REF!,#REF!,#REF!,#REF!,#REF!,#REF!,#REF!,#REF!,#REF!,#REF!</definedName>
    <definedName name="__APW_RESTORE_DATA2148__" hidden="1">#REF!,#REF!,#REF!,#REF!,#REF!,#REF!,#REF!,#REF!,#REF!,#REF!,#REF!,#REF!,#REF!,#REF!,#REF!</definedName>
    <definedName name="__APW_RESTORE_DATA2149__" hidden="1">#REF!,#REF!,#REF!,#REF!,#REF!,#REF!,#REF!,#REF!,#REF!,#REF!,#REF!,#REF!,#REF!,#REF!,#REF!</definedName>
    <definedName name="__APW_RESTORE_DATA215__" hidden="1">#REF!,#REF!,#REF!,#REF!,#REF!,#REF!,#REF!,#REF!,#REF!,#REF!,#REF!,#REF!,#REF!,#REF!,#REF!</definedName>
    <definedName name="__APW_RESTORE_DATA2150__" hidden="1">#REF!,#REF!,#REF!,#REF!,#REF!,#REF!,#REF!,#REF!,#REF!,#REF!,#REF!,#REF!,#REF!,#REF!,#REF!</definedName>
    <definedName name="__APW_RESTORE_DATA2151__" hidden="1">#REF!,#REF!,#REF!,#REF!,#REF!,#REF!,#REF!,#REF!,#REF!,#REF!,#REF!,#REF!,#REF!,#REF!,#REF!</definedName>
    <definedName name="__APW_RESTORE_DATA2152__" hidden="1">#REF!,#REF!,#REF!,#REF!,#REF!,#REF!,#REF!,#REF!,#REF!,#REF!,#REF!,#REF!,#REF!,#REF!,#REF!</definedName>
    <definedName name="__APW_RESTORE_DATA2153__" hidden="1">#REF!,#REF!,#REF!,#REF!,#REF!,#REF!,#REF!,#REF!,#REF!,#REF!,#REF!,#REF!,#REF!,#REF!,#REF!</definedName>
    <definedName name="__APW_RESTORE_DATA2154__" hidden="1">#REF!,#REF!,#REF!,#REF!,#REF!,#REF!,#REF!,#REF!,#REF!,#REF!,#REF!,#REF!,#REF!,#REF!,#REF!</definedName>
    <definedName name="__APW_RESTORE_DATA2155__" hidden="1">#REF!,#REF!,#REF!,#REF!,#REF!,#REF!,#REF!,#REF!,#REF!,#REF!,#REF!,#REF!,#REF!,#REF!,#REF!</definedName>
    <definedName name="__APW_RESTORE_DATA2156__" hidden="1">#REF!,#REF!,#REF!,#REF!,#REF!,#REF!,#REF!,#REF!,#REF!,#REF!,#REF!,#REF!,#REF!,#REF!,#REF!</definedName>
    <definedName name="__APW_RESTORE_DATA2157__" hidden="1">#REF!,#REF!,#REF!,#REF!,#REF!,#REF!,#REF!,#REF!,#REF!,#REF!,#REF!,#REF!,#REF!,#REF!,#REF!</definedName>
    <definedName name="__APW_RESTORE_DATA2158__" hidden="1">#REF!,#REF!,#REF!,#REF!,#REF!,#REF!,#REF!,#REF!,#REF!,#REF!,#REF!,#REF!,#REF!,#REF!,#REF!</definedName>
    <definedName name="__APW_RESTORE_DATA2159__" hidden="1">#REF!,#REF!,#REF!,#REF!,#REF!,#REF!</definedName>
    <definedName name="__APW_RESTORE_DATA216__" hidden="1">#REF!,#REF!,#REF!,#REF!,#REF!,#REF!,#REF!,#REF!</definedName>
    <definedName name="__APW_RESTORE_DATA2160__" hidden="1">#REF!</definedName>
    <definedName name="__APW_RESTORE_DATA2161__" hidden="1">#REF!</definedName>
    <definedName name="__APW_RESTORE_DATA2162__" hidden="1">#REF!</definedName>
    <definedName name="__APW_RESTORE_DATA2164__" hidden="1">#REF!</definedName>
    <definedName name="__APW_RESTORE_DATA2165__" hidden="1">#REF!,#REF!,#REF!,#REF!,#REF!,#REF!,#REF!,#REF!,#REF!,#REF!,#REF!,#REF!,#REF!,#REF!,#REF!,#REF!</definedName>
    <definedName name="__APW_RESTORE_DATA2166__" hidden="1">#REF!,#REF!,#REF!,#REF!,#REF!,#REF!,#REF!,#REF!,#REF!,#REF!,#REF!,#REF!,#REF!,#REF!,#REF!,#REF!</definedName>
    <definedName name="__APW_RESTORE_DATA2167__" hidden="1">#REF!,#REF!,#REF!,#REF!,#REF!,#REF!,#REF!,#REF!,#REF!,#REF!,#REF!,#REF!,#REF!,#REF!,#REF!,#REF!</definedName>
    <definedName name="__APW_RESTORE_DATA2168__" hidden="1">#REF!,#REF!,#REF!,#REF!,#REF!,#REF!,#REF!,#REF!,#REF!,#REF!,#REF!,#REF!,#REF!,#REF!,#REF!,#REF!</definedName>
    <definedName name="__APW_RESTORE_DATA2169__" hidden="1">#REF!,#REF!,#REF!,#REF!,#REF!,#REF!,#REF!,#REF!,#REF!,#REF!,#REF!,#REF!,#REF!,#REF!,#REF!,#REF!</definedName>
    <definedName name="__APW_RESTORE_DATA217__" hidden="1">#REF!,#REF!</definedName>
    <definedName name="__APW_RESTORE_DATA2170__" hidden="1">#REF!,#REF!,#REF!,#REF!,#REF!,#REF!,#REF!,#REF!,#REF!,#REF!,#REF!,#REF!,#REF!,#REF!,#REF!,#REF!</definedName>
    <definedName name="__APW_RESTORE_DATA2171__" hidden="1">#REF!,#REF!,#REF!,#REF!,#REF!,#REF!,#REF!,#REF!,#REF!,#REF!,#REF!,#REF!,#REF!,#REF!,#REF!</definedName>
    <definedName name="__APW_RESTORE_DATA2172__" hidden="1">#REF!,#REF!,#REF!,#REF!,#REF!,#REF!,#REF!,#REF!,#REF!,#REF!,#REF!,#REF!,#REF!,#REF!,#REF!</definedName>
    <definedName name="__APW_RESTORE_DATA2173__" hidden="1">#REF!,#REF!,#REF!,#REF!,#REF!,#REF!,#REF!,#REF!,#REF!,#REF!,#REF!,#REF!,#REF!,#REF!,#REF!</definedName>
    <definedName name="__APW_RESTORE_DATA2174__" hidden="1">#REF!,#REF!,#REF!,#REF!,#REF!,#REF!,#REF!,#REF!,#REF!,#REF!,#REF!,#REF!,#REF!,#REF!,#REF!</definedName>
    <definedName name="__APW_RESTORE_DATA2175__" hidden="1">#REF!,#REF!,#REF!,#REF!,#REF!,#REF!,#REF!,#REF!,#REF!,#REF!,#REF!,#REF!,#REF!,#REF!,#REF!</definedName>
    <definedName name="__APW_RESTORE_DATA2176__" hidden="1">#REF!,#REF!,#REF!,#REF!,#REF!,#REF!,#REF!,#REF!,#REF!,#REF!,#REF!,#REF!,#REF!,#REF!,#REF!</definedName>
    <definedName name="__APW_RESTORE_DATA2177__" hidden="1">#REF!,#REF!,#REF!,#REF!,#REF!,#REF!,#REF!,#REF!,#REF!,#REF!,#REF!,#REF!,#REF!,#REF!,#REF!</definedName>
    <definedName name="__APW_RESTORE_DATA2178__" hidden="1">#REF!,#REF!,#REF!,#REF!,#REF!,#REF!,#REF!,#REF!,#REF!,#REF!,#REF!,#REF!,#REF!,#REF!,#REF!</definedName>
    <definedName name="__APW_RESTORE_DATA2179__" hidden="1">#REF!,#REF!,#REF!,#REF!,#REF!,#REF!,#REF!,#REF!,#REF!,#REF!,#REF!,#REF!,#REF!,#REF!,#REF!</definedName>
    <definedName name="__APW_RESTORE_DATA218__" hidden="1">#REF!,#REF!,#REF!,#REF!,#REF!,#REF!,#REF!,#REF!,#REF!,#REF!,#REF!,#REF!,#REF!,#REF!,#REF!,#REF!</definedName>
    <definedName name="__APW_RESTORE_DATA2180__" hidden="1">#REF!,#REF!,#REF!,#REF!,#REF!,#REF!,#REF!,#REF!,#REF!,#REF!,#REF!,#REF!,#REF!,#REF!,#REF!</definedName>
    <definedName name="__APW_RESTORE_DATA2181__" hidden="1">#REF!,#REF!,#REF!,#REF!,#REF!,#REF!,#REF!,#REF!,#REF!,#REF!,#REF!,#REF!,#REF!,#REF!,#REF!</definedName>
    <definedName name="__APW_RESTORE_DATA2182__" hidden="1">#REF!,#REF!,#REF!,#REF!,#REF!,#REF!,#REF!,#REF!,#REF!,#REF!,#REF!,#REF!,#REF!,#REF!,#REF!</definedName>
    <definedName name="__APW_RESTORE_DATA2183__" hidden="1">#REF!,#REF!,#REF!,#REF!,#REF!,#REF!,#REF!,#REF!,#REF!,#REF!,#REF!,#REF!,#REF!,#REF!,#REF!</definedName>
    <definedName name="__APW_RESTORE_DATA2184__" hidden="1">#REF!,#REF!,#REF!,#REF!,#REF!,#REF!,#REF!,#REF!,#REF!,#REF!,#REF!,#REF!,#REF!,#REF!,#REF!</definedName>
    <definedName name="__APW_RESTORE_DATA2185__" hidden="1">#REF!,#REF!,#REF!,#REF!,#REF!,#REF!,#REF!,#REF!,#REF!,#REF!,#REF!,#REF!,#REF!,#REF!,#REF!</definedName>
    <definedName name="__APW_RESTORE_DATA2186__" hidden="1">#REF!,#REF!,#REF!,#REF!,#REF!,#REF!,#REF!,#REF!,#REF!,#REF!,#REF!,#REF!,#REF!,#REF!,#REF!</definedName>
    <definedName name="__APW_RESTORE_DATA2187__" hidden="1">#REF!,#REF!,#REF!,#REF!,#REF!,#REF!,#REF!,#REF!,#REF!,#REF!,#REF!,#REF!,#REF!,#REF!,#REF!</definedName>
    <definedName name="__APW_RESTORE_DATA2188__" hidden="1">#REF!,#REF!,#REF!,#REF!,#REF!,#REF!,#REF!,#REF!,#REF!,#REF!,#REF!,#REF!,#REF!,#REF!,#REF!</definedName>
    <definedName name="__APW_RESTORE_DATA2189__" hidden="1">#REF!,#REF!,#REF!,#REF!,#REF!,#REF!,#REF!,#REF!,#REF!,#REF!,#REF!,#REF!,#REF!,#REF!,#REF!</definedName>
    <definedName name="__APW_RESTORE_DATA219__" hidden="1">#REF!,#REF!,#REF!,#REF!,#REF!,#REF!,#REF!,#REF!,#REF!,#REF!,#REF!,#REF!,#REF!,#REF!,#REF!,#REF!</definedName>
    <definedName name="__APW_RESTORE_DATA2190__" hidden="1">#REF!,#REF!,#REF!,#REF!,#REF!,#REF!,#REF!,#REF!,#REF!,#REF!,#REF!,#REF!,#REF!,#REF!,#REF!</definedName>
    <definedName name="__APW_RESTORE_DATA2191__" hidden="1">#REF!,#REF!,#REF!,#REF!,#REF!,#REF!,#REF!,#REF!,#REF!,#REF!,#REF!,#REF!,#REF!,#REF!,#REF!</definedName>
    <definedName name="__APW_RESTORE_DATA2192__" hidden="1">#REF!,#REF!,#REF!,#REF!,#REF!,#REF!,#REF!,#REF!,#REF!,#REF!,#REF!,#REF!,#REF!,#REF!,#REF!</definedName>
    <definedName name="__APW_RESTORE_DATA2193__" hidden="1">#REF!,#REF!,#REF!,#REF!,#REF!,#REF!,#REF!,#REF!,#REF!,#REF!,#REF!,#REF!,#REF!,#REF!,#REF!</definedName>
    <definedName name="__APW_RESTORE_DATA2194__" hidden="1">#REF!,#REF!,#REF!,#REF!,#REF!,#REF!,#REF!,#REF!,#REF!,#REF!,#REF!,#REF!,#REF!,#REF!,#REF!</definedName>
    <definedName name="__APW_RESTORE_DATA2195__" hidden="1">#REF!,#REF!,#REF!,#REF!,#REF!,#REF!,#REF!,#REF!,#REF!,#REF!,#REF!,#REF!,#REF!,#REF!,#REF!</definedName>
    <definedName name="__APW_RESTORE_DATA2196__" hidden="1">#REF!,#REF!,#REF!,#REF!,#REF!,#REF!,#REF!,#REF!,#REF!,#REF!,#REF!,#REF!,#REF!,#REF!,#REF!</definedName>
    <definedName name="__APW_RESTORE_DATA2197__" hidden="1">#REF!,#REF!,#REF!,#REF!,#REF!,#REF!,#REF!,#REF!,#REF!,#REF!,#REF!,#REF!,#REF!,#REF!,#REF!</definedName>
    <definedName name="__APW_RESTORE_DATA2198__" hidden="1">#REF!,#REF!,#REF!,#REF!,#REF!,#REF!,#REF!,#REF!,#REF!,#REF!,#REF!,#REF!,#REF!,#REF!,#REF!</definedName>
    <definedName name="__APW_RESTORE_DATA2199__" hidden="1">#REF!,#REF!,#REF!,#REF!,#REF!,#REF!</definedName>
    <definedName name="__APW_RESTORE_DATA22__" hidden="1">#REF!,#REF!,#REF!,#REF!,#REF!,#REF!,#REF!,#REF!,#REF!,#REF!,#REF!,#REF!,#REF!,#REF!,#REF!,#REF!</definedName>
    <definedName name="__APW_RESTORE_DATA220__" hidden="1">#REF!,#REF!,#REF!,#REF!,#REF!,#REF!,#REF!,#REF!,#REF!,#REF!,#REF!,#REF!,#REF!,#REF!,#REF!,#REF!</definedName>
    <definedName name="__APW_RESTORE_DATA2200__" hidden="1">#REF!,#REF!,#REF!,#REF!,#REF!,#REF!,#REF!,#REF!,#REF!,#REF!,#REF!,#REF!,#REF!,#REF!,#REF!,#REF!</definedName>
    <definedName name="__APW_RESTORE_DATA2201__" hidden="1">#REF!,#REF!,#REF!,#REF!,#REF!,#REF!,#REF!,#REF!,#REF!,#REF!,#REF!,#REF!,#REF!,#REF!,#REF!,#REF!</definedName>
    <definedName name="__APW_RESTORE_DATA2202__" hidden="1">#REF!,#REF!,#REF!,#REF!,#REF!,#REF!,#REF!,#REF!,#REF!,#REF!,#REF!,#REF!,#REF!,#REF!,#REF!,#REF!</definedName>
    <definedName name="__APW_RESTORE_DATA2203__" hidden="1">#REF!,#REF!,#REF!,#REF!,#REF!,#REF!,#REF!,#REF!,#REF!,#REF!,#REF!,#REF!,#REF!,#REF!,#REF!,#REF!</definedName>
    <definedName name="__APW_RESTORE_DATA2204__" hidden="1">#REF!,#REF!,#REF!,#REF!,#REF!,#REF!,#REF!,#REF!,#REF!,#REF!,#REF!,#REF!,#REF!,#REF!,#REF!,#REF!</definedName>
    <definedName name="__APW_RESTORE_DATA2205__" hidden="1">#REF!,#REF!,#REF!,#REF!,#REF!,#REF!,#REF!,#REF!,#REF!,#REF!,#REF!,#REF!,#REF!,#REF!,#REF!,#REF!</definedName>
    <definedName name="__APW_RESTORE_DATA2206__" hidden="1">#REF!,#REF!,#REF!,#REF!,#REF!,#REF!,#REF!,#REF!,#REF!,#REF!,#REF!,#REF!,#REF!,#REF!,#REF!</definedName>
    <definedName name="__APW_RESTORE_DATA2207__" hidden="1">#REF!,#REF!,#REF!,#REF!,#REF!,#REF!,#REF!,#REF!,#REF!,#REF!,#REF!,#REF!,#REF!,#REF!,#REF!</definedName>
    <definedName name="__APW_RESTORE_DATA2208__" hidden="1">#REF!,#REF!,#REF!,#REF!,#REF!,#REF!,#REF!,#REF!,#REF!,#REF!,#REF!,#REF!,#REF!,#REF!,#REF!</definedName>
    <definedName name="__APW_RESTORE_DATA2209__" hidden="1">#REF!,#REF!,#REF!,#REF!,#REF!,#REF!,#REF!,#REF!,#REF!,#REF!,#REF!,#REF!,#REF!,#REF!,#REF!</definedName>
    <definedName name="__APW_RESTORE_DATA221__" hidden="1">#REF!,#REF!,#REF!,#REF!,#REF!,#REF!,#REF!,#REF!,#REF!,#REF!,#REF!,#REF!,#REF!,#REF!,#REF!,#REF!</definedName>
    <definedName name="__APW_RESTORE_DATA2210__" hidden="1">#REF!,#REF!,#REF!,#REF!,#REF!,#REF!,#REF!,#REF!,#REF!,#REF!,#REF!,#REF!,#REF!,#REF!,#REF!</definedName>
    <definedName name="__APW_RESTORE_DATA2211__" hidden="1">#REF!,#REF!,#REF!,#REF!,#REF!,#REF!,#REF!,#REF!,#REF!,#REF!,#REF!,#REF!,#REF!,#REF!,#REF!</definedName>
    <definedName name="__APW_RESTORE_DATA2212__" hidden="1">#REF!,#REF!,#REF!,#REF!,#REF!,#REF!,#REF!,#REF!,#REF!,#REF!,#REF!,#REF!,#REF!,#REF!,#REF!</definedName>
    <definedName name="__APW_RESTORE_DATA2213__" hidden="1">#REF!,#REF!,#REF!,#REF!,#REF!,#REF!,#REF!,#REF!,#REF!,#REF!,#REF!,#REF!,#REF!,#REF!,#REF!</definedName>
    <definedName name="__APW_RESTORE_DATA2214__" hidden="1">#REF!,#REF!,#REF!,#REF!,#REF!,#REF!,#REF!,#REF!,#REF!,#REF!,#REF!,#REF!,#REF!,#REF!,#REF!</definedName>
    <definedName name="__APW_RESTORE_DATA2215__" hidden="1">#REF!,#REF!,#REF!,#REF!,#REF!,#REF!,#REF!,#REF!,#REF!,#REF!,#REF!,#REF!,#REF!,#REF!,#REF!</definedName>
    <definedName name="__APW_RESTORE_DATA2216__" hidden="1">#REF!,#REF!,#REF!,#REF!,#REF!,#REF!,#REF!,#REF!,#REF!,#REF!,#REF!,#REF!,#REF!,#REF!,#REF!</definedName>
    <definedName name="__APW_RESTORE_DATA2217__" hidden="1">#REF!,#REF!,#REF!,#REF!,#REF!,#REF!,#REF!,#REF!,#REF!,#REF!,#REF!,#REF!,#REF!,#REF!,#REF!</definedName>
    <definedName name="__APW_RESTORE_DATA2218__" hidden="1">#REF!,#REF!,#REF!,#REF!,#REF!,#REF!,#REF!,#REF!,#REF!,#REF!,#REF!,#REF!,#REF!,#REF!,#REF!</definedName>
    <definedName name="__APW_RESTORE_DATA2219__" hidden="1">#REF!,#REF!,#REF!,#REF!,#REF!,#REF!,#REF!,#REF!,#REF!,#REF!,#REF!,#REF!,#REF!,#REF!,#REF!</definedName>
    <definedName name="__APW_RESTORE_DATA222__" hidden="1">#REF!,#REF!,#REF!,#REF!,#REF!,#REF!,#REF!,#REF!,#REF!,#REF!,#REF!,#REF!,#REF!,#REF!,#REF!,#REF!</definedName>
    <definedName name="__APW_RESTORE_DATA2220__" hidden="1">#REF!,#REF!,#REF!,#REF!,#REF!,#REF!,#REF!,#REF!,#REF!,#REF!,#REF!,#REF!,#REF!,#REF!,#REF!</definedName>
    <definedName name="__APW_RESTORE_DATA2221__" hidden="1">#REF!,#REF!,#REF!,#REF!,#REF!,#REF!,#REF!,#REF!,#REF!,#REF!,#REF!,#REF!,#REF!,#REF!,#REF!</definedName>
    <definedName name="__APW_RESTORE_DATA2222__" hidden="1">#REF!,#REF!,#REF!,#REF!,#REF!,#REF!,#REF!,#REF!,#REF!,#REF!,#REF!,#REF!,#REF!,#REF!,#REF!</definedName>
    <definedName name="__APW_RESTORE_DATA2223__" hidden="1">#REF!,#REF!,#REF!,#REF!,#REF!,#REF!,#REF!,#REF!,#REF!,#REF!,#REF!,#REF!,#REF!,#REF!,#REF!</definedName>
    <definedName name="__APW_RESTORE_DATA2224__" hidden="1">#REF!,#REF!,#REF!,#REF!,#REF!,#REF!,#REF!,#REF!,#REF!,#REF!,#REF!,#REF!,#REF!,#REF!,#REF!</definedName>
    <definedName name="__APW_RESTORE_DATA2225__" hidden="1">#REF!,#REF!,#REF!,#REF!,#REF!,#REF!,#REF!,#REF!,#REF!,#REF!,#REF!,#REF!,#REF!,#REF!,#REF!</definedName>
    <definedName name="__APW_RESTORE_DATA2226__" hidden="1">#REF!,#REF!,#REF!,#REF!,#REF!,#REF!,#REF!,#REF!,#REF!,#REF!,#REF!,#REF!,#REF!,#REF!,#REF!</definedName>
    <definedName name="__APW_RESTORE_DATA2227__" hidden="1">#REF!,#REF!,#REF!,#REF!,#REF!,#REF!,#REF!,#REF!,#REF!,#REF!,#REF!,#REF!,#REF!,#REF!,#REF!</definedName>
    <definedName name="__APW_RESTORE_DATA2228__" hidden="1">#REF!,#REF!,#REF!,#REF!,#REF!,#REF!,#REF!,#REF!,#REF!,#REF!,#REF!,#REF!,#REF!,#REF!,#REF!</definedName>
    <definedName name="__APW_RESTORE_DATA2229__" hidden="1">#REF!,#REF!,#REF!,#REF!,#REF!,#REF!,#REF!,#REF!,#REF!,#REF!,#REF!,#REF!,#REF!,#REF!,#REF!</definedName>
    <definedName name="__APW_RESTORE_DATA223__" hidden="1">#REF!,#REF!,#REF!,#REF!,#REF!,#REF!,#REF!,#REF!,#REF!,#REF!,#REF!,#REF!,#REF!,#REF!,#REF!</definedName>
    <definedName name="__APW_RESTORE_DATA2230__" hidden="1">#REF!,#REF!,#REF!,#REF!,#REF!,#REF!,#REF!,#REF!,#REF!,#REF!,#REF!,#REF!,#REF!,#REF!,#REF!</definedName>
    <definedName name="__APW_RESTORE_DATA2231__" hidden="1">#REF!,#REF!,#REF!,#REF!,#REF!,#REF!,#REF!,#REF!,#REF!,#REF!,#REF!,#REF!,#REF!,#REF!,#REF!</definedName>
    <definedName name="__APW_RESTORE_DATA2232__" hidden="1">#REF!,#REF!,#REF!,#REF!,#REF!,#REF!,#REF!,#REF!,#REF!,#REF!,#REF!,#REF!,#REF!,#REF!,#REF!</definedName>
    <definedName name="__APW_RESTORE_DATA2233__" hidden="1">#REF!,#REF!,#REF!,#REF!,#REF!,#REF!,#REF!,#REF!,#REF!,#REF!,#REF!,#REF!,#REF!,#REF!,#REF!</definedName>
    <definedName name="__APW_RESTORE_DATA2234__" hidden="1">#REF!,#REF!,#REF!,#REF!,#REF!,#REF!</definedName>
    <definedName name="__APW_RESTORE_DATA2235__" hidden="1">#REF!,#REF!,#REF!,#REF!,#REF!,#REF!,#REF!,#REF!,#REF!,#REF!,#REF!,#REF!,#REF!,#REF!,#REF!,#REF!</definedName>
    <definedName name="__APW_RESTORE_DATA2236__" hidden="1">#REF!,#REF!,#REF!,#REF!,#REF!,#REF!,#REF!,#REF!,#REF!,#REF!,#REF!,#REF!,#REF!,#REF!,#REF!,#REF!</definedName>
    <definedName name="__APW_RESTORE_DATA2237__" hidden="1">#REF!,#REF!,#REF!,#REF!,#REF!,#REF!,#REF!,#REF!,#REF!,#REF!,#REF!,#REF!,#REF!,#REF!,#REF!,#REF!</definedName>
    <definedName name="__APW_RESTORE_DATA2238__" hidden="1">#REF!,#REF!,#REF!,#REF!,#REF!,#REF!,#REF!,#REF!,#REF!,#REF!,#REF!,#REF!,#REF!,#REF!,#REF!,#REF!</definedName>
    <definedName name="__APW_RESTORE_DATA2239__" hidden="1">#REF!,#REF!,#REF!,#REF!,#REF!,#REF!,#REF!,#REF!,#REF!,#REF!,#REF!,#REF!,#REF!,#REF!,#REF!,#REF!</definedName>
    <definedName name="__APW_RESTORE_DATA224__" hidden="1">#REF!,#REF!,#REF!,#REF!,#REF!,#REF!,#REF!,#REF!,#REF!,#REF!,#REF!,#REF!,#REF!,#REF!,#REF!</definedName>
    <definedName name="__APW_RESTORE_DATA2240__" hidden="1">#REF!,#REF!,#REF!,#REF!,#REF!,#REF!,#REF!,#REF!,#REF!,#REF!,#REF!,#REF!,#REF!,#REF!,#REF!,#REF!</definedName>
    <definedName name="__APW_RESTORE_DATA2241__" hidden="1">#REF!,#REF!,#REF!,#REF!,#REF!,#REF!,#REF!,#REF!,#REF!,#REF!,#REF!,#REF!,#REF!,#REF!,#REF!</definedName>
    <definedName name="__APW_RESTORE_DATA2242__" hidden="1">#REF!,#REF!,#REF!,#REF!,#REF!,#REF!,#REF!,#REF!,#REF!,#REF!,#REF!,#REF!,#REF!,#REF!,#REF!</definedName>
    <definedName name="__APW_RESTORE_DATA2243__" hidden="1">#REF!,#REF!,#REF!,#REF!,#REF!,#REF!,#REF!,#REF!,#REF!,#REF!,#REF!,#REF!,#REF!,#REF!,#REF!</definedName>
    <definedName name="__APW_RESTORE_DATA2244__" hidden="1">#REF!,#REF!,#REF!,#REF!,#REF!,#REF!,#REF!,#REF!,#REF!,#REF!,#REF!,#REF!,#REF!,#REF!,#REF!</definedName>
    <definedName name="__APW_RESTORE_DATA2245__" hidden="1">#REF!,#REF!,#REF!,#REF!,#REF!,#REF!,#REF!,#REF!,#REF!,#REF!,#REF!,#REF!,#REF!,#REF!,#REF!</definedName>
    <definedName name="__APW_RESTORE_DATA2246__" hidden="1">#REF!,#REF!,#REF!,#REF!,#REF!,#REF!,#REF!,#REF!,#REF!,#REF!,#REF!,#REF!,#REF!,#REF!,#REF!</definedName>
    <definedName name="__APW_RESTORE_DATA2247__" hidden="1">#REF!,#REF!,#REF!,#REF!,#REF!,#REF!,#REF!,#REF!,#REF!,#REF!,#REF!,#REF!,#REF!,#REF!,#REF!</definedName>
    <definedName name="__APW_RESTORE_DATA2248__" hidden="1">#REF!,#REF!,#REF!,#REF!,#REF!,#REF!,#REF!,#REF!,#REF!,#REF!,#REF!,#REF!,#REF!,#REF!,#REF!</definedName>
    <definedName name="__APW_RESTORE_DATA2249__" hidden="1">#REF!,#REF!,#REF!,#REF!,#REF!,#REF!,#REF!,#REF!,#REF!,#REF!,#REF!,#REF!,#REF!,#REF!,#REF!</definedName>
    <definedName name="__APW_RESTORE_DATA225__" hidden="1">#REF!,#REF!,#REF!,#REF!,#REF!,#REF!,#REF!,#REF!,#REF!,#REF!,#REF!,#REF!,#REF!,#REF!,#REF!</definedName>
    <definedName name="__APW_RESTORE_DATA2250__" hidden="1">#REF!,#REF!,#REF!,#REF!,#REF!,#REF!,#REF!,#REF!,#REF!,#REF!,#REF!,#REF!,#REF!,#REF!,#REF!</definedName>
    <definedName name="__APW_RESTORE_DATA2251__" hidden="1">#REF!,#REF!,#REF!,#REF!,#REF!,#REF!,#REF!,#REF!,#REF!,#REF!,#REF!,#REF!,#REF!,#REF!,#REF!</definedName>
    <definedName name="__APW_RESTORE_DATA2252__" hidden="1">#REF!,#REF!,#REF!,#REF!,#REF!,#REF!,#REF!,#REF!,#REF!,#REF!,#REF!,#REF!,#REF!,#REF!,#REF!</definedName>
    <definedName name="__APW_RESTORE_DATA2253__" hidden="1">#REF!,#REF!,#REF!,#REF!,#REF!,#REF!,#REF!,#REF!,#REF!,#REF!,#REF!,#REF!,#REF!,#REF!,#REF!</definedName>
    <definedName name="__APW_RESTORE_DATA2254__" hidden="1">#REF!,#REF!,#REF!,#REF!,#REF!,#REF!,#REF!,#REF!,#REF!,#REF!,#REF!,#REF!,#REF!,#REF!,#REF!</definedName>
    <definedName name="__APW_RESTORE_DATA2255__" hidden="1">#REF!,#REF!,#REF!,#REF!,#REF!,#REF!,#REF!,#REF!,#REF!,#REF!,#REF!,#REF!,#REF!,#REF!,#REF!</definedName>
    <definedName name="__APW_RESTORE_DATA2256__" hidden="1">#REF!,#REF!,#REF!,#REF!,#REF!,#REF!,#REF!,#REF!,#REF!,#REF!,#REF!,#REF!,#REF!,#REF!,#REF!</definedName>
    <definedName name="__APW_RESTORE_DATA2257__" hidden="1">#REF!,#REF!,#REF!,#REF!,#REF!,#REF!,#REF!,#REF!,#REF!,#REF!,#REF!,#REF!,#REF!,#REF!,#REF!</definedName>
    <definedName name="__APW_RESTORE_DATA2258__" hidden="1">#REF!,#REF!,#REF!,#REF!,#REF!,#REF!,#REF!,#REF!,#REF!,#REF!,#REF!,#REF!,#REF!,#REF!,#REF!</definedName>
    <definedName name="__APW_RESTORE_DATA2259__" hidden="1">#REF!,#REF!,#REF!,#REF!,#REF!,#REF!,#REF!,#REF!,#REF!,#REF!,#REF!,#REF!,#REF!,#REF!,#REF!</definedName>
    <definedName name="__APW_RESTORE_DATA226__" hidden="1">#REF!,#REF!,#REF!,#REF!,#REF!,#REF!,#REF!,#REF!,#REF!,#REF!,#REF!,#REF!,#REF!,#REF!,#REF!</definedName>
    <definedName name="__APW_RESTORE_DATA2260__" hidden="1">#REF!,#REF!,#REF!,#REF!,#REF!,#REF!,#REF!,#REF!,#REF!,#REF!,#REF!,#REF!,#REF!,#REF!,#REF!</definedName>
    <definedName name="__APW_RESTORE_DATA2261__" hidden="1">#REF!,#REF!,#REF!,#REF!,#REF!,#REF!,#REF!,#REF!,#REF!,#REF!,#REF!,#REF!,#REF!,#REF!,#REF!</definedName>
    <definedName name="__APW_RESTORE_DATA2262__" hidden="1">#REF!,#REF!,#REF!,#REF!,#REF!,#REF!,#REF!,#REF!,#REF!,#REF!,#REF!,#REF!,#REF!,#REF!,#REF!</definedName>
    <definedName name="__APW_RESTORE_DATA2263__" hidden="1">#REF!,#REF!,#REF!,#REF!,#REF!,#REF!,#REF!,#REF!,#REF!,#REF!,#REF!,#REF!,#REF!,#REF!,#REF!</definedName>
    <definedName name="__APW_RESTORE_DATA2264__" hidden="1">#REF!,#REF!,#REF!,#REF!,#REF!,#REF!,#REF!,#REF!,#REF!,#REF!,#REF!,#REF!,#REF!,#REF!,#REF!</definedName>
    <definedName name="__APW_RESTORE_DATA2265__" hidden="1">#REF!,#REF!,#REF!,#REF!,#REF!,#REF!,#REF!,#REF!,#REF!,#REF!,#REF!,#REF!,#REF!,#REF!,#REF!</definedName>
    <definedName name="__APW_RESTORE_DATA2266__" hidden="1">#REF!,#REF!,#REF!,#REF!,#REF!,#REF!,#REF!,#REF!,#REF!,#REF!,#REF!,#REF!,#REF!,#REF!,#REF!</definedName>
    <definedName name="__APW_RESTORE_DATA2267__" hidden="1">#REF!,#REF!,#REF!,#REF!,#REF!,#REF!,#REF!,#REF!,#REF!,#REF!,#REF!,#REF!,#REF!,#REF!,#REF!</definedName>
    <definedName name="__APW_RESTORE_DATA2268__" hidden="1">#REF!,#REF!,#REF!,#REF!,#REF!,#REF!,#REF!,#REF!,#REF!,#REF!,#REF!,#REF!,#REF!,#REF!,#REF!</definedName>
    <definedName name="__APW_RESTORE_DATA2269__" hidden="1">#REF!,#REF!,#REF!,#REF!,#REF!,#REF!</definedName>
    <definedName name="__APW_RESTORE_DATA227__" hidden="1">#REF!,#REF!,#REF!,#REF!,#REF!,#REF!,#REF!,#REF!,#REF!,#REF!,#REF!,#REF!,#REF!,#REF!,#REF!</definedName>
    <definedName name="__APW_RESTORE_DATA2270__" hidden="1">#REF!,#REF!,#REF!,#REF!,#REF!,#REF!,#REF!,#REF!,#REF!,#REF!,#REF!,#REF!,#REF!,#REF!,#REF!,#REF!</definedName>
    <definedName name="__APW_RESTORE_DATA2271__" hidden="1">#REF!,#REF!,#REF!,#REF!,#REF!,#REF!,#REF!,#REF!,#REF!,#REF!,#REF!,#REF!,#REF!,#REF!,#REF!,#REF!</definedName>
    <definedName name="__APW_RESTORE_DATA2272__" hidden="1">#REF!,#REF!,#REF!,#REF!,#REF!,#REF!,#REF!,#REF!,#REF!,#REF!,#REF!,#REF!,#REF!,#REF!,#REF!,#REF!</definedName>
    <definedName name="__APW_RESTORE_DATA2273__" hidden="1">#REF!,#REF!,#REF!,#REF!,#REF!,#REF!,#REF!,#REF!,#REF!,#REF!,#REF!,#REF!,#REF!,#REF!,#REF!,#REF!</definedName>
    <definedName name="__APW_RESTORE_DATA2274__" hidden="1">#REF!,#REF!,#REF!,#REF!,#REF!,#REF!,#REF!,#REF!,#REF!,#REF!,#REF!,#REF!,#REF!,#REF!,#REF!,#REF!</definedName>
    <definedName name="__APW_RESTORE_DATA2275__" hidden="1">#REF!,#REF!,#REF!,#REF!,#REF!,#REF!,#REF!,#REF!,#REF!,#REF!,#REF!,#REF!,#REF!,#REF!,#REF!,#REF!</definedName>
    <definedName name="__APW_RESTORE_DATA2276__" hidden="1">#REF!,#REF!,#REF!,#REF!,#REF!,#REF!,#REF!,#REF!,#REF!,#REF!,#REF!,#REF!,#REF!,#REF!,#REF!</definedName>
    <definedName name="__APW_RESTORE_DATA2277__" hidden="1">#REF!,#REF!,#REF!,#REF!,#REF!,#REF!,#REF!,#REF!,#REF!,#REF!,#REF!,#REF!,#REF!,#REF!,#REF!</definedName>
    <definedName name="__APW_RESTORE_DATA2278__" hidden="1">#REF!,#REF!,#REF!,#REF!,#REF!,#REF!,#REF!,#REF!,#REF!,#REF!,#REF!,#REF!,#REF!,#REF!,#REF!</definedName>
    <definedName name="__APW_RESTORE_DATA2279__" hidden="1">#REF!,#REF!,#REF!,#REF!,#REF!,#REF!,#REF!,#REF!,#REF!,#REF!,#REF!,#REF!,#REF!,#REF!,#REF!</definedName>
    <definedName name="__APW_RESTORE_DATA228__" hidden="1">#REF!,#REF!,#REF!,#REF!,#REF!,#REF!,#REF!,#REF!,#REF!,#REF!,#REF!,#REF!,#REF!,#REF!,#REF!</definedName>
    <definedName name="__APW_RESTORE_DATA2280__" hidden="1">#REF!,#REF!,#REF!,#REF!,#REF!,#REF!,#REF!,#REF!,#REF!,#REF!,#REF!,#REF!,#REF!,#REF!,#REF!</definedName>
    <definedName name="__APW_RESTORE_DATA2281__" hidden="1">#REF!,#REF!,#REF!,#REF!,#REF!,#REF!,#REF!,#REF!,#REF!,#REF!,#REF!,#REF!,#REF!,#REF!,#REF!</definedName>
    <definedName name="__APW_RESTORE_DATA2282__" hidden="1">#REF!,#REF!,#REF!,#REF!,#REF!,#REF!,#REF!,#REF!,#REF!,#REF!,#REF!,#REF!,#REF!,#REF!,#REF!</definedName>
    <definedName name="__APW_RESTORE_DATA2283__" hidden="1">#REF!,#REF!,#REF!,#REF!,#REF!,#REF!,#REF!,#REF!,#REF!,#REF!,#REF!,#REF!,#REF!,#REF!,#REF!</definedName>
    <definedName name="__APW_RESTORE_DATA2284__" hidden="1">#REF!,#REF!,#REF!,#REF!,#REF!,#REF!,#REF!,#REF!,#REF!,#REF!,#REF!,#REF!,#REF!,#REF!,#REF!</definedName>
    <definedName name="__APW_RESTORE_DATA2285__" hidden="1">#REF!,#REF!,#REF!,#REF!,#REF!,#REF!,#REF!,#REF!,#REF!,#REF!,#REF!,#REF!,#REF!,#REF!,#REF!</definedName>
    <definedName name="__APW_RESTORE_DATA2286__" hidden="1">#REF!,#REF!,#REF!,#REF!,#REF!,#REF!,#REF!,#REF!,#REF!,#REF!,#REF!,#REF!,#REF!,#REF!,#REF!</definedName>
    <definedName name="__APW_RESTORE_DATA2287__" hidden="1">#REF!,#REF!,#REF!,#REF!,#REF!,#REF!,#REF!,#REF!,#REF!,#REF!,#REF!,#REF!,#REF!,#REF!,#REF!</definedName>
    <definedName name="__APW_RESTORE_DATA2288__" hidden="1">#REF!,#REF!,#REF!,#REF!,#REF!,#REF!,#REF!,#REF!,#REF!,#REF!,#REF!,#REF!,#REF!,#REF!,#REF!</definedName>
    <definedName name="__APW_RESTORE_DATA2289__" hidden="1">#REF!,#REF!,#REF!,#REF!,#REF!,#REF!,#REF!,#REF!,#REF!,#REF!,#REF!,#REF!,#REF!,#REF!,#REF!</definedName>
    <definedName name="__APW_RESTORE_DATA229__" hidden="1">#REF!,#REF!,#REF!,#REF!,#REF!,#REF!,#REF!,#REF!,#REF!,#REF!,#REF!,#REF!,#REF!,#REF!,#REF!</definedName>
    <definedName name="__APW_RESTORE_DATA2290__" hidden="1">#REF!,#REF!,#REF!,#REF!,#REF!,#REF!,#REF!,#REF!,#REF!,#REF!,#REF!,#REF!,#REF!,#REF!,#REF!</definedName>
    <definedName name="__APW_RESTORE_DATA2291__" hidden="1">#REF!,#REF!,#REF!,#REF!,#REF!,#REF!,#REF!,#REF!,#REF!,#REF!,#REF!,#REF!,#REF!,#REF!,#REF!</definedName>
    <definedName name="__APW_RESTORE_DATA2292__" hidden="1">#REF!,#REF!,#REF!,#REF!,#REF!,#REF!,#REF!,#REF!,#REF!,#REF!,#REF!,#REF!,#REF!,#REF!,#REF!</definedName>
    <definedName name="__APW_RESTORE_DATA2293__" hidden="1">#REF!,#REF!,#REF!,#REF!,#REF!,#REF!,#REF!,#REF!,#REF!,#REF!,#REF!,#REF!,#REF!,#REF!,#REF!</definedName>
    <definedName name="__APW_RESTORE_DATA2294__" hidden="1">#REF!,#REF!,#REF!,#REF!,#REF!,#REF!,#REF!,#REF!,#REF!,#REF!,#REF!,#REF!,#REF!,#REF!,#REF!</definedName>
    <definedName name="__APW_RESTORE_DATA2295__" hidden="1">#REF!,#REF!,#REF!,#REF!,#REF!,#REF!,#REF!,#REF!,#REF!,#REF!,#REF!,#REF!,#REF!,#REF!,#REF!</definedName>
    <definedName name="__APW_RESTORE_DATA2296__" hidden="1">#REF!,#REF!,#REF!,#REF!,#REF!,#REF!,#REF!,#REF!,#REF!,#REF!,#REF!,#REF!,#REF!,#REF!,#REF!</definedName>
    <definedName name="__APW_RESTORE_DATA2297__" hidden="1">#REF!,#REF!,#REF!,#REF!,#REF!,#REF!,#REF!,#REF!,#REF!,#REF!,#REF!,#REF!,#REF!,#REF!,#REF!</definedName>
    <definedName name="__APW_RESTORE_DATA2298__" hidden="1">#REF!,#REF!,#REF!,#REF!,#REF!,#REF!,#REF!,#REF!,#REF!,#REF!,#REF!,#REF!,#REF!,#REF!,#REF!</definedName>
    <definedName name="__APW_RESTORE_DATA2299__" hidden="1">#REF!,#REF!,#REF!,#REF!,#REF!,#REF!,#REF!,#REF!,#REF!,#REF!,#REF!,#REF!,#REF!,#REF!,#REF!</definedName>
    <definedName name="__APW_RESTORE_DATA23__" hidden="1">#REF!,#REF!,#REF!,#REF!,#REF!,#REF!,#REF!,#REF!,#REF!,#REF!,#REF!,#REF!,#REF!,#REF!,#REF!</definedName>
    <definedName name="__APW_RESTORE_DATA230__" hidden="1">#REF!,#REF!,#REF!,#REF!,#REF!,#REF!,#REF!,#REF!,#REF!,#REF!,#REF!,#REF!,#REF!,#REF!,#REF!</definedName>
    <definedName name="__APW_RESTORE_DATA2300__" hidden="1">#REF!,#REF!,#REF!,#REF!,#REF!,#REF!,#REF!,#REF!,#REF!,#REF!,#REF!,#REF!,#REF!,#REF!,#REF!</definedName>
    <definedName name="__APW_RESTORE_DATA2301__" hidden="1">#REF!,#REF!,#REF!,#REF!,#REF!,#REF!,#REF!,#REF!,#REF!,#REF!,#REF!,#REF!,#REF!,#REF!,#REF!</definedName>
    <definedName name="__APW_RESTORE_DATA2302__" hidden="1">#REF!,#REF!,#REF!,#REF!,#REF!,#REF!,#REF!,#REF!,#REF!,#REF!,#REF!,#REF!,#REF!,#REF!,#REF!</definedName>
    <definedName name="__APW_RESTORE_DATA2303__" hidden="1">#REF!,#REF!,#REF!,#REF!,#REF!,#REF!,#REF!,#REF!,#REF!,#REF!,#REF!,#REF!,#REF!,#REF!,#REF!</definedName>
    <definedName name="__APW_RESTORE_DATA2304__" hidden="1">#REF!,#REF!,#REF!,#REF!,#REF!,#REF!</definedName>
    <definedName name="__APW_RESTORE_DATA2305__" hidden="1">#REF!</definedName>
    <definedName name="__APW_RESTORE_DATA2306__" hidden="1">#REF!</definedName>
    <definedName name="__APW_RESTORE_DATA2307__" hidden="1">#REF!</definedName>
    <definedName name="__APW_RESTORE_DATA2309__" hidden="1">#REF!</definedName>
    <definedName name="__APW_RESTORE_DATA231__" hidden="1">#REF!,#REF!,#REF!,#REF!,#REF!,#REF!,#REF!,#REF!,#REF!,#REF!,#REF!,#REF!,#REF!,#REF!,#REF!</definedName>
    <definedName name="__APW_RESTORE_DATA2310__" hidden="1">#REF!,#REF!,#REF!,#REF!,#REF!,#REF!,#REF!,#REF!,#REF!,#REF!,#REF!,#REF!,#REF!,#REF!,#REF!,#REF!</definedName>
    <definedName name="__APW_RESTORE_DATA2311__" hidden="1">#REF!,#REF!,#REF!,#REF!,#REF!,#REF!,#REF!,#REF!,#REF!,#REF!,#REF!,#REF!,#REF!,#REF!,#REF!,#REF!</definedName>
    <definedName name="__APW_RESTORE_DATA2312__" hidden="1">#REF!,#REF!,#REF!,#REF!,#REF!,#REF!,#REF!,#REF!,#REF!,#REF!,#REF!,#REF!,#REF!,#REF!,#REF!,#REF!</definedName>
    <definedName name="__APW_RESTORE_DATA2313__" hidden="1">#REF!,#REF!,#REF!,#REF!,#REF!,#REF!,#REF!,#REF!,#REF!,#REF!,#REF!,#REF!,#REF!,#REF!,#REF!,#REF!</definedName>
    <definedName name="__APW_RESTORE_DATA2314__" hidden="1">#REF!,#REF!,#REF!,#REF!,#REF!,#REF!,#REF!,#REF!,#REF!,#REF!,#REF!,#REF!,#REF!,#REF!,#REF!,#REF!</definedName>
    <definedName name="__APW_RESTORE_DATA2315__" hidden="1">#REF!,#REF!,#REF!,#REF!,#REF!,#REF!,#REF!,#REF!,#REF!,#REF!,#REF!,#REF!,#REF!,#REF!,#REF!,#REF!</definedName>
    <definedName name="__APW_RESTORE_DATA2316__" hidden="1">#REF!,#REF!,#REF!,#REF!,#REF!,#REF!,#REF!,#REF!,#REF!,#REF!,#REF!,#REF!,#REF!,#REF!,#REF!</definedName>
    <definedName name="__APW_RESTORE_DATA2317__" hidden="1">#REF!,#REF!,#REF!,#REF!,#REF!,#REF!,#REF!,#REF!,#REF!,#REF!,#REF!,#REF!,#REF!,#REF!,#REF!</definedName>
    <definedName name="__APW_RESTORE_DATA2318__" hidden="1">#REF!,#REF!,#REF!,#REF!,#REF!,#REF!,#REF!,#REF!,#REF!,#REF!,#REF!,#REF!,#REF!,#REF!,#REF!</definedName>
    <definedName name="__APW_RESTORE_DATA2319__" hidden="1">#REF!,#REF!,#REF!,#REF!,#REF!,#REF!,#REF!,#REF!,#REF!,#REF!,#REF!,#REF!,#REF!,#REF!,#REF!</definedName>
    <definedName name="__APW_RESTORE_DATA232__" hidden="1">#REF!,#REF!</definedName>
    <definedName name="__APW_RESTORE_DATA2320__" hidden="1">#REF!,#REF!,#REF!,#REF!,#REF!,#REF!,#REF!,#REF!,#REF!,#REF!,#REF!,#REF!,#REF!,#REF!,#REF!</definedName>
    <definedName name="__APW_RESTORE_DATA2321__" hidden="1">#REF!,#REF!,#REF!,#REF!,#REF!,#REF!,#REF!,#REF!,#REF!,#REF!,#REF!,#REF!,#REF!,#REF!,#REF!</definedName>
    <definedName name="__APW_RESTORE_DATA2322__" hidden="1">#REF!,#REF!,#REF!,#REF!,#REF!,#REF!,#REF!,#REF!,#REF!,#REF!,#REF!,#REF!,#REF!,#REF!,#REF!</definedName>
    <definedName name="__APW_RESTORE_DATA2323__" hidden="1">#REF!,#REF!,#REF!,#REF!,#REF!,#REF!,#REF!,#REF!,#REF!,#REF!,#REF!,#REF!,#REF!,#REF!,#REF!</definedName>
    <definedName name="__APW_RESTORE_DATA2324__" hidden="1">#REF!,#REF!,#REF!,#REF!,#REF!,#REF!,#REF!,#REF!,#REF!,#REF!,#REF!,#REF!,#REF!,#REF!,#REF!</definedName>
    <definedName name="__APW_RESTORE_DATA2325__" hidden="1">#REF!,#REF!,#REF!,#REF!,#REF!,#REF!,#REF!,#REF!,#REF!,#REF!,#REF!,#REF!,#REF!,#REF!,#REF!</definedName>
    <definedName name="__APW_RESTORE_DATA2326__" hidden="1">#REF!,#REF!,#REF!,#REF!,#REF!,#REF!,#REF!,#REF!,#REF!,#REF!,#REF!,#REF!,#REF!,#REF!,#REF!</definedName>
    <definedName name="__APW_RESTORE_DATA2327__" hidden="1">#REF!,#REF!,#REF!,#REF!,#REF!,#REF!,#REF!,#REF!,#REF!,#REF!,#REF!,#REF!,#REF!,#REF!,#REF!</definedName>
    <definedName name="__APW_RESTORE_DATA2328__" hidden="1">#REF!,#REF!,#REF!,#REF!,#REF!,#REF!,#REF!,#REF!,#REF!,#REF!,#REF!,#REF!,#REF!,#REF!,#REF!</definedName>
    <definedName name="__APW_RESTORE_DATA2329__" hidden="1">#REF!,#REF!,#REF!,#REF!,#REF!,#REF!,#REF!,#REF!,#REF!,#REF!,#REF!,#REF!,#REF!,#REF!,#REF!</definedName>
    <definedName name="__APW_RESTORE_DATA233__" hidden="1">#REF!,#REF!</definedName>
    <definedName name="__APW_RESTORE_DATA2330__" hidden="1">#REF!,#REF!,#REF!,#REF!,#REF!,#REF!,#REF!,#REF!,#REF!,#REF!,#REF!,#REF!,#REF!,#REF!,#REF!</definedName>
    <definedName name="__APW_RESTORE_DATA2331__" hidden="1">#REF!,#REF!,#REF!,#REF!,#REF!,#REF!,#REF!,#REF!,#REF!,#REF!,#REF!,#REF!,#REF!,#REF!,#REF!</definedName>
    <definedName name="__APW_RESTORE_DATA2332__" hidden="1">#REF!,#REF!,#REF!,#REF!,#REF!,#REF!,#REF!,#REF!,#REF!,#REF!,#REF!,#REF!,#REF!,#REF!,#REF!</definedName>
    <definedName name="__APW_RESTORE_DATA2333__" hidden="1">#REF!,#REF!,#REF!,#REF!,#REF!,#REF!,#REF!,#REF!,#REF!,#REF!,#REF!,#REF!,#REF!,#REF!,#REF!</definedName>
    <definedName name="__APW_RESTORE_DATA2334__" hidden="1">#REF!,#REF!,#REF!,#REF!,#REF!,#REF!,#REF!,#REF!,#REF!,#REF!,#REF!,#REF!,#REF!,#REF!,#REF!</definedName>
    <definedName name="__APW_RESTORE_DATA2335__" hidden="1">#REF!,#REF!,#REF!,#REF!,#REF!,#REF!,#REF!,#REF!,#REF!,#REF!,#REF!,#REF!,#REF!,#REF!,#REF!</definedName>
    <definedName name="__APW_RESTORE_DATA2336__" hidden="1">#REF!,#REF!,#REF!,#REF!,#REF!,#REF!,#REF!,#REF!,#REF!,#REF!,#REF!,#REF!,#REF!,#REF!,#REF!</definedName>
    <definedName name="__APW_RESTORE_DATA2337__" hidden="1">#REF!,#REF!,#REF!,#REF!,#REF!,#REF!,#REF!,#REF!,#REF!,#REF!,#REF!,#REF!,#REF!,#REF!,#REF!</definedName>
    <definedName name="__APW_RESTORE_DATA2338__" hidden="1">#REF!,#REF!,#REF!,#REF!,#REF!,#REF!,#REF!,#REF!,#REF!,#REF!,#REF!,#REF!,#REF!,#REF!,#REF!</definedName>
    <definedName name="__APW_RESTORE_DATA2339__" hidden="1">#REF!,#REF!,#REF!,#REF!,#REF!,#REF!,#REF!,#REF!,#REF!,#REF!,#REF!,#REF!,#REF!,#REF!,#REF!</definedName>
    <definedName name="__APW_RESTORE_DATA234__" hidden="1">#REF!,#REF!,#REF!,#REF!,#REF!,#REF!,#REF!,#REF!,#REF!,#REF!,#REF!,#REF!,#REF!,#REF!,#REF!</definedName>
    <definedName name="__APW_RESTORE_DATA2340__" hidden="1">#REF!,#REF!,#REF!,#REF!,#REF!,#REF!,#REF!,#REF!,#REF!,#REF!,#REF!,#REF!,#REF!,#REF!,#REF!</definedName>
    <definedName name="__APW_RESTORE_DATA2341__" hidden="1">#REF!,#REF!,#REF!,#REF!,#REF!,#REF!,#REF!,#REF!,#REF!,#REF!,#REF!,#REF!,#REF!,#REF!,#REF!</definedName>
    <definedName name="__APW_RESTORE_DATA2342__" hidden="1">#REF!,#REF!,#REF!,#REF!,#REF!,#REF!,#REF!,#REF!,#REF!,#REF!,#REF!,#REF!,#REF!,#REF!,#REF!</definedName>
    <definedName name="__APW_RESTORE_DATA2343__" hidden="1">#REF!,#REF!,#REF!,#REF!,#REF!,#REF!,#REF!,#REF!,#REF!,#REF!,#REF!,#REF!,#REF!,#REF!,#REF!</definedName>
    <definedName name="__APW_RESTORE_DATA2344__" hidden="1">#REF!,#REF!,#REF!,#REF!,#REF!,#REF!</definedName>
    <definedName name="__APW_RESTORE_DATA2345__" hidden="1">#REF!,#REF!,#REF!,#REF!,#REF!,#REF!,#REF!,#REF!,#REF!,#REF!,#REF!,#REF!,#REF!,#REF!,#REF!,#REF!</definedName>
    <definedName name="__APW_RESTORE_DATA2346__" hidden="1">#REF!,#REF!,#REF!,#REF!,#REF!,#REF!,#REF!,#REF!,#REF!,#REF!,#REF!,#REF!,#REF!,#REF!,#REF!,#REF!</definedName>
    <definedName name="__APW_RESTORE_DATA2347__" hidden="1">#REF!,#REF!,#REF!,#REF!,#REF!,#REF!,#REF!,#REF!,#REF!,#REF!,#REF!,#REF!,#REF!,#REF!,#REF!,#REF!</definedName>
    <definedName name="__APW_RESTORE_DATA2348__" hidden="1">#REF!,#REF!,#REF!,#REF!,#REF!,#REF!,#REF!,#REF!,#REF!,#REF!,#REF!,#REF!,#REF!,#REF!,#REF!,#REF!</definedName>
    <definedName name="__APW_RESTORE_DATA2349__" hidden="1">#REF!,#REF!,#REF!,#REF!,#REF!,#REF!,#REF!,#REF!,#REF!,#REF!,#REF!,#REF!,#REF!,#REF!,#REF!,#REF!</definedName>
    <definedName name="__APW_RESTORE_DATA235__" hidden="1">#REF!,#REF!,#REF!,#REF!,#REF!,#REF!,#REF!,#REF!,#REF!,#REF!,#REF!,#REF!,#REF!,#REF!,#REF!</definedName>
    <definedName name="__APW_RESTORE_DATA2350__" hidden="1">#REF!,#REF!,#REF!,#REF!,#REF!,#REF!,#REF!,#REF!,#REF!,#REF!,#REF!,#REF!,#REF!,#REF!,#REF!,#REF!</definedName>
    <definedName name="__APW_RESTORE_DATA2351__" hidden="1">#REF!,#REF!,#REF!,#REF!,#REF!,#REF!,#REF!,#REF!,#REF!,#REF!,#REF!,#REF!,#REF!,#REF!,#REF!</definedName>
    <definedName name="__APW_RESTORE_DATA2352__" hidden="1">#REF!,#REF!,#REF!,#REF!,#REF!,#REF!,#REF!,#REF!,#REF!,#REF!,#REF!,#REF!,#REF!,#REF!,#REF!</definedName>
    <definedName name="__APW_RESTORE_DATA2353__" hidden="1">#REF!,#REF!,#REF!,#REF!,#REF!,#REF!,#REF!,#REF!,#REF!,#REF!,#REF!,#REF!,#REF!,#REF!,#REF!</definedName>
    <definedName name="__APW_RESTORE_DATA2354__" hidden="1">#REF!,#REF!,#REF!,#REF!,#REF!,#REF!,#REF!,#REF!,#REF!,#REF!,#REF!,#REF!,#REF!,#REF!,#REF!</definedName>
    <definedName name="__APW_RESTORE_DATA2355__" hidden="1">#REF!,#REF!,#REF!,#REF!,#REF!,#REF!,#REF!,#REF!,#REF!,#REF!,#REF!,#REF!,#REF!,#REF!,#REF!</definedName>
    <definedName name="__APW_RESTORE_DATA2356__" hidden="1">#REF!,#REF!,#REF!,#REF!,#REF!,#REF!,#REF!,#REF!,#REF!,#REF!,#REF!,#REF!,#REF!,#REF!,#REF!</definedName>
    <definedName name="__APW_RESTORE_DATA2357__" hidden="1">#REF!,#REF!,#REF!,#REF!,#REF!,#REF!,#REF!,#REF!,#REF!,#REF!,#REF!,#REF!,#REF!,#REF!,#REF!</definedName>
    <definedName name="__APW_RESTORE_DATA2358__" hidden="1">#REF!,#REF!,#REF!,#REF!,#REF!,#REF!,#REF!,#REF!,#REF!,#REF!,#REF!,#REF!,#REF!,#REF!,#REF!</definedName>
    <definedName name="__APW_RESTORE_DATA2359__" hidden="1">#REF!,#REF!,#REF!,#REF!,#REF!,#REF!,#REF!,#REF!,#REF!,#REF!,#REF!,#REF!,#REF!,#REF!,#REF!</definedName>
    <definedName name="__APW_RESTORE_DATA236__" hidden="1">#REF!,#REF!,#REF!,#REF!,#REF!,#REF!,#REF!,#REF!,#REF!,#REF!,#REF!,#REF!,#REF!,#REF!,#REF!</definedName>
    <definedName name="__APW_RESTORE_DATA2360__" hidden="1">#REF!,#REF!,#REF!,#REF!,#REF!,#REF!,#REF!,#REF!,#REF!,#REF!,#REF!,#REF!,#REF!,#REF!,#REF!</definedName>
    <definedName name="__APW_RESTORE_DATA2361__" hidden="1">#REF!,#REF!,#REF!,#REF!,#REF!,#REF!,#REF!,#REF!,#REF!,#REF!,#REF!,#REF!,#REF!,#REF!,#REF!</definedName>
    <definedName name="__APW_RESTORE_DATA2362__" hidden="1">#REF!,#REF!,#REF!,#REF!,#REF!,#REF!,#REF!,#REF!,#REF!,#REF!,#REF!,#REF!,#REF!,#REF!,#REF!</definedName>
    <definedName name="__APW_RESTORE_DATA2363__" hidden="1">#REF!,#REF!,#REF!,#REF!,#REF!,#REF!,#REF!,#REF!,#REF!,#REF!,#REF!,#REF!,#REF!,#REF!,#REF!</definedName>
    <definedName name="__APW_RESTORE_DATA2364__" hidden="1">#REF!,#REF!,#REF!,#REF!,#REF!,#REF!,#REF!,#REF!,#REF!,#REF!,#REF!,#REF!,#REF!,#REF!,#REF!</definedName>
    <definedName name="__APW_RESTORE_DATA2365__" hidden="1">#REF!,#REF!,#REF!,#REF!,#REF!,#REF!,#REF!,#REF!,#REF!,#REF!,#REF!,#REF!,#REF!,#REF!,#REF!</definedName>
    <definedName name="__APW_RESTORE_DATA2366__" hidden="1">#REF!,#REF!,#REF!,#REF!,#REF!,#REF!,#REF!,#REF!,#REF!,#REF!,#REF!,#REF!,#REF!,#REF!,#REF!</definedName>
    <definedName name="__APW_RESTORE_DATA2367__" hidden="1">#REF!,#REF!,#REF!,#REF!,#REF!,#REF!,#REF!,#REF!,#REF!,#REF!,#REF!,#REF!,#REF!,#REF!,#REF!</definedName>
    <definedName name="__APW_RESTORE_DATA2368__" hidden="1">#REF!,#REF!,#REF!,#REF!,#REF!,#REF!,#REF!,#REF!,#REF!,#REF!,#REF!,#REF!,#REF!,#REF!,#REF!</definedName>
    <definedName name="__APW_RESTORE_DATA2369__" hidden="1">#REF!,#REF!,#REF!,#REF!,#REF!,#REF!,#REF!,#REF!,#REF!,#REF!,#REF!,#REF!,#REF!,#REF!,#REF!</definedName>
    <definedName name="__APW_RESTORE_DATA237__" hidden="1">#REF!,#REF!,#REF!,#REF!,#REF!,#REF!,#REF!,#REF!,#REF!,#REF!,#REF!,#REF!,#REF!,#REF!,#REF!</definedName>
    <definedName name="__APW_RESTORE_DATA2370__" hidden="1">#REF!,#REF!,#REF!,#REF!,#REF!,#REF!,#REF!,#REF!,#REF!,#REF!,#REF!,#REF!,#REF!,#REF!,#REF!</definedName>
    <definedName name="__APW_RESTORE_DATA2371__" hidden="1">#REF!,#REF!,#REF!,#REF!,#REF!,#REF!,#REF!,#REF!,#REF!,#REF!,#REF!,#REF!,#REF!,#REF!,#REF!</definedName>
    <definedName name="__APW_RESTORE_DATA2372__" hidden="1">#REF!,#REF!,#REF!,#REF!,#REF!,#REF!,#REF!,#REF!,#REF!,#REF!,#REF!,#REF!,#REF!,#REF!,#REF!</definedName>
    <definedName name="__APW_RESTORE_DATA2373__" hidden="1">#REF!,#REF!,#REF!,#REF!,#REF!,#REF!,#REF!,#REF!,#REF!,#REF!,#REF!,#REF!,#REF!,#REF!,#REF!</definedName>
    <definedName name="__APW_RESTORE_DATA2374__" hidden="1">#REF!,#REF!,#REF!,#REF!,#REF!,#REF!,#REF!,#REF!,#REF!,#REF!,#REF!,#REF!,#REF!,#REF!,#REF!</definedName>
    <definedName name="__APW_RESTORE_DATA2375__" hidden="1">#REF!,#REF!,#REF!,#REF!,#REF!,#REF!,#REF!,#REF!,#REF!,#REF!,#REF!,#REF!,#REF!,#REF!,#REF!</definedName>
    <definedName name="__APW_RESTORE_DATA2376__" hidden="1">#REF!,#REF!,#REF!,#REF!,#REF!,#REF!,#REF!,#REF!,#REF!,#REF!,#REF!,#REF!,#REF!,#REF!,#REF!</definedName>
    <definedName name="__APW_RESTORE_DATA2377__" hidden="1">#REF!,#REF!,#REF!,#REF!,#REF!,#REF!,#REF!,#REF!,#REF!,#REF!,#REF!,#REF!,#REF!,#REF!,#REF!</definedName>
    <definedName name="__APW_RESTORE_DATA2378__" hidden="1">#REF!,#REF!,#REF!,#REF!,#REF!,#REF!,#REF!,#REF!,#REF!,#REF!,#REF!,#REF!,#REF!,#REF!,#REF!</definedName>
    <definedName name="__APW_RESTORE_DATA2379__" hidden="1">#REF!,#REF!,#REF!,#REF!,#REF!,#REF!</definedName>
    <definedName name="__APW_RESTORE_DATA238__" hidden="1">#REF!,#REF!,#REF!,#REF!,#REF!,#REF!,#REF!,#REF!,#REF!,#REF!,#REF!,#REF!,#REF!,#REF!,#REF!</definedName>
    <definedName name="__APW_RESTORE_DATA2380__" hidden="1">#REF!,#REF!,#REF!,#REF!,#REF!,#REF!,#REF!,#REF!,#REF!,#REF!,#REF!,#REF!,#REF!,#REF!,#REF!,#REF!</definedName>
    <definedName name="__APW_RESTORE_DATA2381__" hidden="1">#REF!,#REF!,#REF!,#REF!,#REF!,#REF!,#REF!,#REF!,#REF!,#REF!,#REF!,#REF!,#REF!,#REF!,#REF!,#REF!</definedName>
    <definedName name="__APW_RESTORE_DATA2382__" hidden="1">#REF!,#REF!,#REF!,#REF!,#REF!,#REF!,#REF!,#REF!,#REF!,#REF!,#REF!,#REF!,#REF!,#REF!,#REF!,#REF!</definedName>
    <definedName name="__APW_RESTORE_DATA2383__" hidden="1">#REF!,#REF!,#REF!,#REF!,#REF!,#REF!,#REF!,#REF!,#REF!,#REF!,#REF!,#REF!,#REF!,#REF!,#REF!,#REF!</definedName>
    <definedName name="__APW_RESTORE_DATA2384__" hidden="1">#REF!,#REF!,#REF!,#REF!,#REF!,#REF!,#REF!,#REF!,#REF!,#REF!,#REF!,#REF!,#REF!,#REF!,#REF!,#REF!</definedName>
    <definedName name="__APW_RESTORE_DATA2385__" hidden="1">#REF!,#REF!,#REF!,#REF!,#REF!,#REF!,#REF!,#REF!,#REF!,#REF!,#REF!,#REF!,#REF!,#REF!,#REF!,#REF!</definedName>
    <definedName name="__APW_RESTORE_DATA2386__" hidden="1">#REF!,#REF!,#REF!,#REF!,#REF!,#REF!,#REF!,#REF!,#REF!,#REF!,#REF!,#REF!,#REF!,#REF!,#REF!</definedName>
    <definedName name="__APW_RESTORE_DATA2387__" hidden="1">#REF!,#REF!,#REF!,#REF!,#REF!,#REF!,#REF!,#REF!,#REF!,#REF!,#REF!,#REF!,#REF!,#REF!,#REF!</definedName>
    <definedName name="__APW_RESTORE_DATA2388__" hidden="1">#REF!,#REF!,#REF!,#REF!,#REF!,#REF!,#REF!,#REF!,#REF!,#REF!,#REF!,#REF!,#REF!,#REF!,#REF!</definedName>
    <definedName name="__APW_RESTORE_DATA2389__" hidden="1">#REF!,#REF!,#REF!,#REF!,#REF!,#REF!,#REF!,#REF!,#REF!,#REF!,#REF!,#REF!,#REF!,#REF!,#REF!</definedName>
    <definedName name="__APW_RESTORE_DATA239__" hidden="1">#REF!,#REF!,#REF!,#REF!,#REF!,#REF!,#REF!,#REF!,#REF!,#REF!,#REF!,#REF!,#REF!,#REF!,#REF!</definedName>
    <definedName name="__APW_RESTORE_DATA2390__" hidden="1">#REF!,#REF!,#REF!,#REF!,#REF!,#REF!,#REF!,#REF!,#REF!,#REF!,#REF!,#REF!,#REF!,#REF!,#REF!</definedName>
    <definedName name="__APW_RESTORE_DATA2391__" hidden="1">#REF!,#REF!,#REF!,#REF!,#REF!,#REF!,#REF!,#REF!,#REF!,#REF!,#REF!,#REF!,#REF!,#REF!,#REF!</definedName>
    <definedName name="__APW_RESTORE_DATA2392__" hidden="1">#REF!,#REF!,#REF!,#REF!,#REF!,#REF!,#REF!,#REF!,#REF!,#REF!,#REF!,#REF!,#REF!,#REF!,#REF!</definedName>
    <definedName name="__APW_RESTORE_DATA2393__" hidden="1">#REF!,#REF!,#REF!,#REF!,#REF!,#REF!,#REF!,#REF!,#REF!,#REF!,#REF!,#REF!,#REF!,#REF!,#REF!</definedName>
    <definedName name="__APW_RESTORE_DATA2394__" hidden="1">#REF!,#REF!,#REF!,#REF!,#REF!,#REF!,#REF!,#REF!,#REF!,#REF!,#REF!,#REF!,#REF!,#REF!,#REF!</definedName>
    <definedName name="__APW_RESTORE_DATA2395__" hidden="1">#REF!,#REF!,#REF!,#REF!,#REF!,#REF!,#REF!,#REF!,#REF!,#REF!,#REF!,#REF!,#REF!,#REF!,#REF!</definedName>
    <definedName name="__APW_RESTORE_DATA2396__" hidden="1">#REF!,#REF!,#REF!,#REF!,#REF!,#REF!,#REF!,#REF!,#REF!,#REF!,#REF!,#REF!,#REF!,#REF!,#REF!</definedName>
    <definedName name="__APW_RESTORE_DATA2397__" hidden="1">#REF!,#REF!,#REF!,#REF!,#REF!,#REF!,#REF!,#REF!,#REF!,#REF!,#REF!,#REF!,#REF!,#REF!,#REF!</definedName>
    <definedName name="__APW_RESTORE_DATA2398__" hidden="1">#REF!,#REF!,#REF!,#REF!,#REF!,#REF!,#REF!,#REF!,#REF!,#REF!,#REF!,#REF!,#REF!,#REF!,#REF!</definedName>
    <definedName name="__APW_RESTORE_DATA2399__" hidden="1">#REF!,#REF!,#REF!,#REF!,#REF!,#REF!,#REF!,#REF!,#REF!,#REF!,#REF!,#REF!,#REF!,#REF!,#REF!</definedName>
    <definedName name="__APW_RESTORE_DATA24__" hidden="1">#REF!,#REF!,#REF!,#REF!,#REF!,#REF!,#REF!,#REF!,#REF!,#REF!,#REF!,#REF!,#REF!,#REF!,#REF!,#REF!</definedName>
    <definedName name="__APW_RESTORE_DATA240__" hidden="1">#REF!,#REF!,#REF!,#REF!,#REF!,#REF!,#REF!,#REF!,#REF!,#REF!,#REF!,#REF!,#REF!,#REF!,#REF!</definedName>
    <definedName name="__APW_RESTORE_DATA2400__" hidden="1">#REF!,#REF!,#REF!,#REF!,#REF!,#REF!,#REF!,#REF!,#REF!,#REF!,#REF!,#REF!,#REF!,#REF!,#REF!</definedName>
    <definedName name="__APW_RESTORE_DATA2401__" hidden="1">#REF!,#REF!,#REF!,#REF!,#REF!,#REF!,#REF!,#REF!,#REF!,#REF!,#REF!,#REF!,#REF!,#REF!,#REF!</definedName>
    <definedName name="__APW_RESTORE_DATA2402__" hidden="1">#REF!,#REF!,#REF!,#REF!,#REF!,#REF!,#REF!,#REF!,#REF!,#REF!,#REF!,#REF!,#REF!,#REF!,#REF!</definedName>
    <definedName name="__APW_RESTORE_DATA2403__" hidden="1">#REF!,#REF!,#REF!,#REF!,#REF!,#REF!,#REF!,#REF!,#REF!,#REF!,#REF!,#REF!,#REF!,#REF!,#REF!</definedName>
    <definedName name="__APW_RESTORE_DATA2404__" hidden="1">#REF!,#REF!,#REF!,#REF!,#REF!,#REF!,#REF!,#REF!,#REF!,#REF!,#REF!,#REF!,#REF!,#REF!,#REF!</definedName>
    <definedName name="__APW_RESTORE_DATA2405__" hidden="1">#REF!,#REF!,#REF!,#REF!,#REF!,#REF!,#REF!,#REF!,#REF!,#REF!,#REF!,#REF!,#REF!,#REF!,#REF!</definedName>
    <definedName name="__APW_RESTORE_DATA2406__" hidden="1">#REF!,#REF!,#REF!,#REF!,#REF!,#REF!,#REF!,#REF!,#REF!,#REF!,#REF!,#REF!,#REF!,#REF!,#REF!</definedName>
    <definedName name="__APW_RESTORE_DATA2407__" hidden="1">#REF!,#REF!,#REF!,#REF!,#REF!,#REF!,#REF!,#REF!,#REF!,#REF!,#REF!,#REF!,#REF!,#REF!,#REF!</definedName>
    <definedName name="__APW_RESTORE_DATA2408__" hidden="1">#REF!,#REF!,#REF!,#REF!,#REF!,#REF!,#REF!,#REF!,#REF!,#REF!,#REF!,#REF!,#REF!,#REF!,#REF!</definedName>
    <definedName name="__APW_RESTORE_DATA2409__" hidden="1">#REF!,#REF!,#REF!,#REF!,#REF!,#REF!,#REF!,#REF!,#REF!,#REF!,#REF!,#REF!,#REF!,#REF!,#REF!</definedName>
    <definedName name="__APW_RESTORE_DATA241__" hidden="1">#REF!,#REF!,#REF!,#REF!,#REF!,#REF!,#REF!,#REF!,#REF!,#REF!,#REF!,#REF!,#REF!,#REF!,#REF!</definedName>
    <definedName name="__APW_RESTORE_DATA2410__" hidden="1">#REF!,#REF!,#REF!,#REF!,#REF!,#REF!,#REF!,#REF!,#REF!,#REF!,#REF!,#REF!,#REF!,#REF!,#REF!</definedName>
    <definedName name="__APW_RESTORE_DATA2411__" hidden="1">#REF!,#REF!,#REF!,#REF!,#REF!,#REF!,#REF!,#REF!,#REF!,#REF!,#REF!,#REF!,#REF!,#REF!,#REF!</definedName>
    <definedName name="__APW_RESTORE_DATA2412__" hidden="1">#REF!,#REF!,#REF!,#REF!,#REF!,#REF!,#REF!,#REF!,#REF!,#REF!,#REF!,#REF!,#REF!,#REF!,#REF!</definedName>
    <definedName name="__APW_RESTORE_DATA2413__" hidden="1">#REF!,#REF!,#REF!,#REF!,#REF!,#REF!,#REF!,#REF!,#REF!,#REF!,#REF!,#REF!,#REF!,#REF!,#REF!</definedName>
    <definedName name="__APW_RESTORE_DATA2414__" hidden="1">#REF!,#REF!,#REF!,#REF!,#REF!,#REF!</definedName>
    <definedName name="__APW_RESTORE_DATA2415__" hidden="1">#REF!,#REF!,#REF!,#REF!,#REF!,#REF!,#REF!,#REF!,#REF!,#REF!,#REF!,#REF!,#REF!,#REF!,#REF!,#REF!</definedName>
    <definedName name="__APW_RESTORE_DATA2416__" hidden="1">#REF!,#REF!,#REF!,#REF!,#REF!,#REF!,#REF!,#REF!,#REF!,#REF!,#REF!,#REF!,#REF!,#REF!,#REF!,#REF!</definedName>
    <definedName name="__APW_RESTORE_DATA2417__" hidden="1">#REF!,#REF!,#REF!,#REF!,#REF!,#REF!,#REF!,#REF!,#REF!,#REF!,#REF!,#REF!,#REF!,#REF!,#REF!,#REF!</definedName>
    <definedName name="__APW_RESTORE_DATA2418__" hidden="1">#REF!,#REF!,#REF!,#REF!,#REF!,#REF!,#REF!,#REF!,#REF!,#REF!,#REF!,#REF!,#REF!,#REF!,#REF!,#REF!</definedName>
    <definedName name="__APW_RESTORE_DATA2419__" hidden="1">#REF!,#REF!,#REF!,#REF!,#REF!,#REF!,#REF!,#REF!,#REF!,#REF!,#REF!,#REF!,#REF!,#REF!,#REF!,#REF!</definedName>
    <definedName name="__APW_RESTORE_DATA242__" hidden="1">#REF!,#REF!,#REF!,#REF!,#REF!,#REF!,#REF!,#REF!,#REF!,#REF!,#REF!,#REF!,#REF!,#REF!,#REF!</definedName>
    <definedName name="__APW_RESTORE_DATA2420__" hidden="1">#REF!,#REF!,#REF!,#REF!,#REF!,#REF!,#REF!,#REF!,#REF!,#REF!,#REF!,#REF!,#REF!,#REF!,#REF!,#REF!</definedName>
    <definedName name="__APW_RESTORE_DATA2421__" hidden="1">#REF!,#REF!,#REF!,#REF!,#REF!,#REF!,#REF!,#REF!,#REF!,#REF!,#REF!,#REF!,#REF!,#REF!,#REF!</definedName>
    <definedName name="__APW_RESTORE_DATA2422__" hidden="1">#REF!,#REF!,#REF!,#REF!,#REF!,#REF!,#REF!,#REF!,#REF!,#REF!,#REF!,#REF!,#REF!,#REF!,#REF!</definedName>
    <definedName name="__APW_RESTORE_DATA2423__" hidden="1">#REF!,#REF!,#REF!,#REF!,#REF!,#REF!,#REF!,#REF!,#REF!,#REF!,#REF!,#REF!,#REF!,#REF!,#REF!</definedName>
    <definedName name="__APW_RESTORE_DATA2424__" hidden="1">#REF!,#REF!,#REF!,#REF!,#REF!,#REF!,#REF!,#REF!,#REF!,#REF!,#REF!,#REF!,#REF!,#REF!,#REF!</definedName>
    <definedName name="__APW_RESTORE_DATA2425__" hidden="1">#REF!,#REF!,#REF!,#REF!,#REF!,#REF!,#REF!,#REF!,#REF!,#REF!,#REF!,#REF!,#REF!,#REF!,#REF!</definedName>
    <definedName name="__APW_RESTORE_DATA2426__" hidden="1">#REF!,#REF!,#REF!,#REF!,#REF!,#REF!,#REF!,#REF!,#REF!,#REF!,#REF!,#REF!,#REF!,#REF!,#REF!</definedName>
    <definedName name="__APW_RESTORE_DATA2427__" hidden="1">#REF!,#REF!,#REF!,#REF!,#REF!,#REF!,#REF!,#REF!,#REF!,#REF!,#REF!,#REF!,#REF!,#REF!,#REF!</definedName>
    <definedName name="__APW_RESTORE_DATA2428__" hidden="1">#REF!,#REF!,#REF!,#REF!,#REF!,#REF!,#REF!,#REF!,#REF!,#REF!,#REF!,#REF!,#REF!,#REF!,#REF!</definedName>
    <definedName name="__APW_RESTORE_DATA2429__" hidden="1">#REF!,#REF!,#REF!,#REF!,#REF!,#REF!,#REF!,#REF!,#REF!,#REF!,#REF!,#REF!,#REF!,#REF!,#REF!</definedName>
    <definedName name="__APW_RESTORE_DATA243__" hidden="1">#REF!,#REF!,#REF!,#REF!,#REF!,#REF!,#REF!,#REF!,#REF!,#REF!,#REF!,#REF!,#REF!,#REF!,#REF!</definedName>
    <definedName name="__APW_RESTORE_DATA2430__" hidden="1">#REF!,#REF!,#REF!,#REF!,#REF!,#REF!,#REF!,#REF!,#REF!,#REF!,#REF!,#REF!,#REF!,#REF!,#REF!</definedName>
    <definedName name="__APW_RESTORE_DATA2431__" hidden="1">#REF!,#REF!,#REF!,#REF!,#REF!,#REF!,#REF!,#REF!,#REF!,#REF!,#REF!,#REF!,#REF!,#REF!,#REF!</definedName>
    <definedName name="__APW_RESTORE_DATA2432__" hidden="1">#REF!,#REF!,#REF!,#REF!,#REF!,#REF!,#REF!,#REF!,#REF!,#REF!,#REF!,#REF!,#REF!,#REF!,#REF!</definedName>
    <definedName name="__APW_RESTORE_DATA2433__" hidden="1">#REF!,#REF!,#REF!,#REF!,#REF!,#REF!,#REF!,#REF!,#REF!,#REF!,#REF!,#REF!,#REF!,#REF!,#REF!</definedName>
    <definedName name="__APW_RESTORE_DATA2434__" hidden="1">#REF!,#REF!,#REF!,#REF!,#REF!,#REF!,#REF!,#REF!,#REF!,#REF!,#REF!,#REF!,#REF!,#REF!,#REF!</definedName>
    <definedName name="__APW_RESTORE_DATA2435__" hidden="1">#REF!,#REF!,#REF!,#REF!,#REF!,#REF!,#REF!,#REF!,#REF!,#REF!,#REF!,#REF!,#REF!,#REF!,#REF!</definedName>
    <definedName name="__APW_RESTORE_DATA2436__" hidden="1">#REF!,#REF!,#REF!,#REF!,#REF!,#REF!,#REF!,#REF!,#REF!,#REF!,#REF!,#REF!,#REF!,#REF!,#REF!</definedName>
    <definedName name="__APW_RESTORE_DATA2437__" hidden="1">#REF!,#REF!,#REF!,#REF!,#REF!,#REF!,#REF!,#REF!,#REF!,#REF!,#REF!,#REF!,#REF!,#REF!,#REF!</definedName>
    <definedName name="__APW_RESTORE_DATA2438__" hidden="1">#REF!,#REF!,#REF!,#REF!,#REF!,#REF!,#REF!,#REF!,#REF!,#REF!,#REF!,#REF!,#REF!,#REF!,#REF!</definedName>
    <definedName name="__APW_RESTORE_DATA2439__" hidden="1">#REF!,#REF!,#REF!,#REF!,#REF!,#REF!,#REF!,#REF!,#REF!,#REF!,#REF!,#REF!,#REF!,#REF!,#REF!</definedName>
    <definedName name="__APW_RESTORE_DATA244__" hidden="1">#REF!,#REF!,#REF!,#REF!,#REF!,#REF!,#REF!,#REF!,#REF!,#REF!,#REF!,#REF!,#REF!,#REF!,#REF!</definedName>
    <definedName name="__APW_RESTORE_DATA2440__" hidden="1">#REF!,#REF!,#REF!,#REF!,#REF!,#REF!,#REF!,#REF!,#REF!,#REF!,#REF!,#REF!,#REF!,#REF!,#REF!</definedName>
    <definedName name="__APW_RESTORE_DATA2441__" hidden="1">#REF!,#REF!,#REF!,#REF!,#REF!,#REF!,#REF!,#REF!,#REF!,#REF!,#REF!,#REF!,#REF!,#REF!,#REF!</definedName>
    <definedName name="__APW_RESTORE_DATA2442__" hidden="1">#REF!,#REF!,#REF!,#REF!,#REF!,#REF!,#REF!,#REF!,#REF!,#REF!,#REF!,#REF!,#REF!,#REF!,#REF!</definedName>
    <definedName name="__APW_RESTORE_DATA2443__" hidden="1">#REF!,#REF!,#REF!,#REF!,#REF!,#REF!,#REF!,#REF!,#REF!,#REF!,#REF!,#REF!,#REF!,#REF!,#REF!</definedName>
    <definedName name="__APW_RESTORE_DATA2444__" hidden="1">#REF!,#REF!,#REF!,#REF!,#REF!,#REF!,#REF!,#REF!,#REF!,#REF!,#REF!,#REF!,#REF!,#REF!,#REF!</definedName>
    <definedName name="__APW_RESTORE_DATA2445__" hidden="1">#REF!,#REF!,#REF!,#REF!,#REF!,#REF!,#REF!,#REF!,#REF!,#REF!,#REF!,#REF!,#REF!,#REF!,#REF!</definedName>
    <definedName name="__APW_RESTORE_DATA2446__" hidden="1">#REF!,#REF!,#REF!,#REF!,#REF!,#REF!,#REF!,#REF!,#REF!,#REF!,#REF!,#REF!,#REF!,#REF!,#REF!</definedName>
    <definedName name="__APW_RESTORE_DATA2447__" hidden="1">#REF!,#REF!,#REF!,#REF!,#REF!,#REF!,#REF!,#REF!,#REF!,#REF!,#REF!,#REF!,#REF!,#REF!,#REF!</definedName>
    <definedName name="__APW_RESTORE_DATA2448__" hidden="1">#REF!,#REF!,#REF!,#REF!,#REF!,#REF!,#REF!,#REF!,#REF!,#REF!,#REF!,#REF!,#REF!,#REF!,#REF!</definedName>
    <definedName name="__APW_RESTORE_DATA2449__" hidden="1">#REF!,#REF!,#REF!,#REF!,#REF!,#REF!</definedName>
    <definedName name="__APW_RESTORE_DATA245__" hidden="1">#REF!,#REF!,#REF!,#REF!,#REF!,#REF!,#REF!,#REF!,#REF!,#REF!,#REF!,#REF!,#REF!,#REF!,#REF!</definedName>
    <definedName name="__APW_RESTORE_DATA2450__" hidden="1">#REF!</definedName>
    <definedName name="__APW_RESTORE_DATA2451__" hidden="1">#REF!</definedName>
    <definedName name="__APW_RESTORE_DATA2452__" hidden="1">#REF!</definedName>
    <definedName name="__APW_RESTORE_DATA2454__" hidden="1">#REF!</definedName>
    <definedName name="__APW_RESTORE_DATA2455__" hidden="1">#REF!,#REF!,#REF!,#REF!,#REF!,#REF!,#REF!,#REF!,#REF!,#REF!,#REF!,#REF!,#REF!,#REF!,#REF!,#REF!</definedName>
    <definedName name="__APW_RESTORE_DATA2456__" hidden="1">#REF!,#REF!,#REF!,#REF!,#REF!,#REF!,#REF!,#REF!,#REF!,#REF!,#REF!,#REF!,#REF!,#REF!,#REF!,#REF!</definedName>
    <definedName name="__APW_RESTORE_DATA2457__" hidden="1">#REF!,#REF!,#REF!,#REF!,#REF!,#REF!,#REF!,#REF!,#REF!,#REF!,#REF!,#REF!,#REF!,#REF!,#REF!,#REF!</definedName>
    <definedName name="__APW_RESTORE_DATA2458__" hidden="1">#REF!,#REF!,#REF!,#REF!,#REF!,#REF!,#REF!,#REF!,#REF!,#REF!,#REF!,#REF!,#REF!,#REF!,#REF!,#REF!</definedName>
    <definedName name="__APW_RESTORE_DATA2459__" hidden="1">#REF!,#REF!,#REF!,#REF!,#REF!,#REF!,#REF!,#REF!,#REF!,#REF!,#REF!,#REF!,#REF!,#REF!,#REF!,#REF!</definedName>
    <definedName name="__APW_RESTORE_DATA246__" hidden="1">#REF!,#REF!,#REF!,#REF!,#REF!,#REF!,#REF!,#REF!,#REF!,#REF!,#REF!,#REF!,#REF!,#REF!,#REF!</definedName>
    <definedName name="__APW_RESTORE_DATA2460__" hidden="1">#REF!,#REF!,#REF!,#REF!,#REF!,#REF!,#REF!,#REF!,#REF!,#REF!,#REF!,#REF!,#REF!,#REF!,#REF!,#REF!</definedName>
    <definedName name="__APW_RESTORE_DATA2461__" hidden="1">#REF!,#REF!,#REF!,#REF!,#REF!,#REF!,#REF!,#REF!,#REF!,#REF!,#REF!,#REF!,#REF!,#REF!,#REF!</definedName>
    <definedName name="__APW_RESTORE_DATA2462__" hidden="1">#REF!,#REF!,#REF!,#REF!,#REF!,#REF!,#REF!,#REF!,#REF!,#REF!,#REF!,#REF!,#REF!,#REF!,#REF!</definedName>
    <definedName name="__APW_RESTORE_DATA2463__" hidden="1">#REF!,#REF!,#REF!,#REF!,#REF!,#REF!,#REF!,#REF!,#REF!,#REF!,#REF!,#REF!,#REF!,#REF!,#REF!</definedName>
    <definedName name="__APW_RESTORE_DATA2464__" hidden="1">#REF!,#REF!,#REF!,#REF!,#REF!,#REF!,#REF!,#REF!,#REF!,#REF!,#REF!,#REF!,#REF!,#REF!,#REF!</definedName>
    <definedName name="__APW_RESTORE_DATA2465__" hidden="1">#REF!,#REF!,#REF!,#REF!,#REF!,#REF!,#REF!,#REF!,#REF!,#REF!,#REF!,#REF!,#REF!,#REF!,#REF!</definedName>
    <definedName name="__APW_RESTORE_DATA2466__" hidden="1">#REF!,#REF!,#REF!,#REF!,#REF!,#REF!,#REF!,#REF!,#REF!,#REF!,#REF!,#REF!,#REF!,#REF!,#REF!</definedName>
    <definedName name="__APW_RESTORE_DATA2467__" hidden="1">#REF!,#REF!,#REF!,#REF!,#REF!,#REF!,#REF!,#REF!,#REF!,#REF!,#REF!,#REF!,#REF!,#REF!,#REF!</definedName>
    <definedName name="__APW_RESTORE_DATA2468__" hidden="1">#REF!,#REF!,#REF!,#REF!,#REF!,#REF!,#REF!,#REF!,#REF!,#REF!,#REF!,#REF!,#REF!,#REF!,#REF!</definedName>
    <definedName name="__APW_RESTORE_DATA2469__" hidden="1">#REF!,#REF!,#REF!,#REF!,#REF!,#REF!,#REF!,#REF!,#REF!,#REF!,#REF!,#REF!,#REF!,#REF!,#REF!</definedName>
    <definedName name="__APW_RESTORE_DATA247__" hidden="1">#REF!,#REF!,#REF!,#REF!,#REF!,#REF!,#REF!,#REF!,#REF!,#REF!,#REF!,#REF!,#REF!,#REF!,#REF!</definedName>
    <definedName name="__APW_RESTORE_DATA2470__" hidden="1">#REF!,#REF!,#REF!,#REF!,#REF!,#REF!,#REF!,#REF!,#REF!,#REF!,#REF!,#REF!,#REF!,#REF!,#REF!</definedName>
    <definedName name="__APW_RESTORE_DATA2471__" hidden="1">#REF!,#REF!,#REF!,#REF!,#REF!,#REF!,#REF!,#REF!,#REF!,#REF!,#REF!,#REF!,#REF!,#REF!,#REF!</definedName>
    <definedName name="__APW_RESTORE_DATA2472__" hidden="1">#REF!,#REF!,#REF!,#REF!,#REF!,#REF!,#REF!,#REF!,#REF!,#REF!,#REF!,#REF!,#REF!,#REF!,#REF!</definedName>
    <definedName name="__APW_RESTORE_DATA2473__" hidden="1">#REF!,#REF!,#REF!,#REF!,#REF!,#REF!,#REF!,#REF!,#REF!,#REF!,#REF!,#REF!,#REF!,#REF!,#REF!</definedName>
    <definedName name="__APW_RESTORE_DATA2474__" hidden="1">#REF!,#REF!,#REF!,#REF!,#REF!,#REF!,#REF!,#REF!,#REF!,#REF!,#REF!,#REF!,#REF!,#REF!,#REF!</definedName>
    <definedName name="__APW_RESTORE_DATA2475__" hidden="1">#REF!,#REF!,#REF!,#REF!,#REF!,#REF!,#REF!,#REF!,#REF!,#REF!,#REF!,#REF!,#REF!,#REF!,#REF!</definedName>
    <definedName name="__APW_RESTORE_DATA2476__" hidden="1">#REF!,#REF!,#REF!,#REF!,#REF!,#REF!,#REF!,#REF!,#REF!,#REF!,#REF!,#REF!,#REF!,#REF!,#REF!</definedName>
    <definedName name="__APW_RESTORE_DATA2477__" hidden="1">#REF!,#REF!,#REF!,#REF!,#REF!,#REF!,#REF!,#REF!,#REF!,#REF!,#REF!,#REF!,#REF!,#REF!,#REF!</definedName>
    <definedName name="__APW_RESTORE_DATA2478__" hidden="1">#REF!,#REF!,#REF!,#REF!,#REF!,#REF!,#REF!,#REF!,#REF!,#REF!,#REF!,#REF!,#REF!,#REF!,#REF!</definedName>
    <definedName name="__APW_RESTORE_DATA2479__" hidden="1">#REF!,#REF!,#REF!,#REF!,#REF!,#REF!,#REF!,#REF!,#REF!,#REF!,#REF!,#REF!,#REF!,#REF!,#REF!</definedName>
    <definedName name="__APW_RESTORE_DATA248__" hidden="1">#REF!,#REF!,#REF!,#REF!,#REF!,#REF!,#REF!,#REF!,#REF!,#REF!,#REF!,#REF!,#REF!,#REF!,#REF!</definedName>
    <definedName name="__APW_RESTORE_DATA2480__" hidden="1">#REF!,#REF!,#REF!,#REF!,#REF!,#REF!,#REF!,#REF!,#REF!,#REF!,#REF!,#REF!,#REF!,#REF!,#REF!</definedName>
    <definedName name="__APW_RESTORE_DATA2481__" hidden="1">#REF!,#REF!,#REF!,#REF!,#REF!,#REF!,#REF!,#REF!,#REF!,#REF!,#REF!,#REF!,#REF!,#REF!,#REF!</definedName>
    <definedName name="__APW_RESTORE_DATA2482__" hidden="1">#REF!,#REF!,#REF!,#REF!,#REF!,#REF!,#REF!,#REF!,#REF!,#REF!,#REF!,#REF!,#REF!,#REF!,#REF!</definedName>
    <definedName name="__APW_RESTORE_DATA2483__" hidden="1">#REF!,#REF!,#REF!,#REF!,#REF!,#REF!,#REF!,#REF!,#REF!,#REF!,#REF!,#REF!,#REF!,#REF!,#REF!</definedName>
    <definedName name="__APW_RESTORE_DATA2484__" hidden="1">#REF!,#REF!,#REF!,#REF!,#REF!,#REF!,#REF!,#REF!,#REF!,#REF!,#REF!,#REF!,#REF!,#REF!,#REF!</definedName>
    <definedName name="__APW_RESTORE_DATA2485__" hidden="1">#REF!,#REF!,#REF!,#REF!,#REF!,#REF!,#REF!,#REF!,#REF!,#REF!,#REF!,#REF!,#REF!,#REF!,#REF!</definedName>
    <definedName name="__APW_RESTORE_DATA2486__" hidden="1">#REF!,#REF!,#REF!,#REF!,#REF!,#REF!,#REF!,#REF!,#REF!,#REF!,#REF!,#REF!,#REF!,#REF!,#REF!</definedName>
    <definedName name="__APW_RESTORE_DATA2487__" hidden="1">#REF!,#REF!,#REF!,#REF!,#REF!,#REF!,#REF!,#REF!,#REF!,#REF!,#REF!,#REF!,#REF!,#REF!,#REF!</definedName>
    <definedName name="__APW_RESTORE_DATA2488__" hidden="1">#REF!,#REF!,#REF!,#REF!,#REF!,#REF!,#REF!,#REF!,#REF!,#REF!,#REF!,#REF!,#REF!,#REF!,#REF!</definedName>
    <definedName name="__APW_RESTORE_DATA2489__" hidden="1">#REF!,#REF!,#REF!,#REF!,#REF!,#REF!</definedName>
    <definedName name="__APW_RESTORE_DATA249__" hidden="1">#REF!,#REF!</definedName>
    <definedName name="__APW_RESTORE_DATA2490__" hidden="1">#REF!,#REF!,#REF!,#REF!,#REF!,#REF!,#REF!,#REF!,#REF!,#REF!,#REF!,#REF!,#REF!,#REF!,#REF!,#REF!</definedName>
    <definedName name="__APW_RESTORE_DATA2491__" hidden="1">#REF!,#REF!,#REF!,#REF!,#REF!,#REF!,#REF!,#REF!,#REF!,#REF!,#REF!,#REF!,#REF!,#REF!,#REF!,#REF!</definedName>
    <definedName name="__APW_RESTORE_DATA2492__" hidden="1">#REF!,#REF!,#REF!,#REF!,#REF!,#REF!,#REF!,#REF!,#REF!,#REF!,#REF!,#REF!,#REF!,#REF!,#REF!,#REF!</definedName>
    <definedName name="__APW_RESTORE_DATA2493__" hidden="1">#REF!,#REF!,#REF!,#REF!,#REF!,#REF!,#REF!,#REF!,#REF!,#REF!,#REF!,#REF!,#REF!,#REF!,#REF!,#REF!</definedName>
    <definedName name="__APW_RESTORE_DATA2494__" hidden="1">#REF!,#REF!,#REF!,#REF!,#REF!,#REF!,#REF!,#REF!,#REF!,#REF!,#REF!,#REF!,#REF!,#REF!,#REF!,#REF!</definedName>
    <definedName name="__APW_RESTORE_DATA2495__" hidden="1">#REF!,#REF!,#REF!,#REF!,#REF!,#REF!,#REF!,#REF!,#REF!,#REF!,#REF!,#REF!,#REF!,#REF!,#REF!,#REF!</definedName>
    <definedName name="__APW_RESTORE_DATA2496__" hidden="1">#REF!,#REF!,#REF!,#REF!,#REF!,#REF!,#REF!,#REF!,#REF!,#REF!,#REF!,#REF!,#REF!,#REF!,#REF!</definedName>
    <definedName name="__APW_RESTORE_DATA2497__" hidden="1">#REF!,#REF!,#REF!,#REF!,#REF!,#REF!,#REF!,#REF!,#REF!,#REF!,#REF!,#REF!,#REF!,#REF!,#REF!</definedName>
    <definedName name="__APW_RESTORE_DATA2498__" hidden="1">#REF!,#REF!,#REF!,#REF!,#REF!,#REF!,#REF!,#REF!,#REF!,#REF!,#REF!,#REF!,#REF!,#REF!,#REF!</definedName>
    <definedName name="__APW_RESTORE_DATA2499__" hidden="1">#REF!,#REF!,#REF!,#REF!,#REF!,#REF!,#REF!,#REF!,#REF!,#REF!,#REF!,#REF!,#REF!,#REF!,#REF!</definedName>
    <definedName name="__APW_RESTORE_DATA25__" hidden="1">#REF!,#REF!,#REF!,#REF!,#REF!,#REF!,#REF!,#REF!,#REF!,#REF!,#REF!,#REF!,#REF!,#REF!,#REF!</definedName>
    <definedName name="__APW_RESTORE_DATA250__" hidden="1">#REF!,#REF!,#REF!,#REF!,#REF!,#REF!,#REF!,#REF!,#REF!,#REF!,#REF!,#REF!,#REF!,#REF!,#REF!</definedName>
    <definedName name="__APW_RESTORE_DATA2500__" hidden="1">#REF!,#REF!,#REF!,#REF!,#REF!,#REF!,#REF!,#REF!,#REF!,#REF!,#REF!,#REF!,#REF!,#REF!,#REF!</definedName>
    <definedName name="__APW_RESTORE_DATA2501__" hidden="1">#REF!,#REF!,#REF!,#REF!,#REF!,#REF!,#REF!,#REF!,#REF!,#REF!,#REF!,#REF!,#REF!,#REF!,#REF!</definedName>
    <definedName name="__APW_RESTORE_DATA2502__" hidden="1">#REF!,#REF!,#REF!,#REF!,#REF!,#REF!,#REF!,#REF!,#REF!,#REF!,#REF!,#REF!,#REF!,#REF!,#REF!</definedName>
    <definedName name="__APW_RESTORE_DATA2503__" hidden="1">#REF!,#REF!,#REF!,#REF!,#REF!,#REF!,#REF!,#REF!,#REF!,#REF!,#REF!,#REF!,#REF!,#REF!,#REF!</definedName>
    <definedName name="__APW_RESTORE_DATA2504__" hidden="1">#REF!,#REF!,#REF!,#REF!,#REF!,#REF!,#REF!,#REF!,#REF!,#REF!,#REF!,#REF!,#REF!,#REF!,#REF!</definedName>
    <definedName name="__APW_RESTORE_DATA2505__" hidden="1">#REF!,#REF!,#REF!,#REF!,#REF!,#REF!,#REF!,#REF!,#REF!,#REF!,#REF!,#REF!,#REF!,#REF!,#REF!</definedName>
    <definedName name="__APW_RESTORE_DATA2506__" hidden="1">#REF!,#REF!,#REF!,#REF!,#REF!,#REF!,#REF!,#REF!,#REF!,#REF!,#REF!,#REF!,#REF!,#REF!,#REF!</definedName>
    <definedName name="__APW_RESTORE_DATA2507__" hidden="1">#REF!,#REF!,#REF!,#REF!,#REF!,#REF!,#REF!,#REF!,#REF!,#REF!,#REF!,#REF!,#REF!,#REF!,#REF!</definedName>
    <definedName name="__APW_RESTORE_DATA2508__" hidden="1">#REF!,#REF!,#REF!,#REF!,#REF!,#REF!,#REF!,#REF!,#REF!,#REF!,#REF!,#REF!,#REF!,#REF!,#REF!</definedName>
    <definedName name="__APW_RESTORE_DATA2509__" hidden="1">#REF!,#REF!,#REF!,#REF!,#REF!,#REF!,#REF!,#REF!,#REF!,#REF!,#REF!,#REF!,#REF!,#REF!,#REF!</definedName>
    <definedName name="__APW_RESTORE_DATA251__" hidden="1">#REF!,#REF!,#REF!,#REF!,#REF!,#REF!,#REF!,#REF!</definedName>
    <definedName name="__APW_RESTORE_DATA2510__" hidden="1">#REF!,#REF!,#REF!,#REF!,#REF!,#REF!,#REF!,#REF!,#REF!,#REF!,#REF!,#REF!,#REF!,#REF!,#REF!</definedName>
    <definedName name="__APW_RESTORE_DATA2511__" hidden="1">#REF!,#REF!,#REF!,#REF!,#REF!,#REF!,#REF!,#REF!,#REF!,#REF!,#REF!,#REF!,#REF!,#REF!,#REF!</definedName>
    <definedName name="__APW_RESTORE_DATA2512__" hidden="1">#REF!,#REF!,#REF!,#REF!,#REF!,#REF!,#REF!,#REF!,#REF!,#REF!,#REF!,#REF!,#REF!,#REF!,#REF!</definedName>
    <definedName name="__APW_RESTORE_DATA2513__" hidden="1">#REF!,#REF!,#REF!,#REF!,#REF!,#REF!,#REF!,#REF!,#REF!,#REF!,#REF!,#REF!,#REF!,#REF!,#REF!</definedName>
    <definedName name="__APW_RESTORE_DATA2514__" hidden="1">#REF!,#REF!,#REF!,#REF!,#REF!,#REF!,#REF!,#REF!,#REF!,#REF!,#REF!,#REF!,#REF!,#REF!,#REF!</definedName>
    <definedName name="__APW_RESTORE_DATA2515__" hidden="1">#REF!,#REF!,#REF!,#REF!,#REF!,#REF!,#REF!,#REF!,#REF!,#REF!,#REF!,#REF!,#REF!,#REF!,#REF!</definedName>
    <definedName name="__APW_RESTORE_DATA2516__" hidden="1">#REF!,#REF!,#REF!,#REF!,#REF!,#REF!,#REF!,#REF!,#REF!,#REF!,#REF!,#REF!,#REF!,#REF!,#REF!</definedName>
    <definedName name="__APW_RESTORE_DATA2517__" hidden="1">#REF!,#REF!,#REF!,#REF!,#REF!,#REF!,#REF!,#REF!,#REF!,#REF!,#REF!,#REF!,#REF!,#REF!,#REF!</definedName>
    <definedName name="__APW_RESTORE_DATA2518__" hidden="1">#REF!,#REF!,#REF!,#REF!,#REF!,#REF!,#REF!,#REF!,#REF!,#REF!,#REF!,#REF!,#REF!,#REF!,#REF!</definedName>
    <definedName name="__APW_RESTORE_DATA2519__" hidden="1">#REF!,#REF!,#REF!,#REF!,#REF!,#REF!,#REF!,#REF!,#REF!,#REF!,#REF!,#REF!,#REF!,#REF!,#REF!</definedName>
    <definedName name="__APW_RESTORE_DATA252__" hidden="1">#REF!,#REF!,#REF!,#REF!,#REF!,#REF!,#REF!,#REF!,#REF!,#REF!,#REF!,#REF!,#REF!,#REF!,#REF!,#REF!</definedName>
    <definedName name="__APW_RESTORE_DATA2520__" hidden="1">#REF!,#REF!,#REF!,#REF!,#REF!,#REF!,#REF!,#REF!,#REF!,#REF!,#REF!,#REF!,#REF!,#REF!,#REF!</definedName>
    <definedName name="__APW_RESTORE_DATA2521__" hidden="1">#REF!,#REF!,#REF!,#REF!,#REF!,#REF!,#REF!,#REF!,#REF!,#REF!,#REF!,#REF!,#REF!,#REF!,#REF!</definedName>
    <definedName name="__APW_RESTORE_DATA2522__" hidden="1">#REF!,#REF!,#REF!,#REF!,#REF!,#REF!,#REF!,#REF!,#REF!,#REF!,#REF!,#REF!,#REF!,#REF!,#REF!</definedName>
    <definedName name="__APW_RESTORE_DATA2523__" hidden="1">#REF!,#REF!,#REF!,#REF!,#REF!,#REF!,#REF!,#REF!,#REF!,#REF!,#REF!,#REF!,#REF!,#REF!,#REF!</definedName>
    <definedName name="__APW_RESTORE_DATA2524__" hidden="1">#REF!,#REF!,#REF!,#REF!,#REF!,#REF!</definedName>
    <definedName name="__APW_RESTORE_DATA2525__" hidden="1">#REF!,#REF!,#REF!,#REF!,#REF!,#REF!,#REF!,#REF!,#REF!,#REF!,#REF!,#REF!,#REF!,#REF!,#REF!,#REF!</definedName>
    <definedName name="__APW_RESTORE_DATA2526__" hidden="1">#REF!,#REF!,#REF!,#REF!,#REF!,#REF!,#REF!,#REF!,#REF!,#REF!,#REF!,#REF!,#REF!,#REF!,#REF!,#REF!</definedName>
    <definedName name="__APW_RESTORE_DATA2527__" hidden="1">#REF!,#REF!,#REF!,#REF!,#REF!,#REF!,#REF!,#REF!,#REF!,#REF!,#REF!,#REF!,#REF!,#REF!,#REF!,#REF!</definedName>
    <definedName name="__APW_RESTORE_DATA2528__" hidden="1">#REF!,#REF!,#REF!,#REF!,#REF!,#REF!,#REF!,#REF!,#REF!,#REF!,#REF!,#REF!,#REF!,#REF!,#REF!,#REF!</definedName>
    <definedName name="__APW_RESTORE_DATA2529__" hidden="1">#REF!,#REF!,#REF!,#REF!,#REF!,#REF!,#REF!,#REF!,#REF!,#REF!,#REF!,#REF!,#REF!,#REF!,#REF!,#REF!</definedName>
    <definedName name="__APW_RESTORE_DATA253__" hidden="1">#REF!,#REF!,#REF!,#REF!,#REF!,#REF!,#REF!,#REF!,#REF!,#REF!,#REF!,#REF!,#REF!,#REF!,#REF!,#REF!</definedName>
    <definedName name="__APW_RESTORE_DATA2530__" hidden="1">#REF!,#REF!,#REF!,#REF!,#REF!,#REF!,#REF!,#REF!,#REF!,#REF!,#REF!,#REF!,#REF!,#REF!,#REF!,#REF!</definedName>
    <definedName name="__APW_RESTORE_DATA2531__" hidden="1">#REF!,#REF!,#REF!,#REF!,#REF!,#REF!,#REF!,#REF!,#REF!,#REF!,#REF!,#REF!,#REF!,#REF!,#REF!</definedName>
    <definedName name="__APW_RESTORE_DATA2532__" hidden="1">#REF!,#REF!,#REF!,#REF!,#REF!,#REF!,#REF!,#REF!,#REF!,#REF!,#REF!,#REF!,#REF!,#REF!,#REF!</definedName>
    <definedName name="__APW_RESTORE_DATA2533__" hidden="1">#REF!,#REF!,#REF!,#REF!,#REF!,#REF!,#REF!,#REF!,#REF!,#REF!,#REF!,#REF!,#REF!,#REF!,#REF!</definedName>
    <definedName name="__APW_RESTORE_DATA2534__" hidden="1">#REF!,#REF!,#REF!,#REF!,#REF!,#REF!,#REF!,#REF!,#REF!,#REF!,#REF!,#REF!,#REF!,#REF!,#REF!</definedName>
    <definedName name="__APW_RESTORE_DATA2535__" hidden="1">#REF!,#REF!,#REF!,#REF!,#REF!,#REF!,#REF!,#REF!,#REF!,#REF!,#REF!,#REF!,#REF!,#REF!,#REF!</definedName>
    <definedName name="__APW_RESTORE_DATA2536__" hidden="1">#REF!,#REF!,#REF!,#REF!,#REF!,#REF!,#REF!,#REF!,#REF!,#REF!,#REF!,#REF!,#REF!,#REF!,#REF!</definedName>
    <definedName name="__APW_RESTORE_DATA2537__" hidden="1">#REF!,#REF!,#REF!,#REF!,#REF!,#REF!,#REF!,#REF!,#REF!,#REF!,#REF!,#REF!,#REF!,#REF!,#REF!</definedName>
    <definedName name="__APW_RESTORE_DATA2538__" hidden="1">#REF!,#REF!,#REF!,#REF!,#REF!,#REF!,#REF!,#REF!,#REF!,#REF!,#REF!,#REF!,#REF!,#REF!,#REF!</definedName>
    <definedName name="__APW_RESTORE_DATA2539__" hidden="1">#REF!,#REF!,#REF!,#REF!,#REF!,#REF!,#REF!,#REF!,#REF!,#REF!,#REF!,#REF!,#REF!,#REF!,#REF!</definedName>
    <definedName name="__APW_RESTORE_DATA254__" hidden="1">#REF!,#REF!</definedName>
    <definedName name="__APW_RESTORE_DATA2540__" hidden="1">#REF!,#REF!,#REF!,#REF!,#REF!,#REF!,#REF!,#REF!,#REF!,#REF!,#REF!,#REF!,#REF!,#REF!,#REF!</definedName>
    <definedName name="__APW_RESTORE_DATA2541__" hidden="1">#REF!,#REF!,#REF!,#REF!,#REF!,#REF!,#REF!,#REF!,#REF!,#REF!,#REF!,#REF!,#REF!,#REF!,#REF!</definedName>
    <definedName name="__APW_RESTORE_DATA2542__" hidden="1">#REF!,#REF!,#REF!,#REF!,#REF!,#REF!,#REF!,#REF!,#REF!,#REF!,#REF!,#REF!,#REF!,#REF!,#REF!</definedName>
    <definedName name="__APW_RESTORE_DATA2543__" hidden="1">#REF!,#REF!,#REF!,#REF!,#REF!,#REF!,#REF!,#REF!,#REF!,#REF!,#REF!,#REF!,#REF!,#REF!,#REF!</definedName>
    <definedName name="__APW_RESTORE_DATA2544__" hidden="1">#REF!,#REF!,#REF!,#REF!,#REF!,#REF!,#REF!,#REF!,#REF!,#REF!,#REF!,#REF!,#REF!,#REF!,#REF!</definedName>
    <definedName name="__APW_RESTORE_DATA2545__" hidden="1">#REF!,#REF!,#REF!,#REF!,#REF!,#REF!,#REF!,#REF!,#REF!,#REF!,#REF!,#REF!,#REF!,#REF!,#REF!</definedName>
    <definedName name="__APW_RESTORE_DATA2546__" hidden="1">#REF!,#REF!,#REF!,#REF!,#REF!,#REF!,#REF!,#REF!,#REF!,#REF!,#REF!,#REF!,#REF!,#REF!,#REF!</definedName>
    <definedName name="__APW_RESTORE_DATA2547__" hidden="1">#REF!,#REF!,#REF!,#REF!,#REF!,#REF!,#REF!,#REF!,#REF!,#REF!,#REF!,#REF!,#REF!,#REF!,#REF!</definedName>
    <definedName name="__APW_RESTORE_DATA2548__" hidden="1">#REF!,#REF!,#REF!,#REF!,#REF!,#REF!,#REF!,#REF!,#REF!,#REF!,#REF!,#REF!,#REF!,#REF!,#REF!</definedName>
    <definedName name="__APW_RESTORE_DATA2549__" hidden="1">#REF!,#REF!,#REF!,#REF!,#REF!,#REF!,#REF!,#REF!,#REF!,#REF!,#REF!,#REF!,#REF!,#REF!,#REF!</definedName>
    <definedName name="__APW_RESTORE_DATA255__" hidden="1">#REF!,#REF!,#REF!,#REF!,#REF!,#REF!,#REF!,#REF!,#REF!,#REF!,#REF!,#REF!,#REF!,#REF!,#REF!,#REF!</definedName>
    <definedName name="__APW_RESTORE_DATA2550__" hidden="1">#REF!,#REF!,#REF!,#REF!,#REF!,#REF!,#REF!,#REF!,#REF!,#REF!,#REF!,#REF!,#REF!,#REF!,#REF!</definedName>
    <definedName name="__APW_RESTORE_DATA2551__" hidden="1">#REF!,#REF!,#REF!,#REF!,#REF!,#REF!,#REF!,#REF!,#REF!,#REF!,#REF!,#REF!,#REF!,#REF!,#REF!</definedName>
    <definedName name="__APW_RESTORE_DATA2552__" hidden="1">#REF!,#REF!,#REF!,#REF!,#REF!,#REF!,#REF!,#REF!,#REF!,#REF!,#REF!,#REF!,#REF!,#REF!,#REF!</definedName>
    <definedName name="__APW_RESTORE_DATA2553__" hidden="1">#REF!,#REF!,#REF!,#REF!,#REF!,#REF!,#REF!,#REF!,#REF!,#REF!,#REF!,#REF!,#REF!,#REF!,#REF!</definedName>
    <definedName name="__APW_RESTORE_DATA2554__" hidden="1">#REF!,#REF!,#REF!,#REF!,#REF!,#REF!,#REF!,#REF!,#REF!,#REF!,#REF!,#REF!,#REF!,#REF!,#REF!</definedName>
    <definedName name="__APW_RESTORE_DATA2555__" hidden="1">#REF!,#REF!,#REF!,#REF!,#REF!,#REF!,#REF!,#REF!,#REF!,#REF!,#REF!,#REF!,#REF!,#REF!,#REF!</definedName>
    <definedName name="__APW_RESTORE_DATA2556__" hidden="1">#REF!,#REF!,#REF!,#REF!,#REF!,#REF!,#REF!,#REF!,#REF!,#REF!,#REF!,#REF!,#REF!,#REF!,#REF!</definedName>
    <definedName name="__APW_RESTORE_DATA2557__" hidden="1">#REF!,#REF!,#REF!,#REF!,#REF!,#REF!,#REF!,#REF!,#REF!,#REF!,#REF!,#REF!,#REF!,#REF!,#REF!</definedName>
    <definedName name="__APW_RESTORE_DATA2558__" hidden="1">#REF!,#REF!,#REF!,#REF!,#REF!,#REF!,#REF!,#REF!,#REF!,#REF!,#REF!,#REF!,#REF!,#REF!,#REF!</definedName>
    <definedName name="__APW_RESTORE_DATA2559__" hidden="1">#REF!,#REF!,#REF!,#REF!,#REF!,#REF!</definedName>
    <definedName name="__APW_RESTORE_DATA256__" hidden="1">#REF!,#REF!,#REF!,#REF!,#REF!,#REF!,#REF!,#REF!,#REF!,#REF!,#REF!,#REF!,#REF!,#REF!,#REF!,#REF!</definedName>
    <definedName name="__APW_RESTORE_DATA2560__" hidden="1">#REF!,#REF!,#REF!,#REF!,#REF!,#REF!,#REF!,#REF!,#REF!,#REF!,#REF!,#REF!,#REF!,#REF!,#REF!,#REF!</definedName>
    <definedName name="__APW_RESTORE_DATA2561__" hidden="1">#REF!,#REF!,#REF!,#REF!,#REF!,#REF!,#REF!,#REF!,#REF!,#REF!,#REF!,#REF!,#REF!,#REF!,#REF!,#REF!</definedName>
    <definedName name="__APW_RESTORE_DATA2562__" hidden="1">#REF!,#REF!,#REF!,#REF!,#REF!,#REF!,#REF!,#REF!,#REF!,#REF!,#REF!,#REF!,#REF!,#REF!,#REF!,#REF!</definedName>
    <definedName name="__APW_RESTORE_DATA2563__" hidden="1">#REF!,#REF!,#REF!,#REF!,#REF!,#REF!,#REF!,#REF!,#REF!,#REF!,#REF!,#REF!,#REF!,#REF!,#REF!,#REF!</definedName>
    <definedName name="__APW_RESTORE_DATA2564__" hidden="1">#REF!,#REF!,#REF!,#REF!,#REF!,#REF!,#REF!,#REF!,#REF!,#REF!,#REF!,#REF!,#REF!,#REF!,#REF!,#REF!</definedName>
    <definedName name="__APW_RESTORE_DATA2565__" hidden="1">#REF!,#REF!,#REF!,#REF!,#REF!,#REF!,#REF!,#REF!,#REF!,#REF!,#REF!,#REF!,#REF!,#REF!,#REF!,#REF!</definedName>
    <definedName name="__APW_RESTORE_DATA2566__" hidden="1">#REF!,#REF!,#REF!,#REF!,#REF!,#REF!,#REF!,#REF!,#REF!,#REF!,#REF!,#REF!,#REF!,#REF!,#REF!</definedName>
    <definedName name="__APW_RESTORE_DATA2567__" hidden="1">#REF!,#REF!,#REF!,#REF!,#REF!,#REF!,#REF!,#REF!,#REF!,#REF!,#REF!,#REF!,#REF!,#REF!,#REF!</definedName>
    <definedName name="__APW_RESTORE_DATA2568__" hidden="1">#REF!,#REF!,#REF!,#REF!,#REF!,#REF!,#REF!,#REF!,#REF!,#REF!,#REF!,#REF!,#REF!,#REF!,#REF!</definedName>
    <definedName name="__APW_RESTORE_DATA2569__" hidden="1">#REF!,#REF!,#REF!,#REF!,#REF!,#REF!,#REF!,#REF!,#REF!,#REF!,#REF!,#REF!,#REF!,#REF!,#REF!</definedName>
    <definedName name="__APW_RESTORE_DATA257__" hidden="1">#REF!,#REF!,#REF!,#REF!,#REF!,#REF!,#REF!,#REF!,#REF!,#REF!,#REF!,#REF!,#REF!,#REF!,#REF!,#REF!</definedName>
    <definedName name="__APW_RESTORE_DATA2570__" hidden="1">#REF!,#REF!,#REF!,#REF!,#REF!,#REF!,#REF!,#REF!,#REF!,#REF!,#REF!,#REF!,#REF!,#REF!,#REF!</definedName>
    <definedName name="__APW_RESTORE_DATA2571__" hidden="1">#REF!,#REF!,#REF!,#REF!,#REF!,#REF!,#REF!,#REF!,#REF!,#REF!,#REF!,#REF!,#REF!,#REF!,#REF!</definedName>
    <definedName name="__APW_RESTORE_DATA2572__" hidden="1">#REF!,#REF!,#REF!,#REF!,#REF!,#REF!,#REF!,#REF!,#REF!,#REF!,#REF!,#REF!,#REF!,#REF!,#REF!</definedName>
    <definedName name="__APW_RESTORE_DATA2573__" hidden="1">#REF!,#REF!,#REF!,#REF!,#REF!,#REF!,#REF!,#REF!,#REF!,#REF!,#REF!,#REF!,#REF!,#REF!,#REF!</definedName>
    <definedName name="__APW_RESTORE_DATA2574__" hidden="1">#REF!,#REF!,#REF!,#REF!,#REF!,#REF!,#REF!,#REF!,#REF!,#REF!,#REF!,#REF!,#REF!,#REF!,#REF!</definedName>
    <definedName name="__APW_RESTORE_DATA2575__" hidden="1">#REF!,#REF!,#REF!,#REF!,#REF!,#REF!,#REF!,#REF!,#REF!,#REF!,#REF!,#REF!,#REF!,#REF!,#REF!</definedName>
    <definedName name="__APW_RESTORE_DATA2576__" hidden="1">#REF!,#REF!,#REF!,#REF!,#REF!,#REF!,#REF!,#REF!,#REF!,#REF!,#REF!,#REF!,#REF!,#REF!,#REF!</definedName>
    <definedName name="__APW_RESTORE_DATA2577__" hidden="1">#REF!,#REF!,#REF!,#REF!,#REF!,#REF!,#REF!,#REF!,#REF!,#REF!,#REF!,#REF!,#REF!,#REF!,#REF!</definedName>
    <definedName name="__APW_RESTORE_DATA2578__" hidden="1">#REF!,#REF!,#REF!,#REF!,#REF!,#REF!,#REF!,#REF!,#REF!,#REF!,#REF!,#REF!,#REF!,#REF!,#REF!</definedName>
    <definedName name="__APW_RESTORE_DATA2579__" hidden="1">#REF!,#REF!,#REF!,#REF!,#REF!,#REF!,#REF!,#REF!,#REF!,#REF!,#REF!,#REF!,#REF!,#REF!,#REF!</definedName>
    <definedName name="__APW_RESTORE_DATA258__" hidden="1">#REF!,#REF!,#REF!,#REF!,#REF!,#REF!,#REF!,#REF!,#REF!,#REF!,#REF!,#REF!,#REF!,#REF!,#REF!</definedName>
    <definedName name="__APW_RESTORE_DATA2580__" hidden="1">#REF!,#REF!,#REF!,#REF!,#REF!,#REF!,#REF!,#REF!,#REF!,#REF!,#REF!,#REF!,#REF!,#REF!,#REF!</definedName>
    <definedName name="__APW_RESTORE_DATA2581__" hidden="1">#REF!,#REF!,#REF!,#REF!,#REF!,#REF!,#REF!,#REF!,#REF!,#REF!,#REF!,#REF!,#REF!,#REF!,#REF!</definedName>
    <definedName name="__APW_RESTORE_DATA2582__" hidden="1">#REF!,#REF!,#REF!,#REF!,#REF!,#REF!,#REF!,#REF!,#REF!,#REF!,#REF!,#REF!,#REF!,#REF!,#REF!</definedName>
    <definedName name="__APW_RESTORE_DATA2583__" hidden="1">#REF!,#REF!,#REF!,#REF!,#REF!,#REF!,#REF!,#REF!,#REF!,#REF!,#REF!,#REF!,#REF!,#REF!,#REF!</definedName>
    <definedName name="__APW_RESTORE_DATA2584__" hidden="1">#REF!,#REF!,#REF!,#REF!,#REF!,#REF!,#REF!,#REF!,#REF!,#REF!,#REF!,#REF!,#REF!,#REF!,#REF!</definedName>
    <definedName name="__APW_RESTORE_DATA2585__" hidden="1">#REF!,#REF!,#REF!,#REF!,#REF!,#REF!,#REF!,#REF!,#REF!,#REF!,#REF!,#REF!,#REF!,#REF!,#REF!</definedName>
    <definedName name="__APW_RESTORE_DATA2586__" hidden="1">#REF!,#REF!,#REF!,#REF!,#REF!,#REF!,#REF!,#REF!,#REF!,#REF!,#REF!,#REF!,#REF!,#REF!,#REF!</definedName>
    <definedName name="__APW_RESTORE_DATA2587__" hidden="1">#REF!,#REF!,#REF!,#REF!,#REF!,#REF!,#REF!,#REF!,#REF!,#REF!,#REF!,#REF!,#REF!,#REF!,#REF!</definedName>
    <definedName name="__APW_RESTORE_DATA2588__" hidden="1">#REF!,#REF!,#REF!,#REF!,#REF!,#REF!,#REF!,#REF!,#REF!,#REF!,#REF!,#REF!,#REF!,#REF!,#REF!</definedName>
    <definedName name="__APW_RESTORE_DATA2589__" hidden="1">#REF!,#REF!,#REF!,#REF!,#REF!,#REF!,#REF!,#REF!,#REF!,#REF!,#REF!,#REF!,#REF!,#REF!,#REF!</definedName>
    <definedName name="__APW_RESTORE_DATA259__" hidden="1">#REF!,#REF!</definedName>
    <definedName name="__APW_RESTORE_DATA2590__" hidden="1">#REF!,#REF!,#REF!,#REF!,#REF!,#REF!,#REF!,#REF!,#REF!,#REF!,#REF!,#REF!,#REF!,#REF!,#REF!</definedName>
    <definedName name="__APW_RESTORE_DATA2591__" hidden="1">#REF!,#REF!,#REF!,#REF!,#REF!,#REF!,#REF!,#REF!,#REF!,#REF!,#REF!,#REF!,#REF!,#REF!,#REF!</definedName>
    <definedName name="__APW_RESTORE_DATA2592__" hidden="1">#REF!,#REF!,#REF!,#REF!,#REF!,#REF!,#REF!,#REF!,#REF!,#REF!,#REF!,#REF!,#REF!,#REF!,#REF!</definedName>
    <definedName name="__APW_RESTORE_DATA2593__" hidden="1">#REF!,#REF!,#REF!,#REF!,#REF!,#REF!,#REF!,#REF!,#REF!,#REF!,#REF!,#REF!,#REF!,#REF!,#REF!</definedName>
    <definedName name="__APW_RESTORE_DATA2594__" hidden="1">#REF!,#REF!,#REF!,#REF!,#REF!,#REF!</definedName>
    <definedName name="__APW_RESTORE_DATA2595__" hidden="1">#REF!</definedName>
    <definedName name="__APW_RESTORE_DATA2596__" hidden="1">#REF!</definedName>
    <definedName name="__APW_RESTORE_DATA2597__" hidden="1">#REF!</definedName>
    <definedName name="__APW_RESTORE_DATA2599__" hidden="1">#REF!</definedName>
    <definedName name="__APW_RESTORE_DATA26__" hidden="1">#REF!</definedName>
    <definedName name="__APW_RESTORE_DATA260__" hidden="1">#REF!,#REF!,#REF!,#REF!,#REF!,#REF!,#REF!,#REF!,#REF!,#REF!,#REF!,#REF!,#REF!,#REF!,#REF!</definedName>
    <definedName name="__APW_RESTORE_DATA2600__" hidden="1">#REF!,#REF!,#REF!,#REF!,#REF!,#REF!,#REF!,#REF!,#REF!,#REF!,#REF!,#REF!,#REF!,#REF!,#REF!,#REF!</definedName>
    <definedName name="__APW_RESTORE_DATA2601__" hidden="1">#REF!,#REF!,#REF!,#REF!,#REF!,#REF!,#REF!,#REF!,#REF!,#REF!,#REF!,#REF!,#REF!,#REF!,#REF!,#REF!</definedName>
    <definedName name="__APW_RESTORE_DATA2602__" hidden="1">#REF!,#REF!,#REF!,#REF!,#REF!,#REF!,#REF!,#REF!,#REF!,#REF!,#REF!,#REF!,#REF!,#REF!,#REF!,#REF!</definedName>
    <definedName name="__APW_RESTORE_DATA2603__" hidden="1">#REF!,#REF!,#REF!,#REF!,#REF!,#REF!,#REF!,#REF!,#REF!,#REF!,#REF!,#REF!,#REF!,#REF!,#REF!,#REF!</definedName>
    <definedName name="__APW_RESTORE_DATA2604__" hidden="1">#REF!,#REF!,#REF!,#REF!,#REF!,#REF!,#REF!,#REF!,#REF!,#REF!,#REF!,#REF!,#REF!,#REF!,#REF!,#REF!</definedName>
    <definedName name="__APW_RESTORE_DATA2605__" hidden="1">#REF!,#REF!,#REF!,#REF!,#REF!,#REF!,#REF!,#REF!,#REF!,#REF!,#REF!,#REF!,#REF!,#REF!,#REF!,#REF!</definedName>
    <definedName name="__APW_RESTORE_DATA2606__" hidden="1">#REF!,#REF!,#REF!,#REF!,#REF!,#REF!,#REF!,#REF!,#REF!,#REF!,#REF!,#REF!,#REF!,#REF!,#REF!</definedName>
    <definedName name="__APW_RESTORE_DATA2607__" hidden="1">#REF!,#REF!,#REF!,#REF!,#REF!,#REF!,#REF!,#REF!,#REF!,#REF!,#REF!,#REF!,#REF!,#REF!,#REF!</definedName>
    <definedName name="__APW_RESTORE_DATA2608__" hidden="1">#REF!,#REF!,#REF!,#REF!,#REF!,#REF!,#REF!,#REF!,#REF!,#REF!,#REF!,#REF!,#REF!,#REF!,#REF!</definedName>
    <definedName name="__APW_RESTORE_DATA2609__" hidden="1">#REF!,#REF!,#REF!,#REF!,#REF!,#REF!,#REF!,#REF!,#REF!,#REF!,#REF!,#REF!,#REF!,#REF!,#REF!</definedName>
    <definedName name="__APW_RESTORE_DATA261__" hidden="1">#REF!,#REF!,#REF!,#REF!,#REF!,#REF!,#REF!,#REF!,#REF!,#REF!,#REF!,#REF!,#REF!,#REF!,#REF!</definedName>
    <definedName name="__APW_RESTORE_DATA2610__" hidden="1">#REF!,#REF!,#REF!,#REF!,#REF!,#REF!,#REF!,#REF!,#REF!,#REF!,#REF!,#REF!,#REF!,#REF!,#REF!</definedName>
    <definedName name="__APW_RESTORE_DATA2611__" hidden="1">#REF!,#REF!,#REF!,#REF!,#REF!,#REF!,#REF!,#REF!,#REF!,#REF!,#REF!,#REF!,#REF!,#REF!,#REF!</definedName>
    <definedName name="__APW_RESTORE_DATA2612__" hidden="1">#REF!,#REF!,#REF!,#REF!,#REF!,#REF!,#REF!,#REF!,#REF!,#REF!,#REF!,#REF!,#REF!,#REF!,#REF!</definedName>
    <definedName name="__APW_RESTORE_DATA2613__" hidden="1">#REF!,#REF!,#REF!,#REF!,#REF!,#REF!,#REF!,#REF!,#REF!,#REF!,#REF!,#REF!,#REF!,#REF!,#REF!</definedName>
    <definedName name="__APW_RESTORE_DATA2614__" hidden="1">#REF!,#REF!,#REF!,#REF!,#REF!,#REF!,#REF!,#REF!,#REF!,#REF!,#REF!,#REF!,#REF!,#REF!,#REF!</definedName>
    <definedName name="__APW_RESTORE_DATA2615__" hidden="1">#REF!,#REF!,#REF!,#REF!,#REF!,#REF!,#REF!,#REF!,#REF!,#REF!,#REF!,#REF!,#REF!,#REF!,#REF!</definedName>
    <definedName name="__APW_RESTORE_DATA2616__" hidden="1">#REF!,#REF!,#REF!,#REF!,#REF!,#REF!,#REF!,#REF!,#REF!,#REF!,#REF!,#REF!,#REF!,#REF!,#REF!</definedName>
    <definedName name="__APW_RESTORE_DATA2617__" hidden="1">#REF!,#REF!,#REF!,#REF!,#REF!,#REF!,#REF!,#REF!,#REF!,#REF!,#REF!,#REF!,#REF!,#REF!,#REF!</definedName>
    <definedName name="__APW_RESTORE_DATA2618__" hidden="1">#REF!,#REF!,#REF!,#REF!,#REF!,#REF!,#REF!,#REF!,#REF!,#REF!,#REF!,#REF!,#REF!,#REF!,#REF!</definedName>
    <definedName name="__APW_RESTORE_DATA2619__" hidden="1">#REF!,#REF!,#REF!,#REF!,#REF!,#REF!,#REF!,#REF!,#REF!,#REF!,#REF!,#REF!,#REF!,#REF!,#REF!</definedName>
    <definedName name="__APW_RESTORE_DATA262__" hidden="1">#REF!,#REF!,#REF!,#REF!,#REF!,#REF!,#REF!,#REF!,#REF!,#REF!,#REF!,#REF!,#REF!,#REF!,#REF!</definedName>
    <definedName name="__APW_RESTORE_DATA2620__" hidden="1">#REF!,#REF!,#REF!,#REF!,#REF!,#REF!,#REF!,#REF!,#REF!,#REF!,#REF!,#REF!,#REF!,#REF!,#REF!</definedName>
    <definedName name="__APW_RESTORE_DATA2621__" hidden="1">#REF!,#REF!,#REF!,#REF!,#REF!,#REF!,#REF!,#REF!,#REF!,#REF!,#REF!,#REF!,#REF!,#REF!,#REF!</definedName>
    <definedName name="__APW_RESTORE_DATA2622__" hidden="1">#REF!,#REF!,#REF!,#REF!,#REF!,#REF!,#REF!,#REF!,#REF!,#REF!,#REF!,#REF!,#REF!,#REF!,#REF!</definedName>
    <definedName name="__APW_RESTORE_DATA2623__" hidden="1">#REF!,#REF!,#REF!,#REF!,#REF!,#REF!,#REF!,#REF!,#REF!,#REF!,#REF!,#REF!,#REF!,#REF!,#REF!</definedName>
    <definedName name="__APW_RESTORE_DATA2624__" hidden="1">#REF!,#REF!,#REF!,#REF!,#REF!,#REF!,#REF!,#REF!,#REF!,#REF!,#REF!,#REF!,#REF!,#REF!,#REF!</definedName>
    <definedName name="__APW_RESTORE_DATA2625__" hidden="1">#REF!,#REF!,#REF!,#REF!,#REF!,#REF!,#REF!,#REF!,#REF!,#REF!,#REF!,#REF!,#REF!,#REF!,#REF!</definedName>
    <definedName name="__APW_RESTORE_DATA2626__" hidden="1">#REF!,#REF!,#REF!,#REF!,#REF!,#REF!,#REF!,#REF!,#REF!,#REF!,#REF!,#REF!,#REF!,#REF!,#REF!</definedName>
    <definedName name="__APW_RESTORE_DATA2627__" hidden="1">#REF!,#REF!,#REF!,#REF!,#REF!,#REF!,#REF!,#REF!,#REF!,#REF!,#REF!,#REF!,#REF!,#REF!,#REF!</definedName>
    <definedName name="__APW_RESTORE_DATA2628__" hidden="1">#REF!,#REF!,#REF!,#REF!,#REF!,#REF!,#REF!,#REF!,#REF!,#REF!,#REF!,#REF!,#REF!,#REF!,#REF!</definedName>
    <definedName name="__APW_RESTORE_DATA2629__" hidden="1">#REF!,#REF!,#REF!,#REF!,#REF!,#REF!,#REF!,#REF!,#REF!,#REF!,#REF!,#REF!,#REF!,#REF!,#REF!</definedName>
    <definedName name="__APW_RESTORE_DATA263__" hidden="1">#REF!,#REF!,#REF!,#REF!,#REF!,#REF!,#REF!,#REF!,#REF!,#REF!,#REF!,#REF!,#REF!,#REF!,#REF!</definedName>
    <definedName name="__APW_RESTORE_DATA2630__" hidden="1">#REF!,#REF!,#REF!,#REF!,#REF!,#REF!,#REF!,#REF!,#REF!,#REF!,#REF!,#REF!,#REF!,#REF!,#REF!</definedName>
    <definedName name="__APW_RESTORE_DATA2631__" hidden="1">#REF!,#REF!,#REF!,#REF!,#REF!,#REF!,#REF!,#REF!,#REF!,#REF!,#REF!,#REF!,#REF!,#REF!,#REF!</definedName>
    <definedName name="__APW_RESTORE_DATA2632__" hidden="1">#REF!,#REF!,#REF!,#REF!,#REF!,#REF!,#REF!,#REF!,#REF!,#REF!,#REF!,#REF!,#REF!,#REF!,#REF!</definedName>
    <definedName name="__APW_RESTORE_DATA2633__" hidden="1">#REF!,#REF!,#REF!,#REF!,#REF!,#REF!,#REF!,#REF!,#REF!,#REF!,#REF!,#REF!,#REF!,#REF!,#REF!</definedName>
    <definedName name="__APW_RESTORE_DATA2634__" hidden="1">#REF!,#REF!,#REF!,#REF!,#REF!,#REF!</definedName>
    <definedName name="__APW_RESTORE_DATA2635__" hidden="1">#REF!,#REF!,#REF!,#REF!,#REF!,#REF!,#REF!,#REF!,#REF!,#REF!,#REF!,#REF!,#REF!,#REF!,#REF!,#REF!</definedName>
    <definedName name="__APW_RESTORE_DATA2636__" hidden="1">#REF!,#REF!,#REF!,#REF!,#REF!,#REF!,#REF!,#REF!,#REF!,#REF!,#REF!,#REF!,#REF!,#REF!,#REF!,#REF!</definedName>
    <definedName name="__APW_RESTORE_DATA2637__" hidden="1">#REF!,#REF!,#REF!,#REF!,#REF!,#REF!,#REF!,#REF!,#REF!,#REF!,#REF!,#REF!,#REF!,#REF!,#REF!,#REF!</definedName>
    <definedName name="__APW_RESTORE_DATA2638__" hidden="1">#REF!,#REF!,#REF!,#REF!,#REF!,#REF!,#REF!,#REF!,#REF!,#REF!,#REF!,#REF!,#REF!,#REF!,#REF!,#REF!</definedName>
    <definedName name="__APW_RESTORE_DATA2639__" hidden="1">#REF!,#REF!,#REF!,#REF!,#REF!,#REF!,#REF!,#REF!,#REF!,#REF!,#REF!,#REF!,#REF!,#REF!,#REF!,#REF!</definedName>
    <definedName name="__APW_RESTORE_DATA264__" hidden="1">#REF!,#REF!,#REF!,#REF!,#REF!,#REF!,#REF!,#REF!,#REF!,#REF!,#REF!,#REF!,#REF!,#REF!,#REF!</definedName>
    <definedName name="__APW_RESTORE_DATA2640__" hidden="1">#REF!,#REF!,#REF!,#REF!,#REF!,#REF!,#REF!,#REF!,#REF!,#REF!,#REF!,#REF!,#REF!,#REF!,#REF!,#REF!</definedName>
    <definedName name="__APW_RESTORE_DATA2641__" hidden="1">#REF!,#REF!,#REF!,#REF!,#REF!,#REF!,#REF!,#REF!,#REF!,#REF!,#REF!,#REF!,#REF!,#REF!,#REF!</definedName>
    <definedName name="__APW_RESTORE_DATA2642__" hidden="1">#REF!,#REF!,#REF!,#REF!,#REF!,#REF!,#REF!,#REF!,#REF!,#REF!,#REF!,#REF!,#REF!,#REF!,#REF!</definedName>
    <definedName name="__APW_RESTORE_DATA2643__" hidden="1">#REF!,#REF!,#REF!,#REF!,#REF!,#REF!,#REF!,#REF!,#REF!,#REF!,#REF!,#REF!,#REF!,#REF!,#REF!</definedName>
    <definedName name="__APW_RESTORE_DATA2644__" hidden="1">#REF!,#REF!,#REF!,#REF!,#REF!,#REF!,#REF!,#REF!,#REF!,#REF!,#REF!,#REF!,#REF!,#REF!,#REF!</definedName>
    <definedName name="__APW_RESTORE_DATA2645__" hidden="1">#REF!,#REF!,#REF!,#REF!,#REF!,#REF!,#REF!,#REF!,#REF!,#REF!,#REF!,#REF!,#REF!,#REF!,#REF!</definedName>
    <definedName name="__APW_RESTORE_DATA2646__" hidden="1">#REF!,#REF!,#REF!,#REF!,#REF!,#REF!,#REF!,#REF!,#REF!,#REF!,#REF!,#REF!,#REF!,#REF!,#REF!</definedName>
    <definedName name="__APW_RESTORE_DATA2647__" hidden="1">#REF!,#REF!,#REF!,#REF!,#REF!,#REF!,#REF!,#REF!,#REF!,#REF!,#REF!,#REF!,#REF!,#REF!,#REF!</definedName>
    <definedName name="__APW_RESTORE_DATA2648__" hidden="1">#REF!,#REF!,#REF!,#REF!,#REF!,#REF!,#REF!,#REF!,#REF!,#REF!,#REF!,#REF!,#REF!,#REF!,#REF!</definedName>
    <definedName name="__APW_RESTORE_DATA2649__" hidden="1">#REF!,#REF!,#REF!,#REF!,#REF!,#REF!,#REF!,#REF!,#REF!,#REF!,#REF!,#REF!,#REF!,#REF!,#REF!</definedName>
    <definedName name="__APW_RESTORE_DATA265__" hidden="1">#REF!,#REF!,#REF!,#REF!,#REF!,#REF!,#REF!,#REF!,#REF!,#REF!,#REF!,#REF!,#REF!,#REF!,#REF!</definedName>
    <definedName name="__APW_RESTORE_DATA2650__" hidden="1">#REF!,#REF!,#REF!,#REF!,#REF!,#REF!,#REF!,#REF!,#REF!,#REF!,#REF!,#REF!,#REF!,#REF!,#REF!</definedName>
    <definedName name="__APW_RESTORE_DATA2651__" hidden="1">#REF!,#REF!,#REF!,#REF!,#REF!,#REF!,#REF!,#REF!,#REF!,#REF!,#REF!,#REF!,#REF!,#REF!,#REF!</definedName>
    <definedName name="__APW_RESTORE_DATA2652__" hidden="1">#REF!,#REF!,#REF!,#REF!,#REF!,#REF!,#REF!,#REF!,#REF!,#REF!,#REF!,#REF!,#REF!,#REF!,#REF!</definedName>
    <definedName name="__APW_RESTORE_DATA2653__" hidden="1">#REF!,#REF!,#REF!,#REF!,#REF!,#REF!,#REF!,#REF!,#REF!,#REF!,#REF!,#REF!,#REF!,#REF!,#REF!</definedName>
    <definedName name="__APW_RESTORE_DATA2654__" hidden="1">#REF!,#REF!,#REF!,#REF!,#REF!,#REF!,#REF!,#REF!,#REF!,#REF!,#REF!,#REF!,#REF!,#REF!,#REF!</definedName>
    <definedName name="__APW_RESTORE_DATA2655__" hidden="1">#REF!,#REF!,#REF!,#REF!,#REF!,#REF!,#REF!,#REF!,#REF!,#REF!,#REF!,#REF!,#REF!,#REF!,#REF!</definedName>
    <definedName name="__APW_RESTORE_DATA2656__" hidden="1">#REF!,#REF!,#REF!,#REF!,#REF!,#REF!,#REF!,#REF!,#REF!,#REF!,#REF!,#REF!,#REF!,#REF!,#REF!</definedName>
    <definedName name="__APW_RESTORE_DATA2657__" hidden="1">#REF!,#REF!,#REF!,#REF!,#REF!,#REF!,#REF!,#REF!,#REF!,#REF!,#REF!,#REF!,#REF!,#REF!,#REF!</definedName>
    <definedName name="__APW_RESTORE_DATA2658__" hidden="1">#REF!,#REF!,#REF!,#REF!,#REF!,#REF!,#REF!,#REF!,#REF!,#REF!,#REF!,#REF!,#REF!,#REF!,#REF!</definedName>
    <definedName name="__APW_RESTORE_DATA2659__" hidden="1">#REF!,#REF!,#REF!,#REF!,#REF!,#REF!,#REF!,#REF!,#REF!,#REF!,#REF!,#REF!,#REF!,#REF!,#REF!</definedName>
    <definedName name="__APW_RESTORE_DATA266__" hidden="1">#REF!,#REF!,#REF!,#REF!,#REF!,#REF!,#REF!,#REF!,#REF!,#REF!,#REF!,#REF!,#REF!,#REF!,#REF!</definedName>
    <definedName name="__APW_RESTORE_DATA2660__" hidden="1">#REF!,#REF!,#REF!,#REF!,#REF!,#REF!,#REF!,#REF!,#REF!,#REF!,#REF!,#REF!,#REF!,#REF!,#REF!</definedName>
    <definedName name="__APW_RESTORE_DATA2661__" hidden="1">#REF!,#REF!,#REF!,#REF!,#REF!,#REF!,#REF!,#REF!,#REF!,#REF!,#REF!,#REF!,#REF!,#REF!,#REF!</definedName>
    <definedName name="__APW_RESTORE_DATA2662__" hidden="1">#REF!,#REF!,#REF!,#REF!,#REF!,#REF!,#REF!,#REF!,#REF!,#REF!,#REF!,#REF!,#REF!,#REF!,#REF!</definedName>
    <definedName name="__APW_RESTORE_DATA2663__" hidden="1">#REF!,#REF!,#REF!,#REF!,#REF!,#REF!,#REF!,#REF!,#REF!,#REF!,#REF!,#REF!,#REF!,#REF!,#REF!</definedName>
    <definedName name="__APW_RESTORE_DATA2664__" hidden="1">#REF!,#REF!,#REF!,#REF!,#REF!,#REF!,#REF!,#REF!,#REF!,#REF!,#REF!,#REF!,#REF!,#REF!,#REF!</definedName>
    <definedName name="__APW_RESTORE_DATA2665__" hidden="1">#REF!,#REF!,#REF!,#REF!,#REF!,#REF!,#REF!,#REF!,#REF!,#REF!,#REF!,#REF!,#REF!,#REF!,#REF!</definedName>
    <definedName name="__APW_RESTORE_DATA2666__" hidden="1">#REF!,#REF!,#REF!,#REF!,#REF!,#REF!,#REF!,#REF!,#REF!,#REF!,#REF!,#REF!,#REF!,#REF!,#REF!</definedName>
    <definedName name="__APW_RESTORE_DATA2667__" hidden="1">#REF!,#REF!,#REF!,#REF!,#REF!,#REF!,#REF!,#REF!,#REF!,#REF!,#REF!,#REF!,#REF!,#REF!,#REF!</definedName>
    <definedName name="__APW_RESTORE_DATA2668__" hidden="1">#REF!,#REF!,#REF!,#REF!,#REF!,#REF!,#REF!,#REF!,#REF!,#REF!,#REF!,#REF!,#REF!,#REF!,#REF!</definedName>
    <definedName name="__APW_RESTORE_DATA2669__" hidden="1">#REF!,#REF!,#REF!,#REF!,#REF!,#REF!</definedName>
    <definedName name="__APW_RESTORE_DATA267__" hidden="1">#REF!,#REF!,#REF!,#REF!,#REF!,#REF!,#REF!,#REF!,#REF!,#REF!,#REF!,#REF!,#REF!,#REF!,#REF!</definedName>
    <definedName name="__APW_RESTORE_DATA2670__" hidden="1">#REF!,#REF!,#REF!,#REF!,#REF!,#REF!,#REF!,#REF!,#REF!,#REF!,#REF!,#REF!,#REF!,#REF!,#REF!,#REF!</definedName>
    <definedName name="__APW_RESTORE_DATA2671__" hidden="1">#REF!,#REF!,#REF!,#REF!,#REF!,#REF!,#REF!,#REF!,#REF!,#REF!,#REF!,#REF!,#REF!,#REF!,#REF!,#REF!</definedName>
    <definedName name="__APW_RESTORE_DATA2672__" hidden="1">#REF!,#REF!,#REF!,#REF!,#REF!,#REF!,#REF!,#REF!,#REF!,#REF!,#REF!,#REF!,#REF!,#REF!,#REF!,#REF!</definedName>
    <definedName name="__APW_RESTORE_DATA2673__" hidden="1">#REF!,#REF!,#REF!,#REF!,#REF!,#REF!,#REF!,#REF!,#REF!,#REF!,#REF!,#REF!,#REF!,#REF!,#REF!,#REF!</definedName>
    <definedName name="__APW_RESTORE_DATA2674__" hidden="1">#REF!,#REF!,#REF!,#REF!,#REF!,#REF!,#REF!,#REF!,#REF!,#REF!,#REF!,#REF!,#REF!,#REF!,#REF!,#REF!</definedName>
    <definedName name="__APW_RESTORE_DATA2675__" hidden="1">#REF!,#REF!,#REF!,#REF!,#REF!,#REF!,#REF!,#REF!,#REF!,#REF!,#REF!,#REF!,#REF!,#REF!,#REF!,#REF!</definedName>
    <definedName name="__APW_RESTORE_DATA2676__" hidden="1">#REF!,#REF!,#REF!,#REF!,#REF!,#REF!,#REF!,#REF!,#REF!,#REF!,#REF!,#REF!,#REF!,#REF!,#REF!</definedName>
    <definedName name="__APW_RESTORE_DATA2677__" hidden="1">#REF!,#REF!,#REF!,#REF!,#REF!,#REF!,#REF!,#REF!,#REF!,#REF!,#REF!,#REF!,#REF!,#REF!,#REF!</definedName>
    <definedName name="__APW_RESTORE_DATA2678__" hidden="1">#REF!,#REF!,#REF!,#REF!,#REF!,#REF!,#REF!,#REF!,#REF!,#REF!,#REF!,#REF!,#REF!,#REF!,#REF!</definedName>
    <definedName name="__APW_RESTORE_DATA2679__" hidden="1">#REF!,#REF!,#REF!,#REF!,#REF!,#REF!,#REF!,#REF!,#REF!,#REF!,#REF!,#REF!,#REF!,#REF!,#REF!</definedName>
    <definedName name="__APW_RESTORE_DATA268__" hidden="1">#REF!,#REF!,#REF!,#REF!,#REF!,#REF!,#REF!,#REF!,#REF!,#REF!,#REF!,#REF!,#REF!,#REF!,#REF!</definedName>
    <definedName name="__APW_RESTORE_DATA2680__" hidden="1">#REF!,#REF!,#REF!,#REF!,#REF!,#REF!,#REF!,#REF!,#REF!,#REF!,#REF!,#REF!,#REF!,#REF!,#REF!</definedName>
    <definedName name="__APW_RESTORE_DATA2681__" hidden="1">#REF!,#REF!,#REF!,#REF!,#REF!,#REF!,#REF!,#REF!,#REF!,#REF!,#REF!,#REF!,#REF!,#REF!,#REF!</definedName>
    <definedName name="__APW_RESTORE_DATA2682__" hidden="1">#REF!,#REF!,#REF!,#REF!,#REF!,#REF!,#REF!,#REF!,#REF!,#REF!,#REF!,#REF!,#REF!,#REF!,#REF!</definedName>
    <definedName name="__APW_RESTORE_DATA2683__" hidden="1">#REF!,#REF!,#REF!,#REF!,#REF!,#REF!,#REF!,#REF!,#REF!,#REF!,#REF!,#REF!,#REF!,#REF!,#REF!</definedName>
    <definedName name="__APW_RESTORE_DATA2684__" hidden="1">#REF!,#REF!,#REF!,#REF!,#REF!,#REF!,#REF!,#REF!,#REF!,#REF!,#REF!,#REF!,#REF!,#REF!,#REF!</definedName>
    <definedName name="__APW_RESTORE_DATA2685__" hidden="1">#REF!,#REF!,#REF!,#REF!,#REF!,#REF!,#REF!,#REF!,#REF!,#REF!,#REF!,#REF!,#REF!,#REF!,#REF!</definedName>
    <definedName name="__APW_RESTORE_DATA2686__" hidden="1">#REF!,#REF!,#REF!,#REF!,#REF!,#REF!,#REF!,#REF!,#REF!,#REF!,#REF!,#REF!,#REF!,#REF!,#REF!</definedName>
    <definedName name="__APW_RESTORE_DATA2687__" hidden="1">#REF!,#REF!,#REF!,#REF!,#REF!,#REF!,#REF!,#REF!,#REF!,#REF!,#REF!,#REF!,#REF!,#REF!,#REF!</definedName>
    <definedName name="__APW_RESTORE_DATA2688__" hidden="1">#REF!,#REF!,#REF!,#REF!,#REF!,#REF!,#REF!,#REF!,#REF!,#REF!,#REF!,#REF!,#REF!,#REF!,#REF!</definedName>
    <definedName name="__APW_RESTORE_DATA2689__" hidden="1">#REF!,#REF!,#REF!,#REF!,#REF!,#REF!,#REF!,#REF!,#REF!,#REF!,#REF!,#REF!,#REF!,#REF!,#REF!</definedName>
    <definedName name="__APW_RESTORE_DATA269__" hidden="1">#REF!,#REF!,#REF!,#REF!,#REF!,#REF!,#REF!,#REF!,#REF!,#REF!,#REF!,#REF!,#REF!,#REF!,#REF!</definedName>
    <definedName name="__APW_RESTORE_DATA2690__" hidden="1">#REF!,#REF!,#REF!,#REF!,#REF!,#REF!,#REF!,#REF!,#REF!,#REF!,#REF!,#REF!,#REF!,#REF!,#REF!</definedName>
    <definedName name="__APW_RESTORE_DATA2691__" hidden="1">#REF!,#REF!,#REF!,#REF!,#REF!,#REF!,#REF!,#REF!,#REF!,#REF!,#REF!,#REF!,#REF!,#REF!,#REF!</definedName>
    <definedName name="__APW_RESTORE_DATA2692__" hidden="1">#REF!,#REF!,#REF!,#REF!,#REF!,#REF!,#REF!,#REF!,#REF!,#REF!,#REF!,#REF!,#REF!,#REF!,#REF!</definedName>
    <definedName name="__APW_RESTORE_DATA2693__" hidden="1">#REF!,#REF!,#REF!,#REF!,#REF!,#REF!,#REF!,#REF!,#REF!,#REF!,#REF!,#REF!,#REF!,#REF!,#REF!</definedName>
    <definedName name="__APW_RESTORE_DATA2694__" hidden="1">#REF!,#REF!,#REF!,#REF!,#REF!,#REF!,#REF!,#REF!,#REF!,#REF!,#REF!,#REF!,#REF!,#REF!,#REF!</definedName>
    <definedName name="__APW_RESTORE_DATA2695__" hidden="1">#REF!,#REF!,#REF!,#REF!,#REF!,#REF!,#REF!,#REF!,#REF!,#REF!,#REF!,#REF!,#REF!,#REF!,#REF!</definedName>
    <definedName name="__APW_RESTORE_DATA2696__" hidden="1">#REF!,#REF!,#REF!,#REF!,#REF!,#REF!,#REF!,#REF!,#REF!,#REF!,#REF!,#REF!,#REF!,#REF!,#REF!</definedName>
    <definedName name="__APW_RESTORE_DATA2697__" hidden="1">#REF!,#REF!,#REF!,#REF!,#REF!,#REF!,#REF!,#REF!,#REF!,#REF!,#REF!,#REF!,#REF!,#REF!,#REF!</definedName>
    <definedName name="__APW_RESTORE_DATA2698__" hidden="1">#REF!,#REF!,#REF!,#REF!,#REF!,#REF!,#REF!,#REF!,#REF!,#REF!,#REF!,#REF!,#REF!,#REF!,#REF!</definedName>
    <definedName name="__APW_RESTORE_DATA2699__" hidden="1">#REF!,#REF!,#REF!,#REF!,#REF!,#REF!,#REF!,#REF!,#REF!,#REF!,#REF!,#REF!,#REF!,#REF!,#REF!</definedName>
    <definedName name="__APW_RESTORE_DATA27__" hidden="1">#REF!</definedName>
    <definedName name="__APW_RESTORE_DATA270__" hidden="1">#REF!,#REF!,#REF!,#REF!,#REF!,#REF!,#REF!,#REF!,#REF!,#REF!,#REF!,#REF!,#REF!,#REF!,#REF!</definedName>
    <definedName name="__APW_RESTORE_DATA2700__" hidden="1">#REF!,#REF!,#REF!,#REF!,#REF!,#REF!,#REF!,#REF!,#REF!,#REF!,#REF!,#REF!,#REF!,#REF!,#REF!</definedName>
    <definedName name="__APW_RESTORE_DATA2701__" hidden="1">#REF!,#REF!,#REF!,#REF!,#REF!,#REF!,#REF!,#REF!,#REF!,#REF!,#REF!,#REF!,#REF!,#REF!,#REF!</definedName>
    <definedName name="__APW_RESTORE_DATA2702__" hidden="1">#REF!,#REF!,#REF!,#REF!,#REF!,#REF!,#REF!,#REF!,#REF!,#REF!,#REF!,#REF!,#REF!,#REF!,#REF!</definedName>
    <definedName name="__APW_RESTORE_DATA2703__" hidden="1">#REF!,#REF!,#REF!,#REF!,#REF!,#REF!,#REF!,#REF!,#REF!,#REF!,#REF!,#REF!,#REF!,#REF!,#REF!</definedName>
    <definedName name="__APW_RESTORE_DATA2704__" hidden="1">#REF!,#REF!,#REF!,#REF!,#REF!,#REF!</definedName>
    <definedName name="__APW_RESTORE_DATA2705__" hidden="1">#REF!,#REF!,#REF!,#REF!,#REF!,#REF!,#REF!,#REF!,#REF!,#REF!,#REF!,#REF!,#REF!,#REF!,#REF!,#REF!</definedName>
    <definedName name="__APW_RESTORE_DATA2706__" hidden="1">#REF!,#REF!,#REF!,#REF!,#REF!,#REF!,#REF!,#REF!,#REF!,#REF!,#REF!,#REF!,#REF!,#REF!,#REF!,#REF!</definedName>
    <definedName name="__APW_RESTORE_DATA2707__" hidden="1">#REF!,#REF!,#REF!,#REF!,#REF!,#REF!,#REF!,#REF!,#REF!,#REF!,#REF!,#REF!,#REF!,#REF!,#REF!,#REF!</definedName>
    <definedName name="__APW_RESTORE_DATA2708__" hidden="1">#REF!,#REF!,#REF!,#REF!,#REF!,#REF!,#REF!,#REF!,#REF!,#REF!,#REF!,#REF!,#REF!,#REF!,#REF!,#REF!</definedName>
    <definedName name="__APW_RESTORE_DATA2709__" hidden="1">#REF!,#REF!,#REF!,#REF!,#REF!,#REF!,#REF!,#REF!,#REF!,#REF!,#REF!,#REF!,#REF!,#REF!,#REF!,#REF!</definedName>
    <definedName name="__APW_RESTORE_DATA271__" hidden="1">#REF!,#REF!,#REF!,#REF!,#REF!,#REF!,#REF!,#REF!,#REF!,#REF!,#REF!,#REF!,#REF!,#REF!,#REF!</definedName>
    <definedName name="__APW_RESTORE_DATA2710__" hidden="1">#REF!,#REF!,#REF!,#REF!,#REF!,#REF!,#REF!,#REF!,#REF!,#REF!,#REF!,#REF!,#REF!,#REF!,#REF!,#REF!</definedName>
    <definedName name="__APW_RESTORE_DATA2711__" hidden="1">#REF!,#REF!,#REF!,#REF!,#REF!,#REF!,#REF!,#REF!,#REF!,#REF!,#REF!,#REF!,#REF!,#REF!,#REF!</definedName>
    <definedName name="__APW_RESTORE_DATA2712__" hidden="1">#REF!,#REF!,#REF!,#REF!,#REF!,#REF!,#REF!,#REF!,#REF!,#REF!,#REF!,#REF!,#REF!,#REF!,#REF!</definedName>
    <definedName name="__APW_RESTORE_DATA2713__" hidden="1">#REF!,#REF!,#REF!,#REF!,#REF!,#REF!,#REF!,#REF!,#REF!,#REF!,#REF!,#REF!,#REF!,#REF!,#REF!</definedName>
    <definedName name="__APW_RESTORE_DATA2714__" hidden="1">#REF!,#REF!,#REF!,#REF!,#REF!,#REF!,#REF!,#REF!,#REF!,#REF!,#REF!,#REF!,#REF!,#REF!,#REF!</definedName>
    <definedName name="__APW_RESTORE_DATA2715__" hidden="1">#REF!,#REF!,#REF!,#REF!,#REF!,#REF!,#REF!,#REF!,#REF!,#REF!,#REF!,#REF!,#REF!,#REF!,#REF!</definedName>
    <definedName name="__APW_RESTORE_DATA2716__" hidden="1">#REF!,#REF!,#REF!,#REF!,#REF!,#REF!,#REF!,#REF!,#REF!,#REF!,#REF!,#REF!,#REF!,#REF!,#REF!</definedName>
    <definedName name="__APW_RESTORE_DATA2717__" hidden="1">#REF!,#REF!,#REF!,#REF!,#REF!,#REF!,#REF!,#REF!,#REF!,#REF!,#REF!,#REF!,#REF!,#REF!,#REF!</definedName>
    <definedName name="__APW_RESTORE_DATA2718__" hidden="1">#REF!,#REF!,#REF!,#REF!,#REF!,#REF!,#REF!,#REF!,#REF!,#REF!,#REF!,#REF!,#REF!,#REF!,#REF!</definedName>
    <definedName name="__APW_RESTORE_DATA2719__" hidden="1">#REF!,#REF!,#REF!,#REF!,#REF!,#REF!,#REF!,#REF!,#REF!,#REF!,#REF!,#REF!,#REF!,#REF!,#REF!</definedName>
    <definedName name="__APW_RESTORE_DATA272__" hidden="1">#REF!,#REF!,#REF!,#REF!,#REF!,#REF!,#REF!,#REF!,#REF!,#REF!,#REF!,#REF!,#REF!,#REF!,#REF!</definedName>
    <definedName name="__APW_RESTORE_DATA2720__" hidden="1">#REF!,#REF!,#REF!,#REF!,#REF!,#REF!,#REF!,#REF!,#REF!,#REF!,#REF!,#REF!,#REF!,#REF!,#REF!</definedName>
    <definedName name="__APW_RESTORE_DATA2721__" hidden="1">#REF!,#REF!,#REF!,#REF!,#REF!,#REF!,#REF!,#REF!,#REF!,#REF!,#REF!,#REF!,#REF!,#REF!,#REF!</definedName>
    <definedName name="__APW_RESTORE_DATA2722__" hidden="1">#REF!,#REF!,#REF!,#REF!,#REF!,#REF!,#REF!,#REF!,#REF!,#REF!,#REF!,#REF!,#REF!,#REF!,#REF!</definedName>
    <definedName name="__APW_RESTORE_DATA2723__" hidden="1">#REF!,#REF!,#REF!,#REF!,#REF!,#REF!,#REF!,#REF!,#REF!,#REF!,#REF!,#REF!,#REF!,#REF!,#REF!</definedName>
    <definedName name="__APW_RESTORE_DATA2724__" hidden="1">#REF!,#REF!,#REF!,#REF!,#REF!,#REF!,#REF!,#REF!,#REF!,#REF!,#REF!,#REF!,#REF!,#REF!,#REF!</definedName>
    <definedName name="__APW_RESTORE_DATA2725__" hidden="1">#REF!,#REF!,#REF!,#REF!,#REF!,#REF!,#REF!,#REF!,#REF!,#REF!,#REF!,#REF!,#REF!,#REF!,#REF!</definedName>
    <definedName name="__APW_RESTORE_DATA2726__" hidden="1">#REF!,#REF!,#REF!,#REF!,#REF!,#REF!,#REF!,#REF!,#REF!,#REF!,#REF!,#REF!,#REF!,#REF!,#REF!</definedName>
    <definedName name="__APW_RESTORE_DATA2727__" hidden="1">#REF!,#REF!,#REF!,#REF!,#REF!,#REF!,#REF!,#REF!,#REF!,#REF!,#REF!,#REF!,#REF!,#REF!,#REF!</definedName>
    <definedName name="__APW_RESTORE_DATA2728__" hidden="1">#REF!,#REF!,#REF!,#REF!,#REF!,#REF!,#REF!,#REF!,#REF!,#REF!,#REF!,#REF!,#REF!,#REF!,#REF!</definedName>
    <definedName name="__APW_RESTORE_DATA2729__" hidden="1">#REF!,#REF!,#REF!,#REF!,#REF!,#REF!,#REF!,#REF!,#REF!,#REF!,#REF!,#REF!,#REF!,#REF!,#REF!</definedName>
    <definedName name="__APW_RESTORE_DATA273__" hidden="1">#REF!,#REF!,#REF!,#REF!,#REF!,#REF!,#REF!,#REF!,#REF!,#REF!,#REF!,#REF!,#REF!,#REF!,#REF!</definedName>
    <definedName name="__APW_RESTORE_DATA2730__" hidden="1">#REF!,#REF!,#REF!,#REF!,#REF!,#REF!,#REF!,#REF!,#REF!,#REF!,#REF!,#REF!,#REF!,#REF!,#REF!</definedName>
    <definedName name="__APW_RESTORE_DATA2731__" hidden="1">#REF!,#REF!,#REF!,#REF!,#REF!,#REF!,#REF!,#REF!,#REF!,#REF!,#REF!,#REF!,#REF!,#REF!,#REF!</definedName>
    <definedName name="__APW_RESTORE_DATA2732__" hidden="1">#REF!,#REF!,#REF!,#REF!,#REF!,#REF!,#REF!,#REF!,#REF!,#REF!,#REF!,#REF!,#REF!,#REF!,#REF!</definedName>
    <definedName name="__APW_RESTORE_DATA2733__" hidden="1">#REF!,#REF!,#REF!,#REF!,#REF!,#REF!,#REF!,#REF!,#REF!,#REF!,#REF!,#REF!,#REF!,#REF!,#REF!</definedName>
    <definedName name="__APW_RESTORE_DATA2734__" hidden="1">#REF!,#REF!,#REF!,#REF!,#REF!,#REF!,#REF!,#REF!,#REF!,#REF!,#REF!,#REF!,#REF!,#REF!,#REF!</definedName>
    <definedName name="__APW_RESTORE_DATA2735__" hidden="1">#REF!,#REF!,#REF!,#REF!,#REF!,#REF!,#REF!,#REF!,#REF!,#REF!,#REF!,#REF!,#REF!,#REF!,#REF!</definedName>
    <definedName name="__APW_RESTORE_DATA2736__" hidden="1">#REF!,#REF!,#REF!,#REF!,#REF!,#REF!,#REF!,#REF!,#REF!,#REF!,#REF!,#REF!,#REF!,#REF!,#REF!</definedName>
    <definedName name="__APW_RESTORE_DATA2737__" hidden="1">#REF!,#REF!,#REF!,#REF!,#REF!,#REF!,#REF!,#REF!,#REF!,#REF!,#REF!,#REF!,#REF!,#REF!,#REF!</definedName>
    <definedName name="__APW_RESTORE_DATA2738__" hidden="1">#REF!,#REF!,#REF!,#REF!,#REF!,#REF!,#REF!,#REF!,#REF!,#REF!,#REF!,#REF!,#REF!,#REF!,#REF!</definedName>
    <definedName name="__APW_RESTORE_DATA2739__" hidden="1">#REF!,#REF!,#REF!,#REF!,#REF!,#REF!</definedName>
    <definedName name="__APW_RESTORE_DATA274__" hidden="1">#REF!,#REF!</definedName>
    <definedName name="__APW_RESTORE_DATA2740__" hidden="1">#REF!</definedName>
    <definedName name="__APW_RESTORE_DATA2741__" hidden="1">#REF!</definedName>
    <definedName name="__APW_RESTORE_DATA2742__" hidden="1">#REF!</definedName>
    <definedName name="__APW_RESTORE_DATA2744__" hidden="1">#REF!</definedName>
    <definedName name="__APW_RESTORE_DATA2745__" hidden="1">#REF!,#REF!,#REF!,#REF!,#REF!,#REF!,#REF!,#REF!,#REF!,#REF!,#REF!,#REF!,#REF!,#REF!,#REF!,#REF!</definedName>
    <definedName name="__APW_RESTORE_DATA2746__" hidden="1">#REF!,#REF!,#REF!,#REF!,#REF!,#REF!,#REF!,#REF!,#REF!,#REF!,#REF!,#REF!,#REF!,#REF!,#REF!,#REF!</definedName>
    <definedName name="__APW_RESTORE_DATA2747__" hidden="1">#REF!,#REF!,#REF!,#REF!,#REF!,#REF!,#REF!,#REF!,#REF!,#REF!,#REF!,#REF!,#REF!,#REF!,#REF!,#REF!</definedName>
    <definedName name="__APW_RESTORE_DATA2748__" hidden="1">#REF!,#REF!,#REF!,#REF!,#REF!,#REF!,#REF!,#REF!,#REF!,#REF!,#REF!,#REF!,#REF!,#REF!,#REF!,#REF!</definedName>
    <definedName name="__APW_RESTORE_DATA2749__" hidden="1">#REF!,#REF!,#REF!,#REF!,#REF!,#REF!,#REF!,#REF!,#REF!,#REF!,#REF!,#REF!,#REF!,#REF!,#REF!,#REF!</definedName>
    <definedName name="__APW_RESTORE_DATA275__" hidden="1">#REF!,#REF!</definedName>
    <definedName name="__APW_RESTORE_DATA2750__" hidden="1">#REF!,#REF!,#REF!,#REF!,#REF!,#REF!,#REF!,#REF!,#REF!,#REF!,#REF!,#REF!,#REF!,#REF!,#REF!,#REF!</definedName>
    <definedName name="__APW_RESTORE_DATA2751__" hidden="1">#REF!,#REF!,#REF!,#REF!,#REF!,#REF!,#REF!,#REF!,#REF!,#REF!,#REF!,#REF!,#REF!,#REF!,#REF!</definedName>
    <definedName name="__APW_RESTORE_DATA2752__" hidden="1">#REF!,#REF!,#REF!,#REF!,#REF!,#REF!,#REF!,#REF!,#REF!,#REF!,#REF!,#REF!,#REF!,#REF!,#REF!</definedName>
    <definedName name="__APW_RESTORE_DATA2753__" hidden="1">#REF!,#REF!,#REF!,#REF!,#REF!,#REF!,#REF!,#REF!,#REF!,#REF!,#REF!,#REF!,#REF!,#REF!,#REF!</definedName>
    <definedName name="__APW_RESTORE_DATA2754__" hidden="1">#REF!,#REF!,#REF!,#REF!,#REF!,#REF!,#REF!,#REF!,#REF!,#REF!,#REF!,#REF!,#REF!,#REF!,#REF!</definedName>
    <definedName name="__APW_RESTORE_DATA2755__" hidden="1">#REF!,#REF!,#REF!,#REF!,#REF!,#REF!,#REF!,#REF!,#REF!,#REF!,#REF!,#REF!,#REF!,#REF!,#REF!</definedName>
    <definedName name="__APW_RESTORE_DATA2756__" hidden="1">#REF!,#REF!,#REF!,#REF!,#REF!,#REF!,#REF!,#REF!,#REF!,#REF!,#REF!,#REF!,#REF!,#REF!,#REF!</definedName>
    <definedName name="__APW_RESTORE_DATA2757__" hidden="1">#REF!,#REF!,#REF!,#REF!,#REF!,#REF!,#REF!,#REF!,#REF!,#REF!,#REF!,#REF!,#REF!,#REF!,#REF!</definedName>
    <definedName name="__APW_RESTORE_DATA2758__" hidden="1">#REF!,#REF!,#REF!,#REF!,#REF!,#REF!,#REF!,#REF!,#REF!,#REF!,#REF!,#REF!,#REF!,#REF!,#REF!</definedName>
    <definedName name="__APW_RESTORE_DATA2759__" hidden="1">#REF!,#REF!,#REF!,#REF!,#REF!,#REF!,#REF!,#REF!,#REF!,#REF!,#REF!,#REF!,#REF!,#REF!,#REF!</definedName>
    <definedName name="__APW_RESTORE_DATA276__" hidden="1">#REF!,#REF!,#REF!,#REF!,#REF!,#REF!,#REF!,#REF!,#REF!,#REF!,#REF!,#REF!,#REF!,#REF!,#REF!</definedName>
    <definedName name="__APW_RESTORE_DATA2760__" hidden="1">#REF!,#REF!,#REF!,#REF!,#REF!,#REF!,#REF!,#REF!,#REF!,#REF!,#REF!,#REF!,#REF!,#REF!,#REF!</definedName>
    <definedName name="__APW_RESTORE_DATA2761__" hidden="1">#REF!,#REF!,#REF!,#REF!,#REF!,#REF!,#REF!,#REF!,#REF!,#REF!,#REF!,#REF!,#REF!,#REF!,#REF!</definedName>
    <definedName name="__APW_RESTORE_DATA2762__" hidden="1">#REF!,#REF!,#REF!,#REF!,#REF!,#REF!,#REF!,#REF!,#REF!,#REF!,#REF!,#REF!,#REF!,#REF!,#REF!</definedName>
    <definedName name="__APW_RESTORE_DATA2763__" hidden="1">#REF!,#REF!,#REF!,#REF!,#REF!,#REF!,#REF!,#REF!,#REF!,#REF!,#REF!,#REF!,#REF!,#REF!,#REF!</definedName>
    <definedName name="__APW_RESTORE_DATA2764__" hidden="1">#REF!,#REF!,#REF!,#REF!,#REF!,#REF!,#REF!,#REF!,#REF!,#REF!,#REF!,#REF!,#REF!,#REF!,#REF!</definedName>
    <definedName name="__APW_RESTORE_DATA2765__" hidden="1">#REF!,#REF!,#REF!,#REF!,#REF!,#REF!,#REF!,#REF!,#REF!,#REF!,#REF!,#REF!,#REF!,#REF!,#REF!</definedName>
    <definedName name="__APW_RESTORE_DATA2766__" hidden="1">#REF!,#REF!,#REF!,#REF!,#REF!,#REF!,#REF!,#REF!,#REF!,#REF!,#REF!,#REF!,#REF!,#REF!,#REF!</definedName>
    <definedName name="__APW_RESTORE_DATA2767__" hidden="1">#REF!,#REF!,#REF!,#REF!,#REF!,#REF!,#REF!,#REF!,#REF!,#REF!,#REF!,#REF!,#REF!,#REF!,#REF!</definedName>
    <definedName name="__APW_RESTORE_DATA2768__" hidden="1">#REF!,#REF!,#REF!,#REF!,#REF!,#REF!,#REF!,#REF!,#REF!,#REF!,#REF!,#REF!,#REF!,#REF!,#REF!</definedName>
    <definedName name="__APW_RESTORE_DATA2769__" hidden="1">#REF!,#REF!,#REF!,#REF!,#REF!,#REF!,#REF!,#REF!,#REF!,#REF!,#REF!,#REF!,#REF!,#REF!,#REF!</definedName>
    <definedName name="__APW_RESTORE_DATA277__" hidden="1">#REF!,#REF!,#REF!,#REF!,#REF!,#REF!,#REF!,#REF!,#REF!,#REF!,#REF!,#REF!,#REF!,#REF!,#REF!</definedName>
    <definedName name="__APW_RESTORE_DATA2770__" hidden="1">#REF!,#REF!,#REF!,#REF!,#REF!,#REF!,#REF!,#REF!,#REF!,#REF!,#REF!,#REF!,#REF!,#REF!,#REF!</definedName>
    <definedName name="__APW_RESTORE_DATA2771__" hidden="1">#REF!,#REF!,#REF!,#REF!,#REF!,#REF!,#REF!,#REF!,#REF!,#REF!,#REF!,#REF!,#REF!,#REF!,#REF!</definedName>
    <definedName name="__APW_RESTORE_DATA2772__" hidden="1">#REF!,#REF!,#REF!,#REF!,#REF!,#REF!,#REF!,#REF!,#REF!,#REF!,#REF!,#REF!,#REF!,#REF!,#REF!</definedName>
    <definedName name="__APW_RESTORE_DATA2773__" hidden="1">#REF!,#REF!,#REF!,#REF!,#REF!,#REF!,#REF!,#REF!,#REF!,#REF!,#REF!,#REF!,#REF!,#REF!,#REF!</definedName>
    <definedName name="__APW_RESTORE_DATA2774__" hidden="1">#REF!,#REF!,#REF!,#REF!,#REF!,#REF!,#REF!,#REF!,#REF!,#REF!,#REF!,#REF!,#REF!,#REF!,#REF!</definedName>
    <definedName name="__APW_RESTORE_DATA2775__" hidden="1">#REF!,#REF!,#REF!,#REF!,#REF!,#REF!,#REF!,#REF!,#REF!,#REF!,#REF!,#REF!,#REF!,#REF!,#REF!</definedName>
    <definedName name="__APW_RESTORE_DATA2776__" hidden="1">#REF!,#REF!,#REF!,#REF!,#REF!,#REF!,#REF!,#REF!,#REF!,#REF!,#REF!,#REF!,#REF!,#REF!,#REF!</definedName>
    <definedName name="__APW_RESTORE_DATA2777__" hidden="1">#REF!,#REF!,#REF!,#REF!,#REF!,#REF!,#REF!,#REF!,#REF!,#REF!,#REF!,#REF!,#REF!,#REF!,#REF!</definedName>
    <definedName name="__APW_RESTORE_DATA2778__" hidden="1">#REF!,#REF!,#REF!,#REF!,#REF!,#REF!,#REF!,#REF!,#REF!,#REF!,#REF!,#REF!,#REF!,#REF!,#REF!</definedName>
    <definedName name="__APW_RESTORE_DATA2779__" hidden="1">#REF!,#REF!,#REF!,#REF!,#REF!,#REF!</definedName>
    <definedName name="__APW_RESTORE_DATA278__" hidden="1">#REF!,#REF!,#REF!,#REF!,#REF!,#REF!,#REF!,#REF!,#REF!,#REF!,#REF!,#REF!,#REF!,#REF!,#REF!</definedName>
    <definedName name="__APW_RESTORE_DATA2780__" hidden="1">#REF!,#REF!,#REF!,#REF!,#REF!,#REF!,#REF!,#REF!,#REF!,#REF!,#REF!,#REF!,#REF!,#REF!,#REF!,#REF!</definedName>
    <definedName name="__APW_RESTORE_DATA2781__" hidden="1">#REF!,#REF!,#REF!,#REF!,#REF!,#REF!,#REF!,#REF!,#REF!,#REF!,#REF!,#REF!,#REF!,#REF!,#REF!,#REF!</definedName>
    <definedName name="__APW_RESTORE_DATA2782__" hidden="1">#REF!,#REF!,#REF!,#REF!,#REF!,#REF!,#REF!,#REF!,#REF!,#REF!,#REF!,#REF!,#REF!,#REF!,#REF!,#REF!</definedName>
    <definedName name="__APW_RESTORE_DATA2783__" hidden="1">#REF!,#REF!,#REF!,#REF!,#REF!,#REF!,#REF!,#REF!,#REF!,#REF!,#REF!,#REF!,#REF!,#REF!,#REF!,#REF!</definedName>
    <definedName name="__APW_RESTORE_DATA2784__" hidden="1">#REF!,#REF!,#REF!,#REF!,#REF!,#REF!,#REF!,#REF!,#REF!,#REF!,#REF!,#REF!,#REF!,#REF!,#REF!,#REF!</definedName>
    <definedName name="__APW_RESTORE_DATA2785__" hidden="1">#REF!,#REF!,#REF!,#REF!,#REF!,#REF!,#REF!,#REF!,#REF!,#REF!,#REF!,#REF!,#REF!,#REF!,#REF!,#REF!</definedName>
    <definedName name="__APW_RESTORE_DATA2786__" hidden="1">#REF!,#REF!,#REF!,#REF!,#REF!,#REF!,#REF!,#REF!,#REF!,#REF!,#REF!,#REF!,#REF!,#REF!,#REF!</definedName>
    <definedName name="__APW_RESTORE_DATA2787__" hidden="1">#REF!,#REF!,#REF!,#REF!,#REF!,#REF!,#REF!,#REF!,#REF!,#REF!,#REF!,#REF!,#REF!,#REF!,#REF!</definedName>
    <definedName name="__APW_RESTORE_DATA2788__" hidden="1">#REF!,#REF!,#REF!,#REF!,#REF!,#REF!,#REF!,#REF!,#REF!,#REF!,#REF!,#REF!,#REF!,#REF!,#REF!</definedName>
    <definedName name="__APW_RESTORE_DATA2789__" hidden="1">#REF!,#REF!,#REF!,#REF!,#REF!,#REF!,#REF!,#REF!,#REF!,#REF!,#REF!,#REF!,#REF!,#REF!,#REF!</definedName>
    <definedName name="__APW_RESTORE_DATA279__" hidden="1">#REF!,#REF!,#REF!,#REF!,#REF!,#REF!,#REF!,#REF!,#REF!,#REF!,#REF!,#REF!,#REF!,#REF!,#REF!</definedName>
    <definedName name="__APW_RESTORE_DATA2790__" hidden="1">#REF!,#REF!,#REF!,#REF!,#REF!,#REF!,#REF!,#REF!,#REF!,#REF!,#REF!,#REF!,#REF!,#REF!,#REF!</definedName>
    <definedName name="__APW_RESTORE_DATA2791__" hidden="1">#REF!,#REF!,#REF!,#REF!,#REF!,#REF!,#REF!,#REF!,#REF!,#REF!,#REF!,#REF!,#REF!,#REF!,#REF!</definedName>
    <definedName name="__APW_RESTORE_DATA2792__" hidden="1">#REF!,#REF!,#REF!,#REF!,#REF!,#REF!,#REF!,#REF!,#REF!,#REF!,#REF!,#REF!,#REF!,#REF!,#REF!</definedName>
    <definedName name="__APW_RESTORE_DATA2793__" hidden="1">#REF!,#REF!,#REF!,#REF!,#REF!,#REF!,#REF!,#REF!,#REF!,#REF!,#REF!,#REF!,#REF!,#REF!,#REF!</definedName>
    <definedName name="__APW_RESTORE_DATA2794__" hidden="1">#REF!,#REF!,#REF!,#REF!,#REF!,#REF!,#REF!,#REF!,#REF!,#REF!,#REF!,#REF!,#REF!,#REF!,#REF!</definedName>
    <definedName name="__APW_RESTORE_DATA2795__" hidden="1">#REF!,#REF!,#REF!,#REF!,#REF!,#REF!,#REF!,#REF!,#REF!,#REF!,#REF!,#REF!,#REF!,#REF!,#REF!</definedName>
    <definedName name="__APW_RESTORE_DATA2796__" hidden="1">#REF!,#REF!,#REF!,#REF!,#REF!,#REF!,#REF!,#REF!,#REF!,#REF!,#REF!,#REF!,#REF!,#REF!,#REF!</definedName>
    <definedName name="__APW_RESTORE_DATA2797__" hidden="1">#REF!,#REF!,#REF!,#REF!,#REF!,#REF!,#REF!,#REF!,#REF!,#REF!,#REF!,#REF!,#REF!,#REF!,#REF!</definedName>
    <definedName name="__APW_RESTORE_DATA2798__" hidden="1">#REF!,#REF!,#REF!,#REF!,#REF!,#REF!,#REF!,#REF!,#REF!,#REF!,#REF!,#REF!,#REF!,#REF!,#REF!</definedName>
    <definedName name="__APW_RESTORE_DATA2799__" hidden="1">#REF!,#REF!,#REF!,#REF!,#REF!,#REF!,#REF!,#REF!,#REF!,#REF!,#REF!,#REF!,#REF!,#REF!,#REF!</definedName>
    <definedName name="__APW_RESTORE_DATA28__" hidden="1">#REF!,#REF!,#REF!,#REF!,#REF!,#REF!,#REF!,#REF!,#REF!,#REF!,#REF!,#REF!,#REF!,#REF!,#REF!,#REF!</definedName>
    <definedName name="__APW_RESTORE_DATA280__" hidden="1">#REF!,#REF!,#REF!,#REF!,#REF!,#REF!,#REF!,#REF!,#REF!,#REF!,#REF!,#REF!,#REF!,#REF!,#REF!</definedName>
    <definedName name="__APW_RESTORE_DATA2800__" hidden="1">#REF!,#REF!,#REF!,#REF!,#REF!,#REF!,#REF!,#REF!,#REF!,#REF!,#REF!,#REF!,#REF!,#REF!,#REF!</definedName>
    <definedName name="__APW_RESTORE_DATA2801__" hidden="1">#REF!,#REF!,#REF!,#REF!,#REF!,#REF!,#REF!,#REF!,#REF!,#REF!,#REF!,#REF!,#REF!,#REF!,#REF!</definedName>
    <definedName name="__APW_RESTORE_DATA2802__" hidden="1">#REF!,#REF!,#REF!,#REF!,#REF!,#REF!,#REF!,#REF!,#REF!,#REF!,#REF!,#REF!,#REF!,#REF!,#REF!</definedName>
    <definedName name="__APW_RESTORE_DATA2803__" hidden="1">#REF!,#REF!,#REF!,#REF!,#REF!,#REF!,#REF!,#REF!,#REF!,#REF!,#REF!,#REF!,#REF!,#REF!,#REF!</definedName>
    <definedName name="__APW_RESTORE_DATA2804__" hidden="1">#REF!,#REF!,#REF!,#REF!,#REF!,#REF!,#REF!,#REF!,#REF!,#REF!,#REF!,#REF!,#REF!,#REF!,#REF!</definedName>
    <definedName name="__APW_RESTORE_DATA2805__" hidden="1">#REF!,#REF!,#REF!,#REF!,#REF!,#REF!,#REF!,#REF!,#REF!,#REF!,#REF!,#REF!,#REF!,#REF!,#REF!</definedName>
    <definedName name="__APW_RESTORE_DATA2806__" hidden="1">#REF!,#REF!,#REF!,#REF!,#REF!,#REF!,#REF!,#REF!,#REF!,#REF!,#REF!,#REF!,#REF!,#REF!,#REF!</definedName>
    <definedName name="__APW_RESTORE_DATA2807__" hidden="1">#REF!,#REF!,#REF!,#REF!,#REF!,#REF!,#REF!,#REF!,#REF!,#REF!,#REF!,#REF!,#REF!,#REF!,#REF!</definedName>
    <definedName name="__APW_RESTORE_DATA2808__" hidden="1">#REF!,#REF!,#REF!,#REF!,#REF!,#REF!,#REF!,#REF!,#REF!,#REF!,#REF!,#REF!,#REF!,#REF!,#REF!</definedName>
    <definedName name="__APW_RESTORE_DATA2809__" hidden="1">#REF!,#REF!,#REF!,#REF!,#REF!,#REF!,#REF!,#REF!,#REF!,#REF!,#REF!,#REF!,#REF!,#REF!,#REF!</definedName>
    <definedName name="__APW_RESTORE_DATA281__" hidden="1">#REF!,#REF!,#REF!,#REF!,#REF!,#REF!,#REF!,#REF!,#REF!,#REF!,#REF!,#REF!,#REF!,#REF!,#REF!</definedName>
    <definedName name="__APW_RESTORE_DATA2810__" hidden="1">#REF!,#REF!,#REF!,#REF!,#REF!,#REF!,#REF!,#REF!,#REF!,#REF!,#REF!,#REF!,#REF!,#REF!,#REF!</definedName>
    <definedName name="__APW_RESTORE_DATA2811__" hidden="1">#REF!,#REF!,#REF!,#REF!,#REF!,#REF!,#REF!,#REF!,#REF!,#REF!,#REF!,#REF!,#REF!,#REF!,#REF!</definedName>
    <definedName name="__APW_RESTORE_DATA2812__" hidden="1">#REF!,#REF!,#REF!,#REF!,#REF!,#REF!,#REF!,#REF!,#REF!,#REF!,#REF!,#REF!,#REF!,#REF!,#REF!</definedName>
    <definedName name="__APW_RESTORE_DATA2813__" hidden="1">#REF!,#REF!,#REF!,#REF!,#REF!,#REF!,#REF!,#REF!,#REF!,#REF!,#REF!,#REF!,#REF!,#REF!,#REF!</definedName>
    <definedName name="__APW_RESTORE_DATA2814__" hidden="1">#REF!,#REF!,#REF!,#REF!,#REF!,#REF!</definedName>
    <definedName name="__APW_RESTORE_DATA2815__" hidden="1">#REF!,#REF!,#REF!,#REF!,#REF!,#REF!,#REF!,#REF!,#REF!,#REF!,#REF!,#REF!,#REF!,#REF!,#REF!,#REF!</definedName>
    <definedName name="__APW_RESTORE_DATA2816__" hidden="1">#REF!,#REF!,#REF!,#REF!,#REF!,#REF!,#REF!,#REF!,#REF!,#REF!,#REF!,#REF!,#REF!,#REF!,#REF!,#REF!</definedName>
    <definedName name="__APW_RESTORE_DATA2817__" hidden="1">#REF!,#REF!,#REF!,#REF!,#REF!,#REF!,#REF!,#REF!,#REF!,#REF!,#REF!,#REF!,#REF!,#REF!,#REF!,#REF!</definedName>
    <definedName name="__APW_RESTORE_DATA2818__" hidden="1">#REF!,#REF!,#REF!,#REF!,#REF!,#REF!,#REF!,#REF!,#REF!,#REF!,#REF!,#REF!,#REF!,#REF!,#REF!,#REF!</definedName>
    <definedName name="__APW_RESTORE_DATA2819__" hidden="1">#REF!,#REF!,#REF!,#REF!,#REF!,#REF!,#REF!,#REF!,#REF!,#REF!,#REF!,#REF!,#REF!,#REF!,#REF!,#REF!</definedName>
    <definedName name="__APW_RESTORE_DATA282__" hidden="1">#REF!,#REF!,#REF!,#REF!,#REF!,#REF!,#REF!,#REF!,#REF!,#REF!,#REF!,#REF!,#REF!,#REF!,#REF!</definedName>
    <definedName name="__APW_RESTORE_DATA2820__" hidden="1">#REF!,#REF!,#REF!,#REF!,#REF!,#REF!,#REF!,#REF!,#REF!,#REF!,#REF!,#REF!,#REF!,#REF!,#REF!,#REF!</definedName>
    <definedName name="__APW_RESTORE_DATA2821__" hidden="1">#REF!,#REF!,#REF!,#REF!,#REF!,#REF!,#REF!,#REF!,#REF!,#REF!,#REF!,#REF!,#REF!,#REF!,#REF!</definedName>
    <definedName name="__APW_RESTORE_DATA2822__" hidden="1">#REF!,#REF!,#REF!,#REF!,#REF!,#REF!,#REF!,#REF!,#REF!,#REF!,#REF!,#REF!,#REF!,#REF!,#REF!</definedName>
    <definedName name="__APW_RESTORE_DATA2823__" hidden="1">#REF!,#REF!,#REF!,#REF!,#REF!,#REF!,#REF!,#REF!,#REF!,#REF!,#REF!,#REF!,#REF!,#REF!,#REF!</definedName>
    <definedName name="__APW_RESTORE_DATA2824__" hidden="1">#REF!,#REF!,#REF!,#REF!,#REF!,#REF!,#REF!,#REF!,#REF!,#REF!,#REF!,#REF!,#REF!,#REF!,#REF!</definedName>
    <definedName name="__APW_RESTORE_DATA2825__" hidden="1">#REF!,#REF!,#REF!,#REF!,#REF!,#REF!,#REF!,#REF!,#REF!,#REF!,#REF!,#REF!,#REF!,#REF!,#REF!</definedName>
    <definedName name="__APW_RESTORE_DATA2826__" hidden="1">#REF!,#REF!,#REF!,#REF!,#REF!,#REF!,#REF!,#REF!,#REF!,#REF!,#REF!,#REF!,#REF!,#REF!,#REF!</definedName>
    <definedName name="__APW_RESTORE_DATA2827__" hidden="1">#REF!,#REF!,#REF!,#REF!,#REF!,#REF!,#REF!,#REF!,#REF!,#REF!,#REF!,#REF!,#REF!,#REF!,#REF!</definedName>
    <definedName name="__APW_RESTORE_DATA2828__" hidden="1">#REF!,#REF!,#REF!,#REF!,#REF!,#REF!,#REF!,#REF!,#REF!,#REF!,#REF!,#REF!,#REF!,#REF!,#REF!</definedName>
    <definedName name="__APW_RESTORE_DATA2829__" hidden="1">#REF!,#REF!,#REF!,#REF!,#REF!,#REF!,#REF!,#REF!,#REF!,#REF!,#REF!,#REF!,#REF!,#REF!,#REF!</definedName>
    <definedName name="__APW_RESTORE_DATA283__" hidden="1">#REF!,#REF!,#REF!,#REF!,#REF!,#REF!,#REF!,#REF!,#REF!,#REF!,#REF!,#REF!,#REF!,#REF!,#REF!</definedName>
    <definedName name="__APW_RESTORE_DATA2830__" hidden="1">#REF!,#REF!,#REF!,#REF!,#REF!,#REF!,#REF!,#REF!,#REF!,#REF!,#REF!,#REF!,#REF!,#REF!,#REF!</definedName>
    <definedName name="__APW_RESTORE_DATA2831__" hidden="1">#REF!,#REF!,#REF!,#REF!,#REF!,#REF!,#REF!,#REF!,#REF!,#REF!,#REF!,#REF!,#REF!,#REF!,#REF!</definedName>
    <definedName name="__APW_RESTORE_DATA2832__" hidden="1">#REF!,#REF!,#REF!,#REF!,#REF!,#REF!,#REF!,#REF!,#REF!,#REF!,#REF!,#REF!,#REF!,#REF!,#REF!</definedName>
    <definedName name="__APW_RESTORE_DATA2833__" hidden="1">#REF!,#REF!,#REF!,#REF!,#REF!,#REF!,#REF!,#REF!,#REF!,#REF!,#REF!,#REF!,#REF!,#REF!,#REF!</definedName>
    <definedName name="__APW_RESTORE_DATA2834__" hidden="1">#REF!,#REF!,#REF!,#REF!,#REF!,#REF!,#REF!,#REF!,#REF!,#REF!,#REF!,#REF!,#REF!,#REF!,#REF!</definedName>
    <definedName name="__APW_RESTORE_DATA2835__" hidden="1">#REF!,#REF!,#REF!,#REF!,#REF!,#REF!,#REF!,#REF!,#REF!,#REF!,#REF!,#REF!,#REF!,#REF!,#REF!</definedName>
    <definedName name="__APW_RESTORE_DATA2836__" hidden="1">#REF!,#REF!,#REF!,#REF!,#REF!,#REF!,#REF!,#REF!,#REF!,#REF!,#REF!,#REF!,#REF!,#REF!,#REF!</definedName>
    <definedName name="__APW_RESTORE_DATA2837__" hidden="1">#REF!,#REF!,#REF!,#REF!,#REF!,#REF!,#REF!,#REF!,#REF!,#REF!,#REF!,#REF!,#REF!,#REF!,#REF!</definedName>
    <definedName name="__APW_RESTORE_DATA2838__" hidden="1">#REF!,#REF!,#REF!,#REF!,#REF!,#REF!,#REF!,#REF!,#REF!,#REF!,#REF!,#REF!,#REF!,#REF!,#REF!</definedName>
    <definedName name="__APW_RESTORE_DATA2839__" hidden="1">#REF!,#REF!,#REF!,#REF!,#REF!,#REF!,#REF!,#REF!,#REF!,#REF!,#REF!,#REF!,#REF!,#REF!,#REF!</definedName>
    <definedName name="__APW_RESTORE_DATA284__" hidden="1">#REF!,#REF!,#REF!,#REF!,#REF!,#REF!,#REF!,#REF!,#REF!,#REF!,#REF!,#REF!,#REF!,#REF!,#REF!</definedName>
    <definedName name="__APW_RESTORE_DATA2840__" hidden="1">#REF!,#REF!,#REF!,#REF!,#REF!,#REF!,#REF!,#REF!,#REF!,#REF!,#REF!,#REF!,#REF!,#REF!,#REF!</definedName>
    <definedName name="__APW_RESTORE_DATA2841__" hidden="1">#REF!,#REF!,#REF!,#REF!,#REF!,#REF!,#REF!,#REF!,#REF!,#REF!,#REF!,#REF!,#REF!,#REF!,#REF!</definedName>
    <definedName name="__APW_RESTORE_DATA2842__" hidden="1">#REF!,#REF!,#REF!,#REF!,#REF!,#REF!,#REF!,#REF!,#REF!,#REF!,#REF!,#REF!,#REF!,#REF!,#REF!</definedName>
    <definedName name="__APW_RESTORE_DATA2843__" hidden="1">#REF!,#REF!,#REF!,#REF!,#REF!,#REF!,#REF!,#REF!,#REF!,#REF!,#REF!,#REF!,#REF!,#REF!,#REF!</definedName>
    <definedName name="__APW_RESTORE_DATA2844__" hidden="1">#REF!,#REF!,#REF!,#REF!,#REF!,#REF!,#REF!,#REF!,#REF!,#REF!,#REF!,#REF!,#REF!,#REF!,#REF!</definedName>
    <definedName name="__APW_RESTORE_DATA2845__" hidden="1">#REF!,#REF!,#REF!,#REF!,#REF!,#REF!,#REF!,#REF!,#REF!,#REF!,#REF!,#REF!,#REF!,#REF!,#REF!</definedName>
    <definedName name="__APW_RESTORE_DATA2846__" hidden="1">#REF!,#REF!,#REF!,#REF!,#REF!,#REF!,#REF!,#REF!,#REF!,#REF!,#REF!,#REF!,#REF!,#REF!,#REF!</definedName>
    <definedName name="__APW_RESTORE_DATA2847__" hidden="1">#REF!,#REF!,#REF!,#REF!,#REF!,#REF!,#REF!,#REF!,#REF!,#REF!,#REF!,#REF!,#REF!,#REF!,#REF!</definedName>
    <definedName name="__APW_RESTORE_DATA2848__" hidden="1">#REF!,#REF!,#REF!,#REF!,#REF!,#REF!,#REF!,#REF!,#REF!,#REF!,#REF!,#REF!,#REF!,#REF!,#REF!</definedName>
    <definedName name="__APW_RESTORE_DATA2849__" hidden="1">#REF!,#REF!,#REF!,#REF!,#REF!,#REF!</definedName>
    <definedName name="__APW_RESTORE_DATA285__" hidden="1">#REF!,#REF!,#REF!,#REF!,#REF!,#REF!,#REF!,#REF!,#REF!,#REF!,#REF!,#REF!,#REF!,#REF!,#REF!</definedName>
    <definedName name="__APW_RESTORE_DATA2850__" hidden="1">#REF!,#REF!,#REF!,#REF!,#REF!,#REF!,#REF!,#REF!,#REF!,#REF!,#REF!,#REF!,#REF!,#REF!,#REF!,#REF!</definedName>
    <definedName name="__APW_RESTORE_DATA2851__" hidden="1">#REF!,#REF!,#REF!,#REF!,#REF!,#REF!,#REF!,#REF!,#REF!,#REF!,#REF!,#REF!,#REF!,#REF!,#REF!,#REF!</definedName>
    <definedName name="__APW_RESTORE_DATA2852__" hidden="1">#REF!,#REF!,#REF!,#REF!,#REF!,#REF!,#REF!,#REF!,#REF!,#REF!,#REF!,#REF!,#REF!,#REF!,#REF!,#REF!</definedName>
    <definedName name="__APW_RESTORE_DATA2853__" hidden="1">#REF!,#REF!,#REF!,#REF!,#REF!,#REF!,#REF!,#REF!,#REF!,#REF!,#REF!,#REF!,#REF!,#REF!,#REF!,#REF!</definedName>
    <definedName name="__APW_RESTORE_DATA2854__" hidden="1">#REF!,#REF!,#REF!,#REF!,#REF!,#REF!,#REF!,#REF!,#REF!,#REF!,#REF!,#REF!,#REF!,#REF!,#REF!,#REF!</definedName>
    <definedName name="__APW_RESTORE_DATA2855__" hidden="1">#REF!,#REF!,#REF!,#REF!,#REF!,#REF!,#REF!,#REF!,#REF!,#REF!,#REF!,#REF!,#REF!,#REF!,#REF!,#REF!</definedName>
    <definedName name="__APW_RESTORE_DATA2856__" hidden="1">#REF!,#REF!,#REF!,#REF!,#REF!,#REF!,#REF!,#REF!,#REF!,#REF!,#REF!,#REF!,#REF!,#REF!,#REF!</definedName>
    <definedName name="__APW_RESTORE_DATA2857__" hidden="1">#REF!,#REF!,#REF!,#REF!,#REF!,#REF!,#REF!,#REF!,#REF!,#REF!,#REF!,#REF!,#REF!,#REF!,#REF!</definedName>
    <definedName name="__APW_RESTORE_DATA2858__" hidden="1">#REF!,#REF!,#REF!,#REF!,#REF!,#REF!,#REF!,#REF!,#REF!,#REF!,#REF!,#REF!,#REF!,#REF!,#REF!</definedName>
    <definedName name="__APW_RESTORE_DATA2859__" hidden="1">#REF!,#REF!,#REF!,#REF!,#REF!,#REF!,#REF!,#REF!,#REF!,#REF!,#REF!,#REF!,#REF!,#REF!,#REF!</definedName>
    <definedName name="__APW_RESTORE_DATA286__" hidden="1">#REF!,#REF!,#REF!,#REF!,#REF!,#REF!,#REF!,#REF!</definedName>
    <definedName name="__APW_RESTORE_DATA2860__" hidden="1">#REF!,#REF!,#REF!,#REF!,#REF!,#REF!,#REF!,#REF!,#REF!,#REF!,#REF!,#REF!,#REF!,#REF!,#REF!</definedName>
    <definedName name="__APW_RESTORE_DATA2861__" hidden="1">#REF!,#REF!,#REF!,#REF!,#REF!,#REF!,#REF!,#REF!,#REF!,#REF!,#REF!,#REF!,#REF!,#REF!,#REF!</definedName>
    <definedName name="__APW_RESTORE_DATA2862__" hidden="1">#REF!,#REF!,#REF!,#REF!,#REF!,#REF!,#REF!,#REF!,#REF!,#REF!,#REF!,#REF!,#REF!,#REF!,#REF!</definedName>
    <definedName name="__APW_RESTORE_DATA2863__" hidden="1">#REF!,#REF!,#REF!,#REF!,#REF!,#REF!,#REF!,#REF!,#REF!,#REF!,#REF!,#REF!,#REF!,#REF!,#REF!</definedName>
    <definedName name="__APW_RESTORE_DATA2864__" hidden="1">#REF!,#REF!,#REF!,#REF!,#REF!,#REF!,#REF!,#REF!,#REF!,#REF!,#REF!,#REF!,#REF!,#REF!,#REF!</definedName>
    <definedName name="__APW_RESTORE_DATA2865__" hidden="1">#REF!,#REF!,#REF!,#REF!,#REF!,#REF!,#REF!,#REF!,#REF!,#REF!,#REF!,#REF!,#REF!,#REF!,#REF!</definedName>
    <definedName name="__APW_RESTORE_DATA2866__" hidden="1">#REF!,#REF!,#REF!,#REF!,#REF!,#REF!,#REF!,#REF!,#REF!,#REF!,#REF!,#REF!,#REF!,#REF!,#REF!</definedName>
    <definedName name="__APW_RESTORE_DATA2867__" hidden="1">#REF!,#REF!,#REF!,#REF!,#REF!,#REF!,#REF!,#REF!,#REF!,#REF!,#REF!,#REF!,#REF!,#REF!,#REF!</definedName>
    <definedName name="__APW_RESTORE_DATA2868__" hidden="1">#REF!,#REF!,#REF!,#REF!,#REF!,#REF!,#REF!,#REF!,#REF!,#REF!,#REF!,#REF!,#REF!,#REF!,#REF!</definedName>
    <definedName name="__APW_RESTORE_DATA2869__" hidden="1">#REF!,#REF!,#REF!,#REF!,#REF!,#REF!,#REF!,#REF!,#REF!,#REF!,#REF!,#REF!,#REF!,#REF!,#REF!</definedName>
    <definedName name="__APW_RESTORE_DATA287__" hidden="1">#REF!</definedName>
    <definedName name="__APW_RESTORE_DATA2870__" hidden="1">#REF!,#REF!,#REF!,#REF!,#REF!,#REF!,#REF!,#REF!,#REF!,#REF!,#REF!,#REF!,#REF!,#REF!,#REF!</definedName>
    <definedName name="__APW_RESTORE_DATA2871__" hidden="1">#REF!,#REF!,#REF!,#REF!,#REF!,#REF!,#REF!,#REF!,#REF!,#REF!,#REF!,#REF!,#REF!,#REF!,#REF!</definedName>
    <definedName name="__APW_RESTORE_DATA2872__" hidden="1">#REF!,#REF!,#REF!,#REF!,#REF!,#REF!,#REF!,#REF!,#REF!,#REF!,#REF!,#REF!,#REF!,#REF!,#REF!</definedName>
    <definedName name="__APW_RESTORE_DATA2873__" hidden="1">#REF!,#REF!,#REF!,#REF!,#REF!,#REF!,#REF!,#REF!,#REF!,#REF!,#REF!,#REF!,#REF!,#REF!,#REF!</definedName>
    <definedName name="__APW_RESTORE_DATA2874__" hidden="1">#REF!,#REF!,#REF!,#REF!,#REF!,#REF!,#REF!,#REF!,#REF!,#REF!,#REF!,#REF!,#REF!,#REF!,#REF!</definedName>
    <definedName name="__APW_RESTORE_DATA2875__" hidden="1">#REF!,#REF!,#REF!,#REF!,#REF!,#REF!,#REF!,#REF!,#REF!,#REF!,#REF!,#REF!,#REF!,#REF!,#REF!</definedName>
    <definedName name="__APW_RESTORE_DATA2876__" hidden="1">#REF!,#REF!,#REF!,#REF!,#REF!,#REF!,#REF!,#REF!,#REF!,#REF!,#REF!,#REF!,#REF!,#REF!,#REF!</definedName>
    <definedName name="__APW_RESTORE_DATA2877__" hidden="1">#REF!,#REF!,#REF!,#REF!,#REF!,#REF!,#REF!,#REF!,#REF!,#REF!,#REF!,#REF!,#REF!,#REF!,#REF!</definedName>
    <definedName name="__APW_RESTORE_DATA2878__" hidden="1">#REF!,#REF!,#REF!,#REF!,#REF!,#REF!,#REF!,#REF!,#REF!,#REF!,#REF!,#REF!,#REF!,#REF!,#REF!</definedName>
    <definedName name="__APW_RESTORE_DATA2879__" hidden="1">#REF!,#REF!,#REF!,#REF!,#REF!,#REF!,#REF!,#REF!,#REF!,#REF!,#REF!,#REF!,#REF!,#REF!,#REF!</definedName>
    <definedName name="__APW_RESTORE_DATA288__" hidden="1">#REF!,#REF!</definedName>
    <definedName name="__APW_RESTORE_DATA2880__" hidden="1">#REF!,#REF!,#REF!,#REF!,#REF!,#REF!,#REF!,#REF!,#REF!,#REF!,#REF!,#REF!,#REF!,#REF!,#REF!</definedName>
    <definedName name="__APW_RESTORE_DATA2881__" hidden="1">#REF!,#REF!,#REF!,#REF!,#REF!,#REF!,#REF!,#REF!,#REF!,#REF!,#REF!,#REF!,#REF!,#REF!,#REF!</definedName>
    <definedName name="__APW_RESTORE_DATA2882__" hidden="1">#REF!,#REF!,#REF!,#REF!,#REF!,#REF!,#REF!,#REF!,#REF!,#REF!,#REF!,#REF!,#REF!,#REF!,#REF!</definedName>
    <definedName name="__APW_RESTORE_DATA2883__" hidden="1">#REF!,#REF!,#REF!,#REF!,#REF!,#REF!,#REF!,#REF!,#REF!,#REF!,#REF!,#REF!,#REF!,#REF!,#REF!</definedName>
    <definedName name="__APW_RESTORE_DATA2884__" hidden="1">#REF!,#REF!,#REF!,#REF!,#REF!,#REF!</definedName>
    <definedName name="__APW_RESTORE_DATA2885__" hidden="1">#REF!</definedName>
    <definedName name="__APW_RESTORE_DATA2886__" hidden="1">#REF!</definedName>
    <definedName name="__APW_RESTORE_DATA2887__" hidden="1">#REF!</definedName>
    <definedName name="__APW_RESTORE_DATA2889__" hidden="1">#REF!</definedName>
    <definedName name="__APW_RESTORE_DATA289__" hidden="1">#REF!</definedName>
    <definedName name="__APW_RESTORE_DATA2890__" hidden="1">#REF!,#REF!,#REF!,#REF!,#REF!,#REF!,#REF!,#REF!,#REF!,#REF!,#REF!,#REF!,#REF!,#REF!,#REF!,#REF!</definedName>
    <definedName name="__APW_RESTORE_DATA2891__" hidden="1">#REF!,#REF!,#REF!,#REF!,#REF!,#REF!,#REF!,#REF!,#REF!,#REF!,#REF!,#REF!,#REF!,#REF!,#REF!,#REF!</definedName>
    <definedName name="__APW_RESTORE_DATA2892__" hidden="1">#REF!,#REF!,#REF!,#REF!,#REF!,#REF!,#REF!,#REF!,#REF!,#REF!,#REF!,#REF!,#REF!,#REF!,#REF!,#REF!</definedName>
    <definedName name="__APW_RESTORE_DATA2893__" hidden="1">#REF!,#REF!,#REF!,#REF!,#REF!,#REF!,#REF!,#REF!,#REF!,#REF!,#REF!,#REF!,#REF!,#REF!,#REF!,#REF!</definedName>
    <definedName name="__APW_RESTORE_DATA2894__" hidden="1">#REF!,#REF!,#REF!,#REF!,#REF!,#REF!,#REF!,#REF!,#REF!,#REF!,#REF!,#REF!,#REF!,#REF!,#REF!,#REF!</definedName>
    <definedName name="__APW_RESTORE_DATA2895__" hidden="1">#REF!,#REF!,#REF!,#REF!,#REF!,#REF!,#REF!,#REF!,#REF!,#REF!,#REF!,#REF!,#REF!,#REF!,#REF!,#REF!</definedName>
    <definedName name="__APW_RESTORE_DATA2896__" hidden="1">#REF!,#REF!,#REF!,#REF!,#REF!,#REF!,#REF!,#REF!,#REF!,#REF!,#REF!,#REF!,#REF!,#REF!,#REF!</definedName>
    <definedName name="__APW_RESTORE_DATA2897__" hidden="1">#REF!,#REF!,#REF!,#REF!,#REF!,#REF!,#REF!,#REF!,#REF!,#REF!,#REF!,#REF!,#REF!,#REF!,#REF!</definedName>
    <definedName name="__APW_RESTORE_DATA2898__" hidden="1">#REF!,#REF!,#REF!,#REF!,#REF!,#REF!,#REF!,#REF!,#REF!,#REF!,#REF!,#REF!,#REF!,#REF!,#REF!</definedName>
    <definedName name="__APW_RESTORE_DATA2899__" hidden="1">#REF!,#REF!,#REF!,#REF!,#REF!,#REF!,#REF!,#REF!,#REF!,#REF!,#REF!,#REF!,#REF!,#REF!,#REF!</definedName>
    <definedName name="__APW_RESTORE_DATA29__" hidden="1">#REF!,#REF!,#REF!,#REF!,#REF!,#REF!,#REF!,#REF!,#REF!,#REF!,#REF!,#REF!,#REF!,#REF!,#REF!</definedName>
    <definedName name="__APW_RESTORE_DATA290__" hidden="1">#REF!</definedName>
    <definedName name="__APW_RESTORE_DATA2900__" hidden="1">#REF!,#REF!,#REF!,#REF!,#REF!,#REF!,#REF!,#REF!,#REF!,#REF!,#REF!,#REF!,#REF!,#REF!,#REF!</definedName>
    <definedName name="__APW_RESTORE_DATA2901__" hidden="1">#REF!,#REF!,#REF!,#REF!,#REF!,#REF!,#REF!,#REF!,#REF!,#REF!,#REF!,#REF!,#REF!,#REF!,#REF!</definedName>
    <definedName name="__APW_RESTORE_DATA2902__" hidden="1">#REF!,#REF!,#REF!,#REF!,#REF!,#REF!,#REF!,#REF!,#REF!,#REF!,#REF!,#REF!,#REF!,#REF!,#REF!</definedName>
    <definedName name="__APW_RESTORE_DATA2903__" hidden="1">#REF!,#REF!,#REF!,#REF!,#REF!,#REF!,#REF!,#REF!,#REF!,#REF!,#REF!,#REF!,#REF!,#REF!,#REF!</definedName>
    <definedName name="__APW_RESTORE_DATA2904__" hidden="1">#REF!,#REF!,#REF!,#REF!,#REF!,#REF!,#REF!,#REF!,#REF!,#REF!,#REF!,#REF!,#REF!,#REF!,#REF!</definedName>
    <definedName name="__APW_RESTORE_DATA2905__" hidden="1">#REF!,#REF!,#REF!,#REF!,#REF!,#REF!,#REF!,#REF!,#REF!,#REF!,#REF!,#REF!,#REF!,#REF!,#REF!</definedName>
    <definedName name="__APW_RESTORE_DATA2906__" hidden="1">#REF!,#REF!,#REF!,#REF!,#REF!,#REF!,#REF!,#REF!,#REF!,#REF!,#REF!,#REF!,#REF!,#REF!,#REF!</definedName>
    <definedName name="__APW_RESTORE_DATA2907__" hidden="1">#REF!,#REF!,#REF!,#REF!,#REF!,#REF!,#REF!,#REF!,#REF!,#REF!,#REF!,#REF!,#REF!,#REF!,#REF!</definedName>
    <definedName name="__APW_RESTORE_DATA2908__" hidden="1">#REF!,#REF!,#REF!,#REF!,#REF!,#REF!,#REF!,#REF!,#REF!,#REF!,#REF!,#REF!,#REF!,#REF!,#REF!</definedName>
    <definedName name="__APW_RESTORE_DATA2909__" hidden="1">#REF!,#REF!,#REF!,#REF!,#REF!,#REF!,#REF!,#REF!,#REF!,#REF!,#REF!,#REF!,#REF!,#REF!,#REF!</definedName>
    <definedName name="__APW_RESTORE_DATA291__" hidden="1">#REF!,#REF!</definedName>
    <definedName name="__APW_RESTORE_DATA2910__" hidden="1">#REF!,#REF!,#REF!,#REF!,#REF!,#REF!,#REF!,#REF!,#REF!,#REF!,#REF!,#REF!,#REF!,#REF!,#REF!</definedName>
    <definedName name="__APW_RESTORE_DATA2911__" hidden="1">#REF!,#REF!,#REF!,#REF!,#REF!,#REF!,#REF!,#REF!,#REF!,#REF!,#REF!,#REF!,#REF!,#REF!,#REF!</definedName>
    <definedName name="__APW_RESTORE_DATA2912__" hidden="1">#REF!,#REF!,#REF!,#REF!,#REF!,#REF!,#REF!,#REF!,#REF!,#REF!,#REF!,#REF!,#REF!,#REF!,#REF!</definedName>
    <definedName name="__APW_RESTORE_DATA2913__" hidden="1">#REF!,#REF!,#REF!,#REF!,#REF!,#REF!,#REF!,#REF!,#REF!,#REF!,#REF!,#REF!,#REF!,#REF!,#REF!</definedName>
    <definedName name="__APW_RESTORE_DATA2914__" hidden="1">#REF!,#REF!,#REF!,#REF!,#REF!,#REF!,#REF!,#REF!,#REF!,#REF!,#REF!,#REF!,#REF!,#REF!,#REF!</definedName>
    <definedName name="__APW_RESTORE_DATA2915__" hidden="1">#REF!,#REF!,#REF!,#REF!,#REF!,#REF!,#REF!,#REF!,#REF!,#REF!,#REF!,#REF!,#REF!,#REF!,#REF!</definedName>
    <definedName name="__APW_RESTORE_DATA2916__" hidden="1">#REF!,#REF!,#REF!,#REF!,#REF!,#REF!,#REF!,#REF!,#REF!,#REF!,#REF!,#REF!,#REF!,#REF!,#REF!</definedName>
    <definedName name="__APW_RESTORE_DATA2917__" hidden="1">#REF!,#REF!,#REF!,#REF!,#REF!,#REF!,#REF!,#REF!,#REF!,#REF!,#REF!,#REF!,#REF!,#REF!,#REF!</definedName>
    <definedName name="__APW_RESTORE_DATA2918__" hidden="1">#REF!,#REF!,#REF!,#REF!,#REF!,#REF!,#REF!,#REF!,#REF!,#REF!,#REF!,#REF!,#REF!,#REF!,#REF!</definedName>
    <definedName name="__APW_RESTORE_DATA2919__" hidden="1">#REF!,#REF!,#REF!,#REF!,#REF!,#REF!,#REF!,#REF!,#REF!,#REF!,#REF!,#REF!,#REF!,#REF!,#REF!</definedName>
    <definedName name="__APW_RESTORE_DATA292__" hidden="1">#REF!</definedName>
    <definedName name="__APW_RESTORE_DATA2920__" hidden="1">#REF!,#REF!,#REF!,#REF!,#REF!,#REF!,#REF!,#REF!,#REF!,#REF!,#REF!,#REF!,#REF!,#REF!,#REF!</definedName>
    <definedName name="__APW_RESTORE_DATA2921__" hidden="1">#REF!,#REF!,#REF!,#REF!,#REF!,#REF!,#REF!,#REF!,#REF!,#REF!,#REF!,#REF!,#REF!,#REF!,#REF!</definedName>
    <definedName name="__APW_RESTORE_DATA2922__" hidden="1">#REF!,#REF!,#REF!,#REF!,#REF!,#REF!,#REF!,#REF!,#REF!,#REF!,#REF!,#REF!,#REF!,#REF!,#REF!</definedName>
    <definedName name="__APW_RESTORE_DATA2923__" hidden="1">#REF!,#REF!,#REF!,#REF!,#REF!,#REF!,#REF!,#REF!,#REF!,#REF!,#REF!,#REF!,#REF!,#REF!,#REF!</definedName>
    <definedName name="__APW_RESTORE_DATA2924__" hidden="1">#REF!,#REF!,#REF!,#REF!,#REF!,#REF!</definedName>
    <definedName name="__APW_RESTORE_DATA2925__" hidden="1">#REF!,#REF!,#REF!,#REF!,#REF!,#REF!,#REF!,#REF!,#REF!,#REF!,#REF!,#REF!,#REF!,#REF!,#REF!,#REF!</definedName>
    <definedName name="__APW_RESTORE_DATA2926__" hidden="1">#REF!,#REF!,#REF!,#REF!,#REF!,#REF!,#REF!,#REF!,#REF!,#REF!,#REF!,#REF!,#REF!,#REF!,#REF!,#REF!</definedName>
    <definedName name="__APW_RESTORE_DATA2927__" hidden="1">#REF!,#REF!,#REF!,#REF!,#REF!,#REF!,#REF!,#REF!,#REF!,#REF!,#REF!,#REF!,#REF!,#REF!,#REF!,#REF!</definedName>
    <definedName name="__APW_RESTORE_DATA2928__" hidden="1">#REF!,#REF!,#REF!,#REF!,#REF!,#REF!,#REF!,#REF!,#REF!,#REF!,#REF!,#REF!,#REF!,#REF!,#REF!,#REF!</definedName>
    <definedName name="__APW_RESTORE_DATA2929__" hidden="1">#REF!,#REF!,#REF!,#REF!,#REF!,#REF!,#REF!,#REF!,#REF!,#REF!,#REF!,#REF!,#REF!,#REF!,#REF!,#REF!</definedName>
    <definedName name="__APW_RESTORE_DATA293__" hidden="1">#REF!,#REF!</definedName>
    <definedName name="__APW_RESTORE_DATA2930__" hidden="1">#REF!,#REF!,#REF!,#REF!,#REF!,#REF!,#REF!,#REF!,#REF!,#REF!,#REF!,#REF!,#REF!,#REF!,#REF!,#REF!</definedName>
    <definedName name="__APW_RESTORE_DATA2931__" hidden="1">#REF!,#REF!,#REF!,#REF!,#REF!,#REF!,#REF!,#REF!,#REF!,#REF!,#REF!,#REF!,#REF!,#REF!,#REF!</definedName>
    <definedName name="__APW_RESTORE_DATA2932__" hidden="1">#REF!,#REF!,#REF!,#REF!,#REF!,#REF!,#REF!,#REF!,#REF!,#REF!,#REF!,#REF!,#REF!,#REF!,#REF!</definedName>
    <definedName name="__APW_RESTORE_DATA2933__" hidden="1">#REF!,#REF!,#REF!,#REF!,#REF!,#REF!,#REF!,#REF!,#REF!,#REF!,#REF!,#REF!,#REF!,#REF!,#REF!</definedName>
    <definedName name="__APW_RESTORE_DATA2934__" hidden="1">#REF!,#REF!,#REF!,#REF!,#REF!,#REF!,#REF!,#REF!,#REF!,#REF!,#REF!,#REF!,#REF!,#REF!,#REF!</definedName>
    <definedName name="__APW_RESTORE_DATA2935__" hidden="1">#REF!,#REF!,#REF!,#REF!,#REF!,#REF!,#REF!,#REF!,#REF!,#REF!,#REF!,#REF!,#REF!,#REF!,#REF!</definedName>
    <definedName name="__APW_RESTORE_DATA2936__" hidden="1">#REF!,#REF!,#REF!,#REF!,#REF!,#REF!,#REF!,#REF!,#REF!,#REF!,#REF!,#REF!,#REF!,#REF!,#REF!</definedName>
    <definedName name="__APW_RESTORE_DATA2937__" hidden="1">#REF!,#REF!,#REF!,#REF!,#REF!,#REF!,#REF!,#REF!,#REF!,#REF!,#REF!,#REF!,#REF!,#REF!,#REF!</definedName>
    <definedName name="__APW_RESTORE_DATA2938__" hidden="1">#REF!,#REF!,#REF!,#REF!,#REF!,#REF!,#REF!,#REF!,#REF!,#REF!,#REF!,#REF!,#REF!,#REF!,#REF!</definedName>
    <definedName name="__APW_RESTORE_DATA2939__" hidden="1">#REF!,#REF!,#REF!,#REF!,#REF!,#REF!,#REF!,#REF!,#REF!,#REF!,#REF!,#REF!,#REF!,#REF!,#REF!</definedName>
    <definedName name="__APW_RESTORE_DATA294__" hidden="1">#REF!,#REF!,#REF!,#REF!,#REF!,#REF!,#REF!,#REF!,#REF!,#REF!,#REF!,#REF!,#REF!,#REF!,#REF!,#REF!</definedName>
    <definedName name="__APW_RESTORE_DATA2940__" hidden="1">#REF!,#REF!,#REF!,#REF!,#REF!,#REF!,#REF!,#REF!,#REF!,#REF!,#REF!,#REF!,#REF!,#REF!,#REF!</definedName>
    <definedName name="__APW_RESTORE_DATA2941__" hidden="1">#REF!,#REF!,#REF!,#REF!,#REF!,#REF!,#REF!,#REF!,#REF!,#REF!,#REF!,#REF!,#REF!,#REF!,#REF!</definedName>
    <definedName name="__APW_RESTORE_DATA2942__" hidden="1">#REF!,#REF!,#REF!,#REF!,#REF!,#REF!,#REF!,#REF!,#REF!,#REF!,#REF!,#REF!,#REF!,#REF!,#REF!</definedName>
    <definedName name="__APW_RESTORE_DATA2943__" hidden="1">#REF!,#REF!,#REF!,#REF!,#REF!,#REF!,#REF!,#REF!,#REF!,#REF!,#REF!,#REF!,#REF!,#REF!,#REF!</definedName>
    <definedName name="__APW_RESTORE_DATA2944__" hidden="1">#REF!,#REF!,#REF!,#REF!,#REF!,#REF!,#REF!,#REF!,#REF!,#REF!,#REF!,#REF!,#REF!,#REF!,#REF!</definedName>
    <definedName name="__APW_RESTORE_DATA2945__" hidden="1">#REF!,#REF!,#REF!,#REF!,#REF!,#REF!,#REF!,#REF!,#REF!,#REF!,#REF!,#REF!,#REF!,#REF!,#REF!</definedName>
    <definedName name="__APW_RESTORE_DATA2946__" hidden="1">#REF!,#REF!,#REF!,#REF!,#REF!,#REF!,#REF!,#REF!,#REF!,#REF!,#REF!,#REF!,#REF!,#REF!,#REF!</definedName>
    <definedName name="__APW_RESTORE_DATA2947__" hidden="1">#REF!,#REF!,#REF!,#REF!,#REF!,#REF!,#REF!,#REF!,#REF!,#REF!,#REF!,#REF!,#REF!,#REF!,#REF!</definedName>
    <definedName name="__APW_RESTORE_DATA2948__" hidden="1">#REF!,#REF!,#REF!,#REF!,#REF!,#REF!,#REF!,#REF!,#REF!,#REF!,#REF!,#REF!,#REF!,#REF!,#REF!</definedName>
    <definedName name="__APW_RESTORE_DATA2949__" hidden="1">#REF!,#REF!,#REF!,#REF!,#REF!,#REF!,#REF!,#REF!,#REF!,#REF!,#REF!,#REF!,#REF!,#REF!,#REF!</definedName>
    <definedName name="__APW_RESTORE_DATA295__" hidden="1">#REF!,#REF!,#REF!,#REF!,#REF!,#REF!,#REF!,#REF!,#REF!,#REF!,#REF!,#REF!,#REF!,#REF!,#REF!,#REF!</definedName>
    <definedName name="__APW_RESTORE_DATA2950__" hidden="1">#REF!,#REF!,#REF!,#REF!,#REF!,#REF!,#REF!,#REF!,#REF!,#REF!,#REF!,#REF!,#REF!,#REF!,#REF!</definedName>
    <definedName name="__APW_RESTORE_DATA2951__" hidden="1">#REF!,#REF!,#REF!,#REF!,#REF!,#REF!,#REF!,#REF!,#REF!,#REF!,#REF!,#REF!,#REF!,#REF!,#REF!</definedName>
    <definedName name="__APW_RESTORE_DATA2952__" hidden="1">#REF!,#REF!,#REF!,#REF!,#REF!,#REF!,#REF!,#REF!,#REF!,#REF!,#REF!,#REF!,#REF!,#REF!,#REF!</definedName>
    <definedName name="__APW_RESTORE_DATA2953__" hidden="1">#REF!,#REF!,#REF!,#REF!,#REF!,#REF!,#REF!,#REF!,#REF!,#REF!,#REF!,#REF!,#REF!,#REF!,#REF!</definedName>
    <definedName name="__APW_RESTORE_DATA2954__" hidden="1">#REF!,#REF!,#REF!,#REF!,#REF!,#REF!,#REF!,#REF!,#REF!,#REF!,#REF!,#REF!,#REF!,#REF!,#REF!</definedName>
    <definedName name="__APW_RESTORE_DATA2955__" hidden="1">#REF!,#REF!,#REF!,#REF!,#REF!,#REF!,#REF!,#REF!,#REF!,#REF!,#REF!,#REF!,#REF!,#REF!,#REF!</definedName>
    <definedName name="__APW_RESTORE_DATA2956__" hidden="1">#REF!,#REF!,#REF!,#REF!,#REF!,#REF!,#REF!,#REF!,#REF!,#REF!,#REF!,#REF!,#REF!,#REF!,#REF!</definedName>
    <definedName name="__APW_RESTORE_DATA2957__" hidden="1">#REF!,#REF!,#REF!,#REF!,#REF!,#REF!,#REF!,#REF!,#REF!,#REF!,#REF!,#REF!,#REF!,#REF!,#REF!</definedName>
    <definedName name="__APW_RESTORE_DATA2958__" hidden="1">#REF!,#REF!,#REF!,#REF!,#REF!,#REF!,#REF!,#REF!,#REF!,#REF!,#REF!,#REF!,#REF!,#REF!,#REF!</definedName>
    <definedName name="__APW_RESTORE_DATA2959__" hidden="1">#REF!,#REF!,#REF!,#REF!,#REF!,#REF!</definedName>
    <definedName name="__APW_RESTORE_DATA296__" hidden="1">#REF!,#REF!,#REF!,#REF!,#REF!,#REF!,#REF!,#REF!,#REF!,#REF!,#REF!,#REF!,#REF!,#REF!,#REF!,#REF!</definedName>
    <definedName name="__APW_RESTORE_DATA2960__" hidden="1">#REF!,#REF!,#REF!,#REF!,#REF!,#REF!,#REF!,#REF!,#REF!,#REF!,#REF!,#REF!,#REF!,#REF!,#REF!,#REF!</definedName>
    <definedName name="__APW_RESTORE_DATA2961__" hidden="1">#REF!,#REF!,#REF!,#REF!,#REF!,#REF!,#REF!,#REF!,#REF!,#REF!,#REF!,#REF!,#REF!,#REF!,#REF!,#REF!</definedName>
    <definedName name="__APW_RESTORE_DATA2962__" hidden="1">#REF!,#REF!,#REF!,#REF!,#REF!,#REF!,#REF!,#REF!,#REF!,#REF!,#REF!,#REF!,#REF!,#REF!,#REF!,#REF!</definedName>
    <definedName name="__APW_RESTORE_DATA2963__" hidden="1">#REF!,#REF!,#REF!,#REF!,#REF!,#REF!,#REF!,#REF!,#REF!,#REF!,#REF!,#REF!,#REF!,#REF!,#REF!,#REF!</definedName>
    <definedName name="__APW_RESTORE_DATA2964__" hidden="1">#REF!,#REF!,#REF!,#REF!,#REF!,#REF!,#REF!,#REF!,#REF!,#REF!,#REF!,#REF!,#REF!,#REF!,#REF!,#REF!</definedName>
    <definedName name="__APW_RESTORE_DATA2965__" hidden="1">#REF!,#REF!,#REF!,#REF!,#REF!,#REF!,#REF!,#REF!,#REF!,#REF!,#REF!,#REF!,#REF!,#REF!,#REF!,#REF!</definedName>
    <definedName name="__APW_RESTORE_DATA2966__" hidden="1">#REF!,#REF!,#REF!,#REF!,#REF!,#REF!,#REF!,#REF!,#REF!,#REF!,#REF!,#REF!,#REF!,#REF!,#REF!</definedName>
    <definedName name="__APW_RESTORE_DATA2967__" hidden="1">#REF!,#REF!,#REF!,#REF!,#REF!,#REF!,#REF!,#REF!,#REF!,#REF!,#REF!,#REF!,#REF!,#REF!,#REF!</definedName>
    <definedName name="__APW_RESTORE_DATA2968__" hidden="1">#REF!,#REF!,#REF!,#REF!,#REF!,#REF!,#REF!,#REF!,#REF!,#REF!,#REF!,#REF!,#REF!,#REF!,#REF!</definedName>
    <definedName name="__APW_RESTORE_DATA2969__" hidden="1">#REF!,#REF!,#REF!,#REF!,#REF!,#REF!,#REF!,#REF!,#REF!,#REF!,#REF!,#REF!,#REF!,#REF!,#REF!</definedName>
    <definedName name="__APW_RESTORE_DATA297__" hidden="1">#REF!,#REF!,#REF!,#REF!,#REF!,#REF!,#REF!,#REF!,#REF!,#REF!,#REF!,#REF!,#REF!,#REF!,#REF!,#REF!</definedName>
    <definedName name="__APW_RESTORE_DATA2970__" hidden="1">#REF!,#REF!,#REF!,#REF!,#REF!,#REF!,#REF!,#REF!,#REF!,#REF!,#REF!,#REF!,#REF!,#REF!,#REF!</definedName>
    <definedName name="__APW_RESTORE_DATA2971__" hidden="1">#REF!,#REF!,#REF!,#REF!,#REF!,#REF!,#REF!,#REF!,#REF!,#REF!,#REF!,#REF!,#REF!,#REF!,#REF!</definedName>
    <definedName name="__APW_RESTORE_DATA2972__" hidden="1">#REF!,#REF!,#REF!,#REF!,#REF!,#REF!,#REF!,#REF!,#REF!,#REF!,#REF!,#REF!,#REF!,#REF!,#REF!</definedName>
    <definedName name="__APW_RESTORE_DATA2973__" hidden="1">#REF!,#REF!,#REF!,#REF!,#REF!,#REF!,#REF!,#REF!,#REF!,#REF!,#REF!,#REF!,#REF!,#REF!,#REF!</definedName>
    <definedName name="__APW_RESTORE_DATA2974__" hidden="1">#REF!,#REF!,#REF!,#REF!,#REF!,#REF!,#REF!,#REF!,#REF!,#REF!,#REF!,#REF!,#REF!,#REF!,#REF!</definedName>
    <definedName name="__APW_RESTORE_DATA2975__" hidden="1">#REF!,#REF!,#REF!,#REF!,#REF!,#REF!,#REF!,#REF!,#REF!,#REF!,#REF!,#REF!,#REF!,#REF!,#REF!</definedName>
    <definedName name="__APW_RESTORE_DATA2976__" hidden="1">#REF!,#REF!,#REF!,#REF!,#REF!,#REF!,#REF!,#REF!,#REF!,#REF!,#REF!,#REF!,#REF!,#REF!,#REF!</definedName>
    <definedName name="__APW_RESTORE_DATA2977__" hidden="1">#REF!,#REF!,#REF!,#REF!,#REF!,#REF!,#REF!,#REF!,#REF!,#REF!,#REF!,#REF!,#REF!,#REF!,#REF!</definedName>
    <definedName name="__APW_RESTORE_DATA2978__" hidden="1">#REF!,#REF!,#REF!,#REF!,#REF!,#REF!,#REF!,#REF!,#REF!,#REF!,#REF!,#REF!,#REF!,#REF!,#REF!</definedName>
    <definedName name="__APW_RESTORE_DATA2979__" hidden="1">#REF!,#REF!,#REF!,#REF!,#REF!,#REF!,#REF!,#REF!,#REF!,#REF!,#REF!,#REF!,#REF!,#REF!,#REF!</definedName>
    <definedName name="__APW_RESTORE_DATA298__" hidden="1">#REF!,#REF!</definedName>
    <definedName name="__APW_RESTORE_DATA2980__" hidden="1">#REF!,#REF!,#REF!,#REF!,#REF!,#REF!,#REF!,#REF!,#REF!,#REF!,#REF!,#REF!,#REF!,#REF!,#REF!</definedName>
    <definedName name="__APW_RESTORE_DATA2981__" hidden="1">#REF!,#REF!,#REF!,#REF!,#REF!,#REF!,#REF!,#REF!,#REF!,#REF!,#REF!,#REF!,#REF!,#REF!,#REF!</definedName>
    <definedName name="__APW_RESTORE_DATA2982__" hidden="1">#REF!,#REF!,#REF!,#REF!,#REF!,#REF!,#REF!,#REF!,#REF!,#REF!,#REF!,#REF!,#REF!,#REF!,#REF!</definedName>
    <definedName name="__APW_RESTORE_DATA2983__" hidden="1">#REF!,#REF!,#REF!,#REF!,#REF!,#REF!,#REF!,#REF!,#REF!,#REF!,#REF!,#REF!,#REF!,#REF!,#REF!</definedName>
    <definedName name="__APW_RESTORE_DATA2984__" hidden="1">#REF!,#REF!,#REF!,#REF!,#REF!,#REF!,#REF!,#REF!,#REF!,#REF!,#REF!,#REF!,#REF!,#REF!,#REF!</definedName>
    <definedName name="__APW_RESTORE_DATA2985__" hidden="1">#REF!,#REF!,#REF!,#REF!,#REF!,#REF!,#REF!,#REF!,#REF!,#REF!,#REF!,#REF!,#REF!,#REF!,#REF!</definedName>
    <definedName name="__APW_RESTORE_DATA2986__" hidden="1">#REF!,#REF!,#REF!,#REF!,#REF!,#REF!,#REF!,#REF!,#REF!,#REF!,#REF!,#REF!,#REF!,#REF!,#REF!</definedName>
    <definedName name="__APW_RESTORE_DATA2987__" hidden="1">#REF!,#REF!,#REF!,#REF!,#REF!,#REF!,#REF!,#REF!,#REF!,#REF!,#REF!,#REF!,#REF!,#REF!,#REF!</definedName>
    <definedName name="__APW_RESTORE_DATA2988__" hidden="1">#REF!,#REF!,#REF!,#REF!,#REF!,#REF!,#REF!,#REF!,#REF!,#REF!,#REF!,#REF!,#REF!,#REF!,#REF!</definedName>
    <definedName name="__APW_RESTORE_DATA2989__" hidden="1">#REF!,#REF!,#REF!,#REF!,#REF!,#REF!,#REF!,#REF!,#REF!,#REF!,#REF!,#REF!,#REF!,#REF!,#REF!</definedName>
    <definedName name="__APW_RESTORE_DATA299__" hidden="1">#REF!,#REF!,#REF!,#REF!,#REF!,#REF!,#REF!,#REF!,#REF!,#REF!,#REF!,#REF!,#REF!,#REF!,#REF!</definedName>
    <definedName name="__APW_RESTORE_DATA2990__" hidden="1">#REF!,#REF!,#REF!,#REF!,#REF!,#REF!,#REF!,#REF!,#REF!,#REF!,#REF!,#REF!,#REF!,#REF!,#REF!</definedName>
    <definedName name="__APW_RESTORE_DATA2991__" hidden="1">#REF!,#REF!,#REF!,#REF!,#REF!,#REF!,#REF!,#REF!,#REF!,#REF!,#REF!,#REF!,#REF!,#REF!,#REF!</definedName>
    <definedName name="__APW_RESTORE_DATA2992__" hidden="1">#REF!,#REF!,#REF!,#REF!,#REF!,#REF!,#REF!,#REF!,#REF!,#REF!,#REF!,#REF!,#REF!,#REF!,#REF!</definedName>
    <definedName name="__APW_RESTORE_DATA2993__" hidden="1">#REF!,#REF!,#REF!,#REF!,#REF!,#REF!,#REF!,#REF!,#REF!,#REF!,#REF!,#REF!,#REF!,#REF!,#REF!</definedName>
    <definedName name="__APW_RESTORE_DATA2994__" hidden="1">#REF!,#REF!,#REF!,#REF!,#REF!,#REF!</definedName>
    <definedName name="__APW_RESTORE_DATA2995__" hidden="1">#REF!,#REF!,#REF!,#REF!,#REF!,#REF!,#REF!,#REF!,#REF!,#REF!,#REF!,#REF!,#REF!,#REF!,#REF!,#REF!</definedName>
    <definedName name="__APW_RESTORE_DATA2996__" hidden="1">#REF!,#REF!,#REF!,#REF!,#REF!,#REF!,#REF!,#REF!,#REF!,#REF!,#REF!,#REF!,#REF!,#REF!,#REF!,#REF!</definedName>
    <definedName name="__APW_RESTORE_DATA2997__" hidden="1">#REF!,#REF!,#REF!,#REF!,#REF!,#REF!,#REF!,#REF!,#REF!,#REF!,#REF!,#REF!,#REF!,#REF!,#REF!,#REF!</definedName>
    <definedName name="__APW_RESTORE_DATA2998__" hidden="1">#REF!,#REF!,#REF!,#REF!,#REF!,#REF!,#REF!,#REF!,#REF!,#REF!,#REF!,#REF!,#REF!,#REF!,#REF!,#REF!</definedName>
    <definedName name="__APW_RESTORE_DATA2999__" hidden="1">#REF!,#REF!,#REF!,#REF!,#REF!,#REF!,#REF!,#REF!,#REF!,#REF!,#REF!,#REF!,#REF!,#REF!,#REF!,#REF!</definedName>
    <definedName name="__APW_RESTORE_DATA3__" hidden="1">#REF!</definedName>
    <definedName name="__APW_RESTORE_DATA30__" hidden="1">#REF!,#REF!,#REF!,#REF!,#REF!,#REF!,#REF!,#REF!,#REF!,#REF!,#REF!,#REF!,#REF!,#REF!,#REF!,#REF!</definedName>
    <definedName name="__APW_RESTORE_DATA300__" hidden="1">#REF!,#REF!,#REF!,#REF!,#REF!,#REF!,#REF!,#REF!,#REF!,#REF!,#REF!,#REF!,#REF!,#REF!,#REF!</definedName>
    <definedName name="__APW_RESTORE_DATA3000__" hidden="1">#REF!,#REF!,#REF!,#REF!,#REF!,#REF!,#REF!,#REF!,#REF!,#REF!,#REF!,#REF!,#REF!,#REF!,#REF!,#REF!</definedName>
    <definedName name="__APW_RESTORE_DATA3001__" hidden="1">#REF!,#REF!,#REF!,#REF!,#REF!,#REF!,#REF!,#REF!,#REF!,#REF!,#REF!,#REF!,#REF!,#REF!,#REF!</definedName>
    <definedName name="__APW_RESTORE_DATA3002__" hidden="1">#REF!,#REF!,#REF!,#REF!,#REF!,#REF!,#REF!,#REF!,#REF!,#REF!,#REF!,#REF!,#REF!,#REF!,#REF!</definedName>
    <definedName name="__APW_RESTORE_DATA3003__" hidden="1">#REF!,#REF!,#REF!,#REF!,#REF!,#REF!,#REF!,#REF!,#REF!,#REF!,#REF!,#REF!,#REF!,#REF!,#REF!</definedName>
    <definedName name="__APW_RESTORE_DATA3004__" hidden="1">#REF!,#REF!,#REF!,#REF!,#REF!,#REF!,#REF!,#REF!,#REF!,#REF!,#REF!,#REF!,#REF!,#REF!,#REF!</definedName>
    <definedName name="__APW_RESTORE_DATA3005__" hidden="1">#REF!,#REF!,#REF!,#REF!,#REF!,#REF!,#REF!,#REF!,#REF!,#REF!,#REF!,#REF!,#REF!,#REF!,#REF!</definedName>
    <definedName name="__APW_RESTORE_DATA3006__" hidden="1">#REF!,#REF!,#REF!,#REF!,#REF!,#REF!,#REF!,#REF!,#REF!,#REF!,#REF!,#REF!,#REF!,#REF!,#REF!</definedName>
    <definedName name="__APW_RESTORE_DATA3007__" hidden="1">#REF!,#REF!,#REF!,#REF!,#REF!,#REF!,#REF!,#REF!,#REF!,#REF!,#REF!,#REF!,#REF!,#REF!,#REF!</definedName>
    <definedName name="__APW_RESTORE_DATA3008__" hidden="1">#REF!,#REF!,#REF!,#REF!,#REF!,#REF!,#REF!,#REF!,#REF!,#REF!,#REF!,#REF!,#REF!,#REF!,#REF!</definedName>
    <definedName name="__APW_RESTORE_DATA3009__" hidden="1">#REF!,#REF!,#REF!,#REF!,#REF!,#REF!,#REF!,#REF!,#REF!,#REF!,#REF!,#REF!,#REF!,#REF!,#REF!</definedName>
    <definedName name="__APW_RESTORE_DATA301__" hidden="1">#REF!,#REF!,#REF!,#REF!,#REF!,#REF!,#REF!,#REF!,#REF!,#REF!,#REF!,#REF!,#REF!,#REF!,#REF!</definedName>
    <definedName name="__APW_RESTORE_DATA3010__" hidden="1">#REF!,#REF!,#REF!,#REF!,#REF!,#REF!,#REF!,#REF!,#REF!,#REF!,#REF!,#REF!,#REF!,#REF!,#REF!</definedName>
    <definedName name="__APW_RESTORE_DATA3011__" hidden="1">#REF!,#REF!,#REF!,#REF!,#REF!,#REF!,#REF!,#REF!,#REF!,#REF!,#REF!,#REF!,#REF!,#REF!,#REF!</definedName>
    <definedName name="__APW_RESTORE_DATA3012__" hidden="1">#REF!,#REF!,#REF!,#REF!,#REF!,#REF!,#REF!,#REF!,#REF!,#REF!,#REF!,#REF!,#REF!,#REF!,#REF!</definedName>
    <definedName name="__APW_RESTORE_DATA3013__" hidden="1">#REF!,#REF!,#REF!,#REF!,#REF!,#REF!,#REF!,#REF!,#REF!,#REF!,#REF!,#REF!,#REF!,#REF!,#REF!</definedName>
    <definedName name="__APW_RESTORE_DATA3014__" hidden="1">#REF!,#REF!,#REF!,#REF!,#REF!,#REF!,#REF!,#REF!,#REF!,#REF!,#REF!,#REF!,#REF!,#REF!,#REF!</definedName>
    <definedName name="__APW_RESTORE_DATA3015__" hidden="1">#REF!,#REF!,#REF!,#REF!,#REF!,#REF!,#REF!,#REF!,#REF!,#REF!,#REF!,#REF!,#REF!,#REF!,#REF!</definedName>
    <definedName name="__APW_RESTORE_DATA3016__" hidden="1">#REF!,#REF!,#REF!,#REF!,#REF!,#REF!,#REF!,#REF!,#REF!,#REF!,#REF!,#REF!,#REF!,#REF!,#REF!</definedName>
    <definedName name="__APW_RESTORE_DATA3017__" hidden="1">#REF!,#REF!,#REF!,#REF!,#REF!,#REF!,#REF!,#REF!,#REF!,#REF!,#REF!,#REF!,#REF!,#REF!,#REF!</definedName>
    <definedName name="__APW_RESTORE_DATA3018__" hidden="1">#REF!,#REF!,#REF!,#REF!,#REF!,#REF!,#REF!,#REF!,#REF!,#REF!,#REF!,#REF!,#REF!,#REF!,#REF!</definedName>
    <definedName name="__APW_RESTORE_DATA3019__" hidden="1">#REF!,#REF!,#REF!,#REF!,#REF!,#REF!,#REF!,#REF!,#REF!,#REF!,#REF!,#REF!,#REF!,#REF!,#REF!</definedName>
    <definedName name="__APW_RESTORE_DATA302__" hidden="1">#REF!,#REF!,#REF!,#REF!,#REF!,#REF!,#REF!,#REF!,#REF!,#REF!,#REF!,#REF!,#REF!,#REF!,#REF!</definedName>
    <definedName name="__APW_RESTORE_DATA3020__" hidden="1">#REF!,#REF!,#REF!,#REF!,#REF!,#REF!,#REF!,#REF!,#REF!,#REF!,#REF!,#REF!,#REF!,#REF!,#REF!</definedName>
    <definedName name="__APW_RESTORE_DATA3021__" hidden="1">#REF!,#REF!,#REF!,#REF!,#REF!,#REF!,#REF!,#REF!,#REF!,#REF!,#REF!,#REF!,#REF!,#REF!,#REF!</definedName>
    <definedName name="__APW_RESTORE_DATA3022__" hidden="1">#REF!,#REF!,#REF!,#REF!,#REF!,#REF!,#REF!,#REF!,#REF!,#REF!,#REF!,#REF!,#REF!,#REF!,#REF!</definedName>
    <definedName name="__APW_RESTORE_DATA3023__" hidden="1">#REF!,#REF!,#REF!,#REF!,#REF!,#REF!,#REF!,#REF!,#REF!,#REF!,#REF!,#REF!,#REF!,#REF!,#REF!</definedName>
    <definedName name="__APW_RESTORE_DATA3024__" hidden="1">#REF!,#REF!,#REF!,#REF!,#REF!,#REF!,#REF!,#REF!,#REF!,#REF!,#REF!,#REF!,#REF!,#REF!,#REF!</definedName>
    <definedName name="__APW_RESTORE_DATA3025__" hidden="1">#REF!,#REF!,#REF!,#REF!,#REF!,#REF!,#REF!,#REF!,#REF!,#REF!,#REF!,#REF!,#REF!,#REF!,#REF!</definedName>
    <definedName name="__APW_RESTORE_DATA3026__" hidden="1">#REF!,#REF!,#REF!,#REF!,#REF!,#REF!,#REF!,#REF!,#REF!,#REF!,#REF!,#REF!,#REF!,#REF!,#REF!</definedName>
    <definedName name="__APW_RESTORE_DATA3027__" hidden="1">#REF!,#REF!,#REF!,#REF!,#REF!,#REF!,#REF!,#REF!,#REF!,#REF!,#REF!,#REF!,#REF!,#REF!,#REF!</definedName>
    <definedName name="__APW_RESTORE_DATA3028__" hidden="1">#REF!,#REF!,#REF!,#REF!,#REF!,#REF!,#REF!,#REF!,#REF!,#REF!,#REF!,#REF!,#REF!,#REF!,#REF!</definedName>
    <definedName name="__APW_RESTORE_DATA3029__" hidden="1">#REF!,#REF!,#REF!,#REF!,#REF!,#REF!</definedName>
    <definedName name="__APW_RESTORE_DATA303__" hidden="1">#REF!,#REF!,#REF!,#REF!,#REF!,#REF!,#REF!,#REF!,#REF!,#REF!,#REF!,#REF!,#REF!,#REF!,#REF!</definedName>
    <definedName name="__APW_RESTORE_DATA3030__" hidden="1">#REF!</definedName>
    <definedName name="__APW_RESTORE_DATA3031__" hidden="1">#REF!</definedName>
    <definedName name="__APW_RESTORE_DATA3032__" hidden="1">#REF!</definedName>
    <definedName name="__APW_RESTORE_DATA3034__" hidden="1">#REF!</definedName>
    <definedName name="__APW_RESTORE_DATA3035__" hidden="1">#REF!,#REF!,#REF!,#REF!,#REF!,#REF!,#REF!,#REF!,#REF!,#REF!,#REF!,#REF!,#REF!,#REF!,#REF!,#REF!</definedName>
    <definedName name="__APW_RESTORE_DATA3036__" hidden="1">#REF!,#REF!,#REF!,#REF!,#REF!,#REF!,#REF!,#REF!,#REF!,#REF!,#REF!,#REF!,#REF!,#REF!,#REF!,#REF!</definedName>
    <definedName name="__APW_RESTORE_DATA3037__" hidden="1">#REF!,#REF!,#REF!,#REF!,#REF!,#REF!,#REF!,#REF!,#REF!,#REF!,#REF!,#REF!,#REF!,#REF!,#REF!,#REF!</definedName>
    <definedName name="__APW_RESTORE_DATA3038__" hidden="1">#REF!,#REF!,#REF!,#REF!,#REF!,#REF!,#REF!,#REF!,#REF!,#REF!,#REF!,#REF!,#REF!,#REF!,#REF!,#REF!</definedName>
    <definedName name="__APW_RESTORE_DATA3039__" hidden="1">#REF!,#REF!,#REF!,#REF!,#REF!,#REF!,#REF!,#REF!,#REF!,#REF!,#REF!,#REF!,#REF!,#REF!,#REF!,#REF!</definedName>
    <definedName name="__APW_RESTORE_DATA304__" hidden="1">#REF!,#REF!,#REF!,#REF!,#REF!,#REF!,#REF!,#REF!,#REF!,#REF!,#REF!,#REF!,#REF!,#REF!,#REF!</definedName>
    <definedName name="__APW_RESTORE_DATA3040__" hidden="1">#REF!,#REF!,#REF!,#REF!,#REF!,#REF!,#REF!,#REF!,#REF!,#REF!,#REF!,#REF!,#REF!,#REF!,#REF!,#REF!</definedName>
    <definedName name="__APW_RESTORE_DATA3041__" hidden="1">#REF!,#REF!,#REF!,#REF!,#REF!,#REF!,#REF!,#REF!,#REF!,#REF!,#REF!,#REF!,#REF!,#REF!,#REF!</definedName>
    <definedName name="__APW_RESTORE_DATA3042__" hidden="1">#REF!,#REF!,#REF!,#REF!,#REF!,#REF!,#REF!,#REF!,#REF!,#REF!,#REF!,#REF!,#REF!,#REF!,#REF!</definedName>
    <definedName name="__APW_RESTORE_DATA3043__" hidden="1">#REF!,#REF!,#REF!,#REF!,#REF!,#REF!,#REF!,#REF!,#REF!,#REF!,#REF!,#REF!,#REF!,#REF!,#REF!</definedName>
    <definedName name="__APW_RESTORE_DATA3044__" hidden="1">#REF!,#REF!,#REF!,#REF!,#REF!,#REF!,#REF!,#REF!,#REF!,#REF!,#REF!,#REF!,#REF!,#REF!,#REF!</definedName>
    <definedName name="__APW_RESTORE_DATA3045__" hidden="1">#REF!,#REF!,#REF!,#REF!,#REF!,#REF!,#REF!,#REF!,#REF!,#REF!,#REF!,#REF!,#REF!,#REF!,#REF!</definedName>
    <definedName name="__APW_RESTORE_DATA3046__" hidden="1">#REF!,#REF!,#REF!,#REF!,#REF!,#REF!,#REF!,#REF!,#REF!,#REF!,#REF!,#REF!,#REF!,#REF!,#REF!</definedName>
    <definedName name="__APW_RESTORE_DATA3047__" hidden="1">#REF!,#REF!,#REF!,#REF!,#REF!,#REF!,#REF!,#REF!,#REF!,#REF!,#REF!,#REF!,#REF!,#REF!,#REF!</definedName>
    <definedName name="__APW_RESTORE_DATA3048__" hidden="1">#REF!,#REF!,#REF!,#REF!,#REF!,#REF!,#REF!,#REF!,#REF!,#REF!,#REF!,#REF!,#REF!,#REF!,#REF!</definedName>
    <definedName name="__APW_RESTORE_DATA3049__" hidden="1">#REF!,#REF!,#REF!,#REF!,#REF!,#REF!,#REF!,#REF!,#REF!,#REF!,#REF!,#REF!,#REF!,#REF!,#REF!</definedName>
    <definedName name="__APW_RESTORE_DATA305__" hidden="1">#REF!,#REF!,#REF!,#REF!,#REF!,#REF!,#REF!,#REF!,#REF!,#REF!,#REF!,#REF!,#REF!,#REF!,#REF!</definedName>
    <definedName name="__APW_RESTORE_DATA3050__" hidden="1">#REF!,#REF!,#REF!,#REF!,#REF!,#REF!,#REF!,#REF!,#REF!,#REF!,#REF!,#REF!,#REF!,#REF!,#REF!</definedName>
    <definedName name="__APW_RESTORE_DATA3051__" hidden="1">#REF!,#REF!,#REF!,#REF!,#REF!,#REF!,#REF!,#REF!,#REF!,#REF!,#REF!,#REF!,#REF!,#REF!,#REF!</definedName>
    <definedName name="__APW_RESTORE_DATA3052__" hidden="1">#REF!,#REF!,#REF!,#REF!,#REF!,#REF!,#REF!,#REF!,#REF!,#REF!,#REF!,#REF!,#REF!,#REF!,#REF!</definedName>
    <definedName name="__APW_RESTORE_DATA3053__" hidden="1">#REF!,#REF!,#REF!,#REF!,#REF!,#REF!,#REF!,#REF!,#REF!,#REF!,#REF!,#REF!,#REF!,#REF!,#REF!</definedName>
    <definedName name="__APW_RESTORE_DATA3054__" hidden="1">#REF!,#REF!,#REF!,#REF!,#REF!,#REF!,#REF!,#REF!,#REF!,#REF!,#REF!,#REF!,#REF!,#REF!,#REF!</definedName>
    <definedName name="__APW_RESTORE_DATA3055__" hidden="1">#REF!,#REF!,#REF!,#REF!,#REF!,#REF!,#REF!,#REF!,#REF!,#REF!,#REF!,#REF!,#REF!,#REF!,#REF!</definedName>
    <definedName name="__APW_RESTORE_DATA3056__" hidden="1">#REF!,#REF!,#REF!,#REF!,#REF!,#REF!,#REF!,#REF!,#REF!,#REF!,#REF!,#REF!,#REF!,#REF!,#REF!</definedName>
    <definedName name="__APW_RESTORE_DATA3057__" hidden="1">#REF!,#REF!,#REF!,#REF!,#REF!,#REF!,#REF!,#REF!,#REF!,#REF!,#REF!,#REF!,#REF!,#REF!,#REF!</definedName>
    <definedName name="__APW_RESTORE_DATA3058__" hidden="1">#REF!,#REF!,#REF!,#REF!,#REF!,#REF!,#REF!,#REF!,#REF!,#REF!,#REF!,#REF!,#REF!,#REF!,#REF!</definedName>
    <definedName name="__APW_RESTORE_DATA3059__" hidden="1">#REF!,#REF!,#REF!,#REF!,#REF!,#REF!,#REF!,#REF!,#REF!,#REF!,#REF!,#REF!,#REF!,#REF!,#REF!</definedName>
    <definedName name="__APW_RESTORE_DATA306__" hidden="1">#REF!,#REF!,#REF!,#REF!,#REF!,#REF!,#REF!,#REF!,#REF!,#REF!,#REF!,#REF!,#REF!,#REF!,#REF!</definedName>
    <definedName name="__APW_RESTORE_DATA3060__" hidden="1">#REF!,#REF!,#REF!,#REF!,#REF!,#REF!,#REF!,#REF!,#REF!,#REF!,#REF!,#REF!,#REF!,#REF!,#REF!</definedName>
    <definedName name="__APW_RESTORE_DATA3061__" hidden="1">#REF!,#REF!,#REF!,#REF!,#REF!,#REF!,#REF!,#REF!,#REF!,#REF!,#REF!,#REF!,#REF!,#REF!,#REF!</definedName>
    <definedName name="__APW_RESTORE_DATA3062__" hidden="1">#REF!,#REF!,#REF!,#REF!,#REF!,#REF!,#REF!,#REF!,#REF!,#REF!,#REF!,#REF!,#REF!,#REF!,#REF!</definedName>
    <definedName name="__APW_RESTORE_DATA3063__" hidden="1">#REF!,#REF!,#REF!,#REF!,#REF!,#REF!,#REF!,#REF!,#REF!,#REF!,#REF!,#REF!,#REF!,#REF!,#REF!</definedName>
    <definedName name="__APW_RESTORE_DATA3064__" hidden="1">#REF!,#REF!,#REF!,#REF!,#REF!,#REF!,#REF!,#REF!,#REF!,#REF!,#REF!,#REF!,#REF!,#REF!,#REF!</definedName>
    <definedName name="__APW_RESTORE_DATA3065__" hidden="1">#REF!,#REF!,#REF!,#REF!,#REF!,#REF!,#REF!,#REF!,#REF!,#REF!,#REF!,#REF!,#REF!,#REF!,#REF!</definedName>
    <definedName name="__APW_RESTORE_DATA3066__" hidden="1">#REF!,#REF!,#REF!,#REF!,#REF!,#REF!,#REF!,#REF!,#REF!,#REF!,#REF!,#REF!,#REF!,#REF!,#REF!</definedName>
    <definedName name="__APW_RESTORE_DATA3067__" hidden="1">#REF!,#REF!,#REF!,#REF!,#REF!,#REF!,#REF!,#REF!,#REF!,#REF!,#REF!,#REF!,#REF!,#REF!,#REF!</definedName>
    <definedName name="__APW_RESTORE_DATA3068__" hidden="1">#REF!,#REF!,#REF!,#REF!,#REF!,#REF!,#REF!,#REF!,#REF!,#REF!,#REF!,#REF!,#REF!,#REF!,#REF!</definedName>
    <definedName name="__APW_RESTORE_DATA3069__" hidden="1">#REF!,#REF!,#REF!,#REF!,#REF!,#REF!</definedName>
    <definedName name="__APW_RESTORE_DATA307__" hidden="1">#REF!,#REF!,#REF!,#REF!,#REF!,#REF!,#REF!,#REF!,#REF!,#REF!,#REF!,#REF!,#REF!,#REF!,#REF!</definedName>
    <definedName name="__APW_RESTORE_DATA3070__" hidden="1">#REF!,#REF!,#REF!,#REF!,#REF!,#REF!,#REF!,#REF!,#REF!,#REF!,#REF!,#REF!,#REF!,#REF!,#REF!,#REF!</definedName>
    <definedName name="__APW_RESTORE_DATA3071__" hidden="1">#REF!,#REF!,#REF!,#REF!,#REF!,#REF!,#REF!,#REF!,#REF!,#REF!,#REF!,#REF!,#REF!,#REF!,#REF!,#REF!</definedName>
    <definedName name="__APW_RESTORE_DATA3072__" hidden="1">#REF!,#REF!,#REF!,#REF!,#REF!,#REF!,#REF!,#REF!,#REF!,#REF!,#REF!,#REF!,#REF!,#REF!,#REF!,#REF!</definedName>
    <definedName name="__APW_RESTORE_DATA3073__" hidden="1">#REF!,#REF!,#REF!,#REF!,#REF!,#REF!,#REF!,#REF!,#REF!,#REF!,#REF!,#REF!,#REF!,#REF!,#REF!,#REF!</definedName>
    <definedName name="__APW_RESTORE_DATA3074__" hidden="1">#REF!,#REF!,#REF!,#REF!,#REF!,#REF!,#REF!,#REF!,#REF!,#REF!,#REF!,#REF!,#REF!,#REF!,#REF!,#REF!</definedName>
    <definedName name="__APW_RESTORE_DATA3075__" hidden="1">#REF!,#REF!,#REF!,#REF!,#REF!,#REF!,#REF!,#REF!,#REF!,#REF!,#REF!,#REF!,#REF!,#REF!,#REF!,#REF!</definedName>
    <definedName name="__APW_RESTORE_DATA3076__" hidden="1">#REF!,#REF!,#REF!,#REF!,#REF!,#REF!,#REF!,#REF!,#REF!,#REF!,#REF!,#REF!,#REF!,#REF!,#REF!</definedName>
    <definedName name="__APW_RESTORE_DATA3077__" hidden="1">#REF!,#REF!,#REF!,#REF!,#REF!,#REF!,#REF!,#REF!,#REF!,#REF!,#REF!,#REF!,#REF!,#REF!,#REF!</definedName>
    <definedName name="__APW_RESTORE_DATA3078__" hidden="1">#REF!,#REF!,#REF!,#REF!,#REF!,#REF!,#REF!,#REF!,#REF!,#REF!,#REF!,#REF!,#REF!,#REF!,#REF!</definedName>
    <definedName name="__APW_RESTORE_DATA3079__" hidden="1">#REF!,#REF!,#REF!,#REF!,#REF!,#REF!,#REF!,#REF!,#REF!,#REF!,#REF!,#REF!,#REF!,#REF!,#REF!</definedName>
    <definedName name="__APW_RESTORE_DATA308__" hidden="1">#REF!,#REF!,#REF!,#REF!,#REF!,#REF!,#REF!,#REF!,#REF!,#REF!,#REF!,#REF!,#REF!,#REF!,#REF!</definedName>
    <definedName name="__APW_RESTORE_DATA3080__" hidden="1">#REF!,#REF!,#REF!,#REF!,#REF!,#REF!,#REF!,#REF!,#REF!,#REF!,#REF!,#REF!,#REF!,#REF!,#REF!</definedName>
    <definedName name="__APW_RESTORE_DATA3081__" hidden="1">#REF!,#REF!,#REF!,#REF!,#REF!,#REF!,#REF!,#REF!,#REF!,#REF!,#REF!,#REF!,#REF!,#REF!,#REF!</definedName>
    <definedName name="__APW_RESTORE_DATA3082__" hidden="1">#REF!,#REF!,#REF!,#REF!,#REF!,#REF!,#REF!,#REF!,#REF!,#REF!,#REF!,#REF!,#REF!,#REF!,#REF!</definedName>
    <definedName name="__APW_RESTORE_DATA3083__" hidden="1">#REF!,#REF!,#REF!,#REF!,#REF!,#REF!,#REF!,#REF!,#REF!,#REF!,#REF!,#REF!,#REF!,#REF!,#REF!</definedName>
    <definedName name="__APW_RESTORE_DATA3084__" hidden="1">#REF!,#REF!,#REF!,#REF!,#REF!,#REF!,#REF!,#REF!,#REF!,#REF!,#REF!,#REF!,#REF!,#REF!,#REF!</definedName>
    <definedName name="__APW_RESTORE_DATA3085__" hidden="1">#REF!,#REF!,#REF!,#REF!,#REF!,#REF!,#REF!,#REF!,#REF!,#REF!,#REF!,#REF!,#REF!,#REF!,#REF!</definedName>
    <definedName name="__APW_RESTORE_DATA3086__" hidden="1">#REF!,#REF!,#REF!,#REF!,#REF!,#REF!,#REF!,#REF!,#REF!,#REF!,#REF!,#REF!,#REF!,#REF!,#REF!</definedName>
    <definedName name="__APW_RESTORE_DATA3087__" hidden="1">#REF!,#REF!,#REF!,#REF!,#REF!,#REF!,#REF!,#REF!,#REF!,#REF!,#REF!,#REF!,#REF!,#REF!,#REF!</definedName>
    <definedName name="__APW_RESTORE_DATA3088__" hidden="1">#REF!,#REF!,#REF!,#REF!,#REF!,#REF!,#REF!,#REF!,#REF!,#REF!,#REF!,#REF!,#REF!,#REF!,#REF!</definedName>
    <definedName name="__APW_RESTORE_DATA3089__" hidden="1">#REF!,#REF!,#REF!,#REF!,#REF!,#REF!,#REF!,#REF!,#REF!,#REF!,#REF!,#REF!,#REF!,#REF!,#REF!</definedName>
    <definedName name="__APW_RESTORE_DATA309__" hidden="1">#REF!,#REF!,#REF!,#REF!,#REF!,#REF!,#REF!,#REF!,#REF!,#REF!,#REF!,#REF!,#REF!,#REF!,#REF!</definedName>
    <definedName name="__APW_RESTORE_DATA3090__" hidden="1">#REF!,#REF!,#REF!,#REF!,#REF!,#REF!,#REF!,#REF!,#REF!,#REF!,#REF!,#REF!,#REF!,#REF!,#REF!</definedName>
    <definedName name="__APW_RESTORE_DATA3091__" hidden="1">#REF!,#REF!,#REF!,#REF!,#REF!,#REF!,#REF!,#REF!,#REF!,#REF!,#REF!,#REF!,#REF!,#REF!,#REF!</definedName>
    <definedName name="__APW_RESTORE_DATA3092__" hidden="1">#REF!,#REF!,#REF!,#REF!,#REF!,#REF!,#REF!,#REF!,#REF!,#REF!,#REF!,#REF!,#REF!,#REF!,#REF!</definedName>
    <definedName name="__APW_RESTORE_DATA3093__" hidden="1">#REF!,#REF!,#REF!,#REF!,#REF!,#REF!,#REF!,#REF!,#REF!,#REF!,#REF!,#REF!,#REF!,#REF!,#REF!</definedName>
    <definedName name="__APW_RESTORE_DATA3094__" hidden="1">#REF!,#REF!,#REF!,#REF!,#REF!,#REF!,#REF!,#REF!,#REF!,#REF!,#REF!,#REF!,#REF!,#REF!,#REF!</definedName>
    <definedName name="__APW_RESTORE_DATA3095__" hidden="1">#REF!,#REF!,#REF!,#REF!,#REF!,#REF!,#REF!,#REF!,#REF!,#REF!,#REF!,#REF!,#REF!,#REF!,#REF!</definedName>
    <definedName name="__APW_RESTORE_DATA3096__" hidden="1">#REF!,#REF!,#REF!,#REF!,#REF!,#REF!,#REF!,#REF!,#REF!,#REF!,#REF!,#REF!,#REF!,#REF!,#REF!</definedName>
    <definedName name="__APW_RESTORE_DATA3097__" hidden="1">#REF!,#REF!,#REF!,#REF!,#REF!,#REF!,#REF!,#REF!,#REF!,#REF!,#REF!,#REF!,#REF!,#REF!,#REF!</definedName>
    <definedName name="__APW_RESTORE_DATA3098__" hidden="1">#REF!,#REF!,#REF!,#REF!,#REF!,#REF!,#REF!,#REF!,#REF!,#REF!,#REF!,#REF!,#REF!,#REF!,#REF!</definedName>
    <definedName name="__APW_RESTORE_DATA3099__" hidden="1">#REF!,#REF!,#REF!,#REF!,#REF!,#REF!,#REF!,#REF!,#REF!,#REF!,#REF!,#REF!,#REF!,#REF!,#REF!</definedName>
    <definedName name="__APW_RESTORE_DATA31__" hidden="1">#REF!,#REF!,#REF!,#REF!,#REF!,#REF!,#REF!,#REF!,#REF!,#REF!,#REF!,#REF!,#REF!,#REF!,#REF!</definedName>
    <definedName name="__APW_RESTORE_DATA310__" hidden="1">#REF!,#REF!,#REF!,#REF!,#REF!,#REF!,#REF!,#REF!,#REF!,#REF!,#REF!,#REF!,#REF!,#REF!,#REF!</definedName>
    <definedName name="__APW_RESTORE_DATA3100__" hidden="1">#REF!,#REF!,#REF!,#REF!,#REF!,#REF!,#REF!,#REF!,#REF!,#REF!,#REF!,#REF!,#REF!,#REF!,#REF!</definedName>
    <definedName name="__APW_RESTORE_DATA3101__" hidden="1">#REF!,#REF!,#REF!,#REF!,#REF!,#REF!,#REF!,#REF!,#REF!,#REF!,#REF!,#REF!,#REF!,#REF!,#REF!</definedName>
    <definedName name="__APW_RESTORE_DATA3102__" hidden="1">#REF!,#REF!,#REF!,#REF!,#REF!,#REF!,#REF!,#REF!,#REF!,#REF!,#REF!,#REF!,#REF!,#REF!,#REF!</definedName>
    <definedName name="__APW_RESTORE_DATA3103__" hidden="1">#REF!,#REF!,#REF!,#REF!,#REF!,#REF!,#REF!,#REF!,#REF!,#REF!,#REF!,#REF!,#REF!,#REF!,#REF!</definedName>
    <definedName name="__APW_RESTORE_DATA3104__" hidden="1">#REF!,#REF!,#REF!,#REF!,#REF!,#REF!</definedName>
    <definedName name="__APW_RESTORE_DATA3105__" hidden="1">#REF!,#REF!,#REF!,#REF!,#REF!,#REF!,#REF!,#REF!,#REF!,#REF!,#REF!,#REF!,#REF!,#REF!,#REF!,#REF!</definedName>
    <definedName name="__APW_RESTORE_DATA3106__" hidden="1">#REF!,#REF!,#REF!,#REF!,#REF!,#REF!,#REF!,#REF!,#REF!,#REF!,#REF!,#REF!,#REF!,#REF!,#REF!,#REF!</definedName>
    <definedName name="__APW_RESTORE_DATA3107__" hidden="1">#REF!,#REF!,#REF!,#REF!,#REF!,#REF!,#REF!,#REF!,#REF!,#REF!,#REF!,#REF!,#REF!,#REF!,#REF!,#REF!</definedName>
    <definedName name="__APW_RESTORE_DATA3108__" hidden="1">#REF!,#REF!,#REF!,#REF!,#REF!,#REF!,#REF!,#REF!,#REF!,#REF!,#REF!,#REF!,#REF!,#REF!,#REF!,#REF!</definedName>
    <definedName name="__APW_RESTORE_DATA3109__" hidden="1">#REF!,#REF!,#REF!,#REF!,#REF!,#REF!,#REF!,#REF!,#REF!,#REF!,#REF!,#REF!,#REF!,#REF!,#REF!,#REF!</definedName>
    <definedName name="__APW_RESTORE_DATA311__" hidden="1">#REF!,#REF!,#REF!,#REF!,#REF!,#REF!,#REF!,#REF!,#REF!,#REF!,#REF!,#REF!,#REF!,#REF!,#REF!</definedName>
    <definedName name="__APW_RESTORE_DATA3110__" hidden="1">#REF!,#REF!,#REF!,#REF!,#REF!,#REF!,#REF!,#REF!,#REF!,#REF!,#REF!,#REF!,#REF!,#REF!,#REF!,#REF!</definedName>
    <definedName name="__APW_RESTORE_DATA3111__" hidden="1">#REF!,#REF!,#REF!,#REF!,#REF!,#REF!,#REF!,#REF!,#REF!,#REF!,#REF!,#REF!,#REF!,#REF!,#REF!</definedName>
    <definedName name="__APW_RESTORE_DATA3112__" hidden="1">#REF!,#REF!,#REF!,#REF!,#REF!,#REF!,#REF!,#REF!,#REF!,#REF!,#REF!,#REF!,#REF!,#REF!,#REF!</definedName>
    <definedName name="__APW_RESTORE_DATA3113__" hidden="1">#REF!,#REF!,#REF!,#REF!,#REF!,#REF!,#REF!,#REF!,#REF!,#REF!,#REF!,#REF!,#REF!,#REF!,#REF!</definedName>
    <definedName name="__APW_RESTORE_DATA3114__" hidden="1">#REF!,#REF!,#REF!,#REF!,#REF!,#REF!,#REF!,#REF!,#REF!,#REF!,#REF!,#REF!,#REF!,#REF!,#REF!</definedName>
    <definedName name="__APW_RESTORE_DATA3115__" hidden="1">#REF!,#REF!,#REF!,#REF!,#REF!,#REF!,#REF!,#REF!,#REF!,#REF!,#REF!,#REF!,#REF!,#REF!,#REF!</definedName>
    <definedName name="__APW_RESTORE_DATA3116__" hidden="1">#REF!,#REF!,#REF!,#REF!,#REF!,#REF!,#REF!,#REF!,#REF!,#REF!,#REF!,#REF!,#REF!,#REF!,#REF!</definedName>
    <definedName name="__APW_RESTORE_DATA3117__" hidden="1">#REF!,#REF!,#REF!,#REF!,#REF!,#REF!,#REF!,#REF!,#REF!,#REF!,#REF!,#REF!,#REF!,#REF!,#REF!</definedName>
    <definedName name="__APW_RESTORE_DATA3118__" hidden="1">#REF!,#REF!,#REF!,#REF!,#REF!,#REF!,#REF!,#REF!,#REF!,#REF!,#REF!,#REF!,#REF!,#REF!,#REF!</definedName>
    <definedName name="__APW_RESTORE_DATA3119__" hidden="1">#REF!,#REF!,#REF!,#REF!,#REF!,#REF!,#REF!,#REF!,#REF!,#REF!,#REF!,#REF!,#REF!,#REF!,#REF!</definedName>
    <definedName name="__APW_RESTORE_DATA312__" hidden="1">#REF!,#REF!,#REF!,#REF!,#REF!,#REF!,#REF!,#REF!,#REF!,#REF!,#REF!,#REF!,#REF!,#REF!,#REF!</definedName>
    <definedName name="__APW_RESTORE_DATA3120__" hidden="1">#REF!,#REF!,#REF!,#REF!,#REF!,#REF!,#REF!,#REF!,#REF!,#REF!,#REF!,#REF!,#REF!,#REF!,#REF!</definedName>
    <definedName name="__APW_RESTORE_DATA3121__" hidden="1">#REF!,#REF!,#REF!,#REF!,#REF!,#REF!,#REF!,#REF!,#REF!,#REF!,#REF!,#REF!,#REF!,#REF!,#REF!</definedName>
    <definedName name="__APW_RESTORE_DATA3122__" hidden="1">#REF!,#REF!,#REF!,#REF!,#REF!,#REF!,#REF!,#REF!,#REF!,#REF!,#REF!,#REF!,#REF!,#REF!,#REF!</definedName>
    <definedName name="__APW_RESTORE_DATA3123__" hidden="1">#REF!,#REF!,#REF!,#REF!,#REF!,#REF!,#REF!,#REF!,#REF!,#REF!,#REF!,#REF!,#REF!,#REF!,#REF!</definedName>
    <definedName name="__APW_RESTORE_DATA3124__" hidden="1">#REF!,#REF!,#REF!,#REF!,#REF!,#REF!,#REF!,#REF!,#REF!,#REF!,#REF!,#REF!,#REF!,#REF!,#REF!</definedName>
    <definedName name="__APW_RESTORE_DATA3125__" hidden="1">#REF!,#REF!,#REF!,#REF!,#REF!,#REF!,#REF!,#REF!,#REF!,#REF!,#REF!,#REF!,#REF!,#REF!,#REF!</definedName>
    <definedName name="__APW_RESTORE_DATA3126__" hidden="1">#REF!,#REF!,#REF!,#REF!,#REF!,#REF!,#REF!,#REF!,#REF!,#REF!,#REF!,#REF!,#REF!,#REF!,#REF!</definedName>
    <definedName name="__APW_RESTORE_DATA3127__" hidden="1">#REF!,#REF!,#REF!,#REF!,#REF!,#REF!,#REF!,#REF!,#REF!,#REF!,#REF!,#REF!,#REF!,#REF!,#REF!</definedName>
    <definedName name="__APW_RESTORE_DATA3128__" hidden="1">#REF!,#REF!,#REF!,#REF!,#REF!,#REF!,#REF!,#REF!,#REF!,#REF!,#REF!,#REF!,#REF!,#REF!,#REF!</definedName>
    <definedName name="__APW_RESTORE_DATA3129__" hidden="1">#REF!,#REF!,#REF!,#REF!,#REF!,#REF!,#REF!,#REF!,#REF!,#REF!,#REF!,#REF!,#REF!,#REF!,#REF!</definedName>
    <definedName name="__APW_RESTORE_DATA313__" hidden="1">#REF!,#REF!</definedName>
    <definedName name="__APW_RESTORE_DATA3130__" hidden="1">#REF!,#REF!,#REF!,#REF!,#REF!,#REF!,#REF!,#REF!,#REF!,#REF!,#REF!,#REF!,#REF!,#REF!,#REF!</definedName>
    <definedName name="__APW_RESTORE_DATA3131__" hidden="1">#REF!,#REF!,#REF!,#REF!,#REF!,#REF!,#REF!,#REF!,#REF!,#REF!,#REF!,#REF!,#REF!,#REF!,#REF!</definedName>
    <definedName name="__APW_RESTORE_DATA3132__" hidden="1">#REF!,#REF!,#REF!,#REF!,#REF!,#REF!,#REF!,#REF!,#REF!,#REF!,#REF!,#REF!,#REF!,#REF!,#REF!</definedName>
    <definedName name="__APW_RESTORE_DATA3133__" hidden="1">#REF!,#REF!,#REF!,#REF!,#REF!,#REF!,#REF!,#REF!,#REF!,#REF!,#REF!,#REF!,#REF!,#REF!,#REF!</definedName>
    <definedName name="__APW_RESTORE_DATA3134__" hidden="1">#REF!,#REF!,#REF!,#REF!,#REF!,#REF!,#REF!,#REF!,#REF!,#REF!,#REF!,#REF!,#REF!,#REF!,#REF!</definedName>
    <definedName name="__APW_RESTORE_DATA3135__" hidden="1">#REF!,#REF!,#REF!,#REF!,#REF!,#REF!,#REF!,#REF!,#REF!,#REF!,#REF!,#REF!,#REF!,#REF!,#REF!</definedName>
    <definedName name="__APW_RESTORE_DATA3136__" hidden="1">#REF!,#REF!,#REF!,#REF!,#REF!,#REF!,#REF!,#REF!,#REF!,#REF!,#REF!,#REF!,#REF!,#REF!,#REF!</definedName>
    <definedName name="__APW_RESTORE_DATA3137__" hidden="1">#REF!,#REF!,#REF!,#REF!,#REF!,#REF!,#REF!,#REF!,#REF!,#REF!,#REF!,#REF!,#REF!,#REF!,#REF!</definedName>
    <definedName name="__APW_RESTORE_DATA3138__" hidden="1">#REF!,#REF!,#REF!,#REF!,#REF!,#REF!,#REF!,#REF!,#REF!,#REF!,#REF!,#REF!,#REF!,#REF!,#REF!</definedName>
    <definedName name="__APW_RESTORE_DATA3139__" hidden="1">#REF!,#REF!,#REF!,#REF!,#REF!,#REF!</definedName>
    <definedName name="__APW_RESTORE_DATA314__" hidden="1">#REF!,#REF!</definedName>
    <definedName name="__APW_RESTORE_DATA3140__" hidden="1">#REF!,#REF!,#REF!,#REF!,#REF!,#REF!,#REF!,#REF!,#REF!,#REF!,#REF!,#REF!,#REF!,#REF!,#REF!,#REF!</definedName>
    <definedName name="__APW_RESTORE_DATA3141__" hidden="1">#REF!,#REF!,#REF!,#REF!,#REF!,#REF!,#REF!,#REF!,#REF!,#REF!,#REF!,#REF!,#REF!,#REF!,#REF!,#REF!</definedName>
    <definedName name="__APW_RESTORE_DATA3142__" hidden="1">#REF!,#REF!,#REF!,#REF!,#REF!,#REF!,#REF!,#REF!,#REF!,#REF!,#REF!,#REF!,#REF!,#REF!,#REF!,#REF!</definedName>
    <definedName name="__APW_RESTORE_DATA3143__" hidden="1">#REF!,#REF!,#REF!,#REF!,#REF!,#REF!,#REF!,#REF!,#REF!,#REF!,#REF!,#REF!,#REF!,#REF!,#REF!,#REF!</definedName>
    <definedName name="__APW_RESTORE_DATA3144__" hidden="1">#REF!,#REF!,#REF!,#REF!,#REF!,#REF!,#REF!,#REF!,#REF!,#REF!,#REF!,#REF!,#REF!,#REF!,#REF!,#REF!</definedName>
    <definedName name="__APW_RESTORE_DATA3145__" hidden="1">#REF!,#REF!,#REF!,#REF!,#REF!,#REF!,#REF!,#REF!,#REF!,#REF!,#REF!,#REF!,#REF!,#REF!,#REF!,#REF!</definedName>
    <definedName name="__APW_RESTORE_DATA3146__" hidden="1">#REF!,#REF!,#REF!,#REF!,#REF!,#REF!,#REF!,#REF!,#REF!,#REF!,#REF!,#REF!,#REF!,#REF!,#REF!</definedName>
    <definedName name="__APW_RESTORE_DATA3147__" hidden="1">#REF!,#REF!,#REF!,#REF!,#REF!,#REF!,#REF!,#REF!,#REF!,#REF!,#REF!,#REF!,#REF!,#REF!,#REF!</definedName>
    <definedName name="__APW_RESTORE_DATA3148__" hidden="1">#REF!,#REF!,#REF!,#REF!,#REF!,#REF!,#REF!,#REF!,#REF!,#REF!,#REF!,#REF!,#REF!,#REF!,#REF!</definedName>
    <definedName name="__APW_RESTORE_DATA3149__" hidden="1">#REF!,#REF!,#REF!,#REF!,#REF!,#REF!,#REF!,#REF!,#REF!,#REF!,#REF!,#REF!,#REF!,#REF!,#REF!</definedName>
    <definedName name="__APW_RESTORE_DATA315__" hidden="1">#REF!,#REF!,#REF!,#REF!,#REF!,#REF!,#REF!,#REF!,#REF!,#REF!,#REF!,#REF!,#REF!,#REF!,#REF!</definedName>
    <definedName name="__APW_RESTORE_DATA3150__" hidden="1">#REF!,#REF!,#REF!,#REF!,#REF!,#REF!,#REF!,#REF!,#REF!,#REF!,#REF!,#REF!,#REF!,#REF!,#REF!</definedName>
    <definedName name="__APW_RESTORE_DATA3151__" hidden="1">#REF!,#REF!,#REF!,#REF!,#REF!,#REF!,#REF!,#REF!,#REF!,#REF!,#REF!,#REF!,#REF!,#REF!,#REF!</definedName>
    <definedName name="__APW_RESTORE_DATA3152__" hidden="1">#REF!,#REF!,#REF!,#REF!,#REF!,#REF!,#REF!,#REF!,#REF!,#REF!,#REF!,#REF!,#REF!,#REF!,#REF!</definedName>
    <definedName name="__APW_RESTORE_DATA3153__" hidden="1">#REF!,#REF!,#REF!,#REF!,#REF!,#REF!,#REF!,#REF!,#REF!,#REF!,#REF!,#REF!,#REF!,#REF!,#REF!</definedName>
    <definedName name="__APW_RESTORE_DATA3154__" hidden="1">#REF!,#REF!,#REF!,#REF!,#REF!,#REF!,#REF!,#REF!,#REF!,#REF!,#REF!,#REF!,#REF!,#REF!,#REF!</definedName>
    <definedName name="__APW_RESTORE_DATA3155__" hidden="1">#REF!,#REF!,#REF!,#REF!,#REF!,#REF!,#REF!,#REF!,#REF!,#REF!,#REF!,#REF!,#REF!,#REF!,#REF!</definedName>
    <definedName name="__APW_RESTORE_DATA3156__" hidden="1">#REF!,#REF!,#REF!,#REF!,#REF!,#REF!,#REF!,#REF!,#REF!,#REF!,#REF!,#REF!,#REF!,#REF!,#REF!</definedName>
    <definedName name="__APW_RESTORE_DATA3157__" hidden="1">#REF!,#REF!,#REF!,#REF!,#REF!,#REF!,#REF!,#REF!,#REF!,#REF!,#REF!,#REF!,#REF!,#REF!,#REF!</definedName>
    <definedName name="__APW_RESTORE_DATA3158__" hidden="1">#REF!,#REF!,#REF!,#REF!,#REF!,#REF!,#REF!,#REF!,#REF!,#REF!,#REF!,#REF!,#REF!,#REF!,#REF!</definedName>
    <definedName name="__APW_RESTORE_DATA3159__" hidden="1">#REF!,#REF!,#REF!,#REF!,#REF!,#REF!,#REF!,#REF!,#REF!,#REF!,#REF!,#REF!,#REF!,#REF!,#REF!</definedName>
    <definedName name="__APW_RESTORE_DATA316__" hidden="1">#REF!,#REF!,#REF!,#REF!,#REF!,#REF!,#REF!,#REF!,#REF!,#REF!,#REF!,#REF!,#REF!,#REF!,#REF!</definedName>
    <definedName name="__APW_RESTORE_DATA3160__" hidden="1">#REF!,#REF!,#REF!,#REF!,#REF!,#REF!,#REF!,#REF!,#REF!,#REF!,#REF!,#REF!,#REF!,#REF!,#REF!</definedName>
    <definedName name="__APW_RESTORE_DATA3161__" hidden="1">#REF!,#REF!,#REF!,#REF!,#REF!,#REF!,#REF!,#REF!,#REF!,#REF!,#REF!,#REF!,#REF!,#REF!,#REF!</definedName>
    <definedName name="__APW_RESTORE_DATA3162__" hidden="1">#REF!,#REF!,#REF!,#REF!,#REF!,#REF!,#REF!,#REF!,#REF!,#REF!,#REF!,#REF!,#REF!,#REF!,#REF!</definedName>
    <definedName name="__APW_RESTORE_DATA3163__" hidden="1">#REF!,#REF!,#REF!,#REF!,#REF!,#REF!,#REF!,#REF!,#REF!,#REF!,#REF!,#REF!,#REF!,#REF!,#REF!</definedName>
    <definedName name="__APW_RESTORE_DATA3164__" hidden="1">#REF!,#REF!,#REF!,#REF!,#REF!,#REF!,#REF!,#REF!,#REF!,#REF!,#REF!,#REF!,#REF!,#REF!,#REF!</definedName>
    <definedName name="__APW_RESTORE_DATA3165__" hidden="1">#REF!,#REF!,#REF!,#REF!,#REF!,#REF!,#REF!,#REF!,#REF!,#REF!,#REF!,#REF!,#REF!,#REF!,#REF!</definedName>
    <definedName name="__APW_RESTORE_DATA3166__" hidden="1">#REF!,#REF!,#REF!,#REF!,#REF!,#REF!,#REF!,#REF!,#REF!,#REF!,#REF!,#REF!,#REF!,#REF!,#REF!</definedName>
    <definedName name="__APW_RESTORE_DATA3167__" hidden="1">#REF!,#REF!,#REF!,#REF!,#REF!,#REF!,#REF!,#REF!,#REF!,#REF!,#REF!,#REF!,#REF!,#REF!,#REF!</definedName>
    <definedName name="__APW_RESTORE_DATA3168__" hidden="1">#REF!,#REF!,#REF!,#REF!,#REF!,#REF!,#REF!,#REF!,#REF!,#REF!,#REF!,#REF!,#REF!,#REF!,#REF!</definedName>
    <definedName name="__APW_RESTORE_DATA3169__" hidden="1">#REF!,#REF!,#REF!,#REF!,#REF!,#REF!,#REF!,#REF!,#REF!,#REF!,#REF!,#REF!,#REF!,#REF!,#REF!</definedName>
    <definedName name="__APW_RESTORE_DATA317__" hidden="1">#REF!,#REF!,#REF!,#REF!,#REF!,#REF!,#REF!,#REF!,#REF!,#REF!,#REF!,#REF!,#REF!,#REF!,#REF!</definedName>
    <definedName name="__APW_RESTORE_DATA3170__" hidden="1">#REF!,#REF!,#REF!,#REF!,#REF!,#REF!,#REF!,#REF!,#REF!,#REF!,#REF!,#REF!,#REF!,#REF!,#REF!</definedName>
    <definedName name="__APW_RESTORE_DATA3171__" hidden="1">#REF!,#REF!,#REF!,#REF!,#REF!,#REF!,#REF!,#REF!,#REF!,#REF!,#REF!,#REF!,#REF!,#REF!,#REF!</definedName>
    <definedName name="__APW_RESTORE_DATA3172__" hidden="1">#REF!,#REF!,#REF!,#REF!,#REF!,#REF!,#REF!,#REF!,#REF!,#REF!,#REF!,#REF!,#REF!,#REF!,#REF!</definedName>
    <definedName name="__APW_RESTORE_DATA3173__" hidden="1">#REF!,#REF!,#REF!,#REF!,#REF!,#REF!,#REF!,#REF!,#REF!,#REF!,#REF!,#REF!,#REF!,#REF!,#REF!</definedName>
    <definedName name="__APW_RESTORE_DATA3174__" hidden="1">#REF!,#REF!,#REF!,#REF!,#REF!,#REF!</definedName>
    <definedName name="__APW_RESTORE_DATA3175__" hidden="1">#REF!</definedName>
    <definedName name="__APW_RESTORE_DATA3176__" hidden="1">#REF!</definedName>
    <definedName name="__APW_RESTORE_DATA3177__" hidden="1">#REF!</definedName>
    <definedName name="__APW_RESTORE_DATA3179__" hidden="1">#REF!</definedName>
    <definedName name="__APW_RESTORE_DATA318__" hidden="1">#REF!,#REF!,#REF!,#REF!,#REF!,#REF!,#REF!,#REF!,#REF!,#REF!,#REF!,#REF!,#REF!,#REF!,#REF!</definedName>
    <definedName name="__APW_RESTORE_DATA3180__" hidden="1">#REF!</definedName>
    <definedName name="__APW_RESTORE_DATA3181__" hidden="1">#REF!,#REF!,#REF!,#REF!,#REF!,#REF!,#REF!,#REF!,#REF!,#REF!,#REF!,#REF!,#REF!,#REF!,#REF!,#REF!</definedName>
    <definedName name="__APW_RESTORE_DATA3182__" hidden="1">#REF!,#REF!,#REF!,#REF!,#REF!,#REF!,#REF!,#REF!,#REF!,#REF!,#REF!,#REF!,#REF!,#REF!,#REF!,#REF!</definedName>
    <definedName name="__APW_RESTORE_DATA3183__" hidden="1">#REF!,#REF!,#REF!,#REF!,#REF!,#REF!,#REF!,#REF!,#REF!,#REF!,#REF!,#REF!,#REF!,#REF!,#REF!,#REF!</definedName>
    <definedName name="__APW_RESTORE_DATA3184__" hidden="1">#REF!,#REF!,#REF!,#REF!,#REF!,#REF!,#REF!,#REF!,#REF!,#REF!,#REF!,#REF!,#REF!,#REF!,#REF!,#REF!</definedName>
    <definedName name="__APW_RESTORE_DATA3185__" hidden="1">#REF!,#REF!,#REF!,#REF!,#REF!,#REF!,#REF!,#REF!,#REF!,#REF!,#REF!,#REF!,#REF!,#REF!,#REF!,#REF!</definedName>
    <definedName name="__APW_RESTORE_DATA3186__" hidden="1">#REF!,#REF!,#REF!,#REF!,#REF!,#REF!,#REF!,#REF!,#REF!,#REF!,#REF!,#REF!,#REF!,#REF!,#REF!,#REF!</definedName>
    <definedName name="__APW_RESTORE_DATA3187__" hidden="1">#REF!,#REF!,#REF!,#REF!,#REF!,#REF!,#REF!,#REF!,#REF!,#REF!,#REF!,#REF!,#REF!,#REF!,#REF!</definedName>
    <definedName name="__APW_RESTORE_DATA3188__" hidden="1">#REF!,#REF!,#REF!,#REF!,#REF!,#REF!,#REF!,#REF!,#REF!,#REF!,#REF!,#REF!,#REF!,#REF!,#REF!</definedName>
    <definedName name="__APW_RESTORE_DATA3189__" hidden="1">#REF!,#REF!,#REF!,#REF!,#REF!,#REF!,#REF!,#REF!,#REF!,#REF!,#REF!,#REF!,#REF!,#REF!,#REF!</definedName>
    <definedName name="__APW_RESTORE_DATA319__" hidden="1">#REF!,#REF!,#REF!,#REF!,#REF!,#REF!,#REF!,#REF!,#REF!,#REF!,#REF!,#REF!,#REF!,#REF!,#REF!</definedName>
    <definedName name="__APW_RESTORE_DATA3190__" hidden="1">#REF!,#REF!,#REF!,#REF!,#REF!,#REF!,#REF!,#REF!,#REF!,#REF!,#REF!,#REF!,#REF!,#REF!,#REF!</definedName>
    <definedName name="__APW_RESTORE_DATA3191__" hidden="1">#REF!,#REF!,#REF!,#REF!,#REF!,#REF!,#REF!,#REF!,#REF!,#REF!,#REF!,#REF!,#REF!,#REF!,#REF!</definedName>
    <definedName name="__APW_RESTORE_DATA3192__" hidden="1">#REF!,#REF!,#REF!,#REF!,#REF!,#REF!,#REF!,#REF!,#REF!,#REF!,#REF!,#REF!,#REF!,#REF!,#REF!</definedName>
    <definedName name="__APW_RESTORE_DATA3193__" hidden="1">#REF!,#REF!,#REF!,#REF!,#REF!,#REF!,#REF!,#REF!,#REF!,#REF!,#REF!,#REF!,#REF!,#REF!,#REF!</definedName>
    <definedName name="__APW_RESTORE_DATA3194__" hidden="1">#REF!,#REF!,#REF!,#REF!,#REF!,#REF!,#REF!,#REF!,#REF!,#REF!,#REF!,#REF!,#REF!,#REF!,#REF!</definedName>
    <definedName name="__APW_RESTORE_DATA3195__" hidden="1">#REF!,#REF!,#REF!,#REF!,#REF!,#REF!,#REF!,#REF!,#REF!,#REF!,#REF!,#REF!,#REF!,#REF!,#REF!</definedName>
    <definedName name="__APW_RESTORE_DATA3196__" hidden="1">#REF!,#REF!,#REF!,#REF!,#REF!,#REF!,#REF!,#REF!,#REF!,#REF!,#REF!,#REF!,#REF!,#REF!,#REF!</definedName>
    <definedName name="__APW_RESTORE_DATA3197__" hidden="1">#REF!,#REF!,#REF!,#REF!,#REF!,#REF!,#REF!,#REF!,#REF!,#REF!,#REF!,#REF!,#REF!,#REF!,#REF!</definedName>
    <definedName name="__APW_RESTORE_DATA3198__" hidden="1">#REF!,#REF!,#REF!,#REF!,#REF!,#REF!,#REF!,#REF!,#REF!,#REF!,#REF!,#REF!,#REF!,#REF!,#REF!</definedName>
    <definedName name="__APW_RESTORE_DATA3199__" hidden="1">#REF!,#REF!,#REF!,#REF!,#REF!,#REF!,#REF!,#REF!,#REF!,#REF!,#REF!,#REF!,#REF!,#REF!,#REF!</definedName>
    <definedName name="__APW_RESTORE_DATA32__" hidden="1">#REF!</definedName>
    <definedName name="__APW_RESTORE_DATA320__" hidden="1">#REF!,#REF!,#REF!,#REF!,#REF!,#REF!,#REF!,#REF!,#REF!,#REF!,#REF!,#REF!,#REF!,#REF!,#REF!</definedName>
    <definedName name="__APW_RESTORE_DATA3200__" hidden="1">#REF!,#REF!,#REF!,#REF!,#REF!,#REF!,#REF!,#REF!,#REF!,#REF!,#REF!,#REF!,#REF!,#REF!,#REF!</definedName>
    <definedName name="__APW_RESTORE_DATA3201__" hidden="1">#REF!,#REF!,#REF!,#REF!,#REF!,#REF!,#REF!,#REF!,#REF!,#REF!,#REF!,#REF!,#REF!,#REF!,#REF!</definedName>
    <definedName name="__APW_RESTORE_DATA3202__" hidden="1">#REF!,#REF!,#REF!,#REF!,#REF!,#REF!,#REF!,#REF!,#REF!,#REF!,#REF!,#REF!,#REF!,#REF!,#REF!</definedName>
    <definedName name="__APW_RESTORE_DATA3203__" hidden="1">#REF!,#REF!,#REF!,#REF!,#REF!,#REF!,#REF!,#REF!,#REF!,#REF!,#REF!,#REF!,#REF!,#REF!,#REF!</definedName>
    <definedName name="__APW_RESTORE_DATA3204__" hidden="1">#REF!,#REF!,#REF!,#REF!,#REF!,#REF!,#REF!,#REF!,#REF!,#REF!,#REF!,#REF!,#REF!,#REF!,#REF!</definedName>
    <definedName name="__APW_RESTORE_DATA3205__" hidden="1">#REF!,#REF!,#REF!,#REF!,#REF!,#REF!,#REF!,#REF!,#REF!,#REF!,#REF!,#REF!,#REF!,#REF!,#REF!</definedName>
    <definedName name="__APW_RESTORE_DATA3206__" hidden="1">#REF!,#REF!,#REF!,#REF!,#REF!,#REF!,#REF!,#REF!,#REF!,#REF!,#REF!,#REF!,#REF!,#REF!,#REF!</definedName>
    <definedName name="__APW_RESTORE_DATA3207__" hidden="1">#REF!,#REF!,#REF!,#REF!,#REF!,#REF!,#REF!,#REF!,#REF!,#REF!,#REF!,#REF!,#REF!,#REF!,#REF!</definedName>
    <definedName name="__APW_RESTORE_DATA3208__" hidden="1">#REF!,#REF!,#REF!,#REF!,#REF!,#REF!,#REF!,#REF!,#REF!,#REF!,#REF!,#REF!,#REF!,#REF!,#REF!</definedName>
    <definedName name="__APW_RESTORE_DATA3209__" hidden="1">#REF!,#REF!,#REF!,#REF!,#REF!,#REF!,#REF!,#REF!,#REF!,#REF!,#REF!,#REF!,#REF!,#REF!,#REF!</definedName>
    <definedName name="__APW_RESTORE_DATA321__" hidden="1">#REF!,#REF!,#REF!,#REF!,#REF!,#REF!,#REF!,#REF!,#REF!,#REF!,#REF!,#REF!,#REF!,#REF!,#REF!</definedName>
    <definedName name="__APW_RESTORE_DATA3210__" hidden="1">#REF!,#REF!,#REF!,#REF!,#REF!,#REF!,#REF!,#REF!,#REF!,#REF!,#REF!,#REF!,#REF!,#REF!,#REF!</definedName>
    <definedName name="__APW_RESTORE_DATA3211__" hidden="1">#REF!,#REF!,#REF!,#REF!,#REF!,#REF!,#REF!,#REF!,#REF!,#REF!,#REF!,#REF!,#REF!,#REF!,#REF!</definedName>
    <definedName name="__APW_RESTORE_DATA3212__" hidden="1">#REF!,#REF!,#REF!,#REF!,#REF!,#REF!,#REF!,#REF!,#REF!,#REF!,#REF!,#REF!,#REF!,#REF!,#REF!</definedName>
    <definedName name="__APW_RESTORE_DATA3213__" hidden="1">#REF!,#REF!,#REF!,#REF!,#REF!,#REF!,#REF!,#REF!,#REF!,#REF!,#REF!,#REF!,#REF!,#REF!,#REF!</definedName>
    <definedName name="__APW_RESTORE_DATA3214__" hidden="1">#REF!,#REF!,#REF!,#REF!,#REF!,#REF!,#REF!,#REF!,#REF!,#REF!,#REF!,#REF!,#REF!,#REF!,#REF!</definedName>
    <definedName name="__APW_RESTORE_DATA3215__" hidden="1">#REF!,#REF!,#REF!,#REF!,#REF!,#REF!</definedName>
    <definedName name="__APW_RESTORE_DATA3216__" hidden="1">#REF!,#REF!,#REF!,#REF!,#REF!,#REF!,#REF!,#REF!,#REF!,#REF!,#REF!,#REF!,#REF!,#REF!,#REF!,#REF!</definedName>
    <definedName name="__APW_RESTORE_DATA3217__" hidden="1">#REF!,#REF!,#REF!,#REF!,#REF!,#REF!,#REF!,#REF!,#REF!,#REF!,#REF!,#REF!,#REF!,#REF!,#REF!,#REF!</definedName>
    <definedName name="__APW_RESTORE_DATA3218__" hidden="1">#REF!,#REF!,#REF!,#REF!,#REF!,#REF!,#REF!,#REF!,#REF!,#REF!,#REF!,#REF!,#REF!,#REF!,#REF!,#REF!</definedName>
    <definedName name="__APW_RESTORE_DATA3219__" hidden="1">#REF!,#REF!,#REF!,#REF!,#REF!,#REF!,#REF!,#REF!,#REF!,#REF!,#REF!,#REF!,#REF!,#REF!,#REF!,#REF!</definedName>
    <definedName name="__APW_RESTORE_DATA322__" hidden="1">#REF!,#REF!,#REF!,#REF!,#REF!,#REF!,#REF!,#REF!,#REF!,#REF!,#REF!,#REF!,#REF!,#REF!,#REF!</definedName>
    <definedName name="__APW_RESTORE_DATA3220__" hidden="1">#REF!,#REF!,#REF!,#REF!,#REF!,#REF!,#REF!,#REF!,#REF!,#REF!,#REF!,#REF!,#REF!,#REF!,#REF!,#REF!</definedName>
    <definedName name="__APW_RESTORE_DATA3221__" hidden="1">#REF!,#REF!,#REF!,#REF!,#REF!,#REF!,#REF!,#REF!,#REF!,#REF!,#REF!,#REF!,#REF!,#REF!,#REF!,#REF!</definedName>
    <definedName name="__APW_RESTORE_DATA3222__" hidden="1">#REF!,#REF!,#REF!,#REF!,#REF!,#REF!,#REF!,#REF!,#REF!,#REF!,#REF!,#REF!,#REF!,#REF!,#REF!</definedName>
    <definedName name="__APW_RESTORE_DATA3223__" hidden="1">#REF!,#REF!,#REF!,#REF!,#REF!,#REF!,#REF!,#REF!,#REF!,#REF!,#REF!,#REF!,#REF!,#REF!,#REF!</definedName>
    <definedName name="__APW_RESTORE_DATA3224__" hidden="1">#REF!,#REF!,#REF!,#REF!,#REF!,#REF!,#REF!,#REF!,#REF!,#REF!,#REF!,#REF!,#REF!,#REF!,#REF!</definedName>
    <definedName name="__APW_RESTORE_DATA3225__" hidden="1">#REF!,#REF!,#REF!,#REF!,#REF!,#REF!,#REF!,#REF!,#REF!,#REF!,#REF!,#REF!,#REF!,#REF!,#REF!</definedName>
    <definedName name="__APW_RESTORE_DATA3226__" hidden="1">#REF!,#REF!,#REF!,#REF!,#REF!,#REF!,#REF!,#REF!,#REF!,#REF!,#REF!,#REF!,#REF!,#REF!,#REF!</definedName>
    <definedName name="__APW_RESTORE_DATA3227__" hidden="1">#REF!,#REF!,#REF!,#REF!,#REF!,#REF!,#REF!,#REF!,#REF!,#REF!,#REF!,#REF!,#REF!,#REF!,#REF!</definedName>
    <definedName name="__APW_RESTORE_DATA3228__" hidden="1">#REF!,#REF!,#REF!,#REF!,#REF!,#REF!,#REF!,#REF!,#REF!,#REF!,#REF!,#REF!,#REF!,#REF!,#REF!</definedName>
    <definedName name="__APW_RESTORE_DATA3229__" hidden="1">#REF!,#REF!,#REF!,#REF!,#REF!,#REF!,#REF!,#REF!,#REF!,#REF!,#REF!,#REF!,#REF!,#REF!,#REF!</definedName>
    <definedName name="__APW_RESTORE_DATA323__" hidden="1">#REF!,#REF!,#REF!,#REF!,#REF!,#REF!,#REF!,#REF!,#REF!,#REF!,#REF!,#REF!,#REF!,#REF!,#REF!</definedName>
    <definedName name="__APW_RESTORE_DATA3230__" hidden="1">#REF!,#REF!,#REF!,#REF!,#REF!,#REF!,#REF!,#REF!,#REF!,#REF!,#REF!,#REF!,#REF!,#REF!,#REF!</definedName>
    <definedName name="__APW_RESTORE_DATA3231__" hidden="1">#REF!,#REF!,#REF!,#REF!,#REF!,#REF!,#REF!,#REF!,#REF!,#REF!,#REF!,#REF!,#REF!,#REF!,#REF!</definedName>
    <definedName name="__APW_RESTORE_DATA3232__" hidden="1">#REF!,#REF!,#REF!,#REF!,#REF!,#REF!,#REF!,#REF!,#REF!,#REF!,#REF!,#REF!,#REF!,#REF!,#REF!</definedName>
    <definedName name="__APW_RESTORE_DATA3233__" hidden="1">#REF!,#REF!,#REF!,#REF!,#REF!,#REF!,#REF!,#REF!,#REF!,#REF!,#REF!,#REF!,#REF!,#REF!,#REF!</definedName>
    <definedName name="__APW_RESTORE_DATA3234__" hidden="1">#REF!,#REF!,#REF!,#REF!,#REF!,#REF!,#REF!,#REF!,#REF!,#REF!,#REF!,#REF!,#REF!,#REF!,#REF!</definedName>
    <definedName name="__APW_RESTORE_DATA3235__" hidden="1">#REF!,#REF!,#REF!,#REF!,#REF!,#REF!,#REF!,#REF!,#REF!,#REF!,#REF!,#REF!,#REF!,#REF!,#REF!</definedName>
    <definedName name="__APW_RESTORE_DATA3236__" hidden="1">#REF!,#REF!,#REF!,#REF!,#REF!,#REF!,#REF!,#REF!,#REF!,#REF!,#REF!,#REF!,#REF!,#REF!,#REF!</definedName>
    <definedName name="__APW_RESTORE_DATA3237__" hidden="1">#REF!,#REF!,#REF!,#REF!,#REF!,#REF!,#REF!,#REF!,#REF!,#REF!,#REF!,#REF!,#REF!,#REF!,#REF!</definedName>
    <definedName name="__APW_RESTORE_DATA3238__" hidden="1">#REF!,#REF!,#REF!,#REF!,#REF!,#REF!,#REF!,#REF!,#REF!,#REF!,#REF!,#REF!,#REF!,#REF!,#REF!</definedName>
    <definedName name="__APW_RESTORE_DATA3239__" hidden="1">#REF!,#REF!,#REF!,#REF!,#REF!,#REF!,#REF!,#REF!,#REF!,#REF!,#REF!,#REF!,#REF!,#REF!,#REF!</definedName>
    <definedName name="__APW_RESTORE_DATA324__" hidden="1">#REF!,#REF!,#REF!,#REF!,#REF!,#REF!,#REF!,#REF!,#REF!,#REF!,#REF!,#REF!,#REF!,#REF!,#REF!</definedName>
    <definedName name="__APW_RESTORE_DATA3240__" hidden="1">#REF!,#REF!,#REF!,#REF!,#REF!,#REF!,#REF!,#REF!,#REF!,#REF!,#REF!,#REF!,#REF!,#REF!,#REF!</definedName>
    <definedName name="__APW_RESTORE_DATA3241__" hidden="1">#REF!,#REF!,#REF!,#REF!,#REF!,#REF!,#REF!,#REF!,#REF!,#REF!,#REF!,#REF!,#REF!,#REF!,#REF!</definedName>
    <definedName name="__APW_RESTORE_DATA3242__" hidden="1">#REF!,#REF!,#REF!,#REF!,#REF!,#REF!,#REF!,#REF!,#REF!,#REF!,#REF!,#REF!,#REF!,#REF!,#REF!</definedName>
    <definedName name="__APW_RESTORE_DATA3243__" hidden="1">#REF!,#REF!,#REF!,#REF!,#REF!,#REF!,#REF!,#REF!,#REF!,#REF!,#REF!,#REF!,#REF!,#REF!,#REF!</definedName>
    <definedName name="__APW_RESTORE_DATA3244__" hidden="1">#REF!,#REF!,#REF!,#REF!,#REF!,#REF!,#REF!,#REF!,#REF!,#REF!,#REF!,#REF!,#REF!,#REF!,#REF!</definedName>
    <definedName name="__APW_RESTORE_DATA3245__" hidden="1">#REF!,#REF!,#REF!,#REF!,#REF!,#REF!,#REF!,#REF!,#REF!,#REF!,#REF!,#REF!,#REF!,#REF!,#REF!</definedName>
    <definedName name="__APW_RESTORE_DATA3246__" hidden="1">#REF!,#REF!,#REF!,#REF!,#REF!,#REF!,#REF!,#REF!,#REF!,#REF!,#REF!,#REF!,#REF!,#REF!,#REF!</definedName>
    <definedName name="__APW_RESTORE_DATA3247__" hidden="1">#REF!,#REF!,#REF!,#REF!,#REF!,#REF!,#REF!,#REF!,#REF!,#REF!,#REF!,#REF!,#REF!,#REF!,#REF!</definedName>
    <definedName name="__APW_RESTORE_DATA3248__" hidden="1">#REF!,#REF!,#REF!,#REF!,#REF!,#REF!,#REF!,#REF!,#REF!,#REF!,#REF!,#REF!,#REF!,#REF!,#REF!</definedName>
    <definedName name="__APW_RESTORE_DATA3249__" hidden="1">#REF!,#REF!,#REF!,#REF!,#REF!,#REF!,#REF!,#REF!,#REF!,#REF!,#REF!,#REF!,#REF!,#REF!,#REF!</definedName>
    <definedName name="__APW_RESTORE_DATA325__" hidden="1">#REF!,#REF!,#REF!,#REF!,#REF!,#REF!,#REF!,#REF!,#REF!,#REF!,#REF!,#REF!,#REF!,#REF!,#REF!</definedName>
    <definedName name="__APW_RESTORE_DATA3250__" hidden="1">#REF!,#REF!,#REF!,#REF!,#REF!,#REF!</definedName>
    <definedName name="__APW_RESTORE_DATA3251__" hidden="1">#REF!,#REF!,#REF!,#REF!,#REF!,#REF!,#REF!,#REF!,#REF!,#REF!,#REF!,#REF!,#REF!,#REF!,#REF!,#REF!</definedName>
    <definedName name="__APW_RESTORE_DATA3252__" hidden="1">#REF!,#REF!,#REF!,#REF!,#REF!,#REF!,#REF!,#REF!,#REF!,#REF!,#REF!,#REF!,#REF!,#REF!,#REF!,#REF!</definedName>
    <definedName name="__APW_RESTORE_DATA3253__" hidden="1">#REF!,#REF!,#REF!,#REF!,#REF!,#REF!,#REF!,#REF!,#REF!,#REF!,#REF!,#REF!,#REF!,#REF!,#REF!,#REF!</definedName>
    <definedName name="__APW_RESTORE_DATA3254__" hidden="1">#REF!,#REF!,#REF!,#REF!,#REF!,#REF!,#REF!,#REF!,#REF!,#REF!,#REF!,#REF!,#REF!,#REF!,#REF!,#REF!</definedName>
    <definedName name="__APW_RESTORE_DATA3255__" hidden="1">#REF!,#REF!,#REF!,#REF!,#REF!,#REF!,#REF!,#REF!,#REF!,#REF!,#REF!,#REF!,#REF!,#REF!,#REF!,#REF!</definedName>
    <definedName name="__APW_RESTORE_DATA3256__" hidden="1">#REF!,#REF!,#REF!,#REF!,#REF!,#REF!,#REF!,#REF!,#REF!,#REF!,#REF!,#REF!,#REF!,#REF!,#REF!,#REF!</definedName>
    <definedName name="__APW_RESTORE_DATA3257__" hidden="1">#REF!,#REF!,#REF!,#REF!,#REF!,#REF!,#REF!,#REF!,#REF!,#REF!,#REF!,#REF!,#REF!,#REF!,#REF!</definedName>
    <definedName name="__APW_RESTORE_DATA3258__" hidden="1">#REF!,#REF!,#REF!,#REF!,#REF!,#REF!,#REF!,#REF!,#REF!,#REF!,#REF!,#REF!,#REF!,#REF!,#REF!</definedName>
    <definedName name="__APW_RESTORE_DATA3259__" hidden="1">#REF!,#REF!,#REF!,#REF!,#REF!,#REF!,#REF!,#REF!,#REF!,#REF!,#REF!,#REF!,#REF!,#REF!,#REF!</definedName>
    <definedName name="__APW_RESTORE_DATA326__" hidden="1">#REF!,#REF!,#REF!,#REF!,#REF!,#REF!,#REF!,#REF!,#REF!,#REF!,#REF!,#REF!,#REF!,#REF!,#REF!</definedName>
    <definedName name="__APW_RESTORE_DATA3260__" hidden="1">#REF!,#REF!,#REF!,#REF!,#REF!,#REF!,#REF!,#REF!,#REF!,#REF!,#REF!,#REF!,#REF!,#REF!,#REF!</definedName>
    <definedName name="__APW_RESTORE_DATA3261__" hidden="1">#REF!,#REF!,#REF!,#REF!,#REF!,#REF!,#REF!,#REF!,#REF!,#REF!,#REF!,#REF!,#REF!,#REF!,#REF!</definedName>
    <definedName name="__APW_RESTORE_DATA3262__" hidden="1">#REF!,#REF!,#REF!,#REF!,#REF!,#REF!,#REF!,#REF!,#REF!,#REF!,#REF!,#REF!,#REF!,#REF!,#REF!</definedName>
    <definedName name="__APW_RESTORE_DATA3263__" hidden="1">#REF!,#REF!,#REF!,#REF!,#REF!,#REF!,#REF!,#REF!,#REF!,#REF!,#REF!,#REF!,#REF!,#REF!,#REF!</definedName>
    <definedName name="__APW_RESTORE_DATA3264__" hidden="1">#REF!,#REF!,#REF!,#REF!,#REF!,#REF!,#REF!,#REF!,#REF!,#REF!,#REF!,#REF!,#REF!,#REF!,#REF!</definedName>
    <definedName name="__APW_RESTORE_DATA3265__" hidden="1">#REF!,#REF!,#REF!,#REF!,#REF!,#REF!,#REF!,#REF!,#REF!,#REF!,#REF!,#REF!,#REF!,#REF!,#REF!</definedName>
    <definedName name="__APW_RESTORE_DATA3266__" hidden="1">#REF!,#REF!,#REF!,#REF!,#REF!,#REF!,#REF!,#REF!,#REF!,#REF!,#REF!,#REF!,#REF!,#REF!,#REF!</definedName>
    <definedName name="__APW_RESTORE_DATA3267__" hidden="1">#REF!,#REF!,#REF!,#REF!,#REF!,#REF!,#REF!,#REF!,#REF!,#REF!,#REF!,#REF!,#REF!,#REF!,#REF!</definedName>
    <definedName name="__APW_RESTORE_DATA3268__" hidden="1">#REF!,#REF!,#REF!,#REF!,#REF!,#REF!,#REF!,#REF!,#REF!,#REF!,#REF!,#REF!,#REF!,#REF!,#REF!</definedName>
    <definedName name="__APW_RESTORE_DATA3269__" hidden="1">#REF!,#REF!,#REF!,#REF!,#REF!,#REF!,#REF!,#REF!,#REF!,#REF!,#REF!,#REF!,#REF!,#REF!,#REF!</definedName>
    <definedName name="__APW_RESTORE_DATA327__" hidden="1">#REF!,#REF!</definedName>
    <definedName name="__APW_RESTORE_DATA3270__" hidden="1">#REF!,#REF!,#REF!,#REF!,#REF!,#REF!,#REF!,#REF!,#REF!,#REF!,#REF!,#REF!,#REF!,#REF!,#REF!</definedName>
    <definedName name="__APW_RESTORE_DATA3271__" hidden="1">#REF!,#REF!,#REF!,#REF!,#REF!,#REF!,#REF!,#REF!,#REF!,#REF!,#REF!,#REF!,#REF!,#REF!,#REF!</definedName>
    <definedName name="__APW_RESTORE_DATA3272__" hidden="1">#REF!,#REF!,#REF!,#REF!,#REF!,#REF!,#REF!,#REF!,#REF!,#REF!,#REF!,#REF!,#REF!,#REF!,#REF!</definedName>
    <definedName name="__APW_RESTORE_DATA3273__" hidden="1">#REF!,#REF!,#REF!,#REF!,#REF!,#REF!,#REF!,#REF!,#REF!,#REF!,#REF!,#REF!,#REF!,#REF!,#REF!</definedName>
    <definedName name="__APW_RESTORE_DATA3274__" hidden="1">#REF!,#REF!,#REF!,#REF!,#REF!,#REF!,#REF!,#REF!,#REF!,#REF!,#REF!,#REF!,#REF!,#REF!,#REF!</definedName>
    <definedName name="__APW_RESTORE_DATA3275__" hidden="1">#REF!,#REF!,#REF!,#REF!,#REF!,#REF!,#REF!,#REF!,#REF!,#REF!,#REF!,#REF!,#REF!,#REF!,#REF!</definedName>
    <definedName name="__APW_RESTORE_DATA3276__" hidden="1">#REF!,#REF!,#REF!,#REF!,#REF!,#REF!,#REF!,#REF!,#REF!,#REF!,#REF!,#REF!,#REF!,#REF!,#REF!</definedName>
    <definedName name="__APW_RESTORE_DATA3277__" hidden="1">#REF!,#REF!,#REF!,#REF!,#REF!,#REF!,#REF!,#REF!,#REF!,#REF!,#REF!,#REF!,#REF!,#REF!,#REF!</definedName>
    <definedName name="__APW_RESTORE_DATA3278__" hidden="1">#REF!,#REF!,#REF!,#REF!,#REF!,#REF!,#REF!,#REF!,#REF!,#REF!,#REF!,#REF!,#REF!,#REF!,#REF!</definedName>
    <definedName name="__APW_RESTORE_DATA3279__" hidden="1">#REF!,#REF!,#REF!,#REF!,#REF!,#REF!,#REF!,#REF!,#REF!,#REF!,#REF!,#REF!,#REF!,#REF!,#REF!</definedName>
    <definedName name="__APW_RESTORE_DATA328__" hidden="1">#REF!,#REF!,#REF!,#REF!,#REF!,#REF!,#REF!,#REF!,#REF!,#REF!,#REF!,#REF!,#REF!,#REF!,#REF!,#REF!</definedName>
    <definedName name="__APW_RESTORE_DATA3280__" hidden="1">#REF!,#REF!,#REF!,#REF!,#REF!,#REF!,#REF!,#REF!,#REF!,#REF!,#REF!,#REF!,#REF!,#REF!,#REF!</definedName>
    <definedName name="__APW_RESTORE_DATA3281__" hidden="1">#REF!,#REF!,#REF!,#REF!,#REF!,#REF!,#REF!,#REF!,#REF!,#REF!,#REF!,#REF!,#REF!,#REF!,#REF!</definedName>
    <definedName name="__APW_RESTORE_DATA3282__" hidden="1">#REF!,#REF!,#REF!,#REF!,#REF!,#REF!,#REF!,#REF!,#REF!,#REF!,#REF!,#REF!,#REF!,#REF!,#REF!</definedName>
    <definedName name="__APW_RESTORE_DATA3283__" hidden="1">#REF!,#REF!,#REF!,#REF!,#REF!,#REF!,#REF!,#REF!,#REF!,#REF!,#REF!,#REF!,#REF!,#REF!,#REF!</definedName>
    <definedName name="__APW_RESTORE_DATA3284__" hidden="1">#REF!,#REF!,#REF!,#REF!,#REF!,#REF!,#REF!,#REF!,#REF!,#REF!,#REF!,#REF!,#REF!,#REF!,#REF!</definedName>
    <definedName name="__APW_RESTORE_DATA3285__" hidden="1">#REF!,#REF!,#REF!,#REF!,#REF!,#REF!</definedName>
    <definedName name="__APW_RESTORE_DATA3286__" hidden="1">#REF!,#REF!,#REF!,#REF!,#REF!,#REF!,#REF!,#REF!,#REF!,#REF!,#REF!,#REF!,#REF!,#REF!,#REF!,#REF!</definedName>
    <definedName name="__APW_RESTORE_DATA3287__" hidden="1">#REF!,#REF!,#REF!,#REF!,#REF!,#REF!,#REF!,#REF!,#REF!,#REF!,#REF!,#REF!,#REF!,#REF!,#REF!,#REF!</definedName>
    <definedName name="__APW_RESTORE_DATA3288__" hidden="1">#REF!,#REF!,#REF!,#REF!,#REF!,#REF!,#REF!,#REF!,#REF!,#REF!,#REF!,#REF!,#REF!,#REF!,#REF!,#REF!</definedName>
    <definedName name="__APW_RESTORE_DATA3289__" hidden="1">#REF!,#REF!,#REF!,#REF!,#REF!,#REF!,#REF!,#REF!,#REF!,#REF!,#REF!,#REF!,#REF!,#REF!,#REF!,#REF!</definedName>
    <definedName name="__APW_RESTORE_DATA329__" hidden="1">#REF!,#REF!,#REF!,#REF!,#REF!,#REF!,#REF!,#REF!,#REF!,#REF!,#REF!,#REF!,#REF!,#REF!,#REF!,#REF!</definedName>
    <definedName name="__APW_RESTORE_DATA3290__" hidden="1">#REF!,#REF!,#REF!,#REF!,#REF!,#REF!,#REF!,#REF!,#REF!,#REF!,#REF!,#REF!,#REF!,#REF!,#REF!,#REF!</definedName>
    <definedName name="__APW_RESTORE_DATA3291__" hidden="1">#REF!,#REF!,#REF!,#REF!,#REF!,#REF!,#REF!,#REF!,#REF!,#REF!,#REF!,#REF!,#REF!,#REF!,#REF!,#REF!</definedName>
    <definedName name="__APW_RESTORE_DATA3292__" hidden="1">#REF!,#REF!,#REF!,#REF!,#REF!,#REF!,#REF!,#REF!,#REF!,#REF!,#REF!,#REF!,#REF!,#REF!,#REF!</definedName>
    <definedName name="__APW_RESTORE_DATA3293__" hidden="1">#REF!,#REF!,#REF!,#REF!,#REF!,#REF!,#REF!,#REF!,#REF!,#REF!,#REF!,#REF!,#REF!,#REF!,#REF!</definedName>
    <definedName name="__APW_RESTORE_DATA3294__" hidden="1">#REF!,#REF!,#REF!,#REF!,#REF!,#REF!,#REF!,#REF!,#REF!,#REF!,#REF!,#REF!,#REF!,#REF!,#REF!</definedName>
    <definedName name="__APW_RESTORE_DATA3295__" hidden="1">#REF!,#REF!,#REF!,#REF!,#REF!,#REF!,#REF!,#REF!,#REF!,#REF!,#REF!,#REF!,#REF!,#REF!,#REF!</definedName>
    <definedName name="__APW_RESTORE_DATA3296__" hidden="1">#REF!,#REF!,#REF!,#REF!,#REF!,#REF!,#REF!,#REF!,#REF!,#REF!,#REF!,#REF!,#REF!,#REF!,#REF!</definedName>
    <definedName name="__APW_RESTORE_DATA3297__" hidden="1">#REF!,#REF!,#REF!,#REF!,#REF!,#REF!,#REF!,#REF!,#REF!,#REF!,#REF!,#REF!,#REF!,#REF!,#REF!</definedName>
    <definedName name="__APW_RESTORE_DATA3298__" hidden="1">#REF!,#REF!,#REF!,#REF!,#REF!,#REF!,#REF!,#REF!,#REF!,#REF!,#REF!,#REF!,#REF!,#REF!,#REF!</definedName>
    <definedName name="__APW_RESTORE_DATA3299__" hidden="1">#REF!,#REF!,#REF!,#REF!,#REF!,#REF!,#REF!,#REF!,#REF!,#REF!,#REF!,#REF!,#REF!,#REF!,#REF!</definedName>
    <definedName name="__APW_RESTORE_DATA33__" hidden="1">#REF!</definedName>
    <definedName name="__APW_RESTORE_DATA330__" hidden="1">#REF!,#REF!,#REF!,#REF!,#REF!,#REF!,#REF!,#REF!,#REF!,#REF!,#REF!,#REF!,#REF!,#REF!,#REF!,#REF!</definedName>
    <definedName name="__APW_RESTORE_DATA3300__" hidden="1">#REF!,#REF!,#REF!,#REF!,#REF!,#REF!,#REF!,#REF!,#REF!,#REF!,#REF!,#REF!,#REF!,#REF!,#REF!</definedName>
    <definedName name="__APW_RESTORE_DATA3301__" hidden="1">#REF!,#REF!,#REF!,#REF!,#REF!,#REF!,#REF!,#REF!,#REF!,#REF!,#REF!,#REF!,#REF!,#REF!,#REF!</definedName>
    <definedName name="__APW_RESTORE_DATA3302__" hidden="1">#REF!,#REF!,#REF!,#REF!,#REF!,#REF!,#REF!,#REF!,#REF!,#REF!,#REF!,#REF!,#REF!,#REF!,#REF!</definedName>
    <definedName name="__APW_RESTORE_DATA3303__" hidden="1">#REF!,#REF!,#REF!,#REF!,#REF!,#REF!,#REF!,#REF!,#REF!,#REF!,#REF!,#REF!,#REF!,#REF!,#REF!</definedName>
    <definedName name="__APW_RESTORE_DATA3304__" hidden="1">#REF!,#REF!,#REF!,#REF!,#REF!,#REF!,#REF!,#REF!,#REF!,#REF!,#REF!,#REF!,#REF!,#REF!,#REF!</definedName>
    <definedName name="__APW_RESTORE_DATA3305__" hidden="1">#REF!,#REF!,#REF!,#REF!,#REF!,#REF!,#REF!,#REF!,#REF!,#REF!,#REF!,#REF!,#REF!,#REF!,#REF!</definedName>
    <definedName name="__APW_RESTORE_DATA3306__" hidden="1">#REF!,#REF!,#REF!,#REF!,#REF!,#REF!,#REF!,#REF!,#REF!,#REF!,#REF!,#REF!,#REF!,#REF!,#REF!</definedName>
    <definedName name="__APW_RESTORE_DATA3307__" hidden="1">#REF!,#REF!,#REF!,#REF!,#REF!,#REF!,#REF!,#REF!,#REF!,#REF!,#REF!,#REF!,#REF!,#REF!,#REF!</definedName>
    <definedName name="__APW_RESTORE_DATA3308__" hidden="1">#REF!,#REF!,#REF!,#REF!,#REF!,#REF!,#REF!,#REF!,#REF!,#REF!,#REF!,#REF!,#REF!,#REF!,#REF!</definedName>
    <definedName name="__APW_RESTORE_DATA3309__" hidden="1">#REF!,#REF!,#REF!,#REF!,#REF!,#REF!,#REF!,#REF!,#REF!,#REF!,#REF!,#REF!,#REF!,#REF!,#REF!</definedName>
    <definedName name="__APW_RESTORE_DATA331__" hidden="1">#REF!,#REF!,#REF!,#REF!,#REF!,#REF!,#REF!,#REF!,#REF!,#REF!,#REF!,#REF!,#REF!,#REF!,#REF!,#REF!</definedName>
    <definedName name="__APW_RESTORE_DATA3310__" hidden="1">#REF!,#REF!,#REF!,#REF!,#REF!,#REF!,#REF!,#REF!,#REF!,#REF!,#REF!,#REF!,#REF!,#REF!,#REF!</definedName>
    <definedName name="__APW_RESTORE_DATA3311__" hidden="1">#REF!,#REF!,#REF!,#REF!,#REF!,#REF!,#REF!,#REF!,#REF!,#REF!,#REF!,#REF!,#REF!,#REF!,#REF!</definedName>
    <definedName name="__APW_RESTORE_DATA3312__" hidden="1">#REF!,#REF!,#REF!,#REF!,#REF!,#REF!,#REF!,#REF!,#REF!,#REF!,#REF!,#REF!,#REF!,#REF!,#REF!</definedName>
    <definedName name="__APW_RESTORE_DATA3313__" hidden="1">#REF!,#REF!,#REF!,#REF!,#REF!,#REF!,#REF!,#REF!,#REF!,#REF!,#REF!,#REF!,#REF!,#REF!,#REF!</definedName>
    <definedName name="__APW_RESTORE_DATA3314__" hidden="1">#REF!,#REF!,#REF!,#REF!,#REF!,#REF!,#REF!,#REF!,#REF!,#REF!,#REF!,#REF!,#REF!,#REF!,#REF!</definedName>
    <definedName name="__APW_RESTORE_DATA3315__" hidden="1">#REF!,#REF!,#REF!,#REF!,#REF!,#REF!,#REF!,#REF!,#REF!,#REF!,#REF!,#REF!,#REF!,#REF!,#REF!</definedName>
    <definedName name="__APW_RESTORE_DATA3316__" hidden="1">#REF!,#REF!,#REF!,#REF!,#REF!,#REF!,#REF!,#REF!,#REF!,#REF!,#REF!,#REF!,#REF!,#REF!,#REF!</definedName>
    <definedName name="__APW_RESTORE_DATA3317__" hidden="1">#REF!,#REF!,#REF!,#REF!,#REF!,#REF!,#REF!,#REF!,#REF!,#REF!,#REF!,#REF!,#REF!,#REF!,#REF!</definedName>
    <definedName name="__APW_RESTORE_DATA3318__" hidden="1">#REF!,#REF!,#REF!,#REF!,#REF!,#REF!,#REF!,#REF!,#REF!,#REF!,#REF!,#REF!,#REF!,#REF!,#REF!</definedName>
    <definedName name="__APW_RESTORE_DATA3319__" hidden="1">#REF!,#REF!,#REF!,#REF!,#REF!,#REF!,#REF!,#REF!,#REF!,#REF!,#REF!,#REF!,#REF!,#REF!,#REF!</definedName>
    <definedName name="__APW_RESTORE_DATA332__" hidden="1">#REF!,#REF!</definedName>
    <definedName name="__APW_RESTORE_DATA3320__" hidden="1">#REF!,#REF!,#REF!,#REF!,#REF!,#REF!</definedName>
    <definedName name="__APW_RESTORE_DATA333__" hidden="1">#REF!,#REF!,#REF!,#REF!,#REF!,#REF!,#REF!,#REF!,#REF!,#REF!,#REF!,#REF!,#REF!,#REF!,#REF!,#REF!</definedName>
    <definedName name="__APW_RESTORE_DATA334__" hidden="1">#REF!,#REF!,#REF!,#REF!,#REF!,#REF!,#REF!,#REF!,#REF!,#REF!,#REF!,#REF!,#REF!,#REF!,#REF!</definedName>
    <definedName name="__APW_RESTORE_DATA335__" hidden="1">#REF!,#REF!,#REF!,#REF!,#REF!,#REF!,#REF!,#REF!,#REF!,#REF!,#REF!,#REF!,#REF!,#REF!,#REF!</definedName>
    <definedName name="__APW_RESTORE_DATA336__" hidden="1">#REF!,#REF!,#REF!,#REF!,#REF!,#REF!,#REF!,#REF!,#REF!,#REF!,#REF!,#REF!,#REF!,#REF!,#REF!</definedName>
    <definedName name="__APW_RESTORE_DATA337__" hidden="1">#REF!,#REF!</definedName>
    <definedName name="__APW_RESTORE_DATA338__" hidden="1">#REF!,#REF!,#REF!,#REF!,#REF!,#REF!,#REF!,#REF!,#REF!,#REF!,#REF!,#REF!,#REF!,#REF!,#REF!</definedName>
    <definedName name="__APW_RESTORE_DATA339__" hidden="1">#REF!,#REF!,#REF!,#REF!,#REF!,#REF!,#REF!,#REF!,#REF!,#REF!,#REF!,#REF!,#REF!,#REF!,#REF!</definedName>
    <definedName name="__APW_RESTORE_DATA34__" hidden="1">#REF!,#REF!,#REF!,#REF!,#REF!,#REF!,#REF!,#REF!,#REF!,#REF!,#REF!,#REF!,#REF!,#REF!,#REF!,#REF!</definedName>
    <definedName name="__APW_RESTORE_DATA340__" hidden="1">#REF!,#REF!,#REF!,#REF!,#REF!,#REF!,#REF!,#REF!,#REF!,#REF!,#REF!,#REF!,#REF!,#REF!,#REF!</definedName>
    <definedName name="__APW_RESTORE_DATA341__" hidden="1">#REF!,#REF!,#REF!,#REF!,#REF!,#REF!,#REF!,#REF!,#REF!,#REF!,#REF!,#REF!,#REF!,#REF!,#REF!</definedName>
    <definedName name="__APW_RESTORE_DATA342__" hidden="1">#REF!,#REF!,#REF!,#REF!,#REF!,#REF!,#REF!,#REF!,#REF!,#REF!,#REF!,#REF!,#REF!,#REF!,#REF!</definedName>
    <definedName name="__APW_RESTORE_DATA343__" hidden="1">#REF!,#REF!,#REF!,#REF!,#REF!,#REF!,#REF!,#REF!,#REF!,#REF!,#REF!,#REF!,#REF!,#REF!,#REF!</definedName>
    <definedName name="__APW_RESTORE_DATA344__" hidden="1">#REF!,#REF!,#REF!,#REF!,#REF!,#REF!,#REF!,#REF!,#REF!,#REF!,#REF!,#REF!,#REF!,#REF!,#REF!</definedName>
    <definedName name="__APW_RESTORE_DATA345__" hidden="1">#REF!,#REF!,#REF!,#REF!,#REF!,#REF!,#REF!,#REF!,#REF!,#REF!,#REF!,#REF!,#REF!,#REF!,#REF!</definedName>
    <definedName name="__APW_RESTORE_DATA346__" hidden="1">#REF!,#REF!,#REF!,#REF!,#REF!,#REF!,#REF!,#REF!,#REF!,#REF!,#REF!,#REF!,#REF!,#REF!,#REF!</definedName>
    <definedName name="__APW_RESTORE_DATA347__" hidden="1">#REF!,#REF!,#REF!,#REF!,#REF!,#REF!,#REF!,#REF!,#REF!,#REF!,#REF!,#REF!,#REF!,#REF!,#REF!</definedName>
    <definedName name="__APW_RESTORE_DATA348__" hidden="1">#REF!,#REF!,#REF!,#REF!,#REF!,#REF!,#REF!,#REF!,#REF!,#REF!,#REF!,#REF!,#REF!,#REF!,#REF!</definedName>
    <definedName name="__APW_RESTORE_DATA349__" hidden="1">#REF!,#REF!,#REF!,#REF!,#REF!,#REF!,#REF!,#REF!,#REF!,#REF!,#REF!,#REF!,#REF!,#REF!,#REF!</definedName>
    <definedName name="__APW_RESTORE_DATA35__" hidden="1">#REF!,#REF!,#REF!,#REF!,#REF!,#REF!,#REF!,#REF!,#REF!,#REF!,#REF!,#REF!,#REF!,#REF!,#REF!</definedName>
    <definedName name="__APW_RESTORE_DATA350__" hidden="1">#REF!,#REF!,#REF!,#REF!,#REF!,#REF!,#REF!,#REF!,#REF!,#REF!,#REF!,#REF!,#REF!,#REF!,#REF!</definedName>
    <definedName name="__APW_RESTORE_DATA351__" hidden="1">#REF!,#REF!,#REF!,#REF!,#REF!,#REF!,#REF!,#REF!,#REF!,#REF!,#REF!,#REF!,#REF!,#REF!,#REF!</definedName>
    <definedName name="__APW_RESTORE_DATA352__" hidden="1">#REF!,#REF!</definedName>
    <definedName name="__APW_RESTORE_DATA353__" hidden="1">#REF!,#REF!</definedName>
    <definedName name="__APW_RESTORE_DATA354__" hidden="1">#REF!,#REF!,#REF!,#REF!,#REF!,#REF!,#REF!,#REF!,#REF!,#REF!,#REF!,#REF!,#REF!,#REF!,#REF!</definedName>
    <definedName name="__APW_RESTORE_DATA355__" hidden="1">#REF!,#REF!,#REF!,#REF!,#REF!,#REF!,#REF!,#REF!,#REF!,#REF!,#REF!,#REF!,#REF!,#REF!,#REF!</definedName>
    <definedName name="__APW_RESTORE_DATA356__" hidden="1">#REF!,#REF!,#REF!,#REF!,#REF!,#REF!,#REF!,#REF!,#REF!,#REF!,#REF!,#REF!,#REF!,#REF!,#REF!</definedName>
    <definedName name="__APW_RESTORE_DATA357__" hidden="1">#REF!,#REF!,#REF!,#REF!,#REF!,#REF!,#REF!,#REF!,#REF!,#REF!,#REF!,#REF!,#REF!,#REF!,#REF!</definedName>
    <definedName name="__APW_RESTORE_DATA358__" hidden="1">#REF!,#REF!,#REF!,#REF!,#REF!,#REF!,#REF!,#REF!,#REF!,#REF!,#REF!,#REF!,#REF!,#REF!,#REF!</definedName>
    <definedName name="__APW_RESTORE_DATA359__" hidden="1">#REF!,#REF!,#REF!,#REF!,#REF!,#REF!,#REF!,#REF!,#REF!,#REF!,#REF!,#REF!,#REF!,#REF!,#REF!</definedName>
    <definedName name="__APW_RESTORE_DATA36__" hidden="1">#REF!,#REF!,#REF!,#REF!,#REF!,#REF!,#REF!,#REF!,#REF!,#REF!,#REF!,#REF!,#REF!,#REF!,#REF!,#REF!</definedName>
    <definedName name="__APW_RESTORE_DATA360__" hidden="1">#REF!,#REF!,#REF!,#REF!,#REF!,#REF!,#REF!,#REF!,#REF!,#REF!,#REF!,#REF!,#REF!,#REF!,#REF!</definedName>
    <definedName name="__APW_RESTORE_DATA361__" hidden="1">#REF!,#REF!,#REF!,#REF!,#REF!,#REF!,#REF!,#REF!,#REF!,#REF!,#REF!,#REF!,#REF!,#REF!,#REF!</definedName>
    <definedName name="__APW_RESTORE_DATA362__" hidden="1">#REF!,#REF!,#REF!,#REF!,#REF!,#REF!</definedName>
    <definedName name="__APW_RESTORE_DATA363__" hidden="1">#REF!,#REF!,#REF!,#REF!,#REF!,#REF!,#REF!,#REF!,#REF!,#REF!,#REF!,#REF!,#REF!,#REF!,#REF!,#REF!</definedName>
    <definedName name="__APW_RESTORE_DATA364__" hidden="1">#REF!,#REF!,#REF!,#REF!,#REF!,#REF!,#REF!,#REF!,#REF!,#REF!,#REF!,#REF!,#REF!,#REF!,#REF!,#REF!</definedName>
    <definedName name="__APW_RESTORE_DATA365__" hidden="1">#REF!,#REF!,#REF!,#REF!,#REF!,#REF!,#REF!,#REF!,#REF!,#REF!,#REF!,#REF!,#REF!,#REF!,#REF!,#REF!</definedName>
    <definedName name="__APW_RESTORE_DATA366__" hidden="1">#REF!,#REF!</definedName>
    <definedName name="__APW_RESTORE_DATA367__" hidden="1">#REF!,#REF!,#REF!,#REF!,#REF!,#REF!,#REF!,#REF!,#REF!,#REF!,#REF!,#REF!,#REF!,#REF!,#REF!,#REF!</definedName>
    <definedName name="__APW_RESTORE_DATA368__" hidden="1">#REF!,#REF!,#REF!,#REF!,#REF!,#REF!,#REF!,#REF!,#REF!,#REF!,#REF!,#REF!,#REF!,#REF!,#REF!,#REF!</definedName>
    <definedName name="__APW_RESTORE_DATA369__" hidden="1">#REF!,#REF!,#REF!,#REF!,#REF!,#REF!,#REF!,#REF!,#REF!,#REF!,#REF!,#REF!,#REF!,#REF!,#REF!</definedName>
    <definedName name="__APW_RESTORE_DATA37__" hidden="1">#REF!,#REF!,#REF!,#REF!,#REF!,#REF!,#REF!,#REF!,#REF!,#REF!,#REF!,#REF!,#REF!,#REF!,#REF!</definedName>
    <definedName name="__APW_RESTORE_DATA370__" hidden="1">#REF!,#REF!,#REF!,#REF!,#REF!,#REF!,#REF!,#REF!,#REF!,#REF!,#REF!,#REF!,#REF!,#REF!,#REF!</definedName>
    <definedName name="__APW_RESTORE_DATA371__" hidden="1">#REF!,#REF!</definedName>
    <definedName name="__APW_RESTORE_DATA372__" hidden="1">#REF!,#REF!,#REF!,#REF!,#REF!,#REF!,#REF!,#REF!,#REF!,#REF!,#REF!,#REF!,#REF!,#REF!,#REF!</definedName>
    <definedName name="__APW_RESTORE_DATA373__" hidden="1">#REF!,#REF!,#REF!,#REF!,#REF!,#REF!,#REF!,#REF!,#REF!,#REF!,#REF!,#REF!,#REF!,#REF!,#REF!</definedName>
    <definedName name="__APW_RESTORE_DATA374__" hidden="1">#REF!,#REF!,#REF!,#REF!,#REF!,#REF!,#REF!,#REF!,#REF!,#REF!,#REF!,#REF!,#REF!,#REF!,#REF!</definedName>
    <definedName name="__APW_RESTORE_DATA375__" hidden="1">#REF!,#REF!,#REF!,#REF!,#REF!,#REF!,#REF!,#REF!,#REF!,#REF!,#REF!,#REF!,#REF!,#REF!,#REF!</definedName>
    <definedName name="__APW_RESTORE_DATA376__" hidden="1">#REF!,#REF!</definedName>
    <definedName name="__APW_RESTORE_DATA377__" hidden="1">#REF!,#REF!,#REF!,#REF!,#REF!,#REF!,#REF!,#REF!,#REF!,#REF!,#REF!,#REF!,#REF!,#REF!,#REF!</definedName>
    <definedName name="__APW_RESTORE_DATA378__" hidden="1">#REF!,#REF!,#REF!,#REF!,#REF!,#REF!,#REF!,#REF!,#REF!,#REF!,#REF!,#REF!,#REF!,#REF!,#REF!</definedName>
    <definedName name="__APW_RESTORE_DATA379__" hidden="1">#REF!,#REF!,#REF!,#REF!,#REF!,#REF!,#REF!,#REF!,#REF!,#REF!,#REF!,#REF!,#REF!,#REF!,#REF!</definedName>
    <definedName name="__APW_RESTORE_DATA38__" hidden="1">#REF!,#REF!,#REF!,#REF!,#REF!,#REF!,#REF!,#REF!,#REF!,#REF!,#REF!,#REF!,#REF!,#REF!,#REF!</definedName>
    <definedName name="__APW_RESTORE_DATA380__" hidden="1">#REF!,#REF!,#REF!,#REF!,#REF!,#REF!,#REF!,#REF!,#REF!,#REF!,#REF!,#REF!,#REF!,#REF!,#REF!</definedName>
    <definedName name="__APW_RESTORE_DATA381__" hidden="1">#REF!,#REF!,#REF!,#REF!,#REF!,#REF!,#REF!,#REF!,#REF!,#REF!,#REF!,#REF!,#REF!,#REF!,#REF!</definedName>
    <definedName name="__APW_RESTORE_DATA382__" hidden="1">#REF!,#REF!,#REF!,#REF!,#REF!,#REF!,#REF!,#REF!,#REF!,#REF!,#REF!,#REF!,#REF!,#REF!,#REF!</definedName>
    <definedName name="__APW_RESTORE_DATA383__" hidden="1">#REF!,#REF!,#REF!,#REF!,#REF!,#REF!,#REF!,#REF!,#REF!,#REF!,#REF!,#REF!,#REF!,#REF!,#REF!</definedName>
    <definedName name="__APW_RESTORE_DATA384__" hidden="1">#REF!,#REF!,#REF!,#REF!,#REF!,#REF!,#REF!,#REF!,#REF!,#REF!,#REF!,#REF!,#REF!,#REF!,#REF!</definedName>
    <definedName name="__APW_RESTORE_DATA385__" hidden="1">#REF!,#REF!,#REF!,#REF!,#REF!,#REF!,#REF!,#REF!,#REF!,#REF!,#REF!,#REF!,#REF!,#REF!,#REF!</definedName>
    <definedName name="__APW_RESTORE_DATA386__" hidden="1">#REF!,#REF!,#REF!,#REF!,#REF!,#REF!,#REF!,#REF!,#REF!,#REF!,#REF!,#REF!,#REF!,#REF!,#REF!</definedName>
    <definedName name="__APW_RESTORE_DATA387__" hidden="1">#REF!,#REF!,#REF!,#REF!,#REF!,#REF!,#REF!,#REF!,#REF!,#REF!,#REF!,#REF!,#REF!,#REF!,#REF!</definedName>
    <definedName name="__APW_RESTORE_DATA388__" hidden="1">#REF!,#REF!,#REF!,#REF!,#REF!,#REF!,#REF!,#REF!,#REF!,#REF!,#REF!,#REF!,#REF!,#REF!,#REF!</definedName>
    <definedName name="__APW_RESTORE_DATA389__" hidden="1">#REF!,#REF!,#REF!,#REF!,#REF!,#REF!,#REF!,#REF!,#REF!,#REF!,#REF!,#REF!,#REF!,#REF!,#REF!</definedName>
    <definedName name="__APW_RESTORE_DATA39__" hidden="1">#REF!</definedName>
    <definedName name="__APW_RESTORE_DATA390__" hidden="1">#REF!,#REF!,#REF!,#REF!,#REF!,#REF!,#REF!,#REF!,#REF!,#REF!,#REF!,#REF!,#REF!,#REF!,#REF!</definedName>
    <definedName name="__APW_RESTORE_DATA391__" hidden="1">#REF!,#REF!</definedName>
    <definedName name="__APW_RESTORE_DATA392__" hidden="1">#REF!,#REF!</definedName>
    <definedName name="__APW_RESTORE_DATA393__" hidden="1">#REF!,#REF!,#REF!,#REF!,#REF!,#REF!,#REF!,#REF!,#REF!,#REF!,#REF!,#REF!,#REF!,#REF!,#REF!</definedName>
    <definedName name="__APW_RESTORE_DATA394__" hidden="1">#REF!,#REF!,#REF!,#REF!,#REF!,#REF!,#REF!,#REF!,#REF!,#REF!,#REF!,#REF!,#REF!,#REF!,#REF!</definedName>
    <definedName name="__APW_RESTORE_DATA395__" hidden="1">#REF!,#REF!,#REF!,#REF!,#REF!,#REF!,#REF!,#REF!,#REF!,#REF!,#REF!,#REF!,#REF!,#REF!,#REF!</definedName>
    <definedName name="__APW_RESTORE_DATA396__" hidden="1">#REF!,#REF!,#REF!,#REF!,#REF!,#REF!,#REF!,#REF!,#REF!,#REF!,#REF!,#REF!,#REF!,#REF!,#REF!</definedName>
    <definedName name="__APW_RESTORE_DATA397__" hidden="1">#REF!,#REF!,#REF!,#REF!,#REF!,#REF!</definedName>
    <definedName name="__APW_RESTORE_DATA398__" hidden="1">#REF!,#REF!,#REF!,#REF!,#REF!,#REF!,#REF!,#REF!,#REF!,#REF!,#REF!,#REF!,#REF!,#REF!,#REF!,#REF!</definedName>
    <definedName name="__APW_RESTORE_DATA399__" hidden="1">#REF!,#REF!,#REF!,#REF!,#REF!,#REF!,#REF!,#REF!,#REF!,#REF!,#REF!,#REF!,#REF!,#REF!,#REF!,#REF!</definedName>
    <definedName name="__APW_RESTORE_DATA4__" hidden="1">#REF!</definedName>
    <definedName name="__APW_RESTORE_DATA40__" hidden="1">#REF!</definedName>
    <definedName name="__APW_RESTORE_DATA400__" hidden="1">#REF!,#REF!,#REF!,#REF!,#REF!,#REF!,#REF!,#REF!,#REF!,#REF!,#REF!,#REF!,#REF!,#REF!,#REF!,#REF!</definedName>
    <definedName name="__APW_RESTORE_DATA401__" hidden="1">#REF!,#REF!,#REF!,#REF!,#REF!,#REF!,#REF!,#REF!,#REF!,#REF!,#REF!,#REF!,#REF!,#REF!,#REF!,#REF!</definedName>
    <definedName name="__APW_RESTORE_DATA402__" hidden="1">#REF!,#REF!,#REF!,#REF!,#REF!,#REF!,#REF!,#REF!,#REF!,#REF!,#REF!,#REF!,#REF!,#REF!,#REF!,#REF!</definedName>
    <definedName name="__APW_RESTORE_DATA403__" hidden="1">#REF!,#REF!,#REF!,#REF!,#REF!,#REF!,#REF!,#REF!,#REF!,#REF!,#REF!,#REF!,#REF!,#REF!,#REF!,#REF!</definedName>
    <definedName name="__APW_RESTORE_DATA404__" hidden="1">#REF!,#REF!,#REF!,#REF!,#REF!,#REF!,#REF!,#REF!,#REF!,#REF!,#REF!,#REF!,#REF!,#REF!,#REF!</definedName>
    <definedName name="__APW_RESTORE_DATA405__" hidden="1">#REF!,#REF!</definedName>
    <definedName name="__APW_RESTORE_DATA406__" hidden="1">#REF!,#REF!,#REF!,#REF!,#REF!,#REF!,#REF!,#REF!,#REF!,#REF!,#REF!,#REF!,#REF!,#REF!,#REF!</definedName>
    <definedName name="__APW_RESTORE_DATA407__" hidden="1">#REF!,#REF!,#REF!,#REF!,#REF!,#REF!,#REF!,#REF!,#REF!,#REF!,#REF!,#REF!,#REF!,#REF!,#REF!</definedName>
    <definedName name="__APW_RESTORE_DATA408__" hidden="1">#REF!,#REF!,#REF!,#REF!,#REF!,#REF!,#REF!,#REF!,#REF!,#REF!,#REF!,#REF!,#REF!,#REF!,#REF!</definedName>
    <definedName name="__APW_RESTORE_DATA409__" hidden="1">#REF!,#REF!,#REF!,#REF!,#REF!,#REF!,#REF!,#REF!,#REF!,#REF!,#REF!,#REF!,#REF!,#REF!,#REF!</definedName>
    <definedName name="__APW_RESTORE_DATA41__" hidden="1">#REF!</definedName>
    <definedName name="__APW_RESTORE_DATA410__" hidden="1">#REF!,#REF!</definedName>
    <definedName name="__APW_RESTORE_DATA411__" hidden="1">#REF!,#REF!,#REF!,#REF!,#REF!,#REF!,#REF!,#REF!,#REF!,#REF!,#REF!,#REF!,#REF!,#REF!,#REF!</definedName>
    <definedName name="__APW_RESTORE_DATA412__" hidden="1">#REF!,#REF!,#REF!,#REF!,#REF!,#REF!,#REF!,#REF!,#REF!,#REF!,#REF!,#REF!,#REF!,#REF!,#REF!</definedName>
    <definedName name="__APW_RESTORE_DATA413__" hidden="1">#REF!,#REF!,#REF!,#REF!,#REF!,#REF!,#REF!,#REF!,#REF!,#REF!,#REF!,#REF!,#REF!,#REF!,#REF!</definedName>
    <definedName name="__APW_RESTORE_DATA414__" hidden="1">#REF!,#REF!,#REF!,#REF!,#REF!,#REF!,#REF!,#REF!,#REF!,#REF!,#REF!,#REF!,#REF!,#REF!,#REF!</definedName>
    <definedName name="__APW_RESTORE_DATA415__" hidden="1">#REF!,#REF!</definedName>
    <definedName name="__APW_RESTORE_DATA416__" hidden="1">#REF!,#REF!,#REF!,#REF!,#REF!,#REF!,#REF!,#REF!,#REF!,#REF!,#REF!,#REF!,#REF!,#REF!,#REF!</definedName>
    <definedName name="__APW_RESTORE_DATA417__" hidden="1">#REF!,#REF!,#REF!,#REF!,#REF!,#REF!,#REF!,#REF!,#REF!,#REF!,#REF!,#REF!,#REF!,#REF!,#REF!</definedName>
    <definedName name="__APW_RESTORE_DATA418__" hidden="1">#REF!,#REF!,#REF!,#REF!,#REF!,#REF!,#REF!,#REF!,#REF!,#REF!,#REF!,#REF!,#REF!,#REF!,#REF!</definedName>
    <definedName name="__APW_RESTORE_DATA419__" hidden="1">#REF!,#REF!,#REF!,#REF!,#REF!,#REF!,#REF!,#REF!,#REF!,#REF!,#REF!,#REF!,#REF!,#REF!,#REF!</definedName>
    <definedName name="__APW_RESTORE_DATA42__" hidden="1">#REF!,#REF!,#REF!,#REF!,#REF!,#REF!,#REF!,#REF!,#REF!,#REF!,#REF!,#REF!,#REF!,#REF!,#REF!,#REF!</definedName>
    <definedName name="__APW_RESTORE_DATA420__" hidden="1">#REF!,#REF!,#REF!,#REF!,#REF!,#REF!,#REF!,#REF!,#REF!,#REF!,#REF!,#REF!,#REF!,#REF!,#REF!</definedName>
    <definedName name="__APW_RESTORE_DATA421__" hidden="1">#REF!,#REF!,#REF!,#REF!,#REF!,#REF!,#REF!,#REF!,#REF!,#REF!,#REF!,#REF!,#REF!,#REF!,#REF!</definedName>
    <definedName name="__APW_RESTORE_DATA422__" hidden="1">#REF!,#REF!,#REF!,#REF!,#REF!,#REF!,#REF!,#REF!,#REF!,#REF!,#REF!,#REF!,#REF!,#REF!,#REF!</definedName>
    <definedName name="__APW_RESTORE_DATA423__" hidden="1">#REF!,#REF!,#REF!,#REF!,#REF!,#REF!,#REF!,#REF!,#REF!,#REF!,#REF!,#REF!,#REF!,#REF!,#REF!</definedName>
    <definedName name="__APW_RESTORE_DATA424__" hidden="1">#REF!,#REF!,#REF!,#REF!,#REF!,#REF!,#REF!,#REF!,#REF!,#REF!,#REF!,#REF!,#REF!,#REF!,#REF!</definedName>
    <definedName name="__APW_RESTORE_DATA425__" hidden="1">#REF!,#REF!,#REF!,#REF!,#REF!,#REF!,#REF!,#REF!,#REF!,#REF!,#REF!,#REF!,#REF!,#REF!,#REF!</definedName>
    <definedName name="__APW_RESTORE_DATA426__" hidden="1">#REF!,#REF!,#REF!,#REF!,#REF!,#REF!,#REF!,#REF!,#REF!,#REF!,#REF!,#REF!,#REF!,#REF!,#REF!</definedName>
    <definedName name="__APW_RESTORE_DATA427__" hidden="1">#REF!,#REF!,#REF!,#REF!,#REF!,#REF!,#REF!,#REF!,#REF!,#REF!,#REF!,#REF!,#REF!,#REF!,#REF!</definedName>
    <definedName name="__APW_RESTORE_DATA428__" hidden="1">#REF!,#REF!,#REF!,#REF!,#REF!,#REF!,#REF!,#REF!,#REF!,#REF!,#REF!,#REF!,#REF!,#REF!,#REF!</definedName>
    <definedName name="__APW_RESTORE_DATA429__" hidden="1">#REF!,#REF!,#REF!,#REF!,#REF!,#REF!,#REF!,#REF!,#REF!,#REF!,#REF!,#REF!,#REF!,#REF!,#REF!</definedName>
    <definedName name="__APW_RESTORE_DATA43__" hidden="1">#REF!,#REF!,#REF!,#REF!,#REF!,#REF!,#REF!,#REF!,#REF!,#REF!,#REF!,#REF!,#REF!,#REF!,#REF!</definedName>
    <definedName name="__APW_RESTORE_DATA430__" hidden="1">#REF!,#REF!</definedName>
    <definedName name="__APW_RESTORE_DATA431__" hidden="1">#REF!,#REF!</definedName>
    <definedName name="__APW_RESTORE_DATA432__" hidden="1">#REF!,#REF!,#REF!,#REF!,#REF!,#REF!</definedName>
    <definedName name="__APW_RESTORE_DATA433__" hidden="1">#REF!</definedName>
    <definedName name="__APW_RESTORE_DATA434__" hidden="1">#REF!</definedName>
    <definedName name="__APW_RESTORE_DATA435__" hidden="1">#REF!</definedName>
    <definedName name="__APW_RESTORE_DATA436__" hidden="1">#REF!,#REF!,#REF!,#REF!,#REF!,#REF!,#REF!,#REF!,#REF!,#REF!,#REF!,#REF!,#REF!,#REF!,#REF!,#REF!</definedName>
    <definedName name="__APW_RESTORE_DATA437__" hidden="1">#REF!,#REF!,#REF!,#REF!,#REF!,#REF!,#REF!,#REF!,#REF!,#REF!,#REF!,#REF!,#REF!,#REF!,#REF!,#REF!</definedName>
    <definedName name="__APW_RESTORE_DATA438__" hidden="1">#REF!,#REF!,#REF!,#REF!,#REF!,#REF!,#REF!,#REF!,#REF!,#REF!,#REF!,#REF!,#REF!,#REF!,#REF!,#REF!</definedName>
    <definedName name="__APW_RESTORE_DATA439__" hidden="1">#REF!,#REF!,#REF!,#REF!,#REF!,#REF!,#REF!,#REF!,#REF!,#REF!,#REF!,#REF!,#REF!,#REF!,#REF!,#REF!</definedName>
    <definedName name="__APW_RESTORE_DATA44__" hidden="1">#REF!,#REF!,#REF!,#REF!,#REF!,#REF!,#REF!,#REF!,#REF!,#REF!,#REF!,#REF!,#REF!,#REF!,#REF!,#REF!</definedName>
    <definedName name="__APW_RESTORE_DATA440__" hidden="1">#REF!,#REF!,#REF!,#REF!,#REF!,#REF!,#REF!,#REF!,#REF!,#REF!,#REF!,#REF!,#REF!,#REF!,#REF!,#REF!</definedName>
    <definedName name="__APW_RESTORE_DATA441__" hidden="1">#REF!,#REF!,#REF!,#REF!,#REF!,#REF!,#REF!,#REF!,#REF!,#REF!,#REF!,#REF!,#REF!,#REF!,#REF!,#REF!</definedName>
    <definedName name="__APW_RESTORE_DATA442__" hidden="1">#REF!,#REF!,#REF!,#REF!,#REF!,#REF!,#REF!,#REF!,#REF!,#REF!,#REF!,#REF!,#REF!,#REF!,#REF!</definedName>
    <definedName name="__APW_RESTORE_DATA443__" hidden="1">#REF!,#REF!,#REF!,#REF!,#REF!,#REF!,#REF!,#REF!,#REF!,#REF!,#REF!,#REF!,#REF!,#REF!,#REF!</definedName>
    <definedName name="__APW_RESTORE_DATA444__" hidden="1">#REF!,#REF!</definedName>
    <definedName name="__APW_RESTORE_DATA445__" hidden="1">#REF!,#REF!,#REF!,#REF!,#REF!,#REF!,#REF!,#REF!,#REF!,#REF!,#REF!,#REF!,#REF!,#REF!,#REF!</definedName>
    <definedName name="__APW_RESTORE_DATA446__" hidden="1">#REF!,#REF!,#REF!,#REF!,#REF!,#REF!,#REF!,#REF!,#REF!,#REF!,#REF!,#REF!,#REF!,#REF!,#REF!</definedName>
    <definedName name="__APW_RESTORE_DATA447__" hidden="1">#REF!,#REF!,#REF!,#REF!,#REF!,#REF!,#REF!,#REF!,#REF!,#REF!,#REF!,#REF!,#REF!,#REF!,#REF!</definedName>
    <definedName name="__APW_RESTORE_DATA448__" hidden="1">#REF!,#REF!,#REF!,#REF!,#REF!,#REF!,#REF!,#REF!,#REF!,#REF!,#REF!,#REF!,#REF!,#REF!,#REF!</definedName>
    <definedName name="__APW_RESTORE_DATA449__" hidden="1">#REF!,#REF!</definedName>
    <definedName name="__APW_RESTORE_DATA45__" hidden="1">#REF!,#REF!,#REF!,#REF!,#REF!,#REF!,#REF!,#REF!,#REF!,#REF!,#REF!,#REF!,#REF!,#REF!,#REF!</definedName>
    <definedName name="__APW_RESTORE_DATA450__" hidden="1">#REF!,#REF!,#REF!,#REF!,#REF!,#REF!,#REF!,#REF!,#REF!,#REF!,#REF!,#REF!,#REF!,#REF!,#REF!</definedName>
    <definedName name="__APW_RESTORE_DATA451__" hidden="1">#REF!,#REF!,#REF!,#REF!,#REF!,#REF!,#REF!,#REF!,#REF!,#REF!,#REF!,#REF!,#REF!,#REF!,#REF!</definedName>
    <definedName name="__APW_RESTORE_DATA452__" hidden="1">#REF!,#REF!,#REF!,#REF!,#REF!,#REF!,#REF!,#REF!,#REF!,#REF!,#REF!,#REF!,#REF!,#REF!,#REF!</definedName>
    <definedName name="__APW_RESTORE_DATA453__" hidden="1">#REF!,#REF!,#REF!,#REF!,#REF!,#REF!,#REF!,#REF!,#REF!,#REF!,#REF!,#REF!,#REF!,#REF!,#REF!</definedName>
    <definedName name="__APW_RESTORE_DATA454__" hidden="1">#REF!,#REF!</definedName>
    <definedName name="__APW_RESTORE_DATA455__" hidden="1">#REF!,#REF!,#REF!,#REF!,#REF!,#REF!,#REF!,#REF!,#REF!,#REF!,#REF!,#REF!,#REF!,#REF!,#REF!</definedName>
    <definedName name="__APW_RESTORE_DATA456__" hidden="1">#REF!,#REF!,#REF!,#REF!,#REF!,#REF!,#REF!,#REF!,#REF!,#REF!,#REF!,#REF!,#REF!,#REF!,#REF!</definedName>
    <definedName name="__APW_RESTORE_DATA457__" hidden="1">#REF!,#REF!,#REF!,#REF!,#REF!,#REF!,#REF!,#REF!,#REF!,#REF!,#REF!,#REF!,#REF!,#REF!,#REF!</definedName>
    <definedName name="__APW_RESTORE_DATA458__" hidden="1">#REF!,#REF!,#REF!,#REF!,#REF!,#REF!,#REF!,#REF!,#REF!,#REF!,#REF!,#REF!,#REF!,#REF!,#REF!</definedName>
    <definedName name="__APW_RESTORE_DATA459__" hidden="1">#REF!,#REF!,#REF!,#REF!,#REF!,#REF!,#REF!,#REF!,#REF!,#REF!,#REF!,#REF!,#REF!,#REF!,#REF!</definedName>
    <definedName name="__APW_RESTORE_DATA46__" hidden="1">#REF!</definedName>
    <definedName name="__APW_RESTORE_DATA460__" hidden="1">#REF!,#REF!,#REF!,#REF!,#REF!,#REF!,#REF!,#REF!,#REF!,#REF!,#REF!,#REF!,#REF!,#REF!,#REF!</definedName>
    <definedName name="__APW_RESTORE_DATA461__" hidden="1">#REF!,#REF!,#REF!,#REF!,#REF!,#REF!,#REF!,#REF!,#REF!,#REF!,#REF!,#REF!,#REF!,#REF!,#REF!</definedName>
    <definedName name="__APW_RESTORE_DATA462__" hidden="1">#REF!,#REF!,#REF!,#REF!,#REF!,#REF!,#REF!,#REF!,#REF!,#REF!,#REF!,#REF!,#REF!,#REF!,#REF!</definedName>
    <definedName name="__APW_RESTORE_DATA463__" hidden="1">#REF!,#REF!,#REF!,#REF!,#REF!,#REF!,#REF!,#REF!,#REF!,#REF!,#REF!,#REF!,#REF!,#REF!,#REF!</definedName>
    <definedName name="__APW_RESTORE_DATA464__" hidden="1">#REF!,#REF!,#REF!,#REF!,#REF!,#REF!,#REF!,#REF!,#REF!,#REF!,#REF!,#REF!,#REF!,#REF!,#REF!</definedName>
    <definedName name="__APW_RESTORE_DATA465__" hidden="1">#REF!,#REF!,#REF!,#REF!,#REF!,#REF!,#REF!,#REF!,#REF!,#REF!,#REF!,#REF!,#REF!,#REF!,#REF!</definedName>
    <definedName name="__APW_RESTORE_DATA466__" hidden="1">#REF!,#REF!,#REF!,#REF!,#REF!,#REF!,#REF!,#REF!,#REF!,#REF!,#REF!,#REF!,#REF!,#REF!,#REF!</definedName>
    <definedName name="__APW_RESTORE_DATA467__" hidden="1">#REF!,#REF!,#REF!,#REF!,#REF!,#REF!,#REF!,#REF!,#REF!,#REF!,#REF!,#REF!,#REF!,#REF!,#REF!</definedName>
    <definedName name="__APW_RESTORE_DATA468__" hidden="1">#REF!,#REF!,#REF!,#REF!,#REF!,#REF!,#REF!,#REF!,#REF!,#REF!,#REF!,#REF!,#REF!,#REF!,#REF!</definedName>
    <definedName name="__APW_RESTORE_DATA469__" hidden="1">#REF!,#REF!</definedName>
    <definedName name="__APW_RESTORE_DATA47__" hidden="1">#REF!</definedName>
    <definedName name="__APW_RESTORE_DATA470__" hidden="1">#REF!,#REF!</definedName>
    <definedName name="__APW_RESTORE_DATA471__" hidden="1">#REF!,#REF!,#REF!,#REF!,#REF!,#REF!,#REF!,#REF!,#REF!,#REF!,#REF!,#REF!,#REF!,#REF!,#REF!,#REF!</definedName>
    <definedName name="__APW_RESTORE_DATA472__" hidden="1">#REF!,#REF!,#REF!,#REF!,#REF!,#REF!,#REF!,#REF!,#REF!,#REF!,#REF!,#REF!,#REF!,#REF!,#REF!,#REF!</definedName>
    <definedName name="__APW_RESTORE_DATA473__" hidden="1">#REF!,#REF!,#REF!,#REF!,#REF!,#REF!,#REF!,#REF!,#REF!,#REF!,#REF!,#REF!,#REF!,#REF!,#REF!,#REF!</definedName>
    <definedName name="__APW_RESTORE_DATA474__" hidden="1">#REF!,#REF!,#REF!,#REF!,#REF!,#REF!,#REF!,#REF!,#REF!,#REF!,#REF!,#REF!,#REF!,#REF!,#REF!,#REF!</definedName>
    <definedName name="__APW_RESTORE_DATA475__" hidden="1">#REF!,#REF!,#REF!,#REF!,#REF!,#REF!,#REF!,#REF!,#REF!,#REF!,#REF!,#REF!,#REF!,#REF!,#REF!,#REF!</definedName>
    <definedName name="__APW_RESTORE_DATA476__" hidden="1">#REF!,#REF!,#REF!,#REF!,#REF!,#REF!,#REF!,#REF!,#REF!,#REF!,#REF!,#REF!,#REF!,#REF!,#REF!,#REF!</definedName>
    <definedName name="__APW_RESTORE_DATA477__" hidden="1">#REF!,#REF!,#REF!,#REF!,#REF!,#REF!,#REF!,#REF!,#REF!,#REF!,#REF!,#REF!,#REF!,#REF!,#REF!</definedName>
    <definedName name="__APW_RESTORE_DATA478__" hidden="1">#REF!,#REF!,#REF!,#REF!,#REF!,#REF!,#REF!,#REF!,#REF!,#REF!,#REF!,#REF!,#REF!,#REF!,#REF!</definedName>
    <definedName name="__APW_RESTORE_DATA479__" hidden="1">#REF!,#REF!,#REF!,#REF!,#REF!,#REF!,#REF!,#REF!,#REF!,#REF!,#REF!,#REF!,#REF!,#REF!,#REF!</definedName>
    <definedName name="__APW_RESTORE_DATA48__" hidden="1">#REF!,#REF!,#REF!,#REF!,#REF!,#REF!,#REF!,#REF!,#REF!,#REF!,#REF!,#REF!,#REF!,#REF!,#REF!,#REF!</definedName>
    <definedName name="__APW_RESTORE_DATA480__" hidden="1">#REF!,#REF!,#REF!,#REF!,#REF!,#REF!,#REF!,#REF!,#REF!,#REF!,#REF!,#REF!,#REF!,#REF!,#REF!</definedName>
    <definedName name="__APW_RESTORE_DATA481__" hidden="1">#REF!,#REF!,#REF!,#REF!,#REF!,#REF!,#REF!,#REF!,#REF!,#REF!,#REF!,#REF!,#REF!,#REF!,#REF!</definedName>
    <definedName name="__APW_RESTORE_DATA482__" hidden="1">#REF!,#REF!,#REF!,#REF!,#REF!,#REF!,#REF!,#REF!,#REF!,#REF!,#REF!,#REF!,#REF!,#REF!,#REF!</definedName>
    <definedName name="__APW_RESTORE_DATA483__" hidden="1">#REF!,#REF!</definedName>
    <definedName name="__APW_RESTORE_DATA484__" hidden="1">#REF!,#REF!,#REF!,#REF!,#REF!,#REF!,#REF!,#REF!,#REF!,#REF!,#REF!,#REF!,#REF!,#REF!,#REF!</definedName>
    <definedName name="__APW_RESTORE_DATA485__" hidden="1">#REF!,#REF!,#REF!,#REF!,#REF!,#REF!,#REF!,#REF!,#REF!,#REF!,#REF!,#REF!,#REF!,#REF!,#REF!</definedName>
    <definedName name="__APW_RESTORE_DATA486__" hidden="1">#REF!,#REF!,#REF!,#REF!,#REF!,#REF!,#REF!,#REF!,#REF!,#REF!,#REF!,#REF!,#REF!,#REF!,#REF!</definedName>
    <definedName name="__APW_RESTORE_DATA487__" hidden="1">#REF!,#REF!,#REF!,#REF!,#REF!,#REF!,#REF!,#REF!,#REF!,#REF!,#REF!,#REF!,#REF!,#REF!,#REF!</definedName>
    <definedName name="__APW_RESTORE_DATA488__" hidden="1">#REF!,#REF!</definedName>
    <definedName name="__APW_RESTORE_DATA489__" hidden="1">#REF!,#REF!,#REF!,#REF!,#REF!,#REF!,#REF!,#REF!,#REF!,#REF!,#REF!,#REF!,#REF!,#REF!,#REF!</definedName>
    <definedName name="__APW_RESTORE_DATA49__" hidden="1">#REF!,#REF!,#REF!,#REF!,#REF!,#REF!,#REF!,#REF!,#REF!,#REF!,#REF!,#REF!,#REF!,#REF!,#REF!</definedName>
    <definedName name="__APW_RESTORE_DATA490__" hidden="1">#REF!,#REF!,#REF!,#REF!,#REF!,#REF!,#REF!,#REF!,#REF!,#REF!,#REF!,#REF!,#REF!,#REF!,#REF!</definedName>
    <definedName name="__APW_RESTORE_DATA491__" hidden="1">#REF!,#REF!,#REF!,#REF!,#REF!,#REF!,#REF!,#REF!,#REF!,#REF!,#REF!,#REF!,#REF!,#REF!,#REF!</definedName>
    <definedName name="__APW_RESTORE_DATA492__" hidden="1">#REF!,#REF!,#REF!,#REF!,#REF!,#REF!,#REF!,#REF!,#REF!,#REF!,#REF!,#REF!,#REF!,#REF!,#REF!</definedName>
    <definedName name="__APW_RESTORE_DATA493__" hidden="1">#REF!,#REF!</definedName>
    <definedName name="__APW_RESTORE_DATA494__" hidden="1">#REF!,#REF!,#REF!,#REF!,#REF!,#REF!,#REF!,#REF!,#REF!,#REF!,#REF!,#REF!,#REF!,#REF!,#REF!</definedName>
    <definedName name="__APW_RESTORE_DATA495__" hidden="1">#REF!,#REF!,#REF!,#REF!,#REF!,#REF!,#REF!,#REF!,#REF!,#REF!,#REF!,#REF!,#REF!,#REF!,#REF!</definedName>
    <definedName name="__APW_RESTORE_DATA496__" hidden="1">#REF!,#REF!,#REF!,#REF!,#REF!,#REF!,#REF!,#REF!,#REF!,#REF!,#REF!,#REF!,#REF!,#REF!,#REF!</definedName>
    <definedName name="__APW_RESTORE_DATA497__" hidden="1">#REF!,#REF!,#REF!,#REF!,#REF!,#REF!,#REF!,#REF!,#REF!,#REF!,#REF!,#REF!,#REF!,#REF!,#REF!</definedName>
    <definedName name="__APW_RESTORE_DATA498__" hidden="1">#REF!,#REF!,#REF!,#REF!,#REF!,#REF!,#REF!,#REF!,#REF!,#REF!,#REF!,#REF!,#REF!,#REF!,#REF!</definedName>
    <definedName name="__APW_RESTORE_DATA499__" hidden="1">#REF!,#REF!,#REF!,#REF!,#REF!,#REF!,#REF!,#REF!,#REF!,#REF!,#REF!,#REF!,#REF!,#REF!,#REF!</definedName>
    <definedName name="__APW_RESTORE_DATA5__" hidden="1">#REF!</definedName>
    <definedName name="__APW_RESTORE_DATA50__" hidden="1">#REF!,#REF!,#REF!,#REF!,#REF!,#REF!,#REF!,#REF!,#REF!,#REF!,#REF!,#REF!,#REF!,#REF!,#REF!,#REF!</definedName>
    <definedName name="__APW_RESTORE_DATA500__" hidden="1">#REF!,#REF!,#REF!,#REF!,#REF!,#REF!,#REF!,#REF!,#REF!,#REF!,#REF!,#REF!,#REF!,#REF!,#REF!</definedName>
    <definedName name="__APW_RESTORE_DATA501__" hidden="1">#REF!,#REF!,#REF!,#REF!,#REF!,#REF!,#REF!,#REF!,#REF!,#REF!,#REF!,#REF!,#REF!,#REF!,#REF!</definedName>
    <definedName name="__APW_RESTORE_DATA502__" hidden="1">#REF!,#REF!,#REF!,#REF!,#REF!,#REF!,#REF!,#REF!,#REF!,#REF!,#REF!,#REF!,#REF!,#REF!,#REF!</definedName>
    <definedName name="__APW_RESTORE_DATA503__" hidden="1">#REF!,#REF!,#REF!,#REF!,#REF!,#REF!,#REF!,#REF!,#REF!,#REF!,#REF!,#REF!,#REF!,#REF!,#REF!</definedName>
    <definedName name="__APW_RESTORE_DATA504__" hidden="1">#REF!,#REF!,#REF!,#REF!,#REF!,#REF!,#REF!,#REF!,#REF!,#REF!,#REF!,#REF!,#REF!,#REF!,#REF!</definedName>
    <definedName name="__APW_RESTORE_DATA505__" hidden="1">#REF!,#REF!,#REF!,#REF!,#REF!,#REF!</definedName>
    <definedName name="__APW_RESTORE_DATA506__" hidden="1">#REF!,#REF!,#REF!,#REF!,#REF!,#REF!,#REF!,#REF!,#REF!,#REF!,#REF!,#REF!,#REF!,#REF!,#REF!,#REF!</definedName>
    <definedName name="__APW_RESTORE_DATA507__" hidden="1">#REF!,#REF!,#REF!,#REF!,#REF!,#REF!,#REF!,#REF!,#REF!,#REF!,#REF!,#REF!,#REF!,#REF!,#REF!,#REF!</definedName>
    <definedName name="__APW_RESTORE_DATA508__" hidden="1">#REF!,#REF!</definedName>
    <definedName name="__APW_RESTORE_DATA509__" hidden="1">#REF!,#REF!</definedName>
    <definedName name="__APW_RESTORE_DATA51__" hidden="1">#REF!,#REF!,#REF!,#REF!,#REF!,#REF!,#REF!,#REF!,#REF!,#REF!,#REF!,#REF!,#REF!,#REF!,#REF!</definedName>
    <definedName name="__APW_RESTORE_DATA510__" hidden="1">#REF!,#REF!,#REF!,#REF!,#REF!,#REF!,#REF!,#REF!,#REF!,#REF!,#REF!,#REF!,#REF!,#REF!,#REF!,#REF!</definedName>
    <definedName name="__APW_RESTORE_DATA511__" hidden="1">#REF!,#REF!,#REF!,#REF!,#REF!,#REF!,#REF!,#REF!,#REF!,#REF!,#REF!,#REF!,#REF!,#REF!,#REF!,#REF!</definedName>
    <definedName name="__APW_RESTORE_DATA512__" hidden="1">#REF!,#REF!,#REF!,#REF!,#REF!,#REF!,#REF!,#REF!,#REF!,#REF!,#REF!,#REF!,#REF!,#REF!,#REF!</definedName>
    <definedName name="__APW_RESTORE_DATA513__" hidden="1">#REF!,#REF!,#REF!,#REF!,#REF!,#REF!,#REF!,#REF!,#REF!,#REF!,#REF!,#REF!,#REF!,#REF!,#REF!</definedName>
    <definedName name="__APW_RESTORE_DATA514__" hidden="1">#REF!,#REF!,#REF!,#REF!,#REF!,#REF!,#REF!,#REF!,#REF!,#REF!,#REF!,#REF!,#REF!,#REF!,#REF!</definedName>
    <definedName name="__APW_RESTORE_DATA515__" hidden="1">#REF!,#REF!,#REF!,#REF!,#REF!,#REF!,#REF!,#REF!,#REF!,#REF!,#REF!,#REF!,#REF!,#REF!,#REF!</definedName>
    <definedName name="__APW_RESTORE_DATA516__" hidden="1">#REF!,#REF!,#REF!,#REF!,#REF!,#REF!,#REF!,#REF!,#REF!,#REF!,#REF!,#REF!,#REF!,#REF!,#REF!</definedName>
    <definedName name="__APW_RESTORE_DATA517__" hidden="1">#REF!,#REF!,#REF!,#REF!,#REF!,#REF!,#REF!,#REF!,#REF!,#REF!,#REF!,#REF!,#REF!,#REF!,#REF!</definedName>
    <definedName name="__APW_RESTORE_DATA518__" hidden="1">#REF!,#REF!,#REF!,#REF!,#REF!,#REF!,#REF!,#REF!,#REF!,#REF!,#REF!,#REF!,#REF!,#REF!,#REF!</definedName>
    <definedName name="__APW_RESTORE_DATA519__" hidden="1">#REF!,#REF!,#REF!,#REF!,#REF!,#REF!,#REF!,#REF!,#REF!,#REF!,#REF!,#REF!,#REF!,#REF!,#REF!</definedName>
    <definedName name="__APW_RESTORE_DATA52__" hidden="1">#REF!,#REF!,#REF!,#REF!,#REF!,#REF!,#REF!,#REF!,#REF!,#REF!,#REF!,#REF!,#REF!,#REF!,#REF!,#REF!</definedName>
    <definedName name="__APW_RESTORE_DATA520__" hidden="1">#REF!,#REF!,#REF!,#REF!,#REF!,#REF!,#REF!,#REF!,#REF!,#REF!,#REF!,#REF!,#REF!,#REF!,#REF!</definedName>
    <definedName name="__APW_RESTORE_DATA521__" hidden="1">#REF!,#REF!,#REF!,#REF!,#REF!,#REF!,#REF!,#REF!,#REF!,#REF!,#REF!,#REF!,#REF!,#REF!,#REF!</definedName>
    <definedName name="__APW_RESTORE_DATA522__" hidden="1">#REF!,#REF!</definedName>
    <definedName name="__APW_RESTORE_DATA523__" hidden="1">#REF!,#REF!,#REF!,#REF!,#REF!,#REF!,#REF!,#REF!,#REF!,#REF!,#REF!,#REF!,#REF!,#REF!,#REF!</definedName>
    <definedName name="__APW_RESTORE_DATA524__" hidden="1">#REF!,#REF!,#REF!,#REF!,#REF!,#REF!,#REF!,#REF!,#REF!,#REF!,#REF!,#REF!,#REF!,#REF!,#REF!</definedName>
    <definedName name="__APW_RESTORE_DATA525__" hidden="1">#REF!,#REF!,#REF!,#REF!,#REF!,#REF!,#REF!,#REF!,#REF!,#REF!,#REF!,#REF!,#REF!,#REF!,#REF!</definedName>
    <definedName name="__APW_RESTORE_DATA526__" hidden="1">#REF!,#REF!,#REF!,#REF!,#REF!,#REF!,#REF!,#REF!,#REF!,#REF!,#REF!,#REF!,#REF!,#REF!,#REF!</definedName>
    <definedName name="__APW_RESTORE_DATA527__" hidden="1">#REF!,#REF!</definedName>
    <definedName name="__APW_RESTORE_DATA528__" hidden="1">#REF!,#REF!,#REF!,#REF!,#REF!,#REF!,#REF!,#REF!,#REF!,#REF!,#REF!,#REF!,#REF!,#REF!,#REF!</definedName>
    <definedName name="__APW_RESTORE_DATA529__" hidden="1">#REF!,#REF!,#REF!,#REF!,#REF!,#REF!,#REF!,#REF!,#REF!,#REF!,#REF!,#REF!,#REF!,#REF!,#REF!</definedName>
    <definedName name="__APW_RESTORE_DATA53__" hidden="1">#REF!,#REF!,#REF!,#REF!,#REF!,#REF!,#REF!,#REF!,#REF!,#REF!,#REF!,#REF!,#REF!,#REF!,#REF!</definedName>
    <definedName name="__APW_RESTORE_DATA530__" hidden="1">#REF!,#REF!,#REF!,#REF!,#REF!,#REF!,#REF!,#REF!,#REF!,#REF!,#REF!,#REF!,#REF!,#REF!,#REF!</definedName>
    <definedName name="__APW_RESTORE_DATA531__" hidden="1">#REF!,#REF!,#REF!,#REF!,#REF!,#REF!,#REF!,#REF!,#REF!,#REF!,#REF!,#REF!,#REF!,#REF!,#REF!</definedName>
    <definedName name="__APW_RESTORE_DATA532__" hidden="1">#REF!,#REF!</definedName>
    <definedName name="__APW_RESTORE_DATA533__" hidden="1">#REF!,#REF!,#REF!,#REF!,#REF!,#REF!,#REF!,#REF!,#REF!,#REF!,#REF!,#REF!,#REF!,#REF!,#REF!</definedName>
    <definedName name="__APW_RESTORE_DATA534__" hidden="1">#REF!,#REF!,#REF!,#REF!,#REF!,#REF!,#REF!,#REF!,#REF!,#REF!,#REF!,#REF!,#REF!,#REF!,#REF!</definedName>
    <definedName name="__APW_RESTORE_DATA535__" hidden="1">#REF!,#REF!,#REF!,#REF!,#REF!,#REF!,#REF!,#REF!,#REF!,#REF!,#REF!,#REF!,#REF!,#REF!,#REF!</definedName>
    <definedName name="__APW_RESTORE_DATA536__" hidden="1">#REF!,#REF!,#REF!,#REF!,#REF!,#REF!,#REF!,#REF!,#REF!,#REF!,#REF!,#REF!,#REF!,#REF!,#REF!</definedName>
    <definedName name="__APW_RESTORE_DATA537__" hidden="1">#REF!,#REF!,#REF!,#REF!,#REF!,#REF!,#REF!,#REF!,#REF!,#REF!,#REF!,#REF!,#REF!,#REF!,#REF!</definedName>
    <definedName name="__APW_RESTORE_DATA538__" hidden="1">#REF!,#REF!,#REF!,#REF!,#REF!,#REF!,#REF!,#REF!,#REF!,#REF!,#REF!,#REF!,#REF!,#REF!,#REF!</definedName>
    <definedName name="__APW_RESTORE_DATA539__" hidden="1">#REF!,#REF!,#REF!,#REF!,#REF!,#REF!,#REF!,#REF!,#REF!,#REF!,#REF!,#REF!,#REF!,#REF!,#REF!</definedName>
    <definedName name="__APW_RESTORE_DATA54__" hidden="1">#REF!</definedName>
    <definedName name="__APW_RESTORE_DATA540__" hidden="1">#REF!,#REF!,#REF!,#REF!,#REF!,#REF!</definedName>
    <definedName name="__APW_RESTORE_DATA541__" hidden="1">#REF!,#REF!,#REF!,#REF!,#REF!,#REF!,#REF!,#REF!,#REF!,#REF!,#REF!,#REF!,#REF!,#REF!,#REF!,#REF!</definedName>
    <definedName name="__APW_RESTORE_DATA542__" hidden="1">#REF!,#REF!,#REF!,#REF!,#REF!,#REF!,#REF!,#REF!,#REF!,#REF!,#REF!,#REF!,#REF!,#REF!,#REF!,#REF!</definedName>
    <definedName name="__APW_RESTORE_DATA543__" hidden="1">#REF!,#REF!,#REF!,#REF!,#REF!,#REF!,#REF!,#REF!,#REF!,#REF!,#REF!,#REF!,#REF!,#REF!,#REF!,#REF!</definedName>
    <definedName name="__APW_RESTORE_DATA544__" hidden="1">#REF!,#REF!,#REF!,#REF!,#REF!,#REF!,#REF!,#REF!,#REF!,#REF!,#REF!,#REF!,#REF!,#REF!,#REF!,#REF!</definedName>
    <definedName name="__APW_RESTORE_DATA545__" hidden="1">#REF!,#REF!,#REF!,#REF!,#REF!,#REF!,#REF!,#REF!,#REF!,#REF!,#REF!,#REF!,#REF!,#REF!,#REF!,#REF!</definedName>
    <definedName name="__APW_RESTORE_DATA546__" hidden="1">#REF!,#REF!,#REF!,#REF!,#REF!,#REF!,#REF!,#REF!,#REF!,#REF!,#REF!,#REF!,#REF!,#REF!,#REF!,#REF!</definedName>
    <definedName name="__APW_RESTORE_DATA547__" hidden="1">#REF!,#REF!</definedName>
    <definedName name="__APW_RESTORE_DATA548__" hidden="1">#REF!,#REF!</definedName>
    <definedName name="__APW_RESTORE_DATA549__" hidden="1">#REF!,#REF!,#REF!,#REF!,#REF!,#REF!,#REF!,#REF!,#REF!,#REF!,#REF!,#REF!,#REF!,#REF!,#REF!</definedName>
    <definedName name="__APW_RESTORE_DATA55__" hidden="1">#REF!</definedName>
    <definedName name="__APW_RESTORE_DATA550__" hidden="1">#REF!,#REF!,#REF!,#REF!,#REF!,#REF!,#REF!,#REF!,#REF!,#REF!,#REF!,#REF!,#REF!,#REF!,#REF!</definedName>
    <definedName name="__APW_RESTORE_DATA551__" hidden="1">#REF!,#REF!,#REF!,#REF!,#REF!,#REF!,#REF!,#REF!,#REF!,#REF!,#REF!,#REF!,#REF!,#REF!,#REF!</definedName>
    <definedName name="__APW_RESTORE_DATA552__" hidden="1">#REF!,#REF!,#REF!,#REF!,#REF!,#REF!,#REF!,#REF!,#REF!,#REF!,#REF!,#REF!,#REF!,#REF!,#REF!</definedName>
    <definedName name="__APW_RESTORE_DATA553__" hidden="1">#REF!,#REF!,#REF!,#REF!,#REF!,#REF!,#REF!,#REF!,#REF!,#REF!,#REF!,#REF!,#REF!,#REF!,#REF!</definedName>
    <definedName name="__APW_RESTORE_DATA554__" hidden="1">#REF!,#REF!,#REF!,#REF!,#REF!,#REF!,#REF!,#REF!,#REF!,#REF!,#REF!,#REF!,#REF!,#REF!,#REF!</definedName>
    <definedName name="__APW_RESTORE_DATA555__" hidden="1">#REF!,#REF!,#REF!,#REF!,#REF!,#REF!,#REF!,#REF!,#REF!,#REF!,#REF!,#REF!,#REF!,#REF!,#REF!</definedName>
    <definedName name="__APW_RESTORE_DATA556__" hidden="1">#REF!,#REF!,#REF!,#REF!,#REF!,#REF!,#REF!,#REF!,#REF!,#REF!,#REF!,#REF!,#REF!,#REF!,#REF!</definedName>
    <definedName name="__APW_RESTORE_DATA557__" hidden="1">#REF!,#REF!,#REF!,#REF!,#REF!,#REF!,#REF!,#REF!,#REF!,#REF!,#REF!,#REF!,#REF!,#REF!,#REF!</definedName>
    <definedName name="__APW_RESTORE_DATA558__" hidden="1">#REF!,#REF!,#REF!,#REF!,#REF!,#REF!,#REF!,#REF!,#REF!,#REF!,#REF!,#REF!,#REF!,#REF!,#REF!</definedName>
    <definedName name="__APW_RESTORE_DATA559__" hidden="1">#REF!,#REF!,#REF!,#REF!,#REF!,#REF!,#REF!,#REF!,#REF!,#REF!,#REF!,#REF!,#REF!,#REF!,#REF!</definedName>
    <definedName name="__APW_RESTORE_DATA56__" hidden="1">#REF!,#REF!,#REF!,#REF!,#REF!,#REF!,#REF!,#REF!,#REF!,#REF!,#REF!,#REF!,#REF!,#REF!,#REF!,#REF!</definedName>
    <definedName name="__APW_RESTORE_DATA560__" hidden="1">#REF!,#REF!,#REF!,#REF!,#REF!,#REF!,#REF!,#REF!,#REF!,#REF!,#REF!,#REF!,#REF!,#REF!,#REF!</definedName>
    <definedName name="__APW_RESTORE_DATA561__" hidden="1">#REF!,#REF!</definedName>
    <definedName name="__APW_RESTORE_DATA562__" hidden="1">#REF!,#REF!,#REF!,#REF!,#REF!,#REF!,#REF!,#REF!,#REF!,#REF!,#REF!,#REF!,#REF!,#REF!,#REF!</definedName>
    <definedName name="__APW_RESTORE_DATA563__" hidden="1">#REF!,#REF!,#REF!,#REF!,#REF!,#REF!,#REF!,#REF!,#REF!,#REF!,#REF!,#REF!,#REF!,#REF!,#REF!</definedName>
    <definedName name="__APW_RESTORE_DATA564__" hidden="1">#REF!,#REF!,#REF!,#REF!,#REF!,#REF!,#REF!,#REF!,#REF!,#REF!,#REF!,#REF!,#REF!,#REF!,#REF!</definedName>
    <definedName name="__APW_RESTORE_DATA565__" hidden="1">#REF!,#REF!,#REF!,#REF!,#REF!,#REF!,#REF!,#REF!,#REF!,#REF!,#REF!,#REF!,#REF!,#REF!,#REF!</definedName>
    <definedName name="__APW_RESTORE_DATA566__" hidden="1">#REF!,#REF!</definedName>
    <definedName name="__APW_RESTORE_DATA567__" hidden="1">#REF!,#REF!,#REF!,#REF!,#REF!,#REF!,#REF!,#REF!,#REF!,#REF!,#REF!,#REF!,#REF!,#REF!,#REF!</definedName>
    <definedName name="__APW_RESTORE_DATA568__" hidden="1">#REF!,#REF!,#REF!,#REF!,#REF!,#REF!,#REF!,#REF!,#REF!,#REF!,#REF!,#REF!,#REF!,#REF!,#REF!</definedName>
    <definedName name="__APW_RESTORE_DATA569__" hidden="1">#REF!,#REF!,#REF!,#REF!,#REF!,#REF!,#REF!,#REF!,#REF!,#REF!,#REF!,#REF!,#REF!,#REF!,#REF!</definedName>
    <definedName name="__APW_RESTORE_DATA57__" hidden="1">#REF!,#REF!,#REF!,#REF!,#REF!,#REF!,#REF!,#REF!,#REF!,#REF!,#REF!,#REF!,#REF!,#REF!,#REF!</definedName>
    <definedName name="__APW_RESTORE_DATA570__" hidden="1">#REF!,#REF!,#REF!,#REF!,#REF!,#REF!,#REF!,#REF!,#REF!,#REF!,#REF!,#REF!,#REF!,#REF!,#REF!</definedName>
    <definedName name="__APW_RESTORE_DATA571__" hidden="1">#REF!,#REF!</definedName>
    <definedName name="__APW_RESTORE_DATA572__" hidden="1">#REF!,#REF!,#REF!,#REF!,#REF!,#REF!,#REF!,#REF!,#REF!,#REF!,#REF!,#REF!,#REF!,#REF!,#REF!</definedName>
    <definedName name="__APW_RESTORE_DATA573__" hidden="1">#REF!,#REF!,#REF!,#REF!,#REF!,#REF!,#REF!,#REF!,#REF!,#REF!,#REF!,#REF!,#REF!,#REF!,#REF!</definedName>
    <definedName name="__APW_RESTORE_DATA574__" hidden="1">#REF!,#REF!,#REF!,#REF!,#REF!,#REF!,#REF!,#REF!,#REF!,#REF!,#REF!,#REF!,#REF!,#REF!,#REF!</definedName>
    <definedName name="__APW_RESTORE_DATA575__" hidden="1">#REF!,#REF!,#REF!,#REF!,#REF!,#REF!</definedName>
    <definedName name="__APW_RESTORE_DATA576__" hidden="1">#REF!</definedName>
    <definedName name="__APW_RESTORE_DATA577__" hidden="1">#REF!,#REF!,#REF!,#REF!,#REF!,#REF!,#REF!,#REF!,#REF!,#REF!,#REF!,#REF!,#REF!,#REF!,#REF!,#REF!</definedName>
    <definedName name="__APW_RESTORE_DATA578__" hidden="1">#REF!,#REF!,#REF!,#REF!,#REF!,#REF!,#REF!,#REF!,#REF!,#REF!,#REF!,#REF!,#REF!,#REF!,#REF!,#REF!</definedName>
    <definedName name="__APW_RESTORE_DATA579__" hidden="1">#REF!,#REF!,#REF!,#REF!,#REF!,#REF!,#REF!,#REF!,#REF!,#REF!,#REF!,#REF!,#REF!,#REF!,#REF!,#REF!</definedName>
    <definedName name="__APW_RESTORE_DATA58__" hidden="1">#REF!,#REF!,#REF!,#REF!,#REF!,#REF!,#REF!,#REF!,#REF!,#REF!,#REF!,#REF!,#REF!,#REF!,#REF!,#REF!</definedName>
    <definedName name="__APW_RESTORE_DATA580__" hidden="1">#REF!,#REF!,#REF!,#REF!,#REF!,#REF!,#REF!,#REF!,#REF!,#REF!,#REF!,#REF!,#REF!,#REF!,#REF!,#REF!</definedName>
    <definedName name="__APW_RESTORE_DATA581__" hidden="1">#REF!,#REF!,#REF!,#REF!,#REF!,#REF!,#REF!,#REF!,#REF!,#REF!,#REF!,#REF!,#REF!,#REF!,#REF!,#REF!</definedName>
    <definedName name="__APW_RESTORE_DATA582__" hidden="1">#REF!,#REF!,#REF!,#REF!,#REF!,#REF!,#REF!,#REF!,#REF!,#REF!,#REF!,#REF!,#REF!,#REF!,#REF!,#REF!</definedName>
    <definedName name="__APW_RESTORE_DATA583__" hidden="1">#REF!,#REF!,#REF!,#REF!,#REF!,#REF!,#REF!,#REF!,#REF!,#REF!,#REF!,#REF!,#REF!,#REF!,#REF!</definedName>
    <definedName name="__APW_RESTORE_DATA584__" hidden="1">#REF!,#REF!,#REF!,#REF!,#REF!,#REF!,#REF!,#REF!,#REF!,#REF!,#REF!,#REF!,#REF!,#REF!,#REF!</definedName>
    <definedName name="__APW_RESTORE_DATA585__" hidden="1">#REF!,#REF!,#REF!,#REF!,#REF!,#REF!,#REF!,#REF!,#REF!,#REF!,#REF!,#REF!,#REF!,#REF!,#REF!</definedName>
    <definedName name="__APW_RESTORE_DATA586__" hidden="1">#REF!,#REF!</definedName>
    <definedName name="__APW_RESTORE_DATA587__" hidden="1">#REF!,#REF!</definedName>
    <definedName name="__APW_RESTORE_DATA588__" hidden="1">#REF!,#REF!,#REF!,#REF!,#REF!,#REF!,#REF!,#REF!,#REF!,#REF!,#REF!,#REF!,#REF!,#REF!,#REF!</definedName>
    <definedName name="__APW_RESTORE_DATA589__" hidden="1">#REF!,#REF!,#REF!,#REF!,#REF!,#REF!,#REF!,#REF!,#REF!,#REF!,#REF!,#REF!,#REF!,#REF!,#REF!</definedName>
    <definedName name="__APW_RESTORE_DATA59__" hidden="1">#REF!,#REF!,#REF!,#REF!,#REF!,#REF!,#REF!,#REF!,#REF!,#REF!,#REF!,#REF!,#REF!,#REF!,#REF!</definedName>
    <definedName name="__APW_RESTORE_DATA590__" hidden="1">#REF!,#REF!,#REF!,#REF!,#REF!,#REF!,#REF!,#REF!,#REF!,#REF!,#REF!,#REF!,#REF!,#REF!,#REF!</definedName>
    <definedName name="__APW_RESTORE_DATA591__" hidden="1">#REF!,#REF!,#REF!,#REF!,#REF!,#REF!,#REF!,#REF!,#REF!,#REF!,#REF!,#REF!,#REF!,#REF!,#REF!</definedName>
    <definedName name="__APW_RESTORE_DATA592__" hidden="1">#REF!,#REF!,#REF!,#REF!,#REF!,#REF!,#REF!,#REF!,#REF!,#REF!,#REF!,#REF!,#REF!,#REF!,#REF!</definedName>
    <definedName name="__APW_RESTORE_DATA593__" hidden="1">#REF!,#REF!,#REF!,#REF!,#REF!,#REF!,#REF!,#REF!,#REF!,#REF!,#REF!,#REF!,#REF!,#REF!,#REF!</definedName>
    <definedName name="__APW_RESTORE_DATA594__" hidden="1">#REF!,#REF!,#REF!,#REF!,#REF!,#REF!,#REF!,#REF!,#REF!,#REF!,#REF!,#REF!,#REF!,#REF!,#REF!</definedName>
    <definedName name="__APW_RESTORE_DATA595__" hidden="1">#REF!,#REF!,#REF!,#REF!,#REF!,#REF!,#REF!,#REF!,#REF!,#REF!,#REF!,#REF!,#REF!,#REF!,#REF!</definedName>
    <definedName name="__APW_RESTORE_DATA596__" hidden="1">#REF!,#REF!,#REF!,#REF!,#REF!,#REF!,#REF!,#REF!,#REF!,#REF!,#REF!,#REF!,#REF!,#REF!,#REF!</definedName>
    <definedName name="__APW_RESTORE_DATA597__" hidden="1">#REF!,#REF!,#REF!,#REF!,#REF!,#REF!,#REF!,#REF!,#REF!,#REF!,#REF!,#REF!,#REF!,#REF!,#REF!</definedName>
    <definedName name="__APW_RESTORE_DATA598__" hidden="1">#REF!,#REF!,#REF!,#REF!,#REF!,#REF!,#REF!,#REF!,#REF!,#REF!,#REF!,#REF!,#REF!,#REF!,#REF!</definedName>
    <definedName name="__APW_RESTORE_DATA599__" hidden="1">#REF!,#REF!,#REF!,#REF!,#REF!,#REF!,#REF!,#REF!,#REF!,#REF!,#REF!,#REF!,#REF!,#REF!,#REF!</definedName>
    <definedName name="__APW_RESTORE_DATA6__" hidden="1">#REF!</definedName>
    <definedName name="__APW_RESTORE_DATA60__" hidden="1">#REF!,#REF!,#REF!,#REF!,#REF!,#REF!,#REF!,#REF!,#REF!,#REF!,#REF!,#REF!,#REF!,#REF!,#REF!,#REF!</definedName>
    <definedName name="__APW_RESTORE_DATA600__" hidden="1">#REF!,#REF!</definedName>
    <definedName name="__APW_RESTORE_DATA601__" hidden="1">#REF!,#REF!,#REF!,#REF!,#REF!,#REF!,#REF!,#REF!,#REF!,#REF!,#REF!,#REF!,#REF!,#REF!,#REF!</definedName>
    <definedName name="__APW_RESTORE_DATA602__" hidden="1">#REF!,#REF!,#REF!,#REF!,#REF!,#REF!,#REF!,#REF!,#REF!,#REF!,#REF!,#REF!,#REF!,#REF!,#REF!</definedName>
    <definedName name="__APW_RESTORE_DATA603__" hidden="1">#REF!,#REF!,#REF!,#REF!,#REF!,#REF!,#REF!,#REF!,#REF!,#REF!,#REF!,#REF!,#REF!,#REF!,#REF!</definedName>
    <definedName name="__APW_RESTORE_DATA604__" hidden="1">#REF!,#REF!,#REF!,#REF!,#REF!,#REF!,#REF!,#REF!,#REF!,#REF!,#REF!,#REF!,#REF!,#REF!,#REF!</definedName>
    <definedName name="__APW_RESTORE_DATA605__" hidden="1">#REF!,#REF!</definedName>
    <definedName name="__APW_RESTORE_DATA606__" hidden="1">#REF!,#REF!,#REF!,#REF!,#REF!,#REF!,#REF!,#REF!,#REF!,#REF!,#REF!,#REF!,#REF!,#REF!,#REF!</definedName>
    <definedName name="__APW_RESTORE_DATA607__" hidden="1">#REF!,#REF!,#REF!,#REF!,#REF!,#REF!,#REF!,#REF!,#REF!,#REF!,#REF!,#REF!,#REF!,#REF!,#REF!</definedName>
    <definedName name="__APW_RESTORE_DATA608__" hidden="1">#REF!,#REF!,#REF!,#REF!,#REF!,#REF!,#REF!,#REF!,#REF!,#REF!,#REF!,#REF!,#REF!,#REF!,#REF!</definedName>
    <definedName name="__APW_RESTORE_DATA609__" hidden="1">#REF!,#REF!,#REF!,#REF!,#REF!,#REF!,#REF!,#REF!,#REF!,#REF!,#REF!,#REF!,#REF!,#REF!,#REF!</definedName>
    <definedName name="__APW_RESTORE_DATA61__" hidden="1">#REF!,#REF!,#REF!,#REF!,#REF!,#REF!,#REF!,#REF!,#REF!,#REF!,#REF!,#REF!,#REF!,#REF!,#REF!</definedName>
    <definedName name="__APW_RESTORE_DATA610__" hidden="1">#REF!,#REF!</definedName>
    <definedName name="__APW_RESTORE_DATA611__" hidden="1">#REF!,#REF!,#REF!,#REF!,#REF!,#REF!</definedName>
    <definedName name="__APW_RESTORE_DATA612__" hidden="1">#REF!,#REF!,#REF!,#REF!,#REF!,#REF!,#REF!,#REF!,#REF!,#REF!,#REF!,#REF!,#REF!,#REF!,#REF!,#REF!</definedName>
    <definedName name="__APW_RESTORE_DATA613__" hidden="1">#REF!,#REF!,#REF!,#REF!,#REF!,#REF!,#REF!,#REF!,#REF!,#REF!,#REF!,#REF!,#REF!,#REF!,#REF!,#REF!</definedName>
    <definedName name="__APW_RESTORE_DATA614__" hidden="1">#REF!,#REF!,#REF!,#REF!,#REF!,#REF!,#REF!,#REF!,#REF!,#REF!,#REF!,#REF!,#REF!,#REF!,#REF!,#REF!</definedName>
    <definedName name="__APW_RESTORE_DATA615__" hidden="1">#REF!,#REF!,#REF!,#REF!,#REF!,#REF!,#REF!,#REF!,#REF!,#REF!,#REF!,#REF!,#REF!,#REF!,#REF!,#REF!</definedName>
    <definedName name="__APW_RESTORE_DATA616__" hidden="1">#REF!,#REF!,#REF!,#REF!,#REF!,#REF!,#REF!,#REF!,#REF!,#REF!,#REF!,#REF!,#REF!,#REF!,#REF!,#REF!</definedName>
    <definedName name="__APW_RESTORE_DATA617__" hidden="1">#REF!,#REF!,#REF!,#REF!,#REF!,#REF!,#REF!,#REF!,#REF!,#REF!,#REF!,#REF!,#REF!,#REF!,#REF!,#REF!</definedName>
    <definedName name="__APW_RESTORE_DATA618__" hidden="1">#REF!,#REF!,#REF!,#REF!,#REF!,#REF!,#REF!,#REF!,#REF!,#REF!,#REF!,#REF!,#REF!,#REF!,#REF!</definedName>
    <definedName name="__APW_RESTORE_DATA619__" hidden="1">#REF!,#REF!,#REF!,#REF!,#REF!,#REF!,#REF!,#REF!,#REF!,#REF!,#REF!,#REF!,#REF!,#REF!,#REF!</definedName>
    <definedName name="__APW_RESTORE_DATA62__" hidden="1">#REF!,#REF!,#REF!,#REF!,#REF!,#REF!,#REF!,#REF!,#REF!,#REF!,#REF!,#REF!,#REF!,#REF!,#REF!</definedName>
    <definedName name="__APW_RESTORE_DATA620__" hidden="1">#REF!,#REF!,#REF!,#REF!,#REF!,#REF!,#REF!,#REF!,#REF!,#REF!,#REF!,#REF!,#REF!,#REF!,#REF!</definedName>
    <definedName name="__APW_RESTORE_DATA621__" hidden="1">#REF!,#REF!,#REF!,#REF!,#REF!,#REF!,#REF!,#REF!,#REF!,#REF!,#REF!,#REF!,#REF!,#REF!,#REF!</definedName>
    <definedName name="__APW_RESTORE_DATA622__" hidden="1">#REF!,#REF!,#REF!,#REF!,#REF!,#REF!,#REF!,#REF!,#REF!,#REF!,#REF!,#REF!,#REF!,#REF!,#REF!</definedName>
    <definedName name="__APW_RESTORE_DATA623__" hidden="1">#REF!,#REF!,#REF!,#REF!,#REF!,#REF!,#REF!,#REF!,#REF!,#REF!,#REF!,#REF!,#REF!,#REF!,#REF!</definedName>
    <definedName name="__APW_RESTORE_DATA624__" hidden="1">#REF!,#REF!,#REF!,#REF!,#REF!,#REF!,#REF!,#REF!,#REF!,#REF!,#REF!,#REF!,#REF!,#REF!,#REF!</definedName>
    <definedName name="__APW_RESTORE_DATA625__" hidden="1">#REF!,#REF!</definedName>
    <definedName name="__APW_RESTORE_DATA626__" hidden="1">#REF!,#REF!</definedName>
    <definedName name="__APW_RESTORE_DATA627__" hidden="1">#REF!,#REF!,#REF!,#REF!,#REF!,#REF!,#REF!,#REF!,#REF!,#REF!,#REF!,#REF!,#REF!,#REF!,#REF!</definedName>
    <definedName name="__APW_RESTORE_DATA628__" hidden="1">#REF!,#REF!,#REF!,#REF!,#REF!,#REF!,#REF!,#REF!,#REF!,#REF!,#REF!,#REF!,#REF!,#REF!,#REF!</definedName>
    <definedName name="__APW_RESTORE_DATA629__" hidden="1">#REF!,#REF!,#REF!,#REF!,#REF!,#REF!,#REF!,#REF!,#REF!,#REF!,#REF!,#REF!,#REF!,#REF!,#REF!</definedName>
    <definedName name="__APW_RESTORE_DATA63__" hidden="1">#REF!,#REF!,#REF!,#REF!,#REF!,#REF!,#REF!,#REF!,#REF!,#REF!,#REF!,#REF!,#REF!,#REF!,#REF!</definedName>
    <definedName name="__APW_RESTORE_DATA630__" hidden="1">#REF!,#REF!,#REF!,#REF!,#REF!,#REF!,#REF!,#REF!,#REF!,#REF!,#REF!,#REF!,#REF!,#REF!,#REF!</definedName>
    <definedName name="__APW_RESTORE_DATA631__" hidden="1">#REF!,#REF!,#REF!,#REF!,#REF!,#REF!,#REF!,#REF!,#REF!,#REF!,#REF!,#REF!,#REF!,#REF!,#REF!</definedName>
    <definedName name="__APW_RESTORE_DATA632__" hidden="1">#REF!,#REF!,#REF!,#REF!,#REF!,#REF!,#REF!,#REF!,#REF!,#REF!,#REF!,#REF!,#REF!,#REF!,#REF!</definedName>
    <definedName name="__APW_RESTORE_DATA633__" hidden="1">#REF!,#REF!,#REF!,#REF!,#REF!,#REF!,#REF!,#REF!,#REF!,#REF!,#REF!,#REF!,#REF!,#REF!,#REF!</definedName>
    <definedName name="__APW_RESTORE_DATA634__" hidden="1">#REF!,#REF!,#REF!,#REF!,#REF!,#REF!,#REF!,#REF!,#REF!,#REF!,#REF!,#REF!,#REF!,#REF!,#REF!</definedName>
    <definedName name="__APW_RESTORE_DATA635__" hidden="1">#REF!,#REF!,#REF!,#REF!,#REF!,#REF!,#REF!,#REF!,#REF!,#REF!,#REF!,#REF!,#REF!,#REF!,#REF!</definedName>
    <definedName name="__APW_RESTORE_DATA636__" hidden="1">#REF!,#REF!,#REF!,#REF!,#REF!,#REF!,#REF!,#REF!,#REF!,#REF!,#REF!,#REF!,#REF!,#REF!,#REF!</definedName>
    <definedName name="__APW_RESTORE_DATA637__" hidden="1">#REF!,#REF!,#REF!,#REF!,#REF!,#REF!,#REF!,#REF!,#REF!,#REF!,#REF!,#REF!,#REF!,#REF!,#REF!</definedName>
    <definedName name="__APW_RESTORE_DATA638__" hidden="1">#REF!,#REF!,#REF!,#REF!,#REF!,#REF!,#REF!,#REF!,#REF!,#REF!,#REF!,#REF!,#REF!,#REF!,#REF!</definedName>
    <definedName name="__APW_RESTORE_DATA639__" hidden="1">#REF!,#REF!</definedName>
    <definedName name="__APW_RESTORE_DATA64__" hidden="1">#REF!,#REF!,#REF!,#REF!,#REF!,#REF!,#REF!,#REF!,#REF!,#REF!,#REF!,#REF!,#REF!,#REF!,#REF!</definedName>
    <definedName name="__APW_RESTORE_DATA640__" hidden="1">#REF!,#REF!,#REF!,#REF!,#REF!,#REF!,#REF!,#REF!,#REF!,#REF!,#REF!,#REF!,#REF!,#REF!,#REF!</definedName>
    <definedName name="__APW_RESTORE_DATA641__" hidden="1">#REF!,#REF!,#REF!,#REF!,#REF!,#REF!,#REF!,#REF!,#REF!,#REF!,#REF!,#REF!,#REF!,#REF!,#REF!</definedName>
    <definedName name="__APW_RESTORE_DATA642__" hidden="1">#REF!,#REF!,#REF!,#REF!,#REF!,#REF!,#REF!,#REF!,#REF!,#REF!,#REF!,#REF!,#REF!,#REF!,#REF!</definedName>
    <definedName name="__APW_RESTORE_DATA643__" hidden="1">#REF!,#REF!,#REF!,#REF!,#REF!,#REF!,#REF!,#REF!,#REF!,#REF!,#REF!,#REF!,#REF!,#REF!,#REF!</definedName>
    <definedName name="__APW_RESTORE_DATA644__" hidden="1">#REF!,#REF!</definedName>
    <definedName name="__APW_RESTORE_DATA645__" hidden="1">#REF!,#REF!,#REF!,#REF!,#REF!,#REF!,#REF!,#REF!,#REF!,#REF!,#REF!,#REF!,#REF!,#REF!,#REF!</definedName>
    <definedName name="__APW_RESTORE_DATA646__" hidden="1">#REF!,#REF!,#REF!,#REF!,#REF!,#REF!</definedName>
    <definedName name="__APW_RESTORE_DATA647__" hidden="1">#REF!,#REF!,#REF!,#REF!,#REF!,#REF!,#REF!,#REF!,#REF!,#REF!,#REF!,#REF!,#REF!,#REF!,#REF!,#REF!</definedName>
    <definedName name="__APW_RESTORE_DATA648__" hidden="1">#REF!,#REF!,#REF!,#REF!,#REF!,#REF!,#REF!,#REF!,#REF!,#REF!,#REF!,#REF!,#REF!,#REF!,#REF!,#REF!</definedName>
    <definedName name="__APW_RESTORE_DATA649__" hidden="1">#REF!,#REF!</definedName>
    <definedName name="__APW_RESTORE_DATA65__" hidden="1">#REF!,#REF!,#REF!,#REF!,#REF!,#REF!,#REF!,#REF!,#REF!,#REF!,#REF!,#REF!,#REF!,#REF!,#REF!</definedName>
    <definedName name="__APW_RESTORE_DATA650__" hidden="1">#REF!,#REF!,#REF!,#REF!,#REF!,#REF!,#REF!,#REF!,#REF!,#REF!,#REF!,#REF!,#REF!,#REF!,#REF!,#REF!</definedName>
    <definedName name="__APW_RESTORE_DATA651__" hidden="1">#REF!,#REF!,#REF!,#REF!,#REF!,#REF!,#REF!,#REF!,#REF!,#REF!,#REF!,#REF!,#REF!,#REF!,#REF!,#REF!</definedName>
    <definedName name="__APW_RESTORE_DATA652__" hidden="1">#REF!,#REF!,#REF!,#REF!,#REF!,#REF!,#REF!,#REF!,#REF!,#REF!,#REF!,#REF!,#REF!,#REF!,#REF!,#REF!</definedName>
    <definedName name="__APW_RESTORE_DATA653__" hidden="1">#REF!,#REF!,#REF!,#REF!,#REF!,#REF!,#REF!,#REF!,#REF!,#REF!,#REF!,#REF!,#REF!,#REF!,#REF!</definedName>
    <definedName name="__APW_RESTORE_DATA654__" hidden="1">#REF!,#REF!,#REF!,#REF!,#REF!,#REF!,#REF!,#REF!,#REF!,#REF!,#REF!,#REF!,#REF!,#REF!,#REF!</definedName>
    <definedName name="__APW_RESTORE_DATA655__" hidden="1">#REF!,#REF!,#REF!,#REF!,#REF!,#REF!,#REF!,#REF!,#REF!,#REF!,#REF!,#REF!,#REF!,#REF!,#REF!</definedName>
    <definedName name="__APW_RESTORE_DATA656__" hidden="1">#REF!,#REF!,#REF!,#REF!,#REF!,#REF!,#REF!,#REF!,#REF!,#REF!,#REF!,#REF!,#REF!,#REF!,#REF!</definedName>
    <definedName name="__APW_RESTORE_DATA657__" hidden="1">#REF!,#REF!,#REF!,#REF!,#REF!,#REF!,#REF!,#REF!,#REF!,#REF!,#REF!,#REF!,#REF!,#REF!,#REF!</definedName>
    <definedName name="__APW_RESTORE_DATA658__" hidden="1">#REF!,#REF!,#REF!,#REF!,#REF!,#REF!,#REF!,#REF!,#REF!,#REF!,#REF!,#REF!,#REF!,#REF!,#REF!</definedName>
    <definedName name="__APW_RESTORE_DATA659__" hidden="1">#REF!,#REF!,#REF!,#REF!,#REF!,#REF!,#REF!,#REF!,#REF!,#REF!,#REF!,#REF!,#REF!,#REF!,#REF!</definedName>
    <definedName name="__APW_RESTORE_DATA66__" hidden="1">#REF!,#REF!,#REF!,#REF!,#REF!,#REF!,#REF!,#REF!,#REF!,#REF!,#REF!,#REF!,#REF!,#REF!,#REF!</definedName>
    <definedName name="__APW_RESTORE_DATA660__" hidden="1">#REF!,#REF!,#REF!,#REF!,#REF!,#REF!,#REF!,#REF!,#REF!,#REF!,#REF!,#REF!,#REF!,#REF!,#REF!</definedName>
    <definedName name="__APW_RESTORE_DATA661__" hidden="1">#REF!,#REF!,#REF!,#REF!,#REF!,#REF!,#REF!,#REF!,#REF!,#REF!,#REF!,#REF!,#REF!,#REF!,#REF!</definedName>
    <definedName name="__APW_RESTORE_DATA662__" hidden="1">#REF!,#REF!,#REF!,#REF!,#REF!,#REF!,#REF!,#REF!,#REF!,#REF!,#REF!,#REF!,#REF!,#REF!,#REF!</definedName>
    <definedName name="__APW_RESTORE_DATA663__" hidden="1">#REF!,#REF!,#REF!,#REF!,#REF!,#REF!,#REF!,#REF!,#REF!,#REF!,#REF!,#REF!,#REF!,#REF!,#REF!</definedName>
    <definedName name="__APW_RESTORE_DATA664__" hidden="1">#REF!,#REF!</definedName>
    <definedName name="__APW_RESTORE_DATA665__" hidden="1">#REF!,#REF!</definedName>
    <definedName name="__APW_RESTORE_DATA666__" hidden="1">#REF!,#REF!,#REF!,#REF!,#REF!,#REF!,#REF!,#REF!,#REF!,#REF!,#REF!,#REF!,#REF!,#REF!,#REF!</definedName>
    <definedName name="__APW_RESTORE_DATA667__" hidden="1">#REF!,#REF!,#REF!,#REF!,#REF!,#REF!,#REF!,#REF!,#REF!,#REF!,#REF!,#REF!,#REF!,#REF!,#REF!</definedName>
    <definedName name="__APW_RESTORE_DATA668__" hidden="1">#REF!,#REF!,#REF!,#REF!,#REF!,#REF!,#REF!,#REF!,#REF!,#REF!,#REF!,#REF!,#REF!,#REF!,#REF!</definedName>
    <definedName name="__APW_RESTORE_DATA669__" hidden="1">#REF!,#REF!,#REF!,#REF!,#REF!,#REF!,#REF!,#REF!,#REF!,#REF!,#REF!,#REF!,#REF!,#REF!,#REF!</definedName>
    <definedName name="__APW_RESTORE_DATA67__" hidden="1">#REF!,#REF!,#REF!,#REF!,#REF!,#REF!,#REF!,#REF!,#REF!,#REF!,#REF!,#REF!,#REF!,#REF!,#REF!</definedName>
    <definedName name="__APW_RESTORE_DATA670__" hidden="1">#REF!,#REF!,#REF!,#REF!,#REF!,#REF!,#REF!,#REF!,#REF!,#REF!,#REF!,#REF!,#REF!,#REF!,#REF!</definedName>
    <definedName name="__APW_RESTORE_DATA671__" hidden="1">#REF!,#REF!,#REF!,#REF!,#REF!,#REF!,#REF!,#REF!,#REF!,#REF!,#REF!,#REF!,#REF!,#REF!,#REF!</definedName>
    <definedName name="__APW_RESTORE_DATA672__" hidden="1">#REF!,#REF!,#REF!,#REF!,#REF!,#REF!,#REF!,#REF!,#REF!,#REF!,#REF!,#REF!,#REF!,#REF!,#REF!</definedName>
    <definedName name="__APW_RESTORE_DATA673__" hidden="1">#REF!,#REF!,#REF!,#REF!,#REF!,#REF!,#REF!,#REF!,#REF!,#REF!,#REF!,#REF!,#REF!,#REF!,#REF!</definedName>
    <definedName name="__APW_RESTORE_DATA674__" hidden="1">#REF!,#REF!,#REF!,#REF!,#REF!,#REF!,#REF!,#REF!,#REF!,#REF!,#REF!,#REF!,#REF!,#REF!,#REF!</definedName>
    <definedName name="__APW_RESTORE_DATA675__" hidden="1">#REF!,#REF!,#REF!,#REF!,#REF!,#REF!,#REF!,#REF!,#REF!,#REF!,#REF!,#REF!,#REF!,#REF!,#REF!</definedName>
    <definedName name="__APW_RESTORE_DATA676__" hidden="1">#REF!,#REF!,#REF!,#REF!,#REF!,#REF!,#REF!,#REF!,#REF!,#REF!,#REF!,#REF!,#REF!,#REF!,#REF!</definedName>
    <definedName name="__APW_RESTORE_DATA677__" hidden="1">#REF!,#REF!,#REF!,#REF!,#REF!,#REF!,#REF!,#REF!,#REF!,#REF!,#REF!,#REF!,#REF!,#REF!,#REF!</definedName>
    <definedName name="__APW_RESTORE_DATA678__" hidden="1">#REF!,#REF!,#REF!,#REF!,#REF!,#REF!,#REF!,#REF!,#REF!,#REF!,#REF!,#REF!,#REF!,#REF!,#REF!</definedName>
    <definedName name="__APW_RESTORE_DATA679__" hidden="1">#REF!,#REF!,#REF!,#REF!,#REF!,#REF!,#REF!,#REF!,#REF!,#REF!,#REF!,#REF!,#REF!,#REF!,#REF!</definedName>
    <definedName name="__APW_RESTORE_DATA68__" hidden="1">#REF!,#REF!,#REF!,#REF!,#REF!,#REF!,#REF!,#REF!,#REF!,#REF!,#REF!,#REF!,#REF!,#REF!,#REF!</definedName>
    <definedName name="__APW_RESTORE_DATA680__" hidden="1">#REF!,#REF!,#REF!,#REF!,#REF!,#REF!,#REF!,#REF!,#REF!,#REF!,#REF!,#REF!,#REF!,#REF!,#REF!</definedName>
    <definedName name="__APW_RESTORE_DATA681__" hidden="1">#REF!,#REF!,#REF!,#REF!,#REF!,#REF!</definedName>
    <definedName name="__APW_RESTORE_DATA682__" hidden="1">#REF!,#REF!,#REF!,#REF!,#REF!,#REF!,#REF!,#REF!,#REF!,#REF!,#REF!,#REF!,#REF!,#REF!,#REF!,#REF!</definedName>
    <definedName name="__APW_RESTORE_DATA683__" hidden="1">#REF!,#REF!,#REF!,#REF!,#REF!,#REF!,#REF!,#REF!,#REF!,#REF!,#REF!,#REF!,#REF!,#REF!,#REF!,#REF!</definedName>
    <definedName name="__APW_RESTORE_DATA684__" hidden="1">#REF!,#REF!,#REF!,#REF!,#REF!,#REF!,#REF!,#REF!,#REF!,#REF!,#REF!,#REF!,#REF!,#REF!,#REF!,#REF!</definedName>
    <definedName name="__APW_RESTORE_DATA685__" hidden="1">#REF!,#REF!,#REF!,#REF!,#REF!,#REF!,#REF!,#REF!,#REF!,#REF!,#REF!,#REF!,#REF!,#REF!,#REF!,#REF!</definedName>
    <definedName name="__APW_RESTORE_DATA686__" hidden="1">#REF!,#REF!,#REF!,#REF!,#REF!,#REF!,#REF!,#REF!,#REF!,#REF!,#REF!,#REF!,#REF!,#REF!,#REF!,#REF!</definedName>
    <definedName name="__APW_RESTORE_DATA687__" hidden="1">#REF!,#REF!,#REF!,#REF!,#REF!,#REF!,#REF!,#REF!,#REF!,#REF!,#REF!,#REF!,#REF!,#REF!,#REF!,#REF!</definedName>
    <definedName name="__APW_RESTORE_DATA688__" hidden="1">#REF!,#REF!,#REF!,#REF!,#REF!,#REF!,#REF!,#REF!,#REF!,#REF!,#REF!,#REF!,#REF!,#REF!,#REF!</definedName>
    <definedName name="__APW_RESTORE_DATA689__" hidden="1">#REF!,#REF!,#REF!,#REF!,#REF!,#REF!,#REF!,#REF!,#REF!,#REF!,#REF!,#REF!,#REF!,#REF!,#REF!</definedName>
    <definedName name="__APW_RESTORE_DATA69__" hidden="1">#REF!,#REF!,#REF!,#REF!,#REF!,#REF!,#REF!,#REF!,#REF!,#REF!,#REF!,#REF!,#REF!,#REF!,#REF!</definedName>
    <definedName name="__APW_RESTORE_DATA690__" hidden="1">#REF!,#REF!,#REF!,#REF!,#REF!,#REF!,#REF!,#REF!,#REF!,#REF!,#REF!,#REF!,#REF!,#REF!,#REF!</definedName>
    <definedName name="__APW_RESTORE_DATA691__" hidden="1">#REF!,#REF!,#REF!,#REF!,#REF!,#REF!,#REF!,#REF!,#REF!,#REF!,#REF!,#REF!,#REF!,#REF!,#REF!</definedName>
    <definedName name="__APW_RESTORE_DATA692__" hidden="1">#REF!,#REF!,#REF!,#REF!,#REF!,#REF!,#REF!,#REF!,#REF!,#REF!,#REF!,#REF!,#REF!,#REF!,#REF!</definedName>
    <definedName name="__APW_RESTORE_DATA693__" hidden="1">#REF!,#REF!,#REF!,#REF!,#REF!,#REF!,#REF!,#REF!,#REF!,#REF!,#REF!,#REF!,#REF!,#REF!,#REF!</definedName>
    <definedName name="__APW_RESTORE_DATA694__" hidden="1">#REF!,#REF!,#REF!,#REF!,#REF!,#REF!,#REF!,#REF!,#REF!,#REF!,#REF!,#REF!,#REF!,#REF!,#REF!</definedName>
    <definedName name="__APW_RESTORE_DATA695__" hidden="1">#REF!,#REF!,#REF!,#REF!,#REF!,#REF!,#REF!,#REF!,#REF!,#REF!,#REF!,#REF!,#REF!,#REF!,#REF!</definedName>
    <definedName name="__APW_RESTORE_DATA696__" hidden="1">#REF!,#REF!,#REF!,#REF!,#REF!,#REF!,#REF!,#REF!,#REF!,#REF!,#REF!,#REF!,#REF!,#REF!,#REF!</definedName>
    <definedName name="__APW_RESTORE_DATA697__" hidden="1">#REF!,#REF!,#REF!,#REF!,#REF!,#REF!,#REF!,#REF!,#REF!,#REF!,#REF!,#REF!,#REF!,#REF!,#REF!</definedName>
    <definedName name="__APW_RESTORE_DATA698__" hidden="1">#REF!,#REF!,#REF!,#REF!,#REF!,#REF!,#REF!,#REF!,#REF!,#REF!,#REF!,#REF!,#REF!,#REF!,#REF!</definedName>
    <definedName name="__APW_RESTORE_DATA699__" hidden="1">#REF!,#REF!,#REF!,#REF!,#REF!,#REF!,#REF!,#REF!,#REF!,#REF!,#REF!,#REF!,#REF!,#REF!,#REF!</definedName>
    <definedName name="__APW_RESTORE_DATA7__" hidden="1">#REF!</definedName>
    <definedName name="__APW_RESTORE_DATA70__" hidden="1">#REF!,#REF!,#REF!,#REF!,#REF!,#REF!,#REF!,#REF!,#REF!,#REF!,#REF!,#REF!,#REF!,#REF!,#REF!</definedName>
    <definedName name="__APW_RESTORE_DATA700__" hidden="1">#REF!,#REF!,#REF!,#REF!,#REF!,#REF!,#REF!,#REF!,#REF!,#REF!,#REF!,#REF!,#REF!,#REF!,#REF!</definedName>
    <definedName name="__APW_RESTORE_DATA701__" hidden="1">#REF!,#REF!,#REF!,#REF!,#REF!,#REF!,#REF!,#REF!,#REF!,#REF!,#REF!,#REF!,#REF!,#REF!,#REF!</definedName>
    <definedName name="__APW_RESTORE_DATA702__" hidden="1">#REF!,#REF!,#REF!,#REF!,#REF!,#REF!,#REF!,#REF!,#REF!,#REF!,#REF!,#REF!,#REF!,#REF!,#REF!</definedName>
    <definedName name="__APW_RESTORE_DATA703__" hidden="1">#REF!,#REF!,#REF!,#REF!,#REF!,#REF!,#REF!,#REF!,#REF!,#REF!,#REF!,#REF!,#REF!,#REF!,#REF!</definedName>
    <definedName name="__APW_RESTORE_DATA704__" hidden="1">#REF!,#REF!,#REF!,#REF!,#REF!,#REF!,#REF!,#REF!,#REF!,#REF!,#REF!,#REF!,#REF!,#REF!,#REF!</definedName>
    <definedName name="__APW_RESTORE_DATA705__" hidden="1">#REF!,#REF!,#REF!,#REF!,#REF!,#REF!,#REF!,#REF!,#REF!,#REF!,#REF!,#REF!,#REF!,#REF!,#REF!</definedName>
    <definedName name="__APW_RESTORE_DATA706__" hidden="1">#REF!,#REF!,#REF!,#REF!,#REF!,#REF!,#REF!,#REF!,#REF!,#REF!,#REF!,#REF!,#REF!,#REF!,#REF!</definedName>
    <definedName name="__APW_RESTORE_DATA707__" hidden="1">#REF!,#REF!,#REF!,#REF!,#REF!,#REF!,#REF!,#REF!,#REF!,#REF!,#REF!,#REF!,#REF!,#REF!,#REF!</definedName>
    <definedName name="__APW_RESTORE_DATA708__" hidden="1">#REF!,#REF!,#REF!,#REF!,#REF!,#REF!,#REF!,#REF!,#REF!,#REF!,#REF!,#REF!,#REF!,#REF!,#REF!</definedName>
    <definedName name="__APW_RESTORE_DATA709__" hidden="1">#REF!,#REF!,#REF!,#REF!,#REF!,#REF!,#REF!,#REF!,#REF!,#REF!,#REF!,#REF!,#REF!,#REF!,#REF!</definedName>
    <definedName name="__APW_RESTORE_DATA71__" hidden="1">#REF!,#REF!,#REF!,#REF!,#REF!,#REF!,#REF!,#REF!,#REF!,#REF!,#REF!,#REF!,#REF!,#REF!,#REF!</definedName>
    <definedName name="__APW_RESTORE_DATA710__" hidden="1">#REF!,#REF!,#REF!,#REF!,#REF!,#REF!,#REF!,#REF!,#REF!,#REF!,#REF!,#REF!,#REF!,#REF!,#REF!</definedName>
    <definedName name="__APW_RESTORE_DATA711__" hidden="1">#REF!,#REF!,#REF!,#REF!,#REF!,#REF!,#REF!,#REF!,#REF!,#REF!,#REF!,#REF!,#REF!,#REF!,#REF!</definedName>
    <definedName name="__APW_RESTORE_DATA712__" hidden="1">#REF!,#REF!,#REF!,#REF!,#REF!,#REF!,#REF!,#REF!,#REF!,#REF!,#REF!,#REF!,#REF!,#REF!,#REF!</definedName>
    <definedName name="__APW_RESTORE_DATA713__" hidden="1">#REF!,#REF!,#REF!,#REF!,#REF!,#REF!,#REF!,#REF!,#REF!,#REF!,#REF!,#REF!,#REF!,#REF!,#REF!</definedName>
    <definedName name="__APW_RESTORE_DATA714__" hidden="1">#REF!,#REF!,#REF!,#REF!,#REF!,#REF!,#REF!,#REF!,#REF!,#REF!,#REF!,#REF!,#REF!,#REF!,#REF!</definedName>
    <definedName name="__APW_RESTORE_DATA715__" hidden="1">#REF!,#REF!,#REF!,#REF!,#REF!,#REF!,#REF!,#REF!,#REF!,#REF!,#REF!,#REF!,#REF!,#REF!,#REF!</definedName>
    <definedName name="__APW_RESTORE_DATA716__" hidden="1">#REF!,#REF!,#REF!,#REF!,#REF!,#REF!</definedName>
    <definedName name="__APW_RESTORE_DATA717__" hidden="1">#REF!</definedName>
    <definedName name="__APW_RESTORE_DATA718__" hidden="1">#REF!</definedName>
    <definedName name="__APW_RESTORE_DATA719__" hidden="1">#REF!,#REF!</definedName>
    <definedName name="__APW_RESTORE_DATA72__" hidden="1">#REF!,#REF!,#REF!,#REF!,#REF!,#REF!,#REF!,#REF!,#REF!,#REF!,#REF!,#REF!,#REF!,#REF!,#REF!</definedName>
    <definedName name="__APW_RESTORE_DATA720__" hidden="1">#REF!</definedName>
    <definedName name="__APW_RESTORE_DATA721__" hidden="1">#REF!,#REF!,#REF!,#REF!,#REF!,#REF!,#REF!,#REF!,#REF!,#REF!,#REF!,#REF!,#REF!,#REF!,#REF!,#REF!</definedName>
    <definedName name="__APW_RESTORE_DATA722__" hidden="1">#REF!,#REF!,#REF!,#REF!,#REF!,#REF!,#REF!,#REF!,#REF!,#REF!,#REF!,#REF!,#REF!,#REF!,#REF!,#REF!</definedName>
    <definedName name="__APW_RESTORE_DATA723__" hidden="1">#REF!,#REF!,#REF!,#REF!,#REF!,#REF!,#REF!,#REF!,#REF!,#REF!,#REF!,#REF!,#REF!,#REF!,#REF!,#REF!</definedName>
    <definedName name="__APW_RESTORE_DATA724__" hidden="1">#REF!,#REF!,#REF!,#REF!,#REF!,#REF!,#REF!,#REF!,#REF!,#REF!,#REF!,#REF!,#REF!,#REF!,#REF!,#REF!</definedName>
    <definedName name="__APW_RESTORE_DATA725__" hidden="1">#REF!,#REF!,#REF!,#REF!,#REF!,#REF!,#REF!,#REF!,#REF!,#REF!,#REF!,#REF!,#REF!,#REF!,#REF!,#REF!</definedName>
    <definedName name="__APW_RESTORE_DATA726__" hidden="1">#REF!,#REF!,#REF!,#REF!,#REF!,#REF!,#REF!,#REF!,#REF!,#REF!,#REF!,#REF!,#REF!,#REF!,#REF!,#REF!</definedName>
    <definedName name="__APW_RESTORE_DATA727__" hidden="1">#REF!,#REF!,#REF!,#REF!,#REF!,#REF!,#REF!,#REF!,#REF!,#REF!,#REF!,#REF!,#REF!,#REF!,#REF!</definedName>
    <definedName name="__APW_RESTORE_DATA728__" hidden="1">#REF!,#REF!,#REF!,#REF!,#REF!,#REF!,#REF!,#REF!,#REF!,#REF!,#REF!,#REF!,#REF!,#REF!,#REF!</definedName>
    <definedName name="__APW_RESTORE_DATA729__" hidden="1">#REF!,#REF!,#REF!,#REF!,#REF!,#REF!,#REF!,#REF!,#REF!,#REF!,#REF!,#REF!,#REF!,#REF!,#REF!</definedName>
    <definedName name="__APW_RESTORE_DATA73__" hidden="1">#REF!,#REF!,#REF!,#REF!,#REF!,#REF!,#REF!,#REF!,#REF!,#REF!,#REF!,#REF!,#REF!,#REF!,#REF!</definedName>
    <definedName name="__APW_RESTORE_DATA730__" hidden="1">#REF!,#REF!,#REF!,#REF!,#REF!,#REF!,#REF!,#REF!,#REF!,#REF!,#REF!,#REF!,#REF!,#REF!,#REF!</definedName>
    <definedName name="__APW_RESTORE_DATA731__" hidden="1">#REF!,#REF!,#REF!,#REF!,#REF!,#REF!,#REF!,#REF!,#REF!,#REF!,#REF!,#REF!,#REF!,#REF!,#REF!</definedName>
    <definedName name="__APW_RESTORE_DATA732__" hidden="1">#REF!,#REF!,#REF!,#REF!,#REF!,#REF!,#REF!,#REF!,#REF!,#REF!,#REF!,#REF!,#REF!,#REF!,#REF!</definedName>
    <definedName name="__APW_RESTORE_DATA733__" hidden="1">#REF!,#REF!,#REF!,#REF!,#REF!,#REF!,#REF!,#REF!,#REF!,#REF!,#REF!,#REF!,#REF!,#REF!,#REF!</definedName>
    <definedName name="__APW_RESTORE_DATA734__" hidden="1">#REF!,#REF!,#REF!,#REF!,#REF!,#REF!,#REF!,#REF!,#REF!,#REF!,#REF!,#REF!,#REF!,#REF!,#REF!</definedName>
    <definedName name="__APW_RESTORE_DATA735__" hidden="1">#REF!,#REF!,#REF!,#REF!,#REF!,#REF!,#REF!,#REF!,#REF!,#REF!,#REF!,#REF!,#REF!,#REF!,#REF!</definedName>
    <definedName name="__APW_RESTORE_DATA736__" hidden="1">#REF!,#REF!,#REF!,#REF!,#REF!,#REF!,#REF!,#REF!,#REF!,#REF!,#REF!,#REF!,#REF!,#REF!,#REF!</definedName>
    <definedName name="__APW_RESTORE_DATA737__" hidden="1">#REF!,#REF!,#REF!,#REF!,#REF!,#REF!,#REF!,#REF!,#REF!,#REF!,#REF!,#REF!,#REF!,#REF!,#REF!</definedName>
    <definedName name="__APW_RESTORE_DATA738__" hidden="1">#REF!,#REF!,#REF!,#REF!,#REF!,#REF!,#REF!,#REF!,#REF!,#REF!,#REF!,#REF!,#REF!,#REF!,#REF!</definedName>
    <definedName name="__APW_RESTORE_DATA739__" hidden="1">#REF!,#REF!,#REF!,#REF!,#REF!,#REF!,#REF!,#REF!,#REF!,#REF!,#REF!,#REF!,#REF!,#REF!,#REF!</definedName>
    <definedName name="__APW_RESTORE_DATA74__" hidden="1">#REF!,#REF!,#REF!,#REF!,#REF!,#REF!,#REF!</definedName>
    <definedName name="__APW_RESTORE_DATA740__" hidden="1">#REF!,#REF!,#REF!,#REF!,#REF!,#REF!,#REF!,#REF!,#REF!,#REF!,#REF!,#REF!,#REF!,#REF!,#REF!</definedName>
    <definedName name="__APW_RESTORE_DATA741__" hidden="1">#REF!,#REF!,#REF!,#REF!,#REF!,#REF!,#REF!,#REF!,#REF!,#REF!,#REF!,#REF!,#REF!,#REF!,#REF!</definedName>
    <definedName name="__APW_RESTORE_DATA742__" hidden="1">#REF!,#REF!,#REF!,#REF!,#REF!,#REF!,#REF!,#REF!,#REF!,#REF!,#REF!,#REF!,#REF!,#REF!,#REF!</definedName>
    <definedName name="__APW_RESTORE_DATA743__" hidden="1">#REF!,#REF!,#REF!,#REF!,#REF!,#REF!,#REF!,#REF!,#REF!,#REF!,#REF!,#REF!,#REF!,#REF!,#REF!</definedName>
    <definedName name="__APW_RESTORE_DATA744__" hidden="1">#REF!,#REF!,#REF!,#REF!,#REF!,#REF!,#REF!,#REF!,#REF!,#REF!,#REF!,#REF!,#REF!,#REF!,#REF!</definedName>
    <definedName name="__APW_RESTORE_DATA745__" hidden="1">#REF!,#REF!,#REF!,#REF!,#REF!,#REF!,#REF!,#REF!,#REF!,#REF!,#REF!,#REF!,#REF!,#REF!,#REF!</definedName>
    <definedName name="__APW_RESTORE_DATA746__" hidden="1">#REF!,#REF!,#REF!,#REF!,#REF!,#REF!,#REF!,#REF!,#REF!,#REF!,#REF!,#REF!,#REF!,#REF!,#REF!</definedName>
    <definedName name="__APW_RESTORE_DATA747__" hidden="1">#REF!,#REF!,#REF!,#REF!,#REF!,#REF!,#REF!,#REF!,#REF!,#REF!,#REF!,#REF!,#REF!,#REF!,#REF!</definedName>
    <definedName name="__APW_RESTORE_DATA748__" hidden="1">#REF!,#REF!,#REF!,#REF!,#REF!,#REF!,#REF!,#REF!,#REF!,#REF!,#REF!,#REF!,#REF!,#REF!,#REF!</definedName>
    <definedName name="__APW_RESTORE_DATA749__" hidden="1">#REF!,#REF!,#REF!,#REF!,#REF!,#REF!,#REF!,#REF!,#REF!,#REF!,#REF!,#REF!,#REF!,#REF!,#REF!</definedName>
    <definedName name="__APW_RESTORE_DATA75__" hidden="1">#REF!,#REF!,#REF!,#REF!,#REF!,#REF!,#REF!,#REF!,#REF!,#REF!,#REF!,#REF!,#REF!,#REF!,#REF!,#REF!</definedName>
    <definedName name="__APW_RESTORE_DATA750__" hidden="1">#REF!,#REF!,#REF!,#REF!,#REF!,#REF!,#REF!,#REF!,#REF!,#REF!,#REF!,#REF!,#REF!,#REF!,#REF!</definedName>
    <definedName name="__APW_RESTORE_DATA751__" hidden="1">#REF!,#REF!,#REF!,#REF!,#REF!,#REF!,#REF!,#REF!,#REF!,#REF!,#REF!,#REF!,#REF!,#REF!,#REF!</definedName>
    <definedName name="__APW_RESTORE_DATA752__" hidden="1">#REF!,#REF!,#REF!,#REF!,#REF!,#REF!,#REF!,#REF!,#REF!,#REF!,#REF!,#REF!,#REF!,#REF!,#REF!</definedName>
    <definedName name="__APW_RESTORE_DATA753__" hidden="1">#REF!,#REF!,#REF!,#REF!,#REF!,#REF!,#REF!,#REF!,#REF!,#REF!,#REF!,#REF!,#REF!,#REF!,#REF!</definedName>
    <definedName name="__APW_RESTORE_DATA754__" hidden="1">#REF!,#REF!,#REF!,#REF!,#REF!,#REF!,#REF!,#REF!,#REF!,#REF!,#REF!,#REF!,#REF!,#REF!,#REF!</definedName>
    <definedName name="__APW_RESTORE_DATA755__" hidden="1">#REF!,#REF!,#REF!,#REF!,#REF!,#REF!</definedName>
    <definedName name="__APW_RESTORE_DATA756__" hidden="1">#REF!,#REF!,#REF!,#REF!,#REF!,#REF!,#REF!,#REF!,#REF!,#REF!,#REF!,#REF!,#REF!,#REF!,#REF!,#REF!</definedName>
    <definedName name="__APW_RESTORE_DATA757__" hidden="1">#REF!,#REF!,#REF!,#REF!,#REF!,#REF!,#REF!,#REF!,#REF!,#REF!,#REF!,#REF!,#REF!,#REF!,#REF!,#REF!</definedName>
    <definedName name="__APW_RESTORE_DATA758__" hidden="1">#REF!,#REF!,#REF!,#REF!,#REF!,#REF!,#REF!,#REF!,#REF!,#REF!,#REF!,#REF!,#REF!,#REF!,#REF!,#REF!</definedName>
    <definedName name="__APW_RESTORE_DATA759__" hidden="1">#REF!,#REF!,#REF!,#REF!,#REF!,#REF!,#REF!,#REF!,#REF!,#REF!,#REF!,#REF!,#REF!,#REF!,#REF!,#REF!</definedName>
    <definedName name="__APW_RESTORE_DATA76__" hidden="1">#REF!,#REF!</definedName>
    <definedName name="__APW_RESTORE_DATA760__" hidden="1">#REF!,#REF!,#REF!,#REF!,#REF!,#REF!,#REF!,#REF!,#REF!,#REF!,#REF!,#REF!,#REF!,#REF!,#REF!,#REF!</definedName>
    <definedName name="__APW_RESTORE_DATA761__" hidden="1">#REF!,#REF!,#REF!,#REF!,#REF!,#REF!,#REF!,#REF!,#REF!,#REF!,#REF!,#REF!,#REF!,#REF!,#REF!,#REF!</definedName>
    <definedName name="__APW_RESTORE_DATA762__" hidden="1">#REF!,#REF!,#REF!,#REF!,#REF!,#REF!,#REF!,#REF!,#REF!,#REF!,#REF!,#REF!,#REF!,#REF!,#REF!</definedName>
    <definedName name="__APW_RESTORE_DATA763__" hidden="1">#REF!,#REF!,#REF!,#REF!,#REF!,#REF!,#REF!,#REF!,#REF!,#REF!,#REF!,#REF!,#REF!,#REF!,#REF!</definedName>
    <definedName name="__APW_RESTORE_DATA764__" hidden="1">#REF!,#REF!,#REF!,#REF!,#REF!,#REF!,#REF!,#REF!,#REF!,#REF!,#REF!,#REF!,#REF!,#REF!,#REF!</definedName>
    <definedName name="__APW_RESTORE_DATA765__" hidden="1">#REF!,#REF!,#REF!,#REF!,#REF!,#REF!,#REF!,#REF!,#REF!,#REF!,#REF!,#REF!,#REF!,#REF!,#REF!</definedName>
    <definedName name="__APW_RESTORE_DATA766__" hidden="1">#REF!,#REF!,#REF!,#REF!,#REF!,#REF!,#REF!,#REF!,#REF!,#REF!,#REF!,#REF!,#REF!,#REF!,#REF!</definedName>
    <definedName name="__APW_RESTORE_DATA767__" hidden="1">#REF!,#REF!,#REF!,#REF!,#REF!,#REF!,#REF!,#REF!,#REF!,#REF!,#REF!,#REF!,#REF!,#REF!,#REF!</definedName>
    <definedName name="__APW_RESTORE_DATA768__" hidden="1">#REF!,#REF!,#REF!,#REF!,#REF!,#REF!,#REF!,#REF!,#REF!,#REF!,#REF!,#REF!,#REF!,#REF!,#REF!</definedName>
    <definedName name="__APW_RESTORE_DATA769__" hidden="1">#REF!,#REF!,#REF!,#REF!,#REF!,#REF!,#REF!,#REF!,#REF!,#REF!,#REF!,#REF!,#REF!,#REF!,#REF!</definedName>
    <definedName name="__APW_RESTORE_DATA77__" hidden="1">#REF!,#REF!</definedName>
    <definedName name="__APW_RESTORE_DATA770__" hidden="1">#REF!,#REF!,#REF!,#REF!,#REF!,#REF!,#REF!,#REF!,#REF!,#REF!,#REF!,#REF!,#REF!,#REF!,#REF!</definedName>
    <definedName name="__APW_RESTORE_DATA771__" hidden="1">#REF!,#REF!,#REF!,#REF!,#REF!,#REF!,#REF!,#REF!,#REF!,#REF!,#REF!,#REF!,#REF!,#REF!,#REF!</definedName>
    <definedName name="__APW_RESTORE_DATA772__" hidden="1">#REF!,#REF!,#REF!,#REF!,#REF!,#REF!,#REF!,#REF!,#REF!,#REF!,#REF!,#REF!,#REF!,#REF!,#REF!</definedName>
    <definedName name="__APW_RESTORE_DATA773__" hidden="1">#REF!,#REF!,#REF!,#REF!,#REF!,#REF!,#REF!,#REF!,#REF!,#REF!,#REF!,#REF!,#REF!,#REF!,#REF!</definedName>
    <definedName name="__APW_RESTORE_DATA774__" hidden="1">#REF!,#REF!,#REF!,#REF!,#REF!,#REF!,#REF!,#REF!,#REF!,#REF!,#REF!,#REF!,#REF!,#REF!,#REF!</definedName>
    <definedName name="__APW_RESTORE_DATA775__" hidden="1">#REF!,#REF!,#REF!,#REF!,#REF!,#REF!,#REF!,#REF!,#REF!,#REF!,#REF!,#REF!,#REF!,#REF!,#REF!</definedName>
    <definedName name="__APW_RESTORE_DATA776__" hidden="1">#REF!,#REF!,#REF!,#REF!,#REF!,#REF!,#REF!,#REF!,#REF!,#REF!,#REF!,#REF!,#REF!,#REF!,#REF!</definedName>
    <definedName name="__APW_RESTORE_DATA777__" hidden="1">#REF!,#REF!,#REF!,#REF!,#REF!,#REF!,#REF!,#REF!,#REF!,#REF!,#REF!,#REF!,#REF!,#REF!,#REF!</definedName>
    <definedName name="__APW_RESTORE_DATA778__" hidden="1">#REF!,#REF!,#REF!,#REF!,#REF!,#REF!,#REF!,#REF!,#REF!,#REF!,#REF!,#REF!,#REF!,#REF!,#REF!</definedName>
    <definedName name="__APW_RESTORE_DATA779__" hidden="1">#REF!,#REF!,#REF!,#REF!,#REF!,#REF!,#REF!,#REF!,#REF!,#REF!,#REF!,#REF!,#REF!,#REF!,#REF!</definedName>
    <definedName name="__APW_RESTORE_DATA78__" hidden="1">#REF!,#REF!,#REF!,#REF!,#REF!,#REF!,#REF!,#REF!,#REF!,#REF!,#REF!,#REF!,#REF!,#REF!,#REF!,#REF!</definedName>
    <definedName name="__APW_RESTORE_DATA780__" hidden="1">#REF!,#REF!,#REF!,#REF!,#REF!,#REF!,#REF!,#REF!,#REF!,#REF!,#REF!,#REF!,#REF!,#REF!,#REF!</definedName>
    <definedName name="__APW_RESTORE_DATA781__" hidden="1">#REF!,#REF!,#REF!,#REF!,#REF!,#REF!,#REF!,#REF!,#REF!,#REF!,#REF!,#REF!,#REF!,#REF!,#REF!</definedName>
    <definedName name="__APW_RESTORE_DATA782__" hidden="1">#REF!,#REF!,#REF!,#REF!,#REF!,#REF!,#REF!,#REF!,#REF!,#REF!,#REF!,#REF!,#REF!,#REF!,#REF!</definedName>
    <definedName name="__APW_RESTORE_DATA783__" hidden="1">#REF!,#REF!,#REF!,#REF!,#REF!,#REF!,#REF!,#REF!,#REF!,#REF!,#REF!,#REF!,#REF!,#REF!,#REF!</definedName>
    <definedName name="__APW_RESTORE_DATA784__" hidden="1">#REF!,#REF!,#REF!,#REF!,#REF!,#REF!,#REF!,#REF!,#REF!,#REF!,#REF!,#REF!,#REF!,#REF!,#REF!</definedName>
    <definedName name="__APW_RESTORE_DATA785__" hidden="1">#REF!,#REF!,#REF!,#REF!,#REF!,#REF!,#REF!,#REF!,#REF!,#REF!,#REF!,#REF!,#REF!,#REF!,#REF!</definedName>
    <definedName name="__APW_RESTORE_DATA786__" hidden="1">#REF!,#REF!,#REF!,#REF!,#REF!,#REF!,#REF!,#REF!,#REF!,#REF!,#REF!,#REF!,#REF!,#REF!,#REF!</definedName>
    <definedName name="__APW_RESTORE_DATA787__" hidden="1">#REF!,#REF!,#REF!,#REF!,#REF!,#REF!,#REF!,#REF!,#REF!,#REF!,#REF!,#REF!,#REF!,#REF!,#REF!</definedName>
    <definedName name="__APW_RESTORE_DATA788__" hidden="1">#REF!,#REF!,#REF!,#REF!,#REF!,#REF!,#REF!,#REF!,#REF!,#REF!,#REF!,#REF!,#REF!,#REF!,#REF!</definedName>
    <definedName name="__APW_RESTORE_DATA789__" hidden="1">#REF!,#REF!,#REF!,#REF!,#REF!,#REF!,#REF!,#REF!,#REF!,#REF!,#REF!,#REF!,#REF!,#REF!,#REF!</definedName>
    <definedName name="__APW_RESTORE_DATA79__" hidden="1">#REF!,#REF!,#REF!,#REF!,#REF!,#REF!,#REF!,#REF!,#REF!,#REF!,#REF!,#REF!,#REF!,#REF!,#REF!,#REF!</definedName>
    <definedName name="__APW_RESTORE_DATA790__" hidden="1">#REF!,#REF!,#REF!,#REF!,#REF!,#REF!</definedName>
    <definedName name="__APW_RESTORE_DATA791__" hidden="1">#REF!,#REF!,#REF!,#REF!,#REF!,#REF!,#REF!,#REF!,#REF!,#REF!,#REF!,#REF!,#REF!,#REF!,#REF!,#REF!</definedName>
    <definedName name="__APW_RESTORE_DATA792__" hidden="1">#REF!,#REF!,#REF!,#REF!,#REF!,#REF!,#REF!,#REF!,#REF!,#REF!,#REF!,#REF!,#REF!,#REF!,#REF!,#REF!</definedName>
    <definedName name="__APW_RESTORE_DATA793__" hidden="1">#REF!,#REF!,#REF!,#REF!,#REF!,#REF!,#REF!,#REF!,#REF!,#REF!,#REF!,#REF!,#REF!,#REF!,#REF!,#REF!</definedName>
    <definedName name="__APW_RESTORE_DATA794__" hidden="1">#REF!,#REF!,#REF!,#REF!,#REF!,#REF!,#REF!,#REF!,#REF!,#REF!,#REF!,#REF!,#REF!,#REF!,#REF!,#REF!</definedName>
    <definedName name="__APW_RESTORE_DATA795__" hidden="1">#REF!,#REF!,#REF!,#REF!,#REF!,#REF!,#REF!,#REF!,#REF!,#REF!,#REF!,#REF!,#REF!,#REF!,#REF!,#REF!</definedName>
    <definedName name="__APW_RESTORE_DATA796__" hidden="1">#REF!,#REF!,#REF!,#REF!,#REF!,#REF!,#REF!,#REF!,#REF!,#REF!,#REF!,#REF!,#REF!,#REF!,#REF!,#REF!</definedName>
    <definedName name="__APW_RESTORE_DATA797__" hidden="1">#REF!,#REF!,#REF!,#REF!,#REF!,#REF!,#REF!,#REF!,#REF!,#REF!,#REF!,#REF!,#REF!,#REF!,#REF!</definedName>
    <definedName name="__APW_RESTORE_DATA798__" hidden="1">#REF!,#REF!,#REF!,#REF!,#REF!,#REF!,#REF!,#REF!,#REF!,#REF!,#REF!,#REF!,#REF!,#REF!,#REF!</definedName>
    <definedName name="__APW_RESTORE_DATA799__" hidden="1">#REF!,#REF!,#REF!,#REF!,#REF!,#REF!,#REF!,#REF!,#REF!,#REF!,#REF!,#REF!,#REF!,#REF!,#REF!</definedName>
    <definedName name="__APW_RESTORE_DATA8__" hidden="1">#REF!</definedName>
    <definedName name="__APW_RESTORE_DATA80__" hidden="1">#REF!,#REF!,#REF!,#REF!,#REF!,#REF!,#REF!,#REF!,#REF!,#REF!,#REF!,#REF!,#REF!,#REF!,#REF!,#REF!</definedName>
    <definedName name="__APW_RESTORE_DATA800__" hidden="1">#REF!,#REF!,#REF!,#REF!,#REF!,#REF!,#REF!,#REF!,#REF!,#REF!,#REF!,#REF!,#REF!,#REF!,#REF!</definedName>
    <definedName name="__APW_RESTORE_DATA801__" hidden="1">#REF!,#REF!,#REF!,#REF!,#REF!,#REF!,#REF!,#REF!,#REF!,#REF!,#REF!,#REF!,#REF!,#REF!,#REF!</definedName>
    <definedName name="__APW_RESTORE_DATA802__" hidden="1">#REF!,#REF!,#REF!,#REF!,#REF!,#REF!,#REF!,#REF!,#REF!,#REF!,#REF!,#REF!,#REF!,#REF!,#REF!</definedName>
    <definedName name="__APW_RESTORE_DATA803__" hidden="1">#REF!,#REF!,#REF!,#REF!,#REF!,#REF!,#REF!,#REF!,#REF!,#REF!,#REF!,#REF!,#REF!,#REF!,#REF!</definedName>
    <definedName name="__APW_RESTORE_DATA804__" hidden="1">#REF!,#REF!,#REF!,#REF!,#REF!,#REF!,#REF!,#REF!,#REF!,#REF!,#REF!,#REF!,#REF!,#REF!,#REF!</definedName>
    <definedName name="__APW_RESTORE_DATA805__" hidden="1">#REF!,#REF!,#REF!,#REF!,#REF!,#REF!,#REF!,#REF!,#REF!,#REF!,#REF!,#REF!,#REF!,#REF!,#REF!</definedName>
    <definedName name="__APW_RESTORE_DATA806__" hidden="1">#REF!,#REF!,#REF!,#REF!,#REF!,#REF!,#REF!,#REF!,#REF!,#REF!,#REF!,#REF!,#REF!,#REF!,#REF!</definedName>
    <definedName name="__APW_RESTORE_DATA807__" hidden="1">#REF!,#REF!,#REF!,#REF!,#REF!,#REF!,#REF!,#REF!,#REF!,#REF!,#REF!,#REF!,#REF!,#REF!,#REF!</definedName>
    <definedName name="__APW_RESTORE_DATA808__" hidden="1">#REF!,#REF!,#REF!,#REF!,#REF!,#REF!,#REF!,#REF!,#REF!,#REF!,#REF!,#REF!,#REF!,#REF!,#REF!</definedName>
    <definedName name="__APW_RESTORE_DATA809__" hidden="1">#REF!,#REF!,#REF!,#REF!,#REF!,#REF!,#REF!,#REF!,#REF!,#REF!,#REF!,#REF!,#REF!,#REF!,#REF!</definedName>
    <definedName name="__APW_RESTORE_DATA81__" hidden="1">#REF!,#REF!,#REF!,#REF!,#REF!,#REF!,#REF!,#REF!,#REF!,#REF!,#REF!,#REF!,#REF!,#REF!,#REF!</definedName>
    <definedName name="__APW_RESTORE_DATA810__" hidden="1">#REF!,#REF!,#REF!,#REF!,#REF!,#REF!,#REF!,#REF!,#REF!,#REF!,#REF!,#REF!,#REF!,#REF!,#REF!</definedName>
    <definedName name="__APW_RESTORE_DATA811__" hidden="1">#REF!,#REF!,#REF!,#REF!,#REF!,#REF!,#REF!,#REF!,#REF!,#REF!,#REF!,#REF!,#REF!,#REF!,#REF!</definedName>
    <definedName name="__APW_RESTORE_DATA812__" hidden="1">#REF!,#REF!,#REF!,#REF!,#REF!,#REF!,#REF!,#REF!,#REF!,#REF!,#REF!,#REF!,#REF!,#REF!,#REF!</definedName>
    <definedName name="__APW_RESTORE_DATA813__" hidden="1">#REF!,#REF!,#REF!,#REF!,#REF!,#REF!,#REF!,#REF!,#REF!,#REF!,#REF!,#REF!,#REF!,#REF!,#REF!</definedName>
    <definedName name="__APW_RESTORE_DATA814__" hidden="1">#REF!,#REF!,#REF!,#REF!,#REF!,#REF!,#REF!,#REF!,#REF!,#REF!,#REF!,#REF!,#REF!,#REF!,#REF!</definedName>
    <definedName name="__APW_RESTORE_DATA815__" hidden="1">#REF!,#REF!,#REF!,#REF!,#REF!,#REF!,#REF!,#REF!,#REF!,#REF!,#REF!,#REF!,#REF!,#REF!,#REF!</definedName>
    <definedName name="__APW_RESTORE_DATA816__" hidden="1">#REF!,#REF!,#REF!,#REF!,#REF!,#REF!,#REF!,#REF!,#REF!,#REF!,#REF!,#REF!,#REF!,#REF!,#REF!</definedName>
    <definedName name="__APW_RESTORE_DATA817__" hidden="1">#REF!,#REF!,#REF!,#REF!,#REF!,#REF!,#REF!,#REF!,#REF!,#REF!,#REF!,#REF!,#REF!,#REF!,#REF!</definedName>
    <definedName name="__APW_RESTORE_DATA818__" hidden="1">#REF!,#REF!,#REF!,#REF!,#REF!,#REF!,#REF!,#REF!,#REF!,#REF!,#REF!,#REF!,#REF!,#REF!,#REF!</definedName>
    <definedName name="__APW_RESTORE_DATA819__" hidden="1">#REF!,#REF!,#REF!,#REF!,#REF!,#REF!,#REF!,#REF!,#REF!,#REF!,#REF!,#REF!,#REF!,#REF!,#REF!</definedName>
    <definedName name="__APW_RESTORE_DATA82__" hidden="1">#REF!,#REF!,#REF!,#REF!,#REF!,#REF!,#REF!,#REF!,#REF!,#REF!,#REF!,#REF!,#REF!,#REF!,#REF!</definedName>
    <definedName name="__APW_RESTORE_DATA820__" hidden="1">#REF!,#REF!,#REF!,#REF!,#REF!,#REF!,#REF!,#REF!,#REF!,#REF!,#REF!,#REF!,#REF!,#REF!,#REF!</definedName>
    <definedName name="__APW_RESTORE_DATA821__" hidden="1">#REF!,#REF!,#REF!,#REF!,#REF!,#REF!,#REF!,#REF!,#REF!,#REF!,#REF!,#REF!,#REF!,#REF!,#REF!</definedName>
    <definedName name="__APW_RESTORE_DATA822__" hidden="1">#REF!,#REF!,#REF!,#REF!,#REF!,#REF!,#REF!,#REF!,#REF!,#REF!,#REF!,#REF!,#REF!,#REF!,#REF!</definedName>
    <definedName name="__APW_RESTORE_DATA823__" hidden="1">#REF!,#REF!,#REF!,#REF!,#REF!,#REF!,#REF!,#REF!,#REF!,#REF!,#REF!,#REF!,#REF!,#REF!,#REF!</definedName>
    <definedName name="__APW_RESTORE_DATA824__" hidden="1">#REF!,#REF!,#REF!,#REF!,#REF!,#REF!,#REF!,#REF!,#REF!,#REF!,#REF!,#REF!,#REF!,#REF!,#REF!</definedName>
    <definedName name="__APW_RESTORE_DATA825__" hidden="1">#REF!,#REF!,#REF!,#REF!,#REF!,#REF!</definedName>
    <definedName name="__APW_RESTORE_DATA826__" hidden="1">#REF!,#REF!,#REF!,#REF!,#REF!,#REF!,#REF!,#REF!,#REF!,#REF!,#REF!,#REF!,#REF!,#REF!,#REF!,#REF!</definedName>
    <definedName name="__APW_RESTORE_DATA827__" hidden="1">#REF!,#REF!,#REF!,#REF!,#REF!,#REF!,#REF!,#REF!,#REF!,#REF!,#REF!,#REF!,#REF!,#REF!,#REF!,#REF!</definedName>
    <definedName name="__APW_RESTORE_DATA828__" hidden="1">#REF!,#REF!,#REF!,#REF!,#REF!,#REF!,#REF!,#REF!,#REF!,#REF!,#REF!,#REF!,#REF!,#REF!,#REF!,#REF!</definedName>
    <definedName name="__APW_RESTORE_DATA829__" hidden="1">#REF!,#REF!,#REF!,#REF!,#REF!,#REF!,#REF!,#REF!,#REF!,#REF!,#REF!,#REF!,#REF!,#REF!,#REF!,#REF!</definedName>
    <definedName name="__APW_RESTORE_DATA83__" hidden="1">#REF!,#REF!,#REF!,#REF!,#REF!,#REF!,#REF!,#REF!,#REF!,#REF!,#REF!,#REF!,#REF!,#REF!,#REF!</definedName>
    <definedName name="__APW_RESTORE_DATA830__" hidden="1">#REF!,#REF!,#REF!,#REF!,#REF!,#REF!,#REF!,#REF!,#REF!,#REF!,#REF!,#REF!,#REF!,#REF!,#REF!,#REF!</definedName>
    <definedName name="__APW_RESTORE_DATA831__" hidden="1">#REF!,#REF!,#REF!,#REF!,#REF!,#REF!,#REF!,#REF!,#REF!,#REF!,#REF!,#REF!,#REF!,#REF!,#REF!,#REF!</definedName>
    <definedName name="__APW_RESTORE_DATA832__" hidden="1">#REF!,#REF!,#REF!,#REF!,#REF!,#REF!,#REF!,#REF!,#REF!,#REF!,#REF!,#REF!,#REF!,#REF!,#REF!</definedName>
    <definedName name="__APW_RESTORE_DATA833__" hidden="1">#REF!,#REF!,#REF!,#REF!,#REF!,#REF!,#REF!,#REF!,#REF!,#REF!,#REF!,#REF!,#REF!,#REF!,#REF!</definedName>
    <definedName name="__APW_RESTORE_DATA834__" hidden="1">#REF!,#REF!,#REF!,#REF!,#REF!,#REF!,#REF!,#REF!,#REF!,#REF!,#REF!,#REF!,#REF!,#REF!,#REF!</definedName>
    <definedName name="__APW_RESTORE_DATA835__" hidden="1">#REF!,#REF!,#REF!,#REF!,#REF!,#REF!,#REF!,#REF!,#REF!,#REF!,#REF!,#REF!,#REF!,#REF!,#REF!</definedName>
    <definedName name="__APW_RESTORE_DATA836__" hidden="1">#REF!,#REF!,#REF!,#REF!,#REF!,#REF!,#REF!,#REF!,#REF!,#REF!,#REF!,#REF!,#REF!,#REF!,#REF!</definedName>
    <definedName name="__APW_RESTORE_DATA837__" hidden="1">#REF!,#REF!,#REF!,#REF!,#REF!,#REF!,#REF!,#REF!,#REF!,#REF!,#REF!,#REF!,#REF!,#REF!,#REF!</definedName>
    <definedName name="__APW_RESTORE_DATA838__" hidden="1">#REF!,#REF!,#REF!,#REF!,#REF!,#REF!,#REF!,#REF!,#REF!,#REF!,#REF!,#REF!,#REF!,#REF!,#REF!</definedName>
    <definedName name="__APW_RESTORE_DATA839__" hidden="1">#REF!,#REF!,#REF!,#REF!,#REF!,#REF!,#REF!,#REF!,#REF!,#REF!,#REF!,#REF!,#REF!,#REF!,#REF!</definedName>
    <definedName name="__APW_RESTORE_DATA84__" hidden="1">#REF!,#REF!,#REF!,#REF!,#REF!,#REF!,#REF!,#REF!,#REF!,#REF!,#REF!,#REF!,#REF!,#REF!,#REF!</definedName>
    <definedName name="__APW_RESTORE_DATA840__" hidden="1">#REF!,#REF!,#REF!,#REF!,#REF!,#REF!,#REF!,#REF!,#REF!,#REF!,#REF!,#REF!,#REF!,#REF!,#REF!</definedName>
    <definedName name="__APW_RESTORE_DATA841__" hidden="1">#REF!,#REF!,#REF!,#REF!,#REF!,#REF!,#REF!,#REF!,#REF!,#REF!,#REF!,#REF!,#REF!,#REF!,#REF!</definedName>
    <definedName name="__APW_RESTORE_DATA842__" hidden="1">#REF!,#REF!,#REF!,#REF!,#REF!,#REF!,#REF!,#REF!,#REF!,#REF!,#REF!,#REF!,#REF!,#REF!,#REF!</definedName>
    <definedName name="__APW_RESTORE_DATA843__" hidden="1">#REF!,#REF!,#REF!,#REF!,#REF!,#REF!,#REF!,#REF!,#REF!,#REF!,#REF!,#REF!,#REF!,#REF!,#REF!</definedName>
    <definedName name="__APW_RESTORE_DATA844__" hidden="1">#REF!,#REF!,#REF!,#REF!,#REF!,#REF!,#REF!,#REF!,#REF!,#REF!,#REF!,#REF!,#REF!,#REF!,#REF!</definedName>
    <definedName name="__APW_RESTORE_DATA845__" hidden="1">#REF!,#REF!,#REF!,#REF!,#REF!,#REF!,#REF!,#REF!,#REF!,#REF!,#REF!,#REF!,#REF!,#REF!,#REF!</definedName>
    <definedName name="__APW_RESTORE_DATA846__" hidden="1">#REF!,#REF!,#REF!,#REF!,#REF!,#REF!,#REF!,#REF!,#REF!,#REF!,#REF!,#REF!,#REF!,#REF!,#REF!</definedName>
    <definedName name="__APW_RESTORE_DATA847__" hidden="1">#REF!,#REF!,#REF!,#REF!,#REF!,#REF!,#REF!,#REF!,#REF!,#REF!,#REF!,#REF!,#REF!,#REF!,#REF!</definedName>
    <definedName name="__APW_RESTORE_DATA848__" hidden="1">#REF!,#REF!,#REF!,#REF!,#REF!,#REF!,#REF!,#REF!,#REF!,#REF!,#REF!,#REF!,#REF!,#REF!,#REF!</definedName>
    <definedName name="__APW_RESTORE_DATA849__" hidden="1">#REF!,#REF!,#REF!,#REF!,#REF!,#REF!,#REF!,#REF!,#REF!,#REF!,#REF!,#REF!,#REF!,#REF!,#REF!</definedName>
    <definedName name="__APW_RESTORE_DATA85__" hidden="1">#REF!,#REF!,#REF!,#REF!,#REF!,#REF!,#REF!,#REF!,#REF!,#REF!,#REF!,#REF!,#REF!,#REF!,#REF!</definedName>
    <definedName name="__APW_RESTORE_DATA850__" hidden="1">#REF!,#REF!,#REF!,#REF!,#REF!,#REF!,#REF!,#REF!,#REF!,#REF!,#REF!,#REF!,#REF!,#REF!,#REF!</definedName>
    <definedName name="__APW_RESTORE_DATA851__" hidden="1">#REF!,#REF!,#REF!,#REF!,#REF!,#REF!,#REF!,#REF!,#REF!,#REF!,#REF!,#REF!,#REF!,#REF!,#REF!</definedName>
    <definedName name="__APW_RESTORE_DATA852__" hidden="1">#REF!,#REF!,#REF!,#REF!,#REF!,#REF!,#REF!,#REF!,#REF!,#REF!,#REF!,#REF!,#REF!,#REF!,#REF!</definedName>
    <definedName name="__APW_RESTORE_DATA853__" hidden="1">#REF!,#REF!,#REF!,#REF!,#REF!,#REF!,#REF!,#REF!,#REF!,#REF!,#REF!,#REF!,#REF!,#REF!,#REF!</definedName>
    <definedName name="__APW_RESTORE_DATA854__" hidden="1">#REF!,#REF!,#REF!,#REF!,#REF!,#REF!,#REF!,#REF!,#REF!,#REF!,#REF!,#REF!,#REF!,#REF!,#REF!</definedName>
    <definedName name="__APW_RESTORE_DATA855__" hidden="1">#REF!,#REF!,#REF!,#REF!,#REF!,#REF!,#REF!,#REF!,#REF!,#REF!,#REF!,#REF!,#REF!,#REF!,#REF!</definedName>
    <definedName name="__APW_RESTORE_DATA856__" hidden="1">#REF!,#REF!,#REF!,#REF!,#REF!,#REF!,#REF!,#REF!,#REF!,#REF!,#REF!,#REF!,#REF!,#REF!,#REF!</definedName>
    <definedName name="__APW_RESTORE_DATA857__" hidden="1">#REF!,#REF!,#REF!,#REF!,#REF!,#REF!,#REF!,#REF!,#REF!,#REF!,#REF!,#REF!,#REF!,#REF!,#REF!</definedName>
    <definedName name="__APW_RESTORE_DATA858__" hidden="1">#REF!,#REF!,#REF!,#REF!,#REF!,#REF!,#REF!,#REF!,#REF!,#REF!,#REF!,#REF!,#REF!,#REF!,#REF!</definedName>
    <definedName name="__APW_RESTORE_DATA859__" hidden="1">#REF!,#REF!,#REF!,#REF!,#REF!,#REF!,#REF!,#REF!,#REF!,#REF!,#REF!,#REF!,#REF!,#REF!,#REF!</definedName>
    <definedName name="__APW_RESTORE_DATA86__" hidden="1">#REF!,#REF!,#REF!,#REF!,#REF!,#REF!,#REF!,#REF!,#REF!,#REF!,#REF!,#REF!,#REF!,#REF!,#REF!</definedName>
    <definedName name="__APW_RESTORE_DATA860__" hidden="1">#REF!,#REF!,#REF!,#REF!,#REF!,#REF!</definedName>
    <definedName name="__APW_RESTORE_DATA861__" hidden="1">#REF!</definedName>
    <definedName name="__APW_RESTORE_DATA862__" hidden="1">#REF!</definedName>
    <definedName name="__APW_RESTORE_DATA863__" hidden="1">#REF!</definedName>
    <definedName name="__APW_RESTORE_DATA864__" hidden="1">#REF!</definedName>
    <definedName name="__APW_RESTORE_DATA865__" hidden="1">#REF!,#REF!,#REF!,#REF!,#REF!,#REF!,#REF!,#REF!,#REF!,#REF!,#REF!,#REF!,#REF!,#REF!,#REF!,#REF!</definedName>
    <definedName name="__APW_RESTORE_DATA866__" hidden="1">#REF!,#REF!,#REF!,#REF!,#REF!,#REF!,#REF!,#REF!,#REF!,#REF!,#REF!,#REF!,#REF!,#REF!,#REF!,#REF!</definedName>
    <definedName name="__APW_RESTORE_DATA867__" hidden="1">#REF!,#REF!,#REF!,#REF!,#REF!,#REF!,#REF!,#REF!,#REF!,#REF!,#REF!,#REF!,#REF!,#REF!,#REF!,#REF!</definedName>
    <definedName name="__APW_RESTORE_DATA868__" hidden="1">#REF!,#REF!,#REF!,#REF!,#REF!,#REF!,#REF!,#REF!,#REF!,#REF!,#REF!,#REF!,#REF!,#REF!,#REF!,#REF!</definedName>
    <definedName name="__APW_RESTORE_DATA869__" hidden="1">#REF!,#REF!,#REF!,#REF!,#REF!,#REF!,#REF!,#REF!,#REF!,#REF!,#REF!,#REF!,#REF!,#REF!,#REF!,#REF!</definedName>
    <definedName name="__APW_RESTORE_DATA87__" hidden="1">#REF!,#REF!,#REF!,#REF!,#REF!,#REF!,#REF!,#REF!,#REF!,#REF!,#REF!,#REF!,#REF!,#REF!,#REF!</definedName>
    <definedName name="__APW_RESTORE_DATA870__" hidden="1">#REF!,#REF!,#REF!,#REF!,#REF!,#REF!,#REF!,#REF!,#REF!,#REF!,#REF!,#REF!,#REF!,#REF!,#REF!,#REF!</definedName>
    <definedName name="__APW_RESTORE_DATA871__" hidden="1">#REF!,#REF!,#REF!,#REF!,#REF!,#REF!,#REF!,#REF!,#REF!,#REF!,#REF!,#REF!,#REF!,#REF!,#REF!</definedName>
    <definedName name="__APW_RESTORE_DATA872__" hidden="1">#REF!,#REF!,#REF!,#REF!,#REF!,#REF!,#REF!,#REF!,#REF!,#REF!,#REF!,#REF!,#REF!,#REF!,#REF!</definedName>
    <definedName name="__APW_RESTORE_DATA873__" hidden="1">#REF!,#REF!,#REF!,#REF!,#REF!,#REF!,#REF!,#REF!,#REF!,#REF!,#REF!,#REF!,#REF!,#REF!,#REF!</definedName>
    <definedName name="__APW_RESTORE_DATA874__" hidden="1">#REF!,#REF!,#REF!,#REF!,#REF!,#REF!,#REF!,#REF!,#REF!,#REF!,#REF!,#REF!,#REF!,#REF!,#REF!</definedName>
    <definedName name="__APW_RESTORE_DATA875__" hidden="1">#REF!,#REF!,#REF!,#REF!,#REF!,#REF!,#REF!,#REF!,#REF!,#REF!,#REF!,#REF!,#REF!,#REF!,#REF!</definedName>
    <definedName name="__APW_RESTORE_DATA876__" hidden="1">#REF!,#REF!,#REF!,#REF!,#REF!,#REF!,#REF!,#REF!,#REF!,#REF!,#REF!,#REF!,#REF!,#REF!,#REF!</definedName>
    <definedName name="__APW_RESTORE_DATA877__" hidden="1">#REF!,#REF!,#REF!,#REF!,#REF!,#REF!,#REF!,#REF!,#REF!,#REF!,#REF!,#REF!,#REF!,#REF!,#REF!</definedName>
    <definedName name="__APW_RESTORE_DATA878__" hidden="1">#REF!,#REF!,#REF!,#REF!,#REF!,#REF!,#REF!,#REF!,#REF!,#REF!,#REF!,#REF!,#REF!,#REF!,#REF!</definedName>
    <definedName name="__APW_RESTORE_DATA879__" hidden="1">#REF!,#REF!,#REF!,#REF!,#REF!,#REF!,#REF!,#REF!,#REF!,#REF!,#REF!,#REF!,#REF!,#REF!,#REF!</definedName>
    <definedName name="__APW_RESTORE_DATA88__" hidden="1">#REF!,#REF!,#REF!,#REF!,#REF!,#REF!,#REF!,#REF!,#REF!,#REF!,#REF!,#REF!,#REF!,#REF!,#REF!</definedName>
    <definedName name="__APW_RESTORE_DATA880__" hidden="1">#REF!,#REF!,#REF!,#REF!,#REF!,#REF!,#REF!,#REF!,#REF!,#REF!,#REF!,#REF!,#REF!,#REF!,#REF!</definedName>
    <definedName name="__APW_RESTORE_DATA881__" hidden="1">#REF!,#REF!,#REF!,#REF!,#REF!,#REF!,#REF!,#REF!,#REF!,#REF!,#REF!,#REF!,#REF!,#REF!,#REF!</definedName>
    <definedName name="__APW_RESTORE_DATA882__" hidden="1">#REF!,#REF!,#REF!,#REF!,#REF!,#REF!,#REF!,#REF!,#REF!,#REF!,#REF!,#REF!,#REF!,#REF!,#REF!</definedName>
    <definedName name="__APW_RESTORE_DATA883__" hidden="1">#REF!,#REF!,#REF!,#REF!,#REF!,#REF!,#REF!,#REF!,#REF!,#REF!,#REF!,#REF!,#REF!,#REF!,#REF!</definedName>
    <definedName name="__APW_RESTORE_DATA884__" hidden="1">#REF!,#REF!,#REF!,#REF!,#REF!,#REF!,#REF!,#REF!,#REF!,#REF!,#REF!,#REF!,#REF!,#REF!,#REF!</definedName>
    <definedName name="__APW_RESTORE_DATA885__" hidden="1">#REF!,#REF!,#REF!,#REF!,#REF!,#REF!,#REF!,#REF!,#REF!,#REF!,#REF!,#REF!,#REF!,#REF!,#REF!</definedName>
    <definedName name="__APW_RESTORE_DATA886__" hidden="1">#REF!,#REF!,#REF!,#REF!,#REF!,#REF!,#REF!,#REF!,#REF!,#REF!,#REF!,#REF!,#REF!,#REF!,#REF!</definedName>
    <definedName name="__APW_RESTORE_DATA887__" hidden="1">#REF!,#REF!,#REF!,#REF!,#REF!,#REF!,#REF!,#REF!,#REF!,#REF!,#REF!,#REF!,#REF!,#REF!,#REF!</definedName>
    <definedName name="__APW_RESTORE_DATA888__" hidden="1">#REF!,#REF!,#REF!,#REF!,#REF!,#REF!,#REF!,#REF!,#REF!,#REF!,#REF!,#REF!,#REF!,#REF!,#REF!</definedName>
    <definedName name="__APW_RESTORE_DATA889__" hidden="1">#REF!,#REF!,#REF!,#REF!,#REF!,#REF!,#REF!,#REF!,#REF!,#REF!,#REF!,#REF!,#REF!,#REF!,#REF!</definedName>
    <definedName name="__APW_RESTORE_DATA89__" hidden="1">#REF!,#REF!,#REF!,#REF!,#REF!,#REF!,#REF!,#REF!,#REF!,#REF!,#REF!,#REF!,#REF!,#REF!,#REF!</definedName>
    <definedName name="__APW_RESTORE_DATA890__" hidden="1">#REF!,#REF!,#REF!,#REF!,#REF!,#REF!,#REF!,#REF!,#REF!,#REF!,#REF!,#REF!,#REF!,#REF!,#REF!</definedName>
    <definedName name="__APW_RESTORE_DATA891__" hidden="1">#REF!,#REF!,#REF!,#REF!,#REF!,#REF!,#REF!,#REF!,#REF!,#REF!,#REF!,#REF!,#REF!,#REF!,#REF!</definedName>
    <definedName name="__APW_RESTORE_DATA892__" hidden="1">#REF!,#REF!,#REF!,#REF!,#REF!,#REF!,#REF!,#REF!,#REF!,#REF!,#REF!,#REF!,#REF!,#REF!,#REF!</definedName>
    <definedName name="__APW_RESTORE_DATA893__" hidden="1">#REF!,#REF!,#REF!,#REF!,#REF!,#REF!,#REF!,#REF!,#REF!,#REF!,#REF!,#REF!,#REF!,#REF!,#REF!</definedName>
    <definedName name="__APW_RESTORE_DATA894__" hidden="1">#REF!,#REF!,#REF!,#REF!,#REF!,#REF!,#REF!,#REF!,#REF!,#REF!,#REF!,#REF!,#REF!,#REF!,#REF!</definedName>
    <definedName name="__APW_RESTORE_DATA895__" hidden="1">#REF!,#REF!,#REF!,#REF!,#REF!,#REF!,#REF!,#REF!,#REF!,#REF!,#REF!,#REF!,#REF!,#REF!,#REF!</definedName>
    <definedName name="__APW_RESTORE_DATA896__" hidden="1">#REF!,#REF!,#REF!,#REF!,#REF!,#REF!,#REF!,#REF!,#REF!,#REF!,#REF!,#REF!,#REF!,#REF!,#REF!</definedName>
    <definedName name="__APW_RESTORE_DATA897__" hidden="1">#REF!,#REF!,#REF!,#REF!,#REF!,#REF!,#REF!,#REF!,#REF!,#REF!,#REF!,#REF!,#REF!,#REF!,#REF!</definedName>
    <definedName name="__APW_RESTORE_DATA898__" hidden="1">#REF!,#REF!,#REF!,#REF!,#REF!,#REF!,#REF!,#REF!,#REF!,#REF!,#REF!,#REF!,#REF!,#REF!,#REF!</definedName>
    <definedName name="__APW_RESTORE_DATA899__" hidden="1">#REF!,#REF!,#REF!,#REF!,#REF!,#REF!</definedName>
    <definedName name="__APW_RESTORE_DATA9__" hidden="1">#REF!</definedName>
    <definedName name="__APW_RESTORE_DATA90__" hidden="1">#REF!,#REF!</definedName>
    <definedName name="__APW_RESTORE_DATA900__" hidden="1">#REF!,#REF!,#REF!,#REF!,#REF!,#REF!,#REF!,#REF!,#REF!,#REF!,#REF!,#REF!,#REF!,#REF!,#REF!,#REF!</definedName>
    <definedName name="__APW_RESTORE_DATA901__" hidden="1">#REF!,#REF!,#REF!,#REF!,#REF!,#REF!,#REF!,#REF!,#REF!,#REF!,#REF!,#REF!,#REF!,#REF!,#REF!,#REF!</definedName>
    <definedName name="__APW_RESTORE_DATA902__" hidden="1">#REF!,#REF!,#REF!,#REF!,#REF!,#REF!,#REF!,#REF!,#REF!,#REF!,#REF!,#REF!,#REF!,#REF!,#REF!,#REF!</definedName>
    <definedName name="__APW_RESTORE_DATA903__" hidden="1">#REF!,#REF!,#REF!,#REF!,#REF!,#REF!,#REF!,#REF!,#REF!,#REF!,#REF!,#REF!,#REF!,#REF!,#REF!,#REF!</definedName>
    <definedName name="__APW_RESTORE_DATA904__" hidden="1">#REF!,#REF!,#REF!,#REF!,#REF!,#REF!,#REF!,#REF!,#REF!,#REF!,#REF!,#REF!,#REF!,#REF!,#REF!,#REF!</definedName>
    <definedName name="__APW_RESTORE_DATA905__" hidden="1">#REF!,#REF!,#REF!,#REF!,#REF!,#REF!,#REF!,#REF!,#REF!,#REF!,#REF!,#REF!,#REF!,#REF!,#REF!,#REF!</definedName>
    <definedName name="__APW_RESTORE_DATA906__" hidden="1">#REF!,#REF!,#REF!,#REF!,#REF!,#REF!,#REF!,#REF!,#REF!,#REF!,#REF!,#REF!,#REF!,#REF!,#REF!</definedName>
    <definedName name="__APW_RESTORE_DATA907__" hidden="1">#REF!,#REF!,#REF!,#REF!,#REF!,#REF!,#REF!,#REF!,#REF!,#REF!,#REF!,#REF!,#REF!,#REF!,#REF!</definedName>
    <definedName name="__APW_RESTORE_DATA908__" hidden="1">#REF!,#REF!,#REF!,#REF!,#REF!,#REF!,#REF!,#REF!,#REF!,#REF!,#REF!,#REF!,#REF!,#REF!,#REF!</definedName>
    <definedName name="__APW_RESTORE_DATA909__" hidden="1">#REF!,#REF!,#REF!,#REF!,#REF!,#REF!,#REF!,#REF!,#REF!,#REF!,#REF!,#REF!,#REF!,#REF!,#REF!</definedName>
    <definedName name="__APW_RESTORE_DATA91__" hidden="1">#REF!,#REF!,#REF!,#REF!,#REF!,#REF!,#REF!,#REF!,#REF!,#REF!,#REF!,#REF!,#REF!,#REF!,#REF!</definedName>
    <definedName name="__APW_RESTORE_DATA910__" hidden="1">#REF!,#REF!,#REF!,#REF!,#REF!,#REF!,#REF!,#REF!,#REF!,#REF!,#REF!,#REF!,#REF!,#REF!,#REF!</definedName>
    <definedName name="__APW_RESTORE_DATA911__" hidden="1">#REF!,#REF!,#REF!,#REF!,#REF!,#REF!,#REF!,#REF!,#REF!,#REF!,#REF!,#REF!,#REF!,#REF!,#REF!</definedName>
    <definedName name="__APW_RESTORE_DATA912__" hidden="1">#REF!,#REF!,#REF!,#REF!,#REF!,#REF!,#REF!,#REF!,#REF!,#REF!,#REF!,#REF!,#REF!,#REF!,#REF!</definedName>
    <definedName name="__APW_RESTORE_DATA913__" hidden="1">#REF!,#REF!,#REF!,#REF!,#REF!,#REF!,#REF!,#REF!,#REF!,#REF!,#REF!,#REF!,#REF!,#REF!,#REF!</definedName>
    <definedName name="__APW_RESTORE_DATA914__" hidden="1">#REF!,#REF!,#REF!,#REF!,#REF!,#REF!,#REF!,#REF!,#REF!,#REF!,#REF!,#REF!,#REF!,#REF!,#REF!</definedName>
    <definedName name="__APW_RESTORE_DATA915__" hidden="1">#REF!,#REF!,#REF!,#REF!,#REF!,#REF!,#REF!,#REF!,#REF!,#REF!,#REF!,#REF!,#REF!,#REF!,#REF!</definedName>
    <definedName name="__APW_RESTORE_DATA916__" hidden="1">#REF!,#REF!,#REF!,#REF!,#REF!,#REF!,#REF!,#REF!,#REF!,#REF!,#REF!,#REF!,#REF!,#REF!,#REF!</definedName>
    <definedName name="__APW_RESTORE_DATA917__" hidden="1">#REF!,#REF!,#REF!,#REF!,#REF!,#REF!,#REF!,#REF!,#REF!,#REF!,#REF!,#REF!,#REF!,#REF!,#REF!</definedName>
    <definedName name="__APW_RESTORE_DATA918__" hidden="1">#REF!,#REF!,#REF!,#REF!,#REF!,#REF!,#REF!,#REF!,#REF!,#REF!,#REF!,#REF!,#REF!,#REF!,#REF!</definedName>
    <definedName name="__APW_RESTORE_DATA919__" hidden="1">#REF!,#REF!,#REF!,#REF!,#REF!,#REF!,#REF!,#REF!,#REF!,#REF!,#REF!,#REF!,#REF!,#REF!,#REF!</definedName>
    <definedName name="__APW_RESTORE_DATA92__" hidden="1">#REF!,#REF!,#REF!,#REF!,#REF!,#REF!,#REF!,#REF!,#REF!,#REF!,#REF!,#REF!,#REF!,#REF!,#REF!</definedName>
    <definedName name="__APW_RESTORE_DATA920__" hidden="1">#REF!,#REF!,#REF!,#REF!,#REF!,#REF!,#REF!,#REF!,#REF!,#REF!,#REF!,#REF!,#REF!,#REF!,#REF!</definedName>
    <definedName name="__APW_RESTORE_DATA921__" hidden="1">#REF!,#REF!,#REF!,#REF!,#REF!,#REF!,#REF!,#REF!,#REF!,#REF!,#REF!,#REF!,#REF!,#REF!,#REF!</definedName>
    <definedName name="__APW_RESTORE_DATA922__" hidden="1">#REF!,#REF!,#REF!,#REF!,#REF!,#REF!,#REF!,#REF!,#REF!,#REF!,#REF!,#REF!,#REF!,#REF!,#REF!</definedName>
    <definedName name="__APW_RESTORE_DATA923__" hidden="1">#REF!,#REF!,#REF!,#REF!,#REF!,#REF!,#REF!,#REF!,#REF!,#REF!,#REF!,#REF!,#REF!,#REF!,#REF!</definedName>
    <definedName name="__APW_RESTORE_DATA924__" hidden="1">#REF!,#REF!,#REF!,#REF!,#REF!,#REF!,#REF!,#REF!,#REF!,#REF!,#REF!,#REF!,#REF!,#REF!,#REF!</definedName>
    <definedName name="__APW_RESTORE_DATA925__" hidden="1">#REF!,#REF!,#REF!,#REF!,#REF!,#REF!,#REF!,#REF!,#REF!,#REF!,#REF!,#REF!,#REF!,#REF!,#REF!</definedName>
    <definedName name="__APW_RESTORE_DATA926__" hidden="1">#REF!,#REF!,#REF!,#REF!,#REF!,#REF!,#REF!,#REF!,#REF!,#REF!,#REF!,#REF!,#REF!,#REF!,#REF!</definedName>
    <definedName name="__APW_RESTORE_DATA927__" hidden="1">#REF!,#REF!,#REF!,#REF!,#REF!,#REF!,#REF!,#REF!,#REF!,#REF!,#REF!,#REF!,#REF!,#REF!,#REF!</definedName>
    <definedName name="__APW_RESTORE_DATA928__" hidden="1">#REF!,#REF!,#REF!,#REF!,#REF!,#REF!,#REF!,#REF!,#REF!,#REF!,#REF!,#REF!,#REF!,#REF!,#REF!</definedName>
    <definedName name="__APW_RESTORE_DATA929__" hidden="1">#REF!,#REF!,#REF!,#REF!,#REF!,#REF!,#REF!,#REF!,#REF!,#REF!,#REF!,#REF!,#REF!,#REF!,#REF!</definedName>
    <definedName name="__APW_RESTORE_DATA93__" hidden="1">#REF!,#REF!,#REF!,#REF!,#REF!,#REF!,#REF!,#REF!,#REF!,#REF!,#REF!,#REF!,#REF!,#REF!,#REF!</definedName>
    <definedName name="__APW_RESTORE_DATA930__" hidden="1">#REF!,#REF!,#REF!,#REF!,#REF!,#REF!,#REF!,#REF!,#REF!,#REF!,#REF!,#REF!,#REF!,#REF!,#REF!</definedName>
    <definedName name="__APW_RESTORE_DATA931__" hidden="1">#REF!,#REF!,#REF!,#REF!,#REF!,#REF!,#REF!,#REF!,#REF!,#REF!,#REF!,#REF!,#REF!,#REF!,#REF!</definedName>
    <definedName name="__APW_RESTORE_DATA932__" hidden="1">#REF!,#REF!,#REF!,#REF!,#REF!,#REF!,#REF!,#REF!,#REF!,#REF!,#REF!,#REF!,#REF!,#REF!,#REF!</definedName>
    <definedName name="__APW_RESTORE_DATA933__" hidden="1">#REF!,#REF!,#REF!,#REF!,#REF!,#REF!,#REF!,#REF!,#REF!,#REF!,#REF!,#REF!,#REF!,#REF!,#REF!</definedName>
    <definedName name="__APW_RESTORE_DATA934__" hidden="1">#REF!,#REF!,#REF!,#REF!,#REF!,#REF!</definedName>
    <definedName name="__APW_RESTORE_DATA935__" hidden="1">#REF!,#REF!,#REF!,#REF!,#REF!,#REF!,#REF!,#REF!,#REF!,#REF!,#REF!,#REF!,#REF!,#REF!,#REF!,#REF!</definedName>
    <definedName name="__APW_RESTORE_DATA936__" hidden="1">#REF!,#REF!,#REF!,#REF!,#REF!,#REF!,#REF!,#REF!,#REF!,#REF!,#REF!,#REF!,#REF!,#REF!,#REF!,#REF!</definedName>
    <definedName name="__APW_RESTORE_DATA937__" hidden="1">#REF!,#REF!,#REF!,#REF!,#REF!,#REF!,#REF!,#REF!,#REF!,#REF!,#REF!,#REF!,#REF!,#REF!,#REF!,#REF!</definedName>
    <definedName name="__APW_RESTORE_DATA938__" hidden="1">#REF!,#REF!,#REF!,#REF!,#REF!,#REF!,#REF!,#REF!,#REF!,#REF!,#REF!,#REF!,#REF!,#REF!,#REF!,#REF!</definedName>
    <definedName name="__APW_RESTORE_DATA939__" hidden="1">#REF!,#REF!,#REF!,#REF!,#REF!,#REF!,#REF!,#REF!,#REF!,#REF!,#REF!,#REF!,#REF!,#REF!,#REF!,#REF!</definedName>
    <definedName name="__APW_RESTORE_DATA94__" hidden="1">#REF!,#REF!,#REF!,#REF!,#REF!,#REF!,#REF!,#REF!,#REF!,#REF!,#REF!,#REF!,#REF!,#REF!,#REF!</definedName>
    <definedName name="__APW_RESTORE_DATA940__" hidden="1">#REF!,#REF!,#REF!,#REF!,#REF!,#REF!,#REF!,#REF!,#REF!,#REF!,#REF!,#REF!,#REF!,#REF!,#REF!,#REF!</definedName>
    <definedName name="__APW_RESTORE_DATA941__" hidden="1">#REF!,#REF!,#REF!,#REF!,#REF!,#REF!,#REF!,#REF!,#REF!,#REF!,#REF!,#REF!,#REF!,#REF!,#REF!</definedName>
    <definedName name="__APW_RESTORE_DATA942__" hidden="1">#REF!,#REF!,#REF!,#REF!,#REF!,#REF!,#REF!,#REF!,#REF!,#REF!,#REF!,#REF!,#REF!,#REF!,#REF!</definedName>
    <definedName name="__APW_RESTORE_DATA943__" hidden="1">#REF!,#REF!,#REF!,#REF!,#REF!,#REF!,#REF!,#REF!,#REF!,#REF!,#REF!,#REF!,#REF!,#REF!,#REF!</definedName>
    <definedName name="__APW_RESTORE_DATA944__" hidden="1">#REF!,#REF!,#REF!,#REF!,#REF!,#REF!,#REF!,#REF!,#REF!,#REF!,#REF!,#REF!,#REF!,#REF!,#REF!</definedName>
    <definedName name="__APW_RESTORE_DATA945__" hidden="1">#REF!,#REF!,#REF!,#REF!,#REF!,#REF!,#REF!,#REF!,#REF!,#REF!,#REF!,#REF!,#REF!,#REF!,#REF!</definedName>
    <definedName name="__APW_RESTORE_DATA946__" hidden="1">#REF!,#REF!,#REF!,#REF!,#REF!,#REF!,#REF!,#REF!,#REF!,#REF!,#REF!,#REF!,#REF!,#REF!,#REF!</definedName>
    <definedName name="__APW_RESTORE_DATA947__" hidden="1">#REF!,#REF!,#REF!,#REF!,#REF!,#REF!,#REF!,#REF!,#REF!,#REF!,#REF!,#REF!,#REF!,#REF!,#REF!</definedName>
    <definedName name="__APW_RESTORE_DATA948__" hidden="1">#REF!,#REF!,#REF!,#REF!,#REF!,#REF!,#REF!,#REF!,#REF!,#REF!,#REF!,#REF!,#REF!,#REF!,#REF!</definedName>
    <definedName name="__APW_RESTORE_DATA949__" hidden="1">#REF!,#REF!,#REF!,#REF!,#REF!,#REF!,#REF!,#REF!,#REF!,#REF!,#REF!,#REF!,#REF!,#REF!,#REF!</definedName>
    <definedName name="__APW_RESTORE_DATA95__" hidden="1">#REF!,#REF!</definedName>
    <definedName name="__APW_RESTORE_DATA950__" hidden="1">#REF!,#REF!,#REF!,#REF!,#REF!,#REF!,#REF!,#REF!,#REF!,#REF!,#REF!,#REF!,#REF!,#REF!,#REF!</definedName>
    <definedName name="__APW_RESTORE_DATA951__" hidden="1">#REF!,#REF!,#REF!,#REF!,#REF!,#REF!,#REF!,#REF!,#REF!,#REF!,#REF!,#REF!,#REF!,#REF!,#REF!</definedName>
    <definedName name="__APW_RESTORE_DATA952__" hidden="1">#REF!,#REF!,#REF!,#REF!,#REF!,#REF!,#REF!,#REF!,#REF!,#REF!,#REF!,#REF!,#REF!,#REF!,#REF!</definedName>
    <definedName name="__APW_RESTORE_DATA953__" hidden="1">#REF!,#REF!,#REF!,#REF!,#REF!,#REF!,#REF!,#REF!,#REF!,#REF!,#REF!,#REF!,#REF!,#REF!,#REF!</definedName>
    <definedName name="__APW_RESTORE_DATA954__" hidden="1">#REF!,#REF!,#REF!,#REF!,#REF!,#REF!,#REF!,#REF!,#REF!,#REF!,#REF!,#REF!,#REF!,#REF!,#REF!</definedName>
    <definedName name="__APW_RESTORE_DATA955__" hidden="1">#REF!,#REF!,#REF!,#REF!,#REF!,#REF!,#REF!,#REF!,#REF!,#REF!,#REF!,#REF!,#REF!,#REF!,#REF!</definedName>
    <definedName name="__APW_RESTORE_DATA956__" hidden="1">#REF!,#REF!,#REF!,#REF!,#REF!,#REF!,#REF!,#REF!,#REF!,#REF!,#REF!,#REF!,#REF!,#REF!,#REF!</definedName>
    <definedName name="__APW_RESTORE_DATA957__" hidden="1">#REF!,#REF!,#REF!,#REF!,#REF!,#REF!,#REF!,#REF!,#REF!,#REF!,#REF!,#REF!,#REF!,#REF!,#REF!</definedName>
    <definedName name="__APW_RESTORE_DATA958__" hidden="1">#REF!,#REF!,#REF!,#REF!,#REF!,#REF!,#REF!,#REF!,#REF!,#REF!,#REF!,#REF!,#REF!,#REF!,#REF!</definedName>
    <definedName name="__APW_RESTORE_DATA959__" hidden="1">#REF!,#REF!,#REF!,#REF!,#REF!,#REF!,#REF!,#REF!,#REF!,#REF!,#REF!,#REF!,#REF!,#REF!,#REF!</definedName>
    <definedName name="__APW_RESTORE_DATA96__" hidden="1">#REF!,#REF!,#REF!,#REF!,#REF!,#REF!,#REF!,#REF!,#REF!,#REF!,#REF!,#REF!,#REF!,#REF!,#REF!</definedName>
    <definedName name="__APW_RESTORE_DATA960__" hidden="1">#REF!,#REF!,#REF!,#REF!,#REF!,#REF!,#REF!,#REF!,#REF!,#REF!,#REF!,#REF!,#REF!,#REF!,#REF!</definedName>
    <definedName name="__APW_RESTORE_DATA961__" hidden="1">#REF!,#REF!,#REF!,#REF!,#REF!,#REF!,#REF!,#REF!,#REF!,#REF!,#REF!,#REF!,#REF!,#REF!,#REF!</definedName>
    <definedName name="__APW_RESTORE_DATA962__" hidden="1">#REF!,#REF!,#REF!,#REF!,#REF!,#REF!,#REF!,#REF!,#REF!,#REF!,#REF!,#REF!,#REF!,#REF!,#REF!</definedName>
    <definedName name="__APW_RESTORE_DATA963__" hidden="1">#REF!,#REF!,#REF!,#REF!,#REF!,#REF!,#REF!,#REF!,#REF!,#REF!,#REF!,#REF!,#REF!,#REF!,#REF!</definedName>
    <definedName name="__APW_RESTORE_DATA964__" hidden="1">#REF!,#REF!,#REF!,#REF!,#REF!,#REF!,#REF!,#REF!,#REF!,#REF!,#REF!,#REF!,#REF!,#REF!,#REF!</definedName>
    <definedName name="__APW_RESTORE_DATA965__" hidden="1">#REF!,#REF!,#REF!,#REF!,#REF!,#REF!,#REF!,#REF!,#REF!,#REF!,#REF!,#REF!,#REF!,#REF!,#REF!</definedName>
    <definedName name="__APW_RESTORE_DATA966__" hidden="1">#REF!,#REF!,#REF!,#REF!,#REF!,#REF!,#REF!,#REF!,#REF!,#REF!,#REF!,#REF!,#REF!,#REF!,#REF!</definedName>
    <definedName name="__APW_RESTORE_DATA967__" hidden="1">#REF!,#REF!,#REF!,#REF!,#REF!,#REF!,#REF!,#REF!,#REF!,#REF!,#REF!,#REF!,#REF!,#REF!,#REF!</definedName>
    <definedName name="__APW_RESTORE_DATA968__" hidden="1">#REF!,#REF!,#REF!,#REF!,#REF!,#REF!,#REF!,#REF!,#REF!,#REF!,#REF!,#REF!,#REF!,#REF!,#REF!</definedName>
    <definedName name="__APW_RESTORE_DATA969__" hidden="1">#REF!,#REF!,#REF!,#REF!,#REF!,#REF!</definedName>
    <definedName name="__APW_RESTORE_DATA97__" hidden="1">#REF!,#REF!,#REF!,#REF!,#REF!,#REF!,#REF!,#REF!,#REF!,#REF!,#REF!,#REF!,#REF!,#REF!,#REF!</definedName>
    <definedName name="__APW_RESTORE_DATA970__" hidden="1">#REF!,#REF!,#REF!,#REF!,#REF!,#REF!,#REF!,#REF!,#REF!,#REF!,#REF!,#REF!,#REF!,#REF!,#REF!,#REF!</definedName>
    <definedName name="__APW_RESTORE_DATA971__" hidden="1">#REF!,#REF!,#REF!,#REF!,#REF!,#REF!,#REF!,#REF!,#REF!,#REF!,#REF!,#REF!,#REF!,#REF!,#REF!,#REF!</definedName>
    <definedName name="__APW_RESTORE_DATA972__" hidden="1">#REF!,#REF!,#REF!,#REF!,#REF!,#REF!,#REF!,#REF!,#REF!,#REF!,#REF!,#REF!,#REF!,#REF!,#REF!,#REF!</definedName>
    <definedName name="__APW_RESTORE_DATA973__" hidden="1">#REF!,#REF!,#REF!,#REF!,#REF!,#REF!,#REF!,#REF!,#REF!,#REF!,#REF!,#REF!,#REF!,#REF!,#REF!,#REF!</definedName>
    <definedName name="__APW_RESTORE_DATA974__" hidden="1">#REF!,#REF!,#REF!,#REF!,#REF!,#REF!,#REF!,#REF!,#REF!,#REF!,#REF!,#REF!,#REF!,#REF!,#REF!,#REF!</definedName>
    <definedName name="__APW_RESTORE_DATA975__" hidden="1">#REF!,#REF!,#REF!,#REF!,#REF!,#REF!,#REF!,#REF!,#REF!,#REF!,#REF!,#REF!,#REF!,#REF!,#REF!,#REF!</definedName>
    <definedName name="__APW_RESTORE_DATA976__" hidden="1">#REF!,#REF!,#REF!,#REF!,#REF!,#REF!,#REF!,#REF!,#REF!,#REF!,#REF!,#REF!,#REF!,#REF!,#REF!</definedName>
    <definedName name="__APW_RESTORE_DATA977__" hidden="1">#REF!,#REF!,#REF!,#REF!,#REF!,#REF!,#REF!,#REF!,#REF!,#REF!,#REF!,#REF!,#REF!,#REF!,#REF!</definedName>
    <definedName name="__APW_RESTORE_DATA978__" hidden="1">#REF!,#REF!,#REF!,#REF!,#REF!,#REF!,#REF!,#REF!,#REF!,#REF!,#REF!,#REF!,#REF!,#REF!,#REF!</definedName>
    <definedName name="__APW_RESTORE_DATA979__" hidden="1">#REF!,#REF!,#REF!,#REF!,#REF!,#REF!,#REF!,#REF!,#REF!,#REF!,#REF!,#REF!,#REF!,#REF!,#REF!</definedName>
    <definedName name="__APW_RESTORE_DATA98__" hidden="1">#REF!,#REF!,#REF!,#REF!,#REF!,#REF!,#REF!,#REF!,#REF!,#REF!,#REF!,#REF!,#REF!,#REF!,#REF!</definedName>
    <definedName name="__APW_RESTORE_DATA980__" hidden="1">#REF!,#REF!,#REF!,#REF!,#REF!,#REF!,#REF!,#REF!,#REF!,#REF!,#REF!,#REF!,#REF!,#REF!,#REF!</definedName>
    <definedName name="__APW_RESTORE_DATA981__" hidden="1">#REF!,#REF!,#REF!,#REF!,#REF!,#REF!,#REF!,#REF!,#REF!,#REF!,#REF!,#REF!,#REF!,#REF!,#REF!</definedName>
    <definedName name="__APW_RESTORE_DATA982__" hidden="1">#REF!,#REF!,#REF!,#REF!,#REF!,#REF!,#REF!,#REF!,#REF!,#REF!,#REF!,#REF!,#REF!,#REF!,#REF!</definedName>
    <definedName name="__APW_RESTORE_DATA983__" hidden="1">#REF!,#REF!,#REF!,#REF!,#REF!,#REF!,#REF!,#REF!,#REF!,#REF!,#REF!,#REF!,#REF!,#REF!,#REF!</definedName>
    <definedName name="__APW_RESTORE_DATA984__" hidden="1">#REF!,#REF!,#REF!,#REF!,#REF!,#REF!,#REF!,#REF!,#REF!,#REF!,#REF!,#REF!,#REF!,#REF!,#REF!</definedName>
    <definedName name="__APW_RESTORE_DATA985__" hidden="1">#REF!,#REF!,#REF!,#REF!,#REF!,#REF!,#REF!,#REF!,#REF!,#REF!,#REF!,#REF!,#REF!,#REF!,#REF!</definedName>
    <definedName name="__APW_RESTORE_DATA986__" hidden="1">#REF!,#REF!,#REF!,#REF!,#REF!,#REF!,#REF!,#REF!,#REF!,#REF!,#REF!,#REF!,#REF!,#REF!,#REF!</definedName>
    <definedName name="__APW_RESTORE_DATA987__" hidden="1">#REF!,#REF!,#REF!,#REF!,#REF!,#REF!,#REF!,#REF!,#REF!,#REF!,#REF!,#REF!,#REF!,#REF!,#REF!</definedName>
    <definedName name="__APW_RESTORE_DATA988__" hidden="1">#REF!,#REF!,#REF!,#REF!,#REF!,#REF!,#REF!,#REF!,#REF!,#REF!,#REF!,#REF!,#REF!,#REF!,#REF!</definedName>
    <definedName name="__APW_RESTORE_DATA989__" hidden="1">#REF!,#REF!,#REF!,#REF!,#REF!,#REF!,#REF!,#REF!,#REF!,#REF!,#REF!,#REF!,#REF!,#REF!,#REF!</definedName>
    <definedName name="__APW_RESTORE_DATA99__" hidden="1">#REF!,#REF!,#REF!,#REF!,#REF!,#REF!,#REF!,#REF!,#REF!,#REF!,#REF!,#REF!,#REF!,#REF!,#REF!</definedName>
    <definedName name="__APW_RESTORE_DATA990__" hidden="1">#REF!,#REF!,#REF!,#REF!,#REF!,#REF!,#REF!,#REF!,#REF!,#REF!,#REF!,#REF!,#REF!,#REF!,#REF!</definedName>
    <definedName name="__APW_RESTORE_DATA991__" hidden="1">#REF!,#REF!,#REF!,#REF!,#REF!,#REF!,#REF!,#REF!,#REF!,#REF!,#REF!,#REF!,#REF!,#REF!,#REF!</definedName>
    <definedName name="__APW_RESTORE_DATA992__" hidden="1">#REF!,#REF!,#REF!,#REF!,#REF!,#REF!,#REF!,#REF!,#REF!,#REF!,#REF!,#REF!,#REF!,#REF!,#REF!</definedName>
    <definedName name="__APW_RESTORE_DATA993__" hidden="1">#REF!,#REF!,#REF!,#REF!,#REF!,#REF!,#REF!,#REF!,#REF!,#REF!,#REF!,#REF!,#REF!,#REF!,#REF!</definedName>
    <definedName name="__APW_RESTORE_DATA994__" hidden="1">#REF!,#REF!,#REF!,#REF!,#REF!,#REF!,#REF!,#REF!,#REF!,#REF!,#REF!,#REF!,#REF!,#REF!,#REF!</definedName>
    <definedName name="__APW_RESTORE_DATA995__" hidden="1">#REF!,#REF!,#REF!,#REF!,#REF!,#REF!,#REF!,#REF!,#REF!,#REF!,#REF!,#REF!,#REF!,#REF!,#REF!</definedName>
    <definedName name="__APW_RESTORE_DATA996__" hidden="1">#REF!,#REF!,#REF!,#REF!,#REF!,#REF!,#REF!,#REF!,#REF!,#REF!,#REF!,#REF!,#REF!,#REF!,#REF!</definedName>
    <definedName name="__APW_RESTORE_DATA997__" hidden="1">#REF!,#REF!,#REF!,#REF!,#REF!,#REF!,#REF!,#REF!,#REF!,#REF!,#REF!,#REF!,#REF!,#REF!,#REF!</definedName>
    <definedName name="__APW_RESTORE_DATA998__" hidden="1">#REF!,#REF!,#REF!,#REF!,#REF!,#REF!,#REF!,#REF!,#REF!,#REF!,#REF!,#REF!,#REF!,#REF!,#REF!</definedName>
    <definedName name="__APW_RESTORE_DATA999__" hidden="1">#REF!,#REF!,#REF!,#REF!,#REF!,#REF!,#REF!,#REF!,#REF!,#REF!,#REF!,#REF!,#REF!,#REF!,#REF!</definedName>
    <definedName name="__APW_RESTORE_HYPERLINK0__" hidden="1">#REF!</definedName>
    <definedName name="__APW_RESTORE_HYPERLINK1__" hidden="1">#REF!</definedName>
    <definedName name="__APW_RESTORE_HYPERLINK10__" hidden="1">#REF!</definedName>
    <definedName name="__APW_RESTORE_HYPERLINK100__" hidden="1">#REF!</definedName>
    <definedName name="__APW_RESTORE_HYPERLINK101__" hidden="1">#REF!</definedName>
    <definedName name="__APW_RESTORE_HYPERLINK102__" hidden="1">#REF!</definedName>
    <definedName name="__APW_RESTORE_HYPERLINK103__" hidden="1">#REF!</definedName>
    <definedName name="__APW_RESTORE_HYPERLINK104__" hidden="1">#REF!</definedName>
    <definedName name="__APW_RESTORE_HYPERLINK105__" hidden="1">#REF!</definedName>
    <definedName name="__APW_RESTORE_HYPERLINK106__" hidden="1">#REF!</definedName>
    <definedName name="__APW_RESTORE_HYPERLINK107__" hidden="1">#REF!</definedName>
    <definedName name="__APW_RESTORE_HYPERLINK108__" hidden="1">#REF!</definedName>
    <definedName name="__APW_RESTORE_HYPERLINK109__" hidden="1">#REF!</definedName>
    <definedName name="__APW_RESTORE_HYPERLINK11__" hidden="1">#REF!</definedName>
    <definedName name="__APW_RESTORE_HYPERLINK110__" hidden="1">#REF!</definedName>
    <definedName name="__APW_RESTORE_HYPERLINK111__" hidden="1">#REF!</definedName>
    <definedName name="__APW_RESTORE_HYPERLINK112__" hidden="1">#REF!</definedName>
    <definedName name="__APW_RESTORE_HYPERLINK113__" hidden="1">#REF!</definedName>
    <definedName name="__APW_RESTORE_HYPERLINK114__" hidden="1">#REF!</definedName>
    <definedName name="__APW_RESTORE_HYPERLINK115__" hidden="1">#REF!</definedName>
    <definedName name="__APW_RESTORE_HYPERLINK116__" hidden="1">#REF!</definedName>
    <definedName name="__APW_RESTORE_HYPERLINK117__" hidden="1">#REF!</definedName>
    <definedName name="__APW_RESTORE_HYPERLINK118__" hidden="1">#REF!</definedName>
    <definedName name="__APW_RESTORE_HYPERLINK12__" hidden="1">#REF!</definedName>
    <definedName name="__APW_RESTORE_HYPERLINK13__" hidden="1">#REF!</definedName>
    <definedName name="__APW_RESTORE_HYPERLINK14__" hidden="1">#REF!</definedName>
    <definedName name="__APW_RESTORE_HYPERLINK15__" hidden="1">#REF!</definedName>
    <definedName name="__APW_RESTORE_HYPERLINK16__" hidden="1">#REF!</definedName>
    <definedName name="__APW_RESTORE_HYPERLINK17__" hidden="1">#REF!</definedName>
    <definedName name="__APW_RESTORE_HYPERLINK18__" hidden="1">#REF!</definedName>
    <definedName name="__APW_RESTORE_HYPERLINK19__" hidden="1">#REF!</definedName>
    <definedName name="__APW_RESTORE_HYPERLINK2__" hidden="1">#REF!</definedName>
    <definedName name="__APW_RESTORE_HYPERLINK20__" hidden="1">#REF!</definedName>
    <definedName name="__APW_RESTORE_HYPERLINK21__" hidden="1">#REF!</definedName>
    <definedName name="__APW_RESTORE_HYPERLINK22__" hidden="1">#REF!</definedName>
    <definedName name="__APW_RESTORE_HYPERLINK23__" hidden="1">#REF!</definedName>
    <definedName name="__APW_RESTORE_HYPERLINK24__" hidden="1">#REF!</definedName>
    <definedName name="__APW_RESTORE_HYPERLINK25__" hidden="1">#REF!</definedName>
    <definedName name="__APW_RESTORE_HYPERLINK26__" hidden="1">#REF!</definedName>
    <definedName name="__APW_RESTORE_HYPERLINK27__" hidden="1">#REF!</definedName>
    <definedName name="__APW_RESTORE_HYPERLINK28__" hidden="1">#REF!</definedName>
    <definedName name="__APW_RESTORE_HYPERLINK29__" hidden="1">#REF!</definedName>
    <definedName name="__APW_RESTORE_HYPERLINK3__" hidden="1">#REF!</definedName>
    <definedName name="__APW_RESTORE_HYPERLINK30__" hidden="1">#REF!</definedName>
    <definedName name="__APW_RESTORE_HYPERLINK31__" hidden="1">#REF!</definedName>
    <definedName name="__APW_RESTORE_HYPERLINK32__" hidden="1">#REF!</definedName>
    <definedName name="__APW_RESTORE_HYPERLINK33__" hidden="1">#REF!</definedName>
    <definedName name="__APW_RESTORE_HYPERLINK34__" hidden="1">#REF!</definedName>
    <definedName name="__APW_RESTORE_HYPERLINK35__" hidden="1">#REF!</definedName>
    <definedName name="__APW_RESTORE_HYPERLINK36__" hidden="1">#REF!</definedName>
    <definedName name="__APW_RESTORE_HYPERLINK37__" hidden="1">#REF!</definedName>
    <definedName name="__APW_RESTORE_HYPERLINK38__" hidden="1">#REF!</definedName>
    <definedName name="__APW_RESTORE_HYPERLINK39__" hidden="1">#REF!</definedName>
    <definedName name="__APW_RESTORE_HYPERLINK4__" hidden="1">#REF!</definedName>
    <definedName name="__APW_RESTORE_HYPERLINK40__" hidden="1">#REF!</definedName>
    <definedName name="__APW_RESTORE_HYPERLINK41__" hidden="1">#REF!</definedName>
    <definedName name="__APW_RESTORE_HYPERLINK42__" hidden="1">#REF!</definedName>
    <definedName name="__APW_RESTORE_HYPERLINK43__" hidden="1">#REF!</definedName>
    <definedName name="__APW_RESTORE_HYPERLINK44__" hidden="1">#REF!</definedName>
    <definedName name="__APW_RESTORE_HYPERLINK45__" hidden="1">#REF!</definedName>
    <definedName name="__APW_RESTORE_HYPERLINK46__" hidden="1">#REF!</definedName>
    <definedName name="__APW_RESTORE_HYPERLINK47__" hidden="1">#REF!</definedName>
    <definedName name="__APW_RESTORE_HYPERLINK48__" hidden="1">#REF!</definedName>
    <definedName name="__APW_RESTORE_HYPERLINK49__" hidden="1">#REF!</definedName>
    <definedName name="__APW_RESTORE_HYPERLINK5__" hidden="1">#REF!</definedName>
    <definedName name="__APW_RESTORE_HYPERLINK50__" hidden="1">#REF!</definedName>
    <definedName name="__APW_RESTORE_HYPERLINK51__" hidden="1">#REF!</definedName>
    <definedName name="__APW_RESTORE_HYPERLINK52__" hidden="1">#REF!</definedName>
    <definedName name="__APW_RESTORE_HYPERLINK53__" hidden="1">#REF!</definedName>
    <definedName name="__APW_RESTORE_HYPERLINK54__" hidden="1">#REF!</definedName>
    <definedName name="__APW_RESTORE_HYPERLINK55__" hidden="1">#REF!</definedName>
    <definedName name="__APW_RESTORE_HYPERLINK56__" hidden="1">#REF!</definedName>
    <definedName name="__APW_RESTORE_HYPERLINK57__" hidden="1">#REF!</definedName>
    <definedName name="__APW_RESTORE_HYPERLINK58__" hidden="1">#REF!</definedName>
    <definedName name="__APW_RESTORE_HYPERLINK59__" hidden="1">#REF!</definedName>
    <definedName name="__APW_RESTORE_HYPERLINK6__" hidden="1">#REF!</definedName>
    <definedName name="__APW_RESTORE_HYPERLINK60__" hidden="1">#REF!</definedName>
    <definedName name="__APW_RESTORE_HYPERLINK61__" hidden="1">#REF!</definedName>
    <definedName name="__APW_RESTORE_HYPERLINK62__" hidden="1">#REF!</definedName>
    <definedName name="__APW_RESTORE_HYPERLINK63__" hidden="1">#REF!</definedName>
    <definedName name="__APW_RESTORE_HYPERLINK64__" hidden="1">#REF!</definedName>
    <definedName name="__APW_RESTORE_HYPERLINK65__" hidden="1">#REF!</definedName>
    <definedName name="__APW_RESTORE_HYPERLINK66__" hidden="1">#REF!</definedName>
    <definedName name="__APW_RESTORE_HYPERLINK67__" hidden="1">#REF!</definedName>
    <definedName name="__APW_RESTORE_HYPERLINK68__" hidden="1">#REF!</definedName>
    <definedName name="__APW_RESTORE_HYPERLINK69__" hidden="1">#REF!</definedName>
    <definedName name="__APW_RESTORE_HYPERLINK7__" hidden="1">#REF!</definedName>
    <definedName name="__APW_RESTORE_HYPERLINK70__" hidden="1">#REF!</definedName>
    <definedName name="__APW_RESTORE_HYPERLINK71__" hidden="1">#REF!</definedName>
    <definedName name="__APW_RESTORE_HYPERLINK72__" hidden="1">#REF!</definedName>
    <definedName name="__APW_RESTORE_HYPERLINK73__" hidden="1">#REF!</definedName>
    <definedName name="__APW_RESTORE_HYPERLINK74__" hidden="1">#REF!</definedName>
    <definedName name="__APW_RESTORE_HYPERLINK75__" hidden="1">#REF!</definedName>
    <definedName name="__APW_RESTORE_HYPERLINK76__" hidden="1">#REF!</definedName>
    <definedName name="__APW_RESTORE_HYPERLINK77__" hidden="1">#REF!</definedName>
    <definedName name="__APW_RESTORE_HYPERLINK78__" hidden="1">#REF!</definedName>
    <definedName name="__APW_RESTORE_HYPERLINK79__" hidden="1">#REF!</definedName>
    <definedName name="__APW_RESTORE_HYPERLINK8__" hidden="1">#REF!</definedName>
    <definedName name="__APW_RESTORE_HYPERLINK80__" hidden="1">#REF!</definedName>
    <definedName name="__APW_RESTORE_HYPERLINK81__" hidden="1">#REF!</definedName>
    <definedName name="__APW_RESTORE_HYPERLINK82__" hidden="1">#REF!</definedName>
    <definedName name="__APW_RESTORE_HYPERLINK83__" hidden="1">#REF!</definedName>
    <definedName name="__APW_RESTORE_HYPERLINK84__" hidden="1">#REF!</definedName>
    <definedName name="__APW_RESTORE_HYPERLINK85__" hidden="1">#REF!</definedName>
    <definedName name="__APW_RESTORE_HYPERLINK86__" hidden="1">#REF!</definedName>
    <definedName name="__APW_RESTORE_HYPERLINK87__" hidden="1">#REF!</definedName>
    <definedName name="__APW_RESTORE_HYPERLINK88__" hidden="1">#REF!</definedName>
    <definedName name="__APW_RESTORE_HYPERLINK89__" hidden="1">#REF!</definedName>
    <definedName name="__APW_RESTORE_HYPERLINK9__" hidden="1">#REF!</definedName>
    <definedName name="__APW_RESTORE_HYPERLINK90__" hidden="1">#REF!</definedName>
    <definedName name="__APW_RESTORE_HYPERLINK91__" hidden="1">#REF!</definedName>
    <definedName name="__APW_RESTORE_HYPERLINK92__" hidden="1">#REF!</definedName>
    <definedName name="__APW_RESTORE_HYPERLINK93__" hidden="1">#REF!</definedName>
    <definedName name="__APW_RESTORE_HYPERLINK94__" hidden="1">#REF!</definedName>
    <definedName name="__APW_RESTORE_HYPERLINK95__" hidden="1">#REF!</definedName>
    <definedName name="__APW_RESTORE_HYPERLINK96__" hidden="1">#REF!</definedName>
    <definedName name="__APW_RESTORE_HYPERLINK97__" hidden="1">#REF!</definedName>
    <definedName name="__APW_RESTORE_HYPERLINK98__" hidden="1">#REF!</definedName>
    <definedName name="__APW_RESTORE_HYPERLINK99__" hidden="1">#REF!</definedName>
    <definedName name="__aro30" hidden="1">{#N/A,#N/A,FALSE,"Staffnos &amp; cost"}</definedName>
    <definedName name="__art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_ASS6434"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_b1" hidden="1">Word</definedName>
    <definedName name="__b111" hidden="1">{#N/A,#N/A,FALSE,"Pharm";#N/A,#N/A,FALSE,"WWCM"}</definedName>
    <definedName name="__b18" hidden="1">{"Tages_D",#N/A,FALSE,"Tagesbericht";"Tages_PL",#N/A,FALSE,"Tagesbericht"}</definedName>
    <definedName name="__b19" hidden="1">{"Tages_D",#N/A,FALSE,"Tagesbericht";"Tages_PL",#N/A,FALSE,"Tagesbericht"}</definedName>
    <definedName name="_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BIO1" hidden="1">{"toc1",#N/A,FALSE,"TOC";"cover",#N/A,FALSE,"Cover";"ts1",#N/A,FALSE,"Transaction Summary";"ei3",#N/A,FALSE,"Earnings Impact";"ad3",#N/A,FALSE,"accretion dilution"}</definedName>
    <definedName name="__bud3" hidden="1">{"budget95",#N/A,TRUE,"Tabelle1";"Tab1",#N/A,TRUE,"Tabelle2"}</definedName>
    <definedName name="__c" hidden="1">{"budget95",#N/A,TRUE,"Tabelle1";"Tab1",#N/A,TRUE,"Tabelle2"}</definedName>
    <definedName name="__CAP10" hidden="1">{"LC",#N/A,FALSE,"FC-15 Cap Expend"}</definedName>
    <definedName name="__Co50" hidden="1">{#N/A,"DR",FALSE,"increm pf";#N/A,"MAMSI",FALSE,"increm pf";#N/A,"MAXI",FALSE,"increm pf";#N/A,"PCAM",FALSE,"increm pf";#N/A,"PHSV",FALSE,"increm pf";#N/A,"SIE",FALSE,"increm pf"}</definedName>
    <definedName name="__cum1" hidden="1">{"SCM_Detail",#N/A,FALSE,"SCM";"SCM_Top",#N/A,FALSE,"SCM"}</definedName>
    <definedName name="__CuN3" hidden="1">{#N/A,#N/A,FALSE,"WOBE_DE.XLS";#N/A,#N/A,FALSE,"WOB_1.XLS";#N/A,#N/A,FALSE,"WOB_2.XLS";#N/A,#N/A,FALSE,"WOB_3.XLS";#N/A,#N/A,FALSE,"WOB_4.XLS";#N/A,#N/A,FALSE,"WOB_5.XLS"}</definedName>
    <definedName name="__d1" hidden="1">{#N/A,#N/A,FALSE,"bel";#N/A,#N/A,FALSE,"neth"}</definedName>
    <definedName name="_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_DCF1" hidden="1">{#N/A,#N/A,FALSE,"DCF Summary";#N/A,#N/A,FALSE,"Casema";#N/A,#N/A,FALSE,"Casema NoTel";#N/A,#N/A,FALSE,"UK";#N/A,#N/A,FALSE,"RCF";#N/A,#N/A,FALSE,"Intercable CZ";#N/A,#N/A,FALSE,"Interkabel P"}</definedName>
    <definedName name="__DF4" hidden="1">#REF!</definedName>
    <definedName name="_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DP6434" hidden="1">{"TOTALDPAK",#N/A,FALSE,"DPAK PRODUCTION";"HADPAK",#N/A,FALSE,"DPAK PRODUCTION";"PSIDPAK",#N/A,FALSE,"DPAK PRODUCTION"}</definedName>
    <definedName name="__dsd1"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__dwa1" hidden="1">{#N/A,"PURCHM",FALSE,"Business Analysis";#N/A,"SPADD",FALSE,"Business Analysis"}</definedName>
    <definedName name="__eo2" hidden="1">{"'B1'!$B$3:$E$3"}</definedName>
    <definedName name="__eo4" hidden="1">{"'B1'!$B$3:$E$3"}</definedName>
    <definedName name="__eu93" hidden="1">{"Comp_of_Price_Effect",#N/A,FALSE,"QTRDPVAR"}</definedName>
    <definedName name="__ew10" hidden="1">{"'B1'!$B$3:$E$3"}</definedName>
    <definedName name="__ew2" hidden="1">{"'B1'!$B$3:$E$3"}</definedName>
    <definedName name="__ew3" hidden="1">{"'B1'!$B$3:$E$3"}</definedName>
    <definedName name="__ew4" hidden="1">{"'B1'!$B$3:$E$3"}</definedName>
    <definedName name="__ew5" hidden="1">{"'B1'!$B$3:$E$3"}</definedName>
    <definedName name="__ew6" hidden="1">{"'B1'!$B$3:$E$3"}</definedName>
    <definedName name="__ew8" hidden="1">{"'B1'!$B$3:$E$3"}</definedName>
    <definedName name="_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_FA26434" hidden="1">{"TOTALFAB",#N/A,FALSE,"WAFER FAB 2 EXPENSE";"FABPRODUCTION",#N/A,FALSE,"WAFER FAB 2 EXPENSE";"FABENGINEERING",#N/A,FALSE,"WAFER FAB 2 EXPENSE";"FABEQUIPSUPPORT",#N/A,FALSE,"WAFER FAB 2 EXPENSE";"FABPRODUCTLINE",#N/A,FALSE,"WAFER FAB 2 EXPENSE";"FABMATERIALS",#N/A,FALSE,"WAFER FAB 2 EXPENSE"}</definedName>
    <definedName name="__FA96434" hidden="1">{"TOTALFAB",#N/A,FALSE,"WAFER FAB 2 EXPENSE";"FABPRODUCTION",#N/A,FALSE,"WAFER FAB 2 EXPENSE";"FABENGINEERING",#N/A,FALSE,"WAFER FAB 2 EXPENSE";"FABEQUIPSUPPORT",#N/A,FALSE,"WAFER FAB 2 EXPENSE";"FABPRODUCTLINE",#N/A,FALSE,"WAFER FAB 2 EXPENSE";"FABMATERIALS",#N/A,FALSE,"WAFER FAB 2 EXPENSE"}</definedName>
    <definedName name="__FAC6434" hidden="1">{"TOTAL",#N/A,FALSE,"FACILITIES EXPENSE";"TOTALDETAIL",#N/A,FALSE,"FACILITIES EXPENSE";"MATERIALS",#N/A,FALSE,"FACILITIES EXPENSE";"FACILITIES",#N/A,FALSE,"FACILITIES EXPENSE";"CHEM",#N/A,FALSE,"FACILITIES EXPENSE";"GENSVC",#N/A,FALSE,"FACILITIES EXPENSE";"SAFETY",#N/A,FALSE,"FACILITIES EXPENSE"}</definedName>
    <definedName name="__FDS_HYPERLINK_TOGGLE_STATE__" hidden="1">"ON"</definedName>
    <definedName name="__FDS_UNIQUE_RANGE_ID_GENERATOR_COUNTER" hidden="1">2</definedName>
    <definedName name="__FDS_USED_FOR_REUSING_RANGE_IDS_RECYCLE" hidden="1">{2129,1901,1644,1624,1795,2136,2137}</definedName>
    <definedName name="__fy97" hidden="1">{#N/A,#N/A,FALSE,"FY97";#N/A,#N/A,FALSE,"FY98";#N/A,#N/A,FALSE,"FY99";#N/A,#N/A,FALSE,"FY00";#N/A,#N/A,FALSE,"FY01"}</definedName>
    <definedName name="__G1" hidden="1">{"'Future Reviews'!$A$1:$D$58"}</definedName>
    <definedName name="__gh1" hidden="1">{"'Data'!$A$1:$D$17"}</definedName>
    <definedName name="__guv1" hidden="1">{"K GuV o. Kommentar",#N/A,FALSE,"Kaufhof"}</definedName>
    <definedName name="__guv3" hidden="1">{"K GuV o. Kommentar",#N/A,FALSE,"Kaufhof"}</definedName>
    <definedName name="__hk01" hidden="1">{"budget95",#N/A,TRUE,"Tabelle1";"Tab1",#N/A,TRUE,"Tabelle2"}</definedName>
    <definedName name="__i3" hidden="1">{"vue1",#N/A,FALSE,"synthese";"vue2",#N/A,FALSE,"synthese"}</definedName>
    <definedName name="__IntlFixup" hidden="1">TRUE</definedName>
    <definedName name="__IntlFixupTable" hidden="1">#REF!</definedName>
    <definedName name="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3" hidden="1">#REF!</definedName>
    <definedName name="__LG2" hidden="1">{#N/A,#N/A,TRUE,"매출진척-1";#N/A,#N/A,TRUE,"매출진척-2";#N/A,#N/A,TRUE,"제품실적";#N/A,#N/A,TRUE,"RAC";#N/A,#N/A,TRUE,"PAC ";#N/A,#N/A,TRUE,"재고현황";#N/A,#N/A,TRUE,"공지사항"}</definedName>
    <definedName name="__M6" hidden="1">{"SUMM",#N/A,TRUE,"C";"ACT_PROD",#N/A,TRUE,"A";"ACT_SHIP",#N/A,TRUE,"A";"BP_YLD",#N/A,TRUE,"B";"ACTZ_PROD",#N/A,TRUE,"D";"ACTZ_SHIP",#N/A,TRUE,"D";"ACTZ_YLD",#N/A,TRUE,"E";"CPSI_PROD",#N/A,TRUE,"F";"CPSI_SHIP",#N/A,TRUE,"F"}</definedName>
    <definedName name="__Mar08" hidden="1">{#N/A,#N/A,FALSE,"Aging Summary";#N/A,#N/A,FALSE,"Ratio Analysis";#N/A,#N/A,FALSE,"Test 120 Day Accts";#N/A,#N/A,FALSE,"Tickmarks"}</definedName>
    <definedName name="__mno9" hidden="1">{"detail",#N/A,FALSE,"mfg";"summary",#N/A,FALSE,"mfg"}</definedName>
    <definedName name="__mw2" hidden="1">{"budget95",#N/A,TRUE,"Tabelle1";"Tab1",#N/A,TRUE,"Tabelle2"}</definedName>
    <definedName name="__mw3" hidden="1">{"budget95",#N/A,TRUE,"Tabelle1";"Tab1",#N/A,TRUE,"Tabelle2"}</definedName>
    <definedName name="__n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__na2" hidden="1">{"'SIVA Pricing Model'!$A$1:$F$39"}</definedName>
    <definedName name="__na3" hidden="1">{"'SIVA Pricing Model'!$A$1:$F$39"}</definedName>
    <definedName name="__new1" hidden="1">{#N/A,#N/A,FALSE,"Pharm";#N/A,#N/A,FALSE,"WWCM"}</definedName>
    <definedName name="__New2" hidden="1">{"ROIC",#N/A,FALSE,"ROIC";"Graphs",#N/A,FALSE,"TY analysis";"fcf",#N/A,FALSE,"FCF";"Matrix_2004",#N/A,FALSE,"MATRIX(2004)";"matrix_2008",#N/A,FALSE,"MATRIX(2008)";"FS_Condensed",#N/A,FALSE,"Financial Statements2";"TAXES",#N/A,FALSE,"Taxes";"DEBT_INVEST",#N/A,FALSE,"Debt&amp;Investment Schedule";"Main_menu",#N/A,FALSE,"Main Menu"}</definedName>
    <definedName name="__new3" hidden="1">{"FY98Q1 nvs",#N/A,FALSE,"FY98 - Q1";"FY98Q2 nvs",#N/A,FALSE,"FY98 - Q2";"FY98Q3 nvs",#N/A,FALSE,"FY98 - Q3";"FY98Q4 nvs",#N/A,FALSE,"FY98 - Q4"}</definedName>
    <definedName name="__new4" hidden="1">{"INPUT",#N/A,FALSE,"REVENUE AND GM ";"CONTROL",#N/A,FALSE,"REVENUE AND GM ";"SWITCH",#N/A,FALSE,"REVENUE AND GM ";"OUTPUT",#N/A,FALSE,"REVENUE AND GM ";"TOTAL",#N/A,FALSE,"REVENUE AND GM "}</definedName>
    <definedName name="__new5" hidden="1">{"FY97Total",#N/A,FALSE,"FY97 - Total";"FY98Total",#N/A,FALSE,"FY98 - Total"}</definedName>
    <definedName name="__new6" hidden="1">{"FY97Q1",#N/A,FALSE,"FY97 - Q1";"FY97Q2",#N/A,FALSE,"FY97 - Q2";"FY97Q3",#N/A,FALSE,"FY97 - Q3";"FY97Q4",#N/A,FALSE,"FY97 - Q4"}</definedName>
    <definedName name="__o1" hidden="1">{#N/A,#N/A,FALSE,"SUMMARY";#N/A,#N/A,FALSE,"mcsh";#N/A,#N/A,FALSE,"vol&amp;rev";#N/A,#N/A,FALSE,"wkgcap";#N/A,#N/A,FALSE,"DEPR&amp;DT";#N/A,#N/A,FALSE,"ASSETS";#N/A,#N/A,FALSE,"NI&amp;OTH&amp;DIV";#N/A,#N/A,FALSE,"CASHFLOW";#N/A,#N/A,FALSE,"CAPEMPL";#N/A,#N/A,FALSE,"ROCE"}</definedName>
    <definedName name="__old3" hidden="1">{0,FALSE,4.45014771701848E-308,0}</definedName>
    <definedName name="__OSX2" hidden="1">{"Area1",#N/A,FALSE,"OREWACC";"Area2",#N/A,FALSE,"OREWACC"}</definedName>
    <definedName name="__P2" hidden="1">{#N/A,#N/A,FALSE,"단축1";#N/A,#N/A,FALSE,"단축2";#N/A,#N/A,FALSE,"단축3";#N/A,#N/A,FALSE,"장축";#N/A,#N/A,FALSE,"4WD"}</definedName>
    <definedName name="__q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_q234" hidden="1">#N/A</definedName>
    <definedName name="__q3" hidden="1">#REF!</definedName>
    <definedName name="__QR6434" hidden="1">{"QAEXPENSE",#N/A,FALSE,"QUALITY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_r" hidden="1">{"consolidated",#N/A,FALSE,"Sheet1";"cms",#N/A,FALSE,"Sheet1";"fse",#N/A,FALSE,"Sheet1"}</definedName>
    <definedName name="__r78ri"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_r7irro"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s" hidden="1">{"SCM_Detail",#N/A,FALSE,"SCM";"SCM_Top",#N/A,FALSE,"SCM"}</definedName>
    <definedName name="__s1" hidden="1">#N/A</definedName>
    <definedName name="__s2" hidden="1">#N/A</definedName>
    <definedName name="__s3" hidden="1">#N/A</definedName>
    <definedName name="__s34" hidden="1">{"QTD_GENERALH2",#N/A,FALSE,"QTD"}</definedName>
    <definedName name="__s4" hidden="1">#N/A</definedName>
    <definedName name="__s5" hidden="1">#N/A</definedName>
    <definedName name="__s6" hidden="1">#N/A</definedName>
    <definedName name="__sd34" hidden="1">{"QTD",#N/A,FALSE,"SUM"}</definedName>
    <definedName name="__SDW1" hidden="1">#REF!</definedName>
    <definedName name="__sdy001" hidden="1">{#N/A,#N/A,FALSE,"PrintM"}</definedName>
    <definedName name="__sdy01" hidden="1">{#N/A,#N/A,FALSE,"PrintM"}</definedName>
    <definedName name="__sdy1" hidden="1">{#N/A,#N/A,FALSE,"PrintM"}</definedName>
    <definedName name="__t1" hidden="1">{#N/A,#N/A,FALSE,"1996PL";#N/A,#N/A,FALSE,"1997PL";#N/A,#N/A,FALSE,"1998PL";#N/A,#N/A,FALSE,"1999PL"}</definedName>
    <definedName name="__T2" hidden="1">{#N/A,#N/A,FALSE,"단축1";#N/A,#N/A,FALSE,"단축2";#N/A,#N/A,FALSE,"단축3";#N/A,#N/A,FALSE,"장축";#N/A,#N/A,FALSE,"4WD"}</definedName>
    <definedName name="__T3" hidden="1">{#N/A,#N/A,FALSE,"단축1";#N/A,#N/A,FALSE,"단축2";#N/A,#N/A,FALSE,"단축3";#N/A,#N/A,FALSE,"장축";#N/A,#N/A,FALSE,"4WD"}</definedName>
    <definedName name="__T5" hidden="1">{#N/A,#N/A,FALSE,"단축1";#N/A,#N/A,FALSE,"단축2";#N/A,#N/A,FALSE,"단축3";#N/A,#N/A,FALSE,"장축";#N/A,#N/A,FALSE,"4WD"}</definedName>
    <definedName name="__TEM6434" hidden="1">{"ALLOCATION1",#N/A,FALSE,"EXPENSE ALLOCATIONS";"ALLOCATION2",#N/A,FALSE,"EXPENSE ALLOCATIONS";"ALLOCATION3",#N/A,FALSE,"EXPENSE ALLOCATIONS";"ALLOCATION4",#N/A,FALSE,"EXPENSE ALLOCATIONS"}</definedName>
    <definedName name="__tes2" hidden="1">{"'Expense Details'!$A$1:$AM$222"}</definedName>
    <definedName name="__Tes6" hidden="1">{"'SIVA Pricing Model'!$A$1:$F$39"}</definedName>
    <definedName name="__tm1" hidden="1">{#N/A,#N/A,FALSE,"Pharm";#N/A,#N/A,FALSE,"WWCM"}</definedName>
    <definedName name="__tom11" hidden="1">{"'Demand Units'!$Z$2:$AF$53"}</definedName>
    <definedName name="__tu7" hidden="1">{"sales",#N/A,FALSE,"Sales";"sales existing",#N/A,FALSE,"Sales";"sales rd1",#N/A,FALSE,"Sales";"sales rd2",#N/A,FALSE,"Sales"}</definedName>
    <definedName name="__u18" hidden="1">{"Tages_D",#N/A,FALSE,"Tagesbericht";"Tages_PL",#N/A,FALSE,"Tagesbericht"}</definedName>
    <definedName name="__u20" hidden="1">{"fleisch",#N/A,FALSE,"WG HK";"food",#N/A,FALSE,"WG HK";"hartwaren",#N/A,FALSE,"WG HK";"weichwaren",#N/A,FALSE,"WG HK"}</definedName>
    <definedName name="__wer33" hidden="1">{"cover",#N/A,TRUE,"Cover";"toc5",#N/A,TRUE,"TOC";"over",#N/A,TRUE,"Overview";"ts2",#N/A,TRUE,"Det_Trans_Sum";"ei1",#N/A,TRUE,"Earnings Impact";"ad1",#N/A,TRUE,"accretion dilution";"pfis1",#N/A,TRUE,"Pro Forma Income Statement";"ca1",#N/A,TRUE,"Contribution_Analysis";"acq1",#N/A,TRUE,"Acquirer";"tar1",#N/A,TRUE,"Target"}</definedName>
    <definedName name="__wr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_wrm3" hidden="1">{"vue1",#N/A,FALSE,"synthese";"vue2",#N/A,FALSE,"synthese"}</definedName>
    <definedName name="__wrn02" hidden="1">{#N/A,#N/A,FALSE,"Sheet2"}</definedName>
    <definedName name="__wrn1" hidden="1">{#N/A,#N/A,FALSE,"DCF";#N/A,#N/A,FALSE,"WACC";#N/A,#N/A,FALSE,"Sales_EBIT";#N/A,#N/A,FALSE,"Capex_Depreciation";#N/A,#N/A,FALSE,"WC";#N/A,#N/A,FALSE,"Interest";#N/A,#N/A,FALSE,"Assumptions"}</definedName>
    <definedName name="__wrn2" hidden="1">{"vue1",#N/A,FALSE,"synthese";"vue2",#N/A,FALSE,"synthese"}</definedName>
    <definedName name="__wrn3" hidden="1">{"vue1",#N/A,FALSE,"synthese";"vue2",#N/A,FALSE,"synthese"}</definedName>
    <definedName name="__ww2" hidden="1">{#N/A,#N/A,FALSE,"Admin";#N/A,#N/A,FALSE,"Other"}</definedName>
    <definedName name="__x1" hidden="1">{"detail",#N/A,FALSE,"mfg";"summary",#N/A,FALSE,"mfg"}</definedName>
    <definedName name="__X2" hidden="1">{#N/A,#N/A,FALSE,"Other";#N/A,#N/A,FALSE,"Ace";#N/A,#N/A,FALSE,"Derm"}</definedName>
    <definedName name="__x3" hidden="1">{"detail",#N/A,FALSE,"mfg";"summary",#N/A,FALSE,"mfg"}</definedName>
    <definedName name="__x4" hidden="1">{#N/A,"PURCHM",FALSE,"Business Analysis";#N/A,"SPADD",FALSE,"Business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_XG2" hidden="1">{#N/A,#N/A,FALSE,"단축1";#N/A,#N/A,FALSE,"단축2";#N/A,#N/A,FALSE,"단축3";#N/A,#N/A,FALSE,"장축";#N/A,#N/A,FALSE,"4WD"}</definedName>
    <definedName name="__xx10" hidden="1">{#N/A,"PURCHM",FALSE,"Business Analysis";#N/A,"SPADD",FALSE,"Business Analysis"}</definedName>
    <definedName name="__xx3" hidden="1">{"detail",#N/A,FALSE,"mfg";"summary",#N/A,FALSE,"mfg"}</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hidden="1">{"oct_res_comm",#N/A,FALSE,"VarToBud"}</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hidden="1">{"AS REP",#N/A,FALSE,"EEFSNAP2";"PROP",#N/A,FALSE,"EEFSNAP2";"RISKS",#N/A,FALSE,"EEFSNAP2";"VIEW ALL",#N/A,FALSE,"EEFSNAP2"}</definedName>
    <definedName name="__z" hidden="1">{"mgmt forecast",#N/A,FALSE,"Mgmt Forecast";"dcf table",#N/A,FALSE,"Mgmt Forecast";"sensitivity",#N/A,FALSE,"Mgmt Forecast";"table inputs",#N/A,FALSE,"Mgmt Forecast";"calculations",#N/A,FALSE,"Mgmt Forecast"}</definedName>
    <definedName name="__z10" hidden="1">{"'Future Reviews'!$A$1:$D$58"}</definedName>
    <definedName name="__z11" hidden="1">{"'Future Reviews'!$A$1:$D$58"}</definedName>
    <definedName name="__z12" hidden="1">{"'Future Reviews'!$A$1:$D$58"}</definedName>
    <definedName name="__z13" hidden="1">{"'Future Reviews'!$A$1:$D$58"}</definedName>
    <definedName name="__z2" hidden="1">{"'Future Reviews'!$A$1:$D$58"}</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hidden="1">{"detail",#N/A,FALSE,"mfg";"summary",#N/A,FALSE,"mfg"}</definedName>
    <definedName name="__z3" hidden="1">{"'Future Reviews'!$A$1:$D$58"}</definedName>
    <definedName name="__z4" hidden="1">{"'Future Reviews'!$A$1:$D$58"}</definedName>
    <definedName name="__z5" hidden="1">{"'Future Reviews'!$A$1:$D$58"}</definedName>
    <definedName name="__z6" hidden="1">{"'Future Reviews'!$A$1:$D$58"}</definedName>
    <definedName name="__z7" hidden="1">{"'Future Reviews'!$A$1:$D$58"}</definedName>
    <definedName name="__z8" hidden="1">{"'Future Reviews'!$A$1:$D$58"}</definedName>
    <definedName name="__z9" hidden="1">{"'Future Reviews'!$A$1:$D$58"}</definedName>
    <definedName name="__zz1" hidden="1">{"pro_view",#N/A,FALSE,"EEFSNAP2";"rep_view",#N/A,FALSE,"EEFSNAP2"}</definedName>
    <definedName name="__zz2" hidden="1">{#N/A,"PURADD",FALSE,"Business Analysis";#N/A,"PURSPP",FALSE,"Business Analysis";#N/A,"CTGIND",FALSE,"Business Analysis";#N/A,"PURCHM",FALSE,"Business Analysis";#N/A,"SPADD",FALSE,"Business Analysis";#N/A,"EPOXY",FALSE,"Business Analysis";#N/A,"PURPER",FALSE,"Business Analysis"}</definedName>
    <definedName name="_1__123Graph_A__MW_VS_HR" hidden="1">#REF!</definedName>
    <definedName name="_1__123Graph_ACHART_1" hidden="1">#REF!</definedName>
    <definedName name="_1__123Graph_AChart_1A" hidden="1">#REF!</definedName>
    <definedName name="_1__FDSAUDITLINK__" hidden="1">{"fdsup://directions/FAT Viewer?action=UPDATE&amp;creator=factset&amp;DYN_ARGS=TRUE&amp;DOC_NAME=FAT:FQL_AUDITING_CLIENT_TEMPLATE.FAT&amp;display_string=Audit&amp;VAR:KEY=RUVWZSXWJY&amp;VAR:QUERY=RkZfRU5UUlBSX1ZBTF9EQUlMWSgtNkFNLC02QU0sLCwsJ0RJTCcp&amp;WINDOW=FIRST_POPUP&amp;HEIGHT=450&amp;WI","DTH=450&amp;START_MAXIMIZED=FALSE&amp;VAR:CALENDAR=FIVEDAY&amp;VAR:SYMBOL=B1HMC7&amp;VAR:INDEX=0"}</definedName>
    <definedName name="_1_0_0_K" hidden="1">#REF!</definedName>
    <definedName name="_10__123Graph_ACHART_1" hidden="1">#N/A</definedName>
    <definedName name="_10__123Graph_BCAPITAL_BY_OEM" hidden="1">#REF!</definedName>
    <definedName name="_10__123Graph_BCHART_2" hidden="1">#REF!</definedName>
    <definedName name="_10__123Graph_BCHART_3" hidden="1">#REF!</definedName>
    <definedName name="_10__123Graph_BCHART_4" hidden="1">#REF!</definedName>
    <definedName name="_10__123Graph_CCHART_1" hidden="1">#REF!</definedName>
    <definedName name="_10__123Graph_CCHART_3" hidden="1">#REF!</definedName>
    <definedName name="_10__123Graph_DChart_2A" hidden="1">#REF!</definedName>
    <definedName name="_10__123Graph_LBL_ACHART_2" hidden="1">#REF!</definedName>
    <definedName name="_10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00__123Graph_DCHART_4" hidden="1">#N/A</definedName>
    <definedName name="_100__123Graph_Dｸﾞﾗﾌ_2" hidden="1">#REF!</definedName>
    <definedName name="_100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01__123Graph_DCHART_6" hidden="1">#N/A</definedName>
    <definedName name="_101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013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14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15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16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17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18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19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__123Graph_DCHART_7" hidden="1">#N/A</definedName>
    <definedName name="_102__123Graph_Dｸﾞﾗﾌ_3" hidden="1">#REF!</definedName>
    <definedName name="_102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020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1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22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3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4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25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6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7__FDSAUDITLINK__" hidden="1">{"fdsup://Directions/FactSet Auditing Viewer?action=AUDIT_VALUE&amp;DB=129&amp;ID1=69037010&amp;VALUEID=03501&amp;SDATE=2009&amp;PERIODTYPE=ANN_STD&amp;window=popup_no_bar&amp;width=385&amp;height=120&amp;START_MAXIMIZED=FALSE&amp;creator=factset&amp;display_string=Audit"}</definedName>
    <definedName name="_1028__FDSAUDITLINK__" hidden="1">{"fdsup://Directions/FactSet Auditing Viewer?action=AUDIT_VALUE&amp;DB=129&amp;ID1=49918410&amp;VALUEID=03501&amp;SDATE=2009&amp;PERIODTYPE=ANN_STD&amp;window=popup_no_bar&amp;width=385&amp;height=120&amp;START_MAXIMIZED=FALSE&amp;creator=factset&amp;display_string=Audit"}</definedName>
    <definedName name="_1029__FDSAUDITLINK__" hidden="1">{"fdsup://Directions/FactSet Auditing Viewer?action=AUDIT_VALUE&amp;DB=129&amp;ID1=26224110&amp;VALUEID=03501&amp;SDATE=2009&amp;PERIODTYPE=ANN_STD&amp;window=popup_no_bar&amp;width=385&amp;height=120&amp;START_MAXIMIZED=FALSE&amp;creator=factset&amp;display_string=Audit"}</definedName>
    <definedName name="_103__123Graph_DCHART_8" hidden="1">#N/A</definedName>
    <definedName name="_103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030__FDSAUDITLINK__" hidden="1">{"fdsup://Directions/FactSet Auditing Viewer?action=AUDIT_VALUE&amp;DB=129&amp;ID1=B1G3JK&amp;VALUEID=03501&amp;SDATE=2009&amp;PERIODTYPE=ANN_STD&amp;window=popup_no_bar&amp;width=385&amp;height=120&amp;START_MAXIMIZED=FALSE&amp;creator=factset&amp;display_string=Audit"}</definedName>
    <definedName name="_1031__FDSAUDITLINK__" hidden="1">{"fdsup://Directions/FactSet Auditing Viewer?action=AUDIT_VALUE&amp;DB=129&amp;ID1=09578R10&amp;VALUEID=03501&amp;SDATE=2009&amp;PERIODTYPE=ANN_STD&amp;window=popup_no_bar&amp;width=385&amp;height=120&amp;START_MAXIMIZED=FALSE&amp;creator=factset&amp;display_string=Audit"}</definedName>
    <definedName name="_1032__FDSAUDITLINK__" hidden="1">{"fdsup://Directions/FactSet Auditing Viewer?action=AUDIT_VALUE&amp;DB=129&amp;ID1=B4YC9W&amp;VALUEID=03501&amp;SDATE=2009&amp;PERIODTYPE=ANN_STD&amp;window=popup_no_bar&amp;width=385&amp;height=120&amp;START_MAXIMIZED=FALSE&amp;creator=factset&amp;display_string=Audit"}</definedName>
    <definedName name="_1033__FDSAUDITLINK__" hidden="1">{"fdsup://Directions/FactSet Auditing Viewer?action=AUDIT_VALUE&amp;DB=129&amp;ID1=B292RC&amp;VALUEID=03501&amp;SDATE=2009&amp;PERIODTYPE=ANN_STD&amp;window=popup_no_bar&amp;width=385&amp;height=120&amp;START_MAXIMIZED=FALSE&amp;creator=factset&amp;display_string=Audit"}</definedName>
    <definedName name="_1034__FDSAUDITLINK__" hidden="1">{"fdsup://Directions/FactSet Auditing Viewer?action=AUDIT_VALUE&amp;DB=129&amp;ID1=309272&amp;VALUEID=03501&amp;SDATE=2009&amp;PERIODTYPE=ANN_STD&amp;window=popup_no_bar&amp;width=385&amp;height=120&amp;START_MAXIMIZED=FALSE&amp;creator=factset&amp;display_string=Audit"}</definedName>
    <definedName name="_1035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36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37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38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39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4__123Graph_DCHART_9" hidden="1">#N/A</definedName>
    <definedName name="_104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040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5__123Graph_DINVAR_A" hidden="1">#N/A</definedName>
    <definedName name="_105__123Graph_LBL_ACHART_4" hidden="1">#REF!</definedName>
    <definedName name="_105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06__123Graph_DSS5_A" hidden="1">#N/A</definedName>
    <definedName name="_106__123Graph_Dｸﾞﾗﾌ_4" hidden="1">#REF!</definedName>
    <definedName name="_106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07__123Graph_DSS6_B" hidden="1">#N/A</definedName>
    <definedName name="_107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08__123Graph_DSS7_A" hidden="1">#N/A</definedName>
    <definedName name="_108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09__123Graph_E_Chart_1A" hidden="1">#N/A</definedName>
    <definedName name="_109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0ALA642C761" hidden="1">#N/A</definedName>
    <definedName name="_10IQ_FHLB_DUE_CY" hidden="1">"c2082"</definedName>
    <definedName name="_10wrn.²Ä1­Ó¤ë1_Ü20¤H." hidden="1">{#N/A,#N/A,FALSE,"²Ä1­Ó¤ë"}</definedName>
    <definedName name="_11__123Graph_ACHART_1" hidden="1">#REF!</definedName>
    <definedName name="_11__123Graph_ACHART_2" hidden="1">#REF!</definedName>
    <definedName name="_11__123Graph_Aｸﾞﾗﾌ_1" hidden="1">#REF!</definedName>
    <definedName name="_11__123Graph_BCHART_5" hidden="1">#REF!</definedName>
    <definedName name="_11__123Graph_BHR_BY_OEM" hidden="1">#REF!</definedName>
    <definedName name="_11__123Graph_CCHART_8" hidden="1">#REF!</definedName>
    <definedName name="_11__123Graph_DCHART_2" hidden="1">#REF!</definedName>
    <definedName name="_11__123Graph_LBL_ACHART_3" hidden="1">#REF!</definedName>
    <definedName name="_11__123Graph_XCHART_1" hidden="1">#REF!</definedName>
    <definedName name="_11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10__123Graph_ECHART_10" hidden="1">#N/A</definedName>
    <definedName name="_110__123Graph_Eｸﾞﾗﾌ_1" hidden="1">#REF!</definedName>
    <definedName name="_110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11__123Graph_ECHART_11" hidden="1">#N/A</definedName>
    <definedName name="_111__123Graph_Eｸﾞﾗﾌ_2" hidden="1">#REF!</definedName>
    <definedName name="_111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12__123Graph_ECHART_12" hidden="1">#N/A</definedName>
    <definedName name="_112__123Graph_LBL_BCHART_3" hidden="1">#REF!</definedName>
    <definedName name="_112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13__123Graph_ECHART_13" hidden="1">#N/A</definedName>
    <definedName name="_113__123Graph_Eｸﾞﾗﾌ_3" hidden="1">#REF!</definedName>
    <definedName name="_113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14__123Graph_ECHART_14" hidden="1">#N/A</definedName>
    <definedName name="_114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15__123Graph_ECHART_15" hidden="1">#N/A</definedName>
    <definedName name="_115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155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56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57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58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59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__123Graph_ECHART_16" hidden="1">#N/A</definedName>
    <definedName name="_116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160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1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2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3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4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5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6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7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8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9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__123Graph_ECHART_17" hidden="1">#N/A</definedName>
    <definedName name="_117__123Graph_Eｸﾞﾗﾌ_4" hidden="1">#REF!</definedName>
    <definedName name="_117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170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1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2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3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4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5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6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7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8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9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__123Graph_ECHART_18" hidden="1">#N/A</definedName>
    <definedName name="_118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180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1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2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3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4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5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6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7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8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9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9__123Graph_ECHART_4" hidden="1">#N/A</definedName>
    <definedName name="_119__123Graph_LBL_BCHART_4" hidden="1">#REF!</definedName>
    <definedName name="_119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190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ALA642C761" hidden="1">#N/A</definedName>
    <definedName name="_12__123Graph_AC04C_ALL_T1" hidden="1">#REF!</definedName>
    <definedName name="_12__123Graph_ACHART_2" hidden="1">#REF!</definedName>
    <definedName name="_12__123Graph_ACHART_3" hidden="1">#REF!</definedName>
    <definedName name="_12__123Graph_Aｸﾞﾗﾌ_2" hidden="1">#REF!</definedName>
    <definedName name="_12__123Graph_BCHART_3" hidden="1">#REF!</definedName>
    <definedName name="_12__123Graph_BCHART_8" hidden="1">#REF!</definedName>
    <definedName name="_12__123Graph_BUNIT_BY_OEM" hidden="1">#REF!</definedName>
    <definedName name="_12__123Graph_CCHART_2" hidden="1">#REF!</definedName>
    <definedName name="_12__123Graph_DCHART_1" hidden="1">#REF!</definedName>
    <definedName name="_12__123Graph_DCHART_3" hidden="1">#REF!</definedName>
    <definedName name="_12__123Graph_LBL_DCHART_1" hidden="1">#REF!</definedName>
    <definedName name="_12__123Graph_XChart_1A" hidden="1">#REF!</definedName>
    <definedName name="_12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20__123Graph_ECHART_6" hidden="1">#N/A</definedName>
    <definedName name="_120__123Graph_Fｸﾞﾗﾌ_3" hidden="1">#REF!</definedName>
    <definedName name="_120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21__123Graph_ECHART_7" hidden="1">#N/A</definedName>
    <definedName name="_121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22__123Graph_ECHART_8" hidden="1">#N/A</definedName>
    <definedName name="_122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23__123Graph_ECHART_9" hidden="1">#N/A</definedName>
    <definedName name="_123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23Graph" hidden="1">#REF!</definedName>
    <definedName name="_123Graph_C" hidden="1">#REF!</definedName>
    <definedName name="_123Graph_Eグラフ4" hidden="1">#REF!</definedName>
    <definedName name="_124__123Graph_F_Chart_1A" hidden="1">#N/A</definedName>
    <definedName name="_124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25__123Graph_FCHART_10" hidden="1">#N/A</definedName>
    <definedName name="_125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26__123Graph_FCHART_11" hidden="1">#N/A</definedName>
    <definedName name="_126__123Graph_LBL_CCHART_3" hidden="1">#REF!</definedName>
    <definedName name="_126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27__123Graph_FCHART_12" hidden="1">#N/A</definedName>
    <definedName name="_127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27____S" hidden="1">#REF!</definedName>
    <definedName name="_128__123Graph_FCHART_13" hidden="1">#N/A</definedName>
    <definedName name="_128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28__0_S" hidden="1">#N/A</definedName>
    <definedName name="_129__123Graph_FCHART_14" hidden="1">#N/A</definedName>
    <definedName name="_129__FDSAUDITLINK__" hidden="1">{"fdsup://directions/FAT Viewer?action=UPDATE&amp;creator=factset&amp;DYN_ARGS=TRUE&amp;DOC_NAME=FAT:FQL_AUDITING_CLIENT_TEMPLATE.FAT&amp;display_string=Audit&amp;VAR:KEY=PMZSNUXCRE&amp;VAR:QUERY=RkZfRUJJVERBX0lCKEFOTiwyMDA3LCwsUkYsRVVSKQ==&amp;WINDOW=FIRST_POPUP&amp;HEIGHT=450&amp;WIDTH=450&amp;","START_MAXIMIZED=FALSE&amp;VAR:CALENDAR=FIVEDAY&amp;VAR:SYMBOL=471279&amp;VAR:INDEX=0"}</definedName>
    <definedName name="_12ALA642C761" hidden="1">#N/A</definedName>
    <definedName name="_13__123Graph_AC04C_ALL_L1" hidden="1">#REF!</definedName>
    <definedName name="_13__123Graph_ACHART_3" hidden="1">#REF!</definedName>
    <definedName name="_13__123Graph_BCHART_1" hidden="1">#N/A</definedName>
    <definedName name="_13__123Graph_Bｸﾞﾗﾌ_1" hidden="1">#REF!</definedName>
    <definedName name="_13__123Graph_CCAPITAL_BY_OEM" hidden="1">#REF!</definedName>
    <definedName name="_13__123Graph_CCHART_3" hidden="1">#REF!</definedName>
    <definedName name="_13__123Graph_DCHART_8" hidden="1">#REF!</definedName>
    <definedName name="_13__123Graph_LBL_ACHART_3" hidden="1">#REF!</definedName>
    <definedName name="_13__123Graph_LBL_DCHART_2" hidden="1">#REF!</definedName>
    <definedName name="_13__123Graph_XCHART_2" hidden="1">#REF!</definedName>
    <definedName name="_13__123Graph_XChart_2A" hidden="1">#REF!</definedName>
    <definedName name="_13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30__123Graph_FCHART_15" hidden="1">#N/A</definedName>
    <definedName name="_130__FDSAUDITLINK__" hidden="1">{"fdsup://directions/FAT Viewer?action=UPDATE&amp;creator=factset&amp;DYN_ARGS=TRUE&amp;DOC_NAME=FAT:FQL_AUDITING_CLIENT_TEMPLATE.FAT&amp;display_string=Audit&amp;VAR:KEY=XYVCRARQJI&amp;VAR:QUERY=RkZfRUJJVERBX0lCKEFOTiwyMDA5LCwsUkYsRVVSKQ==&amp;WINDOW=FIRST_POPUP&amp;HEIGHT=450&amp;WIDTH=450&amp;","START_MAXIMIZED=FALSE&amp;VAR:CALENDAR=FIVEDAY&amp;VAR:SYMBOL=549710&amp;VAR:INDEX=0"}</definedName>
    <definedName name="_131__123Graph_FCHART_16" hidden="1">#N/A</definedName>
    <definedName name="_131__FDSAUDITLINK__" hidden="1">{"fdsup://directions/FAT Viewer?action=UPDATE&amp;creator=factset&amp;DYN_ARGS=TRUE&amp;DOC_NAME=FAT:FQL_AUDITING_CLIENT_TEMPLATE.FAT&amp;display_string=Audit&amp;VAR:KEY=LGVQVYXIFQ&amp;VAR:QUERY=RkZfRUJJVERBX0lCKEFOTiwyMDA4LCwsUkYsRVVSKQ==&amp;WINDOW=FIRST_POPUP&amp;HEIGHT=450&amp;WIDTH=450&amp;","START_MAXIMIZED=FALSE&amp;VAR:CALENDAR=FIVEDAY&amp;VAR:SYMBOL=549710&amp;VAR:INDEX=0"}</definedName>
    <definedName name="_132__123Graph_FCHART_4" hidden="1">#N/A</definedName>
    <definedName name="_132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132__0_S" hidden="1">#REF!</definedName>
    <definedName name="_133__123Graph_FCHART_6" hidden="1">#N/A</definedName>
    <definedName name="_133__123Graph_LBL_Aｸﾞﾗﾌ_1" hidden="1">#REF!</definedName>
    <definedName name="_133__123Graph_XCHART_1" hidden="1">#REF!</definedName>
    <definedName name="_133__FDSAUDITLINK__" hidden="1">{"fdsup://directions/FAT Viewer?action=UPDATE&amp;creator=factset&amp;DYN_ARGS=TRUE&amp;DOC_NAME=FAT:FQL_AUDITING_CLIENT_TEMPLATE.FAT&amp;display_string=Audit&amp;VAR:KEY=BMFCFMJCHW&amp;VAR:QUERY=RkZfRUJJVERBX0lCKEFOTiwyMDA3LCwsUkYsRVVSKQ==&amp;WINDOW=FIRST_POPUP&amp;HEIGHT=450&amp;WIDTH=450&amp;","START_MAXIMIZED=FALSE&amp;VAR:CALENDAR=FIVEDAY&amp;VAR:SYMBOL=549710&amp;VAR:INDEX=0"}</definedName>
    <definedName name="_134__123Graph_FCHART_7" hidden="1">#N/A</definedName>
    <definedName name="_134__FDSAUDITLINK__" hidden="1">{"fdsup://directions/FAT Viewer?action=UPDATE&amp;creator=factset&amp;DYN_ARGS=TRUE&amp;DOC_NAME=FAT:FQL_AUDITING_CLIENT_TEMPLATE.FAT&amp;display_string=Audit&amp;VAR:KEY=XSVSNOVCPI&amp;VAR:QUERY=RkZfRUJJVERBX0lCKEFOTiwyMDA5LCwsUkYsRVVSKQ==&amp;WINDOW=FIRST_POPUP&amp;HEIGHT=450&amp;WIDTH=450&amp;","START_MAXIMIZED=FALSE&amp;VAR:CALENDAR=FIVEDAY&amp;VAR:SYMBOL=574852&amp;VAR:INDEX=0"}</definedName>
    <definedName name="_135__123Graph_FCHART_8" hidden="1">#N/A</definedName>
    <definedName name="_135__FDSAUDITLINK__" hidden="1">{"fdsup://directions/FAT Viewer?action=UPDATE&amp;creator=factset&amp;DYN_ARGS=TRUE&amp;DOC_NAME=FAT:FQL_AUDITING_CLIENT_TEMPLATE.FAT&amp;display_string=Audit&amp;VAR:KEY=BEPGLIVMBO&amp;VAR:QUERY=RkZfRUJJVERBX0lCKEFOTiwyMDA4LCwsUkYsRVVSKQ==&amp;WINDOW=FIRST_POPUP&amp;HEIGHT=450&amp;WIDTH=450&amp;","START_MAXIMIZED=FALSE&amp;VAR:CALENDAR=FIVEDAY&amp;VAR:SYMBOL=574852&amp;VAR:INDEX=0"}</definedName>
    <definedName name="_136__123Graph_FCHART_9" hidden="1">#N/A</definedName>
    <definedName name="_136__FDSAUDITLINK__" hidden="1">{"fdsup://directions/FAT Viewer?action=UPDATE&amp;creator=factset&amp;DYN_ARGS=TRUE&amp;DOC_NAME=FAT:FQL_AUDITING_CLIENT_TEMPLATE.FAT&amp;display_string=Audit&amp;VAR:KEY=FYHMHEZYDI&amp;VAR:QUERY=RkZfRUJJVERBX0lCKEFOTiwyMDA3LCwsUkYsRVVSKQ==&amp;WINDOW=FIRST_POPUP&amp;HEIGHT=450&amp;WIDTH=450&amp;","START_MAXIMIZED=FALSE&amp;VAR:CALENDAR=FIVEDAY&amp;VAR:SYMBOL=574852&amp;VAR:INDEX=0"}</definedName>
    <definedName name="_137__123Graph_X_Chart_1A" hidden="1">#N/A</definedName>
    <definedName name="_137__FDSAUDITLINK__" hidden="1">{"fdsup://directions/FAT Viewer?action=UPDATE&amp;creator=factset&amp;DYN_ARGS=TRUE&amp;DOC_NAME=FAT:FQL_AUDITING_CLIENT_TEMPLATE.FAT&amp;display_string=Audit&amp;VAR:KEY=DGNSZQZYZE&amp;VAR:QUERY=RkZfRUJJVERBX0lCKEFOTiwyMDA5LCwsUkYsRVVSKQ==&amp;WINDOW=FIRST_POPUP&amp;HEIGHT=450&amp;WIDTH=450&amp;","START_MAXIMIZED=FALSE&amp;VAR:CALENDAR=FIVEDAY&amp;VAR:SYMBOL=34537086&amp;VAR:INDEX=0"}</definedName>
    <definedName name="_138__123Graph_XChart_1" hidden="1">#N/A</definedName>
    <definedName name="_138__FDSAUDITLINK__" hidden="1">{"fdsup://directions/FAT Viewer?action=UPDATE&amp;creator=factset&amp;DYN_ARGS=TRUE&amp;DOC_NAME=FAT:FQL_AUDITING_CLIENT_TEMPLATE.FAT&amp;display_string=Audit&amp;VAR:KEY=HEBWRMPARS&amp;VAR:QUERY=RkZfRUJJVERBX0lCKEFOTiwyMDA4LCwsUkYsRVVSKQ==&amp;WINDOW=FIRST_POPUP&amp;HEIGHT=450&amp;WIDTH=450&amp;","START_MAXIMIZED=FALSE&amp;VAR:CALENDAR=FIVEDAY&amp;VAR:SYMBOL=34537086&amp;VAR:INDEX=0"}</definedName>
    <definedName name="_139__123Graph_XChart_2" hidden="1">#N/A</definedName>
    <definedName name="_139__FDSAUDITLINK__" hidden="1">{"fdsup://directions/FAT Viewer?action=UPDATE&amp;creator=factset&amp;DYN_ARGS=TRUE&amp;DOC_NAME=FAT:FQL_AUDITING_CLIENT_TEMPLATE.FAT&amp;display_string=Audit&amp;VAR:KEY=PYHIXQNANM&amp;VAR:QUERY=RkZfRUJJVERBX0lCKEFOTiwyMDA3LCwsUkYsRVVSKQ==&amp;WINDOW=FIRST_POPUP&amp;HEIGHT=450&amp;WIDTH=450&amp;","START_MAXIMIZED=FALSE&amp;VAR:CALENDAR=FIVEDAY&amp;VAR:SYMBOL=34537086&amp;VAR:INDEX=0"}</definedName>
    <definedName name="_13ALA642C761" hidden="1">#N/A</definedName>
    <definedName name="_14__123Graph_AC04C_ALL_L2" hidden="1">#REF!</definedName>
    <definedName name="_14__123Graph_ACHART_3" hidden="1">#REF!</definedName>
    <definedName name="_14__123Graph_BCHART_1" hidden="1">#REF!</definedName>
    <definedName name="_14__123Graph_BCHART_2" hidden="1">#REF!</definedName>
    <definedName name="_14__123Graph_Bｸﾞﾗﾌ_2" hidden="1">#REF!</definedName>
    <definedName name="_14__123Graph_CCHART_4" hidden="1">#REF!</definedName>
    <definedName name="_14__123Graph_CHR_BY_OEM" hidden="1">#REF!</definedName>
    <definedName name="_14__123Graph_DCHART_1" hidden="1">#REF!</definedName>
    <definedName name="_14__123Graph_LBL_ACHART_3" hidden="1">#REF!</definedName>
    <definedName name="_14__123Graph_XCHART_2" hidden="1">#REF!</definedName>
    <definedName name="_14__123Graph_XCHART_3" hidden="1">#REF!</definedName>
    <definedName name="_14__123Graph_XChart_3B" hidden="1">#REF!</definedName>
    <definedName name="_14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40__123Graph_XCHART_20" hidden="1">#N/A</definedName>
    <definedName name="_140__123Graph_XCHART_3" hidden="1">#REF!</definedName>
    <definedName name="_140__FDSAUDITLINK__" hidden="1">{"fdsup://directions/FAT Viewer?action=UPDATE&amp;creator=factset&amp;DYN_ARGS=TRUE&amp;DOC_NAME=FAT:FQL_AUDITING_CLIENT_TEMPLATE.FAT&amp;display_string=Audit&amp;VAR:KEY=TCJIXMNKRY&amp;VAR:QUERY=RkZfRUJJVERBX0lCKEFOTiwyMDA5LCwsUkYsRVVSKQ==&amp;WINDOW=FIRST_POPUP&amp;HEIGHT=450&amp;WIDTH=450&amp;","START_MAXIMIZED=FALSE&amp;VAR:CALENDAR=FIVEDAY&amp;VAR:SYMBOL=575602&amp;VAR:INDEX=0"}</definedName>
    <definedName name="_141__123Graph_XCHART_23" hidden="1">#N/A</definedName>
    <definedName name="_141__FDSAUDITLINK__" hidden="1">{"fdsup://directions/FAT Viewer?action=UPDATE&amp;creator=factset&amp;DYN_ARGS=TRUE&amp;DOC_NAME=FAT:FQL_AUDITING_CLIENT_TEMPLATE.FAT&amp;display_string=Audit&amp;VAR:KEY=DCHGFIVKXQ&amp;VAR:QUERY=RkZfRUJJVERBX0lCKEFOTiwyMDA4LCwsUkYsRVVSKQ==&amp;WINDOW=FIRST_POPUP&amp;HEIGHT=450&amp;WIDTH=450&amp;","START_MAXIMIZED=FALSE&amp;VAR:CALENDAR=FIVEDAY&amp;VAR:SYMBOL=575602&amp;VAR:INDEX=0"}</definedName>
    <definedName name="_142__123Graph_XChart_3" hidden="1">#N/A</definedName>
    <definedName name="_142__FDSAUDITLINK__" hidden="1">{"fdsup://directions/FAT Viewer?action=UPDATE&amp;creator=factset&amp;DYN_ARGS=TRUE&amp;DOC_NAME=FAT:FQL_AUDITING_CLIENT_TEMPLATE.FAT&amp;display_string=Audit&amp;VAR:KEY=PYRULAPETI&amp;VAR:QUERY=RkZfRUJJVERBX0lCKEFOTiwyMDA3LCwsUkYsRVVSKQ==&amp;WINDOW=FIRST_POPUP&amp;HEIGHT=450&amp;WIDTH=450&amp;","START_MAXIMIZED=FALSE&amp;VAR:CALENDAR=FIVEDAY&amp;VAR:SYMBOL=575602&amp;VAR:INDEX=0"}</definedName>
    <definedName name="_143__123Graph_XChart_4" hidden="1">#N/A</definedName>
    <definedName name="_143__FDSAUDITLINK__" hidden="1">{"fdsup://directions/FAT Viewer?action=UPDATE&amp;creator=factset&amp;DYN_ARGS=TRUE&amp;DOC_NAME=FAT:FQL_AUDITING_CLIENT_TEMPLATE.FAT&amp;display_string=Audit&amp;VAR:KEY=BOBADSLIRO&amp;VAR:QUERY=RkZfRUJJVERBX0lCKEFOTiwyMDA5LCwsUkYsRVVSKQ==&amp;WINDOW=FIRST_POPUP&amp;HEIGHT=450&amp;WIDTH=450&amp;","START_MAXIMIZED=FALSE&amp;VAR:CALENDAR=FIVEDAY&amp;VAR:SYMBOL=552902&amp;VAR:INDEX=0"}</definedName>
    <definedName name="_144__123Graph_XChart_5" hidden="1">#N/A</definedName>
    <definedName name="_144__FDSAUDITLINK__" hidden="1">{"fdsup://directions/FAT Viewer?action=UPDATE&amp;creator=factset&amp;DYN_ARGS=TRUE&amp;DOC_NAME=FAT:FQL_AUDITING_CLIENT_TEMPLATE.FAT&amp;display_string=Audit&amp;VAR:KEY=FSPGTSFQRA&amp;VAR:QUERY=RkZfRUJJVERBX0lCKEFOTiwyMDA4LCwsUkYsRVVSKQ==&amp;WINDOW=FIRST_POPUP&amp;HEIGHT=450&amp;WIDTH=450&amp;","START_MAXIMIZED=FALSE&amp;VAR:CALENDAR=FIVEDAY&amp;VAR:SYMBOL=552902&amp;VAR:INDEX=0"}</definedName>
    <definedName name="_145__123Graph_XChart_6" hidden="1">#N/A</definedName>
    <definedName name="_145__FDSAUDITLINK__" hidden="1">{"fdsup://directions/FAT Viewer?action=UPDATE&amp;creator=factset&amp;DYN_ARGS=TRUE&amp;DOC_NAME=FAT:FQL_AUDITING_CLIENT_TEMPLATE.FAT&amp;display_string=Audit&amp;VAR:KEY=RIHKFQHENC&amp;VAR:QUERY=RkZfRUJJVERBX0lCKEFOTiwyMDA3LCwsUkYsRVVSKQ==&amp;WINDOW=FIRST_POPUP&amp;HEIGHT=450&amp;WIDTH=450&amp;","START_MAXIMIZED=FALSE&amp;VAR:CALENDAR=FIVEDAY&amp;VAR:SYMBOL=552902&amp;VAR:INDEX=0"}</definedName>
    <definedName name="_146__FDSAUDITLINK__" hidden="1">{"fdsup://Directions/FactSet Auditing Viewer?action=AUDIT_VALUE&amp;DB=129&amp;ID1=710352&amp;VALUEID=01001&amp;SDATE=2009&amp;PERIODTYPE=ANN_STD&amp;window=popup_no_bar&amp;width=385&amp;height=120&amp;START_MAXIMIZED=FALSE&amp;creator=factset&amp;display_string=Audit"}</definedName>
    <definedName name="_147__123Graph_XCHART_4" hidden="1">#REF!</definedName>
    <definedName name="_147__FDSAUDITLINK__" hidden="1">{"fdsup://Directions/FactSet Auditing Viewer?action=AUDIT_VALUE&amp;DB=129&amp;ID1=471279&amp;VALUEID=01001&amp;SDATE=2009&amp;PERIODTYPE=ANN_STD&amp;window=popup_no_bar&amp;width=385&amp;height=120&amp;START_MAXIMIZED=FALSE&amp;creator=factset&amp;display_string=Audit"}</definedName>
    <definedName name="_148__FDSAUDITLINK__" hidden="1">{"fdsup://Directions/FactSet Auditing Viewer?action=AUDIT_VALUE&amp;DB=129&amp;ID1=471279&amp;VALUEID=01001&amp;SDATE=2007&amp;PERIODTYPE=ANN_STD&amp;window=popup_no_bar&amp;width=385&amp;height=120&amp;START_MAXIMIZED=FALSE&amp;creator=factset&amp;display_string=Audit"}</definedName>
    <definedName name="_149__FDSAUDITLINK__" hidden="1">{"fdsup://Directions/FactSet Auditing Viewer?action=AUDIT_VALUE&amp;DB=129&amp;ID1=549710&amp;VALUEID=01001&amp;SDATE=2009&amp;PERIODTYPE=ANN_STD&amp;window=popup_no_bar&amp;width=385&amp;height=120&amp;START_MAXIMIZED=FALSE&amp;creator=factset&amp;display_string=Audit"}</definedName>
    <definedName name="_149__0_S" hidden="1">#REF!</definedName>
    <definedName name="_14ALA642C761" hidden="1">#N/A</definedName>
    <definedName name="_14N_0Umbuchun">[2]Anlagevermögen!#REF!</definedName>
    <definedName name="_15__123Graph_AC04C_ALL_T1" hidden="1">#REF!</definedName>
    <definedName name="_15__123Graph_BCHART_2" hidden="1">#REF!</definedName>
    <definedName name="_15__123Graph_BCHART_3" hidden="1">#REF!</definedName>
    <definedName name="_15__123Graph_CCHART_5" hidden="1">#REF!</definedName>
    <definedName name="_15__123Graph_CUNIT_BY_OEM" hidden="1">#REF!</definedName>
    <definedName name="_15__123Graph_LBL_ACHART_4" hidden="1">#REF!</definedName>
    <definedName name="_15__123Graph_XCHART_4" hidden="1">#REF!</definedName>
    <definedName name="_15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50__123Graph_Xｸﾞﾗﾌ_ጻ" hidden="1">#REF!</definedName>
    <definedName name="_150__FDSAUDITLINK__" hidden="1">{"fdsup://Directions/FactSet Auditing Viewer?action=AUDIT_VALUE&amp;DB=129&amp;ID1=549710&amp;VALUEID=01001&amp;SDATE=2007&amp;PERIODTYPE=ANN_STD&amp;window=popup_no_bar&amp;width=385&amp;height=120&amp;START_MAXIMIZED=FALSE&amp;creator=factset&amp;display_string=Audit"}</definedName>
    <definedName name="_151__123Graph_Xｸﾞﾗﾌ_1" hidden="1">#REF!</definedName>
    <definedName name="_151__FDSAUDITLINK__" hidden="1">{"fdsup://directions/FAT Viewer?action=UPDATE&amp;creator=factset&amp;DYN_ARGS=TRUE&amp;DOC_NAME=FAT:FQL_AUDITING_CLIENT_TEMPLATE.FAT&amp;display_string=Audit&amp;VAR:KEY=LSVAZKXEJQ&amp;VAR:QUERY=RkZfRUJJVF9JQihBTk4sMjAwOSwsLFJGLEVVUik=&amp;WINDOW=FIRST_POPUP&amp;HEIGHT=450&amp;WIDTH=450&amp;STAR","T_MAXIMIZED=FALSE&amp;VAR:CALENDAR=FIVEDAY&amp;VAR:SYMBOL=710352&amp;VAR:INDEX=0"}</definedName>
    <definedName name="_152__FDSAUDITLINK__" hidden="1">{"fdsup://directions/FAT Viewer?action=UPDATE&amp;creator=factset&amp;DYN_ARGS=TRUE&amp;DOC_NAME=FAT:FQL_AUDITING_CLIENT_TEMPLATE.FAT&amp;display_string=Audit&amp;VAR:KEY=VOZABONUJC&amp;VAR:QUERY=RkZfRUJJVF9JQihBTk4sMjAwOCwsLFJGLEVVUik=&amp;WINDOW=FIRST_POPUP&amp;HEIGHT=450&amp;WIDTH=450&amp;STAR","T_MAXIMIZED=FALSE&amp;VAR:CALENDAR=FIVEDAY&amp;VAR:SYMBOL=710352&amp;VAR:INDEX=0"}</definedName>
    <definedName name="_153__FDSAUDITLINK__" hidden="1">{"fdsup://directions/FAT Viewer?action=UPDATE&amp;creator=factset&amp;DYN_ARGS=TRUE&amp;DOC_NAME=FAT:FQL_AUDITING_CLIENT_TEMPLATE.FAT&amp;display_string=Audit&amp;VAR:KEY=XYZGVOXQPW&amp;VAR:QUERY=RkZfRUJJVF9JQihBTk4sMjAwNywsLFJGLEVVUik=&amp;WINDOW=FIRST_POPUP&amp;HEIGHT=450&amp;WIDTH=450&amp;STAR","T_MAXIMIZED=FALSE&amp;VAR:CALENDAR=FIVEDAY&amp;VAR:SYMBOL=710352&amp;VAR:INDEX=0"}</definedName>
    <definedName name="_154__123Graph_XCHART_8" hidden="1">#REF!</definedName>
    <definedName name="_154__FDSAUDITLINK__" hidden="1">{"fdsup://directions/FAT Viewer?action=UPDATE&amp;creator=factset&amp;DYN_ARGS=TRUE&amp;DOC_NAME=FAT:FQL_AUDITING_CLIENT_TEMPLATE.FAT&amp;display_string=Audit&amp;VAR:KEY=CHSJKJSTIN&amp;VAR:QUERY=KChGRl9ERUJUKFFUUiwwLCwsUkYsRVVSKUBGRl9ERUJUKFNFTUksMCwsLFJGLEVVUikpQEZGX0RFQlQoQU5OL","DAsLCxSRixFVVIpKQ==&amp;WINDOW=FIRST_POPUP&amp;HEIGHT=450&amp;WIDTH=450&amp;START_MAXIMIZED=FALSE&amp;VAR:CALENDAR=FIVEDAY&amp;VAR:INDEX=0"}</definedName>
    <definedName name="_156__FDSAUDITLINK__" hidden="1">{"fdsup://directions/FAT Viewer?action=UPDATE&amp;creator=factset&amp;DYN_ARGS=TRUE&amp;DOC_NAME=FAT:FQL_AUDITING_CLIENT_TEMPLATE.FAT&amp;display_string=Audit&amp;VAR:KEY=GFEFSPONSX&amp;VAR:QUERY=RkZfTkVUX0lOQyhBTk4sMCwsLFJGKQ==&amp;WINDOW=FIRST_POPUP&amp;HEIGHT=450&amp;WIDTH=450&amp;START_MAXIMI","ZED=FALSE&amp;VAR:CALENDAR=FIVEDAY&amp;VAR:SYMBOL=93114210&amp;VAR:INDEX=0"}</definedName>
    <definedName name="_157__FDSAUDITLINK__" hidden="1">{"fdsup://Directions/FactSet Auditing Viewer?action=AUDIT_VALUE&amp;DB=129&amp;ID1=574852&amp;VALUEID=01001&amp;SDATE=2007&amp;PERIODTYPE=ANN_STD&amp;window=popup_no_bar&amp;width=385&amp;height=120&amp;START_MAXIMIZED=FALSE&amp;creator=factset&amp;display_string=Audit"}</definedName>
    <definedName name="_158__FDSAUDITLINK__" hidden="1">{"fdsup://Directions/FactSet Auditing Viewer?action=AUDIT_VALUE&amp;DB=129&amp;ID1=34537086&amp;VALUEID=01001&amp;SDATE=2009&amp;PERIODTYPE=ANN_STD&amp;window=popup_no_bar&amp;width=385&amp;height=120&amp;START_MAXIMIZED=FALSE&amp;creator=factset&amp;display_string=Audit"}</definedName>
    <definedName name="_1583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4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85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86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7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88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89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9__FDSAUDITLINK__" hidden="1">{"fdsup://Directions/FactSet Auditing Viewer?action=AUDIT_VALUE&amp;DB=129&amp;ID1=574852&amp;VALUEID=01001&amp;SDATE=2009&amp;PERIODTYPE=ANN_STD&amp;window=popup_no_bar&amp;width=385&amp;height=120&amp;START_MAXIMIZED=FALSE&amp;creator=factset&amp;display_string=Audit"}</definedName>
    <definedName name="_1590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91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92__FDSAUDITLINK__" hidden="1">{"fdsup://directions/FAT Viewer?action=UPDATE&amp;creator=factset&amp;DYN_ARGS=TRUE&amp;DOC_NAME=FAT:FQL_AUDITING_CLIENT_TEMPLATE.FAT&amp;display_string=Audit&amp;VAR:KEY=WDQHINMTUT&amp;VAR:QUERY=RkZfQ0FQRVgoQ0FMLDIwMDksLCwsRVVSKQ==&amp;WINDOW=FIRST_POPUP&amp;HEIGHT=450&amp;WIDTH=450&amp;START_MA","XIMIZED=FALSE&amp;VAR:CALENDAR=FIVEDAY&amp;VAR:SYMBOL=07588710&amp;VAR:INDEX=0"}</definedName>
    <definedName name="_1593__FDSAUDITLINK__" hidden="1">{"fdsup://directions/FAT Viewer?action=UPDATE&amp;creator=factset&amp;DYN_ARGS=TRUE&amp;DOC_NAME=FAT:FQL_AUDITING_CLIENT_TEMPLATE.FAT&amp;display_string=Audit&amp;VAR:KEY=SDCPUZODCN&amp;VAR:QUERY=RkZfRUJJVERBKENBTCwyMDA5LCwsLEVVUik=&amp;WINDOW=FIRST_POPUP&amp;HEIGHT=450&amp;WIDTH=450&amp;START_MA","XIMIZED=FALSE&amp;VAR:CALENDAR=FIVEDAY&amp;VAR:SYMBOL=GLW&amp;VAR:INDEX=0"}</definedName>
    <definedName name="_1594__FDSAUDITLINK__" hidden="1">{"fdsup://directions/FAT Viewer?action=UPDATE&amp;creator=factset&amp;DYN_ARGS=TRUE&amp;DOC_NAME=FAT:FQL_AUDITING_CLIENT_TEMPLATE.FAT&amp;display_string=Audit&amp;VAR:KEY=KRQTWRYNGJ&amp;VAR:QUERY=RkZfRUJJVChDQUwsMjAwNywsLCxFVVIp&amp;WINDOW=FIRST_POPUP&amp;HEIGHT=450&amp;WIDTH=450&amp;START_MAXIMI","ZED=FALSE&amp;VAR:CALENDAR=FIVEDAY&amp;VAR:SYMBOL=07588710&amp;VAR:INDEX=0"}</definedName>
    <definedName name="_1595__FDSAUDITLINK__" hidden="1">{"fdsup://directions/FAT Viewer?action=UPDATE&amp;creator=factset&amp;DYN_ARGS=TRUE&amp;DOC_NAME=FAT:FQL_AUDITING_CLIENT_TEMPLATE.FAT&amp;display_string=Audit&amp;VAR:KEY=SPWTUHWFIF&amp;VAR:QUERY=RkZfRUJJVChDQUwsMjAwOSwsLCxFVVIp&amp;WINDOW=FIRST_POPUP&amp;HEIGHT=450&amp;WIDTH=450&amp;START_MAXIMI","ZED=FALSE&amp;VAR:CALENDAR=FIVEDAY&amp;VAR:SYMBOL=07588710&amp;VAR:INDEX=0"}</definedName>
    <definedName name="_1596__FDSAUDITLINK__" hidden="1">{"fdsup://directions/FAT Viewer?action=UPDATE&amp;creator=factset&amp;DYN_ARGS=TRUE&amp;DOC_NAME=FAT:FQL_AUDITING_CLIENT_TEMPLATE.FAT&amp;display_string=Audit&amp;VAR:KEY=EPABEHABAZ&amp;VAR:QUERY=RkZfQ0FQRVgoQ0FMLDIwMDcsLCwsRVVSKQ==&amp;WINDOW=FIRST_POPUP&amp;HEIGHT=450&amp;WIDTH=450&amp;START_MA","XIMIZED=FALSE&amp;VAR:CALENDAR=FIVEDAY&amp;VAR:SYMBOL=698534&amp;VAR:INDEX=0"}</definedName>
    <definedName name="_1597__FDSAUDITLINK__" hidden="1">{"fdsup://directions/FAT Viewer?action=UPDATE&amp;creator=factset&amp;DYN_ARGS=TRUE&amp;DOC_NAME=FAT:FQL_AUDITING_CLIENT_TEMPLATE.FAT&amp;display_string=Audit&amp;VAR:KEY=NYTEDEXURM&amp;VAR:QUERY=RkZfQ0FQRVgoQ0FMLDIwMDgsLCwsRVVSKQ==&amp;WINDOW=FIRST_POPUP&amp;HEIGHT=450&amp;WIDTH=450&amp;START_MA","XIMIZED=FALSE&amp;VAR:CALENDAR=FIVEDAY&amp;VAR:SYMBOL=B0KS38&amp;VAR:INDEX=0"}</definedName>
    <definedName name="_1598__FDSAUDITLINK__" hidden="1">{"fdsup://directions/FAT Viewer?action=UPDATE&amp;creator=factset&amp;DYN_ARGS=TRUE&amp;DOC_NAME=FAT:FQL_AUDITING_CLIENT_TEMPLATE.FAT&amp;display_string=Audit&amp;VAR:KEY=FQZKHKLWVW&amp;VAR:QUERY=RkZfRUJJVChDQUwsMjAwOSwsLCxFVVIp&amp;WINDOW=FIRST_POPUP&amp;HEIGHT=450&amp;WIDTH=450&amp;START_MAXIMI","ZED=FALSE&amp;VAR:CALENDAR=FIVEDAY&amp;VAR:SYMBOL=516606&amp;VAR:INDEX=0"}</definedName>
    <definedName name="_1599__FDSAUDITLINK__" hidden="1">{"fdsup://directions/FAT Viewer?action=UPDATE&amp;creator=factset&amp;DYN_ARGS=TRUE&amp;DOC_NAME=FAT:FQL_AUDITING_CLIENT_TEMPLATE.FAT&amp;display_string=Audit&amp;VAR:KEY=AVWFKHWLCH&amp;VAR:QUERY=RkZfQ0FQRVgoQ0FMLDIwMDcsLCwsRVVSKQ==&amp;WINDOW=FIRST_POPUP&amp;HEIGHT=450&amp;WIDTH=450&amp;START_MA","XIMIZED=FALSE&amp;VAR:CALENDAR=FIVEDAY&amp;VAR:SYMBOL=605520&amp;VAR:INDEX=0"}</definedName>
    <definedName name="_15ALA642C761" hidden="1">#N/A</definedName>
    <definedName name="_15N_0Umbuchun">[2]Anlagevermögen!#REF!</definedName>
    <definedName name="_16__123Graph_AC04C_ALL_L1" hidden="1">#REF!</definedName>
    <definedName name="_16__123Graph_AC04C_ALL_T2" hidden="1">#REF!</definedName>
    <definedName name="_16__123Graph_BCHART_2" hidden="1">#REF!</definedName>
    <definedName name="_16__123Graph_BCHART_3" hidden="1">#REF!</definedName>
    <definedName name="_16__123Graph_DCHART_1" hidden="1">#N/A</definedName>
    <definedName name="_16__123Graph_DCHART_2" hidden="1">#REF!</definedName>
    <definedName name="_16__123Graph_ECAPITAL_BY_OEM" hidden="1">#REF!</definedName>
    <definedName name="_16__123Graph_LBL_BCHART_3" hidden="1">#REF!</definedName>
    <definedName name="_16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60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600__FDSAUDITLINK__" hidden="1">{"fdsup://directions/FAT Viewer?action=UPDATE&amp;creator=factset&amp;DYN_ARGS=TRUE&amp;DOC_NAME=FAT:FQL_AUDITING_CLIENT_TEMPLATE.FAT&amp;display_string=Audit&amp;VAR:KEY=PSFSRORCHS&amp;VAR:QUERY=RkZfQ0FQRVgoQ0FMLDIwMDksLCwsRVVSKQ==&amp;WINDOW=FIRST_POPUP&amp;HEIGHT=450&amp;WIDTH=450&amp;START_MA","XIMIZED=FALSE&amp;VAR:CALENDAR=FIVEDAY&amp;VAR:SYMBOL=516606&amp;VAR:INDEX=0"}</definedName>
    <definedName name="_1601__FDSAUDITLINK__" hidden="1">{"fdsup://Directions/FactSet Auditing Viewer?action=AUDIT_VALUE&amp;DB=129&amp;ID1=516606&amp;VALUEID=P05202&amp;SDATE=2007&amp;PERIODTYPE=ANN_STD&amp;window=popup_no_bar&amp;width=385&amp;height=120&amp;START_MAXIMIZED=FALSE&amp;creator=factset&amp;display_string=Audit"}</definedName>
    <definedName name="_1602__FDSAUDITLINK__" hidden="1">{"fdsup://directions/FAT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name="_1603__FDSAUDITLINK__" hidden="1">{"fdsup://directions/FAT Viewer?action=UPDATE&amp;creator=factset&amp;DYN_ARGS=TRUE&amp;DOC_NAME=FAT:FQL_AUDITING_CLIENT_TEMPLATE.FAT&amp;display_string=Audit&amp;VAR:KEY=AXANIRKNEB&amp;VAR:QUERY=RkZfREVCVF9MVChNT04sMCwsLCxFVVIp&amp;WINDOW=FIRST_POPUP&amp;HEIGHT=450&amp;WIDTH=450&amp;START_MAXIMI","ZED=FALSE&amp;VAR:CALENDAR=FIVEDAY&amp;VAR:SYMBOL=698534&amp;VAR:INDEX=0"}</definedName>
    <definedName name="_1604__FDSAUDITLINK__" hidden="1">{"fdsup://directions/FAT Viewer?action=UPDATE&amp;creator=factset&amp;DYN_ARGS=TRUE&amp;DOC_NAME=FAT:FQL_AUDITING_CLIENT_TEMPLATE.FAT&amp;display_string=Audit&amp;VAR:KEY=ULKDCHEVOF&amp;VAR:QUERY=RkZfRUJJVChDQUwsMjAwNywsLCxFVVIp&amp;WINDOW=FIRST_POPUP&amp;HEIGHT=450&amp;WIDTH=450&amp;START_MAXIMI","ZED=FALSE&amp;VAR:CALENDAR=FIVEDAY&amp;VAR:SYMBOL=646706&amp;VAR:INDEX=0"}</definedName>
    <definedName name="_1605__FDSAUDITLINK__" hidden="1">{"fdsup://directions/FAT Viewer?action=UPDATE&amp;creator=factset&amp;DYN_ARGS=TRUE&amp;DOC_NAME=FAT:FQL_AUDITING_CLIENT_TEMPLATE.FAT&amp;display_string=Audit&amp;VAR:KEY=QRQBSTIHOF&amp;VAR:QUERY=RkZfRUJJVChDQUwsMjAwOSwsLCxFVVIp&amp;WINDOW=FIRST_POPUP&amp;HEIGHT=450&amp;WIDTH=450&amp;START_MAXIMI","ZED=FALSE&amp;VAR:CALENDAR=FIVEDAY&amp;VAR:SYMBOL=223350&amp;VAR:INDEX=0"}</definedName>
    <definedName name="_1606__FDSAUDITLINK__" hidden="1">{"fdsup://directions/FAT Viewer?action=UPDATE&amp;creator=factset&amp;DYN_ARGS=TRUE&amp;DOC_NAME=FAT:FQL_AUDITING_CLIENT_TEMPLATE.FAT&amp;display_string=Audit&amp;VAR:KEY=UHABOTOTQJ&amp;VAR:QUERY=RkZfRUJJVChDQUwsMjAwOCwsLCxFVVIp&amp;WINDOW=FIRST_POPUP&amp;HEIGHT=450&amp;WIDTH=450&amp;START_MAXIMI","ZED=FALSE&amp;VAR:CALENDAR=FIVEDAY&amp;VAR:SYMBOL=223350&amp;VAR:INDEX=0"}</definedName>
    <definedName name="_1607__FDSAUDITLINK__" hidden="1">{"fdsup://directions/FAT Viewer?action=UPDATE&amp;creator=factset&amp;DYN_ARGS=TRUE&amp;DOC_NAME=FAT:FQL_AUDITING_CLIENT_TEMPLATE.FAT&amp;display_string=Audit&amp;VAR:KEY=YNIZYDSZYZ&amp;VAR:QUERY=RkZfRUJJVChDQUwsMjAwNywsLCxFVVIp&amp;WINDOW=FIRST_POPUP&amp;HEIGHT=450&amp;WIDTH=450&amp;START_MAXIMI","ZED=FALSE&amp;VAR:CALENDAR=FIVEDAY&amp;VAR:SYMBOL=223350&amp;VAR:INDEX=0"}</definedName>
    <definedName name="_1608__FDSAUDITLINK__" hidden="1">{"fdsup://directions/FAT Viewer?action=UPDATE&amp;creator=factset&amp;DYN_ARGS=TRUE&amp;DOC_NAME=FAT:FQL_AUDITING_CLIENT_TEMPLATE.FAT&amp;display_string=Audit&amp;VAR:KEY=SNSJUXGLON&amp;VAR:QUERY=RkZfRUJJVChDQUwsMjAwNywsLCxFVVIp&amp;WINDOW=FIRST_POPUP&amp;HEIGHT=450&amp;WIDTH=450&amp;START_MAXIMI","ZED=FALSE&amp;VAR:CALENDAR=FIVEDAY&amp;VAR:SYMBOL=FOE&amp;VAR:INDEX=0"}</definedName>
    <definedName name="_1609__FDSAUDITLINK__" hidden="1">{"fdsup://directions/FAT Viewer?action=UPDATE&amp;creator=factset&amp;DYN_ARGS=TRUE&amp;DOC_NAME=FAT:FQL_AUDITING_CLIENT_TEMPLATE.FAT&amp;display_string=Audit&amp;VAR:KEY=QDOJAZWVOP&amp;VAR:QUERY=RkZfRUJJVChDQUwsMjAwOCwsLCxFVVIp&amp;WINDOW=FIRST_POPUP&amp;HEIGHT=450&amp;WIDTH=450&amp;START_MAXIMI","ZED=FALSE&amp;VAR:CALENDAR=FIVEDAY&amp;VAR:SYMBOL=FOE&amp;VAR:INDEX=0"}</definedName>
    <definedName name="_161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1610__FDSAUDITLINK__" hidden="1">{"fdsup://Directions/FactSet Auditing Viewer?action=AUDIT_VALUE&amp;DB=129&amp;ID1=69076840&amp;VALUEID=01001&amp;SDATE=2008&amp;PERIODTYPE=ANN_STD&amp;window=popup_no_bar&amp;width=385&amp;height=120&amp;START_MAXIMIZED=FALSE&amp;creator=factset&amp;display_string=Audit"}</definedName>
    <definedName name="_1611__FDSAUDITLINK__" hidden="1">{"fdsup://directions/FAT Viewer?action=UPDATE&amp;creator=factset&amp;DYN_ARGS=TRUE&amp;DOC_NAME=FAT:FQL_AUDITING_CLIENT_TEMPLATE.FAT&amp;display_string=Audit&amp;VAR:KEY=UZALCLMDUB&amp;VAR:QUERY=RkZfRUJJVERBKENBTCwyMDA3LCwsLEVVUik=&amp;WINDOW=FIRST_POPUP&amp;HEIGHT=450&amp;WIDTH=450&amp;START_MA","XIMIZED=FALSE&amp;VAR:CALENDAR=FIVEDAY&amp;VAR:SYMBOL=602129&amp;VAR:INDEX=0"}</definedName>
    <definedName name="_1612__FDSAUDITLINK__" hidden="1">{"fdsup://directions/FAT Viewer?action=UPDATE&amp;creator=factset&amp;DYN_ARGS=TRUE&amp;DOC_NAME=FAT:FQL_AUDITING_CLIENT_TEMPLATE.FAT&amp;display_string=Audit&amp;VAR:KEY=KLGBQXSRGD&amp;VAR:QUERY=RkZfRUJJVERBKENBTCwyMDA5LCwsLEVVUik=&amp;WINDOW=FIRST_POPUP&amp;HEIGHT=450&amp;WIDTH=450&amp;START_MA","XIMIZED=FALSE&amp;VAR:CALENDAR=FIVEDAY&amp;VAR:SYMBOL=698534&amp;VAR:INDEX=0"}</definedName>
    <definedName name="_1613__FDSAUDITLINK__" hidden="1">{"fdsup://directions/FAT Viewer?action=UPDATE&amp;creator=factset&amp;DYN_ARGS=TRUE&amp;DOC_NAME=FAT:FQL_AUDITING_CLIENT_TEMPLATE.FAT&amp;display_string=Audit&amp;VAR:KEY=CNIPYNWTMP&amp;VAR:QUERY=RkZfRUJJVERBKENBTCwyMDA3LCwsLEVVUik=&amp;WINDOW=FIRST_POPUP&amp;HEIGHT=450&amp;WIDTH=450&amp;START_MA","XIMIZED=FALSE&amp;VAR:CALENDAR=FIVEDAY&amp;VAR:SYMBOL=677120&amp;VAR:INDEX=0"}</definedName>
    <definedName name="_1614__FDSAUDITLINK__" hidden="1">{"fdsup://directions/FAT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name="_1615__FDSAUDITLINK__" hidden="1">{"fdsup://directions/FAT Viewer?action=UPDATE&amp;creator=factset&amp;DYN_ARGS=TRUE&amp;DOC_NAME=FAT:FQL_AUDITING_CLIENT_TEMPLATE.FAT&amp;display_string=Audit&amp;VAR:KEY=GDMNUBAJWF&amp;VAR:QUERY=RkZfQ0FQRVgoQ0FMLDIwMDksLCwsRVVSKQ==&amp;WINDOW=FIRST_POPUP&amp;HEIGHT=450&amp;WIDTH=450&amp;START_MA","XIMIZED=FALSE&amp;VAR:CALENDAR=FIVEDAY&amp;VAR:SYMBOL=SIAL&amp;VAR:INDEX=0"}</definedName>
    <definedName name="_1616__FDSAUDITLINK__" hidden="1">{"fdsup://directions/FAT Viewer?action=UPDATE&amp;creator=factset&amp;DYN_ARGS=TRUE&amp;DOC_NAME=FAT:FQL_AUDITING_CLIENT_TEMPLATE.FAT&amp;display_string=Audit&amp;VAR:KEY=SNMHSXQPEX&amp;VAR:QUERY=RkZfQ0FQRVgoQ0FMLDIwMDgsLCwsRVVSKQ==&amp;WINDOW=FIRST_POPUP&amp;HEIGHT=450&amp;WIDTH=450&amp;START_MA","XIMIZED=FALSE&amp;VAR:CALENDAR=FIVEDAY&amp;VAR:SYMBOL=602129&amp;VAR:INDEX=0"}</definedName>
    <definedName name="_1617__FDSAUDITLINK__" hidden="1">{"fdsup://directions/FAT Viewer?action=UPDATE&amp;creator=factset&amp;DYN_ARGS=TRUE&amp;DOC_NAME=FAT:FQL_AUDITING_CLIENT_TEMPLATE.FAT&amp;display_string=Audit&amp;VAR:KEY=SRSNYZAPIH&amp;VAR:QUERY=RkZfRUJJVERBKENBTCwyMDA3LCwsLEVVUik=&amp;WINDOW=FIRST_POPUP&amp;HEIGHT=450&amp;WIDTH=450&amp;START_MA","XIMIZED=FALSE&amp;VAR:CALENDAR=FIVEDAY&amp;VAR:SYMBOL=667984&amp;VAR:INDEX=0"}</definedName>
    <definedName name="_1618__FDSAUDITLINK__" hidden="1">{"fdsup://directions/FAT Viewer?action=UPDATE&amp;creator=factset&amp;DYN_ARGS=TRUE&amp;DOC_NAME=FAT:FQL_AUDITING_CLIENT_TEMPLATE.FAT&amp;display_string=Audit&amp;VAR:KEY=VITWXAVYXW&amp;VAR:QUERY=RkZfRUJJVERBKENBTCwyMDA3LCwsLEVVUik=&amp;WINDOW=FIRST_POPUP&amp;HEIGHT=450&amp;WIDTH=450&amp;START_MA","XIMIZED=FALSE&amp;VAR:CALENDAR=FIVEDAY&amp;VAR:SYMBOL=605520&amp;VAR:INDEX=0"}</definedName>
    <definedName name="_1619__FDSAUDITLINK__" hidden="1">{"fdsup://directions/FAT Viewer?action=UPDATE&amp;creator=factset&amp;DYN_ARGS=TRUE&amp;DOC_NAME=FAT:FQL_AUDITING_CLIENT_TEMPLATE.FAT&amp;display_string=Audit&amp;VAR:KEY=SPURCFWNOR&amp;VAR:QUERY=RkZfRUJJVERBKENBTCwyMDA4LCwsLEVVUik=&amp;WINDOW=FIRST_POPUP&amp;HEIGHT=450&amp;WIDTH=450&amp;START_MA","XIMIZED=FALSE&amp;VAR:CALENDAR=FIVEDAY&amp;VAR:SYMBOL=667984&amp;VAR:INDEX=0"}</definedName>
    <definedName name="_162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1620__FDSAUDITLINK__" hidden="1">{"fdsup://directions/FAT Viewer?action=UPDATE&amp;creator=factset&amp;DYN_ARGS=TRUE&amp;DOC_NAME=FAT:FQL_AUDITING_CLIENT_TEMPLATE.FAT&amp;display_string=Audit&amp;VAR:KEY=KFEBQVSLKR&amp;VAR:QUERY=RkZfRUJJVERBKENBTCwyMDA4LCwsLEVVUik=&amp;WINDOW=FIRST_POPUP&amp;HEIGHT=450&amp;WIDTH=450&amp;START_MA","XIMIZED=FALSE&amp;VAR:CALENDAR=FIVEDAY&amp;VAR:SYMBOL=677120&amp;VAR:INDEX=0"}</definedName>
    <definedName name="_1621__FDSAUDITLINK__" hidden="1">{"fdsup://directions/FAT Viewer?action=UPDATE&amp;creator=factset&amp;DYN_ARGS=TRUE&amp;DOC_NAME=FAT:FQL_AUDITING_CLIENT_TEMPLATE.FAT&amp;display_string=Audit&amp;VAR:KEY=KVMTUXKTSP&amp;VAR:QUERY=RkZfREVCVF9MVChNT04sMCwsLCxFVVIp&amp;WINDOW=FIRST_POPUP&amp;HEIGHT=450&amp;WIDTH=450&amp;START_MAXIMI","ZED=FALSE&amp;VAR:CALENDAR=FIVEDAY&amp;VAR:SYMBOL=677120&amp;VAR:INDEX=0"}</definedName>
    <definedName name="_1622__FDSAUDITLINK__" hidden="1">{"fdsup://directions/FAT Viewer?action=UPDATE&amp;creator=factset&amp;DYN_ARGS=TRUE&amp;DOC_NAME=FAT:FQL_AUDITING_CLIENT_TEMPLATE.FAT&amp;display_string=Audit&amp;VAR:KEY=YNQJIFUFKN&amp;VAR:QUERY=RkZfQ0FQRVgoQ0FMLDIwMDcsLCwsRVVSKQ==&amp;WINDOW=FIRST_POPUP&amp;HEIGHT=450&amp;WIDTH=450&amp;START_MA","XIMIZED=FALSE&amp;VAR:CALENDAR=FIVEDAY&amp;VAR:SYMBOL=667984&amp;VAR:INDEX=0"}</definedName>
    <definedName name="_1623__FDSAUDITLINK__" hidden="1">{"fdsup://directions/FAT Viewer?action=UPDATE&amp;creator=factset&amp;DYN_ARGS=TRUE&amp;DOC_NAME=FAT:FQL_AUDITING_CLIENT_TEMPLATE.FAT&amp;display_string=Audit&amp;VAR:KEY=IDKTOZEFSB&amp;VAR:QUERY=RkZfRUJJVERBKENBTCwyMDA5LCwsLEVVUik=&amp;WINDOW=FIRST_POPUP&amp;HEIGHT=450&amp;WIDTH=450&amp;START_MA","XIMIZED=FALSE&amp;VAR:CALENDAR=FIVEDAY&amp;VAR:SYMBOL=B0KS38&amp;VAR:INDEX=0"}</definedName>
    <definedName name="_1624__FDSAUDITLINK__" hidden="1">{"fdsup://directions/FAT Viewer?action=UPDATE&amp;creator=factset&amp;DYN_ARGS=TRUE&amp;DOC_NAME=FAT:FQL_AUDITING_CLIENT_TEMPLATE.FAT&amp;display_string=Audit&amp;VAR:KEY=KJUBKNMDMZ&amp;VAR:QUERY=RkZfRUJJVERBKENBTCwyMDA5LCwsLEVVUik=&amp;WINDOW=FIRST_POPUP&amp;HEIGHT=450&amp;WIDTH=450&amp;START_MA","XIMIZED=FALSE&amp;VAR:CALENDAR=FIVEDAY&amp;VAR:SYMBOL=B1Y47Y&amp;VAR:INDEX=0"}</definedName>
    <definedName name="_1625__FDSAUDITLINK__" hidden="1">{"fdsup://directions/FAT Viewer?action=UPDATE&amp;creator=factset&amp;DYN_ARGS=TRUE&amp;DOC_NAME=FAT:FQL_AUDITING_CLIENT_TEMPLATE.FAT&amp;display_string=Audit&amp;VAR:KEY=OVGFAJURAL&amp;VAR:QUERY=RkZfQ0FQRVgoQ0FMLDIwMDcsLCwsRVVSKQ==&amp;WINDOW=FIRST_POPUP&amp;HEIGHT=450&amp;WIDTH=450&amp;START_MA","XIMIZED=FALSE&amp;VAR:CALENDAR=FIVEDAY&amp;VAR:SYMBOL=07588710&amp;VAR:INDEX=0"}</definedName>
    <definedName name="_1626__FDSAUDITLINK__" hidden="1">{"fdsup://directions/FAT Viewer?action=UPDATE&amp;creator=factset&amp;DYN_ARGS=TRUE&amp;DOC_NAME=FAT:FQL_AUDITING_CLIENT_TEMPLATE.FAT&amp;display_string=Audit&amp;VAR:KEY=EHSHYFYJEJ&amp;VAR:QUERY=RkZfRUJJVChDQUwsMjAwNywsLCxFVVIp&amp;WINDOW=FIRST_POPUP&amp;HEIGHT=450&amp;WIDTH=450&amp;START_MAXIMI","ZED=FALSE&amp;VAR:CALENDAR=FIVEDAY&amp;VAR:SYMBOL=GLW&amp;VAR:INDEX=0"}</definedName>
    <definedName name="_1627__FDSAUDITLINK__" hidden="1">{"fdsup://directions/FAT Viewer?action=UPDATE&amp;creator=factset&amp;DYN_ARGS=TRUE&amp;DOC_NAME=FAT:FQL_AUDITING_CLIENT_TEMPLATE.FAT&amp;display_string=Audit&amp;VAR:KEY=KBIXWTKBWB&amp;VAR:QUERY=RkZfRUJJVERBKENBTCwyMDA4LCwsLEVVUik=&amp;WINDOW=FIRST_POPUP&amp;HEIGHT=450&amp;WIDTH=450&amp;START_MA","XIMIZED=FALSE&amp;VAR:CALENDAR=FIVEDAY&amp;VAR:SYMBOL=605520&amp;VAR:INDEX=0"}</definedName>
    <definedName name="_1628__FDSAUDITLINK__" hidden="1">{"fdsup://directions/FAT Viewer?action=UPDATE&amp;creator=factset&amp;DYN_ARGS=TRUE&amp;DOC_NAME=FAT:FQL_AUDITING_CLIENT_TEMPLATE.FAT&amp;display_string=Audit&amp;VAR:KEY=STOBITSZSH&amp;VAR:QUERY=RkZfRUJJVERBKENBTCwyMDA3LCwsLEVVUik=&amp;WINDOW=FIRST_POPUP&amp;HEIGHT=450&amp;WIDTH=450&amp;START_MA","XIMIZED=FALSE&amp;VAR:CALENDAR=FIVEDAY&amp;VAR:SYMBOL=605520&amp;VAR:INDEX=0"}</definedName>
    <definedName name="_1629__FDSAUDITLINK__" hidden="1">{"fdsup://directions/FAT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name="_163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1630__FDSAUDITLINK__" hidden="1">{"fdsup://directions/FAT Viewer?action=UPDATE&amp;creator=factset&amp;DYN_ARGS=TRUE&amp;DOC_NAME=FAT:FQL_AUDITING_CLIENT_TEMPLATE.FAT&amp;display_string=Audit&amp;VAR:KEY=MNMHYHYZMR&amp;VAR:QUERY=RkZfREVCVF9MVChNT04sMCwsLCxFVVIp&amp;WINDOW=FIRST_POPUP&amp;HEIGHT=450&amp;WIDTH=450&amp;START_MAXIMI","ZED=FALSE&amp;VAR:CALENDAR=FIVEDAY&amp;VAR:SYMBOL=TMO&amp;VAR:INDEX=0"}</definedName>
    <definedName name="_1631__FDSAUDITLINK__" hidden="1">{"fdsup://directions/FAT Viewer?action=UPDATE&amp;creator=factset&amp;DYN_ARGS=TRUE&amp;DOC_NAME=FAT:FQL_AUDITING_CLIENT_TEMPLATE.FAT&amp;display_string=Audit&amp;VAR:KEY=SPKVWHAPKB&amp;VAR:QUERY=RkZfREVCVF9MVChNT04sMCwsLCxFVVIp&amp;WINDOW=FIRST_POPUP&amp;HEIGHT=450&amp;WIDTH=450&amp;START_MAXIMI","ZED=FALSE&amp;VAR:CALENDAR=FIVEDAY&amp;VAR:SYMBOL=667984&amp;VAR:INDEX=0"}</definedName>
    <definedName name="_1632__FDSAUDITLINK__" hidden="1">{"fdsup://Directions/FactSet Auditing Viewer?action=AUDIT_VALUE&amp;DB=129&amp;ID1=571062&amp;VALUEID=01001&amp;SDATE=2007&amp;PERIODTYPE=ANN_STD&amp;window=popup_no_bar&amp;width=385&amp;height=120&amp;START_MAXIMIZED=FALSE&amp;creator=factset&amp;display_string=Audit"}</definedName>
    <definedName name="_1633__FDSAUDITLINK__" hidden="1">{"fdsup://Directions/FactSet Auditing Viewer?action=AUDIT_VALUE&amp;DB=129&amp;ID1=571062&amp;VALUEID=01001&amp;SDATE=2009&amp;PERIODTYPE=ANN_STD&amp;window=popup_no_bar&amp;width=385&amp;height=120&amp;START_MAXIMIZED=FALSE&amp;creator=factset&amp;display_string=Audit"}</definedName>
    <definedName name="_1634__FDSAUDITLINK__" hidden="1">{"fdsup://Directions/FactSet Auditing Viewer?action=AUDIT_VALUE&amp;DB=129&amp;ID1=571062&amp;VALUEID=P05202&amp;SDATE=2007&amp;PERIODTYPE=ANN_STD&amp;window=popup_no_bar&amp;width=385&amp;height=120&amp;START_MAXIMIZED=FALSE&amp;creator=factset&amp;display_string=Audit"}</definedName>
    <definedName name="_1635__FDSAUDITLINK__" hidden="1">{"fdsup://Directions/FactSet Auditing Viewer?action=AUDIT_VALUE&amp;DB=129&amp;ID1=571062&amp;VALUEID=P05202&amp;SDATE=2009&amp;PERIODTYPE=ANN_STD&amp;window=popup_no_bar&amp;width=385&amp;height=120&amp;START_MAXIMIZED=FALSE&amp;creator=factset&amp;display_string=Audit"}</definedName>
    <definedName name="_1636__FDSAUDITLINK__" hidden="1">{"fdsup://directions/FAT Viewer?action=UPDATE&amp;creator=factset&amp;DYN_ARGS=TRUE&amp;DOC_NAME=FAT:FQL_AUDITING_CLIENT_TEMPLATE.FAT&amp;display_string=Audit&amp;VAR:KEY=CZKZWTGVAP&amp;VAR:QUERY=RkZfQ0FQRVgoQ0FMLDIwMDgsLCwsRVVSKQ==&amp;WINDOW=FIRST_POPUP&amp;HEIGHT=450&amp;WIDTH=450&amp;START_MA","XIMIZED=FALSE&amp;VAR:CALENDAR=FIVEDAY&amp;VAR:SYMBOL=653031&amp;VAR:INDEX=0"}</definedName>
    <definedName name="_1637__FDSAUDITLINK__" hidden="1">{"fdsup://Directions/FactSet Auditing Viewer?action=AUDIT_VALUE&amp;DB=129&amp;ID1=88355610&amp;VALUEID=01001&amp;SDATE=2007&amp;PERIODTYPE=ANN_STD&amp;window=popup_no_bar&amp;width=385&amp;height=120&amp;START_MAXIMIZED=FALSE&amp;creator=factset&amp;display_string=Audit"}</definedName>
    <definedName name="_1638__FDSAUDITLINK__" hidden="1">{"fdsup://directions/FAT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name="_1639__FDSAUDITLINK__" hidden="1">{"fdsup://directions/FAT Viewer?action=UPDATE&amp;creator=factset&amp;DYN_ARGS=TRUE&amp;DOC_NAME=FAT:FQL_AUDITING_CLIENT_TEMPLATE.FAT&amp;display_string=Audit&amp;VAR:KEY=EPIZMREBKV&amp;VAR:QUERY=RkZfQ0FQRVgoQ0FMLDIwMDksLCwsRVVSKQ==&amp;WINDOW=FIRST_POPUP&amp;HEIGHT=450&amp;WIDTH=450&amp;START_MA","XIMIZED=FALSE&amp;VAR:CALENDAR=FIVEDAY&amp;VAR:SYMBOL=516606&amp;VAR:INDEX=0"}</definedName>
    <definedName name="_16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1640__FDSAUDITLINK__" hidden="1">{"fdsup://directions/FAT Viewer?action=UPDATE&amp;creator=factset&amp;DYN_ARGS=TRUE&amp;DOC_NAME=FAT:FQL_AUDITING_CLIENT_TEMPLATE.FAT&amp;display_string=Audit&amp;VAR:KEY=QTUZMNKTSF&amp;VAR:QUERY=RkZfRUJJVChDQUwsMjAwOCwsLCxFVVIp&amp;WINDOW=FIRST_POPUP&amp;HEIGHT=450&amp;WIDTH=450&amp;START_MAXIMI","ZED=FALSE&amp;VAR:CALENDAR=FIVEDAY&amp;VAR:SYMBOL=602129&amp;VAR:INDEX=0"}</definedName>
    <definedName name="_1641__FDSAUDITLINK__" hidden="1">{"fdsup://directions/FAT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name="_1642__FDSAUDITLINK__" hidden="1">{"fdsup://directions/FAT Viewer?action=UPDATE&amp;creator=factset&amp;DYN_ARGS=TRUE&amp;DOC_NAME=FAT:FQL_AUDITING_CLIENT_TEMPLATE.FAT&amp;display_string=Audit&amp;VAR:KEY=IZEXYTSDUT&amp;VAR:QUERY=RkZfRUJJVChDQUwsMjAwOSwsLCxFVVIp&amp;WINDOW=FIRST_POPUP&amp;HEIGHT=450&amp;WIDTH=450&amp;START_MAXIMI","ZED=FALSE&amp;VAR:CALENDAR=FIVEDAY&amp;VAR:SYMBOL=602129&amp;VAR:INDEX=0"}</definedName>
    <definedName name="_1643__FDSAUDITLINK__" hidden="1">{"fdsup://directions/FAT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name="_1644__FDSAUDITLINK__" hidden="1">{"fdsup://directions/FAT Viewer?action=UPDATE&amp;creator=factset&amp;DYN_ARGS=TRUE&amp;DOC_NAME=FAT:FQL_AUDITING_CLIENT_TEMPLATE.FAT&amp;display_string=Audit&amp;VAR:KEY=UBINQBWJOB&amp;VAR:QUERY=RkZfRUJJVERBKENBTCwyMDA4LCwsLEVVUik=&amp;WINDOW=FIRST_POPUP&amp;HEIGHT=450&amp;WIDTH=450&amp;START_MA","XIMIZED=FALSE&amp;VAR:CALENDAR=FIVEDAY&amp;VAR:SYMBOL=B1Y47Y&amp;VAR:INDEX=0"}</definedName>
    <definedName name="_1645__FDSAUDITLINK__" hidden="1">{"fdsup://directions/FAT Viewer?action=UPDATE&amp;creator=factset&amp;DYN_ARGS=TRUE&amp;DOC_NAME=FAT:FQL_AUDITING_CLIENT_TEMPLATE.FAT&amp;display_string=Audit&amp;VAR:KEY=GDWZKRMHYB&amp;VAR:QUERY=RkZfRUJJVERBKENBTCwyMDA5LCwsLEVVUik=&amp;WINDOW=FIRST_POPUP&amp;HEIGHT=450&amp;WIDTH=450&amp;START_MA","XIMIZED=FALSE&amp;VAR:CALENDAR=FIVEDAY&amp;VAR:SYMBOL=602129&amp;VAR:INDEX=0"}</definedName>
    <definedName name="_1646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47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48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49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1650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1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2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3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4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5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6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7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8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9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1660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1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2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3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4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5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6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7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8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9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1670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1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2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3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4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5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6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7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8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9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__123Graph_Xｸﾞﾗﾌ_4" hidden="1">#REF!</definedName>
    <definedName name="_168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1680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1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2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3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4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5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6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7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8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9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__123Graph_Xｸﾞﾗﾌ_5" hidden="1">#REF!</definedName>
    <definedName name="_169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1690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1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2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3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4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5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6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7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8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9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ALA642C761" hidden="1">#N/A</definedName>
    <definedName name="_17__123Graph_AC04C_ALL_L2" hidden="1">#REF!</definedName>
    <definedName name="_17__123Graph_AC04C_FF_L" hidden="1">#REF!</definedName>
    <definedName name="_17__123Graph_DCHART_1" hidden="1">#REF!</definedName>
    <definedName name="_17__123Graph_DCHART_2" hidden="1">#REF!</definedName>
    <definedName name="_17__123Graph_DCHART_3" hidden="1">#REF!</definedName>
    <definedName name="_17__123Graph_EHR_BY_OEM" hidden="1">#REF!</definedName>
    <definedName name="_17__123Graph_LBL_BCHART_4" hidden="1">#REF!</definedName>
    <definedName name="_17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170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1700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1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2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3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4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5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6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7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8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9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1710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1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2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3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4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5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6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7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8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9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__FDSAUDITLINK__" hidden="1">{"fdsup://directions/FAT Viewer?action=UPDATE&amp;creator=factset&amp;DYN_ARGS=TRUE&amp;DOC_NAME=FAT:FQL_AUDITING_CLIENT_TEMPLATE.FAT&amp;display_string=Audit&amp;VAR:KEY=HGNCRQBMJG&amp;VAR:QUERY=RkZfRUJJVF9JQihBTk4sMjAwNywsLFJGLEVVUik=&amp;WINDOW=FIRST_POPUP&amp;HEIGHT=450&amp;WIDTH=450&amp;STAR","T_MAXIMIZED=FALSE&amp;VAR:CALENDAR=FIVEDAY&amp;VAR:SYMBOL=552902&amp;VAR:INDEX=0"}</definedName>
    <definedName name="_1720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1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2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3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4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5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6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7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8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9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1730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1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2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3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4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5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6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7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8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9__FDSAUDITLINK__" hidden="1">{"fdsup://directions/FAT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1740__FDSAUDITLINK__" hidden="1">{"fdsup://directions/FAT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41__FDSAUDITLINK__" hidden="1">{"fdsup://directions/FAT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42__FDSAUDITLINK__" hidden="1">{"fdsup://directions/FAT Viewer?action=UPDATE&amp;creator=factset&amp;DYN_ARGS=TRUE&amp;DOC_NAME=FAT:FQL_AUDITING_CLIENT_TEMPLATE.FAT&amp;display_string=Audit&amp;VAR:KEY=SFCBSNUDIJ&amp;VAR:QUERY=RkZfQ0FQRVgoQ0FMLDIwMDksLCwsRVVSKQ==&amp;WINDOW=FIRST_POPUP&amp;HEIGHT=450&amp;WIDTH=450&amp;START_MA","XIMIZED=FALSE&amp;VAR:CALENDAR=FIVEDAY&amp;VAR:SYMBOL=TMO&amp;VAR:INDEX=0"}</definedName>
    <definedName name="_1743__FDSAUDITLINK__" hidden="1">{"fdsup://directions/FAT Viewer?action=UPDATE&amp;creator=factset&amp;DYN_ARGS=TRUE&amp;DOC_NAME=FAT:FQL_AUDITING_CLIENT_TEMPLATE.FAT&amp;display_string=Audit&amp;VAR:KEY=MNCBSPSHMD&amp;VAR:QUERY=RkZfREVCVF9MVChNT04sMCwsLCxFVVIp&amp;WINDOW=FIRST_POPUP&amp;HEIGHT=450&amp;WIDTH=450&amp;START_MAXIMI","ZED=FALSE&amp;VAR:CALENDAR=FIVEDAY&amp;VAR:SYMBOL=653031&amp;VAR:INDEX=0"}</definedName>
    <definedName name="_1744__FDSAUDITLINK__" hidden="1">{"fdsup://directions/FAT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name="_1745__FDSAUDITLINK__" hidden="1">{"fdsup://directions/FAT Viewer?action=UPDATE&amp;creator=factset&amp;DYN_ARGS=TRUE&amp;DOC_NAME=FAT:FQL_AUDITING_CLIENT_TEMPLATE.FAT&amp;display_string=Audit&amp;VAR:KEY=QJEDUTEDIT&amp;VAR:QUERY=RkZfRUJJVERBKENBTCwyMDA4LCwsLEVVUik=&amp;WINDOW=FIRST_POPUP&amp;HEIGHT=450&amp;WIDTH=450&amp;START_MA","XIMIZED=FALSE&amp;VAR:CALENDAR=FIVEDAY&amp;VAR:SYMBOL=FOE&amp;VAR:INDEX=0"}</definedName>
    <definedName name="_1746__FDSAUDITLINK__" hidden="1">{"fdsup://directions/FAT Viewer?action=UPDATE&amp;creator=factset&amp;DYN_ARGS=TRUE&amp;DOC_NAME=FAT:FQL_AUDITING_CLIENT_TEMPLATE.FAT&amp;display_string=Audit&amp;VAR:KEY=WTIFGXGDKH&amp;VAR:QUERY=RkZfQ0FQRVgoQ0FMLDIwMDcsLCwsRVVSKQ==&amp;WINDOW=FIRST_POPUP&amp;HEIGHT=450&amp;WIDTH=450&amp;START_MA","XIMIZED=FALSE&amp;VAR:CALENDAR=FIVEDAY&amp;VAR:SYMBOL=OI&amp;VAR:INDEX=0"}</definedName>
    <definedName name="_1747__FDSAUDITLINK__" hidden="1">{"fdsup://directions/FAT Viewer?action=UPDATE&amp;creator=factset&amp;DYN_ARGS=TRUE&amp;DOC_NAME=FAT:FQL_AUDITING_CLIENT_TEMPLATE.FAT&amp;display_string=Audit&amp;VAR:KEY=SVGBYTUDIF&amp;VAR:QUERY=RkZfRUJJVChDQUwsMjAwOCwsLCxFVVIp&amp;WINDOW=FIRST_POPUP&amp;HEIGHT=450&amp;WIDTH=450&amp;START_MAXIMI","ZED=FALSE&amp;VAR:CALENDAR=FIVEDAY&amp;VAR:SYMBOL=646706&amp;VAR:INDEX=0"}</definedName>
    <definedName name="_1748__FDSAUDITLINK__" hidden="1">{"fdsup://directions/FAT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name="_1749__FDSAUDITLINK__" hidden="1">{"fdsup://directions/FAT Viewer?action=UPDATE&amp;creator=factset&amp;DYN_ARGS=TRUE&amp;DOC_NAME=FAT:FQL_AUDITING_CLIENT_TEMPLATE.FAT&amp;display_string=Audit&amp;VAR:KEY=HGJYLWTQRM&amp;VAR:QUERY=RkZfRUJJVChDQUwsMjAwOCwsLCxFVVIp&amp;WINDOW=FIRST_POPUP&amp;HEIGHT=450&amp;WIDTH=450&amp;START_MAXIMI","ZED=FALSE&amp;VAR:CALENDAR=FIVEDAY&amp;VAR:SYMBOL=516606&amp;VAR:INDEX=0"}</definedName>
    <definedName name="_175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175_0Rwvu.Pag" hidden="1">#N/A</definedName>
    <definedName name="_1750__FDSAUDITLINK__" hidden="1">{"fdsup://directions/FAT Viewer?action=UPDATE&amp;creator=factset&amp;DYN_ARGS=TRUE&amp;DOC_NAME=FAT:FQL_AUDITING_CLIENT_TEMPLATE.FAT&amp;display_string=Audit&amp;VAR:KEY=VEPIXEVKBW&amp;VAR:QUERY=RkZfRUJJVERBKENBTCwyMDA5LCwsLEVVUik=&amp;WINDOW=FIRST_POPUP&amp;HEIGHT=450&amp;WIDTH=450&amp;START_MA","XIMIZED=FALSE&amp;VAR:CALENDAR=FIVEDAY&amp;VAR:SYMBOL=677120&amp;VAR:INDEX=0"}</definedName>
    <definedName name="_1751__FDSAUDITLINK__" hidden="1">{"fdsup://directions/FAT Viewer?action=UPDATE&amp;creator=factset&amp;DYN_ARGS=TRUE&amp;DOC_NAME=FAT:FQL_AUDITING_CLIENT_TEMPLATE.FAT&amp;display_string=Audit&amp;VAR:KEY=DWDYLWNCXM&amp;VAR:QUERY=RkZfRUJJVChDQUwsMjAwOCwsLCxFVVIp&amp;WINDOW=FIRST_POPUP&amp;HEIGHT=450&amp;WIDTH=450&amp;START_MAXIMI","ZED=FALSE&amp;VAR:CALENDAR=FIVEDAY&amp;VAR:SYMBOL=677120&amp;VAR:INDEX=0"}</definedName>
    <definedName name="_1752__FDSAUDITLINK__" hidden="1">{"fdsup://directions/FAT Viewer?action=UPDATE&amp;creator=factset&amp;DYN_ARGS=TRUE&amp;DOC_NAME=FAT:FQL_AUDITING_CLIENT_TEMPLATE.FAT&amp;display_string=Audit&amp;VAR:KEY=ATGJKRWVEP&amp;VAR:QUERY=RkZfRUJJVERBKENBTCwyMDA3LCwsLEVVUik=&amp;WINDOW=FIRST_POPUP&amp;HEIGHT=450&amp;WIDTH=450&amp;START_MA","XIMIZED=FALSE&amp;VAR:CALENDAR=FIVEDAY&amp;VAR:SYMBOL=FOE&amp;VAR:INDEX=0"}</definedName>
    <definedName name="_1753__FDSAUDITLINK__" hidden="1">{"fdsup://directions/FAT Viewer?action=UPDATE&amp;creator=factset&amp;DYN_ARGS=TRUE&amp;DOC_NAME=FAT:FQL_AUDITING_CLIENT_TEMPLATE.FAT&amp;display_string=Audit&amp;VAR:KEY=FCHUPMHYFE&amp;VAR:QUERY=RkZfRUJJVChDQUwsMjAwOSwsLCxFVVIp&amp;WINDOW=FIRST_POPUP&amp;HEIGHT=450&amp;WIDTH=450&amp;START_MAXIMI","ZED=FALSE&amp;VAR:CALENDAR=FIVEDAY&amp;VAR:SYMBOL=646706&amp;VAR:INDEX=0"}</definedName>
    <definedName name="_1754__FDSAUDITLINK__" hidden="1">{"fdsup://directions/FAT Viewer?action=UPDATE&amp;creator=factset&amp;DYN_ARGS=TRUE&amp;DOC_NAME=FAT:FQL_AUDITING_CLIENT_TEMPLATE.FAT&amp;display_string=Audit&amp;VAR:KEY=FYBMDQJAPE&amp;VAR:QUERY=RkZfQ0FQRVgoQ0FMLDIwMDksLCwsRVVSKQ==&amp;WINDOW=FIRST_POPUP&amp;HEIGHT=450&amp;WIDTH=450&amp;START_MA","XIMIZED=FALSE&amp;VAR:CALENDAR=FIVEDAY&amp;VAR:SYMBOL=677120&amp;VAR:INDEX=0"}</definedName>
    <definedName name="_1755__FDSAUDITLINK__" hidden="1">{"fdsup://directions/FAT Viewer?action=UPDATE&amp;creator=factset&amp;DYN_ARGS=TRUE&amp;DOC_NAME=FAT:FQL_AUDITING_CLIENT_TEMPLATE.FAT&amp;display_string=Audit&amp;VAR:KEY=UTCPGRWTYZ&amp;VAR:QUERY=RkZfRUJJVChDQUwsMjAwOSwsLCxFVVIp&amp;WINDOW=FIRST_POPUP&amp;HEIGHT=450&amp;WIDTH=450&amp;START_MAXIMI","ZED=FALSE&amp;VAR:CALENDAR=FIVEDAY&amp;VAR:SYMBOL=SIAL&amp;VAR:INDEX=0"}</definedName>
    <definedName name="_1756__FDSAUDITLINK__" hidden="1">{"fdsup://directions/FAT Viewer?action=UPDATE&amp;creator=factset&amp;DYN_ARGS=TRUE&amp;DOC_NAME=FAT:FQL_AUDITING_CLIENT_TEMPLATE.FAT&amp;display_string=Audit&amp;VAR:KEY=GFCNKRUVQH&amp;VAR:QUERY=RkZfRUJJVChDQUwsMjAwNywsLCxFVVIp&amp;WINDOW=FIRST_POPUP&amp;HEIGHT=450&amp;WIDTH=450&amp;START_MAXIMI","ZED=FALSE&amp;VAR:CALENDAR=FIVEDAY&amp;VAR:SYMBOL=SIAL&amp;VAR:INDEX=0"}</definedName>
    <definedName name="_1757__FDSAUDITLINK__" hidden="1">{"fdsup://directions/FAT Viewer?action=UPDATE&amp;creator=factset&amp;DYN_ARGS=TRUE&amp;DOC_NAME=FAT:FQL_AUDITING_CLIENT_TEMPLATE.FAT&amp;display_string=Audit&amp;VAR:KEY=IRIJEPYNKB&amp;VAR:QUERY=RkZfRUJJVChDQUwsMjAwNywsLCxFVVIp&amp;WINDOW=FIRST_POPUP&amp;HEIGHT=450&amp;WIDTH=450&amp;START_MAXIMI","ZED=FALSE&amp;VAR:CALENDAR=FIVEDAY&amp;VAR:SYMBOL=653031&amp;VAR:INDEX=0"}</definedName>
    <definedName name="_1758__FDSAUDITLINK__" hidden="1">{"fdsup://directions/FAT Viewer?action=UPDATE&amp;creator=factset&amp;DYN_ARGS=TRUE&amp;DOC_NAME=FAT:FQL_AUDITING_CLIENT_TEMPLATE.FAT&amp;display_string=Audit&amp;VAR:KEY=FKHIBWDQXU&amp;VAR:QUERY=RkZfRUJJVChDQUwsMjAwOSwsLCxFVVIp&amp;WINDOW=FIRST_POPUP&amp;HEIGHT=450&amp;WIDTH=450&amp;START_MAXIMI","ZED=FALSE&amp;VAR:CALENDAR=FIVEDAY&amp;VAR:SYMBOL=667984&amp;VAR:INDEX=0"}</definedName>
    <definedName name="_1759__FDSAUDITLINK__" hidden="1">{"fdsup://directions/FAT Viewer?action=UPDATE&amp;creator=factset&amp;DYN_ARGS=TRUE&amp;DOC_NAME=FAT:FQL_AUDITING_CLIENT_TEMPLATE.FAT&amp;display_string=Audit&amp;VAR:KEY=XORAVGRQPK&amp;VAR:QUERY=RkZfRUJJVERBKENBTCwyMDA4LCwsLEVVUik=&amp;WINDOW=FIRST_POPUP&amp;HEIGHT=450&amp;WIDTH=450&amp;START_MA","XIMIZED=FALSE&amp;VAR:CALENDAR=FIVEDAY&amp;VAR:SYMBOL=677120&amp;VAR:INDEX=0"}</definedName>
    <definedName name="_176__FDSAUDITLINK__" hidden="1">{"fdsup://directions/FAT Viewer?action=UPDATE&amp;creator=factset&amp;DYN_ARGS=TRUE&amp;DOC_NAME=FAT:FQL_AUDITING_CLIENT_TEMPLATE.FAT&amp;display_string=Audit&amp;VAR:KEY=HIRCZMXORK&amp;VAR:QUERY=RkZfRUJJVF9JQihBTk4sMjAwOCwsLFJGLEVVUik=&amp;WINDOW=FIRST_POPUP&amp;HEIGHT=450&amp;WIDTH=450&amp;STAR","T_MAXIMIZED=FALSE&amp;VAR:CALENDAR=FIVEDAY&amp;VAR:SYMBOL=575602&amp;VAR:INDEX=0"}</definedName>
    <definedName name="_1760__FDSAUDITLINK__" hidden="1">{"fdsup://directions/FAT Viewer?action=UPDATE&amp;creator=factset&amp;DYN_ARGS=TRUE&amp;DOC_NAME=FAT:FQL_AUDITING_CLIENT_TEMPLATE.FAT&amp;display_string=Audit&amp;VAR:KEY=WNGZOXEFIV&amp;VAR:QUERY=RkZfRUJJVERBKENBTCwyMDA4LCwsLEVVUik=&amp;WINDOW=FIRST_POPUP&amp;HEIGHT=450&amp;WIDTH=450&amp;START_MA","XIMIZED=FALSE&amp;VAR:CALENDAR=FIVEDAY&amp;VAR:SYMBOL=653031&amp;VAR:INDEX=0"}</definedName>
    <definedName name="_1761__FDSAUDITLINK__" hidden="1">{"fdsup://directions/FAT Viewer?action=UPDATE&amp;creator=factset&amp;DYN_ARGS=TRUE&amp;DOC_NAME=FAT:FQL_AUDITING_CLIENT_TEMPLATE.FAT&amp;display_string=Audit&amp;VAR:KEY=IPKXAJCDYL&amp;VAR:QUERY=RkZfRUJJVChDQUwsMjAwNywsLCxFVVIp&amp;WINDOW=FIRST_POPUP&amp;HEIGHT=450&amp;WIDTH=450&amp;START_MAXIMI","ZED=FALSE&amp;VAR:CALENDAR=FIVEDAY&amp;VAR:SYMBOL=677120&amp;VAR:INDEX=0"}</definedName>
    <definedName name="_1762__FDSAUDITLINK__" hidden="1">{"fdsup://directions/FAT Viewer?action=UPDATE&amp;creator=factset&amp;DYN_ARGS=TRUE&amp;DOC_NAME=FAT:FQL_AUDITING_CLIENT_TEMPLATE.FAT&amp;display_string=Audit&amp;VAR:KEY=WXATAJGLWV&amp;VAR:QUERY=RkZfRUJJVChDQUwsMjAwOSwsLCxFVVIp&amp;WINDOW=FIRST_POPUP&amp;HEIGHT=450&amp;WIDTH=450&amp;START_MAXIMI","ZED=FALSE&amp;VAR:CALENDAR=FIVEDAY&amp;VAR:SYMBOL=677120&amp;VAR:INDEX=0"}</definedName>
    <definedName name="_1763__FDSAUDITLINK__" hidden="1">{"fdsup://Directions/FactSet Auditing Viewer?action=AUDIT_VALUE&amp;DB=129&amp;ID1=59268810&amp;VALUEID=01001&amp;SDATE=2009&amp;PERIODTYPE=ANN_STD&amp;window=popup_no_bar&amp;width=385&amp;height=120&amp;START_MAXIMIZED=FALSE&amp;creator=factset&amp;display_string=Audit"}</definedName>
    <definedName name="_1764__FDSAUDITLINK__" hidden="1">{"fdsup://directions/FAT Viewer?action=UPDATE&amp;creator=factset&amp;DYN_ARGS=TRUE&amp;DOC_NAME=FAT:FQL_AUDITING_CLIENT_TEMPLATE.FAT&amp;display_string=Audit&amp;VAR:KEY=VCHWFIVWDM&amp;VAR:QUERY=RkZfQ0FQRVgoQ0FMLDIwMDgsLCwsRVVSKQ==&amp;WINDOW=FIRST_POPUP&amp;HEIGHT=450&amp;WIDTH=450&amp;START_MA","XIMIZED=FALSE&amp;VAR:CALENDAR=FIVEDAY&amp;VAR:SYMBOL=677120&amp;VAR:INDEX=0"}</definedName>
    <definedName name="_1765__FDSAUDITLINK__" hidden="1">{"fdsup://directions/FAT Viewer?action=UPDATE&amp;creator=factset&amp;DYN_ARGS=TRUE&amp;DOC_NAME=FAT:FQL_AUDITING_CLIENT_TEMPLATE.FAT&amp;display_string=Audit&amp;VAR:KEY=WRWDSHCHOP&amp;VAR:QUERY=RkZfRUJJVERBKENBTCwyMDA3LCwsLEVVUik=&amp;WINDOW=FIRST_POPUP&amp;HEIGHT=450&amp;WIDTH=450&amp;START_MA","XIMIZED=FALSE&amp;VAR:CALENDAR=FIVEDAY&amp;VAR:SYMBOL=606660&amp;VAR:INDEX=0"}</definedName>
    <definedName name="_1766__FDSAUDITLINK__" hidden="1">{"fdsup://directions/FAT Viewer?action=UPDATE&amp;creator=factset&amp;DYN_ARGS=TRUE&amp;DOC_NAME=FAT:FQL_AUDITING_CLIENT_TEMPLATE.FAT&amp;display_string=Audit&amp;VAR:KEY=WJQTSZOFYL&amp;VAR:QUERY=RkZfRUJJVChDQUwsMjAwOSwsLCxFVVIp&amp;WINDOW=FIRST_POPUP&amp;HEIGHT=450&amp;WIDTH=450&amp;START_MAXIMI","ZED=FALSE&amp;VAR:CALENDAR=FIVEDAY&amp;VAR:SYMBOL=B1Y47Y&amp;VAR:INDEX=0"}</definedName>
    <definedName name="_1767__FDSAUDITLINK__" hidden="1">{"fdsup://directions/FAT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name="_1768__FDSAUDITLINK__" hidden="1">{"fdsup://directions/FAT Viewer?action=UPDATE&amp;creator=factset&amp;DYN_ARGS=TRUE&amp;DOC_NAME=FAT:FQL_AUDITING_CLIENT_TEMPLATE.FAT&amp;display_string=Audit&amp;VAR:KEY=GJMPYHSNWL&amp;VAR:QUERY=RkZfREVCVF9MVChNT04sMCwsLCxFVVIp&amp;WINDOW=FIRST_POPUP&amp;HEIGHT=450&amp;WIDTH=450&amp;START_MAXIMI","ZED=FALSE&amp;VAR:CALENDAR=FIVEDAY&amp;VAR:SYMBOL=B0KS38&amp;VAR:INDEX=0"}</definedName>
    <definedName name="_1769__FDSAUDITLINK__" hidden="1">{"fdsup://directions/FAT Viewer?action=UPDATE&amp;creator=factset&amp;DYN_ARGS=TRUE&amp;DOC_NAME=FAT:FQL_AUDITING_CLIENT_TEMPLATE.FAT&amp;display_string=Audit&amp;VAR:KEY=CPWJGREBCV&amp;VAR:QUERY=RkZfREVCVF9MVChNT04sMCwsLCxFVVIp&amp;WINDOW=FIRST_POPUP&amp;HEIGHT=450&amp;WIDTH=450&amp;START_MAXIMI","ZED=FALSE&amp;VAR:CALENDAR=FIVEDAY&amp;VAR:SYMBOL=516606&amp;VAR:INDEX=0"}</definedName>
    <definedName name="_177__FDSAUDITLINK__" hidden="1">{"fdsup://directions/FAT Viewer?action=UPDATE&amp;creator=factset&amp;DYN_ARGS=TRUE&amp;DOC_NAME=FAT:FQL_AUDITING_CLIENT_TEMPLATE.FAT&amp;display_string=Audit&amp;VAR:KEY=XYJQXOFCFW&amp;VAR:QUERY=RkZfRUJJVF9JQihBTk4sMjAwNywsLFJGLEVVUik=&amp;WINDOW=FIRST_POPUP&amp;HEIGHT=450&amp;WIDTH=450&amp;STAR","T_MAXIMIZED=FALSE&amp;VAR:CALENDAR=FIVEDAY&amp;VAR:SYMBOL=575602&amp;VAR:INDEX=0"}</definedName>
    <definedName name="_1770__FDSAUDITLINK__" hidden="1">{"fdsup://Directions/FactSet Auditing Viewer?action=AUDIT_VALUE&amp;DB=129&amp;ID1=69076840&amp;VALUEID=01001&amp;SDATE=2008&amp;PERIODTYPE=ANN_STD&amp;window=popup_no_bar&amp;width=385&amp;height=120&amp;START_MAXIMIZED=FALSE&amp;creator=factset&amp;display_string=Audit"}</definedName>
    <definedName name="_1771__FDSAUDITLINK__" hidden="1">{"fdsup://directions/FAT Viewer?action=UPDATE&amp;creator=factset&amp;DYN_ARGS=TRUE&amp;DOC_NAME=FAT:FQL_AUDITING_CLIENT_TEMPLATE.FAT&amp;display_string=Audit&amp;VAR:KEY=ONYLGHKNYF&amp;VAR:QUERY=RkZfQ0FQRVgoQ0FMLDIwMDcsLCwsRVVSKQ==&amp;WINDOW=FIRST_POPUP&amp;HEIGHT=450&amp;WIDTH=450&amp;START_MA","XIMIZED=FALSE&amp;VAR:CALENDAR=FIVEDAY&amp;VAR:SYMBOL=B1Y47Y&amp;VAR:INDEX=0"}</definedName>
    <definedName name="_1772__FDSAUDITLINK__" hidden="1">{"fdsup://directions/FAT Viewer?action=UPDATE&amp;creator=factset&amp;DYN_ARGS=TRUE&amp;DOC_NAME=FAT:FQL_AUDITING_CLIENT_TEMPLATE.FAT&amp;display_string=Audit&amp;VAR:KEY=YVQBGFGPIF&amp;VAR:QUERY=RkZfREVCVF9MVChNT04sMCwsLCxFVVIp&amp;WINDOW=FIRST_POPUP&amp;HEIGHT=450&amp;WIDTH=450&amp;START_MAXIMI","ZED=FALSE&amp;VAR:CALENDAR=FIVEDAY&amp;VAR:SYMBOL=646706&amp;VAR:INDEX=0"}</definedName>
    <definedName name="_1773__FDSAUDITLINK__" hidden="1">{"fdsup://directions/FAT Viewer?action=UPDATE&amp;creator=factset&amp;DYN_ARGS=TRUE&amp;DOC_NAME=FAT:FQL_AUDITING_CLIENT_TEMPLATE.FAT&amp;display_string=Audit&amp;VAR:KEY=GHAVQTGFWJ&amp;VAR:QUERY=RkZfQ0FQRVgoQ0FMLDIwMDksLCwsRVVSKQ==&amp;WINDOW=FIRST_POPUP&amp;HEIGHT=450&amp;WIDTH=450&amp;START_MA","XIMIZED=FALSE&amp;VAR:CALENDAR=FIVEDAY&amp;VAR:SYMBOL=223350&amp;VAR:INDEX=0"}</definedName>
    <definedName name="_1774__FDSAUDITLINK__" hidden="1">{"fdsup://Directions/FactSet Auditing Viewer?action=AUDIT_VALUE&amp;DB=129&amp;ID1=88355610&amp;VALUEID=01001&amp;SDATE=2009&amp;PERIODTYPE=ANN_STD&amp;window=popup_no_bar&amp;width=385&amp;height=120&amp;START_MAXIMIZED=FALSE&amp;creator=factset&amp;display_string=Audit"}</definedName>
    <definedName name="_1775__FDSAUDITLINK__" hidden="1">{"fdsup://directions/FAT Viewer?action=UPDATE&amp;creator=factset&amp;DYN_ARGS=TRUE&amp;DOC_NAME=FAT:FQL_AUDITING_CLIENT_TEMPLATE.FAT&amp;display_string=Audit&amp;VAR:KEY=LGPQHAXWXW&amp;VAR:QUERY=RkZfQ0FQRVgoQ0FMLDIwMDcsLCwsRVVSKQ==&amp;WINDOW=FIRST_POPUP&amp;HEIGHT=450&amp;WIDTH=450&amp;START_MA","XIMIZED=FALSE&amp;VAR:CALENDAR=FIVEDAY&amp;VAR:SYMBOL=516606&amp;VAR:INDEX=0"}</definedName>
    <definedName name="_1776__FDSAUDITLINK__" hidden="1">{"fdsup://directions/FAT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name="_1777__FDSAUDITLINK__" hidden="1">{"fdsup://directions/FAT Viewer?action=UPDATE&amp;creator=factset&amp;DYN_ARGS=TRUE&amp;DOC_NAME=FAT:FQL_AUDITING_CLIENT_TEMPLATE.FAT&amp;display_string=Audit&amp;VAR:KEY=IZQRCVIHEF&amp;VAR:QUERY=RkZfREVCVF9MVChNT04sMCwsLCxFVVIp&amp;WINDOW=FIRST_POPUP&amp;HEIGHT=450&amp;WIDTH=450&amp;START_MAXIMI","ZED=FALSE&amp;VAR:CALENDAR=FIVEDAY&amp;VAR:SYMBOL=GLW&amp;VAR:INDEX=0"}</definedName>
    <definedName name="_1778__FDSAUDITLINK__" hidden="1">{"fdsup://directions/FAT Viewer?action=UPDATE&amp;creator=factset&amp;DYN_ARGS=TRUE&amp;DOC_NAME=FAT:FQL_AUDITING_CLIENT_TEMPLATE.FAT&amp;display_string=Audit&amp;VAR:KEY=FAPSJIPMPK&amp;VAR:QUERY=RkZfRUJJVERBKENBTCwyMDA3LCwsLEVVUik=&amp;WINDOW=FIRST_POPUP&amp;HEIGHT=450&amp;WIDTH=450&amp;START_MA","XIMIZED=FALSE&amp;VAR:CALENDAR=FIVEDAY&amp;VAR:SYMBOL=516606&amp;VAR:INDEX=0"}</definedName>
    <definedName name="_1779__FDSAUDITLINK__" hidden="1">{"fdsup://directions/FAT Viewer?action=UPDATE&amp;creator=factset&amp;DYN_ARGS=TRUE&amp;DOC_NAME=FAT:FQL_AUDITING_CLIENT_TEMPLATE.FAT&amp;display_string=Audit&amp;VAR:KEY=QPEBKTADIT&amp;VAR:QUERY=RkZfREVCVF9MVChNT04sMCwsLCxFVVIp&amp;WINDOW=FIRST_POPUP&amp;HEIGHT=450&amp;WIDTH=450&amp;START_MAXIMI","ZED=FALSE&amp;VAR:CALENDAR=FIVEDAY&amp;VAR:SYMBOL=B1Y47Y&amp;VAR:INDEX=0"}</definedName>
    <definedName name="_178__FDSAUDITLINK__" hidden="1">{"fdsup://directions/FAT Viewer?action=UPDATE&amp;creator=factset&amp;DYN_ARGS=TRUE&amp;DOC_NAME=FAT:FQL_AUDITING_CLIENT_TEMPLATE.FAT&amp;display_string=Audit&amp;VAR:KEY=PYJIBGXONK&amp;VAR:QUERY=RkZfRUJJVF9JQihBTk4sMjAwOSwsLFJGLEVVUik=&amp;WINDOW=FIRST_POPUP&amp;HEIGHT=450&amp;WIDTH=450&amp;STAR","T_MAXIMIZED=FALSE&amp;VAR:CALENDAR=FIVEDAY&amp;VAR:SYMBOL=552902&amp;VAR:INDEX=0"}</definedName>
    <definedName name="_1780__FDSAUDITLINK__" hidden="1">{"fdsup://directions/FAT Viewer?action=UPDATE&amp;creator=factset&amp;DYN_ARGS=TRUE&amp;DOC_NAME=FAT:FQL_AUDITING_CLIENT_TEMPLATE.FAT&amp;display_string=Audit&amp;VAR:KEY=AVURCLCPEF&amp;VAR:QUERY=RkZfRUJJVChDQUwsMjAwOCwsLCxFVVIp&amp;WINDOW=FIRST_POPUP&amp;HEIGHT=450&amp;WIDTH=450&amp;START_MAXIMI","ZED=FALSE&amp;VAR:CALENDAR=FIVEDAY&amp;VAR:SYMBOL=GLW&amp;VAR:INDEX=0"}</definedName>
    <definedName name="_1781__FDSAUDITLINK__" hidden="1">{"fdsup://directions/FAT Viewer?action=UPDATE&amp;creator=factset&amp;DYN_ARGS=TRUE&amp;DOC_NAME=FAT:FQL_AUDITING_CLIENT_TEMPLATE.FAT&amp;display_string=Audit&amp;VAR:KEY=CPCTCHUDQV&amp;VAR:QUERY=RkZfREVCVF9MVChNT04sMCwsLCxFVVIp&amp;WINDOW=FIRST_POPUP&amp;HEIGHT=450&amp;WIDTH=450&amp;START_MAXIMI","ZED=FALSE&amp;VAR:CALENDAR=FIVEDAY&amp;VAR:SYMBOL=OI&amp;VAR:INDEX=0"}</definedName>
    <definedName name="_1782__FDSAUDITLINK__" hidden="1">{"fdsup://directions/FAT Viewer?action=UPDATE&amp;creator=factset&amp;DYN_ARGS=TRUE&amp;DOC_NAME=FAT:FQL_AUDITING_CLIENT_TEMPLATE.FAT&amp;display_string=Audit&amp;VAR:KEY=QZUDGXYFYT&amp;VAR:QUERY=RkZfRUJJVERBKENBTCwyMDA5LCwsLEVVUik=&amp;WINDOW=FIRST_POPUP&amp;HEIGHT=450&amp;WIDTH=450&amp;START_MA","XIMIZED=FALSE&amp;VAR:CALENDAR=FIVEDAY&amp;VAR:SYMBOL=667984&amp;VAR:INDEX=0"}</definedName>
    <definedName name="_1783__FDSAUDITLINK__" hidden="1">{"fdsup://directions/FAT Viewer?action=UPDATE&amp;creator=factset&amp;DYN_ARGS=TRUE&amp;DOC_NAME=FAT:FQL_AUDITING_CLIENT_TEMPLATE.FAT&amp;display_string=Audit&amp;VAR:KEY=HSXADONGTG&amp;VAR:QUERY=RkZfRUJJVChDQUwsMjAwNywsLCxFVVIp&amp;WINDOW=FIRST_POPUP&amp;HEIGHT=450&amp;WIDTH=450&amp;START_MAXIMI","ZED=FALSE&amp;VAR:CALENDAR=FIVEDAY&amp;VAR:SYMBOL=646706&amp;VAR:INDEX=0"}</definedName>
    <definedName name="_1784__FDSAUDITLINK__" hidden="1">{"fdsup://directions/FAT Viewer?action=UPDATE&amp;creator=factset&amp;DYN_ARGS=TRUE&amp;DOC_NAME=FAT:FQL_AUDITING_CLIENT_TEMPLATE.FAT&amp;display_string=Audit&amp;VAR:KEY=GXWZUROVED&amp;VAR:QUERY=RkZfQ0FQRVgoQ0FMLDIwMDgsLCwsRVVSKQ==&amp;WINDOW=FIRST_POPUP&amp;HEIGHT=450&amp;WIDTH=450&amp;START_MA","XIMIZED=FALSE&amp;VAR:CALENDAR=FIVEDAY&amp;VAR:SYMBOL=07588710&amp;VAR:INDEX=0"}</definedName>
    <definedName name="_1785__FDSAUDITLINK__" hidden="1">{"fdsup://directions/FAT Viewer?action=UPDATE&amp;creator=factset&amp;DYN_ARGS=TRUE&amp;DOC_NAME=FAT:FQL_AUDITING_CLIENT_TEMPLATE.FAT&amp;display_string=Audit&amp;VAR:KEY=SBMLSDGPKH&amp;VAR:QUERY=RkZfRUJJVERBKENBTCwyMDA5LCwsLEVVUik=&amp;WINDOW=FIRST_POPUP&amp;HEIGHT=450&amp;WIDTH=450&amp;START_MA","XIMIZED=FALSE&amp;VAR:CALENDAR=FIVEDAY&amp;VAR:SYMBOL=646706&amp;VAR:INDEX=0"}</definedName>
    <definedName name="_1786__FDSAUDITLINK__" hidden="1">{"fdsup://directions/FAT Viewer?action=UPDATE&amp;creator=factset&amp;DYN_ARGS=TRUE&amp;DOC_NAME=FAT:FQL_AUDITING_CLIENT_TEMPLATE.FAT&amp;display_string=Audit&amp;VAR:KEY=INGFOPAPKF&amp;VAR:QUERY=RkZfRUJJVERBKENBTCwyMDA4LCwsLEVVUik=&amp;WINDOW=FIRST_POPUP&amp;HEIGHT=450&amp;WIDTH=450&amp;START_MA","XIMIZED=FALSE&amp;VAR:CALENDAR=FIVEDAY&amp;VAR:SYMBOL=TMO&amp;VAR:INDEX=0"}</definedName>
    <definedName name="_1787__FDSAUDITLINK__" hidden="1">{"fdsup://directions/FAT Viewer?action=UPDATE&amp;creator=factset&amp;DYN_ARGS=TRUE&amp;DOC_NAME=FAT:FQL_AUDITING_CLIENT_TEMPLATE.FAT&amp;display_string=Audit&amp;VAR:KEY=TAZMVIZGTQ&amp;VAR:QUERY=RkZfRUJJVERBKENBTCwyMDA5LCwsLEVVUik=&amp;WINDOW=FIRST_POPUP&amp;HEIGHT=450&amp;WIDTH=450&amp;START_MA","XIMIZED=FALSE&amp;VAR:CALENDAR=FIVEDAY&amp;VAR:SYMBOL=B1XHN3&amp;VAR:INDEX=0"}</definedName>
    <definedName name="_1788__FDSAUDITLINK__" hidden="1">{"fdsup://directions/FAT Viewer?action=UPDATE&amp;creator=factset&amp;DYN_ARGS=TRUE&amp;DOC_NAME=FAT:FQL_AUDITING_CLIENT_TEMPLATE.FAT&amp;display_string=Audit&amp;VAR:KEY=WBYVKBALEF&amp;VAR:QUERY=RkZfQ0FQRVgoQ0FMLDIwMDcsLCwsRVVSKQ==&amp;WINDOW=FIRST_POPUP&amp;HEIGHT=450&amp;WIDTH=450&amp;START_MA","XIMIZED=FALSE&amp;VAR:CALENDAR=FIVEDAY&amp;VAR:SYMBOL=B0KS38&amp;VAR:INDEX=0"}</definedName>
    <definedName name="_1789__FDSAUDITLINK__" hidden="1">{"fdsup://directions/FAT Viewer?action=UPDATE&amp;creator=factset&amp;DYN_ARGS=TRUE&amp;DOC_NAME=FAT:FQL_AUDITING_CLIENT_TEMPLATE.FAT&amp;display_string=Audit&amp;VAR:KEY=TGHOHYTEBM&amp;VAR:QUERY=RkZfRUJJVChDQUwsMjAwOCwsLCxFVVIp&amp;WINDOW=FIRST_POPUP&amp;HEIGHT=450&amp;WIDTH=450&amp;START_MAXIMI","ZED=FALSE&amp;VAR:CALENDAR=FIVEDAY&amp;VAR:SYMBOL=OI&amp;VAR:INDEX=0"}</definedName>
    <definedName name="_179__FDSAUDITLINK__" hidden="1">{"fdsup://directions/FAT Viewer?action=UPDATE&amp;creator=factset&amp;DYN_ARGS=TRUE&amp;DOC_NAME=FAT:FQL_AUDITING_CLIENT_TEMPLATE.FAT&amp;display_string=Audit&amp;VAR:KEY=HINYVWDOLC&amp;VAR:QUERY=RkZfRUJJVF9JQihBTk4sMjAwOCwsLFJGLEVVUik=&amp;WINDOW=FIRST_POPUP&amp;HEIGHT=450&amp;WIDTH=450&amp;STAR","T_MAXIMIZED=FALSE&amp;VAR:CALENDAR=FIVEDAY&amp;VAR:SYMBOL=552902&amp;VAR:INDEX=0"}</definedName>
    <definedName name="_1790__FDSAUDITLINK__" hidden="1">{"fdsup://directions/FAT Viewer?action=UPDATE&amp;creator=factset&amp;DYN_ARGS=TRUE&amp;DOC_NAME=FAT:FQL_AUDITING_CLIENT_TEMPLATE.FAT&amp;display_string=Audit&amp;VAR:KEY=LKVKFIFYTS&amp;VAR:QUERY=RkZfRUJJVERBKENBTCwyMDA4LCwsLEVVUik=&amp;WINDOW=FIRST_POPUP&amp;HEIGHT=450&amp;WIDTH=450&amp;START_MA","XIMIZED=FALSE&amp;VAR:CALENDAR=FIVEDAY&amp;VAR:SYMBOL=B1XHN3&amp;VAR:INDEX=0"}</definedName>
    <definedName name="_1791__FDSAUDITLINK__" hidden="1">{"fdsup://Directions/FactSet Auditing Viewer?action=AUDIT_VALUE&amp;DB=129&amp;ID1=677120&amp;VALUEID=01001&amp;SDATE=2009&amp;PERIODTYPE=ANN_STD&amp;window=popup_no_bar&amp;width=385&amp;height=120&amp;START_MAXIMIZED=FALSE&amp;creator=factset&amp;display_string=Audit"}</definedName>
    <definedName name="_1792__FDSAUDITLINK__" hidden="1">{"fdsup://directions/FAT Viewer?action=UPDATE&amp;creator=factset&amp;DYN_ARGS=TRUE&amp;DOC_NAME=FAT:FQL_AUDITING_CLIENT_TEMPLATE.FAT&amp;display_string=Audit&amp;VAR:KEY=JKZABSVAZC&amp;VAR:QUERY=RkZfQ0FQRVgoQ0FMLDIwMDgsLCwsRVVSKQ==&amp;WINDOW=FIRST_POPUP&amp;HEIGHT=450&amp;WIDTH=450&amp;START_MA","XIMIZED=FALSE&amp;VAR:CALENDAR=FIVEDAY&amp;VAR:SYMBOL=516606&amp;VAR:INDEX=0"}</definedName>
    <definedName name="_1793__FDSAUDITLINK__" hidden="1">{"fdsup://directions/FAT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name="_1794__FDSAUDITLINK__" hidden="1">{"fdsup://Directions/FactSet Auditing Viewer?action=AUDIT_VALUE&amp;DB=129&amp;ID1=69076840&amp;VALUEID=01001&amp;SDATE=2009&amp;PERIODTYPE=ANN_STD&amp;window=popup_no_bar&amp;width=385&amp;height=120&amp;START_MAXIMIZED=FALSE&amp;creator=factset&amp;display_string=Audit"}</definedName>
    <definedName name="_1795__FDSAUDITLINK__" hidden="1">{"fdsup://directions/FAT Viewer?action=UPDATE&amp;creator=factset&amp;DYN_ARGS=TRUE&amp;DOC_NAME=FAT:FQL_AUDITING_CLIENT_TEMPLATE.FAT&amp;display_string=Audit&amp;VAR:KEY=MXEJYJAZAD&amp;VAR:QUERY=RkZfRUJJVChDQUwsMjAwOCwsLCxFVVIp&amp;WINDOW=FIRST_POPUP&amp;HEIGHT=450&amp;WIDTH=450&amp;START_MAXIMI","ZED=FALSE&amp;VAR:CALENDAR=FIVEDAY&amp;VAR:SYMBOL=SIAL&amp;VAR:INDEX=0"}</definedName>
    <definedName name="_1796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797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798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799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7ALA642C761" hidden="1">#N/A</definedName>
    <definedName name="_18__123Graph_AC04C_ALL_T1" hidden="1">#REF!</definedName>
    <definedName name="_18__123Graph_AC04C_FF_T" hidden="1">#REF!</definedName>
    <definedName name="_18__123Graph_DCHART_2" hidden="1">#REF!</definedName>
    <definedName name="_18__123Graph_DCHART_4" hidden="1">#REF!</definedName>
    <definedName name="_18__123Graph_EUNIT_BY_OEM" hidden="1">#REF!</definedName>
    <definedName name="_18__123Graph_LBL_ACHART_1" hidden="1">#N/A</definedName>
    <definedName name="_18__123Graph_LBL_CCHART_3" hidden="1">#REF!</definedName>
    <definedName name="_18__123Graph_XCHART_1" hidden="1">#REF!</definedName>
    <definedName name="_18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18_123Grap" hidden="1">#REF!</definedName>
    <definedName name="_180__FDSAUDITLINK__" hidden="1">{"fdsup://directions/FAT Viewer?action=UPDATE&amp;creator=factset&amp;DYN_ARGS=TRUE&amp;DOC_NAME=FAT:FQL_AUDITING_CLIENT_TEMPLATE.FAT&amp;display_string=Audit&amp;VAR:KEY=LWROTGFMRS&amp;VAR:QUERY=RkZfRUJJVF9JQihBTk4sMjAwNywsLFJGLEVVUik=&amp;WINDOW=FIRST_POPUP&amp;HEIGHT=450&amp;WIDTH=450&amp;STAR","T_MAXIMIZED=FALSE&amp;VAR:CALENDAR=FIVEDAY&amp;VAR:SYMBOL=471279&amp;VAR:INDEX=0"}</definedName>
    <definedName name="_1800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1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2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3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4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5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6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7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8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9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__FDSAUDITLINK__" hidden="1">{"fdsup://directions/FAT Viewer?action=UPDATE&amp;creator=factset&amp;DYN_ARGS=TRUE&amp;DOC_NAME=FAT:FQL_AUDITING_CLIENT_TEMPLATE.FAT&amp;display_string=Audit&amp;VAR:KEY=ZODWHUVGVW&amp;VAR:QUERY=RkZfRUJJVF9JQihBTk4sMjAwOSwsLFJGLEVVUik=&amp;WINDOW=FIRST_POPUP&amp;HEIGHT=450&amp;WIDTH=450&amp;STAR","T_MAXIMIZED=FALSE&amp;VAR:CALENDAR=FIVEDAY&amp;VAR:SYMBOL=549710&amp;VAR:INDEX=0"}</definedName>
    <definedName name="_1810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1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2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3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4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5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6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7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8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9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__FDSAUDITLINK__" hidden="1">{"fdsup://directions/FAT Viewer?action=UPDATE&amp;creator=factset&amp;DYN_ARGS=TRUE&amp;DOC_NAME=FAT:FQL_AUDITING_CLIENT_TEMPLATE.FAT&amp;display_string=Audit&amp;VAR:KEY=JGHURQPYNM&amp;VAR:QUERY=RkZfRUJJVF9JQihBTk4sMjAwOCwsLFJGLEVVUik=&amp;WINDOW=FIRST_POPUP&amp;HEIGHT=450&amp;WIDTH=450&amp;STAR","T_MAXIMIZED=FALSE&amp;VAR:CALENDAR=FIVEDAY&amp;VAR:SYMBOL=549710&amp;VAR:INDEX=0"}</definedName>
    <definedName name="_1820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1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2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3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4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5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6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7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8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9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__FDSAUDITLINK__" hidden="1">{"fdsup://directions/FAT Viewer?action=UPDATE&amp;creator=factset&amp;DYN_ARGS=TRUE&amp;DOC_NAME=FAT:FQL_AUDITING_CLIENT_TEMPLATE.FAT&amp;display_string=Audit&amp;VAR:KEY=JSLWTABADM&amp;VAR:QUERY=RkZfRUJJVF9JQihBTk4sMjAwNywsLFJGLEVVUik=&amp;WINDOW=FIRST_POPUP&amp;HEIGHT=450&amp;WIDTH=450&amp;STAR","T_MAXIMIZED=FALSE&amp;VAR:CALENDAR=FIVEDAY&amp;VAR:SYMBOL=549710&amp;VAR:INDEX=0"}</definedName>
    <definedName name="_1830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1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2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3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4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5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6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7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8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9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__FDSAUDITLINK__" hidden="1">{"fdsup://directions/FAT Viewer?action=UPDATE&amp;creator=factset&amp;DYN_ARGS=TRUE&amp;DOC_NAME=FAT:FQL_AUDITING_CLIENT_TEMPLATE.FAT&amp;display_string=Audit&amp;VAR:KEY=PMPANYXIRE&amp;VAR:QUERY=RkZfRUJJVF9JQihBTk4sMjAwOSwsLFJGLEVVUik=&amp;WINDOW=FIRST_POPUP&amp;HEIGHT=450&amp;WIDTH=450&amp;STAR","T_MAXIMIZED=FALSE&amp;VAR:CALENDAR=FIVEDAY&amp;VAR:SYMBOL=574852&amp;VAR:INDEX=0"}</definedName>
    <definedName name="_1840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1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2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3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4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5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6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7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8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9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__FDSAUDITLINK__" hidden="1">{"fdsup://directions/FAT Viewer?action=UPDATE&amp;creator=factset&amp;DYN_ARGS=TRUE&amp;DOC_NAME=FAT:FQL_AUDITING_CLIENT_TEMPLATE.FAT&amp;display_string=Audit&amp;VAR:KEY=LGZQXGNOFI&amp;VAR:QUERY=RkZfRUJJVF9JQihBTk4sMjAwOCwsLFJGLEVVUik=&amp;WINDOW=FIRST_POPUP&amp;HEIGHT=450&amp;WIDTH=450&amp;STAR","T_MAXIMIZED=FALSE&amp;VAR:CALENDAR=FIVEDAY&amp;VAR:SYMBOL=574852&amp;VAR:INDEX=0"}</definedName>
    <definedName name="_1850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1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2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3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4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5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6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7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8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9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__FDSAUDITLINK__" hidden="1">{"fdsup://directions/FAT Viewer?action=UPDATE&amp;creator=factset&amp;DYN_ARGS=TRUE&amp;DOC_NAME=FAT:FQL_AUDITING_CLIENT_TEMPLATE.FAT&amp;display_string=Audit&amp;VAR:KEY=TCNOHKJMVQ&amp;VAR:QUERY=RkZfRUJJVF9JQihBTk4sMjAwNywsLFJGLEVVUik=&amp;WINDOW=FIRST_POPUP&amp;HEIGHT=450&amp;WIDTH=450&amp;STAR","T_MAXIMIZED=FALSE&amp;VAR:CALENDAR=FIVEDAY&amp;VAR:SYMBOL=574852&amp;VAR:INDEX=0"}</definedName>
    <definedName name="_1860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1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2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3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4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5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6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7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8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9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__FDSAUDITLINK__" hidden="1">{"fdsup://directions/FAT Viewer?action=UPDATE&amp;creator=factset&amp;DYN_ARGS=TRUE&amp;DOC_NAME=FAT:FQL_AUDITING_CLIENT_TEMPLATE.FAT&amp;display_string=Audit&amp;VAR:KEY=NGFUXOXKVW&amp;VAR:QUERY=RkZfRUJJVF9JQihBTk4sMjAwOSwsLFJGLEVVUik=&amp;WINDOW=FIRST_POPUP&amp;HEIGHT=450&amp;WIDTH=450&amp;STAR","T_MAXIMIZED=FALSE&amp;VAR:CALENDAR=FIVEDAY&amp;VAR:SYMBOL=34537086&amp;VAR:INDEX=0"}</definedName>
    <definedName name="_1870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1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2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3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4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5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6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7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8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9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__FDSAUDITLINK__" hidden="1">{"fdsup://directions/FAT Viewer?action=UPDATE&amp;creator=factset&amp;DYN_ARGS=TRUE&amp;DOC_NAME=FAT:FQL_AUDITING_CLIENT_TEMPLATE.FAT&amp;display_string=Audit&amp;VAR:KEY=BYFIROHARE&amp;VAR:QUERY=RkZfRUJJVF9JQihBTk4sMjAwOCwsLFJGLEVVUik=&amp;WINDOW=FIRST_POPUP&amp;HEIGHT=450&amp;WIDTH=450&amp;STAR","T_MAXIMIZED=FALSE&amp;VAR:CALENDAR=FIVEDAY&amp;VAR:SYMBOL=34537086&amp;VAR:INDEX=0"}</definedName>
    <definedName name="_1880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1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2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3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4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5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6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7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8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9__FDSAUDITLINK__" hidden="1">{"fdsup://directions/FAT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9__FDSAUDITLINK__" hidden="1">{"fdsup://directions/FAT Viewer?action=UPDATE&amp;creator=factset&amp;DYN_ARGS=TRUE&amp;DOC_NAME=FAT:FQL_AUDITING_CLIENT_TEMPLATE.FAT&amp;display_string=Audit&amp;VAR:KEY=DOFKVKJMDI&amp;VAR:QUERY=RkZfRUJJVF9JQihBTk4sMjAwNywsLFJGLEVVUik=&amp;WINDOW=FIRST_POPUP&amp;HEIGHT=450&amp;WIDTH=450&amp;STAR","T_MAXIMIZED=FALSE&amp;VAR:CALENDAR=FIVEDAY&amp;VAR:SYMBOL=34537086&amp;VAR:INDEX=0"}</definedName>
    <definedName name="_1890__FDSAUDITLINK__" hidden="1">{"fdsup://directions/FAT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91__FDSAUDITLINK__" hidden="1">{"fdsup://directions/FAT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92__FDSAUDITLINK__" hidden="1">{"fdsup://directions/FAT Viewer?action=UPDATE&amp;creator=factset&amp;DYN_ARGS=TRUE&amp;DOC_NAME=FAT:FQL_AUDITING_CLIENT_TEMPLATE.FAT&amp;display_string=Audit&amp;VAR:KEY=MVUJGHYNAR&amp;VAR:QUERY=RkZfRUJJVChDQUwsMjAwNywsLCxFVVIp&amp;WINDOW=FIRST_POPUP&amp;HEIGHT=450&amp;WIDTH=450&amp;START_MAXIMI","ZED=FALSE&amp;VAR:CALENDAR=FIVEDAY&amp;VAR:SYMBOL=602129&amp;VAR:INDEX=0"}</definedName>
    <definedName name="_1893__FDSAUDITLINK__" hidden="1">{"fdsup://directions/FAT Viewer?action=UPDATE&amp;creator=factset&amp;DYN_ARGS=TRUE&amp;DOC_NAME=FAT:FQL_AUDITING_CLIENT_TEMPLATE.FAT&amp;display_string=Audit&amp;VAR:KEY=MPUDWRIVKR&amp;VAR:QUERY=RkZfRUJJVERBKENBTCwyMDA5LCwsLEVVUik=&amp;WINDOW=FIRST_POPUP&amp;HEIGHT=450&amp;WIDTH=450&amp;START_MA","XIMIZED=FALSE&amp;VAR:CALENDAR=FIVEDAY&amp;VAR:SYMBOL=SIAL&amp;VAR:INDEX=0"}</definedName>
    <definedName name="_1894__FDSAUDITLINK__" hidden="1">{"fdsup://directions/FAT Viewer?action=UPDATE&amp;creator=factset&amp;DYN_ARGS=TRUE&amp;DOC_NAME=FAT:FQL_AUDITING_CLIENT_TEMPLATE.FAT&amp;display_string=Audit&amp;VAR:KEY=SNITCRIDKV&amp;VAR:QUERY=RkZfREVCVF9MVChNT04sMCwsLCxFVVIp&amp;WINDOW=FIRST_POPUP&amp;HEIGHT=450&amp;WIDTH=450&amp;START_MAXIMI","ZED=FALSE&amp;VAR:CALENDAR=FIVEDAY&amp;VAR:SYMBOL=546672&amp;VAR:INDEX=0"}</definedName>
    <definedName name="_1895__FDSAUDITLINK__" hidden="1">{"fdsup://directions/FAT Viewer?action=UPDATE&amp;creator=factset&amp;DYN_ARGS=TRUE&amp;DOC_NAME=FAT:FQL_AUDITING_CLIENT_TEMPLATE.FAT&amp;display_string=Audit&amp;VAR:KEY=OVYHKVERKP&amp;VAR:QUERY=RkZfREVCVF9MVChNT04sMCwsLCxFVVIp&amp;WINDOW=FIRST_POPUP&amp;HEIGHT=450&amp;WIDTH=450&amp;START_MAXIMI","ZED=FALSE&amp;VAR:CALENDAR=FIVEDAY&amp;VAR:SYMBOL=606660&amp;VAR:INDEX=0"}</definedName>
    <definedName name="_1896__FDSAUDITLINK__" hidden="1">{"fdsup://directions/FAT Viewer?action=UPDATE&amp;creator=factset&amp;DYN_ARGS=TRUE&amp;DOC_NAME=FAT:FQL_AUDITING_CLIENT_TEMPLATE.FAT&amp;display_string=Audit&amp;VAR:KEY=WDKTOZMFSZ&amp;VAR:QUERY=RkZfRUJJVERBKENBTCwyMDA5LCwsLEVVUik=&amp;WINDOW=FIRST_POPUP&amp;HEIGHT=450&amp;WIDTH=450&amp;START_MA","XIMIZED=FALSE&amp;VAR:CALENDAR=FIVEDAY&amp;VAR:SYMBOL=FOE&amp;VAR:INDEX=0"}</definedName>
    <definedName name="_1897__FDSAUDITLINK__" hidden="1">{"fdsup://directions/FAT Viewer?action=UPDATE&amp;creator=factset&amp;DYN_ARGS=TRUE&amp;DOC_NAME=FAT:FQL_AUDITING_CLIENT_TEMPLATE.FAT&amp;display_string=Audit&amp;VAR:KEY=GLMFCZQXEN&amp;VAR:QUERY=RkZfRUJJVChDQUwsMjAwOSwsLCxFVVIp&amp;WINDOW=FIRST_POPUP&amp;HEIGHT=450&amp;WIDTH=450&amp;START_MAXIMI","ZED=FALSE&amp;VAR:CALENDAR=FIVEDAY&amp;VAR:SYMBOL=GLW&amp;VAR:INDEX=0"}</definedName>
    <definedName name="_1898__FDSAUDITLINK__" hidden="1">{"fdsup://directions/FAT Viewer?action=UPDATE&amp;creator=factset&amp;DYN_ARGS=TRUE&amp;DOC_NAME=FAT:FQL_AUDITING_CLIENT_TEMPLATE.FAT&amp;display_string=Audit&amp;VAR:KEY=HWNWPEVANU&amp;VAR:QUERY=RkZfRUJJVERBKENBTCwyMDA3LCwsLEVVUik=&amp;WINDOW=FIRST_POPUP&amp;HEIGHT=450&amp;WIDTH=450&amp;START_MA","XIMIZED=FALSE&amp;VAR:CALENDAR=FIVEDAY&amp;VAR:SYMBOL=B0KS38&amp;VAR:INDEX=0"}</definedName>
    <definedName name="_1899__FDSAUDITLINK__" hidden="1">{"fdsup://directions/FAT Viewer?action=UPDATE&amp;creator=factset&amp;DYN_ARGS=TRUE&amp;DOC_NAME=FAT:FQL_AUDITING_CLIENT_TEMPLATE.FAT&amp;display_string=Audit&amp;VAR:KEY=YFEFUXIJIH&amp;VAR:QUERY=RkZfQ0FQRVgoQ0FMLDIwMDgsLCwsRVVSKQ==&amp;WINDOW=FIRST_POPUP&amp;HEIGHT=450&amp;WIDTH=450&amp;START_MA","XIMIZED=FALSE&amp;VAR:CALENDAR=FIVEDAY&amp;VAR:SYMBOL=667984&amp;VAR:INDEX=0"}</definedName>
    <definedName name="_18ALA642C761" hidden="1">#N/A</definedName>
    <definedName name="_18N__Umbuchun">[2]Anlagevermögen!#REF!</definedName>
    <definedName name="_19__123Graph_AC04C_ALL_T2" hidden="1">#REF!</definedName>
    <definedName name="_19__123Graph_AC04C_FR_L1" hidden="1">#REF!</definedName>
    <definedName name="_19__123Graph_DCHART_5" hidden="1">#REF!</definedName>
    <definedName name="_19__123Graph_FCAPITAL_BY_OEM" hidden="1">#REF!</definedName>
    <definedName name="_19__123Graph_LBL_ACHART_1" hidden="1">#REF!</definedName>
    <definedName name="_19__123Graph_LBL_ACHART_2" hidden="1">#REF!</definedName>
    <definedName name="_19__123Graph_XCHART_1" hidden="1">#REF!</definedName>
    <definedName name="_19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190__FDSAUDITLINK__" hidden="1">{"fdsup://directions/FAT Viewer?action=UPDATE&amp;creator=factset&amp;DYN_ARGS=TRUE&amp;DOC_NAME=FAT:FQL_AUDITING_CLIENT_TEMPLATE.FAT&amp;display_string=Audit&amp;VAR:KEY=LAPGNMFODU&amp;VAR:QUERY=RkZfRUJJVF9JQihBTk4sMjAwOSwsLFJGLEVVUik=&amp;WINDOW=FIRST_POPUP&amp;HEIGHT=450&amp;WIDTH=450&amp;STAR","T_MAXIMIZED=FALSE&amp;VAR:CALENDAR=FIVEDAY&amp;VAR:SYMBOL=575602&amp;VAR:INDEX=0"}</definedName>
    <definedName name="_1900__FDSAUDITLINK__" hidden="1">{"fdsup://directions/FAT Viewer?action=UPDATE&amp;creator=factset&amp;DYN_ARGS=TRUE&amp;DOC_NAME=FAT:FQL_AUDITING_CLIENT_TEMPLATE.FAT&amp;display_string=Audit&amp;VAR:KEY=WBOXYVWPYR&amp;VAR:QUERY=RkZfRUJJVChDQUwsMjAwNywsLCxFVVIp&amp;WINDOW=FIRST_POPUP&amp;HEIGHT=450&amp;WIDTH=450&amp;START_MAXIMI","ZED=FALSE&amp;VAR:CALENDAR=FIVEDAY&amp;VAR:SYMBOL=698534&amp;VAR:INDEX=0"}</definedName>
    <definedName name="_1901__FDSAUDITLINK__" hidden="1">{"fdsup://directions/FAT Viewer?action=UPDATE&amp;creator=factset&amp;DYN_ARGS=TRUE&amp;DOC_NAME=FAT:FQL_AUDITING_CLIENT_TEMPLATE.FAT&amp;display_string=Audit&amp;VAR:KEY=KZOVUNUHGN&amp;VAR:QUERY=RkZfRUJJVERBKENBTCwyMDA3LCwsLEVVUik=&amp;WINDOW=FIRST_POPUP&amp;HEIGHT=450&amp;WIDTH=450&amp;START_MA","XIMIZED=FALSE&amp;VAR:CALENDAR=FIVEDAY&amp;VAR:SYMBOL=B1Y47Y&amp;VAR:INDEX=0"}</definedName>
    <definedName name="_1902__FDSAUDITLINK__" hidden="1">{"fdsup://Directions/FactSet Auditing Viewer?action=AUDIT_VALUE&amp;DB=129&amp;ID1=516606&amp;VALUEID=01001&amp;SDATE=2008&amp;PERIODTYPE=ANN_STD&amp;window=popup_no_bar&amp;width=385&amp;height=120&amp;START_MAXIMIZED=FALSE&amp;creator=factset&amp;display_string=Audit"}</definedName>
    <definedName name="_1903__FDSAUDITLINK__" hidden="1">{"fdsup://directions/FAT Viewer?action=UPDATE&amp;creator=factset&amp;DYN_ARGS=TRUE&amp;DOC_NAME=FAT:FQL_AUDITING_CLIENT_TEMPLATE.FAT&amp;display_string=Audit&amp;VAR:KEY=DOJWXMBMLW&amp;VAR:QUERY=RkZfRUJJVChDQUwsMjAwNywsLCxFVVIp&amp;WINDOW=FIRST_POPUP&amp;HEIGHT=450&amp;WIDTH=450&amp;START_MAXIMI","ZED=FALSE&amp;VAR:CALENDAR=FIVEDAY&amp;VAR:SYMBOL=516606&amp;VAR:INDEX=0"}</definedName>
    <definedName name="_1904__FDSAUDITLINK__" hidden="1">{"fdsup://directions/FAT Viewer?action=UPDATE&amp;creator=factset&amp;DYN_ARGS=TRUE&amp;DOC_NAME=FAT:FQL_AUDITING_CLIENT_TEMPLATE.FAT&amp;display_string=Audit&amp;VAR:KEY=TSTGPIXWNY&amp;VAR:QUERY=RkZfRUJJVChDQUwsMjAwNywsLCxFVVIp&amp;WINDOW=FIRST_POPUP&amp;HEIGHT=450&amp;WIDTH=450&amp;START_MAXIMI","ZED=FALSE&amp;VAR:CALENDAR=FIVEDAY&amp;VAR:SYMBOL=677120&amp;VAR:INDEX=0"}</definedName>
    <definedName name="_1905__FDSAUDITLINK__" hidden="1">{"fdsup://Directions/FactSet Auditing Viewer?action=AUDIT_VALUE&amp;DB=129&amp;ID1=677120&amp;VALUEID=01001&amp;SDATE=2009&amp;PERIODTYPE=ANN_STD&amp;window=popup_no_bar&amp;width=385&amp;height=120&amp;START_MAXIMIZED=FALSE&amp;creator=factset&amp;display_string=Audit"}</definedName>
    <definedName name="_1906__FDSAUDITLINK__" hidden="1">{"fdsup://directions/FAT Viewer?action=UPDATE&amp;creator=factset&amp;DYN_ARGS=TRUE&amp;DOC_NAME=FAT:FQL_AUDITING_CLIENT_TEMPLATE.FAT&amp;display_string=Audit&amp;VAR:KEY=CVAPSRIFWR&amp;VAR:QUERY=RkZfRUJJVChDQUwsMjAwOCwsLCxFVVIp&amp;WINDOW=FIRST_POPUP&amp;HEIGHT=450&amp;WIDTH=450&amp;START_MAXIMI","ZED=FALSE&amp;VAR:CALENDAR=FIVEDAY&amp;VAR:SYMBOL=677120&amp;VAR:INDEX=0"}</definedName>
    <definedName name="_1907__FDSAUDITLINK__" hidden="1">{"fdsup://directions/FAT Viewer?action=UPDATE&amp;creator=factset&amp;DYN_ARGS=TRUE&amp;DOC_NAME=FAT:FQL_AUDITING_CLIENT_TEMPLATE.FAT&amp;display_string=Audit&amp;VAR:KEY=CHMXORKZOF&amp;VAR:QUERY=RkZfRUJJVERBKENBTCwyMDA4LCwsLEVVUik=&amp;WINDOW=FIRST_POPUP&amp;HEIGHT=450&amp;WIDTH=450&amp;START_MA","XIMIZED=FALSE&amp;VAR:CALENDAR=FIVEDAY&amp;VAR:SYMBOL=OI&amp;VAR:INDEX=0"}</definedName>
    <definedName name="_1908__FDSAUDITLINK__" hidden="1">{"fdsup://directions/FAT Viewer?action=UPDATE&amp;creator=factset&amp;DYN_ARGS=TRUE&amp;DOC_NAME=FAT:FQL_AUDITING_CLIENT_TEMPLATE.FAT&amp;display_string=Audit&amp;VAR:KEY=SXYDSBWNUL&amp;VAR:QUERY=RkZfQ0FQRVgoQ0FMLDIwMDksLCwsRVVSKQ==&amp;WINDOW=FIRST_POPUP&amp;HEIGHT=450&amp;WIDTH=450&amp;START_MA","XIMIZED=FALSE&amp;VAR:CALENDAR=FIVEDAY&amp;VAR:SYMBOL=OI&amp;VAR:INDEX=0"}</definedName>
    <definedName name="_1909__FDSAUDITLINK__" hidden="1">{"fdsup://directions/FAT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name="_191__FDSAUDITLINK__" hidden="1">{"fdsup://directions/FAT Viewer?action=UPDATE&amp;creator=factset&amp;DYN_ARGS=TRUE&amp;DOC_NAME=FAT:FQL_AUDITING_CLIENT_TEMPLATE.FAT&amp;display_string=Audit&amp;VAR:KEY=BERKFGVWTU&amp;VAR:QUERY=RkZfRUJJVF9JQihBTk4sMjAwOSwsLFJGLEVVUik=&amp;WINDOW=FIRST_POPUP&amp;HEIGHT=450&amp;WIDTH=450&amp;STAR","T_MAXIMIZED=FALSE&amp;VAR:CALENDAR=FIVEDAY&amp;VAR:SYMBOL=471279&amp;VAR:INDEX=0"}</definedName>
    <definedName name="_1910__FDSAUDITLINK__" hidden="1">{"fdsup://directions/FAT Viewer?action=UPDATE&amp;creator=factset&amp;DYN_ARGS=TRUE&amp;DOC_NAME=FAT:FQL_AUDITING_CLIENT_TEMPLATE.FAT&amp;display_string=Audit&amp;VAR:KEY=QVOTSDWTYB&amp;VAR:QUERY=RkZfRUJJVERBKENBTCwyMDA5LCwsLEVVUik=&amp;WINDOW=FIRST_POPUP&amp;HEIGHT=450&amp;WIDTH=450&amp;START_MA","XIMIZED=FALSE&amp;VAR:CALENDAR=FIVEDAY&amp;VAR:SYMBOL=OI&amp;VAR:INDEX=0"}</definedName>
    <definedName name="_1911__FDSAUDITLINK__" hidden="1">{"fdsup://directions/FAT Viewer?action=UPDATE&amp;creator=factset&amp;DYN_ARGS=TRUE&amp;DOC_NAME=FAT:FQL_AUDITING_CLIENT_TEMPLATE.FAT&amp;display_string=Audit&amp;VAR:KEY=WFYVMVEDML&amp;VAR:QUERY=RkZfRUJJVChDQUwsMjAwOCwsLCxFVVIp&amp;WINDOW=FIRST_POPUP&amp;HEIGHT=450&amp;WIDTH=450&amp;START_MAXIMI","ZED=FALSE&amp;VAR:CALENDAR=FIVEDAY&amp;VAR:SYMBOL=653031&amp;VAR:INDEX=0"}</definedName>
    <definedName name="_1912__FDSAUDITLINK__" hidden="1">{"fdsup://directions/FAT Viewer?action=UPDATE&amp;creator=factset&amp;DYN_ARGS=TRUE&amp;DOC_NAME=FAT:FQL_AUDITING_CLIENT_TEMPLATE.FAT&amp;display_string=Audit&amp;VAR:KEY=ITINAJYVWN&amp;VAR:QUERY=RkZfQ0FQRVgoQ0FMLDIwMDksLCwsRVVSKQ==&amp;WINDOW=FIRST_POPUP&amp;HEIGHT=450&amp;WIDTH=450&amp;START_MA","XIMIZED=FALSE&amp;VAR:CALENDAR=FIVEDAY&amp;VAR:SYMBOL=646706&amp;VAR:INDEX=0"}</definedName>
    <definedName name="_1913__FDSAUDITLINK__" hidden="1">{"fdsup://directions/FAT Viewer?action=UPDATE&amp;creator=factset&amp;DYN_ARGS=TRUE&amp;DOC_NAME=FAT:FQL_AUDITING_CLIENT_TEMPLATE.FAT&amp;display_string=Audit&amp;VAR:KEY=QRETYVYRQD&amp;VAR:QUERY=RkZfQ0FQRVgoQ0FMLDIwMDcsLCwsRVVSKQ==&amp;WINDOW=FIRST_POPUP&amp;HEIGHT=450&amp;WIDTH=450&amp;START_MA","XIMIZED=FALSE&amp;VAR:CALENDAR=FIVEDAY&amp;VAR:SYMBOL=TMO&amp;VAR:INDEX=0"}</definedName>
    <definedName name="_1914__FDSAUDITLINK__" hidden="1">{"fdsup://directions/FAT Viewer?action=UPDATE&amp;creator=factset&amp;DYN_ARGS=TRUE&amp;DOC_NAME=FAT:FQL_AUDITING_CLIENT_TEMPLATE.FAT&amp;display_string=Audit&amp;VAR:KEY=SJAJQFMVEF&amp;VAR:QUERY=RkZfRUJJVERBKENBTCwyMDA4LCwsLEVVUik=&amp;WINDOW=FIRST_POPUP&amp;HEIGHT=450&amp;WIDTH=450&amp;START_MA","XIMIZED=FALSE&amp;VAR:CALENDAR=FIVEDAY&amp;VAR:SYMBOL=602129&amp;VAR:INDEX=0"}</definedName>
    <definedName name="_1915__FDSAUDITLINK__" hidden="1">{"fdsup://directions/FAT Viewer?action=UPDATE&amp;creator=factset&amp;DYN_ARGS=TRUE&amp;DOC_NAME=FAT:FQL_AUDITING_CLIENT_TEMPLATE.FAT&amp;display_string=Audit&amp;VAR:KEY=WLWTKVOVEL&amp;VAR:QUERY=RkZfREVCVF9MVChNT04sMCwsLCxFVVIp&amp;WINDOW=FIRST_POPUP&amp;HEIGHT=450&amp;WIDTH=450&amp;START_MAXIMI","ZED=FALSE&amp;VAR:CALENDAR=FIVEDAY&amp;VAR:SYMBOL=FOE&amp;VAR:INDEX=0"}</definedName>
    <definedName name="_1916__FDSAUDITLINK__" hidden="1">{"fdsup://Directions/FactSet Auditing Viewer?action=AUDIT_VALUE&amp;DB=129&amp;ID1=59268810&amp;VALUEID=01001&amp;SDATE=2007&amp;PERIODTYPE=ANN_STD&amp;window=popup_no_bar&amp;width=385&amp;height=120&amp;START_MAXIMIZED=FALSE&amp;creator=factset&amp;display_string=Audit"}</definedName>
    <definedName name="_1917__FDSAUDITLINK__" hidden="1">{"fdsup://directions/FAT Viewer?action=UPDATE&amp;creator=factset&amp;DYN_ARGS=TRUE&amp;DOC_NAME=FAT:FQL_AUDITING_CLIENT_TEMPLATE.FAT&amp;display_string=Audit&amp;VAR:KEY=OJKLYRGTST&amp;VAR:QUERY=RkZfRUJJVChDQUwsMjAwNywsLCxFVVIp&amp;WINDOW=FIRST_POPUP&amp;HEIGHT=450&amp;WIDTH=450&amp;START_MAXIMI","ZED=FALSE&amp;VAR:CALENDAR=FIVEDAY&amp;VAR:SYMBOL=667984&amp;VAR:INDEX=0"}</definedName>
    <definedName name="_1918__FDSAUDITLINK__" hidden="1">{"fdsup://Directions/FactSet Auditing Viewer?action=AUDIT_VALUE&amp;DB=129&amp;ID1=516606&amp;VALUEID=01001&amp;SDATE=2007&amp;PERIODTYPE=ANN_STD&amp;window=popup_no_bar&amp;width=385&amp;height=120&amp;START_MAXIMIZED=FALSE&amp;creator=factset&amp;display_string=Audit"}</definedName>
    <definedName name="_1919__FDSAUDITLINK__" hidden="1">{"fdsup://directions/FAT Viewer?action=UPDATE&amp;creator=factset&amp;DYN_ARGS=TRUE&amp;DOC_NAME=FAT:FQL_AUDITING_CLIENT_TEMPLATE.FAT&amp;display_string=Audit&amp;VAR:KEY=ELGLADKPGF&amp;VAR:QUERY=RkZfQ0FQRVgoQ0FMLDIwMDksLCwsRVVSKQ==&amp;WINDOW=FIRST_POPUP&amp;HEIGHT=450&amp;WIDTH=450&amp;START_MA","XIMIZED=FALSE&amp;VAR:CALENDAR=FIVEDAY&amp;VAR:SYMBOL=667984&amp;VAR:INDEX=0"}</definedName>
    <definedName name="_192__FDSAUDITLINK__" hidden="1">{"fdsup://directions/FAT Viewer?action=UPDATE&amp;creator=factset&amp;DYN_ARGS=TRUE&amp;DOC_NAME=FAT:FQL_AUDITING_CLIENT_TEMPLATE.FAT&amp;display_string=Audit&amp;VAR:KEY=VINIDOPCJW&amp;VAR:QUERY=RkZfRUJJVF9JQihBTk4sMjAwOCwsLFJGLEVVUik=&amp;WINDOW=FIRST_POPUP&amp;HEIGHT=450&amp;WIDTH=450&amp;STAR","T_MAXIMIZED=FALSE&amp;VAR:CALENDAR=FIVEDAY&amp;VAR:SYMBOL=471279&amp;VAR:INDEX=0"}</definedName>
    <definedName name="_1920__FDSAUDITLINK__" hidden="1">{"fdsup://directions/FAT Viewer?action=UPDATE&amp;creator=factset&amp;DYN_ARGS=TRUE&amp;DOC_NAME=FAT:FQL_AUDITING_CLIENT_TEMPLATE.FAT&amp;display_string=Audit&amp;VAR:KEY=CNGBOLCDMP&amp;VAR:QUERY=RkZfQ0FQRVgoQ0FMLDIwMDksLCwsRVVSKQ==&amp;WINDOW=FIRST_POPUP&amp;HEIGHT=450&amp;WIDTH=450&amp;START_MA","XIMIZED=FALSE&amp;VAR:CALENDAR=FIVEDAY&amp;VAR:SYMBOL=546672&amp;VAR:INDEX=0"}</definedName>
    <definedName name="_1921__FDSAUDITLINK__" hidden="1">{"fdsup://directions/FAT Viewer?action=UPDATE&amp;creator=factset&amp;DYN_ARGS=TRUE&amp;DOC_NAME=FAT:FQL_AUDITING_CLIENT_TEMPLATE.FAT&amp;display_string=Audit&amp;VAR:KEY=ETIVSFAJMT&amp;VAR:QUERY=RkZfREVCVF9MVChNT04sMCwsLCxFVVIp&amp;WINDOW=FIRST_POPUP&amp;HEIGHT=450&amp;WIDTH=450&amp;START_MAXIMI","ZED=FALSE&amp;VAR:CALENDAR=FIVEDAY&amp;VAR:SYMBOL=602129&amp;VAR:INDEX=0"}</definedName>
    <definedName name="_1922__FDSAUDITLINK__" hidden="1">{"fdsup://directions/FAT Viewer?action=UPDATE&amp;creator=factset&amp;DYN_ARGS=TRUE&amp;DOC_NAME=FAT:FQL_AUDITING_CLIENT_TEMPLATE.FAT&amp;display_string=Audit&amp;VAR:KEY=IHEJKRAPIN&amp;VAR:QUERY=RkZfREVCVF9MVChNT04sMCwsLCxFVVIp&amp;WINDOW=FIRST_POPUP&amp;HEIGHT=450&amp;WIDTH=450&amp;START_MAXIMI","ZED=FALSE&amp;VAR:CALENDAR=FIVEDAY&amp;VAR:SYMBOL=605520&amp;VAR:INDEX=0"}</definedName>
    <definedName name="_1923__FDSAUDITLINK__" hidden="1">{"fdsup://directions/FAT Viewer?action=UPDATE&amp;creator=factset&amp;DYN_ARGS=TRUE&amp;DOC_NAME=FAT:FQL_AUDITING_CLIENT_TEMPLATE.FAT&amp;display_string=Audit&amp;VAR:KEY=KXYTYDKBQF&amp;VAR:QUERY=RkZfQ0FQRVgoQ0FMLDIwMDksLCwsRVVSKQ==&amp;WINDOW=FIRST_POPUP&amp;HEIGHT=450&amp;WIDTH=450&amp;START_MA","XIMIZED=FALSE&amp;VAR:CALENDAR=FIVEDAY&amp;VAR:SYMBOL=605520&amp;VAR:INDEX=0"}</definedName>
    <definedName name="_1924__FDSAUDITLINK__" hidden="1">{"fdsup://directions/FAT Viewer?action=UPDATE&amp;creator=factset&amp;DYN_ARGS=TRUE&amp;DOC_NAME=FAT:FQL_AUDITING_CLIENT_TEMPLATE.FAT&amp;display_string=Audit&amp;VAR:KEY=GFUBQPYTMJ&amp;VAR:QUERY=RkZfRUJJVChDQUwsMjAwOSwsLCxFVVIp&amp;WINDOW=FIRST_POPUP&amp;HEIGHT=450&amp;WIDTH=450&amp;START_MAXIMI","ZED=FALSE&amp;VAR:CALENDAR=FIVEDAY&amp;VAR:SYMBOL=546672&amp;VAR:INDEX=0"}</definedName>
    <definedName name="_1925__FDSAUDITLINK__" hidden="1">{"fdsup://directions/FAT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name="_1926__FDSAUDITLINK__" hidden="1">{"fdsup://directions/FAT Viewer?action=UPDATE&amp;creator=factset&amp;DYN_ARGS=TRUE&amp;DOC_NAME=FAT:FQL_AUDITING_CLIENT_TEMPLATE.FAT&amp;display_string=Audit&amp;VAR:KEY=WBSDGDOJWH&amp;VAR:QUERY=RkZfRUJJVChDQUwsMjAwOSwsLCxFVVIp&amp;WINDOW=FIRST_POPUP&amp;HEIGHT=450&amp;WIDTH=450&amp;START_MAXIMI","ZED=FALSE&amp;VAR:CALENDAR=FIVEDAY&amp;VAR:SYMBOL=653031&amp;VAR:INDEX=0"}</definedName>
    <definedName name="_1927__FDSAUDITLINK__" hidden="1">{"fdsup://directions/FAT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name="_1928__FDSAUDITLINK__" hidden="1">{"fdsup://directions/FAT Viewer?action=UPDATE&amp;creator=factset&amp;DYN_ARGS=TRUE&amp;DOC_NAME=FAT:FQL_AUDITING_CLIENT_TEMPLATE.FAT&amp;display_string=Audit&amp;VAR:KEY=FQBQVCBUJK&amp;VAR:QUERY=RkZfQ0FQRVgoQ0FMLDIwMDksLCwsRVVSKQ==&amp;WINDOW=FIRST_POPUP&amp;HEIGHT=450&amp;WIDTH=450&amp;START_MA","XIMIZED=FALSE&amp;VAR:CALENDAR=FIVEDAY&amp;VAR:SYMBOL=B1XHN3&amp;VAR:INDEX=0"}</definedName>
    <definedName name="_1929__FDSAUDITLINK__" hidden="1">{"fdsup://directions/FAT Viewer?action=UPDATE&amp;creator=factset&amp;DYN_ARGS=TRUE&amp;DOC_NAME=FAT:FQL_AUDITING_CLIENT_TEMPLATE.FAT&amp;display_string=Audit&amp;VAR:KEY=QLSTGZOJYV&amp;VAR:QUERY=RkZfQ0FQRVgoQ0FMLDIwMDksLCwsRVVSKQ==&amp;WINDOW=FIRST_POPUP&amp;HEIGHT=450&amp;WIDTH=450&amp;START_MA","XIMIZED=FALSE&amp;VAR:CALENDAR=FIVEDAY&amp;VAR:SYMBOL=653031&amp;VAR:INDEX=0"}</definedName>
    <definedName name="_193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1930__FDSAUDITLINK__" hidden="1">{"fdsup://Directions/FactSet Auditing Viewer?action=AUDIT_VALUE&amp;DB=129&amp;ID1=571062&amp;VALUEID=P05202&amp;SDATE=2008&amp;PERIODTYPE=ANN_STD&amp;window=popup_no_bar&amp;width=385&amp;height=120&amp;START_MAXIMIZED=FALSE&amp;creator=factset&amp;display_string=Audit"}</definedName>
    <definedName name="_1931__FDSAUDITLINK__" hidden="1">{"fdsup://directions/FAT Viewer?action=UPDATE&amp;creator=factset&amp;DYN_ARGS=TRUE&amp;DOC_NAME=FAT:FQL_AUDITING_CLIENT_TEMPLATE.FAT&amp;display_string=Audit&amp;VAR:KEY=YBYXULYHCH&amp;VAR:QUERY=RkZfRUJJVChDQUwsMjAwOSwsLCxFVVIp&amp;WINDOW=FIRST_POPUP&amp;HEIGHT=450&amp;WIDTH=450&amp;START_MAXIMI","ZED=FALSE&amp;VAR:CALENDAR=FIVEDAY&amp;VAR:SYMBOL=605520&amp;VAR:INDEX=0"}</definedName>
    <definedName name="_1932__FDSAUDITLINK__" hidden="1">{"fdsup://Directions/FactSet Auditing Viewer?action=AUDIT_VALUE&amp;DB=129&amp;ID1=571062&amp;VALUEID=01001&amp;SDATE=2008&amp;PERIODTYPE=ANN_STD&amp;window=popup_no_bar&amp;width=385&amp;height=120&amp;START_MAXIMIZED=FALSE&amp;creator=factset&amp;display_string=Audit"}</definedName>
    <definedName name="_1933__FDSAUDITLINK__" hidden="1">{"fdsup://directions/FAT Viewer?action=UPDATE&amp;creator=factset&amp;DYN_ARGS=TRUE&amp;DOC_NAME=FAT:FQL_AUDITING_CLIENT_TEMPLATE.FAT&amp;display_string=Audit&amp;VAR:KEY=RSJMXARUPM&amp;VAR:QUERY=RkZfRUJJVERBKENBTCwyMDA5LCwsLEVVUik=&amp;WINDOW=FIRST_POPUP&amp;HEIGHT=450&amp;WIDTH=450&amp;START_MA","XIMIZED=FALSE&amp;VAR:CALENDAR=FIVEDAY&amp;VAR:SYMBOL=646706&amp;VAR:INDEX=0"}</definedName>
    <definedName name="_1934__FDSAUDITLINK__" hidden="1">{"fdsup://directions/FAT Viewer?action=UPDATE&amp;creator=factset&amp;DYN_ARGS=TRUE&amp;DOC_NAME=FAT:FQL_AUDITING_CLIENT_TEMPLATE.FAT&amp;display_string=Audit&amp;VAR:KEY=UXGBOTQDAX&amp;VAR:QUERY=RkZfQ0FQRVgoQ0FMLDIwMDcsLCwsRVVSKQ==&amp;WINDOW=FIRST_POPUP&amp;HEIGHT=450&amp;WIDTH=450&amp;START_MA","XIMIZED=FALSE&amp;VAR:CALENDAR=FIVEDAY&amp;VAR:SYMBOL=653031&amp;VAR:INDEX=0"}</definedName>
    <definedName name="_1935__FDSAUDITLINK__" hidden="1">{"fdsup://Directions/FactSet Auditing Viewer?action=AUDIT_VALUE&amp;DB=129&amp;ID1=88355610&amp;VALUEID=01001&amp;SDATE=2008&amp;PERIODTYPE=ANN_STD&amp;window=popup_no_bar&amp;width=385&amp;height=120&amp;START_MAXIMIZED=FALSE&amp;creator=factset&amp;display_string=Audit"}</definedName>
    <definedName name="_1936__FDSAUDITLINK__" hidden="1">{"fdsup://directions/FAT Viewer?action=UPDATE&amp;creator=factset&amp;DYN_ARGS=TRUE&amp;DOC_NAME=FAT:FQL_AUDITING_CLIENT_TEMPLATE.FAT&amp;display_string=Audit&amp;VAR:KEY=MBMNUZOTGP&amp;VAR:QUERY=RkZfQ0FQRVgoQ0FMLDIwMDgsLCwsRVVSKQ==&amp;WINDOW=FIRST_POPUP&amp;HEIGHT=450&amp;WIDTH=450&amp;START_MA","XIMIZED=FALSE&amp;VAR:CALENDAR=FIVEDAY&amp;VAR:SYMBOL=TMO&amp;VAR:INDEX=0"}</definedName>
    <definedName name="_1937__FDSAUDITLINK__" hidden="1">{"fdsup://directions/FAT Viewer?action=UPDATE&amp;creator=factset&amp;DYN_ARGS=TRUE&amp;DOC_NAME=FAT:FQL_AUDITING_CLIENT_TEMPLATE.FAT&amp;display_string=Audit&amp;VAR:KEY=OHYVELQJYJ&amp;VAR:QUERY=RkZfRUJJVChDQUwsMjAwOCwsLCxFVVIp&amp;WINDOW=FIRST_POPUP&amp;HEIGHT=450&amp;WIDTH=450&amp;START_MAXIMI","ZED=FALSE&amp;VAR:CALENDAR=FIVEDAY&amp;VAR:SYMBOL=667984&amp;VAR:INDEX=0"}</definedName>
    <definedName name="_1938__FDSAUDITLINK__" hidden="1">{"fdsup://directions/FAT Viewer?action=UPDATE&amp;creator=factset&amp;DYN_ARGS=TRUE&amp;DOC_NAME=FAT:FQL_AUDITING_CLIENT_TEMPLATE.FAT&amp;display_string=Audit&amp;VAR:KEY=ZUFIJGVWTI&amp;VAR:QUERY=RkZfRUJJVERBKENBTCwyMDA4LCwsLEVVUik=&amp;WINDOW=FIRST_POPUP&amp;HEIGHT=450&amp;WIDTH=450&amp;START_MA","XIMIZED=FALSE&amp;VAR:CALENDAR=FIVEDAY&amp;VAR:SYMBOL=605520&amp;VAR:INDEX=0"}</definedName>
    <definedName name="_1939__FDSAUDITLINK__" hidden="1">{"fdsup://directions/FAT Viewer?action=UPDATE&amp;creator=factset&amp;DYN_ARGS=TRUE&amp;DOC_NAME=FAT:FQL_AUDITING_CLIENT_TEMPLATE.FAT&amp;display_string=Audit&amp;VAR:KEY=QNUXSNSLGF&amp;VAR:QUERY=RkZfQ0FQRVgoQ0FMLDIwMDksLCwsRVVSKQ==&amp;WINDOW=FIRST_POPUP&amp;HEIGHT=450&amp;WIDTH=450&amp;START_MA","XIMIZED=FALSE&amp;VAR:CALENDAR=FIVEDAY&amp;VAR:SYMBOL=602129&amp;VAR:INDEX=0"}</definedName>
    <definedName name="_19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1940__FDSAUDITLINK__" hidden="1">{"fdsup://directions/FAT Viewer?action=UPDATE&amp;creator=factset&amp;DYN_ARGS=TRUE&amp;DOC_NAME=FAT:FQL_AUDITING_CLIENT_TEMPLATE.FAT&amp;display_string=Audit&amp;VAR:KEY=SHCPCLGXAD&amp;VAR:QUERY=RkZfRUJJVChDQUwsMjAwNywsLCxFVVIp&amp;WINDOW=FIRST_POPUP&amp;HEIGHT=450&amp;WIDTH=450&amp;START_MAXIMI","ZED=FALSE&amp;VAR:CALENDAR=FIVEDAY&amp;VAR:SYMBOL=605520&amp;VAR:INDEX=0"}</definedName>
    <definedName name="_1941__FDSAUDITLINK__" hidden="1">{"fdsup://directions/FAT Viewer?action=UPDATE&amp;creator=factset&amp;DYN_ARGS=TRUE&amp;DOC_NAME=FAT:FQL_AUDITING_CLIENT_TEMPLATE.FAT&amp;display_string=Audit&amp;VAR:KEY=LSNKZIFYZE&amp;VAR:QUERY=RkZfRUJJVChDQUwsMjAwOCwsLCxFVVIp&amp;WINDOW=FIRST_POPUP&amp;HEIGHT=450&amp;WIDTH=450&amp;START_MAXIMI","ZED=FALSE&amp;VAR:CALENDAR=FIVEDAY&amp;VAR:SYMBOL=646706&amp;VAR:INDEX=0"}</definedName>
    <definedName name="_1942__FDSAUDITLINK__" hidden="1">{"fdsup://directions/FAT Viewer?action=UPDATE&amp;creator=factset&amp;DYN_ARGS=TRUE&amp;DOC_NAME=FAT:FQL_AUDITING_CLIENT_TEMPLATE.FAT&amp;display_string=Audit&amp;VAR:KEY=ULUTQRWTAX&amp;VAR:QUERY=RkZfREVCVF9MVChNT04sMCwsLCxFVVIp&amp;WINDOW=FIRST_POPUP&amp;HEIGHT=450&amp;WIDTH=450&amp;START_MAXIMI","ZED=FALSE&amp;VAR:CALENDAR=FIVEDAY&amp;VAR:SYMBOL=B1XHN3&amp;VAR:INDEX=0"}</definedName>
    <definedName name="_1943__FDSAUDITLINK__" hidden="1">{"fdsup://Directions/FactSet Auditing Viewer?action=AUDIT_VALUE&amp;DB=129&amp;ID1=546672&amp;VALUEID=01001&amp;SDATE=2009&amp;PERIODTYPE=ANN_STD&amp;window=popup_no_bar&amp;width=385&amp;height=120&amp;START_MAXIMIZED=FALSE&amp;creator=factset&amp;display_string=Audit"}</definedName>
    <definedName name="_1944__FDSAUDITLINK__" hidden="1">{"fdsup://directions/FAT Viewer?action=UPDATE&amp;creator=factset&amp;DYN_ARGS=TRUE&amp;DOC_NAME=FAT:FQL_AUDITING_CLIENT_TEMPLATE.FAT&amp;display_string=Audit&amp;VAR:KEY=IVIRIJYDYV&amp;VAR:QUERY=RkZfQ0FQRVgoQ0FMLDIwMDksLCwsRVVSKQ==&amp;WINDOW=FIRST_POPUP&amp;HEIGHT=450&amp;WIDTH=450&amp;START_MA","XIMIZED=FALSE&amp;VAR:CALENDAR=FIVEDAY&amp;VAR:SYMBOL=698534&amp;VAR:INDEX=0"}</definedName>
    <definedName name="_1945__FDSAUDITLINK__" hidden="1">{"fdsup://directions/FAT Viewer?action=UPDATE&amp;creator=factset&amp;DYN_ARGS=TRUE&amp;DOC_NAME=FAT:FQL_AUDITING_CLIENT_TEMPLATE.FAT&amp;display_string=Audit&amp;VAR:KEY=QPCXEDCHOF&amp;VAR:QUERY=RkZfQ0FQRVgoQ0FMLDIwMDgsLCwsRVVSKQ==&amp;WINDOW=FIRST_POPUP&amp;HEIGHT=450&amp;WIDTH=450&amp;START_MA","XIMIZED=FALSE&amp;VAR:CALENDAR=FIVEDAY&amp;VAR:SYMBOL=698534&amp;VAR:INDEX=0"}</definedName>
    <definedName name="_1946__FDSAUDITLINK__" hidden="1">{"fdsup://Directions/FactSet Auditing Viewer?action=AUDIT_VALUE&amp;DB=129&amp;ID1=516606&amp;VALUEID=P05202&amp;SDATE=2008&amp;PERIODTYPE=ANN_STD&amp;window=popup_no_bar&amp;width=385&amp;height=120&amp;START_MAXIMIZED=FALSE&amp;creator=factset&amp;display_string=Audit"}</definedName>
    <definedName name="_1947__FDSAUDITLINK__" hidden="1">{"fdsup://directions/FAT Viewer?action=UPDATE&amp;creator=factset&amp;DYN_ARGS=TRUE&amp;DOC_NAME=FAT:FQL_AUDITING_CLIENT_TEMPLATE.FAT&amp;display_string=Audit&amp;VAR:KEY=KXMLQDCTQF&amp;VAR:QUERY=RkZfREVCVF9MVChNT04sMCwsLCxFVVIp&amp;WINDOW=FIRST_POPUP&amp;HEIGHT=450&amp;WIDTH=450&amp;START_MAXIMI","ZED=FALSE&amp;VAR:CALENDAR=FIVEDAY&amp;VAR:SYMBOL=223350&amp;VAR:INDEX=0"}</definedName>
    <definedName name="_1948__FDSAUDITLINK__" hidden="1">{"fdsup://directions/FAT Viewer?action=UPDATE&amp;creator=factset&amp;DYN_ARGS=TRUE&amp;DOC_NAME=FAT:FQL_AUDITING_CLIENT_TEMPLATE.FAT&amp;display_string=Audit&amp;VAR:KEY=CRYNQRGRKH&amp;VAR:QUERY=RkZfQ0FQRVgoQ0FMLDIwMDcsLCwsRVVSKQ==&amp;WINDOW=FIRST_POPUP&amp;HEIGHT=450&amp;WIDTH=450&amp;START_MA","XIMIZED=FALSE&amp;VAR:CALENDAR=FIVEDAY&amp;VAR:SYMBOL=GLW&amp;VAR:INDEX=0"}</definedName>
    <definedName name="_1949__FDSAUDITLINK__" hidden="1">{"fdsup://Directions/FactSet Auditing Viewer?action=AUDIT_VALUE&amp;DB=129&amp;ID1=516606&amp;VALUEID=P05202&amp;SDATE=2007&amp;PERIODTYPE=ANN_STD&amp;window=popup_no_bar&amp;width=385&amp;height=120&amp;START_MAXIMIZED=FALSE&amp;creator=factset&amp;display_string=Audit"}</definedName>
    <definedName name="_195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1950__FDSAUDITLINK__" hidden="1">{"fdsup://directions/FAT Viewer?action=UPDATE&amp;creator=factset&amp;DYN_ARGS=TRUE&amp;DOC_NAME=FAT:FQL_AUDITING_CLIENT_TEMPLATE.FAT&amp;display_string=Audit&amp;VAR:KEY=QFEJUDYHWJ&amp;VAR:QUERY=RkZfQ0FQRVgoQ0FMLDIwMDgsLCwsRVVSKQ==&amp;WINDOW=FIRST_POPUP&amp;HEIGHT=450&amp;WIDTH=450&amp;START_MA","XIMIZED=FALSE&amp;VAR:CALENDAR=FIVEDAY&amp;VAR:SYMBOL=GLW&amp;VAR:INDEX=0"}</definedName>
    <definedName name="_1951__FDSAUDITLINK__" hidden="1">{"fdsup://directions/FAT Viewer?action=UPDATE&amp;creator=factset&amp;DYN_ARGS=TRUE&amp;DOC_NAME=FAT:FQL_AUDITING_CLIENT_TEMPLATE.FAT&amp;display_string=Audit&amp;VAR:KEY=SZODQZCBWJ&amp;VAR:QUERY=RkZfRUJJVChDQUwsMjAwOSwsLCxFVVIp&amp;WINDOW=FIRST_POPUP&amp;HEIGHT=450&amp;WIDTH=450&amp;START_MAXIMI","ZED=FALSE&amp;VAR:CALENDAR=FIVEDAY&amp;VAR:SYMBOL=667984&amp;VAR:INDEX=0"}</definedName>
    <definedName name="_1952__FDSAUDITLINK__" hidden="1">{"fdsup://directions/FAT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name="_1953__FDSAUDITLINK__" hidden="1">{"fdsup://directions/FAT Viewer?action=UPDATE&amp;creator=factset&amp;DYN_ARGS=TRUE&amp;DOC_NAME=FAT:FQL_AUDITING_CLIENT_TEMPLATE.FAT&amp;display_string=Audit&amp;VAR:KEY=GRSNKPOXQX&amp;VAR:QUERY=RkZfRUJJVERBKENBTCwyMDA3LCwsLEVVUik=&amp;WINDOW=FIRST_POPUP&amp;HEIGHT=450&amp;WIDTH=450&amp;START_MA","XIMIZED=FALSE&amp;VAR:CALENDAR=FIVEDAY&amp;VAR:SYMBOL=223350&amp;VAR:INDEX=0"}</definedName>
    <definedName name="_1954__FDSAUDITLINK__" hidden="1">{"fdsup://directions/FAT Viewer?action=UPDATE&amp;creator=factset&amp;DYN_ARGS=TRUE&amp;DOC_NAME=FAT:FQL_AUDITING_CLIENT_TEMPLATE.FAT&amp;display_string=Audit&amp;VAR:KEY=EZIFCDAFQZ&amp;VAR:QUERY=RkZfRUJJVERBKENBTCwyMDA4LCwsLEVVUik=&amp;WINDOW=FIRST_POPUP&amp;HEIGHT=450&amp;WIDTH=450&amp;START_MA","XIMIZED=FALSE&amp;VAR:CALENDAR=FIVEDAY&amp;VAR:SYMBOL=223350&amp;VAR:INDEX=0"}</definedName>
    <definedName name="_1955__FDSAUDITLINK__" hidden="1">{"fdsup://directions/FAT Viewer?action=UPDATE&amp;creator=factset&amp;DYN_ARGS=TRUE&amp;DOC_NAME=FAT:FQL_AUDITING_CLIENT_TEMPLATE.FAT&amp;display_string=Audit&amp;VAR:KEY=XOLKVWVYXC&amp;VAR:QUERY=RkZfRUJJVChDQUwsMjAwOCwsLCxFVVIp&amp;WINDOW=FIRST_POPUP&amp;HEIGHT=450&amp;WIDTH=450&amp;START_MAXIMI","ZED=FALSE&amp;VAR:CALENDAR=FIVEDAY&amp;VAR:SYMBOL=B1XHN3&amp;VAR:INDEX=0"}</definedName>
    <definedName name="_1956__FDSAUDITLINK__" hidden="1">{"fdsup://directions/FAT Viewer?action=UPDATE&amp;creator=factset&amp;DYN_ARGS=TRUE&amp;DOC_NAME=FAT:FQL_AUDITING_CLIENT_TEMPLATE.FAT&amp;display_string=Audit&amp;VAR:KEY=ATOHMVQTYH&amp;VAR:QUERY=RkZfRUJJVERBKENBTCwyMDA5LCwsLEVVUik=&amp;WINDOW=FIRST_POPUP&amp;HEIGHT=450&amp;WIDTH=450&amp;START_MA","XIMIZED=FALSE&amp;VAR:CALENDAR=FIVEDAY&amp;VAR:SYMBOL=223350&amp;VAR:INDEX=0"}</definedName>
    <definedName name="_1957__FDSAUDITLINK__" hidden="1">{"fdsup://directions/FAT Viewer?action=UPDATE&amp;creator=factset&amp;DYN_ARGS=TRUE&amp;DOC_NAME=FAT:FQL_AUDITING_CLIENT_TEMPLATE.FAT&amp;display_string=Audit&amp;VAR:KEY=QNEDUNQLKT&amp;VAR:QUERY=RkZfRUJJVERBKENBTCwyMDA3LCwsLEVVUik=&amp;WINDOW=FIRST_POPUP&amp;HEIGHT=450&amp;WIDTH=450&amp;START_MA","XIMIZED=FALSE&amp;VAR:CALENDAR=FIVEDAY&amp;VAR:SYMBOL=OI&amp;VAR:INDEX=0"}</definedName>
    <definedName name="_1958__FDSAUDITLINK__" hidden="1">{"fdsup://directions/FAT Viewer?action=UPDATE&amp;creator=factset&amp;DYN_ARGS=TRUE&amp;DOC_NAME=FAT:FQL_AUDITING_CLIENT_TEMPLATE.FAT&amp;display_string=Audit&amp;VAR:KEY=GVUFOZOFOJ&amp;VAR:QUERY=RkZfQ0FQRVgoQ0FMLDIwMDgsLCwsRVVSKQ==&amp;WINDOW=FIRST_POPUP&amp;HEIGHT=450&amp;WIDTH=450&amp;START_MA","XIMIZED=FALSE&amp;VAR:CALENDAR=FIVEDAY&amp;VAR:SYMBOL=B1Y47Y&amp;VAR:INDEX=0"}</definedName>
    <definedName name="_1959__FDSAUDITLINK__" hidden="1">{"fdsup://directions/FAT Viewer?action=UPDATE&amp;creator=factset&amp;DYN_ARGS=TRUE&amp;DOC_NAME=FAT:FQL_AUDITING_CLIENT_TEMPLATE.FAT&amp;display_string=Audit&amp;VAR:KEY=QNYFEVMTML&amp;VAR:QUERY=RkZfRUJJVERBKENBTCwyMDA3LCwsLEVVUik=&amp;WINDOW=FIRST_POPUP&amp;HEIGHT=450&amp;WIDTH=450&amp;START_MA","XIMIZED=FALSE&amp;VAR:CALENDAR=FIVEDAY&amp;VAR:SYMBOL=B0KS38&amp;VAR:INDEX=0"}</definedName>
    <definedName name="_196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197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198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199__FDSAUDITLINK__" hidden="1">{"fdsup://Directions/FactSet Auditing Viewer?action=AUDIT_VALUE&amp;DB=129&amp;ID1=575602&amp;VALUEID=01001&amp;SDATE=2009&amp;PERIODTYPE=ANN_STD&amp;window=popup_no_bar&amp;width=385&amp;height=120&amp;START_MAXIMIZED=FALSE&amp;creator=factset&amp;display_string=Audit"}</definedName>
    <definedName name="_19ALA642C761" hidden="1">#N/A</definedName>
    <definedName name="_1ALA642C761" hidden="1">#N/A</definedName>
    <definedName name="_1IQ_AVG_REAL_PRICE塅䕃_塅ETREAT_REFINING_IRON" hidden="1">"c9417"</definedName>
    <definedName name="_1IQ_GA___INVEST_INS" hidden="1">"c1466"</definedName>
    <definedName name="_2__123Graph_A__MW_VS_POWER" hidden="1">#REF!</definedName>
    <definedName name="_2__123Graph_ACHART_1" hidden="1">#REF!</definedName>
    <definedName name="_2__123Graph_ACHART_2" hidden="1">#REF!</definedName>
    <definedName name="_2__123Graph_AChart_2A" hidden="1">#REF!</definedName>
    <definedName name="_2__123Graph_ACHART_3" hidden="1">#REF!</definedName>
    <definedName name="_2__123Graph_BCHART_5" hidden="1">#REF!</definedName>
    <definedName name="_2_0_0_S" hidden="1">#REF!</definedName>
    <definedName name="_2_123Grap" hidden="1">#REF!</definedName>
    <definedName name="_2__0_S" hidden="1">#REF!</definedName>
    <definedName name="_20__123Graph_AC04C_FF_L" hidden="1">#REF!</definedName>
    <definedName name="_20__123Graph_AC04C_FR_L2" hidden="1">#REF!</definedName>
    <definedName name="_20__123Graph_ECHART_2" hidden="1">#REF!</definedName>
    <definedName name="_20__123Graph_FHR_BY_OEM" hidden="1">#REF!</definedName>
    <definedName name="_20__123Graph_LBL_ACHART_2" hidden="1">#REF!</definedName>
    <definedName name="_20__123Graph_LBL_ACHART_3" hidden="1">#REF!</definedName>
    <definedName name="_20__123Graph_XCHART_2" hidden="1">#REF!</definedName>
    <definedName name="_20__123Graph_XCHART_3" hidden="1">#REF!</definedName>
    <definedName name="_20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200__FDSAUDITLINK__" hidden="1">{"fdsup://Directions/FactSet Auditing Viewer?action=AUDIT_VALUE&amp;DB=129&amp;ID1=552902&amp;VALUEID=01001&amp;SDATE=2009&amp;PERIODTYPE=ANN_STD&amp;window=popup_no_bar&amp;width=385&amp;height=120&amp;START_MAXIMIZED=FALSE&amp;creator=factset&amp;display_string=Audit"}</definedName>
    <definedName name="_201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02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03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030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33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34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35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36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37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38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39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040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1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2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3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4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5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6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7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8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9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050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1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2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3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4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5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6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7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8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9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6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060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61__FDSAUDITLINK__" hidden="1">{"fdsup://directions/FAT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62__FDSAUDITLINK__" hidden="1">{"fdsup://directions/FAT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63__FDSAUDITLINK__" hidden="1">{"fdsup://directions/FAT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64__FDSAUDITLINK__" hidden="1">{"fdsup://directions/FAT Viewer?action=UPDATE&amp;creator=factset&amp;DYN_ARGS=TRUE&amp;DOC_NAME=FAT:FQL_AUDITING_CLIENT_TEMPLATE.FAT&amp;display_string=Audit&amp;VAR:KEY=EDEJOJITQZ&amp;VAR:QUERY=RkZfRUJJVERBKENBTCwyMDA4LCwsLEVVUik=&amp;WINDOW=FIRST_POPUP&amp;HEIGHT=450&amp;WIDTH=450&amp;START_MA","XIMIZED=FALSE&amp;VAR:CALENDAR=FIVEDAY&amp;VAR:SYMBOL=B0KS38&amp;VAR:INDEX=0"}</definedName>
    <definedName name="_2065__FDSAUDITLINK__" hidden="1">{"fdsup://directions/FAT Viewer?action=UPDATE&amp;creator=factset&amp;DYN_ARGS=TRUE&amp;DOC_NAME=FAT:FQL_AUDITING_CLIENT_TEMPLATE.FAT&amp;display_string=Audit&amp;VAR:KEY=RININCXYPE&amp;VAR:QUERY=RkZfQ0FQRVgoQ0FMLDIwMDksLCwsRVVSKQ==&amp;WINDOW=FIRST_POPUP&amp;HEIGHT=450&amp;WIDTH=450&amp;START_MA","XIMIZED=FALSE&amp;VAR:CALENDAR=FIVEDAY&amp;VAR:SYMBOL=OI&amp;VAR:INDEX=0"}</definedName>
    <definedName name="_2066__FDSAUDITLINK__" hidden="1">{"fdsup://directions/FAT Viewer?action=UPDATE&amp;creator=factset&amp;DYN_ARGS=TRUE&amp;DOC_NAME=FAT:FQL_AUDITING_CLIENT_TEMPLATE.FAT&amp;display_string=Audit&amp;VAR:KEY=DETARMLUHM&amp;VAR:QUERY=RkZfRUJJVChDQUwsMjAwOSwsLCxFVVIp&amp;WINDOW=FIRST_POPUP&amp;HEIGHT=450&amp;WIDTH=450&amp;START_MAXIMI","ZED=FALSE&amp;VAR:CALENDAR=FIVEDAY&amp;VAR:SYMBOL=B1XHN3&amp;VAR:INDEX=0"}</definedName>
    <definedName name="_2067__FDSAUDITLINK__" hidden="1">{"fdsup://directions/FAT Viewer?action=UPDATE&amp;creator=factset&amp;DYN_ARGS=TRUE&amp;DOC_NAME=FAT:FQL_AUDITING_CLIENT_TEMPLATE.FAT&amp;display_string=Audit&amp;VAR:KEY=KTIZELYTAH&amp;VAR:QUERY=RkZfRUJJVERBKENBTCwyMDA4LCwsLEVVUik=&amp;WINDOW=FIRST_POPUP&amp;HEIGHT=450&amp;WIDTH=450&amp;START_MA","XIMIZED=FALSE&amp;VAR:CALENDAR=FIVEDAY&amp;VAR:SYMBOL=SIAL&amp;VAR:INDEX=0"}</definedName>
    <definedName name="_2068__FDSAUDITLINK__" hidden="1">{"fdsup://directions/FAT Viewer?action=UPDATE&amp;creator=factset&amp;DYN_ARGS=TRUE&amp;DOC_NAME=FAT:FQL_AUDITING_CLIENT_TEMPLATE.FAT&amp;display_string=Audit&amp;VAR:KEY=OXKBSDEBAP&amp;VAR:QUERY=RkZfRUJJVERBKENBTCwyMDA3LCwsLEVVUik=&amp;WINDOW=FIRST_POPUP&amp;HEIGHT=450&amp;WIDTH=450&amp;START_MA","XIMIZED=FALSE&amp;VAR:CALENDAR=FIVEDAY&amp;VAR:SYMBOL=SIAL&amp;VAR:INDEX=0"}</definedName>
    <definedName name="_2069__FDSAUDITLINK__" hidden="1">{"fdsup://directions/FAT Viewer?action=UPDATE&amp;creator=factset&amp;DYN_ARGS=TRUE&amp;DOC_NAME=FAT:FQL_AUDITING_CLIENT_TEMPLATE.FAT&amp;display_string=Audit&amp;VAR:KEY=UBSZKJINWP&amp;VAR:QUERY=RkZfQ0FQRVgoQ0FMLDIwMDksLCwsRVVSKQ==&amp;WINDOW=FIRST_POPUP&amp;HEIGHT=450&amp;WIDTH=450&amp;START_MA","XIMIZED=FALSE&amp;VAR:CALENDAR=FIVEDAY&amp;VAR:SYMBOL=B1Y47Y&amp;VAR:INDEX=0"}</definedName>
    <definedName name="_207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070__FDSAUDITLINK__" hidden="1">{"fdsup://directions/FAT Viewer?action=UPDATE&amp;creator=factset&amp;DYN_ARGS=TRUE&amp;DOC_NAME=FAT:FQL_AUDITING_CLIENT_TEMPLATE.FAT&amp;display_string=Audit&amp;VAR:KEY=ODGBQXYTKD&amp;VAR:QUERY=RkZfRUJJVChDQUwsMjAwNywsLCxFVVIp&amp;WINDOW=FIRST_POPUP&amp;HEIGHT=450&amp;WIDTH=450&amp;START_MAXIMI","ZED=FALSE&amp;VAR:CALENDAR=FIVEDAY&amp;VAR:SYMBOL=B1Y47Y&amp;VAR:INDEX=0"}</definedName>
    <definedName name="_2071__FDSAUDITLINK__" hidden="1">{"fdsup://Directions/FactSet Auditing Viewer?action=AUDIT_VALUE&amp;DB=129&amp;ID1=59268810&amp;VALUEID=01001&amp;SDATE=2008&amp;PERIODTYPE=ANN_STD&amp;window=popup_no_bar&amp;width=385&amp;height=120&amp;START_MAXIMIZED=FALSE&amp;creator=factset&amp;display_string=Audit"}</definedName>
    <definedName name="_2072__FDSAUDITLINK__" hidden="1">{"fdsup://directions/FAT Viewer?action=UPDATE&amp;creator=factset&amp;DYN_ARGS=TRUE&amp;DOC_NAME=FAT:FQL_AUDITING_CLIENT_TEMPLATE.FAT&amp;display_string=Audit&amp;VAR:KEY=YPAPMHCTAP&amp;VAR:QUERY=RkZfRUJJVERBKENBTCwyMDA4LCwsLEVVUik=&amp;WINDOW=FIRST_POPUP&amp;HEIGHT=450&amp;WIDTH=450&amp;START_MA","XIMIZED=FALSE&amp;VAR:CALENDAR=FIVEDAY&amp;VAR:SYMBOL=GLW&amp;VAR:INDEX=0"}</definedName>
    <definedName name="_2073__FDSAUDITLINK__" hidden="1">{"fdsup://directions/FAT Viewer?action=UPDATE&amp;creator=factset&amp;DYN_ARGS=TRUE&amp;DOC_NAME=FAT:FQL_AUDITING_CLIENT_TEMPLATE.FAT&amp;display_string=Audit&amp;VAR:KEY=AREVWPQTQD&amp;VAR:QUERY=RkZfRUJJVERBKENBTCwyMDA3LCwsLEVVUik=&amp;WINDOW=FIRST_POPUP&amp;HEIGHT=450&amp;WIDTH=450&amp;START_MA","XIMIZED=FALSE&amp;VAR:CALENDAR=FIVEDAY&amp;VAR:SYMBOL=653031&amp;VAR:INDEX=0"}</definedName>
    <definedName name="_2074__FDSAUDITLINK__" hidden="1">{"fdsup://directions/FAT Viewer?action=UPDATE&amp;creator=factset&amp;DYN_ARGS=TRUE&amp;DOC_NAME=FAT:FQL_AUDITING_CLIENT_TEMPLATE.FAT&amp;display_string=Audit&amp;VAR:KEY=ABYZIBKJWT&amp;VAR:QUERY=RkZfRUJJVERBKENBTCwyMDA5LCwsLEVVUik=&amp;WINDOW=FIRST_POPUP&amp;HEIGHT=450&amp;WIDTH=450&amp;START_MA","XIMIZED=FALSE&amp;VAR:CALENDAR=FIVEDAY&amp;VAR:SYMBOL=653031&amp;VAR:INDEX=0"}</definedName>
    <definedName name="_2075__FDSAUDITLINK__" hidden="1">{"fdsup://Directions/FactSet Auditing Viewer?action=AUDIT_VALUE&amp;DB=129&amp;ID1=69076840&amp;VALUEID=01001&amp;SDATE=2007&amp;PERIODTYPE=ANN_STD&amp;window=popup_no_bar&amp;width=385&amp;height=120&amp;START_MAXIMIZED=FALSE&amp;creator=factset&amp;display_string=Audit"}</definedName>
    <definedName name="_2076__FDSAUDITLINK__" hidden="1">{"fdsup://directions/FAT Viewer?action=UPDATE&amp;creator=factset&amp;DYN_ARGS=TRUE&amp;DOC_NAME=FAT:FQL_AUDITING_CLIENT_TEMPLATE.FAT&amp;display_string=Audit&amp;VAR:KEY=WFARCLYZGZ&amp;VAR:QUERY=RkZfRUJJVChDQUwsMjAwOCwsLCxFVVIp&amp;WINDOW=FIRST_POPUP&amp;HEIGHT=450&amp;WIDTH=450&amp;START_MAXIMI","ZED=FALSE&amp;VAR:CALENDAR=FIVEDAY&amp;VAR:SYMBOL=605520&amp;VAR:INDEX=0"}</definedName>
    <definedName name="_2077__FDSAUDITLINK__" hidden="1">{"fdsup://directions/FAT Viewer?action=UPDATE&amp;creator=factset&amp;DYN_ARGS=TRUE&amp;DOC_NAME=FAT:FQL_AUDITING_CLIENT_TEMPLATE.FAT&amp;display_string=Audit&amp;VAR:KEY=XYPYVAFWVA&amp;VAR:QUERY=RkZfQ0FQRVgoQ0FMLDIwMDcsLCwsRVVSKQ==&amp;WINDOW=FIRST_POPUP&amp;HEIGHT=450&amp;WIDTH=450&amp;START_MA","XIMIZED=FALSE&amp;VAR:CALENDAR=FIVEDAY&amp;VAR:SYMBOL=606660&amp;VAR:INDEX=0"}</definedName>
    <definedName name="_2078__FDSAUDITLINK__" hidden="1">{"fdsup://directions/FAT Viewer?action=UPDATE&amp;creator=factset&amp;DYN_ARGS=TRUE&amp;DOC_NAME=FAT:FQL_AUDITING_CLIENT_TEMPLATE.FAT&amp;display_string=Audit&amp;VAR:KEY=SZGZAXCTUJ&amp;VAR:QUERY=RkZfRUJJVERBKENBTCwyMDA4LCwsLEVVUik=&amp;WINDOW=FIRST_POPUP&amp;HEIGHT=450&amp;WIDTH=450&amp;START_MA","XIMIZED=FALSE&amp;VAR:CALENDAR=FIVEDAY&amp;VAR:SYMBOL=07588710&amp;VAR:INDEX=0"}</definedName>
    <definedName name="_2079__FDSAUDITLINK__" hidden="1">{"fdsup://directions/FAT Viewer?action=UPDATE&amp;creator=factset&amp;DYN_ARGS=TRUE&amp;DOC_NAME=FAT:FQL_AUDITING_CLIENT_TEMPLATE.FAT&amp;display_string=Audit&amp;VAR:KEY=CHGDMNMFIJ&amp;VAR:QUERY=RkZfRUJJVChDQUwsMjAwOCwsLCxFVVIp&amp;WINDOW=FIRST_POPUP&amp;HEIGHT=450&amp;WIDTH=450&amp;START_MAXIMI","ZED=FALSE&amp;VAR:CALENDAR=FIVEDAY&amp;VAR:SYMBOL=07588710&amp;VAR:INDEX=0"}</definedName>
    <definedName name="_208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080__FDSAUDITLINK__" hidden="1">{"fdsup://directions/FAT Viewer?action=UPDATE&amp;creator=factset&amp;DYN_ARGS=TRUE&amp;DOC_NAME=FAT:FQL_AUDITING_CLIENT_TEMPLATE.FAT&amp;display_string=Audit&amp;VAR:KEY=VQTYRIVGHQ&amp;VAR:QUERY=RkZfRUJJVERBKENBTCwyMDA3LCwsLEVVUik=&amp;WINDOW=FIRST_POPUP&amp;HEIGHT=450&amp;WIDTH=450&amp;START_MA","XIMIZED=FALSE&amp;VAR:CALENDAR=FIVEDAY&amp;VAR:SYMBOL=646706&amp;VAR:INDEX=0"}</definedName>
    <definedName name="_2081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2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3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4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5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6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7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8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9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090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1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2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3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4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5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6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7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8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9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ALA642C761" hidden="1">#N/A</definedName>
    <definedName name="_21__123Graph_AC04C_FF_T" hidden="1">#REF!</definedName>
    <definedName name="_21__123Graph_AC04C_FR_T1" hidden="1">#REF!</definedName>
    <definedName name="_21__123Graph_ACHART_1" hidden="1">#REF!</definedName>
    <definedName name="_21__123Graph_ACHART_4" hidden="1">#REF!</definedName>
    <definedName name="_21__123Graph_ECHART_3" hidden="1">#REF!</definedName>
    <definedName name="_21__123Graph_LBL_ACHART_3" hidden="1">#REF!</definedName>
    <definedName name="_21__123Graph_LBL_DCHART_1" hidden="1">#N/A</definedName>
    <definedName name="_21__123Graph_XCAP_PWR_93___95" hidden="1">#REF!</definedName>
    <definedName name="_21__123Graph_XCHART_4" hidden="1">#REF!</definedName>
    <definedName name="_21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210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100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1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2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3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4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5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6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7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8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9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110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1__FDSAUDITLINK__" hidden="1">{"fdsup://directions/FAT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2__FDSAUDITLINK__" hidden="1">{"fdsup://directions/FAT Viewer?action=UPDATE&amp;creator=factset&amp;DYN_ARGS=TRUE&amp;DOC_NAME=FAT:FQL_AUDITING_CLIENT_TEMPLATE.FAT&amp;display_string=Audit&amp;VAR:KEY=CBGXUJWVMR&amp;VAR:QUERY=RkZfQ0FQRVgoQ0FMLDIwMDksLCwsRVVSKQ==&amp;WINDOW=FIRST_POPUP&amp;HEIGHT=450&amp;WIDTH=450&amp;START_MA","XIMIZED=FALSE&amp;VAR:CALENDAR=FIVEDAY&amp;VAR:SYMBOL=B0KS38&amp;VAR:INDEX=0"}</definedName>
    <definedName name="_2113__FDSAUDITLINK__" hidden="1">{"fdsup://directions/FAT Viewer?action=UPDATE&amp;creator=factset&amp;DYN_ARGS=TRUE&amp;DOC_NAME=FAT:FQL_AUDITING_CLIENT_TEMPLATE.FAT&amp;display_string=Audit&amp;VAR:KEY=ITQFGZMFML&amp;VAR:QUERY=RkZfRUJJVERBKENBTCwyMDA5LCwsLEVVUik=&amp;WINDOW=FIRST_POPUP&amp;HEIGHT=450&amp;WIDTH=450&amp;START_MA","XIMIZED=FALSE&amp;VAR:CALENDAR=FIVEDAY&amp;VAR:SYMBOL=605520&amp;VAR:INDEX=0"}</definedName>
    <definedName name="_2114__FDSAUDITLINK__" hidden="1">{"fdsup://directions/FAT Viewer?action=UPDATE&amp;creator=factset&amp;DYN_ARGS=TRUE&amp;DOC_NAME=FAT:FQL_AUDITING_CLIENT_TEMPLATE.FAT&amp;display_string=Audit&amp;VAR:KEY=CLEVULKVWT&amp;VAR:QUERY=RkZfRUJJVERBKENBTCwyMDA5LCwsLEVVUik=&amp;WINDOW=FIRST_POPUP&amp;HEIGHT=450&amp;WIDTH=450&amp;START_MA","XIMIZED=FALSE&amp;VAR:CALENDAR=FIVEDAY&amp;VAR:SYMBOL=07588710&amp;VAR:INDEX=0"}</definedName>
    <definedName name="_2115__FDSAUDITLINK__" hidden="1">{"fdsup://directions/FAT Viewer?action=UPDATE&amp;creator=factset&amp;DYN_ARGS=TRUE&amp;DOC_NAME=FAT:FQL_AUDITING_CLIENT_TEMPLATE.FAT&amp;display_string=Audit&amp;VAR:KEY=GXITQFCNQX&amp;VAR:QUERY=RkZfREVCVF9MVChNT04sMCwsLCxFVVIp&amp;WINDOW=FIRST_POPUP&amp;HEIGHT=450&amp;WIDTH=450&amp;START_MAXIMI","ZED=FALSE&amp;VAR:CALENDAR=FIVEDAY&amp;VAR:SYMBOL=SIAL&amp;VAR:INDEX=0"}</definedName>
    <definedName name="_2116__FDSAUDITLINK__" hidden="1">{"fdsup://Directions/FactSet Auditing Viewer?action=AUDIT_VALUE&amp;DB=129&amp;ID1=516606&amp;VALUEID=P05202&amp;SDATE=2008&amp;PERIODTYPE=ANN_STD&amp;window=popup_no_bar&amp;width=385&amp;height=120&amp;START_MAXIMIZED=FALSE&amp;creator=factset&amp;display_string=Audit"}</definedName>
    <definedName name="_2117__FDSAUDITLINK__" hidden="1">{"fdsup://directions/FAT Viewer?action=UPDATE&amp;creator=factset&amp;DYN_ARGS=TRUE&amp;DOC_NAME=FAT:FQL_AUDITING_CLIENT_TEMPLATE.FAT&amp;display_string=Audit&amp;VAR:KEY=FWPQJURQRS&amp;VAR:QUERY=RkZfRUJJVERBKENBTCwyMDA3LCwsLEVVUik=&amp;WINDOW=FIRST_POPUP&amp;HEIGHT=450&amp;WIDTH=450&amp;START_MA","XIMIZED=FALSE&amp;VAR:CALENDAR=FIVEDAY&amp;VAR:SYMBOL=B1XHN3&amp;VAR:INDEX=0"}</definedName>
    <definedName name="_2118__FDSAUDITLINK__" hidden="1">{"fdsup://directions/FAT Viewer?action=UPDATE&amp;creator=factset&amp;DYN_ARGS=TRUE&amp;DOC_NAME=FAT:FQL_AUDITING_CLIENT_TEMPLATE.FAT&amp;display_string=Audit&amp;VAR:KEY=ZKZQPUHITE&amp;VAR:QUERY=RkZfQ0FQRVgoQ0FMLDIwMDgsLCwsRVVSKQ==&amp;WINDOW=FIRST_POPUP&amp;HEIGHT=450&amp;WIDTH=450&amp;START_MA","XIMIZED=FALSE&amp;VAR:CALENDAR=FIVEDAY&amp;VAR:SYMBOL=646706&amp;VAR:INDEX=0"}</definedName>
    <definedName name="_2119__FDSAUDITLINK__" hidden="1">{"fdsup://directions/FAT Viewer?action=UPDATE&amp;creator=factset&amp;DYN_ARGS=TRUE&amp;DOC_NAME=FAT:FQL_AUDITING_CLIENT_TEMPLATE.FAT&amp;display_string=Audit&amp;VAR:KEY=PENYPKXMVQ&amp;VAR:QUERY=RkZfQ0FQRVgoQ0FMLDIwMDksLCwsRVVSKQ==&amp;WINDOW=FIRST_POPUP&amp;HEIGHT=450&amp;WIDTH=450&amp;START_MA","XIMIZED=FALSE&amp;VAR:CALENDAR=FIVEDAY&amp;VAR:SYMBOL=646706&amp;VAR:INDEX=0"}</definedName>
    <definedName name="_212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120__FDSAUDITLINK__" hidden="1">{"fdsup://directions/FAT Viewer?action=UPDATE&amp;creator=factset&amp;DYN_ARGS=TRUE&amp;DOC_NAME=FAT:FQL_AUDITING_CLIENT_TEMPLATE.FAT&amp;display_string=Audit&amp;VAR:KEY=VUNYBCJMPO&amp;VAR:QUERY=RkZfRUJJVERBKENBTCwyMDA4LCwsLEVVUik=&amp;WINDOW=FIRST_POPUP&amp;HEIGHT=450&amp;WIDTH=450&amp;START_MA","XIMIZED=FALSE&amp;VAR:CALENDAR=FIVEDAY&amp;VAR:SYMBOL=516606&amp;VAR:INDEX=0"}</definedName>
    <definedName name="_2121__FDSAUDITLINK__" hidden="1">{"fdsup://directions/FAT Viewer?action=UPDATE&amp;creator=factset&amp;DYN_ARGS=TRUE&amp;DOC_NAME=FAT:FQL_AUDITING_CLIENT_TEMPLATE.FAT&amp;display_string=Audit&amp;VAR:KEY=HQRMBUVMFS&amp;VAR:QUERY=RkZfRUJJVChDQUwsMjAwNywsLCxFVVIp&amp;WINDOW=FIRST_POPUP&amp;HEIGHT=450&amp;WIDTH=450&amp;START_MAXIMI","ZED=FALSE&amp;VAR:CALENDAR=FIVEDAY&amp;VAR:SYMBOL=B1XHN3&amp;VAR:INDEX=0"}</definedName>
    <definedName name="_2122__FDSAUDITLINK__" hidden="1">{"fdsup://directions/FAT Viewer?action=UPDATE&amp;creator=factset&amp;DYN_ARGS=TRUE&amp;DOC_NAME=FAT:FQL_AUDITING_CLIENT_TEMPLATE.FAT&amp;display_string=Audit&amp;VAR:KEY=TGPWZMVARY&amp;VAR:QUERY=RkZfQ0FQRVgoQ0FMLDIwMDcsLCwsRVVSKQ==&amp;WINDOW=FIRST_POPUP&amp;HEIGHT=450&amp;WIDTH=450&amp;START_MA","XIMIZED=FALSE&amp;VAR:CALENDAR=FIVEDAY&amp;VAR:SYMBOL=B1XHN3&amp;VAR:INDEX=0"}</definedName>
    <definedName name="_2123__FDSAUDITLINK__" hidden="1">{"fdsup://directions/FAT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name="_2124__FDSAUDITLINK__" hidden="1">{"fdsup://directions/FAT Viewer?action=UPDATE&amp;creator=factset&amp;DYN_ARGS=TRUE&amp;DOC_NAME=FAT:FQL_AUDITING_CLIENT_TEMPLATE.FAT&amp;display_string=Audit&amp;VAR:KEY=UFUBMLITKB&amp;VAR:QUERY=RkZfRUJJVERBKENBTCwyMDA5LCwsLEVVUik=&amp;WINDOW=FIRST_POPUP&amp;HEIGHT=450&amp;WIDTH=450&amp;START_MA","XIMIZED=FALSE&amp;VAR:CALENDAR=FIVEDAY&amp;VAR:SYMBOL=546672&amp;VAR:INDEX=0"}</definedName>
    <definedName name="_2125__FDSAUDITLINK__" hidden="1">{"fdsup://directions/FAT Viewer?action=UPDATE&amp;creator=factset&amp;DYN_ARGS=TRUE&amp;DOC_NAME=FAT:FQL_AUDITING_CLIENT_TEMPLATE.FAT&amp;display_string=Audit&amp;VAR:KEY=VWLMPKPQBK&amp;VAR:QUERY=RkZfQ0FQRVgoQ0FMLDIwMDcsLCwsRVVSKQ==&amp;WINDOW=FIRST_POPUP&amp;HEIGHT=450&amp;WIDTH=450&amp;START_MA","XIMIZED=FALSE&amp;VAR:CALENDAR=FIVEDAY&amp;VAR:SYMBOL=646706&amp;VAR:INDEX=0"}</definedName>
    <definedName name="_2126__FDSAUDITLINK__" hidden="1">{"fdsup://directions/FAT Viewer?action=UPDATE&amp;creator=factset&amp;DYN_ARGS=TRUE&amp;DOC_NAME=FAT:FQL_AUDITING_CLIENT_TEMPLATE.FAT&amp;display_string=Audit&amp;VAR:KEY=LUVKJWZKBE&amp;VAR:QUERY=RkZfQ0FQRVgoQ0FMLDIwMDksLCwsRVVSKQ==&amp;WINDOW=FIRST_POPUP&amp;HEIGHT=450&amp;WIDTH=450&amp;START_MA","XIMIZED=FALSE&amp;VAR:CALENDAR=FIVEDAY&amp;VAR:SYMBOL=B0KS38&amp;VAR:INDEX=0"}</definedName>
    <definedName name="_2127__FDSAUDITLINK__" hidden="1">{"fdsup://directions/FAT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name="_2128__FDSAUDITLINK__" hidden="1">{"fdsup://directions/FAT Viewer?action=UPDATE&amp;creator=factset&amp;DYN_ARGS=TRUE&amp;DOC_NAME=FAT:FQL_AUDITING_CLIENT_TEMPLATE.FAT&amp;display_string=Audit&amp;VAR:KEY=KBYDKRKTUN&amp;VAR:QUERY=RkZfRUJJVERBKENBTCwyMDA3LCwsLEVVUik=&amp;WINDOW=FIRST_POPUP&amp;HEIGHT=450&amp;WIDTH=450&amp;START_MA","XIMIZED=FALSE&amp;VAR:CALENDAR=FIVEDAY&amp;VAR:SYMBOL=GLW&amp;VAR:INDEX=0"}</definedName>
    <definedName name="_2129__FDSAUDITLINK__" hidden="1">{"fdsup://directions/FAT Viewer?action=UPDATE&amp;creator=factset&amp;DYN_ARGS=TRUE&amp;DOC_NAME=FAT:FQL_AUDITING_CLIENT_TEMPLATE.FAT&amp;display_string=Audit&amp;VAR:KEY=YRGFKZWTOP&amp;VAR:QUERY=RkZfQ0FQRVgoQ0FMLDIwMDksLCwsRVVSKQ==&amp;WINDOW=FIRST_POPUP&amp;HEIGHT=450&amp;WIDTH=450&amp;START_MA","XIMIZED=FALSE&amp;VAR:CALENDAR=FIVEDAY&amp;VAR:SYMBOL=GLW&amp;VAR:INDEX=0"}</definedName>
    <definedName name="_212IQ_OPER塅䕃_塅EMEDIAN_EST_CIQ" hidden="1">"c12011"</definedName>
    <definedName name="_213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130__FDSAUDITLINK__" hidden="1">{"fdsup://Directions/FactSet Auditing Viewer?action=AUDIT_VALUE&amp;DB=129&amp;ID1=58733R10&amp;VALUEID=03501&amp;SDATE=2009&amp;PERIODTYPE=ANN_STD&amp;window=popup_no_bar&amp;width=385&amp;height=120&amp;START_MAXIMIZED=FALSE&amp;creator=factset&amp;display_string=Audit"}</definedName>
    <definedName name="_2131__FDSAUDITLINK__" hidden="1">{"fdsup://Directions/FactSet Auditing Viewer?action=AUDIT_VALUE&amp;DB=129&amp;ID1=36238G10&amp;VALUEID=03501&amp;SDATE=2009&amp;PERIODTYPE=ANN_STD&amp;window=popup_no_bar&amp;width=385&amp;height=120&amp;START_MAXIMIZED=FALSE&amp;creator=factset&amp;display_string=Audit"}</definedName>
    <definedName name="_2132__FDSAUDITLINK__" hidden="1">{"fdsup://Directions/FactSet Auditing Viewer?action=AUDIT_VALUE&amp;DB=129&amp;ID1=27864210&amp;VALUEID=03501&amp;SDATE=2009&amp;PERIODTYPE=ANN_STD&amp;window=popup_no_bar&amp;width=385&amp;height=120&amp;START_MAXIMIZED=FALSE&amp;creator=factset&amp;display_string=Audit"}</definedName>
    <definedName name="_2133__FDSAUDITLINK__" hidden="1">{"fdsup://Directions/FactSet Auditing Viewer?action=AUDIT_VALUE&amp;DB=129&amp;ID1=02313510&amp;VALUEID=03501&amp;SDATE=2009&amp;PERIODTYPE=ANN_STD&amp;window=popup_no_bar&amp;width=385&amp;height=120&amp;START_MAXIMIZED=FALSE&amp;creator=factset&amp;display_string=Audit"}</definedName>
    <definedName name="_2134__FDSAUDITLINK__" hidden="1">{"fdsup://Directions/FactSet Auditing Viewer?action=AUDIT_VALUE&amp;DB=129&amp;ID1=B2R9XL&amp;VALUEID=03501&amp;SDATE=2009&amp;PERIODTYPE=ANN_STD&amp;window=popup_no_bar&amp;width=385&amp;height=120&amp;START_MAXIMIZED=FALSE&amp;creator=factset&amp;display_string=Audit"}</definedName>
    <definedName name="_2135__FDSAUDITLINK__" hidden="1">{"fdsup://Directions/FactSet Auditing Viewer?action=AUDIT_VALUE&amp;DB=129&amp;ID1=622959&amp;VALUEID=03501&amp;SDATE=2009&amp;PERIODTYPE=ANN_STD&amp;window=popup_no_bar&amp;width=385&amp;height=120&amp;START_MAXIMIZED=FALSE&amp;creator=factset&amp;display_string=Audit"}</definedName>
    <definedName name="_2136__FDSAUDITLINK__" hidden="1">{"fdsup://directions/FAT Viewer?action=UPDATE&amp;creator=factset&amp;DYN_ARGS=TRUE&amp;DOC_NAME=FAT:FQL_AUDITING_CLIENT_TEMPLATE.FAT&amp;display_string=Audit&amp;VAR:KEY=ILKFQXAPGL&amp;VAR:QUERY=RkZfRUJJVERBKENBTCwyMDA4LCwsLEVVUik=&amp;WINDOW=FIRST_POPUP&amp;HEIGHT=450&amp;WIDTH=450&amp;START_MA","XIMIZED=FALSE&amp;VAR:CALENDAR=FIVEDAY&amp;VAR:SYMBOL=516606&amp;VAR:INDEX=0"}</definedName>
    <definedName name="_2137__FDSAUDITLINK__" hidden="1">{"fdsup://directions/FAT Viewer?action=UPDATE&amp;creator=factset&amp;DYN_ARGS=TRUE&amp;DOC_NAME=FAT:FQL_AUDITING_CLIENT_TEMPLATE.FAT&amp;display_string=Audit&amp;VAR:KEY=CBQPCBOFMT&amp;VAR:QUERY=RkZfRUJJVERBKENBTCwyMDA5LCwsLEVVUik=&amp;WINDOW=FIRST_POPUP&amp;HEIGHT=450&amp;WIDTH=450&amp;START_MA","XIMIZED=FALSE&amp;VAR:CALENDAR=FIVEDAY&amp;VAR:SYMBOL=516606&amp;VAR:INDEX=0"}</definedName>
    <definedName name="_2138__FDSAUDITLINK__" hidden="1">{"fdsup://directions/FAT Viewer?action=UPDATE&amp;creator=factset&amp;DYN_ARGS=TRUE&amp;DOC_NAME=FAT:FQL_AUDITING_CLIENT_TEMPLATE.FAT&amp;display_string=Audit&amp;VAR:KEY=GPOFEBCRMJ&amp;VAR:QUERY=RkZfRUJJVChDQUwsMjAwNywsLCxFVVIp&amp;WINDOW=FIRST_POPUP&amp;HEIGHT=450&amp;WIDTH=450&amp;START_MAXIMI","ZED=FALSE&amp;VAR:CALENDAR=FIVEDAY&amp;VAR:SYMBOL=516606&amp;VAR:INDEX=0"}</definedName>
    <definedName name="_2139__FDSAUDITLINK__" hidden="1">{"fdsup://directions/FAT Viewer?action=UPDATE&amp;creator=factset&amp;DYN_ARGS=TRUE&amp;DOC_NAME=FAT:FQL_AUDITING_CLIENT_TEMPLATE.FAT&amp;display_string=Audit&amp;VAR:KEY=GPKJWHKTWZ&amp;VAR:QUERY=RkZfQ0FQRVgoQ0FMLDIwMDgsLCwsRVVSKQ==&amp;WINDOW=FIRST_POPUP&amp;HEIGHT=450&amp;WIDTH=450&amp;START_MA","XIMIZED=FALSE&amp;VAR:CALENDAR=FIVEDAY&amp;VAR:SYMBOL=B0KS38&amp;VAR:INDEX=0"}</definedName>
    <definedName name="_21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140__FDSAUDITLINK__" hidden="1">{"fdsup://directions/FAT Viewer?action=UPDATE&amp;creator=factset&amp;DYN_ARGS=TRUE&amp;DOC_NAME=FAT:FQL_AUDITING_CLIENT_TEMPLATE.FAT&amp;display_string=Audit&amp;VAR:KEY=SDYZOJYHCP&amp;VAR:QUERY=RkZfRUJJVERBKENBTCwyMDA3LCwsLEVVUik=&amp;WINDOW=FIRST_POPUP&amp;HEIGHT=450&amp;WIDTH=450&amp;START_MA","XIMIZED=FALSE&amp;VAR:CALENDAR=FIVEDAY&amp;VAR:SYMBOL=516606&amp;VAR:INDEX=0"}</definedName>
    <definedName name="_2141__FDSAUDITLINK__" hidden="1">{"fdsup://directions/FAT Viewer?action=UPDATE&amp;creator=factset&amp;DYN_ARGS=TRUE&amp;DOC_NAME=FAT:FQL_AUDITING_CLIENT_TEMPLATE.FAT&amp;display_string=Audit&amp;VAR:KEY=MLUVGJADMD&amp;VAR:QUERY=RkZfRUJJVERBKENBTCwyMDA5LCwsLEVVUik=&amp;WINDOW=FIRST_POPUP&amp;HEIGHT=450&amp;WIDTH=450&amp;START_MA","XIMIZED=FALSE&amp;VAR:CALENDAR=FIVEDAY&amp;VAR:SYMBOL=TMO&amp;VAR:INDEX=0"}</definedName>
    <definedName name="_2142__FDSAUDITLINK__" hidden="1">{"fdsup://directions/FAT Viewer?action=UPDATE&amp;creator=factset&amp;DYN_ARGS=TRUE&amp;DOC_NAME=FAT:FQL_AUDITING_CLIENT_TEMPLATE.FAT&amp;display_string=Audit&amp;VAR:KEY=WVAHOVMFWR&amp;VAR:QUERY=RkZfRUJJVChDQUwsMjAwOSwsLCxFVVIp&amp;WINDOW=FIRST_POPUP&amp;HEIGHT=450&amp;WIDTH=450&amp;START_MAXIMI","ZED=FALSE&amp;VAR:CALENDAR=FIVEDAY&amp;VAR:SYMBOL=646706&amp;VAR:INDEX=0"}</definedName>
    <definedName name="_2143__FDSAUDITLINK__" hidden="1">{"fdsup://Directions/FactSet Auditing Viewer?action=AUDIT_VALUE&amp;DB=129&amp;ID1=31540510&amp;VALUEID=01001&amp;SDATE=2009&amp;PERIODTYPE=ANN_STD&amp;window=popup_no_bar&amp;width=385&amp;height=120&amp;START_MAXIMIZED=FALSE&amp;creator=factset&amp;display_string=Audit"}</definedName>
    <definedName name="_2144__FDSAUDITLINK__" hidden="1">{"fdsup://Directions/FactSet Auditing Viewer?action=AUDIT_VALUE&amp;DB=129&amp;ID1=31540510&amp;VALUEID=01001&amp;SDATE=2008&amp;PERIODTYPE=ANN_STD&amp;window=popup_no_bar&amp;width=385&amp;height=120&amp;START_MAXIMIZED=FALSE&amp;creator=factset&amp;display_string=Audit"}</definedName>
    <definedName name="_2145__FDSAUDITLINK__" hidden="1">{"fdsup://Directions/FactSet Auditing Viewer?action=AUDIT_VALUE&amp;DB=129&amp;ID1=31540510&amp;VALUEID=01001&amp;SDATE=2007&amp;PERIODTYPE=ANN_STD&amp;window=popup_no_bar&amp;width=385&amp;height=120&amp;START_MAXIMIZED=FALSE&amp;creator=factset&amp;display_string=Audit"}</definedName>
    <definedName name="_2146__FDSAUDITLINK__" hidden="1">{"fdsup://Directions/FactSet Auditing Viewer?action=AUDIT_VALUE&amp;DB=129&amp;ID1=21935010&amp;VALUEID=01001&amp;SDATE=2009&amp;PERIODTYPE=ANN_STD&amp;window=popup_no_bar&amp;width=385&amp;height=120&amp;START_MAXIMIZED=FALSE&amp;creator=factset&amp;display_string=Audit"}</definedName>
    <definedName name="_2147__FDSAUDITLINK__" hidden="1">{"fdsup://Directions/FactSet Auditing Viewer?action=AUDIT_VALUE&amp;DB=129&amp;ID1=21935010&amp;VALUEID=01001&amp;SDATE=2008&amp;PERIODTYPE=ANN_STD&amp;window=popup_no_bar&amp;width=385&amp;height=120&amp;START_MAXIMIZED=FALSE&amp;creator=factset&amp;display_string=Audit"}</definedName>
    <definedName name="_2148__FDSAUDITLINK__" hidden="1">{"fdsup://Directions/FactSet Auditing Viewer?action=AUDIT_VALUE&amp;DB=129&amp;ID1=21935010&amp;VALUEID=01001&amp;SDATE=2007&amp;PERIODTYPE=ANN_STD&amp;window=popup_no_bar&amp;width=385&amp;height=120&amp;START_MAXIMIZED=FALSE&amp;creator=factset&amp;display_string=Audit"}</definedName>
    <definedName name="_2149__FDSAUDITLINK__" hidden="1">{"fdsup://Directions/FactSet Auditing Viewer?action=AUDIT_VALUE&amp;DB=129&amp;ID1=82655210&amp;VALUEID=01001&amp;SDATE=2009&amp;PERIODTYPE=ANN_STD&amp;window=popup_no_bar&amp;width=385&amp;height=120&amp;START_MAXIMIZED=FALSE&amp;creator=factset&amp;display_string=Audit"}</definedName>
    <definedName name="_215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150__FDSAUDITLINK__" hidden="1">{"fdsup://Directions/FactSet Auditing Viewer?action=AUDIT_VALUE&amp;DB=129&amp;ID1=82655210&amp;VALUEID=01001&amp;SDATE=2008&amp;PERIODTYPE=ANN_STD&amp;window=popup_no_bar&amp;width=385&amp;height=120&amp;START_MAXIMIZED=FALSE&amp;creator=factset&amp;display_string=Audit"}</definedName>
    <definedName name="_2151__FDSAUDITLINK__" hidden="1">{"fdsup://Directions/FactSet Auditing Viewer?action=AUDIT_VALUE&amp;DB=129&amp;ID1=82655210&amp;VALUEID=01001&amp;SDATE=2007&amp;PERIODTYPE=ANN_STD&amp;window=popup_no_bar&amp;width=385&amp;height=120&amp;START_MAXIMIZED=FALSE&amp;creator=factset&amp;display_string=Audit"}</definedName>
    <definedName name="_2152__FDSAUDITLINK__" hidden="1">{"fdsup://directions/FAT Viewer?action=UPDATE&amp;creator=factset&amp;DYN_ARGS=TRUE&amp;DOC_NAME=FAT:FQL_AUDITING_CLIENT_TEMPLATE.FAT&amp;display_string=Audit&amp;VAR:KEY=UNWZQNEHSZ&amp;VAR:QUERY=RkZfQ0FQRVgoQ0FMLDIwMDksLCwsRVVSKQ==&amp;WINDOW=FIRST_POPUP&amp;HEIGHT=450&amp;WIDTH=450&amp;START_MA","XIMIZED=FALSE&amp;VAR:CALENDAR=FIVEDAY&amp;VAR:SYMBOL=MTD&amp;VAR:INDEX=0"}</definedName>
    <definedName name="_2153__FDSAUDITLINK__" hidden="1">{"fdsup://directions/FAT Viewer?action=UPDATE&amp;creator=factset&amp;DYN_ARGS=TRUE&amp;DOC_NAME=FAT:FQL_AUDITING_CLIENT_TEMPLATE.FAT&amp;display_string=Audit&amp;VAR:KEY=SFAVCBIPYH&amp;VAR:QUERY=RkZfQ0FQRVgoQ0FMLDIwMDgsLCwsRVVSKQ==&amp;WINDOW=FIRST_POPUP&amp;HEIGHT=450&amp;WIDTH=450&amp;START_MA","XIMIZED=FALSE&amp;VAR:CALENDAR=FIVEDAY&amp;VAR:SYMBOL=MTD&amp;VAR:INDEX=0"}</definedName>
    <definedName name="_2154__FDSAUDITLINK__" hidden="1">{"fdsup://directions/FAT Viewer?action=UPDATE&amp;creator=factset&amp;DYN_ARGS=TRUE&amp;DOC_NAME=FAT:FQL_AUDITING_CLIENT_TEMPLATE.FAT&amp;display_string=Audit&amp;VAR:KEY=SNIJETGTYJ&amp;VAR:QUERY=RkZfQ0FQRVgoQ0FMLDIwMDcsLCwsRVVSKQ==&amp;WINDOW=FIRST_POPUP&amp;HEIGHT=450&amp;WIDTH=450&amp;START_MA","XIMIZED=FALSE&amp;VAR:CALENDAR=FIVEDAY&amp;VAR:SYMBOL=MTD&amp;VAR:INDEX=0"}</definedName>
    <definedName name="_2155__FDSAUDITLINK__" hidden="1">{"fdsup://directions/FAT Viewer?action=UPDATE&amp;creator=factset&amp;DYN_ARGS=TRUE&amp;DOC_NAME=FAT:FQL_AUDITING_CLIENT_TEMPLATE.FAT&amp;display_string=Audit&amp;VAR:KEY=SBMHGZGZGJ&amp;VAR:QUERY=RkZfRUJJVChDQUwsMjAwOSwsLCxFVVIp&amp;WINDOW=FIRST_POPUP&amp;HEIGHT=450&amp;WIDTH=450&amp;START_MAXIMI","ZED=FALSE&amp;VAR:CALENDAR=FIVEDAY&amp;VAR:SYMBOL=MTD&amp;VAR:INDEX=0"}</definedName>
    <definedName name="_2156__FDSAUDITLINK__" hidden="1">{"fdsup://directions/FAT Viewer?action=UPDATE&amp;creator=factset&amp;DYN_ARGS=TRUE&amp;DOC_NAME=FAT:FQL_AUDITING_CLIENT_TEMPLATE.FAT&amp;display_string=Audit&amp;VAR:KEY=QFMJSRGVGT&amp;VAR:QUERY=RkZfRUJJVChDQUwsMjAwOCwsLCxFVVIp&amp;WINDOW=FIRST_POPUP&amp;HEIGHT=450&amp;WIDTH=450&amp;START_MAXIMI","ZED=FALSE&amp;VAR:CALENDAR=FIVEDAY&amp;VAR:SYMBOL=MTD&amp;VAR:INDEX=0"}</definedName>
    <definedName name="_2157__FDSAUDITLINK__" hidden="1">{"fdsup://directions/FAT Viewer?action=UPDATE&amp;creator=factset&amp;DYN_ARGS=TRUE&amp;DOC_NAME=FAT:FQL_AUDITING_CLIENT_TEMPLATE.FAT&amp;display_string=Audit&amp;VAR:KEY=UZSDUBEXED&amp;VAR:QUERY=RkZfRUJJVChDQUwsMjAwNywsLCxFVVIp&amp;WINDOW=FIRST_POPUP&amp;HEIGHT=450&amp;WIDTH=450&amp;START_MAXIMI","ZED=FALSE&amp;VAR:CALENDAR=FIVEDAY&amp;VAR:SYMBOL=MTD&amp;VAR:INDEX=0"}</definedName>
    <definedName name="_2158__FDSAUDITLINK__" hidden="1">{"fdsup://directions/FAT Viewer?action=UPDATE&amp;creator=factset&amp;DYN_ARGS=TRUE&amp;DOC_NAME=FAT:FQL_AUDITING_CLIENT_TEMPLATE.FAT&amp;display_string=Audit&amp;VAR:KEY=SPADQLMRGJ&amp;VAR:QUERY=RkZfRUJJVERBKENBTCwyMDA5LCwsLEVVUik=&amp;WINDOW=FIRST_POPUP&amp;HEIGHT=450&amp;WIDTH=450&amp;START_MA","XIMIZED=FALSE&amp;VAR:CALENDAR=FIVEDAY&amp;VAR:SYMBOL=MTD&amp;VAR:INDEX=0"}</definedName>
    <definedName name="_2159__FDSAUDITLINK__" hidden="1">{"fdsup://directions/FAT Viewer?action=UPDATE&amp;creator=factset&amp;DYN_ARGS=TRUE&amp;DOC_NAME=FAT:FQL_AUDITING_CLIENT_TEMPLATE.FAT&amp;display_string=Audit&amp;VAR:KEY=AHYXAJKVMN&amp;VAR:QUERY=RkZfRUJJVERBKENBTCwyMDA4LCwsLEVVUik=&amp;WINDOW=FIRST_POPUP&amp;HEIGHT=450&amp;WIDTH=450&amp;START_MA","XIMIZED=FALSE&amp;VAR:CALENDAR=FIVEDAY&amp;VAR:SYMBOL=MTD&amp;VAR:INDEX=0"}</definedName>
    <definedName name="_216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160__FDSAUDITLINK__" hidden="1">{"fdsup://directions/FAT Viewer?action=UPDATE&amp;creator=factset&amp;DYN_ARGS=TRUE&amp;DOC_NAME=FAT:FQL_AUDITING_CLIENT_TEMPLATE.FAT&amp;display_string=Audit&amp;VAR:KEY=EDOXCROLQB&amp;VAR:QUERY=RkZfRUJJVERBKENBTCwyMDA3LCwsLEVVUik=&amp;WINDOW=FIRST_POPUP&amp;HEIGHT=450&amp;WIDTH=450&amp;START_MA","XIMIZED=FALSE&amp;VAR:CALENDAR=FIVEDAY&amp;VAR:SYMBOL=MTD&amp;VAR:INDEX=0"}</definedName>
    <definedName name="_2161__FDSAUDITLINK__" hidden="1">{"fdsup://Directions/FactSet Auditing Viewer?action=AUDIT_VALUE&amp;DB=129&amp;ID1=59268810&amp;VALUEID=01001&amp;SDATE=2009&amp;PERIODTYPE=ANN_STD&amp;window=popup_no_bar&amp;width=385&amp;height=120&amp;START_MAXIMIZED=FALSE&amp;creator=factset&amp;display_string=Audit"}</definedName>
    <definedName name="_2162__FDSAUDITLINK__" hidden="1">{"fdsup://Directions/FactSet Auditing Viewer?action=AUDIT_VALUE&amp;DB=129&amp;ID1=59268810&amp;VALUEID=01001&amp;SDATE=2008&amp;PERIODTYPE=ANN_STD&amp;window=popup_no_bar&amp;width=385&amp;height=120&amp;START_MAXIMIZED=FALSE&amp;creator=factset&amp;display_string=Audit"}</definedName>
    <definedName name="_2163__FDSAUDITLINK__" hidden="1">{"fdsup://Directions/FactSet Auditing Viewer?action=AUDIT_VALUE&amp;DB=129&amp;ID1=59268810&amp;VALUEID=01001&amp;SDATE=2007&amp;PERIODTYPE=ANN_STD&amp;window=popup_no_bar&amp;width=385&amp;height=120&amp;START_MAXIMIZED=FALSE&amp;creator=factset&amp;display_string=Audit"}</definedName>
    <definedName name="_2164__FDSAUDITLINK__" hidden="1">{"fdsup://Directions/FactSet Auditing Viewer?action=AUDIT_VALUE&amp;DB=129&amp;ID1=571062&amp;VALUEID=P05202&amp;SDATE=2009&amp;PERIODTYPE=ANN_STD&amp;window=popup_no_bar&amp;width=385&amp;height=120&amp;START_MAXIMIZED=FALSE&amp;creator=factset&amp;display_string=Audit"}</definedName>
    <definedName name="_2165__FDSAUDITLINK__" hidden="1">{"fdsup://Directions/FactSet Auditing Viewer?action=AUDIT_VALUE&amp;DB=129&amp;ID1=571062&amp;VALUEID=P05202&amp;SDATE=2008&amp;PERIODTYPE=ANN_STD&amp;window=popup_no_bar&amp;width=385&amp;height=120&amp;START_MAXIMIZED=FALSE&amp;creator=factset&amp;display_string=Audit"}</definedName>
    <definedName name="_2166__FDSAUDITLINK__" hidden="1">{"fdsup://Directions/FactSet Auditing Viewer?action=AUDIT_VALUE&amp;DB=129&amp;ID1=571062&amp;VALUEID=P05202&amp;SDATE=2007&amp;PERIODTYPE=ANN_STD&amp;window=popup_no_bar&amp;width=385&amp;height=120&amp;START_MAXIMIZED=FALSE&amp;creator=factset&amp;display_string=Audit"}</definedName>
    <definedName name="_2167__FDSAUDITLINK__" hidden="1">{"fdsup://directions/FAT Viewer?action=UPDATE&amp;creator=factset&amp;DYN_ARGS=TRUE&amp;DOC_NAME=FAT:FQL_AUDITING_CLIENT_TEMPLATE.FAT&amp;display_string=Audit&amp;VAR:KEY=ETEVKFWNIB&amp;VAR:QUERY=RkZfQ0FQRVgoQ0FMLDIwMDksLCwsRVVSKQ==&amp;WINDOW=FIRST_POPUP&amp;HEIGHT=450&amp;WIDTH=450&amp;START_MA","XIMIZED=FALSE&amp;VAR:CALENDAR=FIVEDAY&amp;VAR:SYMBOL=571062&amp;VAR:INDEX=0"}</definedName>
    <definedName name="_2168__FDSAUDITLINK__" hidden="1">{"fdsup://directions/FAT Viewer?action=UPDATE&amp;creator=factset&amp;DYN_ARGS=TRUE&amp;DOC_NAME=FAT:FQL_AUDITING_CLIENT_TEMPLATE.FAT&amp;display_string=Audit&amp;VAR:KEY=SXQRANMDSJ&amp;VAR:QUERY=RkZfQ0FQRVgoQ0FMLDIwMDgsLCwsRVVSKQ==&amp;WINDOW=FIRST_POPUP&amp;HEIGHT=450&amp;WIDTH=450&amp;START_MA","XIMIZED=FALSE&amp;VAR:CALENDAR=FIVEDAY&amp;VAR:SYMBOL=571062&amp;VAR:INDEX=0"}</definedName>
    <definedName name="_2169__FDSAUDITLINK__" hidden="1">{"fdsup://directions/FAT Viewer?action=UPDATE&amp;creator=factset&amp;DYN_ARGS=TRUE&amp;DOC_NAME=FAT:FQL_AUDITING_CLIENT_TEMPLATE.FAT&amp;display_string=Audit&amp;VAR:KEY=IDGVYRUJIH&amp;VAR:QUERY=RkZfQ0FQRVgoQ0FMLDIwMDcsLCwsRVVSKQ==&amp;WINDOW=FIRST_POPUP&amp;HEIGHT=450&amp;WIDTH=450&amp;START_MA","XIMIZED=FALSE&amp;VAR:CALENDAR=FIVEDAY&amp;VAR:SYMBOL=571062&amp;VAR:INDEX=0"}</definedName>
    <definedName name="_217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170__FDSAUDITLINK__" hidden="1">{"fdsup://directions/FAT Viewer?action=UPDATE&amp;creator=factset&amp;DYN_ARGS=TRUE&amp;DOC_NAME=FAT:FQL_AUDITING_CLIENT_TEMPLATE.FAT&amp;display_string=Audit&amp;VAR:KEY=ADCRKLSJEF&amp;VAR:QUERY=RkZfRUJJVChDQUwsMjAwOSwsLCxFVVIp&amp;WINDOW=FIRST_POPUP&amp;HEIGHT=450&amp;WIDTH=450&amp;START_MAXIMI","ZED=FALSE&amp;VAR:CALENDAR=FIVEDAY&amp;VAR:SYMBOL=571062&amp;VAR:INDEX=0"}</definedName>
    <definedName name="_2171__FDSAUDITLINK__" hidden="1">{"fdsup://directions/FAT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name="_2172__FDSAUDITLINK__" hidden="1">{"fdsup://directions/FAT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name="_2173__FDSAUDITLINK__" hidden="1">{"fdsup://directions/FAT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name="_2174__FDSAUDITLINK__" hidden="1">{"fdsup://directions/FAT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name="_2175__FDSAUDITLINK__" hidden="1">{"fdsup://directions/FAT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name="_2176__FDSAUDITLINK__" hidden="1">{"fdsup://Directions/FactSet Auditing Viewer?action=AUDIT_VALUE&amp;DB=129&amp;ID1=571062&amp;VALUEID=01001&amp;SDATE=2009&amp;PERIODTYPE=ANN_STD&amp;window=popup_no_bar&amp;width=385&amp;height=120&amp;START_MAXIMIZED=FALSE&amp;creator=factset&amp;display_string=Audit"}</definedName>
    <definedName name="_2177__FDSAUDITLINK__" hidden="1">{"fdsup://Directions/FactSet Auditing Viewer?action=AUDIT_VALUE&amp;DB=129&amp;ID1=571062&amp;VALUEID=01001&amp;SDATE=2008&amp;PERIODTYPE=ANN_STD&amp;window=popup_no_bar&amp;width=385&amp;height=120&amp;START_MAXIMIZED=FALSE&amp;creator=factset&amp;display_string=Audit"}</definedName>
    <definedName name="_2178__FDSAUDITLINK__" hidden="1">{"fdsup://Directions/FactSet Auditing Viewer?action=AUDIT_VALUE&amp;DB=129&amp;ID1=571062&amp;VALUEID=01001&amp;SDATE=2007&amp;PERIODTYPE=ANN_STD&amp;window=popup_no_bar&amp;width=385&amp;height=120&amp;START_MAXIMIZED=FALSE&amp;creator=factset&amp;display_string=Audit"}</definedName>
    <definedName name="_2179__FDSAUDITLINK__" hidden="1">{"fdsup://directions/FAT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name="_218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180__FDSAUDITLINK__" hidden="1">{"fdsup://directions/FAT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name="_2181__FDSAUDITLINK__" hidden="1">{"fdsup://directions/FAT Viewer?action=UPDATE&amp;creator=factset&amp;DYN_ARGS=TRUE&amp;DOC_NAME=FAT:FQL_AUDITING_CLIENT_TEMPLATE.FAT&amp;display_string=Audit&amp;VAR:KEY=GRSVMRWHSV&amp;VAR:QUERY=RkZfRUJJVChDQUwsMjAwNywsLCxFVVIp&amp;WINDOW=FIRST_POPUP&amp;HEIGHT=450&amp;WIDTH=450&amp;START_MAXIMI","ZED=FALSE&amp;VAR:CALENDAR=FIVEDAY&amp;VAR:SYMBOL=OI&amp;VAR:INDEX=0"}</definedName>
    <definedName name="_2182__FDSAUDITLINK__" hidden="1">{"fdsup://directions/FAT Viewer?action=UPDATE&amp;creator=factset&amp;DYN_ARGS=TRUE&amp;DOC_NAME=FAT:FQL_AUDITING_CLIENT_TEMPLATE.FAT&amp;display_string=Audit&amp;VAR:KEY=MLODSVETER&amp;VAR:QUERY=RkZfRUJJVChDQUwsMjAwOCwsLCxFVVIp&amp;WINDOW=FIRST_POPUP&amp;HEIGHT=450&amp;WIDTH=450&amp;START_MAXIMI","ZED=FALSE&amp;VAR:CALENDAR=FIVEDAY&amp;VAR:SYMBOL=OI&amp;VAR:INDEX=0"}</definedName>
    <definedName name="_2183__FDSAUDITLINK__" hidden="1">{"fdsup://directions/FAT Viewer?action=UPDATE&amp;creator=factset&amp;DYN_ARGS=TRUE&amp;DOC_NAME=FAT:FQL_AUDITING_CLIENT_TEMPLATE.FAT&amp;display_string=Audit&amp;VAR:KEY=SFUPWXINMF&amp;VAR:QUERY=RkZfRUJJVChDQUwsMjAwOSwsLCxFVVIp&amp;WINDOW=FIRST_POPUP&amp;HEIGHT=450&amp;WIDTH=450&amp;START_MAXIMI","ZED=FALSE&amp;VAR:CALENDAR=FIVEDAY&amp;VAR:SYMBOL=OI&amp;VAR:INDEX=0"}</definedName>
    <definedName name="_2184__FDSAUDITLINK__" hidden="1">{"fdsup://Directions/FactSet Auditing Viewer?action=AUDIT_VALUE&amp;DB=129&amp;ID1=69076840&amp;VALUEID=01001&amp;SDATE=2007&amp;PERIODTYPE=ANN_STD&amp;window=popup_no_bar&amp;width=385&amp;height=120&amp;START_MAXIMIZED=FALSE&amp;creator=factset&amp;display_string=Audit"}</definedName>
    <definedName name="_2185__FDSAUDITLINK__" hidden="1">{"fdsup://directions/FAT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name="_2186__FDSAUDITLINK__" hidden="1">{"fdsup://directions/FAT Viewer?action=UPDATE&amp;creator=factset&amp;DYN_ARGS=TRUE&amp;DOC_NAME=FAT:FQL_AUDITING_CLIENT_TEMPLATE.FAT&amp;display_string=Audit&amp;VAR:KEY=MTUBWHYHKT&amp;VAR:QUERY=RkZfTkVUX0RFQlQoQU5OLDAp&amp;WINDOW=FIRST_POPUP&amp;HEIGHT=450&amp;WIDTH=450&amp;START_MAXIMIZED=FALS","E&amp;VAR:CALENDAR=FIVEDAY&amp;VAR:SYMBOL=606660&amp;VAR:INDEX=0"}</definedName>
    <definedName name="_2187__FDSAUDITLINK__" hidden="1">{"fdsup://directions/FAT Viewer?action=UPDATE&amp;creator=factset&amp;DYN_ARGS=TRUE&amp;DOC_NAME=FAT:FQL_AUDITING_CLIENT_TEMPLATE.FAT&amp;display_string=Audit&amp;VAR:KEY=ANMJOBCVAF&amp;VAR:QUERY=RkZfRUJJVChDQUwsMjAwOCwsLCxFVVIp&amp;WINDOW=FIRST_POPUP&amp;HEIGHT=450&amp;WIDTH=450&amp;START_MAXIMI","ZED=FALSE&amp;VAR:CALENDAR=FIVEDAY&amp;VAR:SYMBOL=TMO&amp;VAR:INDEX=0"}</definedName>
    <definedName name="_2188__FDSAUDITLINK__" hidden="1">{"fdsup://directions/FAT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name="_2189__FDSAUDITLINK__" hidden="1">{"fdsup://directions/FAT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name="_219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190__FDSAUDITLINK__" hidden="1">{"fdsup://directions/FAT Viewer?action=UPDATE&amp;creator=factset&amp;DYN_ARGS=TRUE&amp;DOC_NAME=FAT:FQL_AUDITING_CLIENT_TEMPLATE.FAT&amp;display_string=Audit&amp;VAR:KEY=GZGTAJGFAX&amp;VAR:QUERY=RkZfQ0FQRVgoQ0FMLDIwMDgsLCwsRVVSKQ==&amp;WINDOW=FIRST_POPUP&amp;HEIGHT=450&amp;WIDTH=450&amp;START_MA","XIMIZED=FALSE&amp;VAR:CALENDAR=FIVEDAY&amp;VAR:SYMBOL=605520&amp;VAR:INDEX=0"}</definedName>
    <definedName name="_2191__FDSAUDITLINK__" hidden="1">{"fdsup://directions/FAT Viewer?action=UPDATE&amp;creator=factset&amp;DYN_ARGS=TRUE&amp;DOC_NAME=FAT:FQL_AUDITING_CLIENT_TEMPLATE.FAT&amp;display_string=Audit&amp;VAR:KEY=ALQBYZUPWP&amp;VAR:QUERY=RkZfRUJJVERBKENBTCwyMDA4LCwsLEVVUik=&amp;WINDOW=FIRST_POPUP&amp;HEIGHT=450&amp;WIDTH=450&amp;START_MA","XIMIZED=FALSE&amp;VAR:CALENDAR=FIVEDAY&amp;VAR:SYMBOL=B1XHN3&amp;VAR:INDEX=0"}</definedName>
    <definedName name="_21ALA642C761" hidden="1">#N/A</definedName>
    <definedName name="_22__123Graph_AC04C_FR_L1" hidden="1">#REF!</definedName>
    <definedName name="_22__123Graph_AC04C_FR_T2" hidden="1">#REF!</definedName>
    <definedName name="_22__123Graph_ACHART_2" hidden="1">#REF!</definedName>
    <definedName name="_22__123Graph_ECHART_4" hidden="1">#REF!</definedName>
    <definedName name="_22__123Graph_LBL_ACHART_3" hidden="1">#REF!</definedName>
    <definedName name="_22__123Graph_LBL_DCHART_1" hidden="1">#REF!</definedName>
    <definedName name="_22__123Graph_LBL_DCHART_2" hidden="1">#REF!</definedName>
    <definedName name="_22__123Graph_XCAPITAL_ALL" hidden="1">#REF!</definedName>
    <definedName name="_22__123Graph_XCHART_8" hidden="1">#REF!</definedName>
    <definedName name="_22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220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21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22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23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24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25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26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27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28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29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2ALA642C761" hidden="1">#N/A</definedName>
    <definedName name="_23__123Graph_AC04C_FR_L2" hidden="1">#REF!</definedName>
    <definedName name="_23__123Graph_ACHART_2" hidden="1">#REF!</definedName>
    <definedName name="_23__123Graph_ACHART_3" hidden="1">#REF!</definedName>
    <definedName name="_23__123Graph_ECHART_5" hidden="1">#REF!</definedName>
    <definedName name="_23__123Graph_LBL_AC04C_FF_L" hidden="1">#REF!</definedName>
    <definedName name="_23__123Graph_LBL_DCHART_2" hidden="1">#REF!</definedName>
    <definedName name="_23__123Graph_XCAPITAL_BY_OEM" hidden="1">#REF!</definedName>
    <definedName name="_23__123Graph_XCHART_2" hidden="1">#REF!</definedName>
    <definedName name="_23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230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31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32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33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34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35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36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37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38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39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3ALA642C761" hidden="1">#N/A</definedName>
    <definedName name="_24__123Graph_AC04C_FF_T" hidden="1">#REF!</definedName>
    <definedName name="_24__123Graph_AC04C_FR_T1" hidden="1">#REF!</definedName>
    <definedName name="_24__123Graph_BCHART_1" hidden="1">#REF!</definedName>
    <definedName name="_24__123Graph_FCHART_2" hidden="1">#REF!</definedName>
    <definedName name="_24__123Graph_LBL_AC04C_FF_T" hidden="1">#REF!</definedName>
    <definedName name="_24__123Graph_LBL_DCHART_1" hidden="1">#REF!</definedName>
    <definedName name="_24__123Graph_XCHART_2" hidden="1">#REF!</definedName>
    <definedName name="_24__123Graph_XHR_BY_OEM" hidden="1">#REF!</definedName>
    <definedName name="_24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240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41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42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43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4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45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46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47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48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49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4ALA642C761" hidden="1">#N/A</definedName>
    <definedName name="_25__123Graph_AC04C_FR_T2" hidden="1">#REF!</definedName>
    <definedName name="_25__123Graph_BCHART_2" hidden="1">#REF!</definedName>
    <definedName name="_25__123Graph_FCHART_3" hidden="1">#REF!</definedName>
    <definedName name="_25__123Graph_LBL_AC04C_FR_L1" hidden="1">#REF!</definedName>
    <definedName name="_25__123Graph_XUNIT_BY_OEM" hidden="1">#REF!</definedName>
    <definedName name="_25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250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51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52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53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54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55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56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57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58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59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5ALA642C761" hidden="1">#N/A</definedName>
    <definedName name="_26__123Graph_Aｸﾞﾗﾌ_ጻ" hidden="1">#REF!</definedName>
    <definedName name="_26__123Graph_BCHART_3" hidden="1">#REF!</definedName>
    <definedName name="_26__123Graph_FCHART_4" hidden="1">#REF!</definedName>
    <definedName name="_26__123Graph_LBL_AC04C_FF_L" hidden="1">#REF!</definedName>
    <definedName name="_26__123Graph_LBL_AC04C_FR_L2" hidden="1">#REF!</definedName>
    <definedName name="_26__123Graph_LBL_DCHART_2" hidden="1">#REF!</definedName>
    <definedName name="_26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260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61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62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63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64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65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66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67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68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69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6ALA642C761" hidden="1">#N/A</definedName>
    <definedName name="_27__123Graph_Aｸﾞﾗﾌ_1" hidden="1">#REF!</definedName>
    <definedName name="_27__123Graph_DCHART_1" hidden="1">#REF!</definedName>
    <definedName name="_27__123Graph_FCHART_5" hidden="1">#REF!</definedName>
    <definedName name="_27__123Graph_LBL_AC04C_FF_T" hidden="1">#REF!</definedName>
    <definedName name="_27__123Graph_LBL_AC04C_FR_T1" hidden="1">#REF!</definedName>
    <definedName name="_27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270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71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72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73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7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75__FDSAUDITLINK__" hidden="1">{"fdsup://Directions/FactSet Auditing Viewer?action=AUDIT_VALUE&amp;DB=129&amp;ID1=552902&amp;VALUEID=01001&amp;SDATE=2007&amp;PERIODTYPE=ANN_STD&amp;window=popup_no_bar&amp;width=385&amp;height=120&amp;START_MAXIMIZED=FALSE&amp;creator=factset&amp;display_string=Audit"}</definedName>
    <definedName name="_276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277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278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279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27ALA642C761" hidden="1">#N/A</definedName>
    <definedName name="_27wrn.²Ä1­Ó¤ë1_Ü20¤H." hidden="1">{#N/A,#N/A,FALSE,"²Ä1­Ó¤ë"}</definedName>
    <definedName name="_28__123Graph_AC04C_FR_L1" hidden="1">#REF!</definedName>
    <definedName name="_28__123Graph_ACHART_8" hidden="1">#REF!</definedName>
    <definedName name="_28__123Graph_DCHART_2" hidden="1">#REF!</definedName>
    <definedName name="_28__123Graph_LBL_AC04C_FR_L1" hidden="1">#REF!</definedName>
    <definedName name="_28__123Graph_LBL_AC04C_FR_T2" hidden="1">#REF!</definedName>
    <definedName name="_28__123Graph_XCHART_2" hidden="1">#REF!</definedName>
    <definedName name="_28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28__0_S" hidden="1">#REF!</definedName>
    <definedName name="_280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281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282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283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8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85__FDSAUDITLINK__" hidden="1">{"fdsup://Directions/FactSet Auditing Viewer?action=AUDIT_VALUE&amp;DB=129&amp;ID1=34537086&amp;VALUEID=01001&amp;SDATE=2007&amp;PERIODTYPE=ANN_STD&amp;window=popup_no_bar&amp;width=385&amp;height=120&amp;START_MAXIMIZED=FALSE&amp;creator=factset&amp;display_string=Audit"}</definedName>
    <definedName name="_286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287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288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289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28wrn.²Ä1­Ó¤ë1_Ü20¤H." hidden="1">{#N/A,#N/A,FALSE,"²Ä1­Ó¤ë"}</definedName>
    <definedName name="_29__123Graph_LBL_AC04C_FR_L2" hidden="1">#REF!</definedName>
    <definedName name="_29__123Graph_LBL_ACHART_1" hidden="1">#REF!</definedName>
    <definedName name="_29__123Graph_XC04C_ALL_T1" hidden="1">#REF!</definedName>
    <definedName name="_29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29__0_S" hidden="1">#REF!</definedName>
    <definedName name="_290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291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292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293__FDSAUDITLINK__" hidden="1">{"fdsup://Directions/FactSet Auditing Viewer?action=AUDIT_VALUE&amp;DB=129&amp;ID1=564156&amp;VALUEID=01401&amp;SDATE=2010&amp;PERIODTYPE=ANN_STD&amp;SCFT=3&amp;window=popup_no_bar&amp;width=385&amp;height=120&amp;START_MAXIMIZED=FALSE&amp;creator=factset&amp;display_string=Audit"}</definedName>
    <definedName name="_294__FDSAUDITLINK__" hidden="1">{"fdsup://directions/FAT Viewer?action=UPDATE&amp;creator=factset&amp;DYN_ARGS=TRUE&amp;DOC_NAME=FAT:FQL_AUDITING_CLIENT_TEMPLATE.FAT&amp;display_string=Audit&amp;VAR:KEY=TKZKJQDOVA&amp;VAR:QUERY=RkZfRVBTX0RJTChBTk4sMCwsLFJGKQ==&amp;WINDOW=FIRST_POPUP&amp;HEIGHT=450&amp;WIDTH=450&amp;START_MAXIMI","ZED=FALSE&amp;VAR:CALENDAR=FIVEDAY&amp;VAR:SYMBOL=564156&amp;VAR:INDEX=0"}</definedName>
    <definedName name="_295__FDSAUDITLINK__" hidden="1">{"fdsup://directions/FAT Viewer?action=UPDATE&amp;creator=factset&amp;DYN_ARGS=TRUE&amp;DOC_NAME=FAT:FQL_AUDITING_CLIENT_TEMPLATE.FAT&amp;display_string=Audit&amp;VAR:KEY=XQTIZSXKZG&amp;VAR:QUERY=RkZfRVBTX0RJTChBTk4sLTEsLCxSRik=&amp;WINDOW=FIRST_POPUP&amp;HEIGHT=450&amp;WIDTH=450&amp;START_MAXIMI","ZED=FALSE&amp;VAR:CALENDAR=FIVEDAY&amp;VAR:SYMBOL=564156&amp;VAR:INDEX=0"}</definedName>
    <definedName name="_296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97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98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99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ALA642C761" hidden="1">#N/A</definedName>
    <definedName name="_3_">[2]Anlagevermögen!#REF!</definedName>
    <definedName name="_3__123Graph_A50_HERTZ" hidden="1">#REF!</definedName>
    <definedName name="_3__123Graph_ACHART_2" hidden="1">#REF!</definedName>
    <definedName name="_3__123Graph_ACHART_3" hidden="1">#REF!</definedName>
    <definedName name="_3__123Graph_AChart_3B" hidden="1">#REF!</definedName>
    <definedName name="_3__123Graph_ACHART_4" hidden="1">#REF!</definedName>
    <definedName name="_3__123Graph_BCHART_1" hidden="1">#REF!</definedName>
    <definedName name="_3_0__123Grap" hidden="1">#REF!</definedName>
    <definedName name="_30__123Graph_LBL_AC04C_FR_T1" hidden="1">#REF!</definedName>
    <definedName name="_30__123Graph_LBL_ACHART_2" hidden="1">#REF!</definedName>
    <definedName name="_30__123Graph_XC04C_ALL_T2" hidden="1">#REF!</definedName>
    <definedName name="_30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300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1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2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3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4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5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6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7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8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9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__123Graph_LBL_AC04C_FR_T2" hidden="1">#REF!</definedName>
    <definedName name="_31__123Graph_LBL_ACHART_3" hidden="1">#REF!</definedName>
    <definedName name="_31__123Graph_XC04C_FF_L" hidden="1">#REF!</definedName>
    <definedName name="_31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310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1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2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3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4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5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6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7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8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9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2__123Graph_AC04C_FR_L2" hidden="1">#REF!</definedName>
    <definedName name="_32__123Graph_LBL_DCHART_1" hidden="1">#REF!</definedName>
    <definedName name="_32__123Graph_XC04C_ALL_T1" hidden="1">#REF!</definedName>
    <definedName name="_32__123Graph_XC04C_FF_T" hidden="1">#REF!</definedName>
    <definedName name="_32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320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21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22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23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24__FDSAUDITLINK__" hidden="1">{"fdsup://directions/FAT Viewer?action=UPDATE&amp;creator=factset&amp;DYN_ARGS=TRUE&amp;DOC_NAME=FAT:FQL_AUDITING_CLIENT_TEMPLATE.FAT&amp;display_string=Audit&amp;VAR:KEY=RGTATIHCRA&amp;VAR:QUERY=RkZfRUJJVERBX0lCKEFOTiwyMDA5LCwsUkYsRVVSKQ==&amp;WINDOW=FIRST_POPUP&amp;HEIGHT=450&amp;WIDTH=450&amp;","START_MAXIMIZED=FALSE&amp;VAR:CALENDAR=FIVEDAY&amp;VAR:SYMBOL=710352&amp;VAR:INDEX=0"}</definedName>
    <definedName name="_325__FDSAUDITLINK__" hidden="1">{"fdsup://directions/FAT Viewer?action=UPDATE&amp;creator=factset&amp;DYN_ARGS=TRUE&amp;DOC_NAME=FAT:FQL_AUDITING_CLIENT_TEMPLATE.FAT&amp;display_string=Audit&amp;VAR:KEY=VCJSLOVMZS&amp;VAR:QUERY=RkZfRUJJVERBX0lCKEFOTiwyMDA4LCwsUkYsRVVSKQ==&amp;WINDOW=FIRST_POPUP&amp;HEIGHT=450&amp;WIDTH=450&amp;","START_MAXIMIZED=FALSE&amp;VAR:CALENDAR=FIVEDAY&amp;VAR:SYMBOL=710352&amp;VAR:INDEX=0"}</definedName>
    <definedName name="_326__FDSAUDITLINK__" hidden="1">{"fdsup://directions/FAT Viewer?action=UPDATE&amp;creator=factset&amp;DYN_ARGS=TRUE&amp;DOC_NAME=FAT:FQL_AUDITING_CLIENT_TEMPLATE.FAT&amp;display_string=Audit&amp;VAR:KEY=NSVCTETUDA&amp;VAR:QUERY=RkZfRUJJVERBX0lCKEFOTiwyMDA3LCwsUkYsRVVSKQ==&amp;WINDOW=FIRST_POPUP&amp;HEIGHT=450&amp;WIDTH=450&amp;","START_MAXIMIZED=FALSE&amp;VAR:CALENDAR=FIVEDAY&amp;VAR:SYMBOL=710352&amp;VAR:INDEX=0"}</definedName>
    <definedName name="_327__FDSAUDITLINK__" hidden="1">{"fdsup://directions/FAT Viewer?action=UPDATE&amp;creator=factset&amp;DYN_ARGS=TRUE&amp;DOC_NAME=FAT:FQL_AUDITING_CLIENT_TEMPLATE.FAT&amp;display_string=Audit&amp;VAR:KEY=FKRCBODIFW&amp;VAR:QUERY=RkZfRUJJVERBX0lCKEFOTiwyMDA5LCwsUkYsRVVSKQ==&amp;WINDOW=FIRST_POPUP&amp;HEIGHT=450&amp;WIDTH=450&amp;","START_MAXIMIZED=FALSE&amp;VAR:CALENDAR=FIVEDAY&amp;VAR:SYMBOL=471279&amp;VAR:INDEX=0"}</definedName>
    <definedName name="_328__FDSAUDITLINK__" hidden="1">{"fdsup://directions/FAT Viewer?action=UPDATE&amp;creator=factset&amp;DYN_ARGS=TRUE&amp;DOC_NAME=FAT:FQL_AUDITING_CLIENT_TEMPLATE.FAT&amp;display_string=Audit&amp;VAR:KEY=FEJALWXQLW&amp;VAR:QUERY=RkZfRUJJVERBX0lCKEFOTiwyMDA4LCwsUkYsRVVSKQ==&amp;WINDOW=FIRST_POPUP&amp;HEIGHT=450&amp;WIDTH=450&amp;","START_MAXIMIZED=FALSE&amp;VAR:CALENDAR=FIVEDAY&amp;VAR:SYMBOL=471279&amp;VAR:INDEX=0"}</definedName>
    <definedName name="_329__FDSAUDITLINK__" hidden="1">{"fdsup://Directions/FactSet Auditing Viewer?action=AUDIT_VALUE&amp;DB=129&amp;ID1=710352&amp;VALUEID=01001&amp;SDATE=2008&amp;PERIODTYPE=ANN_STD&amp;window=popup_no_bar&amp;width=385&amp;height=120&amp;START_MAXIMIZED=FALSE&amp;creator=factset&amp;display_string=Audit"}</definedName>
    <definedName name="_33__123Graph_LBL_DCHART_2" hidden="1">#REF!</definedName>
    <definedName name="_33__123Graph_XC04C_ALL_T2" hidden="1">#REF!</definedName>
    <definedName name="_33__123Graph_XC04C_FR_L1" hidden="1">#REF!</definedName>
    <definedName name="_33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330__FDSAUDITLINK__" hidden="1">{"fdsup://Directions/FactSet Auditing Viewer?action=AUDIT_VALUE&amp;DB=129&amp;ID1=710352&amp;VALUEID=01001&amp;SDATE=2007&amp;PERIODTYPE=ANN_STD&amp;window=popup_no_bar&amp;width=385&amp;height=120&amp;START_MAXIMIZED=FALSE&amp;creator=factset&amp;display_string=Audit"}</definedName>
    <definedName name="_331__FDSAUDITLINK__" hidden="1">{"fdsup://Directions/FactSet Auditing Viewer?action=AUDIT_VALUE&amp;DB=129&amp;ID1=549710&amp;VALUEID=01001&amp;SDATE=2008&amp;PERIODTYPE=ANN_STD&amp;window=popup_no_bar&amp;width=385&amp;height=120&amp;START_MAXIMIZED=FALSE&amp;creator=factset&amp;display_string=Audit"}</definedName>
    <definedName name="_332__FDSAUDITLINK__" hidden="1">{"fdsup://Directions/FactSet Auditing Viewer?action=AUDIT_VALUE&amp;DB=129&amp;ID1=34537086&amp;VALUEID=01001&amp;SDATE=2008&amp;PERIODTYPE=ANN_STD&amp;window=popup_no_bar&amp;width=385&amp;height=120&amp;START_MAXIMIZED=FALSE&amp;creator=factset&amp;display_string=Audit"}</definedName>
    <definedName name="_333__FDSAUDITLINK__" hidden="1">{"fdsup://Directions/FactSet Auditing Viewer?action=AUDIT_VALUE&amp;DB=129&amp;ID1=575602&amp;VALUEID=01001&amp;SDATE=2008&amp;PERIODTYPE=ANN_STD&amp;window=popup_no_bar&amp;width=385&amp;height=120&amp;START_MAXIMIZED=FALSE&amp;creator=factset&amp;display_string=Audit"}</definedName>
    <definedName name="_334__FDSAUDITLINK__" hidden="1">{"fdsup://Directions/FactSet Auditing Viewer?action=AUDIT_VALUE&amp;DB=129&amp;ID1=575602&amp;VALUEID=01001&amp;SDATE=2007&amp;PERIODTYPE=ANN_STD&amp;window=popup_no_bar&amp;width=385&amp;height=120&amp;START_MAXIMIZED=FALSE&amp;creator=factset&amp;display_string=Audit"}</definedName>
    <definedName name="_335__FDSAUDITLINK__" hidden="1">{"fdsup://Directions/FactSet Auditing Viewer?action=AUDIT_VALUE&amp;DB=129&amp;ID1=710352&amp;VALUEID=18352&amp;SDATE=2009&amp;PERIODTYPE=ANN_STD&amp;window=popup_no_bar&amp;width=385&amp;height=120&amp;START_MAXIMIZED=FALSE&amp;creator=factset&amp;display_string=Audit"}</definedName>
    <definedName name="_336__FDSAUDITLINK__" hidden="1">{"fdsup://Directions/FactSet Auditing Viewer?action=AUDIT_VALUE&amp;DB=129&amp;ID1=710352&amp;VALUEID=18352&amp;SDATE=2008&amp;PERIODTYPE=ANN_STD&amp;window=popup_no_bar&amp;width=385&amp;height=120&amp;START_MAXIMIZED=FALSE&amp;creator=factset&amp;display_string=Audit"}</definedName>
    <definedName name="_337__FDSAUDITLINK__" hidden="1">{"fdsup://Directions/FactSet Auditing Viewer?action=AUDIT_VALUE&amp;DB=129&amp;ID1=710352&amp;VALUEID=18352&amp;SDATE=2007&amp;PERIODTYPE=ANN_STD&amp;window=popup_no_bar&amp;width=385&amp;height=120&amp;START_MAXIMIZED=FALSE&amp;creator=factset&amp;display_string=Audit"}</definedName>
    <definedName name="_338__FDSAUDITLINK__" hidden="1">{"fdsup://Directions/FactSet Auditing Viewer?action=AUDIT_VALUE&amp;DB=129&amp;ID1=471279&amp;VALUEID=18352&amp;SDATE=2009&amp;PERIODTYPE=ANN_STD&amp;window=popup_no_bar&amp;width=385&amp;height=120&amp;START_MAXIMIZED=FALSE&amp;creator=factset&amp;display_string=Audit"}</definedName>
    <definedName name="_339__FDSAUDITLINK__" hidden="1">{"fdsup://Directions/FactSet Auditing Viewer?action=AUDIT_VALUE&amp;DB=129&amp;ID1=471279&amp;VALUEID=18352&amp;SDATE=2007&amp;PERIODTYPE=ANN_STD&amp;window=popup_no_bar&amp;width=385&amp;height=120&amp;START_MAXIMIZED=FALSE&amp;creator=factset&amp;display_string=Audit"}</definedName>
    <definedName name="_34__123Graph_XC04C_FF_L" hidden="1">#REF!</definedName>
    <definedName name="_34__123Graph_XC04C_FR_L2" hidden="1">#REF!</definedName>
    <definedName name="_34__123Graph_XCHART_2" hidden="1">#REF!</definedName>
    <definedName name="_34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340__FDSAUDITLINK__" hidden="1">{"fdsup://Directions/FactSet Auditing Viewer?action=AUDIT_VALUE&amp;DB=129&amp;ID1=549710&amp;VALUEID=18352&amp;SDATE=2009&amp;PERIODTYPE=ANN_STD&amp;window=popup_no_bar&amp;width=385&amp;height=120&amp;START_MAXIMIZED=FALSE&amp;creator=factset&amp;display_string=Audit"}</definedName>
    <definedName name="_341__FDSAUDITLINK__" hidden="1">{"fdsup://Directions/FactSet Auditing Viewer?action=AUDIT_VALUE&amp;DB=129&amp;ID1=549710&amp;VALUEID=18352&amp;SDATE=2008&amp;PERIODTYPE=ANN_STD&amp;window=popup_no_bar&amp;width=385&amp;height=120&amp;START_MAXIMIZED=FALSE&amp;creator=factset&amp;display_string=Audit"}</definedName>
    <definedName name="_342__FDSAUDITLINK__" hidden="1">{"fdsup://Directions/FactSet Auditing Viewer?action=AUDIT_VALUE&amp;DB=129&amp;ID1=549710&amp;VALUEID=18352&amp;SDATE=2007&amp;PERIODTYPE=ANN_STD&amp;window=popup_no_bar&amp;width=385&amp;height=120&amp;START_MAXIMIZED=FALSE&amp;creator=factset&amp;display_string=Audit"}</definedName>
    <definedName name="_343__FDSAUDITLINK__" hidden="1">{"fdsup://Directions/FactSet Auditing Viewer?action=AUDIT_VALUE&amp;DB=129&amp;ID1=574852&amp;VALUEID=18352&amp;SDATE=2009&amp;PERIODTYPE=ANN_STD&amp;window=popup_no_bar&amp;width=385&amp;height=120&amp;START_MAXIMIZED=FALSE&amp;creator=factset&amp;display_string=Audit"}</definedName>
    <definedName name="_344__FDSAUDITLINK__" hidden="1">{"fdsup://Directions/FactSet Auditing Viewer?action=AUDIT_VALUE&amp;DB=129&amp;ID1=574852&amp;VALUEID=18352&amp;SDATE=2007&amp;PERIODTYPE=ANN_STD&amp;window=popup_no_bar&amp;width=385&amp;height=120&amp;START_MAXIMIZED=FALSE&amp;creator=factset&amp;display_string=Audit"}</definedName>
    <definedName name="_345__FDSAUDITLINK__" hidden="1">{"fdsup://Directions/FactSet Auditing Viewer?action=AUDIT_VALUE&amp;DB=129&amp;ID1=34537086&amp;VALUEID=18352&amp;SDATE=2009&amp;PERIODTYPE=ANN_STD&amp;window=popup_no_bar&amp;width=385&amp;height=120&amp;START_MAXIMIZED=FALSE&amp;creator=factset&amp;display_string=Audit"}</definedName>
    <definedName name="_346__FDSAUDITLINK__" hidden="1">{"fdsup://Directions/FactSet Auditing Viewer?action=AUDIT_VALUE&amp;DB=129&amp;ID1=34537086&amp;VALUEID=18352&amp;SDATE=2008&amp;PERIODTYPE=ANN_STD&amp;window=popup_no_bar&amp;width=385&amp;height=120&amp;START_MAXIMIZED=FALSE&amp;creator=factset&amp;display_string=Audit"}</definedName>
    <definedName name="_347__FDSAUDITLINK__" hidden="1">{"fdsup://Directions/FactSet Auditing Viewer?action=AUDIT_VALUE&amp;DB=129&amp;ID1=34537086&amp;VALUEID=18352&amp;SDATE=2007&amp;PERIODTYPE=ANN_STD&amp;window=popup_no_bar&amp;width=385&amp;height=120&amp;START_MAXIMIZED=FALSE&amp;creator=factset&amp;display_string=Audit"}</definedName>
    <definedName name="_348__FDSAUDITLINK__" hidden="1">{"fdsup://Directions/FactSet Auditing Viewer?action=AUDIT_VALUE&amp;DB=129&amp;ID1=575602&amp;VALUEID=18352&amp;SDATE=2009&amp;PERIODTYPE=ANN_STD&amp;window=popup_no_bar&amp;width=385&amp;height=120&amp;START_MAXIMIZED=FALSE&amp;creator=factset&amp;display_string=Audit"}</definedName>
    <definedName name="_349__FDSAUDITLINK__" hidden="1">{"fdsup://Directions/FactSet Auditing Viewer?action=AUDIT_VALUE&amp;DB=129&amp;ID1=575602&amp;VALUEID=18352&amp;SDATE=2008&amp;PERIODTYPE=ANN_STD&amp;window=popup_no_bar&amp;width=385&amp;height=120&amp;START_MAXIMIZED=FALSE&amp;creator=factset&amp;display_string=Audit"}</definedName>
    <definedName name="_35__123Graph_BCHART_1" hidden="1">#REF!</definedName>
    <definedName name="_35__123Graph_XC04C_FF_T" hidden="1">#REF!</definedName>
    <definedName name="_35__123Graph_XC04C_FR_T1" hidden="1">#REF!</definedName>
    <definedName name="_35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350__FDSAUDITLINK__" hidden="1">{"fdsup://Directions/FactSet Auditing Viewer?action=AUDIT_VALUE&amp;DB=129&amp;ID1=575602&amp;VALUEID=18352&amp;SDATE=2007&amp;PERIODTYPE=ANN_STD&amp;window=popup_no_bar&amp;width=385&amp;height=120&amp;START_MAXIMIZED=FALSE&amp;creator=factset&amp;display_string=Audit"}</definedName>
    <definedName name="_351__FDSAUDITLINK__" hidden="1">{"fdsup://Directions/FactSet Auditing Viewer?action=AUDIT_VALUE&amp;DB=129&amp;ID1=710352&amp;VALUEID=18813&amp;SDATE=2009&amp;PERIODTYPE=ANN_STD&amp;window=popup_no_bar&amp;width=385&amp;height=120&amp;START_MAXIMIZED=FALSE&amp;creator=factset&amp;display_string=Audit"}</definedName>
    <definedName name="_352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353__FDSAUDITLINK__" hidden="1">{"fdsup://Directions/FactSet Auditing Viewer?action=AUDIT_VALUE&amp;DB=129&amp;ID1=710352&amp;VALUEID=18813&amp;SDATE=2008&amp;PERIODTYPE=ANN_STD&amp;window=popup_no_bar&amp;width=385&amp;height=120&amp;START_MAXIMIZED=FALSE&amp;creator=factset&amp;display_string=Audit"}</definedName>
    <definedName name="_354__FDSAUDITLINK__" hidden="1">{"fdsup://Directions/FactSet Auditing Viewer?action=AUDIT_VALUE&amp;DB=129&amp;ID1=549710&amp;VALUEID=18813&amp;SDATE=2009&amp;PERIODTYPE=ANN_STD&amp;window=popup_no_bar&amp;width=385&amp;height=120&amp;START_MAXIMIZED=FALSE&amp;creator=factset&amp;display_string=Audit"}</definedName>
    <definedName name="_355__FDSAUDITLINK__" hidden="1">{"fdsup://Directions/FactSet Auditing Viewer?action=AUDIT_VALUE&amp;DB=129&amp;ID1=549710&amp;VALUEID=18813&amp;SDATE=2008&amp;PERIODTYPE=ANN_STD&amp;window=popup_no_bar&amp;width=385&amp;height=120&amp;START_MAXIMIZED=FALSE&amp;creator=factset&amp;display_string=Audit"}</definedName>
    <definedName name="_356__FDSAUDITLINK__" hidden="1">{"fdsup://Directions/FactSet Auditing Viewer?action=AUDIT_VALUE&amp;DB=129&amp;ID1=549710&amp;VALUEID=18813&amp;SDATE=2007&amp;PERIODTYPE=ANN_STD&amp;window=popup_no_bar&amp;width=385&amp;height=120&amp;START_MAXIMIZED=FALSE&amp;creator=factset&amp;display_string=Audit"}</definedName>
    <definedName name="_357__FDSAUDITLINK__" hidden="1">{"fdsup://Directions/FactSet Auditing Viewer?action=AUDIT_VALUE&amp;DB=129&amp;ID1=574852&amp;VALUEID=18813&amp;SDATE=2009&amp;PERIODTYPE=ANN_STD&amp;window=popup_no_bar&amp;width=385&amp;height=120&amp;START_MAXIMIZED=FALSE&amp;creator=factset&amp;display_string=Audit"}</definedName>
    <definedName name="_358__FDSAUDITLINK__" hidden="1">{"fdsup://Directions/FactSet Auditing Viewer?action=AUDIT_VALUE&amp;DB=129&amp;ID1=574852&amp;VALUEID=18813&amp;SDATE=2007&amp;PERIODTYPE=ANN_STD&amp;window=popup_no_bar&amp;width=385&amp;height=120&amp;START_MAXIMIZED=FALSE&amp;creator=factset&amp;display_string=Audit"}</definedName>
    <definedName name="_359__FDSAUDITLINK__" hidden="1">{"fdsup://Directions/FactSet Auditing Viewer?action=AUDIT_VALUE&amp;DB=129&amp;ID1=34537086&amp;VALUEID=18813&amp;SDATE=2009&amp;PERIODTYPE=ANN_STD&amp;window=popup_no_bar&amp;width=385&amp;height=120&amp;START_MAXIMIZED=FALSE&amp;creator=factset&amp;display_string=Audit"}</definedName>
    <definedName name="_36__123Graph_AC04C_FR_T1" hidden="1">#REF!</definedName>
    <definedName name="_36__123Graph_XC04C_FR_L1" hidden="1">#REF!</definedName>
    <definedName name="_36__123Graph_XC04C_FR_T2" hidden="1">#REF!</definedName>
    <definedName name="_36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36_0__123Grap" hidden="1">#REF!</definedName>
    <definedName name="_360__FDSAUDITLINK__" hidden="1">{"fdsup://Directions/FactSet Auditing Viewer?action=AUDIT_VALUE&amp;DB=129&amp;ID1=34537086&amp;VALUEID=18813&amp;SDATE=2008&amp;PERIODTYPE=ANN_STD&amp;window=popup_no_bar&amp;width=385&amp;height=120&amp;START_MAXIMIZED=FALSE&amp;creator=factset&amp;display_string=Audit"}</definedName>
    <definedName name="_361__FDSAUDITLINK__" hidden="1">{"fdsup://Directions/FactSet Auditing Viewer?action=AUDIT_VALUE&amp;DB=129&amp;ID1=34537086&amp;VALUEID=18813&amp;SDATE=2007&amp;PERIODTYPE=ANN_STD&amp;window=popup_no_bar&amp;width=385&amp;height=120&amp;START_MAXIMIZED=FALSE&amp;creator=factset&amp;display_string=Audit"}</definedName>
    <definedName name="_362__FDSAUDITLINK__" hidden="1">{"fdsup://Directions/FactSet Auditing Viewer?action=AUDIT_VALUE&amp;DB=129&amp;ID1=552902&amp;VALUEID=18813&amp;SDATE=2009&amp;PERIODTYPE=ANN_STD&amp;window=popup_no_bar&amp;width=385&amp;height=120&amp;START_MAXIMIZED=FALSE&amp;creator=factset&amp;display_string=Audit"}</definedName>
    <definedName name="_363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364__FDSAUDITLINK__" hidden="1">{"fdsup://Directions/FactSet Auditing Viewer?action=AUDIT_VALUE&amp;DB=129&amp;ID1=471279&amp;VALUEID=18140&amp;SDATE=2007&amp;PERIODTYPE=ANN_STD&amp;window=popup_no_bar&amp;width=385&amp;height=120&amp;START_MAXIMIZED=FALSE&amp;creator=factset&amp;display_string=Audit"}</definedName>
    <definedName name="_365__FDSAUDITLINK__" hidden="1">{"fdsup://Directions/FactSet Auditing Viewer?action=AUDIT_VALUE&amp;DB=129&amp;ID1=549710&amp;VALUEID=18140&amp;SDATE=2009&amp;PERIODTYPE=ANN_STD&amp;window=popup_no_bar&amp;width=385&amp;height=120&amp;START_MAXIMIZED=FALSE&amp;creator=factset&amp;display_string=Audit"}</definedName>
    <definedName name="_366__FDSAUDITLINK__" hidden="1">{"fdsup://Directions/FactSet Auditing Viewer?action=AUDIT_VALUE&amp;DB=129&amp;ID1=549710&amp;VALUEID=18140&amp;SDATE=2008&amp;PERIODTYPE=ANN_STD&amp;window=popup_no_bar&amp;width=385&amp;height=120&amp;START_MAXIMIZED=FALSE&amp;creator=factset&amp;display_string=Audit"}</definedName>
    <definedName name="_367__FDSAUDITLINK__" hidden="1">{"fdsup://Directions/FactSet Auditing Viewer?action=AUDIT_VALUE&amp;DB=129&amp;ID1=549710&amp;VALUEID=18140&amp;SDATE=2007&amp;PERIODTYPE=ANN_STD&amp;window=popup_no_bar&amp;width=385&amp;height=120&amp;START_MAXIMIZED=FALSE&amp;creator=factset&amp;display_string=Audit"}</definedName>
    <definedName name="_368__FDSAUDITLINK__" hidden="1">{"fdsup://Directions/FactSet Auditing Viewer?action=AUDIT_VALUE&amp;DB=129&amp;ID1=574852&amp;VALUEID=18140&amp;SDATE=2009&amp;PERIODTYPE=ANN_STD&amp;window=popup_no_bar&amp;width=385&amp;height=120&amp;START_MAXIMIZED=FALSE&amp;creator=factset&amp;display_string=Audit"}</definedName>
    <definedName name="_369__FDSAUDITLINK__" hidden="1">{"fdsup://Directions/FactSet Auditing Viewer?action=AUDIT_VALUE&amp;DB=129&amp;ID1=574852&amp;VALUEID=18140&amp;SDATE=2007&amp;PERIODTYPE=ANN_STD&amp;window=popup_no_bar&amp;width=385&amp;height=120&amp;START_MAXIMIZED=FALSE&amp;creator=factset&amp;display_string=Audit"}</definedName>
    <definedName name="_37__123Graph_XC04C_FR_L2" hidden="1">#REF!</definedName>
    <definedName name="_37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370__FDSAUDITLINK__" hidden="1">{"fdsup://Directions/FactSet Auditing Viewer?action=AUDIT_VALUE&amp;DB=129&amp;ID1=34537086&amp;VALUEID=18140&amp;SDATE=2009&amp;PERIODTYPE=ANN_STD&amp;window=popup_no_bar&amp;width=385&amp;height=120&amp;START_MAXIMIZED=FALSE&amp;creator=factset&amp;display_string=Audit"}</definedName>
    <definedName name="_371__FDSAUDITLINK__" hidden="1">{"fdsup://Directions/FactSet Auditing Viewer?action=AUDIT_VALUE&amp;DB=129&amp;ID1=34537086&amp;VALUEID=18140&amp;SDATE=2008&amp;PERIODTYPE=ANN_STD&amp;window=popup_no_bar&amp;width=385&amp;height=120&amp;START_MAXIMIZED=FALSE&amp;creator=factset&amp;display_string=Audit"}</definedName>
    <definedName name="_372__FDSAUDITLINK__" hidden="1">{"fdsup://Directions/FactSet Auditing Viewer?action=AUDIT_VALUE&amp;DB=129&amp;ID1=34537086&amp;VALUEID=18140&amp;SDATE=2007&amp;PERIODTYPE=ANN_STD&amp;window=popup_no_bar&amp;width=385&amp;height=120&amp;START_MAXIMIZED=FALSE&amp;creator=factset&amp;display_string=Audit"}</definedName>
    <definedName name="_373__FDSAUDITLINK__" hidden="1">{"fdsup://Directions/FactSet Auditing Viewer?action=AUDIT_VALUE&amp;DB=129&amp;ID1=575602&amp;VALUEID=18140&amp;SDATE=2007&amp;PERIODTYPE=ANN_STD&amp;window=popup_no_bar&amp;width=385&amp;height=120&amp;START_MAXIMIZED=FALSE&amp;creator=factset&amp;display_string=Audit"}</definedName>
    <definedName name="_374__FDSAUDITLINK__" hidden="1">{"fdsup://Directions/FactSet Auditing Viewer?action=AUDIT_VALUE&amp;DB=129&amp;ID1=552902&amp;VALUEID=18140&amp;SDATE=2009&amp;PERIODTYPE=ANN_STD&amp;window=popup_no_bar&amp;width=385&amp;height=120&amp;START_MAXIMIZED=FALSE&amp;creator=factset&amp;display_string=Audit"}</definedName>
    <definedName name="_375__FDSAUDITLINK__" hidden="1">{"fdsup://Directions/FactSet Auditing Viewer?action=AUDIT_VALUE&amp;DB=129&amp;ID1=088470&amp;VALUEID=01001&amp;SDATE=2010&amp;PERIODTYPE=ANN_STD&amp;SCFT=3&amp;window=popup_no_bar&amp;width=385&amp;height=120&amp;START_MAXIMIZED=FALSE&amp;creator=factset&amp;display_string=Audit"}</definedName>
    <definedName name="_376__FDSAUDITLINK__" hidden="1">{"fdsup://directions/FAT Viewer?action=UPDATE&amp;creator=factset&amp;DYN_ARGS=TRUE&amp;DOC_NAME=FAT:FQL_AUDITING_CLIENT_TEMPLATE.FAT&amp;display_string=Audit&amp;VAR:KEY=IRCLOZKZCH&amp;VAR:QUERY=RkZfRU5UUlBSX1ZBTF9EQUlMWSgwLCwsLCwnRElMJyk=&amp;WINDOW=FIRST_POPUP&amp;HEIGHT=450&amp;WIDTH=450&amp;","START_MAXIMIZED=FALSE&amp;VAR:CALENDAR=US&amp;VAR:SYMBOL=710352&amp;VAR:INDEX=0"}</definedName>
    <definedName name="_377__FDSAUDITLINK__" hidden="1">{"fdsup://directions/FAT Viewer?action=UPDATE&amp;creator=factset&amp;DYN_ARGS=TRUE&amp;DOC_NAME=FAT:FQL_AUDITING_CLIENT_TEMPLATE.FAT&amp;display_string=Audit&amp;VAR:KEY=UPYVONUTKJ&amp;VAR:QUERY=RkZfRU5UUlBSX1ZBTF9EQUlMWSgwLCwsLCwnRElMJyk=&amp;WINDOW=FIRST_POPUP&amp;HEIGHT=450&amp;WIDTH=450&amp;","START_MAXIMIZED=FALSE&amp;VAR:CALENDAR=US&amp;VAR:SYMBOL=471279&amp;VAR:INDEX=0"}</definedName>
    <definedName name="_378__FDSAUDITLINK__" hidden="1">{"fdsup://directions/FAT Viewer?action=UPDATE&amp;creator=factset&amp;DYN_ARGS=TRUE&amp;DOC_NAME=FAT:FQL_AUDITING_CLIENT_TEMPLATE.FAT&amp;display_string=Audit&amp;VAR:KEY=OLKFUDSDCP&amp;VAR:QUERY=RkZfRU5UUlBSX1ZBTF9EQUlMWSgwLCwsLCwnRElMJyk=&amp;WINDOW=FIRST_POPUP&amp;HEIGHT=450&amp;WIDTH=450&amp;","START_MAXIMIZED=FALSE&amp;VAR:CALENDAR=US&amp;VAR:SYMBOL=549710&amp;VAR:INDEX=0"}</definedName>
    <definedName name="_379__FDSAUDITLINK__" hidden="1">{"fdsup://directions/FAT Viewer?action=UPDATE&amp;creator=factset&amp;DYN_ARGS=TRUE&amp;DOC_NAME=FAT:FQL_AUDITING_CLIENT_TEMPLATE.FAT&amp;display_string=Audit&amp;VAR:KEY=ARWJQDQDIH&amp;VAR:QUERY=RkZfRU5UUlBSX1ZBTF9EQUlMWSgwLCwsLCwnRElMJyk=&amp;WINDOW=FIRST_POPUP&amp;HEIGHT=450&amp;WIDTH=450&amp;","START_MAXIMIZED=FALSE&amp;VAR:CALENDAR=US&amp;VAR:SYMBOL=574852&amp;VAR:INDEX=0"}</definedName>
    <definedName name="_38__123Graph_XC04C_FR_T1" hidden="1">#REF!</definedName>
    <definedName name="_38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380__FDSAUDITLINK__" hidden="1">{"fdsup://directions/FAT Viewer?action=UPDATE&amp;creator=factset&amp;DYN_ARGS=TRUE&amp;DOC_NAME=FAT:FQL_AUDITING_CLIENT_TEMPLATE.FAT&amp;display_string=Audit&amp;VAR:KEY=CLIFCJUPKV&amp;VAR:QUERY=RkZfRU5UUlBSX1ZBTF9EQUlMWSgwLCwsLCwnRElMJyk=&amp;WINDOW=FIRST_POPUP&amp;HEIGHT=450&amp;WIDTH=450&amp;","START_MAXIMIZED=FALSE&amp;VAR:CALENDAR=US&amp;VAR:SYMBOL=34537086&amp;VAR:INDEX=0"}</definedName>
    <definedName name="_381__FDSAUDITLINK__" hidden="1">{"fdsup://directions/FAT Viewer?action=UPDATE&amp;creator=factset&amp;DYN_ARGS=TRUE&amp;DOC_NAME=FAT:FQL_AUDITING_CLIENT_TEMPLATE.FAT&amp;display_string=Audit&amp;VAR:KEY=CBSNUFKZIH&amp;VAR:QUERY=RkZfRU5UUlBSX1ZBTF9EQUlMWSgwLCwsLCwnRElMJyk=&amp;WINDOW=FIRST_POPUP&amp;HEIGHT=450&amp;WIDTH=450&amp;","START_MAXIMIZED=FALSE&amp;VAR:CALENDAR=US&amp;VAR:SYMBOL=575602&amp;VAR:INDEX=0"}</definedName>
    <definedName name="_382__FDSAUDITLINK__" hidden="1">{"fdsup://directions/FAT Viewer?action=UPDATE&amp;creator=factset&amp;DYN_ARGS=TRUE&amp;DOC_NAME=FAT:FQL_AUDITING_CLIENT_TEMPLATE.FAT&amp;display_string=Audit&amp;VAR:KEY=SJGFWHORAL&amp;VAR:QUERY=RkZfRU5UUlBSX1ZBTF9EQUlMWSgwLCwsLCwnRElMJyk=&amp;WINDOW=FIRST_POPUP&amp;HEIGHT=450&amp;WIDTH=450&amp;","START_MAXIMIZED=FALSE&amp;VAR:CALENDAR=US&amp;VAR:SYMBOL=552902&amp;VAR:INDEX=0"}</definedName>
    <definedName name="_383__FDSAUDITLINK__" hidden="1">{"fdsup://directions/FAT Viewer?action=UPDATE&amp;creator=factset&amp;DYN_ARGS=TRUE&amp;DOC_NAME=FAT:FQL_AUDITING_CLIENT_TEMPLATE.FAT&amp;display_string=Audit&amp;VAR:KEY=JKXKXARYZY&amp;VAR:QUERY=RkZfRUJJVF9PUEVSKEFOTiwtMSwsLFJGKQ==&amp;WINDOW=FIRST_POPUP&amp;HEIGHT=450&amp;WIDTH=450&amp;START_MA","XIMIZED=FALSE&amp;VAR:CALENDAR=FIVEDAY&amp;VAR:SYMBOL=93114210&amp;VAR:INDEX=0"}</definedName>
    <definedName name="_384__FDSAUDITLINK__" hidden="1">{"fdsup://Directions/FactSet Auditing Viewer?action=AUDIT_VALUE&amp;DB=129&amp;ID1=93114210&amp;VALUEID=01151&amp;SDATE=2011&amp;PERIODTYPE=ANN_STD&amp;SCFT=3&amp;window=popup_no_bar&amp;width=385&amp;height=120&amp;START_MAXIMIZED=FALSE&amp;creator=factset&amp;display_string=Audit"}</definedName>
    <definedName name="_385__FDSAUDITLINK__" hidden="1">{"fdsup://Directions/FactSet Auditing Viewer?action=AUDIT_VALUE&amp;DB=129&amp;ID1=93114210&amp;VALUEID=01151&amp;SDATE=2010&amp;PERIODTYPE=ANN_STD&amp;SCFT=3&amp;window=popup_no_bar&amp;width=385&amp;height=120&amp;START_MAXIMIZED=FALSE&amp;creator=factset&amp;display_string=Audit"}</definedName>
    <definedName name="_386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387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388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389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39__123Graph_XC04C_FR_T2" hidden="1">#REF!</definedName>
    <definedName name="_39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390__FDSAUDITLINK__" hidden="1">{"fdsup://Directions/FactSet Auditing Viewer?action=AUDIT_VALUE&amp;DB=129&amp;ID1=710352&amp;VALUEID=01001&amp;SDATE=2009&amp;PERIODTYPE=ANN_STD&amp;window=popup_no_bar&amp;width=385&amp;height=120&amp;START_MAXIMIZED=FALSE&amp;creator=factset&amp;display_string=Audit"}</definedName>
    <definedName name="_391__FDSAUDITLINK__" hidden="1">{"fdsup://Directions/FactSet Auditing Viewer?action=AUDIT_VALUE&amp;DB=129&amp;ID1=710352&amp;VALUEID=01001&amp;SDATE=2008&amp;PERIODTYPE=ANN_STD&amp;window=popup_no_bar&amp;width=385&amp;height=120&amp;START_MAXIMIZED=FALSE&amp;creator=factset&amp;display_string=Audit"}</definedName>
    <definedName name="_392__FDSAUDITLINK__" hidden="1">{"fdsup://Directions/FactSet Auditing Viewer?action=AUDIT_VALUE&amp;DB=129&amp;ID1=710352&amp;VALUEID=01001&amp;SDATE=2007&amp;PERIODTYPE=ANN_STD&amp;window=popup_no_bar&amp;width=385&amp;height=120&amp;START_MAXIMIZED=FALSE&amp;creator=factset&amp;display_string=Audit"}</definedName>
    <definedName name="_393__FDSAUDITLINK__" hidden="1">{"fdsup://Directions/FactSet Auditing Viewer?action=AUDIT_VALUE&amp;DB=129&amp;ID1=471279&amp;VALUEID=01001&amp;SDATE=2009&amp;PERIODTYPE=ANN_STD&amp;window=popup_no_bar&amp;width=385&amp;height=120&amp;START_MAXIMIZED=FALSE&amp;creator=factset&amp;display_string=Audit"}</definedName>
    <definedName name="_394__FDSAUDITLINK__" hidden="1">{"fdsup://Directions/FactSet Auditing Viewer?action=AUDIT_VALUE&amp;DB=129&amp;ID1=549710&amp;VALUEID=01001&amp;SDATE=2009&amp;PERIODTYPE=ANN_STD&amp;window=popup_no_bar&amp;width=385&amp;height=120&amp;START_MAXIMIZED=FALSE&amp;creator=factset&amp;display_string=Audit"}</definedName>
    <definedName name="_395__FDSAUDITLINK__" hidden="1">{"fdsup://Directions/FactSet Auditing Viewer?action=AUDIT_VALUE&amp;DB=129&amp;ID1=549710&amp;VALUEID=01001&amp;SDATE=2008&amp;PERIODTYPE=ANN_STD&amp;window=popup_no_bar&amp;width=385&amp;height=120&amp;START_MAXIMIZED=FALSE&amp;creator=factset&amp;display_string=Audit"}</definedName>
    <definedName name="_396__FDSAUDITLINK__" hidden="1">{"fdsup://Directions/FactSet Auditing Viewer?action=AUDIT_VALUE&amp;DB=129&amp;ID1=549710&amp;VALUEID=01001&amp;SDATE=2007&amp;PERIODTYPE=ANN_STD&amp;window=popup_no_bar&amp;width=385&amp;height=120&amp;START_MAXIMIZED=FALSE&amp;creator=factset&amp;display_string=Audit"}</definedName>
    <definedName name="_397__FDSAUDITLINK__" hidden="1">{"fdsup://Directions/FactSet Auditing Viewer?action=AUDIT_VALUE&amp;DB=129&amp;ID1=574852&amp;VALUEID=01001&amp;SDATE=2009&amp;PERIODTYPE=ANN_STD&amp;window=popup_no_bar&amp;width=385&amp;height=120&amp;START_MAXIMIZED=FALSE&amp;creator=factset&amp;display_string=Audit"}</definedName>
    <definedName name="_398__FDSAUDITLINK__" hidden="1">{"fdsup://Directions/FactSet Auditing Viewer?action=AUDIT_VALUE&amp;DB=129&amp;ID1=574852&amp;VALUEID=01001&amp;SDATE=2007&amp;PERIODTYPE=ANN_STD&amp;window=popup_no_bar&amp;width=385&amp;height=120&amp;START_MAXIMIZED=FALSE&amp;creator=factset&amp;display_string=Audit"}</definedName>
    <definedName name="_399__FDSAUDITLINK__" hidden="1">{"fdsup://Directions/FactSet Auditing Viewer?action=AUDIT_VALUE&amp;DB=129&amp;ID1=34537086&amp;VALUEID=01001&amp;SDATE=2009&amp;PERIODTYPE=ANN_STD&amp;window=popup_no_bar&amp;width=385&amp;height=120&amp;START_MAXIMIZED=FALSE&amp;creator=factset&amp;display_string=Audit"}</definedName>
    <definedName name="_3ALA642C761" hidden="1">#N/A</definedName>
    <definedName name="_4__123Graph_AC04C_ALL_L1" hidden="1">#REF!</definedName>
    <definedName name="_4__123Graph_ACAPITAL_ALL" hidden="1">#REF!</definedName>
    <definedName name="_4__123Graph_ACHART_2" hidden="1">#REF!</definedName>
    <definedName name="_4__123Graph_ACHART_4" hidden="1">#REF!</definedName>
    <definedName name="_4__123Graph_ACHART_8" hidden="1">#REF!</definedName>
    <definedName name="_4__123Graph_BCHART_1" hidden="1">#REF!</definedName>
    <definedName name="_4__123Graph_BChart_1A" hidden="1">#REF!</definedName>
    <definedName name="_4__123Graph_BCHART_2" hidden="1">#REF!</definedName>
    <definedName name="_4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4_0_0_K" hidden="1">#REF!</definedName>
    <definedName name="_4_123Grap" hidden="1">#REF!</definedName>
    <definedName name="_4__0_S" hidden="1">#REF!</definedName>
    <definedName name="_40__123Graph_AC04C_FR_T2" hidden="1">#REF!</definedName>
    <definedName name="_40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400__FDSAUDITLINK__" hidden="1">{"fdsup://Directions/FactSet Auditing Viewer?action=AUDIT_VALUE&amp;DB=129&amp;ID1=34537086&amp;VALUEID=01001&amp;SDATE=2008&amp;PERIODTYPE=ANN_STD&amp;window=popup_no_bar&amp;width=385&amp;height=120&amp;START_MAXIMIZED=FALSE&amp;creator=factset&amp;display_string=Audit"}</definedName>
    <definedName name="_401__FDSAUDITLINK__" hidden="1">{"fdsup://Directions/FactSet Auditing Viewer?action=AUDIT_VALUE&amp;DB=129&amp;ID1=34537086&amp;VALUEID=01001&amp;SDATE=2007&amp;PERIODTYPE=ANN_STD&amp;window=popup_no_bar&amp;width=385&amp;height=120&amp;START_MAXIMIZED=FALSE&amp;creator=factset&amp;display_string=Audit"}</definedName>
    <definedName name="_402__FDSAUDITLINK__" hidden="1">{"fdsup://Directions/FactSet Auditing Viewer?action=AUDIT_VALUE&amp;DB=129&amp;ID1=575602&amp;VALUEID=01001&amp;SDATE=2009&amp;PERIODTYPE=ANN_STD&amp;window=popup_no_bar&amp;width=385&amp;height=120&amp;START_MAXIMIZED=FALSE&amp;creator=factset&amp;display_string=Audit"}</definedName>
    <definedName name="_403__FDSAUDITLINK__" hidden="1">{"fdsup://Directions/FactSet Auditing Viewer?action=AUDIT_VALUE&amp;DB=129&amp;ID1=575602&amp;VALUEID=01001&amp;SDATE=2008&amp;PERIODTYPE=ANN_STD&amp;window=popup_no_bar&amp;width=385&amp;height=120&amp;START_MAXIMIZED=FALSE&amp;creator=factset&amp;display_string=Audit"}</definedName>
    <definedName name="_404__FDSAUDITLINK__" hidden="1">{"fdsup://Directions/FactSet Auditing Viewer?action=AUDIT_VALUE&amp;DB=129&amp;ID1=575602&amp;VALUEID=01001&amp;SDATE=2007&amp;PERIODTYPE=ANN_STD&amp;window=popup_no_bar&amp;width=385&amp;height=120&amp;START_MAXIMIZED=FALSE&amp;creator=factset&amp;display_string=Audit"}</definedName>
    <definedName name="_405__FDSAUDITLINK__" hidden="1">{"fdsup://Directions/FactSet Auditing Viewer?action=AUDIT_VALUE&amp;DB=129&amp;ID1=552902&amp;VALUEID=01001&amp;SDATE=2009&amp;PERIODTYPE=ANN_STD&amp;window=popup_no_bar&amp;width=385&amp;height=120&amp;START_MAXIMIZED=FALSE&amp;creator=factset&amp;display_string=Audit"}</definedName>
    <definedName name="_406__FDSAUDITLINK__" hidden="1">{"fdsup://Directions/FactSet Auditing Viewer?action=AUDIT_VALUE&amp;DB=129&amp;ID1=552902&amp;VALUEID=01001&amp;SDATE=2007&amp;PERIODTYPE=ANN_STD&amp;window=popup_no_bar&amp;width=385&amp;height=120&amp;START_MAXIMIZED=FALSE&amp;creator=factset&amp;display_string=Audit"}</definedName>
    <definedName name="_407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408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409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41__123Graph_Aｸﾞﾗﾌ_1" hidden="1">#REF!</definedName>
    <definedName name="_41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410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411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412__FDSAUDITLINK__" hidden="1">{"fdsup://Directions/FactSet Auditing Viewer?action=AUDIT_VALUE&amp;DB=129&amp;ID1=710352&amp;VALUEID=01001&amp;SDATE=2009&amp;PERIODTYPE=ANN_STD&amp;window=popup_no_bar&amp;width=385&amp;height=120&amp;START_MAXIMIZED=FALSE&amp;creator=factset&amp;display_string=Audit"}</definedName>
    <definedName name="_413__FDSAUDITLINK__" hidden="1">{"fdsup://Directions/FactSet Auditing Viewer?action=AUDIT_VALUE&amp;DB=129&amp;ID1=471279&amp;VALUEID=01001&amp;SDATE=2009&amp;PERIODTYPE=ANN_STD&amp;window=popup_no_bar&amp;width=385&amp;height=120&amp;START_MAXIMIZED=FALSE&amp;creator=factset&amp;display_string=Audit"}</definedName>
    <definedName name="_414__FDSAUDITLINK__" hidden="1">{"fdsup://Directions/FactSet Auditing Viewer?action=AUDIT_VALUE&amp;DB=129&amp;ID1=549710&amp;VALUEID=01001&amp;SDATE=2009&amp;PERIODTYPE=ANN_STD&amp;window=popup_no_bar&amp;width=385&amp;height=120&amp;START_MAXIMIZED=FALSE&amp;creator=factset&amp;display_string=Audit"}</definedName>
    <definedName name="_415__FDSAUDITLINK__" hidden="1">{"fdsup://Directions/FactSet Auditing Viewer?action=AUDIT_VALUE&amp;DB=129&amp;ID1=575602&amp;VALUEID=01001&amp;SDATE=2009&amp;PERIODTYPE=ANN_STD&amp;window=popup_no_bar&amp;width=385&amp;height=120&amp;START_MAXIMIZED=FALSE&amp;creator=factset&amp;display_string=Audit"}</definedName>
    <definedName name="_416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417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418__FDSAUDITLINK__" hidden="1">{"fdsup://Directions/FactSet Auditing Viewer?action=AUDIT_VALUE&amp;DB=129&amp;ID1=471279&amp;VALUEID=01001&amp;SDATE=2007&amp;PERIODTYPE=ANN_STD&amp;window=popup_no_bar&amp;width=385&amp;height=120&amp;START_MAXIMIZED=FALSE&amp;creator=factset&amp;display_string=Audit"}</definedName>
    <definedName name="_419__FDSAUDITLINK__" hidden="1">{"fdsup://Directions/FactSet Auditing Viewer?action=AUDIT_VALUE&amp;DB=129&amp;ID1=088470&amp;VALUEID=01401&amp;SDATE=2009&amp;PERIODTYPE=ANN_STD&amp;SCFT=3&amp;window=popup_no_bar&amp;width=385&amp;height=120&amp;START_MAXIMIZED=FALSE&amp;creator=factset&amp;display_string=Audit"}</definedName>
    <definedName name="_42__123Graph_ACHART_1" hidden="1">#REF!</definedName>
    <definedName name="_42__123Graph_BCHART_3" hidden="1">#REF!</definedName>
    <definedName name="_42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420__FDSAUDITLINK__" hidden="1">{"fdsup://Directions/FactSet Auditing Viewer?action=AUDIT_VALUE&amp;DB=129&amp;ID1=549710&amp;VALUEID=01001&amp;SDATE=2007&amp;PERIODTYPE=ANN_STD&amp;window=popup_no_bar&amp;width=385&amp;height=120&amp;START_MAXIMIZED=FALSE&amp;creator=factset&amp;display_string=Audit"}</definedName>
    <definedName name="_421__FDSAUDITLINK__" hidden="1">{"fdsup://directions/FAT Viewer?action=UPDATE&amp;creator=factset&amp;DYN_ARGS=TRUE&amp;DOC_NAME=FAT:FQL_AUDITING_CLIENT_TEMPLATE.FAT&amp;display_string=Audit&amp;VAR:KEY=LOLKLQHEHO&amp;VAR:QUERY=RkZfRVBTX0RJTChBTk4sLTEsLCxSRik=&amp;WINDOW=FIRST_POPUP&amp;HEIGHT=450&amp;WIDTH=450&amp;START_MAXIMI","ZED=FALSE&amp;VAR:CALENDAR=FIVEDAY&amp;VAR:SYMBOL=088470&amp;VAR:INDEX=0"}</definedName>
    <definedName name="_422__FDSAUDITLINK__" hidden="1">{"fdsup://Directions/FactSet Auditing Viewer?action=AUDIT_VALUE&amp;DB=129&amp;ID1=574852&amp;VALUEID=01001&amp;SDATE=2007&amp;PERIODTYPE=ANN_STD&amp;window=popup_no_bar&amp;width=385&amp;height=120&amp;START_MAXIMIZED=FALSE&amp;creator=factset&amp;display_string=Audit"}</definedName>
    <definedName name="_423__FDSAUDITLINK__" hidden="1">{"fdsup://directions/FAT Viewer?action=UPDATE&amp;creator=factset&amp;DYN_ARGS=TRUE&amp;DOC_NAME=FAT:FQL_AUDITING_CLIENT_TEMPLATE.FAT&amp;display_string=Audit&amp;VAR:KEY=HEVCVEZQZK&amp;VAR:QUERY=RkZfRUJJVF9PUEVSKEFOTiwtMSwsLFJGKQ==&amp;WINDOW=FIRST_POPUP&amp;HEIGHT=450&amp;WIDTH=450&amp;START_MA","XIMIZED=FALSE&amp;VAR:CALENDAR=FIVEDAY&amp;VAR:SYMBOL=088470&amp;VAR:INDEX=0"}</definedName>
    <definedName name="_424__FDSAUDITLINK__" hidden="1">{"fdsup://Directions/FactSet Auditing Viewer?action=AUDIT_VALUE&amp;DB=129&amp;ID1=34537086&amp;VALUEID=01001&amp;SDATE=2007&amp;PERIODTYPE=ANN_STD&amp;window=popup_no_bar&amp;width=385&amp;height=120&amp;START_MAXIMIZED=FALSE&amp;creator=factset&amp;display_string=Audit"}</definedName>
    <definedName name="_425__FDSAUDITLINK__" hidden="1">{"fdsup://Directions/FactSet Auditing Viewer?action=AUDIT_VALUE&amp;DB=129&amp;ID1=088470&amp;VALUEID=01151&amp;SDATE=2010&amp;PERIODTYPE=ANN_STD&amp;SCFT=3&amp;window=popup_no_bar&amp;width=385&amp;height=120&amp;START_MAXIMIZED=FALSE&amp;creator=factset&amp;display_string=Audit"}</definedName>
    <definedName name="_426__FDSAUDITLINK__" hidden="1">{"fdsup://Directions/FactSet Auditing Viewer?action=AUDIT_VALUE&amp;DB=129&amp;ID1=575602&amp;VALUEID=01001&amp;SDATE=2007&amp;PERIODTYPE=ANN_STD&amp;window=popup_no_bar&amp;width=385&amp;height=120&amp;START_MAXIMIZED=FALSE&amp;creator=factset&amp;display_string=Audit"}</definedName>
    <definedName name="_427__FDSAUDITLINK__" hidden="1">{"fdsup://Directions/FactSet Auditing Viewer?action=AUDIT_VALUE&amp;DB=129&amp;ID1=088470&amp;VALUEID=18140&amp;SDATE=2010&amp;PERIODTYPE=ANN_STD&amp;SCFT=3&amp;window=popup_no_bar&amp;width=385&amp;height=120&amp;START_MAXIMIZED=FALSE&amp;creator=factset&amp;display_string=Audit"}</definedName>
    <definedName name="_428__FDSAUDITLINK__" hidden="1">{"fdsup://Directions/FactSet Auditing Viewer?action=AUDIT_VALUE&amp;DB=129&amp;ID1=088470&amp;VALUEID=18140&amp;SDATE=2009&amp;PERIODTYPE=ANN_STD&amp;SCFT=3&amp;window=popup_no_bar&amp;width=385&amp;height=120&amp;START_MAXIMIZED=FALSE&amp;creator=factset&amp;display_string=Audit"}</definedName>
    <definedName name="_429__FDSAUDITLINK__" hidden="1">{"fdsup://Directions/FactSet Auditing Viewer?action=AUDIT_VALUE&amp;DB=129&amp;ID1=088470&amp;VALUEID=01001&amp;SDATE=2010&amp;PERIODTYPE=ANN_STD&amp;SCFT=3&amp;window=popup_no_bar&amp;width=385&amp;height=120&amp;START_MAXIMIZED=FALSE&amp;creator=factset&amp;display_string=Audit"}</definedName>
    <definedName name="_42wrn.²Ä1­Ó¤ë1_Ü20¤H." hidden="1">{#N/A,#N/A,FALSE,"²Ä1­Ó¤ë"}</definedName>
    <definedName name="_43__123Graph_ACHART_2" hidden="1">#REF!</definedName>
    <definedName name="_43__123Graph_Aｸﾞﾗﾌ_2" hidden="1">#REF!</definedName>
    <definedName name="_43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430__FDSAUDITLINK__" hidden="1">{"fdsup://Directions/FactSet Auditing Viewer?action=AUDIT_VALUE&amp;DB=129&amp;ID1=088470&amp;VALUEID=01001&amp;SDATE=2009&amp;PERIODTYPE=ANN_STD&amp;SCFT=3&amp;window=popup_no_bar&amp;width=385&amp;height=120&amp;START_MAXIMIZED=FALSE&amp;creator=factset&amp;display_string=Audit"}</definedName>
    <definedName name="_431__FDSAUDITLINK__" hidden="1">{"fdsup://Directions/FactSet Auditing Viewer?action=AUDIT_VALUE&amp;DB=129&amp;ID1=088470&amp;VALUEID=02501&amp;SDATE=2011&amp;PERIODTYPE=ANN_STD&amp;SCFT=3&amp;window=popup_no_bar&amp;width=385&amp;height=120&amp;START_MAXIMIZED=FALSE&amp;creator=factset&amp;display_string=Audit"}</definedName>
    <definedName name="_432__FDSAUDITLINK__" hidden="1">{"fdsup://Directions/FactSet Auditing Viewer?action=AUDIT_VALUE&amp;DB=129&amp;ID1=93114210&amp;VALUEID=01401&amp;SDATE=2011&amp;PERIODTYPE=ANN_STD&amp;SCFT=3&amp;window=popup_no_bar&amp;width=385&amp;height=120&amp;START_MAXIMIZED=FALSE&amp;creator=factset&amp;display_string=Audit"}</definedName>
    <definedName name="_433__FDSAUDITLINK__" hidden="1">{"fdsup://Directions/FactSet Auditing Viewer?action=AUDIT_VALUE&amp;DB=129&amp;ID1=93114210&amp;VALUEID=01401&amp;SDATE=2010&amp;PERIODTYPE=ANN_STD&amp;SCFT=3&amp;window=popup_no_bar&amp;width=385&amp;height=120&amp;START_MAXIMIZED=FALSE&amp;creator=factset&amp;display_string=Audit"}</definedName>
    <definedName name="_434__FDSAUDITLINK__" hidden="1">{"fdsup://directions/FAT Viewer?action=UPDATE&amp;creator=factset&amp;DYN_ARGS=TRUE&amp;DOC_NAME=FAT:FQL_AUDITING_CLIENT_TEMPLATE.FAT&amp;display_string=Audit&amp;VAR:KEY=JOLQXYJAPA&amp;VAR:QUERY=RkZfRVBTX0RJTChBTk4sMCwsLFJGKQ==&amp;WINDOW=FIRST_POPUP&amp;HEIGHT=450&amp;WIDTH=450&amp;START_MAXIMI","ZED=FALSE&amp;VAR:CALENDAR=FIVEDAY&amp;VAR:SYMBOL=93114210&amp;VAR:INDEX=0"}</definedName>
    <definedName name="_435__FDSAUDITLINK__" hidden="1">{"fdsup://directions/FAT Viewer?action=UPDATE&amp;creator=factset&amp;DYN_ARGS=TRUE&amp;DOC_NAME=FAT:FQL_AUDITING_CLIENT_TEMPLATE.FAT&amp;display_string=Audit&amp;VAR:KEY=NYXMRQTMBE&amp;VAR:QUERY=RkZfRVBTX0RJTChBTk4sLTEsLCxSRik=&amp;WINDOW=FIRST_POPUP&amp;HEIGHT=450&amp;WIDTH=450&amp;START_MAXIMI","ZED=FALSE&amp;VAR:CALENDAR=FIVEDAY&amp;VAR:SYMBOL=93114210&amp;VAR:INDEX=0"}</definedName>
    <definedName name="_436__FDSAUDITLINK__" hidden="1">{"fdsup://directions/FAT Viewer?action=UPDATE&amp;creator=factset&amp;DYN_ARGS=TRUE&amp;DOC_NAME=FAT:FQL_AUDITING_CLIENT_TEMPLATE.FAT&amp;display_string=Audit&amp;VAR:KEY=ZAVWJGDARM&amp;VAR:QUERY=RkZfRUJJVF9PUEVSKEFOTiwwLCwsUkYp&amp;WINDOW=FIRST_POPUP&amp;HEIGHT=450&amp;WIDTH=450&amp;START_MAXIMI","ZED=FALSE&amp;VAR:CALENDAR=FIVEDAY&amp;VAR:SYMBOL=93114210&amp;VAR:INDEX=0"}</definedName>
    <definedName name="_437__FDSAUDITLINK__" hidden="1">{"fdsup://directions/FAT Viewer?action=UPDATE&amp;creator=factset&amp;DYN_ARGS=TRUE&amp;DOC_NAME=FAT:FQL_AUDITING_CLIENT_TEMPLATE.FAT&amp;display_string=Audit&amp;VAR:KEY=DUBOVCJMRM&amp;VAR:QUERY=RkZfRUJJVF9PUEVSKEFOTiwtMSwsLFJGKQ==&amp;WINDOW=FIRST_POPUP&amp;HEIGHT=450&amp;WIDTH=450&amp;START_MA","XIMIZED=FALSE&amp;VAR:CALENDAR=FIVEDAY&amp;VAR:SYMBOL=93114210&amp;VAR:INDEX=0"}</definedName>
    <definedName name="_438__FDSAUDITLINK__" hidden="1">{"fdsup://Directions/FactSet Auditing Viewer?action=AUDIT_VALUE&amp;DB=129&amp;ID1=93114210&amp;VALUEID=01151&amp;SDATE=2011&amp;PERIODTYPE=ANN_STD&amp;SCFT=3&amp;window=popup_no_bar&amp;width=385&amp;height=120&amp;START_MAXIMIZED=FALSE&amp;creator=factset&amp;display_string=Audit"}</definedName>
    <definedName name="_439__FDSAUDITLINK__" hidden="1">{"fdsup://Directions/FactSet Auditing Viewer?action=AUDIT_VALUE&amp;DB=129&amp;ID1=93114210&amp;VALUEID=01151&amp;SDATE=2010&amp;PERIODTYPE=ANN_STD&amp;SCFT=3&amp;window=popup_no_bar&amp;width=385&amp;height=120&amp;START_MAXIMIZED=FALSE&amp;creator=factset&amp;display_string=Audit"}</definedName>
    <definedName name="_44__123Graph_ACHART_3" hidden="1">#REF!</definedName>
    <definedName name="_44__123Graph_Bｸﾞﾗﾌ_1" hidden="1">#REF!</definedName>
    <definedName name="_44__123Graph_LBL_AC04C_FF_L" hidden="1">#REF!</definedName>
    <definedName name="_44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440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441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442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443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444__FDSAUDITLINK__" hidden="1">{"fdsup://Directions/FactSet Auditing Viewer?action=AUDIT_VALUE&amp;DB=129&amp;ID1=93114210&amp;VALUEID=01001&amp;SDATE=2011&amp;PERIODTYPE=ANN_STD&amp;SCFT=3&amp;window=popup_no_bar&amp;width=385&amp;height=120&amp;START_MAXIMIZED=FALSE&amp;creator=factset&amp;display_string=Audit"}</definedName>
    <definedName name="_445__FDSAUDITLINK__" hidden="1">{"fdsup://Directions/FactSet Auditing Viewer?action=AUDIT_VALUE&amp;DB=129&amp;ID1=93114210&amp;VALUEID=01001&amp;SDATE=2010&amp;PERIODTYPE=ANN_STD&amp;SCFT=3&amp;window=popup_no_bar&amp;width=385&amp;height=120&amp;START_MAXIMIZED=FALSE&amp;creator=factset&amp;display_string=Audit"}</definedName>
    <definedName name="_446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447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448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449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45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450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451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452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453__FDSAUDITLINK__" hidden="1">{"fdsup://Directions/FactSet Auditing Viewer?action=AUDIT_VALUE&amp;DB=129&amp;ID1=564156&amp;VALUEID=01401&amp;SDATE=2010&amp;PERIODTYPE=ANN_STD&amp;SCFT=3&amp;window=popup_no_bar&amp;width=385&amp;height=120&amp;START_MAXIMIZED=FALSE&amp;creator=factset&amp;display_string=Audit"}</definedName>
    <definedName name="_454__FDSAUDITLINK__" hidden="1">{"fdsup://directions/FAT Viewer?action=UPDATE&amp;creator=factset&amp;DYN_ARGS=TRUE&amp;DOC_NAME=FAT:FQL_AUDITING_CLIENT_TEMPLATE.FAT&amp;display_string=Audit&amp;VAR:KEY=FMVQLGFCXC&amp;VAR:QUERY=RkZfRVBTX0RJTChBTk4sMCwsLFJGKQ==&amp;WINDOW=FIRST_POPUP&amp;HEIGHT=450&amp;WIDTH=450&amp;START_MAXIMI","ZED=FALSE&amp;VAR:CALENDAR=FIVEDAY&amp;VAR:SYMBOL=564156&amp;VAR:INDEX=0"}</definedName>
    <definedName name="_455__FDSAUDITLINK__" hidden="1">{"fdsup://directions/FAT Viewer?action=UPDATE&amp;creator=factset&amp;DYN_ARGS=TRUE&amp;DOC_NAME=FAT:FQL_AUDITING_CLIENT_TEMPLATE.FAT&amp;display_string=Audit&amp;VAR:KEY=HGJYPGBMRS&amp;VAR:QUERY=RkZfRVBTX0RJTChBTk4sLTEsLCxSRik=&amp;WINDOW=FIRST_POPUP&amp;HEIGHT=450&amp;WIDTH=450&amp;START_MAXIMI","ZED=FALSE&amp;VAR:CALENDAR=FIVEDAY&amp;VAR:SYMBOL=564156&amp;VAR:INDEX=0"}</definedName>
    <definedName name="_456__FDSAUDITLINK__" hidden="1">{"fdsup://directions/FAT Viewer?action=UPDATE&amp;creator=factset&amp;DYN_ARGS=TRUE&amp;DOC_NAME=FAT:FQL_AUDITING_CLIENT_TEMPLATE.FAT&amp;display_string=Audit&amp;VAR:KEY=BGJEJEFGFC&amp;VAR:QUERY=RkZfRUJJVF9PUEVSKEFOTiwwLCwsUkYp&amp;WINDOW=FIRST_POPUP&amp;HEIGHT=450&amp;WIDTH=450&amp;START_MAXIMI","ZED=FALSE&amp;VAR:CALENDAR=FIVEDAY&amp;VAR:SYMBOL=564156&amp;VAR:INDEX=0"}</definedName>
    <definedName name="_457__FDSAUDITLINK__" hidden="1">{"fdsup://directions/FAT Viewer?action=UPDATE&amp;creator=factset&amp;DYN_ARGS=TRUE&amp;DOC_NAME=FAT:FQL_AUDITING_CLIENT_TEMPLATE.FAT&amp;display_string=Audit&amp;VAR:KEY=PIHULWDABO&amp;VAR:QUERY=RkZfRUJJVF9PUEVSKEFOTiwtMSwsLFJGKQ==&amp;WINDOW=FIRST_POPUP&amp;HEIGHT=450&amp;WIDTH=450&amp;START_MA","XIMIZED=FALSE&amp;VAR:CALENDAR=FIVEDAY&amp;VAR:SYMBOL=564156&amp;VAR:INDEX=0"}</definedName>
    <definedName name="_458__FDSAUDITLINK__" hidden="1">{"fdsup://Directions/FactSet Auditing Viewer?action=AUDIT_VALUE&amp;DB=129&amp;ID1=564156&amp;VALUEID=01151&amp;SDATE=2011&amp;PERIODTYPE=ANN_STD&amp;SCFT=3&amp;window=popup_no_bar&amp;width=385&amp;height=120&amp;START_MAXIMIZED=FALSE&amp;creator=factset&amp;display_string=Audit"}</definedName>
    <definedName name="_459__FDSAUDITLINK__" hidden="1">{"fdsup://Directions/FactSet Auditing Viewer?action=AUDIT_VALUE&amp;DB=129&amp;ID1=564156&amp;VALUEID=01151&amp;SDATE=2010&amp;PERIODTYPE=ANN_STD&amp;SCFT=3&amp;window=popup_no_bar&amp;width=385&amp;height=120&amp;START_MAXIMIZED=FALSE&amp;creator=factset&amp;display_string=Audit"}</definedName>
    <definedName name="_46__123Graph_Aｸﾞﾗﾌ_3" hidden="1">#REF!</definedName>
    <definedName name="_46__123Graph_BCHART_1" hidden="1">#REF!</definedName>
    <definedName name="_46__123Graph_BCHART_2" hidden="1">#REF!</definedName>
    <definedName name="_46__123Graph_Bｸﾞﾗﾌ_2" hidden="1">#REF!</definedName>
    <definedName name="_46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460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461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462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463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464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465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466__FDSAUDITLINK__" hidden="1">{"fdsup://Directions/FactSet Auditing Viewer?action=AUDIT_VALUE&amp;DB=129&amp;ID1=564156&amp;VALUEID=03040&amp;SDATE=2011&amp;PERIODTYPE=ANN_STD&amp;SCFT=3&amp;window=popup_no_bar&amp;width=385&amp;height=120&amp;START_MAXIMIZED=FALSE&amp;creator=factset&amp;display_string=Audit"}</definedName>
    <definedName name="_467__FDSAUDITLINK__" hidden="1">{"fdsup://Directions/FactSet Auditing Viewer?action=AUDIT_VALUE&amp;DB=129&amp;ID1=564156&amp;VALUEID=02051&amp;SDATE=2011&amp;PERIODTYPE=ANN_STD&amp;SCFT=3&amp;window=popup_no_bar&amp;width=385&amp;height=120&amp;START_MAXIMIZED=FALSE&amp;creator=factset&amp;display_string=Audit"}</definedName>
    <definedName name="_468__FDSAUDITLINK__" hidden="1">{"fdsup://Directions/FactSet Auditing Viewer?action=AUDIT_VALUE&amp;DB=129&amp;ID1=564156&amp;VALUEID=02101&amp;SDATE=2011&amp;PERIODTYPE=ANN_STD&amp;SCFT=3&amp;window=popup_no_bar&amp;width=385&amp;height=120&amp;START_MAXIMIZED=FALSE&amp;creator=factset&amp;display_string=Audit"}</definedName>
    <definedName name="_469__FDSAUDITLINK__" hidden="1">{"fdsup://Directions/FactSet Auditing Viewer?action=AUDIT_VALUE&amp;DB=129&amp;ID1=564156&amp;VALUEID=02501&amp;SDATE=2011&amp;PERIODTYPE=ANN_STD&amp;SCFT=3&amp;window=popup_no_bar&amp;width=385&amp;height=120&amp;START_MAXIMIZED=FALSE&amp;creator=factset&amp;display_string=Audit"}</definedName>
    <definedName name="_47__123Graph_BCHART_2" hidden="1">#REF!</definedName>
    <definedName name="_47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47_0ACwvu.Pag" hidden="1">#N/A</definedName>
    <definedName name="_470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471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472__FDSAUDITLINK__" hidden="1">{"fdsup://Directions/FactSet Auditing Viewer?action=AUDIT_VALUE&amp;DB=129&amp;ID1=088470&amp;VALUEID=01401&amp;SDATE=2010&amp;PERIODTYPE=ANN_STD&amp;SCFT=3&amp;window=popup_no_bar&amp;width=385&amp;height=120&amp;START_MAXIMIZED=FALSE&amp;creator=factset&amp;display_string=Audit"}</definedName>
    <definedName name="_473__FDSAUDITLINK__" hidden="1">{"fdsup://Directions/FactSet Auditing Viewer?action=AUDIT_VALUE&amp;DB=129&amp;ID1=088470&amp;VALUEID=01401&amp;SDATE=2009&amp;PERIODTYPE=ANN_STD&amp;SCFT=3&amp;window=popup_no_bar&amp;width=385&amp;height=120&amp;START_MAXIMIZED=FALSE&amp;creator=factset&amp;display_string=Audit"}</definedName>
    <definedName name="_474__FDSAUDITLINK__" hidden="1">{"fdsup://directions/FAT Viewer?action=UPDATE&amp;creator=factset&amp;DYN_ARGS=TRUE&amp;DOC_NAME=FAT:FQL_AUDITING_CLIENT_TEMPLATE.FAT&amp;display_string=Audit&amp;VAR:KEY=IJGVQLETSP&amp;VAR:QUERY=RkZfRVBTX0RJTChBTk4sMCwsLFJGKQ==&amp;WINDOW=FIRST_POPUP&amp;HEIGHT=450&amp;WIDTH=450&amp;START_MAXIMI","ZED=FALSE&amp;VAR:CALENDAR=FIVEDAY&amp;VAR:SYMBOL=088470&amp;VAR:INDEX=0"}</definedName>
    <definedName name="_475__FDSAUDITLINK__" hidden="1">{"fdsup://directions/FAT Viewer?action=UPDATE&amp;creator=factset&amp;DYN_ARGS=TRUE&amp;DOC_NAME=FAT:FQL_AUDITING_CLIENT_TEMPLATE.FAT&amp;display_string=Audit&amp;VAR:KEY=ERGLUDAZMX&amp;VAR:QUERY=RkZfRVBTX0RJTChBTk4sLTEsLCxSRik=&amp;WINDOW=FIRST_POPUP&amp;HEIGHT=450&amp;WIDTH=450&amp;START_MAXIMI","ZED=FALSE&amp;VAR:CALENDAR=FIVEDAY&amp;VAR:SYMBOL=088470&amp;VAR:INDEX=0"}</definedName>
    <definedName name="_476__FDSAUDITLINK__" hidden="1">{"fdsup://directions/FAT Viewer?action=UPDATE&amp;creator=factset&amp;DYN_ARGS=TRUE&amp;DOC_NAME=FAT:FQL_AUDITING_CLIENT_TEMPLATE.FAT&amp;display_string=Audit&amp;VAR:KEY=YBOXMJGVYD&amp;VAR:QUERY=RkZfRUJJVF9PUEVSKEFOTiwwLCwsUkYp&amp;WINDOW=FIRST_POPUP&amp;HEIGHT=450&amp;WIDTH=450&amp;START_MAXIMI","ZED=FALSE&amp;VAR:CALENDAR=FIVEDAY&amp;VAR:SYMBOL=088470&amp;VAR:INDEX=0"}</definedName>
    <definedName name="_477__FDSAUDITLINK__" hidden="1">{"fdsup://directions/FAT Viewer?action=UPDATE&amp;creator=factset&amp;DYN_ARGS=TRUE&amp;DOC_NAME=FAT:FQL_AUDITING_CLIENT_TEMPLATE.FAT&amp;display_string=Audit&amp;VAR:KEY=AXIFARGXCJ&amp;VAR:QUERY=RkZfRUJJVF9PUEVSKEFOTiwtMSwsLFJGKQ==&amp;WINDOW=FIRST_POPUP&amp;HEIGHT=450&amp;WIDTH=450&amp;START_MA","XIMIZED=FALSE&amp;VAR:CALENDAR=FIVEDAY&amp;VAR:SYMBOL=088470&amp;VAR:INDEX=0"}</definedName>
    <definedName name="_478__FDSAUDITLINK__" hidden="1">{"fdsup://Directions/FactSet Auditing Viewer?action=AUDIT_VALUE&amp;DB=129&amp;ID1=088470&amp;VALUEID=01151&amp;SDATE=2011&amp;PERIODTYPE=ANN_STD&amp;SCFT=3&amp;window=popup_no_bar&amp;width=385&amp;height=120&amp;START_MAXIMIZED=FALSE&amp;creator=factset&amp;display_string=Audit"}</definedName>
    <definedName name="_479__FDSAUDITLINK__" hidden="1">{"fdsup://Directions/FactSet Auditing Viewer?action=AUDIT_VALUE&amp;DB=129&amp;ID1=088470&amp;VALUEID=01151&amp;SDATE=2010&amp;PERIODTYPE=ANN_STD&amp;SCFT=3&amp;window=popup_no_bar&amp;width=385&amp;height=120&amp;START_MAXIMIZED=FALSE&amp;creator=factset&amp;display_string=Audit"}</definedName>
    <definedName name="_48__123Graph_BCHART_3" hidden="1">#REF!</definedName>
    <definedName name="_48__123Graph_LBL_AC04C_FF_T" hidden="1">#REF!</definedName>
    <definedName name="_48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48_0Swvu.Pag" hidden="1">#N/A</definedName>
    <definedName name="_480__FDSAUDITLINK__" hidden="1">{"fdsup://Directions/FactSet Auditing Viewer?action=AUDIT_VALUE&amp;DB=129&amp;ID1=088470&amp;VALUEID=04049&amp;SDATE=2010&amp;PERIODTYPE=ANN_STD&amp;SCFT=3&amp;window=popup_no_bar&amp;width=385&amp;height=120&amp;START_MAXIMIZED=FALSE&amp;creator=factset&amp;display_string=Audit"}</definedName>
    <definedName name="_481__FDSAUDITLINK__" hidden="1">{"fdsup://Directions/FactSet Auditing Viewer?action=AUDIT_VALUE&amp;DB=129&amp;ID1=088470&amp;VALUEID=18140&amp;SDATE=2010&amp;PERIODTYPE=ANN_STD&amp;SCFT=3&amp;window=popup_no_bar&amp;width=385&amp;height=120&amp;START_MAXIMIZED=FALSE&amp;creator=factset&amp;display_string=Audit"}</definedName>
    <definedName name="_482__FDSAUDITLINK__" hidden="1">{"fdsup://Directions/FactSet Auditing Viewer?action=AUDIT_VALUE&amp;DB=129&amp;ID1=088470&amp;VALUEID=18140&amp;SDATE=2009&amp;PERIODTYPE=ANN_STD&amp;SCFT=3&amp;window=popup_no_bar&amp;width=385&amp;height=120&amp;START_MAXIMIZED=FALSE&amp;creator=factset&amp;display_string=Audit"}</definedName>
    <definedName name="_483__FDSAUDITLINK__" hidden="1">{"fdsup://Directions/FactSet Auditing Viewer?action=AUDIT_VALUE&amp;DB=129&amp;ID1=088470&amp;VALUEID=01001&amp;SDATE=2010&amp;PERIODTYPE=ANN_STD&amp;SCFT=3&amp;window=popup_no_bar&amp;width=385&amp;height=120&amp;START_MAXIMIZED=FALSE&amp;creator=factset&amp;display_string=Audit"}</definedName>
    <definedName name="_484__FDSAUDITLINK__" hidden="1">{"fdsup://Directions/FactSet Auditing Viewer?action=AUDIT_VALUE&amp;DB=129&amp;ID1=088470&amp;VALUEID=01001&amp;SDATE=2009&amp;PERIODTYPE=ANN_STD&amp;SCFT=3&amp;window=popup_no_bar&amp;width=385&amp;height=120&amp;START_MAXIMIZED=FALSE&amp;creator=factset&amp;display_string=Audit"}</definedName>
    <definedName name="_485__FDSAUDITLINK__" hidden="1">{"fdsup://directions/FAT Viewer?action=UPDATE&amp;creator=factset&amp;DYN_ARGS=TRUE&amp;DOC_NAME=FAT:FQL_AUDITING_CLIENT_TEMPLATE.FAT&amp;display_string=Audit&amp;VAR:KEY=QTMBGLWHEP&amp;VAR:QUERY=MzE5NzIuMTYyMTA5L0ZGX0VCSVQoQ0FMLDIwMDksLCwsRVVSKQ==&amp;WINDOW=FIRST_POPUP&amp;HEIGHT=450&amp;WI","DTH=450&amp;START_MAXIMIZED=FALSE&amp;VAR:CALENDAR=FIVEDAY&amp;VAR:SYMBOL=471279&amp;VAR:INDEX=0"}</definedName>
    <definedName name="_486__FDSAUDITLINK__" hidden="1">{"fdsup://directions/FAT Viewer?action=UPDATE&amp;creator=factset&amp;DYN_ARGS=TRUE&amp;DOC_NAME=FAT:FQL_AUDITING_CLIENT_TEMPLATE.FAT&amp;display_string=Audit&amp;VAR:KEY=YHWBUVONAH&amp;VAR:QUERY=ODY0NzcuNzU3ODEyL0ZGX0VCSVQoQ0FMLDIwMDksLCwsRVVSKQ==&amp;WINDOW=FIRST_POPUP&amp;HEIGHT=450&amp;WI","DTH=450&amp;START_MAXIMIZED=FALSE&amp;VAR:CALENDAR=FIVEDAY&amp;VAR:SYMBOL=549710&amp;VAR:INDEX=0"}</definedName>
    <definedName name="_487__FDSAUDITLINK__" hidden="1">{"fdsup://Directions/FactSet Auditing Viewer?action=AUDIT_VALUE&amp;DB=129&amp;ID1=93114210&amp;VALUEID=01401&amp;SDATE=2010&amp;PERIODTYPE=ANN_STD&amp;SCFT=3&amp;window=popup_no_bar&amp;width=385&amp;height=120&amp;START_MAXIMIZED=FALSE&amp;creator=factset&amp;display_string=Audit"}</definedName>
    <definedName name="_488__FDSAUDITLINK__" hidden="1">{"fdsup://directions/FAT Viewer?action=UPDATE&amp;creator=factset&amp;DYN_ARGS=TRUE&amp;DOC_NAME=FAT:FQL_AUDITING_CLIENT_TEMPLATE.FAT&amp;display_string=Audit&amp;VAR:KEY=QVGBKHSJWH&amp;VAR:QUERY=RkZfRVBTX0RJTChBTk4sMCwsLFJGKQ==&amp;WINDOW=FIRST_POPUP&amp;HEIGHT=450&amp;WIDTH=450&amp;START_MAXIMI","ZED=FALSE&amp;VAR:CALENDAR=FIVEDAY&amp;VAR:SYMBOL=93114210&amp;VAR:INDEX=0"}</definedName>
    <definedName name="_489__FDSAUDITLINK__" hidden="1">{"fdsup://directions/FAT Viewer?action=UPDATE&amp;creator=factset&amp;DYN_ARGS=TRUE&amp;DOC_NAME=FAT:FQL_AUDITING_CLIENT_TEMPLATE.FAT&amp;display_string=Audit&amp;VAR:KEY=MXGNOVUNUT&amp;VAR:QUERY=RkZfRVBTX0RJTChBTk4sLTEsLCxSRik=&amp;WINDOW=FIRST_POPUP&amp;HEIGHT=450&amp;WIDTH=450&amp;START_MAXIMI","ZED=FALSE&amp;VAR:CALENDAR=FIVEDAY&amp;VAR:SYMBOL=93114210&amp;VAR:INDEX=0"}</definedName>
    <definedName name="_49__123Graph_A_Chart_1A" hidden="1">#N/A</definedName>
    <definedName name="_49__123Graph_BCHART_4" hidden="1">#REF!</definedName>
    <definedName name="_49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490__FDSAUDITLINK__" hidden="1">{"fdsup://directions/FAT Viewer?action=UPDATE&amp;creator=factset&amp;DYN_ARGS=TRUE&amp;DOC_NAME=FAT:FQL_AUDITING_CLIENT_TEMPLATE.FAT&amp;display_string=Audit&amp;VAR:KEY=QHOBULIZOX&amp;VAR:QUERY=RkZfRUJJVF9PUEVSKEFOTiwwLCwsUkYp&amp;WINDOW=FIRST_POPUP&amp;HEIGHT=450&amp;WIDTH=450&amp;START_MAXIMI","ZED=FALSE&amp;VAR:CALENDAR=FIVEDAY&amp;VAR:SYMBOL=93114210&amp;VAR:INDEX=0"}</definedName>
    <definedName name="_491__FDSAUDITLINK__" hidden="1">{"fdsup://directions/FAT Viewer?action=UPDATE&amp;creator=factset&amp;DYN_ARGS=TRUE&amp;DOC_NAME=FAT:FQL_AUDITING_CLIENT_TEMPLATE.FAT&amp;display_string=Audit&amp;VAR:KEY=UVYJCBGJQZ&amp;VAR:QUERY=MjcxNDguNDY2Nzk3L0ZGX0VCSVREQShDQUwsMjAwOSwsLCxFVVIp&amp;WINDOW=FIRST_POPUP&amp;HEIGHT=450&amp;WI","DTH=450&amp;START_MAXIMIZED=FALSE&amp;VAR:CALENDAR=FIVEDAY&amp;VAR:SYMBOL=710352&amp;VAR:INDEX=0"}</definedName>
    <definedName name="_492__FDSAUDITLINK__" hidden="1">{"fdsup://directions/FAT Viewer?action=UPDATE&amp;creator=factset&amp;DYN_ARGS=TRUE&amp;DOC_NAME=FAT:FQL_AUDITING_CLIENT_TEMPLATE.FAT&amp;display_string=Audit&amp;VAR:KEY=GVUZWFGLQL&amp;VAR:QUERY=MzE5NzIuMTYyMTA5L0ZGX0VCSVREQShDQUwsMjAwOSwsLCxFVVIp&amp;WINDOW=FIRST_POPUP&amp;HEIGHT=450&amp;WI","DTH=450&amp;START_MAXIMIZED=FALSE&amp;VAR:CALENDAR=FIVEDAY&amp;VAR:SYMBOL=471279&amp;VAR:INDEX=0"}</definedName>
    <definedName name="_493__FDSAUDITLINK__" hidden="1">{"fdsup://directions/FAT Viewer?action=UPDATE&amp;creator=factset&amp;DYN_ARGS=TRUE&amp;DOC_NAME=FAT:FQL_AUDITING_CLIENT_TEMPLATE.FAT&amp;display_string=Audit&amp;VAR:KEY=YROXULQPAD&amp;VAR:QUERY=ODY0NzcuNzU3ODEyL0ZGX0VCSVREQShDQUwsMjAwOSwsLCxFVVIp&amp;WINDOW=FIRST_POPUP&amp;HEIGHT=450&amp;WI","DTH=450&amp;START_MAXIMIZED=FALSE&amp;VAR:CALENDAR=FIVEDAY&amp;VAR:SYMBOL=549710&amp;VAR:INDEX=0"}</definedName>
    <definedName name="_494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495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496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497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498__FDSAUDITLINK__" hidden="1">{"fdsup://Directions/FactSet Auditing Viewer?action=AUDIT_VALUE&amp;DB=129&amp;ID1=93114210&amp;VALUEID=01001&amp;SDATE=2011&amp;PERIODTYPE=ANN_STD&amp;SCFT=3&amp;window=popup_no_bar&amp;width=385&amp;height=120&amp;START_MAXIMIZED=FALSE&amp;creator=factset&amp;display_string=Audit"}</definedName>
    <definedName name="_499__FDSAUDITLINK__" hidden="1">{"fdsup://Directions/FactSet Auditing Viewer?action=AUDIT_VALUE&amp;DB=129&amp;ID1=93114210&amp;VALUEID=01001&amp;SDATE=2010&amp;PERIODTYPE=ANN_STD&amp;SCFT=3&amp;window=popup_no_bar&amp;width=385&amp;height=120&amp;START_MAXIMIZED=FALSE&amp;creator=factset&amp;display_string=Audit"}</definedName>
    <definedName name="_4ALA642C761" hidden="1">#N/A</definedName>
    <definedName name="_5__123Graph_ACAPITAL_BY_OEM" hidden="1">#REF!</definedName>
    <definedName name="_5__123Graph_ACHART_3" hidden="1">#REF!</definedName>
    <definedName name="_5__123Graph_BCHART_1" hidden="1">#REF!</definedName>
    <definedName name="_5__123Graph_BCHART_2" hidden="1">#REF!</definedName>
    <definedName name="_5__123Graph_BChart_2A" hidden="1">#REF!</definedName>
    <definedName name="_5__123Graph_CCHART_2" hidden="1">#REF!</definedName>
    <definedName name="_5__FDSAUDITLINK__" hidden="1">{"fdsup://directions/FAT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50__123Graph_AChart_1" hidden="1">#N/A</definedName>
    <definedName name="_50__123Graph_Aｸﾞﾗﾌ_4" hidden="1">#REF!</definedName>
    <definedName name="_50__123Graph_DCHART_1" hidden="1">#REF!</definedName>
    <definedName name="_50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500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501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502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503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504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505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506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507__FDSAUDITLINK__" hidden="1">{"fdsup://Directions/FactSet Auditing Viewer?action=AUDIT_VALUE&amp;DB=129&amp;ID1=564156&amp;VALUEID=01401&amp;SDATE=2010&amp;PERIODTYPE=ANN_STD&amp;SCFT=3&amp;window=popup_no_bar&amp;width=385&amp;height=120&amp;START_MAXIMIZED=FALSE&amp;creator=factset&amp;display_string=Audit"}</definedName>
    <definedName name="_508__FDSAUDITLINK__" hidden="1">{"fdsup://directions/FAT Viewer?action=UPDATE&amp;creator=factset&amp;DYN_ARGS=TRUE&amp;DOC_NAME=FAT:FQL_AUDITING_CLIENT_TEMPLATE.FAT&amp;display_string=Audit&amp;VAR:KEY=WXIXYLEPIN&amp;VAR:QUERY=NzkzLjE2NDY3My9GRl9FQklUKENBTCwyMDA5LCwsLEVVUik=&amp;WINDOW=FIRST_POPUP&amp;HEIGHT=450&amp;WIDTH=","450&amp;START_MAXIMIZED=FALSE&amp;VAR:CALENDAR=FIVEDAY&amp;VAR:SYMBOL=B0P9M7&amp;VAR:INDEX=0"}</definedName>
    <definedName name="_509__FDSAUDITLINK__" hidden="1">{"fdsup://directions/FAT Viewer?action=UPDATE&amp;creator=factset&amp;DYN_ARGS=TRUE&amp;DOC_NAME=FAT:FQL_AUDITING_CLIENT_TEMPLATE.FAT&amp;display_string=Audit&amp;VAR:KEY=SVWLURQXSH&amp;VAR:QUERY=NzkzLjE2NDY3My9GRl9FQklUREEoQ0FMLDIwMDksLCwsRVVSKQ==&amp;WINDOW=FIRST_POPUP&amp;HEIGHT=450&amp;WI","DTH=450&amp;START_MAXIMIZED=FALSE&amp;VAR:CALENDAR=FIVEDAY&amp;VAR:SYMBOL=B0P9M7&amp;VAR:INDEX=0"}</definedName>
    <definedName name="_51__123Graph_ACHART_19" hidden="1">#N/A</definedName>
    <definedName name="_51__123Graph_Aｸﾞﾗﾌ_5" hidden="1">#REF!</definedName>
    <definedName name="_51__123Graph_DCHART_2" hidden="1">#REF!</definedName>
    <definedName name="_51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510__FDSAUDITLINK__" hidden="1">{"fdsup://directions/FAT Viewer?action=UPDATE&amp;creator=factset&amp;DYN_ARGS=TRUE&amp;DOC_NAME=FAT:FQL_AUDITING_CLIENT_TEMPLATE.FAT&amp;display_string=Audit&amp;VAR:KEY=UXAPOXYPST&amp;VAR:QUERY=RkZfRUJJVF9PUEVSKEFOTiwwLCwsUkYp&amp;WINDOW=FIRST_POPUP&amp;HEIGHT=450&amp;WIDTH=450&amp;START_MAXIMI","ZED=FALSE&amp;VAR:CALENDAR=FIVEDAY&amp;VAR:SYMBOL=564156&amp;VAR:INDEX=0"}</definedName>
    <definedName name="_511__FDSAUDITLINK__" hidden="1">{"fdsup://directions/FAT Viewer?action=UPDATE&amp;creator=factset&amp;DYN_ARGS=TRUE&amp;DOC_NAME=FAT:FQL_AUDITING_CLIENT_TEMPLATE.FAT&amp;display_string=Audit&amp;VAR:KEY=EPQBSVAZAV&amp;VAR:QUERY=RkZfRUJJVF9PUEVSKEFOTiwtMSwsLFJGKQ==&amp;WINDOW=FIRST_POPUP&amp;HEIGHT=450&amp;WIDTH=450&amp;START_MA","XIMIZED=FALSE&amp;VAR:CALENDAR=FIVEDAY&amp;VAR:SYMBOL=564156&amp;VAR:INDEX=0"}</definedName>
    <definedName name="_512__FDSAUDITLINK__" hidden="1">{"fdsup://Directions/FactSet Auditing Viewer?action=AUDIT_VALUE&amp;DB=129&amp;ID1=564156&amp;VALUEID=01151&amp;SDATE=2011&amp;PERIODTYPE=ANN_STD&amp;SCFT=3&amp;window=popup_no_bar&amp;width=385&amp;height=120&amp;START_MAXIMIZED=FALSE&amp;creator=factset&amp;display_string=Audit"}</definedName>
    <definedName name="_513__FDSAUDITLINK__" hidden="1">{"fdsup://Directions/FactSet Auditing Viewer?action=AUDIT_VALUE&amp;DB=129&amp;ID1=564156&amp;VALUEID=01151&amp;SDATE=2010&amp;PERIODTYPE=ANN_STD&amp;SCFT=3&amp;window=popup_no_bar&amp;width=385&amp;height=120&amp;START_MAXIMIZED=FALSE&amp;creator=factset&amp;display_string=Audit"}</definedName>
    <definedName name="_514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515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516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517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518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519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52__123Graph_AChart_2" hidden="1">#N/A</definedName>
    <definedName name="_52__123Graph_Aｸﾞﾗﾌ_6" hidden="1">#REF!</definedName>
    <definedName name="_52__123Graph_LBL_AC04C_FR_L1" hidden="1">#REF!</definedName>
    <definedName name="_52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520__FDSAUDITLINK__" hidden="1">{"fdsup://Directions/FactSet Auditing Viewer?action=AUDIT_VALUE&amp;DB=129&amp;ID1=564156&amp;VALUEID=03040&amp;SDATE=2011&amp;PERIODTYPE=ANN_STD&amp;SCFT=3&amp;window=popup_no_bar&amp;width=385&amp;height=120&amp;START_MAXIMIZED=FALSE&amp;creator=factset&amp;display_string=Audit"}</definedName>
    <definedName name="_521__FDSAUDITLINK__" hidden="1">{"fdsup://Directions/FactSet Auditing Viewer?action=AUDIT_VALUE&amp;DB=129&amp;ID1=564156&amp;VALUEID=02051&amp;SDATE=2011&amp;PERIODTYPE=ANN_STD&amp;SCFT=3&amp;window=popup_no_bar&amp;width=385&amp;height=120&amp;START_MAXIMIZED=FALSE&amp;creator=factset&amp;display_string=Audit"}</definedName>
    <definedName name="_522__FDSAUDITLINK__" hidden="1">{"fdsup://Directions/FactSet Auditing Viewer?action=AUDIT_VALUE&amp;DB=129&amp;ID1=564156&amp;VALUEID=02101&amp;SDATE=2011&amp;PERIODTYPE=ANN_STD&amp;SCFT=3&amp;window=popup_no_bar&amp;width=385&amp;height=120&amp;START_MAXIMIZED=FALSE&amp;creator=factset&amp;display_string=Audit"}</definedName>
    <definedName name="_523__FDSAUDITLINK__" hidden="1">{"fdsup://Directions/FactSet Auditing Viewer?action=AUDIT_VALUE&amp;DB=129&amp;ID1=564156&amp;VALUEID=02501&amp;SDATE=2011&amp;PERIODTYPE=ANN_STD&amp;SCFT=3&amp;window=popup_no_bar&amp;width=385&amp;height=120&amp;START_MAXIMIZED=FALSE&amp;creator=factset&amp;display_string=Audit"}</definedName>
    <definedName name="_524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525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526__FDSAUDITLINK__" hidden="1">{"fdsup://Directions/FactSet Auditing Viewer?action=AUDIT_VALUE&amp;DB=129&amp;ID1=93114210&amp;VALUEID=01001&amp;SDATE=2010&amp;PERIODTYPE=ANN_STD&amp;SCFT=3&amp;window=popup_no_bar&amp;width=385&amp;height=120&amp;START_MAXIMIZED=FALSE&amp;creator=factset&amp;display_string=Audit"}</definedName>
    <definedName name="_527__FDSAUDITLINK__" hidden="1">{"fdsup://Directions/FactSet Auditing Viewer?action=AUDIT_VALUE&amp;DB=129&amp;ID1=088470&amp;VALUEID=02501&amp;SDATE=2011&amp;PERIODTYPE=ANN_STD&amp;SCFT=3&amp;window=popup_no_bar&amp;width=385&amp;height=120&amp;START_MAXIMIZED=FALSE&amp;creator=factset&amp;display_string=Audit"}</definedName>
    <definedName name="_528__FDSAUDITLINK__" hidden="1">{"fdsup://Directions/FactSet Auditing Viewer?action=AUDIT_VALUE&amp;DB=129&amp;ID1=088470&amp;VALUEID=18140&amp;SDATE=2009&amp;PERIODTYPE=ANN_STD&amp;SCFT=3&amp;window=popup_no_bar&amp;width=385&amp;height=120&amp;START_MAXIMIZED=FALSE&amp;creator=factset&amp;display_string=Audit"}</definedName>
    <definedName name="_529__FDSAUDITLINK__" hidden="1">{"fdsup://Directions/FactSet Auditing Viewer?action=AUDIT_VALUE&amp;DB=129&amp;ID1=088470&amp;VALUEID=01151&amp;SDATE=2011&amp;PERIODTYPE=ANN_STD&amp;SCFT=3&amp;window=popup_no_bar&amp;width=385&amp;height=120&amp;START_MAXIMIZED=FALSE&amp;creator=factset&amp;display_string=Audit"}</definedName>
    <definedName name="_53__123Graph_ACHART_20" hidden="1">#N/A</definedName>
    <definedName name="_53__123Graph_LBL_ACHART_1" hidden="1">#REF!</definedName>
    <definedName name="_53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530__FDSAUDITLINK__" hidden="1">{"fdsup://Directions/FactSet Auditing Viewer?action=AUDIT_VALUE&amp;DB=129&amp;ID1=088470&amp;VALUEID=01001&amp;SDATE=2009&amp;PERIODTYPE=ANN_STD&amp;SCFT=3&amp;window=popup_no_bar&amp;width=385&amp;height=120&amp;START_MAXIMIZED=FALSE&amp;creator=factset&amp;display_string=Audit"}</definedName>
    <definedName name="_531__FDSAUDITLINK__" hidden="1">{"fdsup://Directions/FactSet Auditing Viewer?action=AUDIT_VALUE&amp;DB=129&amp;ID1=088470&amp;VALUEID=18140&amp;SDATE=2010&amp;PERIODTYPE=ANN_STD&amp;SCFT=3&amp;window=popup_no_bar&amp;width=385&amp;height=120&amp;START_MAXIMIZED=FALSE&amp;creator=factset&amp;display_string=Audit"}</definedName>
    <definedName name="_532__FDSAUDITLINK__" hidden="1">{"fdsup://Directions/FactSet Auditing Viewer?action=AUDIT_VALUE&amp;DB=129&amp;ID1=088470&amp;VALUEID=04049&amp;SDATE=2010&amp;PERIODTYPE=ANN_STD&amp;SCFT=3&amp;window=popup_no_bar&amp;width=385&amp;height=120&amp;START_MAXIMIZED=FALSE&amp;creator=factset&amp;display_string=Audit"}</definedName>
    <definedName name="_533__FDSAUDITLINK__" hidden="1">{"fdsup://directions/FAT Viewer?action=UPDATE&amp;creator=factset&amp;DYN_ARGS=TRUE&amp;DOC_NAME=FAT:FQL_AUDITING_CLIENT_TEMPLATE.FAT&amp;display_string=Audit&amp;VAR:KEY=YBOXMJGVYD&amp;VAR:QUERY=RkZfRUJJVF9PUEVSKEFOTiwwLCwsUkYp&amp;WINDOW=FIRST_POPUP&amp;HEIGHT=450&amp;WIDTH=450&amp;START_MAXIMI","ZED=FALSE&amp;VAR:CALENDAR=FIVEDAY&amp;VAR:SYMBOL=088470&amp;VAR:INDEX=0"}</definedName>
    <definedName name="_534__FDSAUDITLINK__" hidden="1">{"fdsup://directions/FAT Viewer?action=UPDATE&amp;creator=factset&amp;DYN_ARGS=TRUE&amp;DOC_NAME=FAT:FQL_AUDITING_CLIENT_TEMPLATE.FAT&amp;display_string=Audit&amp;VAR:KEY=IJGVQLETSP&amp;VAR:QUERY=RkZfRVBTX0RJTChBTk4sMCwsLFJGKQ==&amp;WINDOW=FIRST_POPUP&amp;HEIGHT=450&amp;WIDTH=450&amp;START_MAXIMI","ZED=FALSE&amp;VAR:CALENDAR=FIVEDAY&amp;VAR:SYMBOL=088470&amp;VAR:INDEX=0"}</definedName>
    <definedName name="_535__FDSAUDITLINK__" hidden="1">{"fdsup://Directions/FactSet Auditing Viewer?action=AUDIT_VALUE&amp;DB=129&amp;ID1=088470&amp;VALUEID=01401&amp;SDATE=2010&amp;PERIODTYPE=ANN_STD&amp;SCFT=3&amp;window=popup_no_bar&amp;width=385&amp;height=120&amp;START_MAXIMIZED=FALSE&amp;creator=factset&amp;display_string=Audit"}</definedName>
    <definedName name="_536__FDSAUDITLINK__" hidden="1">{"fdsup://Directions/FactSet Auditing Viewer?action=AUDIT_VALUE&amp;DB=129&amp;ID1=088470&amp;VALUEID=01001&amp;SDATE=2010&amp;PERIODTYPE=ANN_STD&amp;SCFT=3&amp;window=popup_no_bar&amp;width=385&amp;height=120&amp;START_MAXIMIZED=FALSE&amp;creator=factset&amp;display_string=Audit"}</definedName>
    <definedName name="_537__FDSAUDITLINK__" hidden="1">{"fdsup://Directions/FactSet Auditing Viewer?action=AUDIT_VALUE&amp;DB=129&amp;ID1=088470&amp;VALUEID=01151&amp;SDATE=2010&amp;PERIODTYPE=ANN_STD&amp;SCFT=3&amp;window=popup_no_bar&amp;width=385&amp;height=120&amp;START_MAXIMIZED=FALSE&amp;creator=factset&amp;display_string=Audit"}</definedName>
    <definedName name="_538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539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54__123Graph_ACHART_22" hidden="1">#N/A</definedName>
    <definedName name="_54__123Graph_LBL_ACHART_2" hidden="1">#REF!</definedName>
    <definedName name="_54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540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541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542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543__FDSAUDITLINK__" hidden="1">{"fdsup://directions/FAT Viewer?action=UPDATE&amp;creator=factset&amp;DYN_ARGS=TRUE&amp;DOC_NAME=FAT:FQL_AUDITING_CLIENT_TEMPLATE.FAT&amp;display_string=Audit&amp;VAR:KEY=MBKRYDOVWZ&amp;VAR:QUERY=RkZfRUJJVF9PUEVSKEFOTiwtMSwsLFJGKQ==&amp;WINDOW=FIRST_POPUP&amp;HEIGHT=450&amp;WIDTH=450&amp;START_MA","XIMIZED=FALSE&amp;VAR:CALENDAR=FIVEDAY&amp;VAR:SYMBOL=93114210&amp;VAR:INDEX=0"}</definedName>
    <definedName name="_544__FDSAUDITLINK__" hidden="1">{"fdsup://directions/FAT Viewer?action=UPDATE&amp;creator=factset&amp;DYN_ARGS=TRUE&amp;DOC_NAME=FAT:FQL_AUDITING_CLIENT_TEMPLATE.FAT&amp;display_string=Audit&amp;VAR:KEY=AXIFARGXCJ&amp;VAR:QUERY=RkZfRUJJVF9PUEVSKEFOTiwtMSwsLFJGKQ==&amp;WINDOW=FIRST_POPUP&amp;HEIGHT=450&amp;WIDTH=450&amp;START_MA","XIMIZED=FALSE&amp;VAR:CALENDAR=FIVEDAY&amp;VAR:SYMBOL=088470&amp;VAR:INDEX=0"}</definedName>
    <definedName name="_545__FDSAUDITLINK__" hidden="1">{"fdsup://directions/FAT Viewer?action=UPDATE&amp;creator=factset&amp;DYN_ARGS=TRUE&amp;DOC_NAME=FAT:FQL_AUDITING_CLIENT_TEMPLATE.FAT&amp;display_string=Audit&amp;VAR:KEY=ERGLUDAZMX&amp;VAR:QUERY=RkZfRVBTX0RJTChBTk4sLTEsLCxSRik=&amp;WINDOW=FIRST_POPUP&amp;HEIGHT=450&amp;WIDTH=450&amp;START_MAXIMI","ZED=FALSE&amp;VAR:CALENDAR=FIVEDAY&amp;VAR:SYMBOL=088470&amp;VAR:INDEX=0"}</definedName>
    <definedName name="_546__FDSAUDITLINK__" hidden="1">{"fdsup://Directions/FactSet Auditing Viewer?action=AUDIT_VALUE&amp;DB=129&amp;ID1=088470&amp;VALUEID=01401&amp;SDATE=2009&amp;PERIODTYPE=ANN_STD&amp;SCFT=3&amp;window=popup_no_bar&amp;width=385&amp;height=120&amp;START_MAXIMIZED=FALSE&amp;creator=factset&amp;display_string=Audit"}</definedName>
    <definedName name="_547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548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549__FDSAUDITLINK__" hidden="1">{"fdsup://Directions/FactSet Auditing Viewer?action=AUDIT_VALUE&amp;DB=129&amp;ID1=93114210&amp;VALUEID=01001&amp;SDATE=2011&amp;PERIODTYPE=ANN_STD&amp;SCFT=3&amp;window=popup_no_bar&amp;width=385&amp;height=120&amp;START_MAXIMIZED=FALSE&amp;creator=factset&amp;display_string=Audit"}</definedName>
    <definedName name="_55__123Graph_ACHART_23" hidden="1">#N/A</definedName>
    <definedName name="_55__123Graph_LBL_ACHART_3" hidden="1">#REF!</definedName>
    <definedName name="_55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550__FDSAUDITLINK__" hidden="1">{"fdsup://Directions/FactSet Auditing Viewer?action=AUDIT_VALUE&amp;DB=129&amp;ID1=93114210&amp;VALUEID=01151&amp;SDATE=2010&amp;PERIODTYPE=ANN_STD&amp;SCFT=3&amp;window=popup_no_bar&amp;width=385&amp;height=120&amp;START_MAXIMIZED=FALSE&amp;creator=factset&amp;display_string=Audit"}</definedName>
    <definedName name="_551__FDSAUDITLINK__" hidden="1">{"fdsup://directions/FAT Viewer?action=UPDATE&amp;creator=factset&amp;DYN_ARGS=TRUE&amp;DOC_NAME=FAT:FQL_AUDITING_CLIENT_TEMPLATE.FAT&amp;display_string=Audit&amp;VAR:KEY=QHOBULIZOX&amp;VAR:QUERY=RkZfRUJJVF9PUEVSKEFOTiwwLCwsUkYp&amp;WINDOW=FIRST_POPUP&amp;HEIGHT=450&amp;WIDTH=450&amp;START_MAXIMI","ZED=FALSE&amp;VAR:CALENDAR=FIVEDAY&amp;VAR:SYMBOL=93114210&amp;VAR:INDEX=0"}</definedName>
    <definedName name="_552__FDSAUDITLINK__" hidden="1">{"fdsup://Directions/FactSet Auditing Viewer?action=AUDIT_VALUE&amp;DB=129&amp;ID1=93114210&amp;VALUEID=01151&amp;SDATE=2011&amp;PERIODTYPE=ANN_STD&amp;SCFT=3&amp;window=popup_no_bar&amp;width=385&amp;height=120&amp;START_MAXIMIZED=FALSE&amp;creator=factset&amp;display_string=Audit"}</definedName>
    <definedName name="_553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554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555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556__FDSAUDITLINK__" hidden="1">{"fdsup://directions/FAT Viewer?action=UPDATE&amp;creator=factset&amp;DYN_ARGS=TRUE&amp;DOC_NAME=FAT:FQL_AUDITING_CLIENT_TEMPLATE.FAT&amp;display_string=Audit&amp;VAR:KEY=MXGNOVUNUT&amp;VAR:QUERY=RkZfRVBTX0RJTChBTk4sLTEsLCxSRik=&amp;WINDOW=FIRST_POPUP&amp;HEIGHT=450&amp;WIDTH=450&amp;START_MAXIMI","ZED=FALSE&amp;VAR:CALENDAR=FIVEDAY&amp;VAR:SYMBOL=93114210&amp;VAR:INDEX=0"}</definedName>
    <definedName name="_557__FDSAUDITLINK__" hidden="1">{"fdsup://Directions/FactSet Auditing Viewer?action=AUDIT_VALUE&amp;DB=129&amp;ID1=93114210&amp;VALUEID=01401&amp;SDATE=2010&amp;PERIODTYPE=ANN_STD&amp;SCFT=3&amp;window=popup_no_bar&amp;width=385&amp;height=120&amp;START_MAXIMIZED=FALSE&amp;creator=factset&amp;display_string=Audit"}</definedName>
    <definedName name="_558__FDSAUDITLINK__" hidden="1">{"fdsup://Directions/FactSet Auditing Viewer?action=AUDIT_VALUE&amp;DB=129&amp;ID1=564156&amp;VALUEID=02101&amp;SDATE=2011&amp;PERIODTYPE=ANN_STD&amp;SCFT=3&amp;window=popup_no_bar&amp;width=385&amp;height=120&amp;START_MAXIMIZED=FALSE&amp;creator=factset&amp;display_string=Audit"}</definedName>
    <definedName name="_559__FDSAUDITLINK__" hidden="1">{"fdsup://directions/FAT Viewer?action=UPDATE&amp;creator=factset&amp;DYN_ARGS=TRUE&amp;DOC_NAME=FAT:FQL_AUDITING_CLIENT_TEMPLATE.FAT&amp;display_string=Audit&amp;VAR:KEY=QVGBKHSJWH&amp;VAR:QUERY=RkZfRVBTX0RJTChBTk4sMCwsLFJGKQ==&amp;WINDOW=FIRST_POPUP&amp;HEIGHT=450&amp;WIDTH=450&amp;START_MAXIMI","ZED=FALSE&amp;VAR:CALENDAR=FIVEDAY&amp;VAR:SYMBOL=93114210&amp;VAR:INDEX=0"}</definedName>
    <definedName name="_56__123Graph_AChart_3" hidden="1">#N/A</definedName>
    <definedName name="_56__123Graph_BCHART_8" hidden="1">#REF!</definedName>
    <definedName name="_56__123Graph_Bｸﾞﾗﾌ_1" hidden="1">#REF!</definedName>
    <definedName name="_56__123Graph_LBL_AC04C_FR_L2" hidden="1">#REF!</definedName>
    <definedName name="_56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560__FDSAUDITLINK__" hidden="1">{"fdsup://Directions/FactSet Auditing Viewer?action=AUDIT_VALUE&amp;DB=129&amp;ID1=93114210&amp;VALUEID=01401&amp;SDATE=2011&amp;PERIODTYPE=ANN_STD&amp;SCFT=3&amp;window=popup_no_bar&amp;width=385&amp;height=120&amp;START_MAXIMIZED=FALSE&amp;creator=factset&amp;display_string=Audit"}</definedName>
    <definedName name="_561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562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563__FDSAUDITLINK__" hidden="1">{"fdsup://Directions/FactSet Auditing Viewer?action=AUDIT_VALUE&amp;DB=129&amp;ID1=564156&amp;VALUEID=01151&amp;SDATE=2010&amp;PERIODTYPE=ANN_STD&amp;SCFT=3&amp;window=popup_no_bar&amp;width=385&amp;height=120&amp;START_MAXIMIZED=FALSE&amp;creator=factset&amp;display_string=Audit"}</definedName>
    <definedName name="_564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565__FDSAUDITLINK__" hidden="1">{"fdsup://Directions/FactSet Auditing Viewer?action=AUDIT_VALUE&amp;DB=129&amp;ID1=564156&amp;VALUEID=03040&amp;SDATE=2011&amp;PERIODTYPE=ANN_STD&amp;SCFT=3&amp;window=popup_no_bar&amp;width=385&amp;height=120&amp;START_MAXIMIZED=FALSE&amp;creator=factset&amp;display_string=Audit"}</definedName>
    <definedName name="_566__FDSAUDITLINK__" hidden="1">{"fdsup://Directions/FactSet Auditing Viewer?action=AUDIT_VALUE&amp;DB=129&amp;ID1=564156&amp;VALUEID=02051&amp;SDATE=2011&amp;PERIODTYPE=ANN_STD&amp;SCFT=3&amp;window=popup_no_bar&amp;width=385&amp;height=120&amp;START_MAXIMIZED=FALSE&amp;creator=factset&amp;display_string=Audit"}</definedName>
    <definedName name="_567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568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569__FDSAUDITLINK__" hidden="1">{"fdsup://Directions/FactSet Auditing Viewer?action=AUDIT_VALUE&amp;DB=129&amp;ID1=564156&amp;VALUEID=02501&amp;SDATE=2011&amp;PERIODTYPE=ANN_STD&amp;SCFT=3&amp;window=popup_no_bar&amp;width=385&amp;height=120&amp;START_MAXIMIZED=FALSE&amp;creator=factset&amp;display_string=Audit"}</definedName>
    <definedName name="_57__123Graph_AChart_4" hidden="1">#N/A</definedName>
    <definedName name="_57__123Graph_LBL_DCHART_1" hidden="1">#REF!</definedName>
    <definedName name="_57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570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571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572__FDSAUDITLINK__" hidden="1">{"fdsup://Directions/FactSet Auditing Viewer?action=AUDIT_VALUE&amp;DB=129&amp;ID1=564156&amp;VALUEID=01151&amp;SDATE=2011&amp;PERIODTYPE=ANN_STD&amp;SCFT=3&amp;window=popup_no_bar&amp;width=385&amp;height=120&amp;START_MAXIMIZED=FALSE&amp;creator=factset&amp;display_string=Audit"}</definedName>
    <definedName name="_573__FDSAUDITLINK__" hidden="1">{"fdsup://directions/FAT Viewer?action=UPDATE&amp;creator=factset&amp;DYN_ARGS=TRUE&amp;DOC_NAME=FAT:FQL_AUDITING_CLIENT_TEMPLATE.FAT&amp;display_string=Audit&amp;VAR:KEY=EPQBSVAZAV&amp;VAR:QUERY=RkZfRUJJVF9PUEVSKEFOTiwtMSwsLFJGKQ==&amp;WINDOW=FIRST_POPUP&amp;HEIGHT=450&amp;WIDTH=450&amp;START_MA","XIMIZED=FALSE&amp;VAR:CALENDAR=FIVEDAY&amp;VAR:SYMBOL=564156&amp;VAR:INDEX=0"}</definedName>
    <definedName name="_574__FDSAUDITLINK__" hidden="1">{"fdsup://directions/FAT Viewer?action=UPDATE&amp;creator=factset&amp;DYN_ARGS=TRUE&amp;DOC_NAME=FAT:FQL_AUDITING_CLIENT_TEMPLATE.FAT&amp;display_string=Audit&amp;VAR:KEY=KJGTQBYDOV&amp;VAR:QUERY=RkZfRVBTX0RJTChBTk4sLTEsLCxSRik=&amp;WINDOW=FIRST_POPUP&amp;HEIGHT=450&amp;WIDTH=450&amp;START_MAXIMI","ZED=FALSE&amp;VAR:CALENDAR=FIVEDAY&amp;VAR:SYMBOL=564156&amp;VAR:INDEX=0"}</definedName>
    <definedName name="_575__FDSAUDITLINK__" hidden="1">{"fdsup://directions/FAT Viewer?action=UPDATE&amp;creator=factset&amp;DYN_ARGS=TRUE&amp;DOC_NAME=FAT:FQL_AUDITING_CLIENT_TEMPLATE.FAT&amp;display_string=Audit&amp;VAR:KEY=CZWPORSTUB&amp;VAR:QUERY=ODMzNTguODEyNTAwL0ZGX0VCSVREQShDQUwsMjAwOSwsLCxFVVIp&amp;WINDOW=FIRST_POPUP&amp;HEIGHT=450&amp;WI","DTH=450&amp;START_MAXIMIZED=FALSE&amp;VAR:CALENDAR=FIVEDAY&amp;VAR:SYMBOL=552902&amp;VAR:INDEX=0"}</definedName>
    <definedName name="_576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577__FDSAUDITLINK__" hidden="1">{"fdsup://directions/FAT Viewer?action=UPDATE&amp;creator=factset&amp;DYN_ARGS=TRUE&amp;DOC_NAME=FAT:FQL_AUDITING_CLIENT_TEMPLATE.FAT&amp;display_string=Audit&amp;VAR:KEY=UXAPOXYPST&amp;VAR:QUERY=RkZfRUJJVF9PUEVSKEFOTiwwLCwsUkYp&amp;WINDOW=FIRST_POPUP&amp;HEIGHT=450&amp;WIDTH=450&amp;START_MAXIMI","ZED=FALSE&amp;VAR:CALENDAR=FIVEDAY&amp;VAR:SYMBOL=564156&amp;VAR:INDEX=0"}</definedName>
    <definedName name="_578__FDSAUDITLINK__" hidden="1">{"fdsup://directions/FAT Viewer?action=UPDATE&amp;creator=factset&amp;DYN_ARGS=TRUE&amp;DOC_NAME=FAT:FQL_AUDITING_CLIENT_TEMPLATE.FAT&amp;display_string=Audit&amp;VAR:KEY=ILSFYDIXYL&amp;VAR:QUERY=RkZfRVBTX0RJTChBTk4sMCwsLFJGKQ==&amp;WINDOW=FIRST_POPUP&amp;HEIGHT=450&amp;WIDTH=450&amp;START_MAXIMI","ZED=FALSE&amp;VAR:CALENDAR=FIVEDAY&amp;VAR:SYMBOL=564156&amp;VAR:INDEX=0"}</definedName>
    <definedName name="_579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58__123Graph_AChart_5" hidden="1">#N/A</definedName>
    <definedName name="_58__123Graph_LBL_DCHART_2" hidden="1">#REF!</definedName>
    <definedName name="_58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580__FDSAUDITLINK__" hidden="1">{"fdsup://Directions/FactSet Auditing Viewer?action=AUDIT_VALUE&amp;DB=129&amp;ID1=088470&amp;VALUEID=01401&amp;SDATE=2010&amp;PERIODTYPE=ANN_STD&amp;SCFT=3&amp;window=popup_no_bar&amp;width=385&amp;height=120&amp;START_MAXIMIZED=FALSE&amp;creator=factset&amp;display_string=Audit"}</definedName>
    <definedName name="_581__FDSAUDITLINK__" hidden="1">{"fdsup://Directions/FactSet Auditing Viewer?action=AUDIT_VALUE&amp;DB=129&amp;ID1=088470&amp;VALUEID=01401&amp;SDATE=2009&amp;PERIODTYPE=ANN_STD&amp;SCFT=3&amp;window=popup_no_bar&amp;width=385&amp;height=120&amp;START_MAXIMIZED=FALSE&amp;creator=factset&amp;display_string=Audit"}</definedName>
    <definedName name="_582__FDSAUDITLINK__" hidden="1">{"fdsup://directions/FAT Viewer?action=UPDATE&amp;creator=factset&amp;DYN_ARGS=TRUE&amp;DOC_NAME=FAT:FQL_AUDITING_CLIENT_TEMPLATE.FAT&amp;display_string=Audit&amp;VAR:KEY=WZADQZSDQH&amp;VAR:QUERY=RkZfRVBTX0RJTChBTk4sMCwsLFJGKQ==&amp;WINDOW=FIRST_POPUP&amp;HEIGHT=450&amp;WIDTH=450&amp;START_MAXIMI","ZED=FALSE&amp;VAR:CALENDAR=FIVEDAY&amp;VAR:SYMBOL=088470&amp;VAR:INDEX=0"}</definedName>
    <definedName name="_583__FDSAUDITLINK__" hidden="1">{"fdsup://directions/FAT Viewer?action=UPDATE&amp;creator=factset&amp;DYN_ARGS=TRUE&amp;DOC_NAME=FAT:FQL_AUDITING_CLIENT_TEMPLATE.FAT&amp;display_string=Audit&amp;VAR:KEY=EJCBYZWHOV&amp;VAR:QUERY=RkZfRVBTX0RJTChBTk4sLTEsLCxSRik=&amp;WINDOW=FIRST_POPUP&amp;HEIGHT=450&amp;WIDTH=450&amp;START_MAXIMI","ZED=FALSE&amp;VAR:CALENDAR=FIVEDAY&amp;VAR:SYMBOL=088470&amp;VAR:INDEX=0"}</definedName>
    <definedName name="_583IQ___SET_WRITEDOWN_INS" hidden="1">"c59"</definedName>
    <definedName name="_584__FDSAUDITLINK__" hidden="1">{"fdsup://directions/FAT Viewer?action=UPDATE&amp;creator=factset&amp;DYN_ARGS=TRUE&amp;DOC_NAME=FAT:FQL_AUDITING_CLIENT_TEMPLATE.FAT&amp;display_string=Audit&amp;VAR:KEY=WZOXADSLSZ&amp;VAR:QUERY=RkZfRUJJVF9PUEVSKEFOTiwwLCwsUkYp&amp;WINDOW=FIRST_POPUP&amp;HEIGHT=450&amp;WIDTH=450&amp;START_MAXIMI","ZED=FALSE&amp;VAR:CALENDAR=FIVEDAY&amp;VAR:SYMBOL=088470&amp;VAR:INDEX=0"}</definedName>
    <definedName name="_585__FDSAUDITLINK__" hidden="1">{"fdsup://directions/FAT Viewer?action=UPDATE&amp;creator=factset&amp;DYN_ARGS=TRUE&amp;DOC_NAME=FAT:FQL_AUDITING_CLIENT_TEMPLATE.FAT&amp;display_string=Audit&amp;VAR:KEY=KFSHGTMHEH&amp;VAR:QUERY=RkZfRUJJVF9PUEVSKEFOTiwtMSwsLFJGKQ==&amp;WINDOW=FIRST_POPUP&amp;HEIGHT=450&amp;WIDTH=450&amp;START_MA","XIMIZED=FALSE&amp;VAR:CALENDAR=FIVEDAY&amp;VAR:SYMBOL=088470&amp;VAR:INDEX=0"}</definedName>
    <definedName name="_586__FDSAUDITLINK__" hidden="1">{"fdsup://Directions/FactSet Auditing Viewer?action=AUDIT_VALUE&amp;DB=129&amp;ID1=088470&amp;VALUEID=01151&amp;SDATE=2011&amp;PERIODTYPE=ANN_STD&amp;SCFT=3&amp;window=popup_no_bar&amp;width=385&amp;height=120&amp;START_MAXIMIZED=FALSE&amp;creator=factset&amp;display_string=Audit"}</definedName>
    <definedName name="_587__FDSAUDITLINK__" hidden="1">{"fdsup://Directions/FactSet Auditing Viewer?action=AUDIT_VALUE&amp;DB=129&amp;ID1=088470&amp;VALUEID=01151&amp;SDATE=2010&amp;PERIODTYPE=ANN_STD&amp;SCFT=3&amp;window=popup_no_bar&amp;width=385&amp;height=120&amp;START_MAXIMIZED=FALSE&amp;creator=factset&amp;display_string=Audit"}</definedName>
    <definedName name="_588__FDSAUDITLINK__" hidden="1">{"fdsup://Directions/FactSet Auditing Viewer?action=AUDIT_VALUE&amp;DB=129&amp;ID1=088470&amp;VALUEID=04049&amp;SDATE=2010&amp;PERIODTYPE=ANN_STD&amp;SCFT=3&amp;window=popup_no_bar&amp;width=385&amp;height=120&amp;START_MAXIMIZED=FALSE&amp;creator=factset&amp;display_string=Audit"}</definedName>
    <definedName name="_589__FDSAUDITLINK__" hidden="1">{"fdsup://Directions/FactSet Auditing Viewer?action=AUDIT_VALUE&amp;DB=129&amp;ID1=088470&amp;VALUEID=18140&amp;SDATE=2010&amp;PERIODTYPE=ANN_STD&amp;SCFT=3&amp;window=popup_no_bar&amp;width=385&amp;height=120&amp;START_MAXIMIZED=FALSE&amp;creator=factset&amp;display_string=Audit"}</definedName>
    <definedName name="_59__123Graph_AChart_6" hidden="1">#N/A</definedName>
    <definedName name="_59__123Graph_XCHART_2" hidden="1">#REF!</definedName>
    <definedName name="_59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590__FDSAUDITLINK__" hidden="1">{"fdsup://Directions/FactSet Auditing Viewer?action=AUDIT_VALUE&amp;DB=129&amp;ID1=088470&amp;VALUEID=18140&amp;SDATE=2009&amp;PERIODTYPE=ANN_STD&amp;SCFT=3&amp;window=popup_no_bar&amp;width=385&amp;height=120&amp;START_MAXIMIZED=FALSE&amp;creator=factset&amp;display_string=Audit"}</definedName>
    <definedName name="_591__FDSAUDITLINK__" hidden="1">{"fdsup://directions/FAT Viewer?action=UPDATE&amp;creator=factset&amp;DYN_ARGS=TRUE&amp;DOC_NAME=FAT:FQL_AUDITING_CLIENT_TEMPLATE.FAT&amp;display_string=Audit&amp;VAR:KEY=EPARIVMLMT&amp;VAR:QUERY=MTAxMC4yMjk0OTIvRkZfRUJJVChDQUwsMjAwOSwsLCxFVVIp&amp;WINDOW=FIRST_POPUP&amp;HEIGHT=450&amp;WIDTH=","450&amp;START_MAXIMIZED=FALSE&amp;VAR:CALENDAR=FIVEDAY&amp;VAR:SYMBOL=509233&amp;VAR:INDEX=0"}</definedName>
    <definedName name="_592__FDSAUDITLINK__" hidden="1">{"fdsup://directions/FAT Viewer?action=UPDATE&amp;creator=factset&amp;DYN_ARGS=TRUE&amp;DOC_NAME=FAT:FQL_AUDITING_CLIENT_TEMPLATE.FAT&amp;display_string=Audit&amp;VAR:KEY=WRCXAZKNUV&amp;VAR:QUERY=MTAxMC4yMjk0OTIvRkZfRUJJVERBKENBTCwyMDA5LCwsLEVVUik=&amp;WINDOW=FIRST_POPUP&amp;HEIGHT=450&amp;WI","DTH=450&amp;START_MAXIMIZED=FALSE&amp;VAR:CALENDAR=FIVEDAY&amp;VAR:SYMBOL=509233&amp;VAR:INDEX=0"}</definedName>
    <definedName name="_593__FDSAUDITLINK__" hidden="1">{"fdsup://Directions/FactSet Auditing Viewer?action=AUDIT_VALUE&amp;DB=129&amp;ID1=088470&amp;VALUEID=02501&amp;SDATE=2011&amp;PERIODTYPE=ANN_STD&amp;SCFT=3&amp;window=popup_no_bar&amp;width=385&amp;height=120&amp;START_MAXIMIZED=FALSE&amp;creator=factset&amp;display_string=Audit"}</definedName>
    <definedName name="_594__FDSAUDITLINK__" hidden="1">{"fdsup://Directions/FactSet Auditing Viewer?action=AUDIT_VALUE&amp;DB=129&amp;ID1=088470&amp;VALUEID=03426&amp;SDATE=2011&amp;PERIODTYPE=ANN_STD&amp;SCFT=3&amp;window=popup_no_bar&amp;width=385&amp;height=120&amp;START_MAXIMIZED=FALSE&amp;creator=factset&amp;display_string=Audit"}</definedName>
    <definedName name="_595__FDSAUDITLINK__" hidden="1">{"fdsup://Directions/FactSet Auditing Viewer?action=AUDIT_VALUE&amp;DB=129&amp;ID1=088470&amp;VALUEID=02001&amp;SDATE=2011&amp;PERIODTYPE=ANN_STD&amp;SCFT=3&amp;window=popup_no_bar&amp;width=385&amp;height=120&amp;START_MAXIMIZED=FALSE&amp;creator=factset&amp;display_string=Audit"}</definedName>
    <definedName name="_596__FDSAUDITLINK__" hidden="1">{"fdsup://Directions/FactSet Auditing Viewer?action=AUDIT_VALUE&amp;DB=129&amp;ID1=93114210&amp;VALUEID=01401&amp;SDATE=2011&amp;PERIODTYPE=ANN_STD&amp;SCFT=3&amp;window=popup_no_bar&amp;width=385&amp;height=120&amp;START_MAXIMIZED=FALSE&amp;creator=factset&amp;display_string=Audit"}</definedName>
    <definedName name="_597__FDSAUDITLINK__" hidden="1">{"fdsup://Directions/FactSet Auditing Viewer?action=AUDIT_VALUE&amp;DB=129&amp;ID1=93114210&amp;VALUEID=01401&amp;SDATE=2010&amp;PERIODTYPE=ANN_STD&amp;SCFT=3&amp;window=popup_no_bar&amp;width=385&amp;height=120&amp;START_MAXIMIZED=FALSE&amp;creator=factset&amp;display_string=Audit"}</definedName>
    <definedName name="_598__FDSAUDITLINK__" hidden="1">{"fdsup://directions/FAT Viewer?action=UPDATE&amp;creator=factset&amp;DYN_ARGS=TRUE&amp;DOC_NAME=FAT:FQL_AUDITING_CLIENT_TEMPLATE.FAT&amp;display_string=Audit&amp;VAR:KEY=YJSJWHMNOZ&amp;VAR:QUERY=RkZfRVBTX0RJTChBTk4sMCwsLFJGKQ==&amp;WINDOW=FIRST_POPUP&amp;HEIGHT=450&amp;WIDTH=450&amp;START_MAXIMI","ZED=FALSE&amp;VAR:CALENDAR=FIVEDAY&amp;VAR:SYMBOL=93114210&amp;VAR:INDEX=0"}</definedName>
    <definedName name="_599__FDSAUDITLINK__" hidden="1">{"fdsup://directions/FAT Viewer?action=UPDATE&amp;creator=factset&amp;DYN_ARGS=TRUE&amp;DOC_NAME=FAT:FQL_AUDITING_CLIENT_TEMPLATE.FAT&amp;display_string=Audit&amp;VAR:KEY=WVGVONSVSN&amp;VAR:QUERY=RkZfRVBTX0RJTChBTk4sLTEsLCxSRik=&amp;WINDOW=FIRST_POPUP&amp;HEIGHT=450&amp;WIDTH=450&amp;START_MAXIMI","ZED=FALSE&amp;VAR:CALENDAR=FIVEDAY&amp;VAR:SYMBOL=93114210&amp;VAR:INDEX=0"}</definedName>
    <definedName name="_5ALA642C761" hidden="1">#N/A</definedName>
    <definedName name="_6__123Graph_ACHART_3" hidden="1">#REF!</definedName>
    <definedName name="_6__123Graph_ACHART_4" hidden="1">#REF!</definedName>
    <definedName name="_6__123Graph_AHR_BY_OEM" hidden="1">#REF!</definedName>
    <definedName name="_6__123Graph_BCHART_1" hidden="1">#REF!</definedName>
    <definedName name="_6__123Graph_BCHART_2" hidden="1">#REF!</definedName>
    <definedName name="_6__123Graph_BCHART_3" hidden="1">#REF!</definedName>
    <definedName name="_6__123Graph_CCHART_1" hidden="1">#REF!</definedName>
    <definedName name="_6__123Graph_DCHART_2" hidden="1">#REF!</definedName>
    <definedName name="_6__FDSAUDITLINK__" hidden="1">{"fdsup://directions/FAT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6_0__123Grap" hidden="1">#REF!</definedName>
    <definedName name="_6_0_0_S" hidden="1">#REF!</definedName>
    <definedName name="_6_123Grap" hidden="1">#REF!</definedName>
    <definedName name="_60__123Graph_AINVAR_A" hidden="1">#N/A</definedName>
    <definedName name="_60__123Graph_LBL_AC04C_FR_T1" hidden="1">#REF!</definedName>
    <definedName name="_60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600__FDSAUDITLINK__" hidden="1">{"fdsup://directions/FAT Viewer?action=UPDATE&amp;creator=factset&amp;DYN_ARGS=TRUE&amp;DOC_NAME=FAT:FQL_AUDITING_CLIENT_TEMPLATE.FAT&amp;display_string=Audit&amp;VAR:KEY=OLYTIBILUR&amp;VAR:QUERY=RkZfRUJJVF9PUEVSKEFOTiwwLCwsUkYp&amp;WINDOW=FIRST_POPUP&amp;HEIGHT=450&amp;WIDTH=450&amp;START_MAXIMI","ZED=FALSE&amp;VAR:CALENDAR=FIVEDAY&amp;VAR:SYMBOL=93114210&amp;VAR:INDEX=0"}</definedName>
    <definedName name="_601__FDSAUDITLINK__" hidden="1">{"fdsup://directions/FAT Viewer?action=UPDATE&amp;creator=factset&amp;DYN_ARGS=TRUE&amp;DOC_NAME=FAT:FQL_AUDITING_CLIENT_TEMPLATE.FAT&amp;display_string=Audit&amp;VAR:KEY=IJURSPOXER&amp;VAR:QUERY=NTQyMjAuMDE1NjI1L0ZGX0VCSVQoQ0FMLDIwMDksLCwsRVVSKQ==&amp;WINDOW=FIRST_POPUP&amp;HEIGHT=450&amp;WI","DTH=450&amp;START_MAXIMIZED=FALSE&amp;VAR:CALENDAR=FIVEDAY&amp;VAR:SYMBOL=659678&amp;VAR:INDEX=0"}</definedName>
    <definedName name="_602__FDSAUDITLINK__" hidden="1">{"fdsup://directions/FAT Viewer?action=UPDATE&amp;creator=factset&amp;DYN_ARGS=TRUE&amp;DOC_NAME=FAT:FQL_AUDITING_CLIENT_TEMPLATE.FAT&amp;display_string=Audit&amp;VAR:KEY=CFQFCNIRAL&amp;VAR:QUERY=NTQyMjAuMDE1NjI1L0ZGX0VCSVREQShDQUwsMjAwOSwsLCxFVVIp&amp;WINDOW=FIRST_POPUP&amp;HEIGHT=450&amp;WI","DTH=450&amp;START_MAXIMIZED=FALSE&amp;VAR:CALENDAR=FIVEDAY&amp;VAR:SYMBOL=659678&amp;VAR:INDEX=0"}</definedName>
    <definedName name="_603__FDSAUDITLINK__" hidden="1">{"fdsup://Directions/FactSet Auditing Viewer?action=AUDIT_VALUE&amp;DB=129&amp;ID1=93114210&amp;VALUEID=01151&amp;SDATE=2010&amp;PERIODTYPE=ANN_STD&amp;SCFT=3&amp;window=popup_no_bar&amp;width=385&amp;height=120&amp;START_MAXIMIZED=FALSE&amp;creator=factset&amp;display_string=Audit"}</definedName>
    <definedName name="_604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605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606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607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608__FDSAUDITLINK__" hidden="1">{"fdsup://Directions/FactSet Auditing Viewer?action=AUDIT_VALUE&amp;DB=129&amp;ID1=93114210&amp;VALUEID=01001&amp;SDATE=2011&amp;PERIODTYPE=ANN_STD&amp;SCFT=3&amp;window=popup_no_bar&amp;width=385&amp;height=120&amp;START_MAXIMIZED=FALSE&amp;creator=factset&amp;display_string=Audit"}</definedName>
    <definedName name="_609__FDSAUDITLINK__" hidden="1">{"fdsup://Directions/FactSet Auditing Viewer?action=AUDIT_VALUE&amp;DB=129&amp;ID1=93114210&amp;VALUEID=01001&amp;SDATE=2010&amp;PERIODTYPE=ANN_STD&amp;SCFT=3&amp;window=popup_no_bar&amp;width=385&amp;height=120&amp;START_MAXIMIZED=FALSE&amp;creator=factset&amp;display_string=Audit"}</definedName>
    <definedName name="_61__123Graph_ASS6_A" hidden="1">#N/A</definedName>
    <definedName name="_61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61__0_S" hidden="1">#REF!</definedName>
    <definedName name="_610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611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612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613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614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615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616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617__FDSAUDITLINK__" hidden="1">{"fdsup://Directions/FactSet Auditing Viewer?action=AUDIT_VALUE&amp;DB=129&amp;ID1=564156&amp;VALUEID=01401&amp;SDATE=2010&amp;PERIODTYPE=ANN_STD&amp;SCFT=3&amp;window=popup_no_bar&amp;width=385&amp;height=120&amp;START_MAXIMIZED=FALSE&amp;creator=factset&amp;display_string=Audit"}</definedName>
    <definedName name="_618__FDSAUDITLINK__" hidden="1">{"fdsup://directions/FAT Viewer?action=UPDATE&amp;creator=factset&amp;DYN_ARGS=TRUE&amp;DOC_NAME=FAT:FQL_AUDITING_CLIENT_TEMPLATE.FAT&amp;display_string=Audit&amp;VAR:KEY=EDCFUXORCH&amp;VAR:QUERY=RkZfRVBTX0RJTChBTk4sMCwsLFJGKQ==&amp;WINDOW=FIRST_POPUP&amp;HEIGHT=450&amp;WIDTH=450&amp;START_MAXIMI","ZED=FALSE&amp;VAR:CALENDAR=FIVEDAY&amp;VAR:SYMBOL=564156&amp;VAR:INDEX=0"}</definedName>
    <definedName name="_619__FDSAUDITLINK__" hidden="1">{"fdsup://directions/FAT Viewer?action=UPDATE&amp;creator=factset&amp;DYN_ARGS=TRUE&amp;DOC_NAME=FAT:FQL_AUDITING_CLIENT_TEMPLATE.FAT&amp;display_string=Audit&amp;VAR:KEY=QXQRCJGTUH&amp;VAR:QUERY=RkZfRVBTX0RJTChBTk4sLTEsLCxSRik=&amp;WINDOW=FIRST_POPUP&amp;HEIGHT=450&amp;WIDTH=450&amp;START_MAXIMI","ZED=FALSE&amp;VAR:CALENDAR=FIVEDAY&amp;VAR:SYMBOL=564156&amp;VAR:INDEX=0"}</definedName>
    <definedName name="_62__123Graph_ASTD_A" hidden="1">#N/A</definedName>
    <definedName name="_62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620__FDSAUDITLINK__" hidden="1">{"fdsup://directions/FAT Viewer?action=UPDATE&amp;creator=factset&amp;DYN_ARGS=TRUE&amp;DOC_NAME=FAT:FQL_AUDITING_CLIENT_TEMPLATE.FAT&amp;display_string=Audit&amp;VAR:KEY=YXKJSDUVIZ&amp;VAR:QUERY=RkZfRUJJVF9PUEVSKEFOTiwwLCwsUkYp&amp;WINDOW=FIRST_POPUP&amp;HEIGHT=450&amp;WIDTH=450&amp;START_MAXIMI","ZED=FALSE&amp;VAR:CALENDAR=FIVEDAY&amp;VAR:SYMBOL=564156&amp;VAR:INDEX=0"}</definedName>
    <definedName name="_621__FDSAUDITLINK__" hidden="1">{"fdsup://directions/FAT Viewer?action=UPDATE&amp;creator=factset&amp;DYN_ARGS=TRUE&amp;DOC_NAME=FAT:FQL_AUDITING_CLIENT_TEMPLATE.FAT&amp;display_string=Audit&amp;VAR:KEY=UHQVAZIXYN&amp;VAR:QUERY=RkZfRUJJVF9PUEVSKEFOTiwtMSwsLFJGKQ==&amp;WINDOW=FIRST_POPUP&amp;HEIGHT=450&amp;WIDTH=450&amp;START_MA","XIMIZED=FALSE&amp;VAR:CALENDAR=FIVEDAY&amp;VAR:SYMBOL=564156&amp;VAR:INDEX=0"}</definedName>
    <definedName name="_622__FDSAUDITLINK__" hidden="1">{"fdsup://Directions/FactSet Auditing Viewer?action=AUDIT_VALUE&amp;DB=129&amp;ID1=564156&amp;VALUEID=01151&amp;SDATE=2011&amp;PERIODTYPE=ANN_STD&amp;SCFT=3&amp;window=popup_no_bar&amp;width=385&amp;height=120&amp;START_MAXIMIZED=FALSE&amp;creator=factset&amp;display_string=Audit"}</definedName>
    <definedName name="_623__FDSAUDITLINK__" hidden="1">{"fdsup://Directions/FactSet Auditing Viewer?action=AUDIT_VALUE&amp;DB=129&amp;ID1=564156&amp;VALUEID=01151&amp;SDATE=2010&amp;PERIODTYPE=ANN_STD&amp;SCFT=3&amp;window=popup_no_bar&amp;width=385&amp;height=120&amp;START_MAXIMIZED=FALSE&amp;creator=factset&amp;display_string=Audit"}</definedName>
    <definedName name="_624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625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626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627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628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629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63__123Graph_B_Chart_1A" hidden="1">#N/A</definedName>
    <definedName name="_63__123Graph_CCHART_1" hidden="1">#REF!</definedName>
    <definedName name="_63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630__FDSAUDITLINK__" hidden="1">{"fdsup://Directions/FactSet Auditing Viewer?action=AUDIT_VALUE&amp;DB=129&amp;ID1=564156&amp;VALUEID=03040&amp;SDATE=2011&amp;PERIODTYPE=ANN_STD&amp;SCFT=3&amp;window=popup_no_bar&amp;width=385&amp;height=120&amp;START_MAXIMIZED=FALSE&amp;creator=factset&amp;display_string=Audit"}</definedName>
    <definedName name="_631__FDSAUDITLINK__" hidden="1">{"fdsup://Directions/FactSet Auditing Viewer?action=AUDIT_VALUE&amp;DB=129&amp;ID1=564156&amp;VALUEID=02051&amp;SDATE=2011&amp;PERIODTYPE=ANN_STD&amp;SCFT=3&amp;window=popup_no_bar&amp;width=385&amp;height=120&amp;START_MAXIMIZED=FALSE&amp;creator=factset&amp;display_string=Audit"}</definedName>
    <definedName name="_632__FDSAUDITLINK__" hidden="1">{"fdsup://Directions/FactSet Auditing Viewer?action=AUDIT_VALUE&amp;DB=129&amp;ID1=564156&amp;VALUEID=02101&amp;SDATE=2011&amp;PERIODTYPE=ANN_STD&amp;SCFT=3&amp;window=popup_no_bar&amp;width=385&amp;height=120&amp;START_MAXIMIZED=FALSE&amp;creator=factset&amp;display_string=Audit"}</definedName>
    <definedName name="_633__FDSAUDITLINK__" hidden="1">{"fdsup://Directions/FactSet Auditing Viewer?action=AUDIT_VALUE&amp;DB=129&amp;ID1=564156&amp;VALUEID=02501&amp;SDATE=2011&amp;PERIODTYPE=ANN_STD&amp;SCFT=3&amp;window=popup_no_bar&amp;width=385&amp;height=120&amp;START_MAXIMIZED=FALSE&amp;creator=factset&amp;display_string=Audit"}</definedName>
    <definedName name="_634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635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636__FDSAUDITLINK__" hidden="1">{"fdsup://Directions/FactSet Auditing Viewer?action=AUDIT_VALUE&amp;DB=129&amp;ID1=088470&amp;VALUEID=01401&amp;SDATE=2010&amp;PERIODTYPE=ANN_STD&amp;SCFT=3&amp;window=popup_no_bar&amp;width=385&amp;height=120&amp;START_MAXIMIZED=FALSE&amp;creator=factset&amp;display_string=Audit"}</definedName>
    <definedName name="_637__FDSAUDITLINK__" hidden="1">{"fdsup://Directions/FactSet Auditing Viewer?action=AUDIT_VALUE&amp;DB=129&amp;ID1=088470&amp;VALUEID=01401&amp;SDATE=2009&amp;PERIODTYPE=ANN_STD&amp;SCFT=3&amp;window=popup_no_bar&amp;width=385&amp;height=120&amp;START_MAXIMIZED=FALSE&amp;creator=factset&amp;display_string=Audit"}</definedName>
    <definedName name="_638__FDSAUDITLINK__" hidden="1">{"fdsup://directions/FAT Viewer?action=UPDATE&amp;creator=factset&amp;DYN_ARGS=TRUE&amp;DOC_NAME=FAT:FQL_AUDITING_CLIENT_TEMPLATE.FAT&amp;display_string=Audit&amp;VAR:KEY=RWNQFETUNC&amp;VAR:QUERY=RkZfRVBTX0RJTChBTk4sMCwsLFJGKQ==&amp;WINDOW=FIRST_POPUP&amp;HEIGHT=450&amp;WIDTH=450&amp;START_MAXIMI","ZED=FALSE&amp;VAR:CALENDAR=FIVEDAY&amp;VAR:SYMBOL=088470&amp;VAR:INDEX=0"}</definedName>
    <definedName name="_639__FDSAUDITLINK__" hidden="1">{"fdsup://directions/FAT Viewer?action=UPDATE&amp;creator=factset&amp;DYN_ARGS=TRUE&amp;DOC_NAME=FAT:FQL_AUDITING_CLIENT_TEMPLATE.FAT&amp;display_string=Audit&amp;VAR:KEY=VKFAPGZIPY&amp;VAR:QUERY=RkZfRVBTX0RJTChBTk4sLTEsLCxSRik=&amp;WINDOW=FIRST_POPUP&amp;HEIGHT=450&amp;WIDTH=450&amp;START_MAXIMI","ZED=FALSE&amp;VAR:CALENDAR=FIVEDAY&amp;VAR:SYMBOL=088470&amp;VAR:INDEX=0"}</definedName>
    <definedName name="_64__123Graph_BCHART_12" hidden="1">#N/A</definedName>
    <definedName name="_64__123Graph_LBL_AC04C_FR_T2" hidden="1">#REF!</definedName>
    <definedName name="_64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640__FDSAUDITLINK__" hidden="1">{"fdsup://directions/FAT Viewer?action=UPDATE&amp;creator=factset&amp;DYN_ARGS=TRUE&amp;DOC_NAME=FAT:FQL_AUDITING_CLIENT_TEMPLATE.FAT&amp;display_string=Audit&amp;VAR:KEY=BMBYPWDMXG&amp;VAR:QUERY=RkZfRUJJVF9PUEVSKEFOTiwwLCwsUkYp&amp;WINDOW=FIRST_POPUP&amp;HEIGHT=450&amp;WIDTH=450&amp;START_MAXIMI","ZED=FALSE&amp;VAR:CALENDAR=FIVEDAY&amp;VAR:SYMBOL=088470&amp;VAR:INDEX=0"}</definedName>
    <definedName name="_641__FDSAUDITLINK__" hidden="1">{"fdsup://directions/FAT Viewer?action=UPDATE&amp;creator=factset&amp;DYN_ARGS=TRUE&amp;DOC_NAME=FAT:FQL_AUDITING_CLIENT_TEMPLATE.FAT&amp;display_string=Audit&amp;VAR:KEY=FANGHMHGXG&amp;VAR:QUERY=RkZfRUJJVF9PUEVSKEFOTiwtMSwsLFJGKQ==&amp;WINDOW=FIRST_POPUP&amp;HEIGHT=450&amp;WIDTH=450&amp;START_MA","XIMIZED=FALSE&amp;VAR:CALENDAR=FIVEDAY&amp;VAR:SYMBOL=088470&amp;VAR:INDEX=0"}</definedName>
    <definedName name="_642__FDSAUDITLINK__" hidden="1">{"fdsup://Directions/FactSet Auditing Viewer?action=AUDIT_VALUE&amp;DB=129&amp;ID1=088470&amp;VALUEID=01151&amp;SDATE=2011&amp;PERIODTYPE=ANN_STD&amp;SCFT=3&amp;window=popup_no_bar&amp;width=385&amp;height=120&amp;START_MAXIMIZED=FALSE&amp;creator=factset&amp;display_string=Audit"}</definedName>
    <definedName name="_643__FDSAUDITLINK__" hidden="1">{"fdsup://Directions/FactSet Auditing Viewer?action=AUDIT_VALUE&amp;DB=129&amp;ID1=088470&amp;VALUEID=01151&amp;SDATE=2010&amp;PERIODTYPE=ANN_STD&amp;SCFT=3&amp;window=popup_no_bar&amp;width=385&amp;height=120&amp;START_MAXIMIZED=FALSE&amp;creator=factset&amp;display_string=Audit"}</definedName>
    <definedName name="_644__FDSAUDITLINK__" hidden="1">{"fdsup://Directions/FactSet Auditing Viewer?action=AUDIT_VALUE&amp;DB=129&amp;ID1=088470&amp;VALUEID=04049&amp;SDATE=2010&amp;PERIODTYPE=ANN_STD&amp;SCFT=3&amp;window=popup_no_bar&amp;width=385&amp;height=120&amp;START_MAXIMIZED=FALSE&amp;creator=factset&amp;display_string=Audit"}</definedName>
    <definedName name="_645__FDSAUDITLINK__" hidden="1">{"fdsup://Directions/FactSet Auditing Viewer?action=AUDIT_VALUE&amp;DB=129&amp;ID1=088470&amp;VALUEID=18140&amp;SDATE=2010&amp;PERIODTYPE=ANN_STD&amp;SCFT=3&amp;window=popup_no_bar&amp;width=385&amp;height=120&amp;START_MAXIMIZED=FALSE&amp;creator=factset&amp;display_string=Audit"}</definedName>
    <definedName name="_646__FDSAUDITLINK__" hidden="1">{"fdsup://Directions/FactSet Auditing Viewer?action=AUDIT_VALUE&amp;DB=129&amp;ID1=088470&amp;VALUEID=18140&amp;SDATE=2009&amp;PERIODTYPE=ANN_STD&amp;SCFT=3&amp;window=popup_no_bar&amp;width=385&amp;height=120&amp;START_MAXIMIZED=FALSE&amp;creator=factset&amp;display_string=Audit"}</definedName>
    <definedName name="_647__FDSAUDITLINK__" hidden="1">{"fdsup://Directions/FactSet Auditing Viewer?action=AUDIT_VALUE&amp;DB=129&amp;ID1=088470&amp;VALUEID=01001&amp;SDATE=2010&amp;PERIODTYPE=ANN_STD&amp;SCFT=3&amp;window=popup_no_bar&amp;width=385&amp;height=120&amp;START_MAXIMIZED=FALSE&amp;creator=factset&amp;display_string=Audit"}</definedName>
    <definedName name="_648__FDSAUDITLINK__" hidden="1">{"fdsup://Directions/FactSet Auditing Viewer?action=AUDIT_VALUE&amp;DB=129&amp;ID1=088470&amp;VALUEID=01001&amp;SDATE=2009&amp;PERIODTYPE=ANN_STD&amp;SCFT=3&amp;window=popup_no_bar&amp;width=385&amp;height=120&amp;START_MAXIMIZED=FALSE&amp;creator=factset&amp;display_string=Audit"}</definedName>
    <definedName name="_649__FDSAUDITLINK__" hidden="1">{"fdsup://Directions/FactSet Auditing Viewer?action=AUDIT_VALUE&amp;DB=129&amp;ID1=088470&amp;VALUEID=02501&amp;SDATE=2011&amp;PERIODTYPE=ANN_STD&amp;SCFT=3&amp;window=popup_no_bar&amp;width=385&amp;height=120&amp;START_MAXIMIZED=FALSE&amp;creator=factset&amp;display_string=Audit"}</definedName>
    <definedName name="_65__123Graph_BINVAR_A" hidden="1">#N/A</definedName>
    <definedName name="_65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650__FDSAUDITLINK__" hidden="1">{"fdsup://Directions/FactSet Auditing Viewer?action=AUDIT_VALUE&amp;DB=129&amp;ID1=088470&amp;VALUEID=03426&amp;SDATE=2011&amp;PERIODTYPE=ANN_STD&amp;SCFT=3&amp;window=popup_no_bar&amp;width=385&amp;height=120&amp;START_MAXIMIZED=FALSE&amp;creator=factset&amp;display_string=Audit"}</definedName>
    <definedName name="_651__FDSAUDITLINK__" hidden="1">{"fdsup://Directions/FactSet Auditing Viewer?action=AUDIT_VALUE&amp;DB=129&amp;ID1=088470&amp;VALUEID=02001&amp;SDATE=2011&amp;PERIODTYPE=ANN_STD&amp;SCFT=3&amp;window=popup_no_bar&amp;width=385&amp;height=120&amp;START_MAXIMIZED=FALSE&amp;creator=factset&amp;display_string=Audit"}</definedName>
    <definedName name="_652__FDSAUDITLINK__" hidden="1">{"fdsup://directions/FAT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520"}</definedName>
    <definedName name="_653__FDSAUDITLINK__" hidden="1">{"fdsup://Directions/FactSet Auditing Viewer?action=AUDIT_VALUE&amp;DB=129&amp;ID1=93114210&amp;VALUEID=01401&amp;SDATE=2010&amp;PERIODTYPE=ANN_STD&amp;SCFT=3&amp;window=popup_no_bar&amp;width=385&amp;height=120&amp;START_MAXIMIZED=FALSE&amp;creator=factset&amp;display_string=Audit"}</definedName>
    <definedName name="_654__FDSAUDITLINK__" hidden="1">{"fdsup://directions/FAT Viewer?action=UPDATE&amp;creator=factset&amp;DYN_ARGS=TRUE&amp;DOC_NAME=FAT:FQL_AUDITING_CLIENT_TEMPLATE.FAT&amp;display_string=Audit&amp;VAR:KEY=VCPYHUXYRQ&amp;VAR:QUERY=RkZfRVBTX0RJTChBTk4sMCwsLFJGKQ==&amp;WINDOW=FIRST_POPUP&amp;HEIGHT=450&amp;WIDTH=450&amp;START_MAXIMI","ZED=FALSE&amp;VAR:CALENDAR=FIVEDAY&amp;VAR:SYMBOL=93114210&amp;VAR:INDEX=0"}</definedName>
    <definedName name="_655__FDSAUDITLINK__" hidden="1">{"fdsup://directions/FAT Viewer?action=UPDATE&amp;creator=factset&amp;DYN_ARGS=TRUE&amp;DOC_NAME=FAT:FQL_AUDITING_CLIENT_TEMPLATE.FAT&amp;display_string=Audit&amp;VAR:KEY=LELYZKPUJA&amp;VAR:QUERY=RkZfRVBTX0RJTChBTk4sLTEsLCxSRik=&amp;WINDOW=FIRST_POPUP&amp;HEIGHT=450&amp;WIDTH=450&amp;START_MAXIMI","ZED=FALSE&amp;VAR:CALENDAR=FIVEDAY&amp;VAR:SYMBOL=93114210&amp;VAR:INDEX=0"}</definedName>
    <definedName name="_656__FDSAUDITLINK__" hidden="1">{"fdsup://directions/FAT Viewer?action=UPDATE&amp;creator=factset&amp;DYN_ARGS=TRUE&amp;DOC_NAME=FAT:FQL_AUDITING_CLIENT_TEMPLATE.FAT&amp;display_string=Audit&amp;VAR:KEY=ZCVIJUHUJK&amp;VAR:QUERY=RkZfRUJJVF9PUEVSKEFOTiwwLCwsUkYp&amp;WINDOW=FIRST_POPUP&amp;HEIGHT=450&amp;WIDTH=450&amp;START_MAXIMI","ZED=FALSE&amp;VAR:CALENDAR=FIVEDAY&amp;VAR:SYMBOL=93114210&amp;VAR:INDEX=0"}</definedName>
    <definedName name="_657__FDSAUDITLINK__" hidden="1">{"fdsup://directions/FAT Viewer?action=UPDATE&amp;creator=factset&amp;DYN_ARGS=TRUE&amp;DOC_NAME=FAT:FQL_AUDITING_CLIENT_TEMPLATE.FAT&amp;display_string=Audit&amp;VAR:KEY=XUZUVGFSFO&amp;VAR:QUERY=RkZfRUJJVF9PUEVSKEFOTiwtMSwsLFJGKQ==&amp;WINDOW=FIRST_POPUP&amp;HEIGHT=450&amp;WIDTH=450&amp;START_MA","XIMIZED=FALSE&amp;VAR:CALENDAR=FIVEDAY&amp;VAR:SYMBOL=93114210&amp;VAR:INDEX=0"}</definedName>
    <definedName name="_658__FDSAUDITLINK__" hidden="1">{"fdsup://Directions/FactSet Auditing Viewer?action=AUDIT_VALUE&amp;DB=129&amp;ID1=93114210&amp;VALUEID=01151&amp;SDATE=2011&amp;PERIODTYPE=ANN_STD&amp;SCFT=3&amp;window=popup_no_bar&amp;width=385&amp;height=120&amp;START_MAXIMIZED=FALSE&amp;creator=factset&amp;display_string=Audit"}</definedName>
    <definedName name="_659__FDSAUDITLINK__" hidden="1">{"fdsup://Directions/FactSet Auditing Viewer?action=AUDIT_VALUE&amp;DB=129&amp;ID1=93114210&amp;VALUEID=01151&amp;SDATE=2010&amp;PERIODTYPE=ANN_STD&amp;SCFT=3&amp;window=popup_no_bar&amp;width=385&amp;height=120&amp;START_MAXIMIZED=FALSE&amp;creator=factset&amp;display_string=Audit"}</definedName>
    <definedName name="_66__123Graph_BSS5_A" hidden="1">#N/A</definedName>
    <definedName name="_66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660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661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662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663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664__FDSAUDITLINK__" hidden="1">{"fdsup://Directions/FactSet Auditing Viewer?action=AUDIT_VALUE&amp;DB=129&amp;ID1=93114210&amp;VALUEID=01001&amp;SDATE=2011&amp;PERIODTYPE=ANN_STD&amp;SCFT=3&amp;window=popup_no_bar&amp;width=385&amp;height=120&amp;START_MAXIMIZED=FALSE&amp;creator=factset&amp;display_string=Audit"}</definedName>
    <definedName name="_665__FDSAUDITLINK__" hidden="1">{"fdsup://Directions/FactSet Auditing Viewer?action=AUDIT_VALUE&amp;DB=129&amp;ID1=93114210&amp;VALUEID=01001&amp;SDATE=2010&amp;PERIODTYPE=ANN_STD&amp;SCFT=3&amp;window=popup_no_bar&amp;width=385&amp;height=120&amp;START_MAXIMIZED=FALSE&amp;creator=factset&amp;display_string=Audit"}</definedName>
    <definedName name="_666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667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668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669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67__123Graph_BSS6_A" hidden="1">#N/A</definedName>
    <definedName name="_67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670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671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672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673__FDSAUDITLINK__" hidden="1">{"fdsup://Directions/FactSet Auditing Viewer?action=AUDIT_VALUE&amp;DB=129&amp;ID1=564156&amp;VALUEID=01401&amp;SDATE=2010&amp;PERIODTYPE=ANN_STD&amp;SCFT=3&amp;window=popup_no_bar&amp;width=385&amp;height=120&amp;START_MAXIMIZED=FALSE&amp;creator=factset&amp;display_string=Audit"}</definedName>
    <definedName name="_674__FDSAUDITLINK__" hidden="1">{"fdsup://directions/FAT Viewer?action=UPDATE&amp;creator=factset&amp;DYN_ARGS=TRUE&amp;DOC_NAME=FAT:FQL_AUDITING_CLIENT_TEMPLATE.FAT&amp;display_string=Audit&amp;VAR:KEY=NQHABSFYPG&amp;VAR:QUERY=RkZfRVBTX0RJTChBTk4sMCwsLFJGKQ==&amp;WINDOW=FIRST_POPUP&amp;HEIGHT=450&amp;WIDTH=450&amp;START_MAXIMI","ZED=FALSE&amp;VAR:CALENDAR=FIVEDAY&amp;VAR:SYMBOL=564156&amp;VAR:INDEX=0"}</definedName>
    <definedName name="_675__FDSAUDITLINK__" hidden="1">{"fdsup://directions/FAT Viewer?action=UPDATE&amp;creator=factset&amp;DYN_ARGS=TRUE&amp;DOC_NAME=FAT:FQL_AUDITING_CLIENT_TEMPLATE.FAT&amp;display_string=Audit&amp;VAR:KEY=FKFKNCZSDO&amp;VAR:QUERY=RkZfRVBTX0RJTChBTk4sLTEsLCxSRik=&amp;WINDOW=FIRST_POPUP&amp;HEIGHT=450&amp;WIDTH=450&amp;START_MAXIMI","ZED=FALSE&amp;VAR:CALENDAR=FIVEDAY&amp;VAR:SYMBOL=564156&amp;VAR:INDEX=0"}</definedName>
    <definedName name="_676__FDSAUDITLINK__" hidden="1">{"fdsup://directions/FAT Viewer?action=UPDATE&amp;creator=factset&amp;DYN_ARGS=TRUE&amp;DOC_NAME=FAT:FQL_AUDITING_CLIENT_TEMPLATE.FAT&amp;display_string=Audit&amp;VAR:KEY=VGLSPWVGPM&amp;VAR:QUERY=RkZfRUJJVF9PUEVSKEFOTiwwLCwsUkYp&amp;WINDOW=FIRST_POPUP&amp;HEIGHT=450&amp;WIDTH=450&amp;START_MAXIMI","ZED=FALSE&amp;VAR:CALENDAR=FIVEDAY&amp;VAR:SYMBOL=564156&amp;VAR:INDEX=0"}</definedName>
    <definedName name="_677__FDSAUDITLINK__" hidden="1">{"fdsup://directions/FAT Viewer?action=UPDATE&amp;creator=factset&amp;DYN_ARGS=TRUE&amp;DOC_NAME=FAT:FQL_AUDITING_CLIENT_TEMPLATE.FAT&amp;display_string=Audit&amp;VAR:KEY=NCZODYPIBS&amp;VAR:QUERY=RkZfRUJJVF9PUEVSKEFOTiwtMSwsLFJGKQ==&amp;WINDOW=FIRST_POPUP&amp;HEIGHT=450&amp;WIDTH=450&amp;START_MA","XIMIZED=FALSE&amp;VAR:CALENDAR=FIVEDAY&amp;VAR:SYMBOL=564156&amp;VAR:INDEX=0"}</definedName>
    <definedName name="_678__FDSAUDITLINK__" hidden="1">{"fdsup://Directions/FactSet Auditing Viewer?action=AUDIT_VALUE&amp;DB=129&amp;ID1=564156&amp;VALUEID=01151&amp;SDATE=2011&amp;PERIODTYPE=ANN_STD&amp;SCFT=3&amp;window=popup_no_bar&amp;width=385&amp;height=120&amp;START_MAXIMIZED=FALSE&amp;creator=factset&amp;display_string=Audit"}</definedName>
    <definedName name="_679__FDSAUDITLINK__" hidden="1">{"fdsup://Directions/FactSet Auditing Viewer?action=AUDIT_VALUE&amp;DB=129&amp;ID1=564156&amp;VALUEID=01151&amp;SDATE=2010&amp;PERIODTYPE=ANN_STD&amp;SCFT=3&amp;window=popup_no_bar&amp;width=385&amp;height=120&amp;START_MAXIMIZED=FALSE&amp;creator=factset&amp;display_string=Audit"}</definedName>
    <definedName name="_68__123Graph_BSS6_B" hidden="1">#N/A</definedName>
    <definedName name="_68__123Graph_XC04C_ALL_T1" hidden="1">#REF!</definedName>
    <definedName name="_68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680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681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682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683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684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685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686__FDSAUDITLINK__" hidden="1">{"fdsup://Directions/FactSet Auditing Viewer?action=AUDIT_VALUE&amp;DB=129&amp;ID1=564156&amp;VALUEID=03040&amp;SDATE=2011&amp;PERIODTYPE=ANN_STD&amp;SCFT=3&amp;window=popup_no_bar&amp;width=385&amp;height=120&amp;START_MAXIMIZED=FALSE&amp;creator=factset&amp;display_string=Audit"}</definedName>
    <definedName name="_687__FDSAUDITLINK__" hidden="1">{"fdsup://Directions/FactSet Auditing Viewer?action=AUDIT_VALUE&amp;DB=129&amp;ID1=564156&amp;VALUEID=02051&amp;SDATE=2011&amp;PERIODTYPE=ANN_STD&amp;SCFT=3&amp;window=popup_no_bar&amp;width=385&amp;height=120&amp;START_MAXIMIZED=FALSE&amp;creator=factset&amp;display_string=Audit"}</definedName>
    <definedName name="_688__FDSAUDITLINK__" hidden="1">{"fdsup://Directions/FactSet Auditing Viewer?action=AUDIT_VALUE&amp;DB=129&amp;ID1=564156&amp;VALUEID=02101&amp;SDATE=2011&amp;PERIODTYPE=ANN_STD&amp;SCFT=3&amp;window=popup_no_bar&amp;width=385&amp;height=120&amp;START_MAXIMIZED=FALSE&amp;creator=factset&amp;display_string=Audit"}</definedName>
    <definedName name="_689__FDSAUDITLINK__" hidden="1">{"fdsup://Directions/FactSet Auditing Viewer?action=AUDIT_VALUE&amp;DB=129&amp;ID1=564156&amp;VALUEID=02501&amp;SDATE=2011&amp;PERIODTYPE=ANN_STD&amp;SCFT=3&amp;window=popup_no_bar&amp;width=385&amp;height=120&amp;START_MAXIMIZED=FALSE&amp;creator=factset&amp;display_string=Audit"}</definedName>
    <definedName name="_69__123Graph_BSTD_A" hidden="1">#N/A</definedName>
    <definedName name="_69__123Graph_Bｸﾞﾗﾌ_3" hidden="1">#REF!</definedName>
    <definedName name="_69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690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691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692__FDSAUDITLINK__" hidden="1">{"fdsup://Directions/FactSet Auditing Viewer?action=AUDIT_VALUE&amp;DB=129&amp;ID1=088470&amp;VALUEID=01401&amp;SDATE=2010&amp;PERIODTYPE=ANN_STD&amp;SCFT=3&amp;window=popup_no_bar&amp;width=385&amp;height=120&amp;START_MAXIMIZED=FALSE&amp;creator=factset&amp;display_string=Audit"}</definedName>
    <definedName name="_693__FDSAUDITLINK__" hidden="1">{"fdsup://Directions/FactSet Auditing Viewer?action=AUDIT_VALUE&amp;DB=129&amp;ID1=088470&amp;VALUEID=01401&amp;SDATE=2009&amp;PERIODTYPE=ANN_STD&amp;SCFT=3&amp;window=popup_no_bar&amp;width=385&amp;height=120&amp;START_MAXIMIZED=FALSE&amp;creator=factset&amp;display_string=Audit"}</definedName>
    <definedName name="_694__FDSAUDITLINK__" hidden="1">{"fdsup://directions/FAT Viewer?action=UPDATE&amp;creator=factset&amp;DYN_ARGS=TRUE&amp;DOC_NAME=FAT:FQL_AUDITING_CLIENT_TEMPLATE.FAT&amp;display_string=Audit&amp;VAR:KEY=ZMHERWHUXQ&amp;VAR:QUERY=RkZfRVBTX0RJTChBTk4sMCwsLFJGKQ==&amp;WINDOW=FIRST_POPUP&amp;HEIGHT=450&amp;WIDTH=450&amp;START_MAXIMI","ZED=FALSE&amp;VAR:CALENDAR=FIVEDAY&amp;VAR:SYMBOL=088470&amp;VAR:INDEX=0"}</definedName>
    <definedName name="_695__FDSAUDITLINK__" hidden="1">{"fdsup://directions/FAT Viewer?action=UPDATE&amp;creator=factset&amp;DYN_ARGS=TRUE&amp;DOC_NAME=FAT:FQL_AUDITING_CLIENT_TEMPLATE.FAT&amp;display_string=Audit&amp;VAR:KEY=LODANYLONW&amp;VAR:QUERY=RkZfRVBTX0RJTChBTk4sLTEsLCxSRik=&amp;WINDOW=FIRST_POPUP&amp;HEIGHT=450&amp;WIDTH=450&amp;START_MAXIMI","ZED=FALSE&amp;VAR:CALENDAR=FIVEDAY&amp;VAR:SYMBOL=088470&amp;VAR:INDEX=0"}</definedName>
    <definedName name="_696__FDSAUDITLINK__" hidden="1">{"fdsup://directions/FAT Viewer?action=UPDATE&amp;creator=factset&amp;DYN_ARGS=TRUE&amp;DOC_NAME=FAT:FQL_AUDITING_CLIENT_TEMPLATE.FAT&amp;display_string=Audit&amp;VAR:KEY=BOLEFSDQDY&amp;VAR:QUERY=RkZfRUJJVF9PUEVSKEFOTiwwLCwsUkYp&amp;WINDOW=FIRST_POPUP&amp;HEIGHT=450&amp;WIDTH=450&amp;START_MAXIMI","ZED=FALSE&amp;VAR:CALENDAR=FIVEDAY&amp;VAR:SYMBOL=088470&amp;VAR:INDEX=0"}</definedName>
    <definedName name="_697__FDSAUDITLINK__" hidden="1">{"fdsup://directions/FAT Viewer?action=UPDATE&amp;creator=factset&amp;DYN_ARGS=TRUE&amp;DOC_NAME=FAT:FQL_AUDITING_CLIENT_TEMPLATE.FAT&amp;display_string=Audit&amp;VAR:KEY=DIVIFWJURE&amp;VAR:QUERY=RkZfRUJJVF9PUEVSKEFOTiwtMSwsLFJGKQ==&amp;WINDOW=FIRST_POPUP&amp;HEIGHT=450&amp;WIDTH=450&amp;START_MA","XIMIZED=FALSE&amp;VAR:CALENDAR=FIVEDAY&amp;VAR:SYMBOL=088470&amp;VAR:INDEX=0"}</definedName>
    <definedName name="_698__FDSAUDITLINK__" hidden="1">{"fdsup://Directions/FactSet Auditing Viewer?action=AUDIT_VALUE&amp;DB=129&amp;ID1=088470&amp;VALUEID=01151&amp;SDATE=2011&amp;PERIODTYPE=ANN_STD&amp;SCFT=3&amp;window=popup_no_bar&amp;width=385&amp;height=120&amp;START_MAXIMIZED=FALSE&amp;creator=factset&amp;display_string=Audit"}</definedName>
    <definedName name="_699__FDSAUDITLINK__" hidden="1">{"fdsup://Directions/FactSet Auditing Viewer?action=AUDIT_VALUE&amp;DB=129&amp;ID1=088470&amp;VALUEID=01151&amp;SDATE=2010&amp;PERIODTYPE=ANN_STD&amp;SCFT=3&amp;window=popup_no_bar&amp;width=385&amp;height=120&amp;START_MAXIMIZED=FALSE&amp;creator=factset&amp;display_string=Audit"}</definedName>
    <definedName name="_6ALA642C761" hidden="1">#N/A</definedName>
    <definedName name="_7__123Graph_ACHART_1" hidden="1">#REF!</definedName>
    <definedName name="_7__123Graph_ACHART_5" hidden="1">#REF!</definedName>
    <definedName name="_7__123Graph_AUNIT_BY_OEM" hidden="1">#REF!</definedName>
    <definedName name="_7__123Graph_BCHART_3" hidden="1">#REF!</definedName>
    <definedName name="_7__123Graph_BCHART_4" hidden="1">#REF!</definedName>
    <definedName name="_7__123Graph_CChart_1A" hidden="1">#REF!</definedName>
    <definedName name="_7__123Graph_DCHART_1" hidden="1">#REF!</definedName>
    <definedName name="_7__123Graph_XCHART_1" hidden="1">#REF!</definedName>
    <definedName name="_7__FDSAUDITLINK__" hidden="1">{"fdsup://directions/FAT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7_123Grap" hidden="1">#REF!</definedName>
    <definedName name="_70__123Graph_Bｸﾞﾗﾌ_4" hidden="1">#REF!</definedName>
    <definedName name="_70__123Graph_C_Chart_1A" hidden="1">#N/A</definedName>
    <definedName name="_70__123Graph_CCHART_3" hidden="1">#REF!</definedName>
    <definedName name="_70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700__FDSAUDITLINK__" hidden="1">{"fdsup://Directions/FactSet Auditing Viewer?action=AUDIT_VALUE&amp;DB=129&amp;ID1=088470&amp;VALUEID=04049&amp;SDATE=2010&amp;PERIODTYPE=ANN_STD&amp;SCFT=3&amp;window=popup_no_bar&amp;width=385&amp;height=120&amp;START_MAXIMIZED=FALSE&amp;creator=factset&amp;display_string=Audit"}</definedName>
    <definedName name="_701__FDSAUDITLINK__" hidden="1">{"fdsup://Directions/FactSet Auditing Viewer?action=AUDIT_VALUE&amp;DB=129&amp;ID1=088470&amp;VALUEID=18140&amp;SDATE=2010&amp;PERIODTYPE=ANN_STD&amp;SCFT=3&amp;window=popup_no_bar&amp;width=385&amp;height=120&amp;START_MAXIMIZED=FALSE&amp;creator=factset&amp;display_string=Audit"}</definedName>
    <definedName name="_702__FDSAUDITLINK__" hidden="1">{"fdsup://Directions/FactSet Auditing Viewer?action=AUDIT_VALUE&amp;DB=129&amp;ID1=088470&amp;VALUEID=18140&amp;SDATE=2009&amp;PERIODTYPE=ANN_STD&amp;SCFT=3&amp;window=popup_no_bar&amp;width=385&amp;height=120&amp;START_MAXIMIZED=FALSE&amp;creator=factset&amp;display_string=Audit"}</definedName>
    <definedName name="_703__FDSAUDITLINK__" hidden="1">{"fdsup://Directions/FactSet Auditing Viewer?action=AUDIT_VALUE&amp;DB=129&amp;ID1=088470&amp;VALUEID=01001&amp;SDATE=2010&amp;PERIODTYPE=ANN_STD&amp;SCFT=3&amp;window=popup_no_bar&amp;width=385&amp;height=120&amp;START_MAXIMIZED=FALSE&amp;creator=factset&amp;display_string=Audit"}</definedName>
    <definedName name="_704__FDSAUDITLINK__" hidden="1">{"fdsup://Directions/FactSet Auditing Viewer?action=AUDIT_VALUE&amp;DB=129&amp;ID1=088470&amp;VALUEID=01001&amp;SDATE=2009&amp;PERIODTYPE=ANN_STD&amp;SCFT=3&amp;window=popup_no_bar&amp;width=385&amp;height=120&amp;START_MAXIMIZED=FALSE&amp;creator=factset&amp;display_string=Audit"}</definedName>
    <definedName name="_705__FDSAUDITLINK__" hidden="1">{"fdsup://Directions/FactSet Auditing Viewer?action=AUDIT_VALUE&amp;DB=129&amp;ID1=088470&amp;VALUEID=02501&amp;SDATE=2011&amp;PERIODTYPE=ANN_STD&amp;SCFT=3&amp;window=popup_no_bar&amp;width=385&amp;height=120&amp;START_MAXIMIZED=FALSE&amp;creator=factset&amp;display_string=Audit"}</definedName>
    <definedName name="_706__FDSAUDITLINK__" hidden="1">{"fdsup://Directions/FactSet Auditing Viewer?action=AUDIT_VALUE&amp;DB=129&amp;ID1=088470&amp;VALUEID=03426&amp;SDATE=2011&amp;PERIODTYPE=ANN_STD&amp;SCFT=3&amp;window=popup_no_bar&amp;width=385&amp;height=120&amp;START_MAXIMIZED=FALSE&amp;creator=factset&amp;display_string=Audit"}</definedName>
    <definedName name="_707__FDSAUDITLINK__" hidden="1">{"fdsup://Directions/FactSet Auditing Viewer?action=AUDIT_VALUE&amp;DB=129&amp;ID1=088470&amp;VALUEID=02001&amp;SDATE=2011&amp;PERIODTYPE=ANN_STD&amp;SCFT=3&amp;window=popup_no_bar&amp;width=385&amp;height=120&amp;START_MAXIMIZED=FALSE&amp;creator=factset&amp;display_string=Audit"}</definedName>
    <definedName name="_708__FDSAUDITLINK__" hidden="1">{"fdsup://Directions/FactSet Auditing Viewer?action=AUDIT_VALUE&amp;DB=129&amp;ID1=93114210&amp;VALUEID=01401&amp;SDATE=2011&amp;PERIODTYPE=ANN_STD&amp;SCFT=3&amp;window=popup_no_bar&amp;width=385&amp;height=120&amp;START_MAXIMIZED=FALSE&amp;creator=factset&amp;display_string=Audit"}</definedName>
    <definedName name="_709__FDSAUDITLINK__" hidden="1">{"fdsup://Directions/FactSet Auditing Viewer?action=AUDIT_VALUE&amp;DB=129&amp;ID1=93114210&amp;VALUEID=01401&amp;SDATE=2010&amp;PERIODTYPE=ANN_STD&amp;SCFT=3&amp;window=popup_no_bar&amp;width=385&amp;height=120&amp;START_MAXIMIZED=FALSE&amp;creator=factset&amp;display_string=Audit"}</definedName>
    <definedName name="_71__123Graph_CCHART_10" hidden="1">#N/A</definedName>
    <definedName name="_71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710__FDSAUDITLINK__" hidden="1">{"fdsup://directions/FAT Viewer?action=UPDATE&amp;creator=factset&amp;DYN_ARGS=TRUE&amp;DOC_NAME=FAT:FQL_AUDITING_CLIENT_TEMPLATE.FAT&amp;display_string=Audit&amp;VAR:KEY=ZQXCDWFSBC&amp;VAR:QUERY=RkZfRVBTX0RJTChBTk4sMCwsLFJGKQ==&amp;WINDOW=FIRST_POPUP&amp;HEIGHT=450&amp;WIDTH=450&amp;START_MAXIMI","ZED=FALSE&amp;VAR:CALENDAR=FIVEDAY&amp;VAR:SYMBOL=93114210&amp;VAR:INDEX=0"}</definedName>
    <definedName name="_711__FDSAUDITLINK__" hidden="1">{"fdsup://directions/FAT Viewer?action=UPDATE&amp;creator=factset&amp;DYN_ARGS=TRUE&amp;DOC_NAME=FAT:FQL_AUDITING_CLIENT_TEMPLATE.FAT&amp;display_string=Audit&amp;VAR:KEY=VODOVGPMZU&amp;VAR:QUERY=RkZfRVBTX0RJTChBTk4sLTEsLCxSRik=&amp;WINDOW=FIRST_POPUP&amp;HEIGHT=450&amp;WIDTH=450&amp;START_MAXIMI","ZED=FALSE&amp;VAR:CALENDAR=FIVEDAY&amp;VAR:SYMBOL=93114210&amp;VAR:INDEX=0"}</definedName>
    <definedName name="_712__FDSAUDITLINK__" hidden="1">{"fdsup://directions/FAT Viewer?action=UPDATE&amp;creator=factset&amp;DYN_ARGS=TRUE&amp;DOC_NAME=FAT:FQL_AUDITING_CLIENT_TEMPLATE.FAT&amp;display_string=Audit&amp;VAR:KEY=RIBQDEFMBU&amp;VAR:QUERY=RkZfRUJJVF9PUEVSKEFOTiwwLCwsUkYp&amp;WINDOW=FIRST_POPUP&amp;HEIGHT=450&amp;WIDTH=450&amp;START_MAXIMI","ZED=FALSE&amp;VAR:CALENDAR=FIVEDAY&amp;VAR:SYMBOL=93114210&amp;VAR:INDEX=0"}</definedName>
    <definedName name="_713__FDSAUDITLINK__" hidden="1">{"fdsup://directions/FAT Viewer?action=UPDATE&amp;creator=factset&amp;DYN_ARGS=TRUE&amp;DOC_NAME=FAT:FQL_AUDITING_CLIENT_TEMPLATE.FAT&amp;display_string=Audit&amp;VAR:KEY=RMFOJSFSJW&amp;VAR:QUERY=RkZfRUJJVF9PUEVSKEFOTiwtMSwsLFJGKQ==&amp;WINDOW=FIRST_POPUP&amp;HEIGHT=450&amp;WIDTH=450&amp;START_MA","XIMIZED=FALSE&amp;VAR:CALENDAR=FIVEDAY&amp;VAR:SYMBOL=93114210&amp;VAR:INDEX=0"}</definedName>
    <definedName name="_714__FDSAUDITLINK__" hidden="1">{"fdsup://Directions/FactSet Auditing Viewer?action=AUDIT_VALUE&amp;DB=129&amp;ID1=93114210&amp;VALUEID=01151&amp;SDATE=2011&amp;PERIODTYPE=ANN_STD&amp;SCFT=3&amp;window=popup_no_bar&amp;width=385&amp;height=120&amp;START_MAXIMIZED=FALSE&amp;creator=factset&amp;display_string=Audit"}</definedName>
    <definedName name="_715__FDSAUDITLINK__" hidden="1">{"fdsup://Directions/FactSet Auditing Viewer?action=AUDIT_VALUE&amp;DB=129&amp;ID1=93114210&amp;VALUEID=01151&amp;SDATE=2010&amp;PERIODTYPE=ANN_STD&amp;SCFT=3&amp;window=popup_no_bar&amp;width=385&amp;height=120&amp;START_MAXIMIZED=FALSE&amp;creator=factset&amp;display_string=Audit"}</definedName>
    <definedName name="_716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717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718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719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72__123Graph_CCHART_11" hidden="1">#N/A</definedName>
    <definedName name="_72__123Graph_XC04C_ALL_T2" hidden="1">#REF!</definedName>
    <definedName name="_72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720__FDSAUDITLINK__" hidden="1">{"fdsup://Directions/FactSet Auditing Viewer?action=AUDIT_VALUE&amp;DB=129&amp;ID1=93114210&amp;VALUEID=01001&amp;SDATE=2011&amp;PERIODTYPE=ANN_STD&amp;SCFT=3&amp;window=popup_no_bar&amp;width=385&amp;height=120&amp;START_MAXIMIZED=FALSE&amp;creator=factset&amp;display_string=Audit"}</definedName>
    <definedName name="_721__FDSAUDITLINK__" hidden="1">{"fdsup://Directions/FactSet Auditing Viewer?action=AUDIT_VALUE&amp;DB=129&amp;ID1=93114210&amp;VALUEID=01001&amp;SDATE=2010&amp;PERIODTYPE=ANN_STD&amp;SCFT=3&amp;window=popup_no_bar&amp;width=385&amp;height=120&amp;START_MAXIMIZED=FALSE&amp;creator=factset&amp;display_string=Audit"}</definedName>
    <definedName name="_722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723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724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725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726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727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728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729__FDSAUDITLINK__" hidden="1">{"fdsup://Directions/FactSet Auditing Viewer?action=AUDIT_VALUE&amp;DB=129&amp;ID1=564156&amp;VALUEID=01401&amp;SDATE=2010&amp;PERIODTYPE=ANN_STD&amp;SCFT=3&amp;window=popup_no_bar&amp;width=385&amp;height=120&amp;START_MAXIMIZED=FALSE&amp;creator=factset&amp;display_string=Audit"}</definedName>
    <definedName name="_73__123Graph_CCHART_12" hidden="1">#N/A</definedName>
    <definedName name="_73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730__FDSAUDITLINK__" hidden="1">{"fdsup://directions/FAT Viewer?action=UPDATE&amp;creator=factset&amp;DYN_ARGS=TRUE&amp;DOC_NAME=FAT:FQL_AUDITING_CLIENT_TEMPLATE.FAT&amp;display_string=Audit&amp;VAR:KEY=XSXMRQRWBW&amp;VAR:QUERY=RkZfRVBTX0RJTChBTk4sMCwsLFJGKQ==&amp;WINDOW=FIRST_POPUP&amp;HEIGHT=450&amp;WIDTH=450&amp;START_MAXIMI","ZED=FALSE&amp;VAR:CALENDAR=FIVEDAY&amp;VAR:SYMBOL=564156&amp;VAR:INDEX=0"}</definedName>
    <definedName name="_731__FDSAUDITLINK__" hidden="1">{"fdsup://directions/FAT Viewer?action=UPDATE&amp;creator=factset&amp;DYN_ARGS=TRUE&amp;DOC_NAME=FAT:FQL_AUDITING_CLIENT_TEMPLATE.FAT&amp;display_string=Audit&amp;VAR:KEY=HYNAJCPEDQ&amp;VAR:QUERY=RkZfRVBTX0RJTChBTk4sLTEsLCxSRik=&amp;WINDOW=FIRST_POPUP&amp;HEIGHT=450&amp;WIDTH=450&amp;START_MAXIMI","ZED=FALSE&amp;VAR:CALENDAR=FIVEDAY&amp;VAR:SYMBOL=564156&amp;VAR:INDEX=0"}</definedName>
    <definedName name="_732__FDSAUDITLINK__" hidden="1">{"fdsup://directions/FAT Viewer?action=UPDATE&amp;creator=factset&amp;DYN_ARGS=TRUE&amp;DOC_NAME=FAT:FQL_AUDITING_CLIENT_TEMPLATE.FAT&amp;display_string=Audit&amp;VAR:KEY=RCJMVUHUVM&amp;VAR:QUERY=RkZfRUJJVF9PUEVSKEFOTiwwLCwsUkYp&amp;WINDOW=FIRST_POPUP&amp;HEIGHT=450&amp;WIDTH=450&amp;START_MAXIMI","ZED=FALSE&amp;VAR:CALENDAR=FIVEDAY&amp;VAR:SYMBOL=564156&amp;VAR:INDEX=0"}</definedName>
    <definedName name="_733__FDSAUDITLINK__" hidden="1">{"fdsup://directions/FAT Viewer?action=UPDATE&amp;creator=factset&amp;DYN_ARGS=TRUE&amp;DOC_NAME=FAT:FQL_AUDITING_CLIENT_TEMPLATE.FAT&amp;display_string=Audit&amp;VAR:KEY=XKFAPUBGZI&amp;VAR:QUERY=RkZfRUJJVF9PUEVSKEFOTiwtMSwsLFJGKQ==&amp;WINDOW=FIRST_POPUP&amp;HEIGHT=450&amp;WIDTH=450&amp;START_MA","XIMIZED=FALSE&amp;VAR:CALENDAR=FIVEDAY&amp;VAR:SYMBOL=564156&amp;VAR:INDEX=0"}</definedName>
    <definedName name="_734__FDSAUDITLINK__" hidden="1">{"fdsup://Directions/FactSet Auditing Viewer?action=AUDIT_VALUE&amp;DB=129&amp;ID1=564156&amp;VALUEID=01151&amp;SDATE=2011&amp;PERIODTYPE=ANN_STD&amp;SCFT=3&amp;window=popup_no_bar&amp;width=385&amp;height=120&amp;START_MAXIMIZED=FALSE&amp;creator=factset&amp;display_string=Audit"}</definedName>
    <definedName name="_735__FDSAUDITLINK__" hidden="1">{"fdsup://Directions/FactSet Auditing Viewer?action=AUDIT_VALUE&amp;DB=129&amp;ID1=564156&amp;VALUEID=01151&amp;SDATE=2010&amp;PERIODTYPE=ANN_STD&amp;SCFT=3&amp;window=popup_no_bar&amp;width=385&amp;height=120&amp;START_MAXIMIZED=FALSE&amp;creator=factset&amp;display_string=Audit"}</definedName>
    <definedName name="_736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737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738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739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74__123Graph_CCHART_13" hidden="1">#N/A</definedName>
    <definedName name="_74__123Graph_Cｸﾞﾗﾌ_1" hidden="1">#REF!</definedName>
    <definedName name="_74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740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741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742__FDSAUDITLINK__" hidden="1">{"fdsup://Directions/FactSet Auditing Viewer?action=AUDIT_VALUE&amp;DB=129&amp;ID1=564156&amp;VALUEID=03040&amp;SDATE=2011&amp;PERIODTYPE=ANN_STD&amp;SCFT=3&amp;window=popup_no_bar&amp;width=385&amp;height=120&amp;START_MAXIMIZED=FALSE&amp;creator=factset&amp;display_string=Audit"}</definedName>
    <definedName name="_743__FDSAUDITLINK__" hidden="1">{"fdsup://Directions/FactSet Auditing Viewer?action=AUDIT_VALUE&amp;DB=129&amp;ID1=564156&amp;VALUEID=02051&amp;SDATE=2011&amp;PERIODTYPE=ANN_STD&amp;SCFT=3&amp;window=popup_no_bar&amp;width=385&amp;height=120&amp;START_MAXIMIZED=FALSE&amp;creator=factset&amp;display_string=Audit"}</definedName>
    <definedName name="_744__FDSAUDITLINK__" hidden="1">{"fdsup://Directions/FactSet Auditing Viewer?action=AUDIT_VALUE&amp;DB=129&amp;ID1=564156&amp;VALUEID=02101&amp;SDATE=2011&amp;PERIODTYPE=ANN_STD&amp;SCFT=3&amp;window=popup_no_bar&amp;width=385&amp;height=120&amp;START_MAXIMIZED=FALSE&amp;creator=factset&amp;display_string=Audit"}</definedName>
    <definedName name="_745__FDSAUDITLINK__" hidden="1">{"fdsup://Directions/FactSet Auditing Viewer?action=AUDIT_VALUE&amp;DB=129&amp;ID1=564156&amp;VALUEID=02501&amp;SDATE=2011&amp;PERIODTYPE=ANN_STD&amp;SCFT=3&amp;window=popup_no_bar&amp;width=385&amp;height=120&amp;START_MAXIMIZED=FALSE&amp;creator=factset&amp;display_string=Audit"}</definedName>
    <definedName name="_746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747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748__FDSAUDITLINK__" hidden="1">{"fdsup://Directions/FactSet Auditing Viewer?action=AUDIT_VALUE&amp;DB=129&amp;ID1=088470&amp;VALUEID=02501&amp;SDATE=2011&amp;PERIODTYPE=ANN_STD&amp;SCFT=3&amp;window=popup_no_bar&amp;width=385&amp;height=120&amp;START_MAXIMIZED=FALSE&amp;creator=factset&amp;display_string=Audit"}</definedName>
    <definedName name="_749__FDSAUDITLINK__" hidden="1">{"fdsup://directions/FAT Viewer?action=UPDATE&amp;creator=factset&amp;DYN_ARGS=TRUE&amp;DOC_NAME=FAT:FQL_AUDITING_CLIENT_TEMPLATE.FAT&amp;display_string=Audit&amp;VAR:KEY=BOLEFSDQDY&amp;VAR:QUERY=RkZfRUJJVF9PUEVSKEFOTiwwLCwsUkYp&amp;WINDOW=FIRST_POPUP&amp;HEIGHT=450&amp;WIDTH=450&amp;START_MAXIMI","ZED=FALSE&amp;VAR:CALENDAR=FIVEDAY&amp;VAR:SYMBOL=088470&amp;VAR:INDEX=0"}</definedName>
    <definedName name="_75__123Graph_CCHART_14" hidden="1">#N/A</definedName>
    <definedName name="_75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750__FDSAUDITLINK__" hidden="1">{"fdsup://directions/FAT Viewer?action=UPDATE&amp;creator=factset&amp;DYN_ARGS=TRUE&amp;DOC_NAME=FAT:FQL_AUDITING_CLIENT_TEMPLATE.FAT&amp;display_string=Audit&amp;VAR:KEY=ZMHERWHUXQ&amp;VAR:QUERY=RkZfRVBTX0RJTChBTk4sMCwsLFJGKQ==&amp;WINDOW=FIRST_POPUP&amp;HEIGHT=450&amp;WIDTH=450&amp;START_MAXIMI","ZED=FALSE&amp;VAR:CALENDAR=FIVEDAY&amp;VAR:SYMBOL=088470&amp;VAR:INDEX=0"}</definedName>
    <definedName name="_751__FDSAUDITLINK__" hidden="1">{"fdsup://Directions/FactSet Auditing Viewer?action=AUDIT_VALUE&amp;DB=129&amp;ID1=088470&amp;VALUEID=04049&amp;SDATE=2010&amp;PERIODTYPE=ANN_STD&amp;SCFT=3&amp;window=popup_no_bar&amp;width=385&amp;height=120&amp;START_MAXIMIZED=FALSE&amp;creator=factset&amp;display_string=Audit"}</definedName>
    <definedName name="_752__FDSAUDITLINK__" hidden="1">{"fdsup://Directions/FactSet Auditing Viewer?action=AUDIT_VALUE&amp;DB=129&amp;ID1=088470&amp;VALUEID=18140&amp;SDATE=2010&amp;PERIODTYPE=ANN_STD&amp;SCFT=3&amp;window=popup_no_bar&amp;width=385&amp;height=120&amp;START_MAXIMIZED=FALSE&amp;creator=factset&amp;display_string=Audit"}</definedName>
    <definedName name="_753__FDSAUDITLINK__" hidden="1">{"fdsup://Directions/FactSet Auditing Viewer?action=AUDIT_VALUE&amp;DB=129&amp;ID1=088470&amp;VALUEID=18140&amp;SDATE=2009&amp;PERIODTYPE=ANN_STD&amp;SCFT=3&amp;window=popup_no_bar&amp;width=385&amp;height=120&amp;START_MAXIMIZED=FALSE&amp;creator=factset&amp;display_string=Audit"}</definedName>
    <definedName name="_754__FDSAUDITLINK__" hidden="1">{"fdsup://Directions/FactSet Auditing Viewer?action=AUDIT_VALUE&amp;DB=129&amp;ID1=088470&amp;VALUEID=01151&amp;SDATE=2011&amp;PERIODTYPE=ANN_STD&amp;SCFT=3&amp;window=popup_no_bar&amp;width=385&amp;height=120&amp;START_MAXIMIZED=FALSE&amp;creator=factset&amp;display_string=Audit"}</definedName>
    <definedName name="_755__FDSAUDITLINK__" hidden="1">{"fdsup://Directions/FactSet Auditing Viewer?action=AUDIT_VALUE&amp;DB=129&amp;ID1=93114210&amp;VALUEID=04049&amp;SDATE=2011&amp;PERIODTYPE=ANN_STD&amp;SCFT=3&amp;window=popup_no_bar&amp;width=385&amp;height=120&amp;START_MAXIMIZED=FALSE&amp;creator=factset&amp;display_string=Audit"}</definedName>
    <definedName name="_756__FDSAUDITLINK__" hidden="1">{"fdsup://Directions/FactSet Auditing Viewer?action=AUDIT_VALUE&amp;DB=129&amp;ID1=088470&amp;VALUEID=02001&amp;SDATE=2011&amp;PERIODTYPE=ANN_STD&amp;SCFT=3&amp;window=popup_no_bar&amp;width=385&amp;height=120&amp;START_MAXIMIZED=FALSE&amp;creator=factset&amp;display_string=Audit"}</definedName>
    <definedName name="_757__FDSAUDITLINK__" hidden="1">{"fdsup://Directions/FactSet Auditing Viewer?action=AUDIT_VALUE&amp;DB=129&amp;ID1=088470&amp;VALUEID=01001&amp;SDATE=2009&amp;PERIODTYPE=ANN_STD&amp;SCFT=3&amp;window=popup_no_bar&amp;width=385&amp;height=120&amp;START_MAXIMIZED=FALSE&amp;creator=factset&amp;display_string=Audit"}</definedName>
    <definedName name="_758__FDSAUDITLINK__" hidden="1">{"fdsup://Directions/FactSet Auditing Viewer?action=AUDIT_VALUE&amp;DB=129&amp;ID1=088470&amp;VALUEID=03426&amp;SDATE=2011&amp;PERIODTYPE=ANN_STD&amp;SCFT=3&amp;window=popup_no_bar&amp;width=385&amp;height=120&amp;START_MAXIMIZED=FALSE&amp;creator=factset&amp;display_string=Audit"}</definedName>
    <definedName name="_759__FDSAUDITLINK__" hidden="1">{"fdsup://Directions/FactSet Auditing Viewer?action=AUDIT_VALUE&amp;DB=129&amp;ID1=088470&amp;VALUEID=01001&amp;SDATE=2010&amp;PERIODTYPE=ANN_STD&amp;SCFT=3&amp;window=popup_no_bar&amp;width=385&amp;height=120&amp;START_MAXIMIZED=FALSE&amp;creator=factset&amp;display_string=Audit"}</definedName>
    <definedName name="_76__123Graph_CCHART_15" hidden="1">#N/A</definedName>
    <definedName name="_76__123Graph_XC04C_FF_L" hidden="1">#REF!</definedName>
    <definedName name="_76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760__FDSAUDITLINK__" hidden="1">{"fdsup://Directions/FactSet Auditing Viewer?action=AUDIT_VALUE&amp;DB=129&amp;ID1=088470&amp;VALUEID=01401&amp;SDATE=2010&amp;PERIODTYPE=ANN_STD&amp;SCFT=3&amp;window=popup_no_bar&amp;width=385&amp;height=120&amp;START_MAXIMIZED=FALSE&amp;creator=factset&amp;display_string=Audit"}</definedName>
    <definedName name="_761__FDSAUDITLINK__" hidden="1">{"fdsup://Directions/FactSet Auditing Viewer?action=AUDIT_VALUE&amp;DB=129&amp;ID1=93114210&amp;VALUEID=18140&amp;SDATE=2010&amp;PERIODTYPE=ANN_STD&amp;SCFT=3&amp;window=popup_no_bar&amp;width=385&amp;height=120&amp;START_MAXIMIZED=FALSE&amp;creator=factset&amp;display_string=Audit"}</definedName>
    <definedName name="_762__FDSAUDITLINK__" hidden="1">{"fdsup://Directions/FactSet Auditing Viewer?action=AUDIT_VALUE&amp;DB=129&amp;ID1=088470&amp;VALUEID=01151&amp;SDATE=2010&amp;PERIODTYPE=ANN_STD&amp;SCFT=3&amp;window=popup_no_bar&amp;width=385&amp;height=120&amp;START_MAXIMIZED=FALSE&amp;creator=factset&amp;display_string=Audit"}</definedName>
    <definedName name="_763__FDSAUDITLINK__" hidden="1">{"fdsup://Directions/FactSet Auditing Viewer?action=AUDIT_VALUE&amp;DB=129&amp;ID1=93114210&amp;VALUEID=02501&amp;SDATE=2011&amp;PERIODTYPE=ANN_STD&amp;SCFT=3&amp;window=popup_no_bar&amp;width=385&amp;height=120&amp;START_MAXIMIZED=FALSE&amp;creator=factset&amp;display_string=Audit"}</definedName>
    <definedName name="_764__FDSAUDITLINK__" hidden="1">{"fdsup://Directions/FactSet Auditing Viewer?action=AUDIT_VALUE&amp;DB=129&amp;ID1=93114210&amp;VALUEID=03426&amp;SDATE=2011&amp;PERIODTYPE=ANN_STD&amp;SCFT=3&amp;window=popup_no_bar&amp;width=385&amp;height=120&amp;START_MAXIMIZED=FALSE&amp;creator=factset&amp;display_string=Audit"}</definedName>
    <definedName name="_765__FDSAUDITLINK__" hidden="1">{"fdsup://Directions/FactSet Auditing Viewer?action=AUDIT_VALUE&amp;DB=129&amp;ID1=93114210&amp;VALUEID=02101&amp;SDATE=2011&amp;PERIODTYPE=ANN_STD&amp;SCFT=3&amp;window=popup_no_bar&amp;width=385&amp;height=120&amp;START_MAXIMIZED=FALSE&amp;creator=factset&amp;display_string=Audit"}</definedName>
    <definedName name="_766__FDSAUDITLINK__" hidden="1">{"fdsup://Directions/FactSet Auditing Viewer?action=AUDIT_VALUE&amp;DB=129&amp;ID1=93114210&amp;VALUEID=01001&amp;SDATE=2011&amp;PERIODTYPE=ANN_STD&amp;SCFT=3&amp;window=popup_no_bar&amp;width=385&amp;height=120&amp;START_MAXIMIZED=FALSE&amp;creator=factset&amp;display_string=Audit"}</definedName>
    <definedName name="_767__FDSAUDITLINK__" hidden="1">{"fdsup://directions/FAT Viewer?action=UPDATE&amp;creator=factset&amp;DYN_ARGS=TRUE&amp;DOC_NAME=FAT:FQL_AUDITING_CLIENT_TEMPLATE.FAT&amp;display_string=Audit&amp;VAR:KEY=DIVIFWJURE&amp;VAR:QUERY=RkZfRUJJVF9PUEVSKEFOTiwtMSwsLFJGKQ==&amp;WINDOW=FIRST_POPUP&amp;HEIGHT=450&amp;WIDTH=450&amp;START_MA","XIMIZED=FALSE&amp;VAR:CALENDAR=FIVEDAY&amp;VAR:SYMBOL=088470&amp;VAR:INDEX=0"}</definedName>
    <definedName name="_768__FDSAUDITLINK__" hidden="1">{"fdsup://directions/FAT Viewer?action=UPDATE&amp;creator=factset&amp;DYN_ARGS=TRUE&amp;DOC_NAME=FAT:FQL_AUDITING_CLIENT_TEMPLATE.FAT&amp;display_string=Audit&amp;VAR:KEY=LODANYLONW&amp;VAR:QUERY=RkZfRVBTX0RJTChBTk4sLTEsLCxSRik=&amp;WINDOW=FIRST_POPUP&amp;HEIGHT=450&amp;WIDTH=450&amp;START_MAXIMI","ZED=FALSE&amp;VAR:CALENDAR=FIVEDAY&amp;VAR:SYMBOL=088470&amp;VAR:INDEX=0"}</definedName>
    <definedName name="_769__FDSAUDITLINK__" hidden="1">{"fdsup://Directions/FactSet Auditing Viewer?action=AUDIT_VALUE&amp;DB=129&amp;ID1=088470&amp;VALUEID=01401&amp;SDATE=2009&amp;PERIODTYPE=ANN_STD&amp;SCFT=3&amp;window=popup_no_bar&amp;width=385&amp;height=120&amp;START_MAXIMIZED=FALSE&amp;creator=factset&amp;display_string=Audit"}</definedName>
    <definedName name="_77__123Graph_CCHART_16" hidden="1">#N/A</definedName>
    <definedName name="_77__123Graph_CCHART_8" hidden="1">#REF!</definedName>
    <definedName name="_77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770__FDSAUDITLINK__" hidden="1">{"fdsup://Directions/FactSet Auditing Viewer?action=AUDIT_VALUE&amp;DB=129&amp;ID1=93114210&amp;VALUEID=02001&amp;SDATE=2011&amp;PERIODTYPE=ANN_STD&amp;SCFT=3&amp;window=popup_no_bar&amp;width=385&amp;height=120&amp;START_MAXIMIZED=FALSE&amp;creator=factset&amp;display_string=Audit"}</definedName>
    <definedName name="_771__FDSAUDITLINK__" hidden="1">{"fdsup://Directions/FactSet Auditing Viewer?action=AUDIT_VALUE&amp;DB=129&amp;ID1=93114210&amp;VALUEID=03040&amp;SDATE=2011&amp;PERIODTYPE=ANN_STD&amp;SCFT=3&amp;window=popup_no_bar&amp;width=385&amp;height=120&amp;START_MAXIMIZED=FALSE&amp;creator=factset&amp;display_string=Audit"}</definedName>
    <definedName name="_772__FDSAUDITLINK__" hidden="1">{"fdsup://Directions/FactSet Auditing Viewer?action=AUDIT_VALUE&amp;DB=129&amp;ID1=93114210&amp;VALUEID=04049&amp;SDATE=2010&amp;PERIODTYPE=ANN_STD&amp;SCFT=3&amp;window=popup_no_bar&amp;width=385&amp;height=120&amp;START_MAXIMIZED=FALSE&amp;creator=factset&amp;display_string=Audit"}</definedName>
    <definedName name="_773__FDSAUDITLINK__" hidden="1">{"fdsup://directions/FAT Viewer?action=UPDATE&amp;creator=factset&amp;DYN_ARGS=TRUE&amp;DOC_NAME=FAT:FQL_AUDITING_CLIENT_TEMPLATE.FAT&amp;display_string=Audit&amp;VAR:KEY=VODOVGPMZU&amp;VAR:QUERY=RkZfRVBTX0RJTChBTk4sLTEsLCxSRik=&amp;WINDOW=FIRST_POPUP&amp;HEIGHT=450&amp;WIDTH=450&amp;START_MAXIMI","ZED=FALSE&amp;VAR:CALENDAR=FIVEDAY&amp;VAR:SYMBOL=93114210&amp;VAR:INDEX=0"}</definedName>
    <definedName name="_774__FDSAUDITLINK__" hidden="1">{"fdsup://Directions/FactSet Auditing Viewer?action=AUDIT_VALUE&amp;DB=129&amp;ID1=93114210&amp;VALUEID=01401&amp;SDATE=2010&amp;PERIODTYPE=ANN_STD&amp;SCFT=3&amp;window=popup_no_bar&amp;width=385&amp;height=120&amp;START_MAXIMIZED=FALSE&amp;creator=factset&amp;display_string=Audit"}</definedName>
    <definedName name="_775__FDSAUDITLINK__" hidden="1">{"fdsup://Directions/FactSet Auditing Viewer?action=AUDIT_VALUE&amp;DB=129&amp;ID1=564156&amp;VALUEID=02101&amp;SDATE=2011&amp;PERIODTYPE=ANN_STD&amp;SCFT=3&amp;window=popup_no_bar&amp;width=385&amp;height=120&amp;START_MAXIMIZED=FALSE&amp;creator=factset&amp;display_string=Audit"}</definedName>
    <definedName name="_776__FDSAUDITLINK__" hidden="1">{"fdsup://Directions/FactSet Auditing Viewer?action=AUDIT_VALUE&amp;DB=129&amp;ID1=564156&amp;VALUEID=18140&amp;SDATE=2010&amp;PERIODTYPE=ANN_STD&amp;SCFT=3&amp;window=popup_no_bar&amp;width=385&amp;height=120&amp;START_MAXIMIZED=FALSE&amp;creator=factset&amp;display_string=Audit"}</definedName>
    <definedName name="_777__FDSAUDITLINK__" hidden="1">{"fdsup://Directions/FactSet Auditing Viewer?action=AUDIT_VALUE&amp;DB=129&amp;ID1=93114210&amp;VALUEID=02051&amp;SDATE=2011&amp;PERIODTYPE=ANN_STD&amp;SCFT=3&amp;window=popup_no_bar&amp;width=385&amp;height=120&amp;START_MAXIMIZED=FALSE&amp;creator=factset&amp;display_string=Audit"}</definedName>
    <definedName name="_778__FDSAUDITLINK__" hidden="1">{"fdsup://Directions/FactSet Auditing Viewer?action=AUDIT_VALUE&amp;DB=129&amp;ID1=93114210&amp;VALUEID=01001&amp;SDATE=2010&amp;PERIODTYPE=ANN_STD&amp;SCFT=3&amp;window=popup_no_bar&amp;width=385&amp;height=120&amp;START_MAXIMIZED=FALSE&amp;creator=factset&amp;display_string=Audit"}</definedName>
    <definedName name="_779__FDSAUDITLINK__" hidden="1">{"fdsup://Directions/FactSet Auditing Viewer?action=AUDIT_VALUE&amp;DB=129&amp;ID1=93114210&amp;VALUEID=18140&amp;SDATE=2011&amp;PERIODTYPE=ANN_STD&amp;SCFT=3&amp;window=popup_no_bar&amp;width=385&amp;height=120&amp;START_MAXIMIZED=FALSE&amp;creator=factset&amp;display_string=Audit"}</definedName>
    <definedName name="_78__123Graph_CCHART_17" hidden="1">#N/A</definedName>
    <definedName name="_78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780__FDSAUDITLINK__" hidden="1">{"fdsup://Directions/FactSet Auditing Viewer?action=AUDIT_VALUE&amp;DB=129&amp;ID1=93114210&amp;VALUEID=01151&amp;SDATE=2010&amp;PERIODTYPE=ANN_STD&amp;SCFT=3&amp;window=popup_no_bar&amp;width=385&amp;height=120&amp;START_MAXIMIZED=FALSE&amp;creator=factset&amp;display_string=Audit"}</definedName>
    <definedName name="_781__FDSAUDITLINK__" hidden="1">{"fdsup://directions/FAT Viewer?action=UPDATE&amp;creator=factset&amp;DYN_ARGS=TRUE&amp;DOC_NAME=FAT:FQL_AUDITING_CLIENT_TEMPLATE.FAT&amp;display_string=Audit&amp;VAR:KEY=RMFOJSFSJW&amp;VAR:QUERY=RkZfRUJJVF9PUEVSKEFOTiwtMSwsLFJGKQ==&amp;WINDOW=FIRST_POPUP&amp;HEIGHT=450&amp;WIDTH=450&amp;START_MA","XIMIZED=FALSE&amp;VAR:CALENDAR=FIVEDAY&amp;VAR:SYMBOL=93114210&amp;VAR:INDEX=0"}</definedName>
    <definedName name="_782__FDSAUDITLINK__" hidden="1">{"fdsup://Directions/FactSet Auditing Viewer?action=AUDIT_VALUE&amp;DB=129&amp;ID1=93114210&amp;VALUEID=01151&amp;SDATE=2011&amp;PERIODTYPE=ANN_STD&amp;SCFT=3&amp;window=popup_no_bar&amp;width=385&amp;height=120&amp;START_MAXIMIZED=FALSE&amp;creator=factset&amp;display_string=Audit"}</definedName>
    <definedName name="_783__FDSAUDITLINK__" hidden="1">{"fdsup://Directions/FactSet Auditing Viewer?action=AUDIT_VALUE&amp;DB=129&amp;ID1=564156&amp;VALUEID=03426&amp;SDATE=2011&amp;PERIODTYPE=ANN_STD&amp;SCFT=3&amp;window=popup_no_bar&amp;width=385&amp;height=120&amp;START_MAXIMIZED=FALSE&amp;creator=factset&amp;display_string=Audit"}</definedName>
    <definedName name="_784__FDSAUDITLINK__" hidden="1">{"fdsup://Directions/FactSet Auditing Viewer?action=AUDIT_VALUE&amp;DB=129&amp;ID1=564156&amp;VALUEID=02051&amp;SDATE=2011&amp;PERIODTYPE=ANN_STD&amp;SCFT=3&amp;window=popup_no_bar&amp;width=385&amp;height=120&amp;START_MAXIMIZED=FALSE&amp;creator=factset&amp;display_string=Audit"}</definedName>
    <definedName name="_785__FDSAUDITLINK__" hidden="1">{"fdsup://Directions/FactSet Auditing Viewer?action=AUDIT_VALUE&amp;DB=129&amp;ID1=564156&amp;VALUEID=01001&amp;SDATE=2011&amp;PERIODTYPE=ANN_STD&amp;SCFT=3&amp;window=popup_no_bar&amp;width=385&amp;height=120&amp;START_MAXIMIZED=FALSE&amp;creator=factset&amp;display_string=Audit"}</definedName>
    <definedName name="_786__FDSAUDITLINK__" hidden="1">{"fdsup://directions/FAT Viewer?action=UPDATE&amp;creator=factset&amp;DYN_ARGS=TRUE&amp;DOC_NAME=FAT:FQL_AUDITING_CLIENT_TEMPLATE.FAT&amp;display_string=Audit&amp;VAR:KEY=RIBQDEFMBU&amp;VAR:QUERY=RkZfRUJJVF9PUEVSKEFOTiwwLCwsUkYp&amp;WINDOW=FIRST_POPUP&amp;HEIGHT=450&amp;WIDTH=450&amp;START_MAXIMI","ZED=FALSE&amp;VAR:CALENDAR=FIVEDAY&amp;VAR:SYMBOL=93114210&amp;VAR:INDEX=0"}</definedName>
    <definedName name="_787__FDSAUDITLINK__" hidden="1">{"fdsup://directions/FAT Viewer?action=UPDATE&amp;creator=factset&amp;DYN_ARGS=TRUE&amp;DOC_NAME=FAT:FQL_AUDITING_CLIENT_TEMPLATE.FAT&amp;display_string=Audit&amp;VAR:KEY=ZQXCDWFSBC&amp;VAR:QUERY=RkZfRVBTX0RJTChBTk4sMCwsLFJGKQ==&amp;WINDOW=FIRST_POPUP&amp;HEIGHT=450&amp;WIDTH=450&amp;START_MAXIMI","ZED=FALSE&amp;VAR:CALENDAR=FIVEDAY&amp;VAR:SYMBOL=93114210&amp;VAR:INDEX=0"}</definedName>
    <definedName name="_788__FDSAUDITLINK__" hidden="1">{"fdsup://Directions/FactSet Auditing Viewer?action=AUDIT_VALUE&amp;DB=129&amp;ID1=93114210&amp;VALUEID=01401&amp;SDATE=2011&amp;PERIODTYPE=ANN_STD&amp;SCFT=3&amp;window=popup_no_bar&amp;width=385&amp;height=120&amp;START_MAXIMIZED=FALSE&amp;creator=factset&amp;display_string=Audit"}</definedName>
    <definedName name="_789__FDSAUDITLINK__" hidden="1">{"fdsup://Directions/FactSet Auditing Viewer?action=AUDIT_VALUE&amp;DB=129&amp;ID1=564156&amp;VALUEID=02501&amp;SDATE=2011&amp;PERIODTYPE=ANN_STD&amp;SCFT=3&amp;window=popup_no_bar&amp;width=385&amp;height=120&amp;START_MAXIMIZED=FALSE&amp;creator=factset&amp;display_string=Audit"}</definedName>
    <definedName name="_79__123Graph_CCHART_18" hidden="1">#N/A</definedName>
    <definedName name="_79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790__FDSAUDITLINK__" hidden="1">{"fdsup://Directions/FactSet Auditing Viewer?action=AUDIT_VALUE&amp;DB=129&amp;ID1=564156&amp;VALUEID=01001&amp;SDATE=2010&amp;PERIODTYPE=ANN_STD&amp;SCFT=3&amp;window=popup_no_bar&amp;width=385&amp;height=120&amp;START_MAXIMIZED=FALSE&amp;creator=factset&amp;display_string=Audit"}</definedName>
    <definedName name="_791__FDSAUDITLINK__" hidden="1">{"fdsup://Directions/FactSet Auditing Viewer?action=AUDIT_VALUE&amp;DB=129&amp;ID1=564156&amp;VALUEID=02001&amp;SDATE=2011&amp;PERIODTYPE=ANN_STD&amp;SCFT=3&amp;window=popup_no_bar&amp;width=385&amp;height=120&amp;START_MAXIMIZED=FALSE&amp;creator=factset&amp;display_string=Audit"}</definedName>
    <definedName name="_792__FDSAUDITLINK__" hidden="1">{"fdsup://Directions/FactSet Auditing Viewer?action=AUDIT_VALUE&amp;DB=129&amp;ID1=564156&amp;VALUEID=03040&amp;SDATE=2011&amp;PERIODTYPE=ANN_STD&amp;SCFT=3&amp;window=popup_no_bar&amp;width=385&amp;height=120&amp;START_MAXIMIZED=FALSE&amp;creator=factset&amp;display_string=Audit"}</definedName>
    <definedName name="_793__FDSAUDITLINK__" hidden="1">{"fdsup://Directions/FactSet Auditing Viewer?action=AUDIT_VALUE&amp;DB=129&amp;ID1=564156&amp;VALUEID=04049&amp;SDATE=2010&amp;PERIODTYPE=ANN_STD&amp;SCFT=3&amp;window=popup_no_bar&amp;width=385&amp;height=120&amp;START_MAXIMIZED=FALSE&amp;creator=factset&amp;display_string=Audit"}</definedName>
    <definedName name="_794__FDSAUDITLINK__" hidden="1">{"fdsup://Directions/FactSet Auditing Viewer?action=AUDIT_VALUE&amp;DB=129&amp;ID1=564156&amp;VALUEID=01151&amp;SDATE=2010&amp;PERIODTYPE=ANN_STD&amp;SCFT=3&amp;window=popup_no_bar&amp;width=385&amp;height=120&amp;START_MAXIMIZED=FALSE&amp;creator=factset&amp;display_string=Audit"}</definedName>
    <definedName name="_795__FDSAUDITLINK__" hidden="1">{"fdsup://directions/FAT Viewer?action=UPDATE&amp;creator=factset&amp;DYN_ARGS=TRUE&amp;DOC_NAME=FAT:FQL_AUDITING_CLIENT_TEMPLATE.FAT&amp;display_string=Audit&amp;VAR:KEY=XKFAPUBGZI&amp;VAR:QUERY=RkZfRUJJVF9PUEVSKEFOTiwtMSwsLFJGKQ==&amp;WINDOW=FIRST_POPUP&amp;HEIGHT=450&amp;WIDTH=450&amp;START_MA","XIMIZED=FALSE&amp;VAR:CALENDAR=FIVEDAY&amp;VAR:SYMBOL=564156&amp;VAR:INDEX=0"}</definedName>
    <definedName name="_796__FDSAUDITLINK__" hidden="1">{"fdsup://Directions/FactSet Auditing Viewer?action=AUDIT_VALUE&amp;DB=129&amp;ID1=564156&amp;VALUEID=18140&amp;SDATE=2011&amp;PERIODTYPE=ANN_STD&amp;SCFT=3&amp;window=popup_no_bar&amp;width=385&amp;height=120&amp;START_MAXIMIZED=FALSE&amp;creator=factset&amp;display_string=Audit"}</definedName>
    <definedName name="_797__FDSAUDITLINK__" hidden="1">{"fdsup://directions/FAT Viewer?action=UPDATE&amp;creator=factset&amp;DYN_ARGS=TRUE&amp;DOC_NAME=FAT:FQL_AUDITING_CLIENT_TEMPLATE.FAT&amp;display_string=Audit&amp;VAR:KEY=HYNAJCPEDQ&amp;VAR:QUERY=RkZfRVBTX0RJTChBTk4sLTEsLCxSRik=&amp;WINDOW=FIRST_POPUP&amp;HEIGHT=450&amp;WIDTH=450&amp;START_MAXIMI","ZED=FALSE&amp;VAR:CALENDAR=FIVEDAY&amp;VAR:SYMBOL=564156&amp;VAR:INDEX=0"}</definedName>
    <definedName name="_798__FDSAUDITLINK__" hidden="1">{"fdsup://Directions/FactSet Auditing Viewer?action=AUDIT_VALUE&amp;DB=129&amp;ID1=564156&amp;VALUEID=01401&amp;SDATE=2010&amp;PERIODTYPE=ANN_STD&amp;SCFT=3&amp;window=popup_no_bar&amp;width=385&amp;height=120&amp;START_MAXIMIZED=FALSE&amp;creator=factset&amp;display_string=Audit"}</definedName>
    <definedName name="_799__FDSAUDITLINK__" hidden="1">{"fdsup://Directions/FactSet Auditing Viewer?action=AUDIT_VALUE&amp;DB=129&amp;ID1=564156&amp;VALUEID=01151&amp;SDATE=2011&amp;PERIODTYPE=ANN_STD&amp;SCFT=3&amp;window=popup_no_bar&amp;width=385&amp;height=120&amp;START_MAXIMIZED=FALSE&amp;creator=factset&amp;display_string=Audit"}</definedName>
    <definedName name="_7ALA642C761" hidden="1">#N/A</definedName>
    <definedName name="_7wrn.²Ä1­Ó¤ë1_Ü20¤H." hidden="1">{#N/A,#N/A,FALSE,"²Ä1­Ó¤ë"}</definedName>
    <definedName name="_8__123Graph_AC04C_ALL_L2" hidden="1">#REF!</definedName>
    <definedName name="_8__123Graph_ACHART_2" hidden="1">#REF!</definedName>
    <definedName name="_8__123Graph_ACHART_3" hidden="1">#REF!</definedName>
    <definedName name="_8__123Graph_AR_M_MARG" hidden="1">#REF!</definedName>
    <definedName name="_8__123Graph_BCAP_PWR_93___95" hidden="1">#REF!</definedName>
    <definedName name="_8__123Graph_BCHART_1" hidden="1">#REF!</definedName>
    <definedName name="_8__123Graph_BCHART_2" hidden="1">#REF!</definedName>
    <definedName name="_8__123Graph_BCHART_4" hidden="1">#REF!</definedName>
    <definedName name="_8__123Graph_BCHART_8" hidden="1">#REF!</definedName>
    <definedName name="_8__123Graph_CChart_2A" hidden="1">#REF!</definedName>
    <definedName name="_8__123Graph_DCHART_2" hidden="1">#REF!</definedName>
    <definedName name="_8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8_0">[2]Anlagevermögen!#REF!</definedName>
    <definedName name="_8_0__123Grap" hidden="1">#REF!</definedName>
    <definedName name="_80__123Graph_CCHART_4" hidden="1">#N/A</definedName>
    <definedName name="_80__123Graph_XC04C_FF_T" hidden="1">#REF!</definedName>
    <definedName name="_80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800__FDSAUDITLINK__" hidden="1">{"fdsup://Directions/FactSet Auditing Viewer?action=AUDIT_VALUE&amp;DB=129&amp;ID1=564156&amp;VALUEID=04049&amp;SDATE=2011&amp;PERIODTYPE=ANN_STD&amp;SCFT=3&amp;window=popup_no_bar&amp;width=385&amp;height=120&amp;START_MAXIMIZED=FALSE&amp;creator=factset&amp;display_string=Audit"}</definedName>
    <definedName name="_801__FDSAUDITLINK__" hidden="1">{"fdsup://directions/FAT Viewer?action=UPDATE&amp;creator=factset&amp;DYN_ARGS=TRUE&amp;DOC_NAME=FAT:FQL_AUDITING_CLIENT_TEMPLATE.FAT&amp;display_string=Audit&amp;VAR:KEY=RCJMVUHUVM&amp;VAR:QUERY=RkZfRUJJVF9PUEVSKEFOTiwwLCwsUkYp&amp;WINDOW=FIRST_POPUP&amp;HEIGHT=450&amp;WIDTH=450&amp;START_MAXIMI","ZED=FALSE&amp;VAR:CALENDAR=FIVEDAY&amp;VAR:SYMBOL=564156&amp;VAR:INDEX=0"}</definedName>
    <definedName name="_802__FDSAUDITLINK__" hidden="1">{"fdsup://directions/FAT Viewer?action=UPDATE&amp;creator=factset&amp;DYN_ARGS=TRUE&amp;DOC_NAME=FAT:FQL_AUDITING_CLIENT_TEMPLATE.FAT&amp;display_string=Audit&amp;VAR:KEY=XSXMRQRWBW&amp;VAR:QUERY=RkZfRVBTX0RJTChBTk4sMCwsLFJGKQ==&amp;WINDOW=FIRST_POPUP&amp;HEIGHT=450&amp;WIDTH=450&amp;START_MAXIMI","ZED=FALSE&amp;VAR:CALENDAR=FIVEDAY&amp;VAR:SYMBOL=564156&amp;VAR:INDEX=0"}</definedName>
    <definedName name="_803__FDSAUDITLINK__" hidden="1">{"fdsup://Directions/FactSet Auditing Viewer?action=AUDIT_VALUE&amp;DB=129&amp;ID1=564156&amp;VALUEID=01401&amp;SDATE=2011&amp;PERIODTYPE=ANN_STD&amp;SCFT=3&amp;window=popup_no_bar&amp;width=385&amp;height=120&amp;START_MAXIMIZED=FALSE&amp;creator=factset&amp;display_string=Audit"}</definedName>
    <definedName name="_81__123Graph_CCHART_6" hidden="1">#N/A</definedName>
    <definedName name="_81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819__FDSAUDITLINK__" hidden="1">{"fdsup://Directions/FactSet Auditing Viewer?action=AUDIT_VALUE&amp;DB=129&amp;ID1=35702310&amp;VALUEID=18140&amp;SDATE=2009&amp;PERIODTYPE=ANN_STD&amp;window=popup_no_bar&amp;width=385&amp;height=120&amp;START_MAXIMIZED=FALSE&amp;creator=factset&amp;display_string=Audit"}</definedName>
    <definedName name="_82__123Graph_CCHART_7" hidden="1">#N/A</definedName>
    <definedName name="_82__123Graph_Cｸﾞﾗﾌ_2" hidden="1">#REF!</definedName>
    <definedName name="_82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820__FDSAUDITLINK__" hidden="1">{"fdsup://Directions/FactSet Auditing Viewer?action=AUDIT_VALUE&amp;DB=129&amp;ID1=35702310&amp;VALUEID=18140&amp;SDATE=2008&amp;PERIODTYPE=ANN_STD&amp;window=popup_no_bar&amp;width=385&amp;height=120&amp;START_MAXIMIZED=FALSE&amp;creator=factset&amp;display_string=Audit"}</definedName>
    <definedName name="_821__FDSAUDITLINK__" hidden="1">{"fdsup://Directions/FactSet Auditing Viewer?action=AUDIT_VALUE&amp;DB=129&amp;ID1=35702310&amp;VALUEID=18140&amp;SDATE=2007&amp;PERIODTYPE=ANN_STD&amp;window=popup_no_bar&amp;width=385&amp;height=120&amp;START_MAXIMIZED=FALSE&amp;creator=factset&amp;display_string=Audit"}</definedName>
    <definedName name="_822__FDSAUDITLINK__" hidden="1">{"fdsup://Directions/FactSet Auditing Viewer?action=AUDIT_VALUE&amp;DB=129&amp;ID1=02916P10&amp;VALUEID=18140&amp;SDATE=2009&amp;PERIODTYPE=ANN_STD&amp;window=popup_no_bar&amp;width=385&amp;height=120&amp;START_MAXIMIZED=FALSE&amp;creator=factset&amp;display_string=Audit"}</definedName>
    <definedName name="_823__FDSAUDITLINK__" hidden="1">{"fdsup://Directions/FactSet Auditing Viewer?action=AUDIT_VALUE&amp;DB=129&amp;ID1=02916P10&amp;VALUEID=18140&amp;SDATE=2008&amp;PERIODTYPE=ANN_STD&amp;window=popup_no_bar&amp;width=385&amp;height=120&amp;START_MAXIMIZED=FALSE&amp;creator=factset&amp;display_string=Audit"}</definedName>
    <definedName name="_824__FDSAUDITLINK__" hidden="1">{"fdsup://Directions/FactSet Auditing Viewer?action=AUDIT_VALUE&amp;DB=129&amp;ID1=02916P10&amp;VALUEID=18140&amp;SDATE=2007&amp;PERIODTYPE=ANN_STD&amp;window=popup_no_bar&amp;width=385&amp;height=120&amp;START_MAXIMIZED=FALSE&amp;creator=factset&amp;display_string=Audit"}</definedName>
    <definedName name="_825__FDSAUDITLINK__" hidden="1">{"fdsup://Directions/FactSet Auditing Viewer?action=AUDIT_VALUE&amp;DB=129&amp;ID1=509233&amp;VALUEID=18140&amp;SDATE=2009&amp;PERIODTYPE=ANN_STD&amp;window=popup_no_bar&amp;width=385&amp;height=120&amp;START_MAXIMIZED=FALSE&amp;creator=factset&amp;display_string=Audit"}</definedName>
    <definedName name="_826__FDSAUDITLINK__" hidden="1">{"fdsup://Directions/FactSet Auditing Viewer?action=AUDIT_VALUE&amp;DB=129&amp;ID1=509233&amp;VALUEID=18140&amp;SDATE=2008&amp;PERIODTYPE=ANN_STD&amp;window=popup_no_bar&amp;width=385&amp;height=120&amp;START_MAXIMIZED=FALSE&amp;creator=factset&amp;display_string=Audit"}</definedName>
    <definedName name="_827__FDSAUDITLINK__" hidden="1">{"fdsup://Directions/FactSet Auditing Viewer?action=AUDIT_VALUE&amp;DB=129&amp;ID1=509233&amp;VALUEID=18140&amp;SDATE=2007&amp;PERIODTYPE=ANN_STD&amp;window=popup_no_bar&amp;width=385&amp;height=120&amp;START_MAXIMIZED=FALSE&amp;creator=factset&amp;display_string=Audit"}</definedName>
    <definedName name="_828__FDSAUDITLINK__" hidden="1">{"fdsup://Directions/FactSet Auditing Viewer?action=AUDIT_VALUE&amp;DB=129&amp;ID1=35702310&amp;VALUEID=18813&amp;SDATE=2009&amp;PERIODTYPE=ANN_STD&amp;window=popup_no_bar&amp;width=385&amp;height=120&amp;START_MAXIMIZED=FALSE&amp;creator=factset&amp;display_string=Audit"}</definedName>
    <definedName name="_829__FDSAUDITLINK__" hidden="1">{"fdsup://Directions/FactSet Auditing Viewer?action=AUDIT_VALUE&amp;DB=129&amp;ID1=35702310&amp;VALUEID=18813&amp;SDATE=2008&amp;PERIODTYPE=ANN_STD&amp;window=popup_no_bar&amp;width=385&amp;height=120&amp;START_MAXIMIZED=FALSE&amp;creator=factset&amp;display_string=Audit"}</definedName>
    <definedName name="_83__123Graph_CCHART_8" hidden="1">#N/A</definedName>
    <definedName name="_83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830__FDSAUDITLINK__" hidden="1">{"fdsup://Directions/FactSet Auditing Viewer?action=AUDIT_VALUE&amp;DB=129&amp;ID1=35702310&amp;VALUEID=18813&amp;SDATE=2007&amp;PERIODTYPE=ANN_STD&amp;window=popup_no_bar&amp;width=385&amp;height=120&amp;START_MAXIMIZED=FALSE&amp;creator=factset&amp;display_string=Audit"}</definedName>
    <definedName name="_831__FDSAUDITLINK__" hidden="1">{"fdsup://Directions/FactSet Auditing Viewer?action=AUDIT_VALUE&amp;DB=129&amp;ID1=B19G6L&amp;VALUEID=18813&amp;SDATE=2009&amp;PERIODTYPE=ANN_STD&amp;window=popup_no_bar&amp;width=385&amp;height=120&amp;START_MAXIMIZED=FALSE&amp;creator=factset&amp;display_string=Audit"}</definedName>
    <definedName name="_832__FDSAUDITLINK__" hidden="1">{"fdsup://Directions/FactSet Auditing Viewer?action=AUDIT_VALUE&amp;DB=129&amp;ID1=B19G6L&amp;VALUEID=18813&amp;SDATE=2007&amp;PERIODTYPE=ANN_STD&amp;window=popup_no_bar&amp;width=385&amp;height=120&amp;START_MAXIMIZED=FALSE&amp;creator=factset&amp;display_string=Audit"}</definedName>
    <definedName name="_833__FDSAUDITLINK__" hidden="1">{"fdsup://Directions/FactSet Auditing Viewer?action=AUDIT_VALUE&amp;DB=129&amp;ID1=02916P10&amp;VALUEID=18813&amp;SDATE=2009&amp;PERIODTYPE=ANN_STD&amp;window=popup_no_bar&amp;width=385&amp;height=120&amp;START_MAXIMIZED=FALSE&amp;creator=factset&amp;display_string=Audit"}</definedName>
    <definedName name="_834__FDSAUDITLINK__" hidden="1">{"fdsup://Directions/FactSet Auditing Viewer?action=AUDIT_VALUE&amp;DB=129&amp;ID1=02916P10&amp;VALUEID=18813&amp;SDATE=2008&amp;PERIODTYPE=ANN_STD&amp;window=popup_no_bar&amp;width=385&amp;height=120&amp;START_MAXIMIZED=FALSE&amp;creator=factset&amp;display_string=Audit"}</definedName>
    <definedName name="_835__FDSAUDITLINK__" hidden="1">{"fdsup://Directions/FactSet Auditing Viewer?action=AUDIT_VALUE&amp;DB=129&amp;ID1=02916P10&amp;VALUEID=18813&amp;SDATE=2007&amp;PERIODTYPE=ANN_STD&amp;window=popup_no_bar&amp;width=385&amp;height=120&amp;START_MAXIMIZED=FALSE&amp;creator=factset&amp;display_string=Audit"}</definedName>
    <definedName name="_836__FDSAUDITLINK__" hidden="1">{"fdsup://Directions/FactSet Auditing Viewer?action=AUDIT_VALUE&amp;DB=129&amp;ID1=509233&amp;VALUEID=18813&amp;SDATE=2009&amp;PERIODTYPE=ANN_STD&amp;window=popup_no_bar&amp;width=385&amp;height=120&amp;START_MAXIMIZED=FALSE&amp;creator=factset&amp;display_string=Audit"}</definedName>
    <definedName name="_837__FDSAUDITLINK__" hidden="1">{"fdsup://Directions/FactSet Auditing Viewer?action=AUDIT_VALUE&amp;DB=129&amp;ID1=509233&amp;VALUEID=18813&amp;SDATE=2008&amp;PERIODTYPE=ANN_STD&amp;window=popup_no_bar&amp;width=385&amp;height=120&amp;START_MAXIMIZED=FALSE&amp;creator=factset&amp;display_string=Audit"}</definedName>
    <definedName name="_838__FDSAUDITLINK__" hidden="1">{"fdsup://Directions/FactSet Auditing Viewer?action=AUDIT_VALUE&amp;DB=129&amp;ID1=509233&amp;VALUEID=18813&amp;SDATE=2007&amp;PERIODTYPE=ANN_STD&amp;window=popup_no_bar&amp;width=385&amp;height=120&amp;START_MAXIMIZED=FALSE&amp;creator=factset&amp;display_string=Audit"}</definedName>
    <definedName name="_839__FDSAUDITLINK__" hidden="1">{"fdsup://Directions/FactSet Auditing Viewer?action=AUDIT_VALUE&amp;DB=129&amp;ID1=35702310&amp;VALUEID=18352&amp;SDATE=2009&amp;PERIODTYPE=ANN_STD&amp;window=popup_no_bar&amp;width=385&amp;height=120&amp;START_MAXIMIZED=FALSE&amp;creator=factset&amp;display_string=Audit"}</definedName>
    <definedName name="_84__123Graph_CCHART_9" hidden="1">#N/A</definedName>
    <definedName name="_84__123Graph_DCHART_1" hidden="1">#REF!</definedName>
    <definedName name="_84__123Graph_XC04C_FR_L1" hidden="1">#REF!</definedName>
    <definedName name="_84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840__FDSAUDITLINK__" hidden="1">{"fdsup://Directions/FactSet Auditing Viewer?action=AUDIT_VALUE&amp;DB=129&amp;ID1=35702310&amp;VALUEID=18352&amp;SDATE=2008&amp;PERIODTYPE=ANN_STD&amp;window=popup_no_bar&amp;width=385&amp;height=120&amp;START_MAXIMIZED=FALSE&amp;creator=factset&amp;display_string=Audit"}</definedName>
    <definedName name="_841__FDSAUDITLINK__" hidden="1">{"fdsup://Directions/FactSet Auditing Viewer?action=AUDIT_VALUE&amp;DB=129&amp;ID1=35702310&amp;VALUEID=18352&amp;SDATE=2007&amp;PERIODTYPE=ANN_STD&amp;window=popup_no_bar&amp;width=385&amp;height=120&amp;START_MAXIMIZED=FALSE&amp;creator=factset&amp;display_string=Audit"}</definedName>
    <definedName name="_842__FDSAUDITLINK__" hidden="1">{"fdsup://Directions/FactSet Auditing Viewer?action=AUDIT_VALUE&amp;DB=129&amp;ID1=B19G6L&amp;VALUEID=18352&amp;SDATE=2009&amp;PERIODTYPE=ANN_STD&amp;window=popup_no_bar&amp;width=385&amp;height=120&amp;START_MAXIMIZED=FALSE&amp;creator=factset&amp;display_string=Audit"}</definedName>
    <definedName name="_843__FDSAUDITLINK__" hidden="1">{"fdsup://Directions/FactSet Auditing Viewer?action=AUDIT_VALUE&amp;DB=129&amp;ID1=B19G6L&amp;VALUEID=18352&amp;SDATE=2007&amp;PERIODTYPE=ANN_STD&amp;window=popup_no_bar&amp;width=385&amp;height=120&amp;START_MAXIMIZED=FALSE&amp;creator=factset&amp;display_string=Audit"}</definedName>
    <definedName name="_844__FDSAUDITLINK__" hidden="1">{"fdsup://Directions/FactSet Auditing Viewer?action=AUDIT_VALUE&amp;DB=129&amp;ID1=02916P10&amp;VALUEID=18352&amp;SDATE=2009&amp;PERIODTYPE=ANN_STD&amp;window=popup_no_bar&amp;width=385&amp;height=120&amp;START_MAXIMIZED=FALSE&amp;creator=factset&amp;display_string=Audit"}</definedName>
    <definedName name="_845__FDSAUDITLINK__" hidden="1">{"fdsup://Directions/FactSet Auditing Viewer?action=AUDIT_VALUE&amp;DB=129&amp;ID1=02916P10&amp;VALUEID=18352&amp;SDATE=2008&amp;PERIODTYPE=ANN_STD&amp;window=popup_no_bar&amp;width=385&amp;height=120&amp;START_MAXIMIZED=FALSE&amp;creator=factset&amp;display_string=Audit"}</definedName>
    <definedName name="_846__FDSAUDITLINK__" hidden="1">{"fdsup://Directions/FactSet Auditing Viewer?action=AUDIT_VALUE&amp;DB=129&amp;ID1=02916P10&amp;VALUEID=18352&amp;SDATE=2007&amp;PERIODTYPE=ANN_STD&amp;window=popup_no_bar&amp;width=385&amp;height=120&amp;START_MAXIMIZED=FALSE&amp;creator=factset&amp;display_string=Audit"}</definedName>
    <definedName name="_847__FDSAUDITLINK__" hidden="1">{"fdsup://Directions/FactSet Auditing Viewer?action=AUDIT_VALUE&amp;DB=129&amp;ID1=509233&amp;VALUEID=18352&amp;SDATE=2009&amp;PERIODTYPE=ANN_STD&amp;window=popup_no_bar&amp;width=385&amp;height=120&amp;START_MAXIMIZED=FALSE&amp;creator=factset&amp;display_string=Audit"}</definedName>
    <definedName name="_848__FDSAUDITLINK__" hidden="1">{"fdsup://Directions/FactSet Auditing Viewer?action=AUDIT_VALUE&amp;DB=129&amp;ID1=509233&amp;VALUEID=18352&amp;SDATE=2008&amp;PERIODTYPE=ANN_STD&amp;window=popup_no_bar&amp;width=385&amp;height=120&amp;START_MAXIMIZED=FALSE&amp;creator=factset&amp;display_string=Audit"}</definedName>
    <definedName name="_849__FDSAUDITLINK__" hidden="1">{"fdsup://Directions/FactSet Auditing Viewer?action=AUDIT_VALUE&amp;DB=129&amp;ID1=509233&amp;VALUEID=18352&amp;SDATE=2007&amp;PERIODTYPE=ANN_STD&amp;window=popup_no_bar&amp;width=385&amp;height=120&amp;START_MAXIMIZED=FALSE&amp;creator=factset&amp;display_string=Audit"}</definedName>
    <definedName name="_85__123Graph_CINVAR_A" hidden="1">#N/A</definedName>
    <definedName name="_85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86__123Graph_CSS5_A" hidden="1">#N/A</definedName>
    <definedName name="_86__123Graph_Cｸﾞﾗﾌ_3" hidden="1">#REF!</definedName>
    <definedName name="_86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87__123Graph_CSS6_A" hidden="1">#N/A</definedName>
    <definedName name="_87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88__123Graph_CSS6_B" hidden="1">#N/A</definedName>
    <definedName name="_88__123Graph_XC04C_FR_L2" hidden="1">#REF!</definedName>
    <definedName name="_88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89__123Graph_CSS7_A" hidden="1">#N/A</definedName>
    <definedName name="_89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8ALA642C761" hidden="1">#N/A</definedName>
    <definedName name="_9__123Graph_ACHART_1" hidden="1">#REF!</definedName>
    <definedName name="_9__123Graph_BCAPITAL_ALL" hidden="1">#REF!</definedName>
    <definedName name="_9__123Graph_BCHART_3" hidden="1">#REF!</definedName>
    <definedName name="_9__123Graph_CCHART_1" hidden="1">#REF!</definedName>
    <definedName name="_9__123Graph_CCHART_2" hidden="1">#REF!</definedName>
    <definedName name="_9__123Graph_DCHART_1" hidden="1">#REF!</definedName>
    <definedName name="_9__123Graph_LBL_ACHART_1" hidden="1">#REF!</definedName>
    <definedName name="_9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9_0">[2]Anlagevermögen!#REF!</definedName>
    <definedName name="_9_0__123Grap" hidden="1">#REF!</definedName>
    <definedName name="_90__123Graph_Cｸﾞﾗﾌ_4" hidden="1">#REF!</definedName>
    <definedName name="_90__123Graph_D_Chart_1A" hidden="1">#N/A</definedName>
    <definedName name="_90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91__123Graph_DCHART_10" hidden="1">#N/A</definedName>
    <definedName name="_91__123Graph_DCHART_8" hidden="1">#REF!</definedName>
    <definedName name="_91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92__123Graph_DCHART_11" hidden="1">#N/A</definedName>
    <definedName name="_92__123Graph_XC04C_FR_T1" hidden="1">#REF!</definedName>
    <definedName name="_92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93__123Graph_DCHART_12" hidden="1">#N/A</definedName>
    <definedName name="_93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94__123Graph_DCHART_13" hidden="1">#N/A</definedName>
    <definedName name="_94__123Graph_Dｸﾞﾗﾌ_1" hidden="1">#REF!</definedName>
    <definedName name="_94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95__123Graph_DCHART_14" hidden="1">#N/A</definedName>
    <definedName name="_95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96__123Graph_DCHART_15" hidden="1">#N/A</definedName>
    <definedName name="_96__123Graph_XC04C_FR_T2" hidden="1">#REF!</definedName>
    <definedName name="_96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96__0_S" hidden="1">#REF!</definedName>
    <definedName name="_97__123Graph_DCHART_16" hidden="1">#N/A</definedName>
    <definedName name="_97__FDSAUDITLINK__" hidden="1">{"fdsup://directions/FAT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name="_98__123Graph_DCHART_17" hidden="1">#N/A</definedName>
    <definedName name="_98__123Graph_LBL_ACHART_3" hidden="1">#REF!</definedName>
    <definedName name="_98__FDSAUDITLINK__" hidden="1">{"fdsup://directions/FAT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name="_99__123Graph_DCHART_18" hidden="1">#N/A</definedName>
    <definedName name="_99__FDSAUDITLINK__" hidden="1">{"fdsup://directions/FAT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name="_9ALA642C761" hidden="1">#N/A</definedName>
    <definedName name="_9IQ_F_LB_DUE_CY3" hidden="1">"c2083"</definedName>
    <definedName name="_a1" hidden="1">{#N/A,#N/A,FALSE,"Pharm";#N/A,#N/A,FALSE,"WWCM"}</definedName>
    <definedName name="_A11" hidden="1">{#N/A,#N/A,FALSE,"Umsatz 99";#N/A,#N/A,FALSE,"ER 99 "}</definedName>
    <definedName name="_a14" hidden="1">{"TAG1AGMS",#N/A,FALSE,"TAG 1A"}</definedName>
    <definedName name="_a15" hidden="1">{"weichwaren",#N/A,FALSE,"Liste 1";"hartwaren",#N/A,FALSE,"Liste 1";"food",#N/A,FALSE,"Liste 1";"fleisch",#N/A,FALSE,"Liste 1"}</definedName>
    <definedName name="_a16" hidden="1">{"weichwaren",#N/A,FALSE,"Liste 1";"hartwaren",#N/A,FALSE,"Liste 1";"food",#N/A,FALSE,"Liste 1";"fleisch",#N/A,FALSE,"Liste 1"}</definedName>
    <definedName name="_a17" hidden="1">{"TAG1AGMS",#N/A,FALSE,"TAG 1A"}</definedName>
    <definedName name="_a18" hidden="1">{"Tages_D",#N/A,FALSE,"Tagesbericht";"Tages_PL",#N/A,FALSE,"Tagesbericht"}</definedName>
    <definedName name="_a19" hidden="1">{"fleisch",#N/A,FALSE,"WG HK";"food",#N/A,FALSE,"WG HK";"hartwaren",#N/A,FALSE,"WG HK";"weichwaren",#N/A,FALSE,"WG HK"}</definedName>
    <definedName name="_a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a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3" hidden="1">{"fleisch",#N/A,FALSE,"WG HK";"food",#N/A,FALSE,"WG HK";"hartwaren",#N/A,FALSE,"WG HK";"weichwaren",#N/A,FALSE,"WG HK"}</definedName>
    <definedName name="_a36" hidden="1">{"Accretion",#N/A,FALSE,"Assum"}</definedName>
    <definedName name="_a37" hidden="1">{#N/A,#N/A,TRUE,"Lines";#N/A,#N/A,TRUE,"Stations";#N/A,#N/A,TRUE,"Cap. Expenses";#N/A,#N/A,TRUE,"Land";#N/A,#N/A,TRUE,"Cen Proces Sys";#N/A,#N/A,TRUE,"telecom";#N/A,#N/A,TRUE,"Other"}</definedName>
    <definedName name="_a38" hidden="1">{"Assumptions",#N/A,FALSE,"Assum"}</definedName>
    <definedName name="_a39" hidden="1">{#N/A,#N/A,FALSE,"CAG"}</definedName>
    <definedName name="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a40" hidden="1">{#N/A,#N/A,FALSE,"CPB"}</definedName>
    <definedName name="_a41" hidden="1">{#N/A,#N/A,FALSE,"Credit Summary"}</definedName>
    <definedName name="_a42" hidden="1">{"FCB_ALL",#N/A,FALSE,"FCB"}</definedName>
    <definedName name="_a43" hidden="1">{"FCB_ALL",#N/A,FALSE,"FCB"}</definedName>
    <definedName name="_a44"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_a45" hidden="1">{#N/A,#N/A,FALSE,"GIS"}</definedName>
    <definedName name="_a46" hidden="1">{#N/A,#N/A,TRUE,"Cover His PWC";#N/A,#N/A,TRUE,"P&amp;L";#N/A,#N/A,TRUE,"BS";#N/A,#N/A,TRUE,"Depreciation";#N/A,#N/A,TRUE,"GRAPHS";#N/A,#N/A,TRUE,"DCF EBITDA Multiple";#N/A,#N/A,TRUE,"DCF Perpetual Growth"}</definedName>
    <definedName name="_a47" hidden="1">{#N/A,#N/A,TRUE,"Cover His T";#N/A,#N/A,TRUE,"P&amp;L";#N/A,#N/A,TRUE,"BS";#N/A,#N/A,TRUE,"Depreciation";#N/A,#N/A,TRUE,"GRAPHS";#N/A,#N/A,TRUE,"DCF EBITDA Multiple";#N/A,#N/A,TRUE,"DCF Perpetual Growth"}</definedName>
    <definedName name="_a48" hidden="1">{#N/A,#N/A,FALSE,"HNZ"}</definedName>
    <definedName name="_a49"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_A5" hidden="1">{"andy_p",#N/A,FALSE,"A";"andy_s",#N/A,FALSE,"A"}</definedName>
    <definedName name="_a50" hidden="1">{#N/A,#N/A,FALSE,"K"}</definedName>
    <definedName name="_a5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_a52" hidden="1">{#N/A,#N/A,FALSE,"MCCRK"}</definedName>
    <definedName name="_a53" hidden="1">{#N/A,#N/A,FALSE,"NA"}</definedName>
    <definedName name="_a54" hidden="1">{"cap_structure",#N/A,FALSE,"Graph-Mkt Cap";"price",#N/A,FALSE,"Graph-Price";"ebit",#N/A,FALSE,"Graph-EBITDA";"ebitda",#N/A,FALSE,"Graph-EBITDA"}</definedName>
    <definedName name="_a55" hidden="1">{"Tages_D",#N/A,FALSE,"Tagesbericht";"Tages_PL",#N/A,FALSE,"Tagesbericht"}</definedName>
    <definedName name="_a56" hidden="1">{"summary1",#N/A,TRUE,"Comps";"summary2",#N/A,TRUE,"Comps";"summary3",#N/A,TRUE,"Comps"}</definedName>
    <definedName name="_a57" hidden="1">{"summary1",#N/A,TRUE,"Comps";"summary2",#N/A,TRUE,"Comps";"summary3",#N/A,TRUE,"Comps"}</definedName>
    <definedName name="_a58" hidden="1">{#N/A,"DR",FALSE,"increm pf";#N/A,"MAMSI",FALSE,"increm pf";#N/A,"MAXI",FALSE,"increm pf";#N/A,"PCAM",FALSE,"increm pf";#N/A,"PHSV",FALSE,"increm pf";#N/A,"SIE",FALSE,"increm pf"}</definedName>
    <definedName name="_a59"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a60" hidden="1">{#N/A,#N/A,TRUE,"Cover Repl";#N/A,#N/A,TRUE,"P&amp;L";#N/A,#N/A,TRUE,"P&amp;L (2)";#N/A,#N/A,TRUE,"BS";#N/A,#N/A,TRUE,"Depreciation";#N/A,#N/A,TRUE,"GRAPHS";#N/A,#N/A,TRUE,"DCF EBITDA Multiple";#N/A,#N/A,TRUE,"DCF Perpetual Growth"}</definedName>
    <definedName name="_a61" hidden="1">{#N/A,#N/A,FALSE,"Trading Summary"}</definedName>
    <definedName name="_a62"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_a63" hidden="1">{#N/A,#N/A,FALSE,"WWY"}</definedName>
    <definedName name="_a64" hidden="1">{TRUE,TRUE,-1.25,-15.5,604.5,369,FALSE,FALSE,TRUE,TRUE,0,1,83,1,38,4,5,4,TRUE,TRUE,3,TRUE,1,TRUE,75,"Swvu.inputs._.raw._.data.","ACwvu.inputs._.raw._.data.",#N/A,FALSE,FALSE,0.5,0.5,0.5,0.5,2,"&amp;F","&amp;A&amp;RPage &amp;P",FALSE,FALSE,FALSE,FALSE,1,60,#N/A,#N/A,"=R1C61:R53C89","=C1:C5",#N/A,#N/A,FALSE,FALSE,FALSE,1,600,600,FALSE,FALSE,TRUE,TRUE,TRUE}</definedName>
    <definedName name="_a6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_a66" hidden="1">{"TAG1AGMS",#N/A,FALSE,"TAG 1A"}</definedName>
    <definedName name="_a6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_a6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A9" hidden="1">{"SUMM",#N/A,TRUE,"C";"ACT_PROD",#N/A,TRUE,"A";"ACT_SHIP",#N/A,TRUE,"A";"BP_YLD",#N/A,TRUE,"B";"ACTZ_PROD",#N/A,TRUE,"D";"ACTZ_SHIP",#N/A,TRUE,"D";"ACTZ_YLD",#N/A,TRUE,"E";"CPSI_PROD",#N/A,TRUE,"F";"CPSI_SHIP",#N/A,TRUE,"F"}</definedName>
    <definedName name="_aa1" hidden="1">{#N/A,"PURADD",FALSE,"Business Analysis";#N/A,"PURSPP",FALSE,"Business Analysis";#N/A,"CTGIND",FALSE,"Business Analysis";#N/A,"PURCHM",FALSE,"Business Analysis";#N/A,"SPADD",FALSE,"Business Analysis";#N/A,"EPOXY",FALSE,"Business Analysis";#N/A,"PURPER",FALSE,"Business Analysis"}</definedName>
    <definedName name="_aa2" hidden="1">{#N/A,#N/A,FALSE,"Hip.Bas";#N/A,#N/A,FALSE,"ventas";#N/A,#N/A,FALSE,"ingre-Año";#N/A,#N/A,FALSE,"ventas-Año";#N/A,#N/A,FALSE,"Costepro";#N/A,#N/A,FALSE,"inversion";#N/A,#N/A,FALSE,"personal";#N/A,#N/A,FALSE,"Gastos-V";#N/A,#N/A,FALSE,"Circulante";#N/A,#N/A,FALSE,"CONSOLI";#N/A,#N/A,FALSE,"Es-Fin";#N/A,#N/A,FALSE,"Margen-P"}</definedName>
    <definedName name="_aa22" hidden="1">{"Tages_D",#N/A,FALSE,"Tagesbericht";"Tages_PL",#N/A,FALSE,"Tagesbericht"}</definedName>
    <definedName name="_aa3" hidden="1">{#N/A,#N/A,FALSE,"Hip.Bas";#N/A,#N/A,FALSE,"ventas";#N/A,#N/A,FALSE,"ingre-Año";#N/A,#N/A,FALSE,"ventas-Año";#N/A,#N/A,FALSE,"Costepro";#N/A,#N/A,FALSE,"inversion";#N/A,#N/A,FALSE,"personal";#N/A,#N/A,FALSE,"Gastos-V";#N/A,#N/A,FALSE,"Circulante";#N/A,#N/A,FALSE,"CONSOLI";#N/A,#N/A,FALSE,"Es-Fin";#N/A,#N/A,FALSE,"Margen-P"}</definedName>
    <definedName name="_aaa1" hidden="1">{#N/A,#N/A,FALSE,"Model";#N/A,#N/A,FALSE,"Division"}</definedName>
    <definedName name="_aaa2" hidden="1">{#N/A,#N/A,FALSE,"ADNAMES.XLS";#N/A,#N/A,FALSE,"EQNAMES.XLS";#N/A,#N/A,FALSE,"INNAMES.XLS";#N/A,#N/A,FALSE,"HYNAMES.XLS";#N/A,#N/A,FALSE,"FIXNAMES.XLS";#N/A,#N/A,FALSE,"MONNAMES.XLS";#N/A,#N/A,FALSE,"TECNAMES.XLS"}</definedName>
    <definedName name="_aas1" hidden="1">{#N/A,#N/A,FALSE,"REPORT"}</definedName>
    <definedName name="_ab098" hidden="1">{#N/A,"PURCHM",FALSE,"Business Analysis";#N/A,"SPADD",FALSE,"Business Analysis"}</definedName>
    <definedName name="_ab2" hidden="1">{#N/A,#N/A,FALSE,"Cover";#N/A,#N/A,FALSE,"Profits";#N/A,#N/A,FALSE,"ABS";#N/A,#N/A,FALSE,"TFLE Detail";#N/A,#N/A,FALSE,"TFLE Walk";#N/A,#N/A,FALSE,"Variable Cost";#N/A,#N/A,FALSE,"V.C. Walk"}</definedName>
    <definedName name="_ab3" hidden="1">{#N/A,#N/A,FALSE,"Profit Status";#N/A,#N/A,FALSE,"Invest";#N/A,#N/A,FALSE,"Revenue";#N/A,#N/A,FALSE,"Variable Cost";#N/A,#N/A,FALSE,"Options &amp; Series"}</definedName>
    <definedName name="_abc" hidden="1">#REF!</definedName>
    <definedName name="_abc098" hidden="1">{#N/A,"PURCHM",FALSE,"Business Analysis";#N/A,"SPADD",FALSE,"Business Analysis"}</definedName>
    <definedName name="_abc1" hidden="1">{"detail",#N/A,FALSE,"mfg";"summary",#N/A,FALSE,"mfg"}</definedName>
    <definedName name="_abc10" hidden="1">{"detail",#N/A,FALSE,"mfg";"summary",#N/A,FALSE,"mfg"}</definedName>
    <definedName name="_abc101" hidden="1">{"detail",#N/A,FALSE,"mfg";"summary",#N/A,FALSE,"mfg"}</definedName>
    <definedName name="_abc102" hidden="1">{"detail",#N/A,FALSE,"mfg";"summary",#N/A,FALSE,"mfg"}</definedName>
    <definedName name="_abc105" hidden="1">{"detail",#N/A,FALSE,"mfg";"summary",#N/A,FALSE,"mfg"}</definedName>
    <definedName name="_abc1082" hidden="1">{"detail",#N/A,FALSE,"mfg";"summary",#N/A,FALSE,"mfg"}</definedName>
    <definedName name="_abc11" hidden="1">{"detail",#N/A,FALSE,"mfg";"summary",#N/A,FALSE,"mfg"}</definedName>
    <definedName name="_abc115" hidden="1">{"detail",#N/A,FALSE,"mfg";"summary",#N/A,FALSE,"mfg"}</definedName>
    <definedName name="_abc12" hidden="1">{"detail",#N/A,FALSE,"mfg";"summary",#N/A,FALSE,"mfg"}</definedName>
    <definedName name="_abc1234" hidden="1">{#N/A,"PURCHM",FALSE,"Business Analysis";#N/A,"SPADD",FALSE,"Business Analysis"}</definedName>
    <definedName name="_abc125" hidden="1">{"detail",#N/A,FALSE,"mfg";"summary",#N/A,FALSE,"mfg"}</definedName>
    <definedName name="_abc13" hidden="1">{"detail",#N/A,FALSE,"mfg";"summary",#N/A,FALSE,"mfg"}</definedName>
    <definedName name="_abc1325" hidden="1">{"detail",#N/A,FALSE,"mfg";"summary",#N/A,FALSE,"mfg"}</definedName>
    <definedName name="_abc14" hidden="1">{"detail",#N/A,FALSE,"mfg";"summary",#N/A,FALSE,"mfg"}</definedName>
    <definedName name="_abc1425" hidden="1">{"detail",#N/A,FALSE,"mfg";"summary",#N/A,FALSE,"mfg"}</definedName>
    <definedName name="_abc2" hidden="1">{"detail",#N/A,FALSE,"mfg";"summary",#N/A,FALSE,"mfg"}</definedName>
    <definedName name="_abc200" hidden="1">{"detail",#N/A,FALSE,"mfg";"summary",#N/A,FALSE,"mfg"}</definedName>
    <definedName name="_abc2005" hidden="1">{#N/A,"PURCHM",FALSE,"Business Analysis";#N/A,"SPADD",FALSE,"Business Analysis"}</definedName>
    <definedName name="_abc201" hidden="1">{"detail",#N/A,FALSE,"mfg";"summary",#N/A,FALSE,"mfg"}</definedName>
    <definedName name="_abc202" hidden="1">{"detail",#N/A,FALSE,"mfg";"summary",#N/A,FALSE,"mfg"}</definedName>
    <definedName name="_abc2054" hidden="1">{"detail",#N/A,FALSE,"mfg";"summary",#N/A,FALSE,"mfg"}</definedName>
    <definedName name="_abc212" hidden="1">{"detail",#N/A,FALSE,"mfg";"summary",#N/A,FALSE,"mfg"}</definedName>
    <definedName name="_abc212450" hidden="1">{"detail",#N/A,FALSE,"mfg";"summary",#N/A,FALSE,"mfg"}</definedName>
    <definedName name="_abc23" hidden="1">{"detail",#N/A,FALSE,"mfg";"summary",#N/A,FALSE,"mfg"}</definedName>
    <definedName name="_abc24" hidden="1">{"detail",#N/A,FALSE,"mfg";"summary",#N/A,FALSE,"mfg"}</definedName>
    <definedName name="_abc25" hidden="1">{"detail",#N/A,FALSE,"mfg";"summary",#N/A,FALSE,"mfg"}</definedName>
    <definedName name="_abc26" hidden="1">{"detail",#N/A,FALSE,"mfg";"summary",#N/A,FALSE,"mfg"}</definedName>
    <definedName name="_abc289" hidden="1">{"detail",#N/A,FALSE,"mfg";"summary",#N/A,FALSE,"mfg"}</definedName>
    <definedName name="_abc3" hidden="1">{"detail",#N/A,FALSE,"mfg";"summary",#N/A,FALSE,"mfg"}</definedName>
    <definedName name="_abc31" hidden="1">{"detail",#N/A,FALSE,"mfg";"summary",#N/A,FALSE,"mfg"}</definedName>
    <definedName name="_abc312" hidden="1">{"detail",#N/A,FALSE,"mfg";"summary",#N/A,FALSE,"mfg"}</definedName>
    <definedName name="_abc315" hidden="1">{"detail",#N/A,FALSE,"mfg";"summary",#N/A,FALSE,"mfg"}</definedName>
    <definedName name="_abc316" hidden="1">{"detail",#N/A,FALSE,"mfg";"summary",#N/A,FALSE,"mfg"}</definedName>
    <definedName name="_abc32" hidden="1">{"detail",#N/A,FALSE,"mfg";"summary",#N/A,FALSE,"mfg"}</definedName>
    <definedName name="_abc3216" hidden="1">{"detail",#N/A,FALSE,"mfg";"summary",#N/A,FALSE,"mfg"}</definedName>
    <definedName name="_abc35" hidden="1">{"detail",#N/A,FALSE,"mfg";"summary",#N/A,FALSE,"mfg"}</definedName>
    <definedName name="_abc36" hidden="1">{"detail",#N/A,FALSE,"mfg";"summary",#N/A,FALSE,"mfg"}</definedName>
    <definedName name="_abc37" hidden="1">{"detail",#N/A,FALSE,"mfg";"summary",#N/A,FALSE,"mfg"}</definedName>
    <definedName name="_abc38" hidden="1">{"detail",#N/A,FALSE,"mfg";"summary",#N/A,FALSE,"mfg"}</definedName>
    <definedName name="_ABC41" hidden="1">{"detail",#N/A,FALSE,"mfg";"summary",#N/A,FALSE,"mfg"}</definedName>
    <definedName name="_abc42" hidden="1">{"detail",#N/A,FALSE,"mfg";"summary",#N/A,FALSE,"mfg"}</definedName>
    <definedName name="_abc51" hidden="1">{"detail",#N/A,FALSE,"mfg";"summary",#N/A,FALSE,"mfg"}</definedName>
    <definedName name="_abc61" hidden="1">{"detail",#N/A,FALSE,"mfg";"summary",#N/A,FALSE,"mfg"}</definedName>
    <definedName name="_abc71" hidden="1">{"detail",#N/A,FALSE,"mfg";"summary",#N/A,FALSE,"mfg"}</definedName>
    <definedName name="_abc7884" hidden="1">{"detail",#N/A,FALSE,"mfg";"summary",#N/A,FALSE,"mfg"}</definedName>
    <definedName name="_abe1" hidden="1">{"GuVGmbH",#N/A,FALSE,"ratios";"BilanzGmbH",#N/A,FALSE,"ratios";"BilanzKG",#N/A,FALSE,"ratios";"GuVKG",#N/A,FALSE,"ratios"}</definedName>
    <definedName name="_abx111" hidden="1">{"fdsup://directions/FAT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name="_ACS2000" hidden="1">{#N/A,#N/A,FALSE,"REPORT"}</definedName>
    <definedName name="_ads2"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_ae2" hidden="1">{"'Inventory &amp; Anal-Cur Wkbk'!$A$7:$AP$71"}</definedName>
    <definedName name="_age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LL6434" hidden="1">{"ALLOCATION1",#N/A,FALSE,"EXPENSE ALLOCATIONS";"ALLOCATION2",#N/A,FALSE,"EXPENSE ALLOCATIONS";"ALLOCATION3",#N/A,FALSE,"EXPENSE ALLOCATIONS";"ALLOCATION4",#N/A,FALSE,"EXPENSE ALLOCATIONS"}</definedName>
    <definedName name="_AMO_ContentDefinition_247660852" hidden="1">"'Partitions:51'"</definedName>
    <definedName name="_AMO_ContentDefinition_247660852.1" hidden="1">"'iles\SASHome\x86\SASAddinforMicrosoftOffice\5.1\Styles\AMODefault.css"" range=""SASApp_FECDL_DS_WB_REVENUE_3"" auto=""False"" xTime=""00:00:00.0200000"" rTime=""00:00:09.5300000"" bgnew=""False"" nFmt=""False"" grphSet=""False"" imgY=""0"" imgX=""0""&gt;'"</definedName>
    <definedName name="_AMO_ContentDefinition_247660852.10" hidden="1">"'amp;gt;&amp;amp;lt;RightHandSideNumType&amp;amp;gt;SINGLE&amp;amp;lt;/RightHandSideNumType&amp;amp;gt;&amp;amp;lt;RightHandSideItems&amp;amp;gt;&amp;amp;lt;RHSItem&amp;amp;gt;&amp;amp;lt;RHSType&amp;amp;gt;EXPRESSION&amp;amp;lt;/RHSType&amp;amp;gt;&amp;amp;lt;AddQuotes&amp;amp;gt;True&amp;amp;lt;/AddQuotes&amp;amp'"</definedName>
    <definedName name="_AMO_ContentDefinition_247660852.11" hidden="1">"';gt;&amp;amp;lt;DateFormat&amp;amp;gt;None&amp;amp;lt;/DateFormat&amp;amp;gt;&amp;amp;lt;RightHandSideExpression&amp;amp;gt;Motor Carriers&amp;amp;lt;/RightHandSideExpression&amp;amp;gt;&amp;amp;lt;IsSubquery&amp;amp;gt;False&amp;amp;lt;/IsSubquery&amp;amp;gt;&amp;amp;lt;SubqueryTemplateName /&amp;amp;gt;&amp;'"</definedName>
    <definedName name="_AMO_ContentDefinition_247660852.12" hidden="1">"'amp;lt;/RHSItem&amp;amp;gt;&amp;amp;lt;/RightHandSideItems&amp;amp;gt;&amp;amp;lt;/RightHandSide&amp;amp;gt;&amp;amp;lt;/Node&amp;amp;gt;&amp;amp;lt;/SiblingLink&amp;amp;gt;&amp;amp;lt;Operator&amp;amp;gt;=&amp;amp;lt;/Operator&amp;amp;gt;&amp;amp;lt;UseMacroFunction&amp;amp;gt;False&amp;amp;lt;/UseMacroFunction&amp;a'"</definedName>
    <definedName name="_AMO_ContentDefinition_247660852.13" hidden="1">"'mp;gt;&amp;amp;lt;Not&amp;amp;gt;False&amp;amp;lt;/Not&amp;amp;gt;&amp;amp;lt;Label /&amp;amp;gt;&amp;amp;lt;RightHandSide&amp;amp;gt;&amp;amp;lt;RightHandSideNumType&amp;amp;gt;SINGLE&amp;amp;lt;/RightHandSideNumType&amp;amp;gt;&amp;amp;lt;RightHandSideItems&amp;amp;gt;&amp;amp;lt;RHSItem&amp;amp;gt;&amp;amp;lt;RHSTy'"</definedName>
    <definedName name="_AMO_ContentDefinition_247660852.14" hidden="1">"'pe&amp;amp;gt;EXPRESSION&amp;amp;lt;/RHSType&amp;amp;gt;&amp;amp;lt;AddQuotes&amp;amp;gt;True&amp;amp;lt;/AddQuotes&amp;amp;gt;&amp;amp;lt;DateFormat&amp;amp;gt;None&amp;amp;lt;/DateFormat&amp;amp;gt;&amp;amp;lt;RightHandSideExpression&amp;amp;gt;Intermodal&amp;amp;lt;/RightHandSideExpression&amp;amp;gt;&amp;amp;l'"</definedName>
    <definedName name="_AMO_ContentDefinition_247660852.15" hidden="1">"'t;IsSubquery&amp;amp;gt;False&amp;amp;lt;/IsSubquery&amp;amp;gt;&amp;amp;lt;SubqueryTemplateName /&amp;amp;gt;&amp;amp;lt;/RHSItem&amp;amp;gt;&amp;amp;lt;/RightHandSideItems&amp;amp;gt;&amp;amp;lt;/RightHandSide&amp;amp;gt;&amp;amp;lt;/Node&amp;amp;gt;&amp;amp;lt;/SiblingLink&amp;amp;gt;&amp;amp;lt;Operator&amp;amp;gt'"</definedName>
    <definedName name="_AMO_ContentDefinition_247660852.16" hidden="1">"';=&amp;amp;lt;/Operator&amp;amp;gt;&amp;amp;lt;UseMacroFunction&amp;amp;gt;False&amp;amp;lt;/UseMacroFunction&amp;amp;gt;&amp;amp;lt;Not&amp;amp;gt;False&amp;amp;lt;/Not&amp;amp;gt;&amp;amp;lt;Label /&amp;amp;gt;&amp;amp;lt;RightHandSide&amp;amp;gt;&amp;amp;lt;RightHandSideNumType&amp;amp;gt;SINGLE&amp;amp;lt;/RightHa'"</definedName>
    <definedName name="_AMO_ContentDefinition_247660852.17" hidden="1">"'n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Definition_247660852.18" hidden="1">"';lt;RightHandSideExpression&amp;amp;gt;2015&amp;amp;lt;/RightHandSideExpression&amp;amp;gt;&amp;amp;lt;IsSubquery&amp;amp;gt;False&amp;amp;lt;/IsSubquery&amp;amp;gt;&amp;amp;lt;SubqueryTemplateName /&amp;amp;gt;&amp;amp;lt;/RHSItem&amp;amp;gt;&amp;amp;lt;/RightHandSideItems&amp;amp;gt;&amp;amp;lt;/RightHan'"</definedName>
    <definedName name="_AMO_ContentDefinition_247660852.2" hidden="1">"'_x000D_
  &lt;files /&gt;_x000D_
  &lt;parents /&gt;_x000D_
  &lt;children /&gt;_x000D_
  &lt;param n=""DisplayName"" v=""SASApp:FECDL.DS_WB_REVENUE"" /&gt;_x000D_
  &lt;param n=""DisplayType"" v=""PivotTable"" /&gt;_x000D_
  &lt;param n=""AMO_Version"" v=""5.1"" /&gt;_x000D_
  &lt;param n=""DataSourceType"" v=""SAS DATASET"" /&gt;_x000D_'"</definedName>
    <definedName name="_AMO_ContentDefinition_247660852.3" hidden="1">"'
  &lt;param n=""DataSource"" v=""&amp;lt;SasDataSource Version=&amp;quot;4.2&amp;quot; Type=&amp;quot;SAS.Servers.Dataset&amp;quot; Svr=&amp;quot;SASApp&amp;quot; Lib=&amp;quot;FECDL&amp;quot; Filter=&amp;quot;Year = '2015' AND TransportMethod = 'Intermodal' AND BusinessSegment = 'Motor Carri'"</definedName>
    <definedName name="_AMO_ContentDefinition_247660852.4" hidden="1">"'ers'&amp;quot; FilterDS=&amp;quot;&amp;amp;lt;?xml version=&amp;amp;quot;1.0&amp;amp;quot; encoding=&amp;amp;quot;utf-16&amp;amp;quot;?&amp;amp;gt;&amp;amp;lt;FilterTree&amp;amp;gt;&amp;amp;lt;TreeRoot&amp;amp;gt;&amp;amp;lt;ID&amp;amp;gt;2194bfad-931f-4366-83c4-0dff9e587708&amp;amp;lt;/ID&amp;amp;gt;&amp;amp;lt;Filte'"</definedName>
    <definedName name="_AMO_ContentDefinition_247660852.49" hidden="1">"'ieldsList"" v=""Sum of Units,Sum of LineHaul"" /&gt;_x000D_
  &lt;param n=""ClassName"" v=""SAS.OfficeAddin.PivotTable"" /&gt;_x000D_
  &lt;param n=""NamedRange"" v=""_AMO_SingleObject_247660852_PivotTable_247660852"" /&gt;_x000D_
  &lt;ExcelXMLOptions AdjColWidths=""True"" RowOpt=""In'"</definedName>
    <definedName name="_AMO_ContentDefinition_247660852.5" hidden="1">"'rType&amp;amp;gt;COLUMN&amp;amp;lt;/FilterType&amp;amp;gt;&amp;amp;lt;TableID /&amp;amp;gt;&amp;amp;lt;ColumnName&amp;amp;gt;Year&amp;amp;lt;/ColumnName&amp;amp;gt;&amp;amp;lt;ColumnType&amp;amp;gt;Character&amp;amp;lt;/ColumnType&amp;amp;gt;&amp;amp;lt;GroupLevel /&amp;amp;gt;&amp;amp;lt;SiblingLink&amp;amp;gt;&amp;amp;l'"</definedName>
    <definedName name="_AMO_ContentDefinition_247660852.50" hidden="1">"'sertEntire"" ColOpt=""InsertCells"" /&gt;_x000D_
&lt;/ContentDefinition&gt;'"</definedName>
    <definedName name="_AMO_ContentDefinition_247660852.6" hidden="1">"'t;LinkType&amp;amp;gt;AND&amp;amp;lt;/LinkType&amp;amp;gt;&amp;amp;lt;Node&amp;amp;gt;&amp;amp;lt;ID&amp;amp;gt;3c3c60b5-ce3c-4a6c-b0f5-eb8d5a33fe77&amp;amp;lt;/ID&amp;amp;gt;&amp;amp;lt;FilterType&amp;amp;gt;COLUMN&amp;amp;lt;/FilterType&amp;amp;gt;&amp;amp;lt;TableID /&amp;amp;gt;&amp;amp;lt;ColumnName&amp;amp;gt;Tr'"</definedName>
    <definedName name="_AMO_ContentDefinition_247660852.7" hidden="1">"'ansportMethod&amp;amp;lt;/ColumnName&amp;amp;gt;&amp;amp;lt;ColumnType&amp;amp;gt;Character&amp;amp;lt;/ColumnType&amp;amp;gt;&amp;amp;lt;GroupLevel /&amp;amp;gt;&amp;amp;lt;SiblingLink&amp;amp;gt;&amp;amp;lt;LinkType&amp;amp;gt;AND&amp;amp;lt;/LinkType&amp;amp;gt;&amp;amp;lt;Node&amp;amp;gt;&amp;amp;lt;ID&amp;amp;gt;e422'"</definedName>
    <definedName name="_AMO_ContentDefinition_247660852.8" hidden="1">"'ad42-6ae1-4401-9092-e4e90cdbc6e4&amp;amp;lt;/ID&amp;amp;gt;&amp;amp;lt;FilterType&amp;amp;gt;COLUMN&amp;amp;lt;/FilterType&amp;amp;gt;&amp;amp;lt;TableID /&amp;amp;gt;&amp;amp;lt;ColumnName&amp;amp;gt;BusinessSegment&amp;amp;lt;/ColumnName&amp;amp;gt;&amp;amp;lt;ColumnType&amp;amp;gt;Character&amp;amp;lt;/Colu'"</definedName>
    <definedName name="_AMO_ContentDefinition_247660852.9" hidden="1">"'mnType&amp;amp;gt;&amp;amp;lt;GroupLevel /&amp;amp;gt;&amp;amp;lt;Operator&amp;amp;gt;=&amp;amp;lt;/Operator&amp;amp;gt;&amp;amp;lt;UseMacroFunction&amp;amp;gt;False&amp;amp;lt;/UseMacroFunction&amp;amp;gt;&amp;amp;lt;Not&amp;amp;gt;False&amp;amp;lt;/Not&amp;amp;gt;&amp;amp;lt;Label /&amp;amp;gt;&amp;amp;lt;RightHandSide&amp;'"</definedName>
    <definedName name="_AMO_ContentDefinition_682937942" hidden="1">"'Partitions:13'"</definedName>
    <definedName name="_AMO_ContentDefinition_682937942.1" hidden="1">"'iles\SASHome\x86\SASAddinforMicrosoftOffice\5.1\Styles\AMODefault.css"" range=""SASApp_FECDL_DS_WB_REVENUE_2"" auto=""False"" xTime=""00:00:00"" rTime=""00:00:57.0700000"" bgnew=""False"" nFmt=""False"" grphSet=""False"" imgY=""0"" imgX=""0""&gt;_x000D_
  &lt;fil'"</definedName>
    <definedName name="_AMO_ContentDefinition_682937942.11" hidden="1">"'sDataSource&amp;gt;"" /&gt;_x000D_
  &lt;param n=""ServerName"" v=""SASApp"" /&gt;_x000D_
  &lt;param n=""SASFilter"" v=""Year = '2015'"" /&gt;_x000D_
  &lt;param n=""DataFieldsList"" v=""Sum of Units,Sum of LineHaul"" /&gt;_x000D_
  &lt;param n=""ClassName"" v=""SAS.OfficeAddin.PivotTable"" /&gt;_x000D_
  &lt;p'"</definedName>
    <definedName name="_AMO_ContentDefinition_682937942.12" hidden="1">"'aram n=""NamedRange"" v=""_AMO_SingleObject_682937942_PivotTable_682937942"" /&gt;_x000D_
  &lt;ExcelXMLOptions AdjColWidths=""True"" RowOpt=""InsertEntire"" ColOpt=""InsertCells"" /&gt;_x000D_
&lt;/ContentDefinition&gt;'"</definedName>
    <definedName name="_AMO_ContentDefinition_682937942.2" hidden="1">"'es /&gt;_x000D_
  &lt;parents /&gt;_x000D_
  &lt;children /&gt;_x000D_
  &lt;param n=""DisplayName"" v=""SASApp:FECDL.DS_WB_REVENUE"" /&gt;_x000D_
  &lt;param n=""DisplayType"" v=""PivotTable"" /&gt;_x000D_
  &lt;param n=""AMO_Version"" v=""5.1"" /&gt;_x000D_
  &lt;param n=""DataSourceType"" v=""SAS DATASET"" /&gt;_x000D_
  &lt;par'"</definedName>
    <definedName name="_AMO_ContentDefinition_682937942.3" hidden="1">"'am n=""DataSource"" v=""&amp;lt;SasDataSource Version=&amp;quot;4.2&amp;quot; Type=&amp;quot;SAS.Servers.Dataset&amp;quot; Svr=&amp;quot;SASApp&amp;quot; Lib=&amp;quot;FECDL&amp;quot; Filter=&amp;quot;Year = '2015'&amp;quot; FilterDS=&amp;quot;&amp;amp;lt;?xml version=&amp;amp;quot;1.0&amp;amp;quot; encoding=&amp;'"</definedName>
    <definedName name="_AMO_ContentDefinition_682937942.4" hidden="1">"'amp;quot;utf-16&amp;amp;quot;?&amp;amp;gt;&amp;amp;lt;FilterTree&amp;amp;gt;&amp;amp;lt;TreeRoot&amp;amp;gt;&amp;amp;lt;ID&amp;amp;gt;a3eea8cd-91df-4e41-8ff3-670fc1487cdf&amp;amp;lt;/ID&amp;amp;gt;&amp;amp;lt;FilterType&amp;amp;gt;COLUMN&amp;amp;lt;/FilterType&amp;amp;gt;&amp;amp;lt;TableID /&amp;amp;gt;&amp;amp;lt;Co'"</definedName>
    <definedName name="_AMO_ContentDefinition_682937942.5" hidden="1">"'lumnName&amp;amp;gt;Year&amp;amp;lt;/ColumnName&amp;amp;gt;&amp;amp;lt;ColumnType&amp;amp;gt;Character&amp;amp;lt;/ColumnType&amp;amp;gt;&amp;amp;lt;GroupLevel /&amp;amp;gt;&amp;amp;lt;Operator&amp;amp;gt;=&amp;amp;lt;/Operator&amp;amp;gt;&amp;amp;lt;UseMacroFunction&amp;amp;gt;False&amp;amp;lt;/UseMacroFunction&amp;a'"</definedName>
    <definedName name="_AMO_ContentDefinition_682937942.6" hidden="1">"'mp;gt;&amp;amp;lt;Not&amp;amp;gt;False&amp;amp;lt;/Not&amp;amp;gt;&amp;amp;lt;Label /&amp;amp;gt;&amp;amp;lt;RightHandSide&amp;amp;gt;&amp;amp;lt;RightHandSideNumType&amp;amp;gt;SINGLE&amp;amp;lt;/RightHandSideNumType&amp;amp;gt;&amp;amp;lt;RightHandSideItems&amp;amp;gt;&amp;amp;lt;RHSItem&amp;amp;gt;&amp;amp;lt;RHSTy'"</definedName>
    <definedName name="_AMO_ContentDefinition_682937942.7" hidden="1">"'pe&amp;amp;gt;EXPRESSION&amp;amp;lt;/RHSType&amp;amp;gt;&amp;amp;lt;AddQuotes&amp;amp;gt;True&amp;amp;lt;/AddQuotes&amp;amp;gt;&amp;amp;lt;DateFormat&amp;amp;gt;None&amp;amp;lt;/DateFormat&amp;amp;gt;&amp;amp;lt;RightHandSideExpression&amp;amp;gt;2015&amp;amp;lt;/RightHandSideExpression&amp;amp;gt;&amp;amp;lt;IsSu'"</definedName>
    <definedName name="_AMO_ContentDefinition_682937942.8" hidden="1">"'bquery&amp;amp;gt;False&amp;amp;lt;/IsSubquery&amp;amp;gt;&amp;amp;lt;SubqueryTemplateName /&amp;amp;gt;&amp;amp;lt;/RHSItem&amp;amp;gt;&amp;amp;lt;/RightHandSideItems&amp;amp;gt;&amp;amp;lt;/RightHandSide&amp;amp;gt;&amp;amp;lt;/TreeRoot&amp;amp;gt;&amp;amp;lt;/FilterTree&amp;amp;gt;&amp;quot; ColSelFlg=&amp;quot;0&amp;q'"</definedName>
    <definedName name="_AMO_ContentDefinition_972960867" hidden="1">"'Partitions:49'"</definedName>
    <definedName name="_AMO_ContentDefinition_972960867.1" hidden="1">"'iles\SASHome\x86\SASAddinforMicrosoftOffice\5.1\Styles\AMODefault.css"" range=""SASApp_FECDL_DS_WB_REVENUE"" auto=""False"" xTime=""00:00:00"" rTime=""00:00:12.7005080"" bgnew=""False"" nFmt=""False"" grphSet=""False"" imgY=""0"" imgX=""0""&gt;_x000D_
  &lt;files'"</definedName>
    <definedName name="_AMO_ContentDefinition_972960867.10" hidden="1">"';lt;/ColumnName&amp;amp;gt;&amp;amp;lt;ColumnType&amp;amp;gt;Character&amp;amp;lt;/ColumnType&amp;amp;gt;&amp;amp;lt;GroupLevel /&amp;amp;gt;&amp;amp;lt;Operator&amp;amp;gt;=&amp;amp;lt;/Operator&amp;amp;gt;&amp;amp;lt;UseMacroFunction&amp;amp;gt;False&amp;amp;lt;/UseMacroFunction&amp;amp;gt;&amp;amp;lt;Not&amp;amp;gt'"</definedName>
    <definedName name="_AMO_ContentDefinition_972960867.11" hidden="1">"';False&amp;amp;lt;/Not&amp;amp;gt;&amp;amp;lt;Label /&amp;amp;gt;&amp;amp;lt;RightHandSide&amp;amp;gt;&amp;amp;lt;RightHandSideNumType&amp;amp;gt;SINGLE&amp;amp;lt;/RightHandSideNumType&amp;amp;gt;&amp;amp;lt;RightHandSideItems&amp;amp;gt;&amp;amp;lt;RHSItem&amp;amp;gt;&amp;amp;lt;RHSType&amp;amp;gt;EXPRESSION&amp;amp'"</definedName>
    <definedName name="_AMO_ContentDefinition_972960867.12" hidden="1">"';lt;/RHSType&amp;amp;gt;&amp;amp;lt;AddQuotes&amp;amp;gt;True&amp;amp;lt;/AddQuotes&amp;amp;gt;&amp;amp;lt;DateFormat&amp;amp;gt;None&amp;amp;lt;/DateFormat&amp;amp;gt;&amp;amp;lt;RightHandSideExpression&amp;amp;gt;International Shippers&amp;amp;lt;/RightHandSideExpression&amp;amp;gt;&amp;amp;lt;IsSubquery'"</definedName>
    <definedName name="_AMO_ContentDefinition_972960867.13" hidden="1">"'&amp;amp;gt;False&amp;amp;lt;/IsSubquery&amp;amp;gt;&amp;amp;lt;SubqueryTemplateName /&amp;amp;gt;&amp;amp;lt;/RHSItem&amp;amp;gt;&amp;amp;lt;/RightHandSideItems&amp;amp;gt;&amp;amp;lt;/RightHandSide&amp;amp;gt;&amp;amp;lt;/Node&amp;amp;gt;&amp;amp;lt;/SiblingLink&amp;amp;gt;&amp;amp;lt;Operator&amp;amp;gt;=&amp;amp;lt;/O'"</definedName>
    <definedName name="_AMO_ContentDefinition_972960867.14" hidden="1">"'perator&amp;amp;gt;&amp;amp;lt;UseMacroFunction&amp;amp;gt;False&amp;amp;lt;/UseMacroFunction&amp;amp;gt;&amp;amp;lt;Not&amp;amp;gt;False&amp;amp;lt;/Not&amp;amp;gt;&amp;amp;lt;Label /&amp;amp;gt;&amp;amp;lt;RightHandSide&amp;amp;gt;&amp;amp;lt;RightHandSideNumType&amp;amp;gt;SINGLE&amp;amp;lt;/RightHandSideNumTyp'"</definedName>
    <definedName name="_AMO_ContentDefinition_972960867.15" hidden="1">"'e&amp;amp;gt;&amp;amp;lt;RightHandSideItems&amp;amp;gt;&amp;amp;lt;RHSItem&amp;amp;gt;&amp;amp;lt;RHSType&amp;amp;gt;EXPRESSION&amp;amp;lt;/RHSType&amp;amp;gt;&amp;amp;lt;AddQuotes&amp;amp;gt;True&amp;amp;lt;/AddQuotes&amp;amp;gt;&amp;amp;lt;DateFormat&amp;amp;gt;None&amp;amp;lt;/DateFormat&amp;amp;gt;&amp;amp;lt;RightHan'"</definedName>
    <definedName name="_AMO_ContentDefinition_972960867.16" hidden="1">"'dSideExpression&amp;amp;gt;Intermodal&amp;amp;lt;/RightHandSideExpression&amp;amp;gt;&amp;amp;lt;IsSubquery&amp;amp;gt;False&amp;amp;lt;/IsSubquery&amp;amp;gt;&amp;amp;lt;SubqueryTemplateName /&amp;amp;gt;&amp;amp;lt;/RHSItem&amp;amp;gt;&amp;amp;lt;/RightHandSideItems&amp;amp;gt;&amp;amp;lt;/RightHandSide&amp;'"</definedName>
    <definedName name="_AMO_ContentDefinition_972960867.17" hidden="1">"'amp;gt;&amp;amp;lt;/Node&amp;amp;gt;&amp;amp;lt;/SiblingLink&amp;amp;gt;&amp;amp;lt;Operator&amp;amp;gt;=&amp;amp;lt;/Operator&amp;amp;gt;&amp;amp;lt;UseMacroFunction&amp;amp;gt;False&amp;amp;lt;/UseMacroFunction&amp;amp;gt;&amp;amp;lt;Not&amp;amp;gt;False&amp;amp;lt;/Not&amp;amp;gt;&amp;amp;lt;Label /&amp;amp;gt;&amp;amp;lt;'"</definedName>
    <definedName name="_AMO_ContentDefinition_972960867.18" hidden="1">"'RightHandSide&amp;amp;gt;&amp;amp;lt;RightHandSideNumType&amp;amp;gt;SINGLE&amp;amp;lt;/RightHandSideNumType&amp;amp;gt;&amp;amp;lt;RightHandSideItems&amp;amp;gt;&amp;amp;lt;RHSItem&amp;amp;gt;&amp;amp;lt;RHSType&amp;amp;gt;EXPRESSION&amp;amp;lt;/RHSType&amp;amp;gt;&amp;amp;lt;AddQuotes&amp;amp;gt;True&amp;amp;lt;'"</definedName>
    <definedName name="_AMO_ContentDefinition_972960867.19" hidden="1">"'/AddQuotes&amp;amp;gt;&amp;amp;lt;DateFormat&amp;amp;gt;None&amp;amp;lt;/DateFormat&amp;amp;gt;&amp;amp;lt;RightHandSideExpression&amp;amp;gt;2015&amp;amp;lt;/RightHandSideExpression&amp;amp;gt;&amp;amp;lt;IsSubquery&amp;amp;gt;False&amp;amp;lt;/IsSubquery&amp;amp;gt;&amp;amp;lt;SubqueryTemplateName /&amp;amp;'"</definedName>
    <definedName name="_AMO_ContentDefinition_972960867.2" hidden="1">"' /&gt;_x000D_
  &lt;parents /&gt;_x000D_
  &lt;children /&gt;_x000D_
  &lt;param n=""DisplayName"" v=""SASApp:FECDL.DS_WB_REVENUE"" /&gt;_x000D_
  &lt;param n=""DisplayType"" v=""PivotTable"" /&gt;_x000D_
  &lt;param n=""AMO_Version"" v=""5.1"" /&gt;_x000D_
  &lt;param n=""DataSourceType"" v=""SAS DATASET"" /&gt;_x000D_
  &lt;param'"</definedName>
    <definedName name="_AMO_ContentDefinition_972960867.3" hidden="1">"' n=""ServerName"" v=""SASApp"" /&gt;_x000D_
  &lt;param n=""SASFilter"" v=""Year = '2015' AND TransportMethod = 'Intermodal' AND BusinessSegment = 'International Shippers'"" /&gt;_x000D_
  &lt;param n=""ClassName"" v=""SAS.OfficeAddin.PivotTable"" /&gt;_x000D_
  &lt;param n=""NamedRan'"</definedName>
    <definedName name="_AMO_ContentDefinition_972960867.4" hidden="1">"'ge"" v=""_AMO_SingleObject_972960867_PivotTable_972960867"" /&gt;_x000D_
  &lt;param n=""DataSource"" v=""&amp;lt;SasDataSource Version=&amp;quot;4.2&amp;quot; Type=&amp;quot;SAS.Servers.Dataset&amp;quot; Svr=&amp;quot;SASApp&amp;quot; Lib=&amp;quot;FECDL&amp;quot; Filter=&amp;quot;Year = '2015' AND Tr'"</definedName>
    <definedName name="_AMO_ContentDefinition_972960867.48" hidden="1">"'its,Sum of LineHaul"" /&gt;_x000D_
  &lt;ExcelXMLOptions AdjColWidths=""True"" RowOpt=""InsertEntire"" ColOpt=""InsertCells"" /&gt;_x000D_
&lt;/ContentDefinition&gt;'"</definedName>
    <definedName name="_AMO_ContentDefinition_972960867.5" hidden="1">"'ansportMethod = 'Intermodal' AND BusinessSegment = 'International Shippers'&amp;quot; FilterDS=&amp;quot;&amp;amp;lt;?xml version=&amp;amp;quot;1.0&amp;amp;quot; encoding=&amp;amp;quot;utf-16&amp;amp;quot;?&amp;amp;gt;&amp;amp;lt;FilterTree&amp;amp;gt;&amp;amp;lt;TreeRoot&amp;amp;gt;&amp;amp;lt;ID&amp;amp;'"</definedName>
    <definedName name="_AMO_ContentDefinition_972960867.6" hidden="1">"'gt;d8a8e433-bfe2-49b2-a719-a7f0ef98262a&amp;amp;lt;/ID&amp;amp;gt;&amp;amp;lt;FilterType&amp;amp;gt;COLUMN&amp;amp;lt;/FilterType&amp;amp;gt;&amp;amp;lt;TableID /&amp;amp;gt;&amp;amp;lt;ColumnName&amp;amp;gt;Year&amp;amp;lt;/ColumnName&amp;amp;gt;&amp;amp;lt;ColumnType&amp;amp;gt;Character&amp;amp;lt;/ColumnTy'"</definedName>
    <definedName name="_AMO_ContentDefinition_972960867.7" hidden="1">"'pe&amp;amp;gt;&amp;amp;lt;GroupLevel /&amp;amp;gt;&amp;amp;lt;SiblingLink&amp;amp;gt;&amp;amp;lt;LinkType&amp;amp;gt;AND&amp;amp;lt;/LinkType&amp;amp;gt;&amp;amp;lt;Node&amp;amp;gt;&amp;amp;lt;ID&amp;amp;gt;b7040e11-7e0f-4226-9638-160fade7f965&amp;amp;lt;/ID&amp;amp;gt;&amp;amp;lt;FilterType&amp;amp;gt;COLUMN&amp;amp;lt;/'"</definedName>
    <definedName name="_AMO_ContentDefinition_972960867.8" hidden="1">"'FilterType&amp;amp;gt;&amp;amp;lt;TableID /&amp;amp;gt;&amp;amp;lt;ColumnName&amp;amp;gt;TransportMethod&amp;amp;lt;/ColumnName&amp;amp;gt;&amp;amp;lt;ColumnType&amp;amp;gt;Character&amp;amp;lt;/ColumnType&amp;amp;gt;&amp;amp;lt;GroupLevel /&amp;amp;gt;&amp;amp;lt;SiblingLink&amp;amp;gt;&amp;amp;lt;LinkType&amp;amp;gt'"</definedName>
    <definedName name="_AMO_ContentDefinition_972960867.9" hidden="1">"';AND&amp;amp;lt;/LinkType&amp;amp;gt;&amp;amp;lt;Node&amp;amp;gt;&amp;amp;lt;ID&amp;amp;gt;8275a7ba-e52a-4e1b-91a8-95b9d06874b7&amp;amp;lt;/ID&amp;amp;gt;&amp;amp;lt;FilterType&amp;amp;gt;COLUMN&amp;amp;lt;/FilterType&amp;amp;gt;&amp;amp;lt;TableID /&amp;amp;gt;&amp;amp;lt;ColumnName&amp;amp;gt;BusinessSegment&amp;amp'"</definedName>
    <definedName name="_AMO_ContentDefinition_982752879" hidden="1">"'Partitions:22'"</definedName>
    <definedName name="_AMO_ContentDefinition_982752879.1" hidden="1">"'iles\SASHome\x86\SASAddinforMicrosoftOffice\5.1\Styles\AMODefault.css"" range=""SASApp_FECDL_DS_WB_REVENUE"" auto=""False"" xTime=""00:00:00"" rTime=""00:00:00.6890000"" bgnew=""False"" nFmt=""False"" grphSet=""False"" imgY=""0"" imgX=""0""&gt;_x000D_
  &lt;files'"</definedName>
    <definedName name="_AMO_ContentDefinition_982752879.10" hidden="1">"'l /&amp;amp;gt;&amp;amp;lt;RightHandSide&amp;amp;gt;&amp;amp;lt;RightHandSideNumType&amp;amp;gt;SINGLE&amp;amp;lt;/RightHandSideNumType&amp;amp;gt;&amp;amp;lt;RightHandSideItems&amp;amp;gt;&amp;amp;lt;RHSItem&amp;amp;gt;&amp;amp;lt;RHSType&amp;amp;gt;EXPRESSION&amp;amp;lt;/RHSType&amp;amp;gt;&amp;amp;lt;AddQuotes&amp;'"</definedName>
    <definedName name="_AMO_ContentDefinition_982752879.11" hidden="1">"'amp;gt;True&amp;amp;lt;/AddQuotes&amp;amp;gt;&amp;amp;lt;DateFormat&amp;amp;gt;None&amp;amp;lt;/DateFormat&amp;amp;gt;&amp;amp;lt;RightHandSideExpression&amp;amp;gt;WEST PALM BEACH&amp;amp;lt;/RightHandSideExpression&amp;amp;gt;&amp;amp;lt;IsSubquery&amp;amp;gt;False&amp;amp;lt;/IsSubquery&amp;amp;gt;&amp;amp;'"</definedName>
    <definedName name="_AMO_ContentDefinition_982752879.12" hidden="1">"'lt;SubqueryTemplateName /&amp;amp;gt;&amp;amp;lt;/RHSItem&amp;amp;gt;&amp;amp;lt;/RightHandSideItems&amp;amp;gt;&amp;amp;lt;/RightHandSide&amp;amp;gt;&amp;amp;lt;/Node&amp;amp;gt;&amp;amp;lt;/SiblingLink&amp;amp;gt;&amp;amp;lt;Operator&amp;amp;gt;=&amp;amp;lt;/Operator&amp;amp;gt;&amp;amp;lt;UseMacroFunction&amp;amp;g'"</definedName>
    <definedName name="_AMO_ContentDefinition_982752879.13" hidden="1">"'t;False&amp;amp;lt;/UseMacroFunction&amp;amp;gt;&amp;amp;lt;Not&amp;amp;gt;False&amp;amp;lt;/Not&amp;amp;gt;&amp;amp;lt;Label /&amp;amp;gt;&amp;amp;lt;RightHandSide&amp;amp;gt;&amp;amp;lt;RightHandSideNumType&amp;amp;gt;SINGLE&amp;amp;lt;/RightHandSideNumType&amp;amp;gt;&amp;amp;lt;RightHandSideItems&amp;amp;gt;&amp;a'"</definedName>
    <definedName name="_AMO_ContentDefinition_982752879.14" hidden="1">"'mp;lt;RHSItem&amp;amp;gt;&amp;amp;lt;RHSType&amp;amp;gt;EXPRESSION&amp;amp;lt;/RHSType&amp;amp;gt;&amp;amp;lt;AddQuotes&amp;amp;gt;True&amp;amp;lt;/AddQuotes&amp;amp;gt;&amp;amp;lt;DateFormat&amp;amp;gt;None&amp;amp;lt;/DateFormat&amp;amp;gt;&amp;amp;lt;RightHandSideExpression&amp;amp;gt;08&amp;amp;lt;/RightHandSi'"</definedName>
    <definedName name="_AMO_ContentDefinition_982752879.15" hidden="1">"'deExpression&amp;amp;gt;&amp;amp;lt;IsSubquery&amp;amp;gt;False&amp;amp;lt;/IsSubquery&amp;amp;gt;&amp;amp;lt;SubqueryTemplateName /&amp;amp;gt;&amp;amp;lt;/RHSItem&amp;amp;gt;&amp;amp;lt;/RightHandSideItems&amp;amp;gt;&amp;amp;lt;/RightHandSide&amp;amp;gt;&amp;amp;lt;/Node&amp;amp;gt;&amp;amp;lt;/SiblingLink&amp;amp;'"</definedName>
    <definedName name="_AMO_ContentDefinition_982752879.16" hidden="1">"'gt;&amp;amp;lt;Operator&amp;amp;gt;=&amp;amp;lt;/Operator&amp;amp;gt;&amp;amp;lt;UseMacroFunction&amp;amp;gt;False&amp;amp;lt;/UseMacroFunction&amp;amp;gt;&amp;amp;lt;Not&amp;amp;gt;False&amp;amp;lt;/Not&amp;amp;gt;&amp;amp;lt;Label /&amp;amp;gt;&amp;amp;lt;RightHandSide&amp;amp;gt;&amp;amp;lt;RightHandSideNumType&amp;amp'"</definedName>
    <definedName name="_AMO_ContentDefinition_982752879.17" hidden="1">"';gt;SINGLE&amp;amp;lt;/RightHandSideNumType&amp;amp;gt;&amp;amp;lt;RightHandSideItems&amp;amp;gt;&amp;amp;lt;RHSItem&amp;amp;gt;&amp;amp;lt;RHSType&amp;amp;gt;EXPRESSION&amp;amp;lt;/RHSType&amp;amp;gt;&amp;amp;lt;AddQuotes&amp;amp;gt;True&amp;amp;lt;/AddQuotes&amp;amp;gt;&amp;amp;lt;DateFormat&amp;amp;gt;None&amp;amp;'"</definedName>
    <definedName name="_AMO_ContentDefinition_982752879.18" hidden="1">"'lt;/DateFormat&amp;amp;gt;&amp;amp;lt;RightHandSideExpression&amp;amp;gt;2013&amp;amp;lt;/RightHandSideExpression&amp;amp;gt;&amp;amp;lt;IsSubquery&amp;amp;gt;False&amp;amp;lt;/IsSubquery&amp;amp;gt;&amp;amp;lt;SubqueryTemplateName /&amp;amp;gt;&amp;amp;lt;/RHSItem&amp;amp;gt;&amp;amp;lt;/RightHandSideItem'"</definedName>
    <definedName name="_AMO_ContentDefinition_982752879.19" hidden="1">"'s&amp;amp;gt;&amp;amp;lt;/RightHandSide&amp;amp;gt;&amp;amp;lt;/TreeRoot&amp;amp;gt;&amp;amp;lt;/FilterTree&amp;amp;gt;&amp;quot; ColSelFlg=&amp;quot;0&amp;quot; Name=&amp;quot;DS_WB_REVENUE&amp;quot; /&amp;gt;"" /&gt;_x000D_
  &lt;param n=""ServerName"" v=""SASApp"" /&gt;_x000D_
  &lt;param n=""SASFilter"" v=""Year = '2013' '"</definedName>
    <definedName name="_AMO_ContentDefinition_982752879.2" hidden="1">"' /&gt;_x000D_
  &lt;parents /&gt;_x000D_
  &lt;children /&gt;_x000D_
  &lt;param n=""DisplayName"" v=""SASApp:FECDL.DS_WB_REVENUE"" /&gt;_x000D_
  &lt;param n=""DisplayType"" v=""PivotTable"" /&gt;_x000D_
  &lt;param n=""AMO_Version"" v=""5.1"" /&gt;_x000D_
  &lt;param n=""NamedRange"" v=""_AMO_SingleObject_982752879_Pivo'"</definedName>
    <definedName name="_AMO_ContentDefinition_982752879.20" hidden="1">"'AND Month = '08' AND DestCity = 'WEST PALM BEACH'"" /&gt;_x000D_
  &lt;param n=""ClassName"" v=""SAS.OfficeAddin.PivotTable"" /&gt;_x000D_
  &lt;param n=""DataFieldsList"" v=""Sum of Units"" /&gt;_x000D_
  &lt;ExcelXMLOptions AdjColWidths=""True"" RowOpt=""InsertEntire"" ColOpt=""Inser'"</definedName>
    <definedName name="_AMO_ContentDefinition_982752879.21" hidden="1">"'tCells"" /&gt;_x000D_
&lt;/ContentDefinition&gt;'"</definedName>
    <definedName name="_AMO_ContentDefinition_982752879.3" hidden="1">"'tTable_982752879"" /&gt;_x000D_
  &lt;param n=""DataSourceType"" v=""SAS DATASET"" /&gt;_x000D_
  &lt;param n=""DataSource"" v=""&amp;lt;SasDataSource Version=&amp;quot;4.2&amp;quot; Type=&amp;quot;SAS.Servers.Dataset&amp;quot; Svr=&amp;quot;SASApp&amp;quot; Lib=&amp;quot;FECDL&amp;quot; Filter=&amp;quot;Year = '2'"</definedName>
    <definedName name="_AMO_ContentDefinition_982752879.4" hidden="1">"'013' AND Month = '08' AND DestCity = 'WEST PALM BEACH'&amp;quot; FilterDS=&amp;quot;&amp;amp;lt;?xml version=&amp;amp;quot;1.0&amp;amp;quot; encoding=&amp;amp;quot;utf-16&amp;amp;quot;?&amp;amp;gt;&amp;amp;lt;FilterTree&amp;amp;gt;&amp;amp;lt;TreeRoot&amp;amp;gt;&amp;amp;lt;ID&amp;amp;gt;833f2438-e012-4d20'"</definedName>
    <definedName name="_AMO_ContentDefinition_982752879.5" hidden="1">"'-b5e3-1f2202a5cf5f&amp;amp;lt;/ID&amp;amp;gt;&amp;amp;lt;FilterType&amp;amp;gt;COLUMN&amp;amp;lt;/FilterType&amp;amp;gt;&amp;amp;lt;TableID /&amp;amp;gt;&amp;amp;lt;ColumnName&amp;amp;gt;Year&amp;amp;lt;/ColumnName&amp;amp;gt;&amp;amp;lt;ColumnType&amp;amp;gt;Character&amp;amp;lt;/ColumnType&amp;amp;gt;&amp;amp;lt;Gro'"</definedName>
    <definedName name="_AMO_ContentDefinition_982752879.6" hidden="1">"'upLevel /&amp;amp;gt;&amp;amp;lt;SiblingLink&amp;amp;gt;&amp;amp;lt;LinkType&amp;amp;gt;AND&amp;amp;lt;/LinkType&amp;amp;gt;&amp;amp;lt;Node&amp;amp;gt;&amp;amp;lt;ID&amp;amp;gt;971ff91c-d64e-49d2-b652-425a82147d07&amp;amp;lt;/ID&amp;amp;gt;&amp;amp;lt;FilterType&amp;amp;gt;COLUMN&amp;amp;lt;/FilterType&amp;amp;gt;&amp;am'"</definedName>
    <definedName name="_AMO_ContentDefinition_982752879.7" hidden="1">"'p;lt;TableID /&amp;amp;gt;&amp;amp;lt;ColumnName&amp;amp;gt;Month&amp;amp;lt;/ColumnName&amp;amp;gt;&amp;amp;lt;ColumnType&amp;amp;gt;Character&amp;amp;lt;/ColumnType&amp;amp;gt;&amp;amp;lt;GroupLevel /&amp;amp;gt;&amp;amp;lt;SiblingLink&amp;amp;gt;&amp;amp;lt;LinkType&amp;amp;gt;AND&amp;amp;lt;/LinkType&amp;amp;gt;&amp;a'"</definedName>
    <definedName name="_AMO_ContentDefinition_982752879.8" hidden="1">"'mp;lt;Node&amp;amp;gt;&amp;amp;lt;ID&amp;amp;gt;a72ed6c3-99e3-44a7-b147-17d8241a27b3&amp;amp;lt;/ID&amp;amp;gt;&amp;amp;lt;FilterType&amp;amp;gt;COLUMN&amp;amp;lt;/FilterType&amp;amp;gt;&amp;amp;lt;TableID /&amp;amp;gt;&amp;amp;lt;ColumnName&amp;amp;gt;DestCity&amp;amp;lt;/ColumnName&amp;amp;gt;&amp;amp;lt;ColumnT'"</definedName>
    <definedName name="_AMO_ContentDefinition_982752879.9" hidden="1">"'ype&amp;amp;gt;Character&amp;amp;lt;/ColumnType&amp;amp;gt;&amp;amp;lt;GroupLevel /&amp;amp;gt;&amp;amp;lt;Operator&amp;amp;gt;=&amp;amp;lt;/Operator&amp;amp;gt;&amp;amp;lt;UseMacroFunction&amp;amp;gt;False&amp;amp;lt;/UseMacroFunction&amp;amp;gt;&amp;amp;lt;Not&amp;amp;gt;False&amp;amp;lt;/Not&amp;amp;gt;&amp;amp;lt;Labe'"</definedName>
    <definedName name="_AMO_ContentLocation_247660852_PivotTable_247660852" hidden="1">"'&lt;ContentLocation path=""247660852"" rsid=""247660852"" tag=""PivotTable"" fid=""0""&gt;_x000D_
  &lt;param n=""_NumRows"" v=""5"" /&gt;_x000D_
  &lt;param n=""_NumCols"" v=""15"" /&gt;_x000D_
&lt;/ContentLocation&gt;'"</definedName>
    <definedName name="_AMO_ContentLocation_682937942_PivotTable_682937942" hidden="1">"'&lt;ContentLocation path=""682937942"" rsid=""682937942"" tag=""PivotTable"" fid=""0""&gt;_x000D_
  &lt;param n=""_NumRows"" v=""10"" /&gt;_x000D_
  &lt;param n=""_NumCols"" v=""15"" /&gt;_x000D_
&lt;/ContentLocation&gt;'"</definedName>
    <definedName name="_AMO_ContentLocation_972960867_PivotTable_972960867" hidden="1">"'&lt;ContentLocation path=""972960867"" rsid=""972960867"" tag=""PivotTable"" fid=""0""&gt;_x000D_
  &lt;param n=""_NumRows"" v=""14"" /&gt;_x000D_
  &lt;param n=""_NumCols"" v=""17"" /&gt;_x000D_
&lt;/ContentLocation&gt;'"</definedName>
    <definedName name="_AMO_ContentLocation_982752879_PivotTable_982752879" hidden="1">"'&lt;ContentLocation path=""982752879"" rsid=""982752879"" tag=""PivotTable"" fid=""0""&gt;_x000D_
  &lt;param n=""_NumRows"" v=""1"" /&gt;_x000D_
  &lt;param n=""_NumCols"" v=""1"" /&gt;_x000D_
&lt;/ContentLocation&gt;'"</definedName>
    <definedName name="_AMO_RefreshMultipleList" hidden="1">"'73452249'"</definedName>
    <definedName name="_AMO_XmlVersion" hidden="1">"'1'"</definedName>
    <definedName name="_ann04" hidden="1">{"budget95",#N/A,TRUE,"Tabelle1";"Tab1",#N/A,TRUE,"Tabelle2"}</definedName>
    <definedName name="_ap2" hidden="1">{"detail",#N/A,FALSE,"mfg";"summary",#N/A,FALSE,"mfg"}</definedName>
    <definedName name="_Apr03" hidden="1">{"Statement of Income",#N/A,TRUE,"Mar99";"Balance Sheet",#N/A,TRUE,"Mar99"}</definedName>
    <definedName name="_Apr04" hidden="1">{"Statement of Income",#N/A,TRUE,"Mar99";"Balance Sheet",#N/A,TRUE,"Mar99"}</definedName>
    <definedName name="_aro30" hidden="1">{#N/A,#N/A,FALSE,"Staffnos &amp; cost"}</definedName>
    <definedName name="_art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SS6434"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_AtRisk_SimSetting_AutomaticallyGenerateReports" hidden="1">FALSE</definedName>
    <definedName name="_AtRisk_SimSetting_AutomaticResultsDisplayMode" hidden="1">3</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1" hidden="1">{#VALUE!,#N/A,FALSE,0;#N/A,#N/A,FALSE,0;#N/A,#N/A,FALSE,0;#N/A,#N/A,FALSE,0}</definedName>
    <definedName name="_aug04" hidden="1">{"Statement of Income",#N/A,TRUE,"Mar99";"Balance Sheet",#N/A,TRUE,"Mar99"}</definedName>
    <definedName name="_b" hidden="1">{"'Inventory &amp; Anal-Cur Wkbk'!$A$7:$AP$71"}</definedName>
    <definedName name="_b1" hidden="1">Word</definedName>
    <definedName name="_b111" hidden="1">{#N/A,#N/A,FALSE,"Pharm";#N/A,#N/A,FALSE,"WWCM"}</definedName>
    <definedName name="_b18" hidden="1">{"Tages_D",#N/A,FALSE,"Tagesbericht";"Tages_PL",#N/A,FALSE,"Tagesbericht"}</definedName>
    <definedName name="_b19" hidden="1">{"Tages_D",#N/A,FALSE,"Tagesbericht";"Tages_PL",#N/A,FALSE,"Tagesbericht"}</definedName>
    <definedName name="_bb1"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13"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b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bdm.008106A617EF4E0F950A00B6CCC7E11A.edm" hidden="1">#REF!</definedName>
    <definedName name="_bdm.01689FA83BD74114A91D2EC2193212AC.edm" hidden="1">#REF!</definedName>
    <definedName name="_bdm.01C4FB2BCB6C4A0994F5973F765F919A.edm" hidden="1">#REF!</definedName>
    <definedName name="_bdm.01CFB60DC5BA4237A5290B586B633E62.edm" hidden="1">#REF!</definedName>
    <definedName name="_bdm.02BE67FB4A0F433BB41FDEFC04EC948C.edm" hidden="1">#REF!</definedName>
    <definedName name="_bdm.0393C55B465F471485963D15F6CDAE86.edm" hidden="1">#REF!</definedName>
    <definedName name="_bdm.048DABF4E3B74A1291B07DC34298D516.edm" hidden="1">#REF!</definedName>
    <definedName name="_bdm.04B93114D1934C54B5092CC6F2D0C01B.edm" hidden="1">#REF!</definedName>
    <definedName name="_bdm.057193AD4F9A40DDA006D854BF4616E4.edm" hidden="1">#REF!</definedName>
    <definedName name="_bdm.057F54B71E0648A7808F6E7BBD1F2159.edm" hidden="1">#REF!</definedName>
    <definedName name="_bdm.05D7AFA5F99F47669F52A0F13ACCABF7.edm" hidden="1">#REF!</definedName>
    <definedName name="_bdm.05EE459294FC4D3D88FC723AC105DDDD.edm" hidden="1">#REF!</definedName>
    <definedName name="_bdm.060BF17828654A2888B7BD89CF74029A.edm" hidden="1">#REF!</definedName>
    <definedName name="_bdm.0721A591809E4370B944B5F620E179D0.edm" hidden="1">#REF!</definedName>
    <definedName name="_bdm.073EB64BAEE04D488AB043D6B191C198.edm" hidden="1">#REF!</definedName>
    <definedName name="_bdm.07B6E0F030884BDDB8AE6F97747C0210.edm" hidden="1">#REF!</definedName>
    <definedName name="_bdm.0815B4EE07864FC5A2FE6360878BAADA.edm" hidden="1">#REF!</definedName>
    <definedName name="_bdm.0832E81FDBA745A5B97E4284D3012648.edm" hidden="1">#REF!</definedName>
    <definedName name="_bdm.084B9AE6D96B4628B01F2C411B283DAA.edm" hidden="1">#REF!</definedName>
    <definedName name="_bdm.0A3BED1D419D48EBBCB17437C1E7776A.edm" hidden="1">#REF!</definedName>
    <definedName name="_bdm.0AA403657FCB4AF2B41DFC5706B9D4ED.edm" hidden="1">#REF!</definedName>
    <definedName name="_bdm.0AC2F3E74089446AA251C8E543C16A50.edm" hidden="1">#REF!</definedName>
    <definedName name="_bdm.0AD7EBE0D3034303980EA8D2AA4A5335.edm" hidden="1">#REF!</definedName>
    <definedName name="_bdm.0BDF5A415FB549E1ADB5135EA1460C26.edm" hidden="1">#REF!</definedName>
    <definedName name="_bdm.0d1ef1e6cde34618bf6b6e0585c265c4.edm" hidden="1">#REF!</definedName>
    <definedName name="_bdm.0D5123D651A64A50BBF7DE6752F16E36.edm" hidden="1">#REF!</definedName>
    <definedName name="_bdm.0DC43123E55A425CAD5A9DC556B4AAF4.edm" hidden="1">#REF!</definedName>
    <definedName name="_bdm.0E1F1DD7994F4F83997A2DA4C4A555E3.edm" hidden="1">#REF!</definedName>
    <definedName name="_bdm.0EDC45E988624CBCAB8645EFC2A31F67.edm" hidden="1">#REF!</definedName>
    <definedName name="_bdm.0EEB71B3DA7B41E5B8036753E6F98F80.edm" hidden="1">#REF!</definedName>
    <definedName name="_bdm.0F1E5CD51F8C4730BAA2A4BE645956C6.edm" hidden="1">#REF!</definedName>
    <definedName name="_bdm.0F34FE049B5F4EFDBB16037DB1A02E9D.edm" hidden="1">#REF!</definedName>
    <definedName name="_bdm.0F560DD9D845426281F5A31CFBAB8416.edm" hidden="1">#REF!</definedName>
    <definedName name="_bdm.0F65C622356840D89600AD8DE863E56E.edm" hidden="1">#REF!</definedName>
    <definedName name="_bdm.10B7DE59A78B40EB945B24FF566F12D5.edm" hidden="1">#REF!</definedName>
    <definedName name="_bdm.1217F698F4154FA889B87DBB748433BF.edm" hidden="1">#REF!</definedName>
    <definedName name="_bdm.1251ED85472146FDBC3001EB85877E4A.edm" hidden="1">#REF!</definedName>
    <definedName name="_bdm.12DEADD88C32481AA45C787F504D8E35.edm" hidden="1">#REF!</definedName>
    <definedName name="_bdm.143610D965944F2186D288D5EB3E1033.edm" hidden="1">#REF!</definedName>
    <definedName name="_bdm.15D87C8D65C04232B0E702D04432395B.edm" hidden="1">#REF!</definedName>
    <definedName name="_bdm.15EDA41A95CC4CDBB80DD66DF50B02CB.edm" hidden="1">#REF!</definedName>
    <definedName name="_bdm.17B50EB02075419D941AEF2559AE3ACF.edm" hidden="1">#REF!</definedName>
    <definedName name="_bdm.184DA59D82E5482C8F2AFDD207867889.edm" hidden="1">#REF!</definedName>
    <definedName name="_bdm.19CCF142BF054E2DB644BF57FB3C0676.edm" hidden="1">#REF!</definedName>
    <definedName name="_bdm.1A10EE3180BD4B4B9216C20AA25F3F0D.edm" hidden="1">#REF!</definedName>
    <definedName name="_bdm.1a2221283c274dc4920a4e2db8c2ae8b.edm" hidden="1">#REF!</definedName>
    <definedName name="_bdm.1B1A0682904F46ED80A53A9E83E0C116.edm" hidden="1">#REF!</definedName>
    <definedName name="_bdm.1b1dbac43b60441b917d53f957d50f34.edm" hidden="1">#REF!</definedName>
    <definedName name="_bdm.1BCC9C22E1B742F696FBCED422264FD2.edm" hidden="1">#REF!</definedName>
    <definedName name="_bdm.1DB502D8CD01422EBD8B7217C1FE8CED.edm" hidden="1">#REF!</definedName>
    <definedName name="_bdm.1ec699e3a21f4f4482f8c43a82d2ef8a.edm" hidden="1">#REF!</definedName>
    <definedName name="_bdm.1F6E25A1924243B5BD0910195C903DD6.edm" hidden="1">#REF!</definedName>
    <definedName name="_bdm.1FD3C44903724BAC8A267CF4F40A662D.edm" hidden="1">#REF!</definedName>
    <definedName name="_bdm.209268CE85B94594A117E78642D9FB44.edm" hidden="1">#REF!</definedName>
    <definedName name="_bdm.20E91548A84B4166AE3A2BD83A3D038C.edm" hidden="1">#REF!</definedName>
    <definedName name="_bdm.210C7E4F39E44E8BB1E25D0219F4F940.edm" hidden="1">#REF!</definedName>
    <definedName name="_bdm.215DF202DFF249439C5FC211171F4393.edm" hidden="1">#REF!</definedName>
    <definedName name="_bdm.217C874E97794F27A7A2E5202C631235.edm" hidden="1">#REF!</definedName>
    <definedName name="_bdm.23316B3898AB4331BD7F8B4FFA35C724.edm" hidden="1">#REF!</definedName>
    <definedName name="_bdm.23831D18261C49B0A7D571D0BEDF82F2.edm" hidden="1">#REF!</definedName>
    <definedName name="_bdm.241fce51d9864ad39c2b8cddcf2fbd18.edm" hidden="1">#REF!</definedName>
    <definedName name="_bdm.248e93554ad84a7e8dacfd03c40b5887.edm" hidden="1">#REF!</definedName>
    <definedName name="_bdm.24CC9AD2E8D24DE6ABA8775140225CEC.edm" hidden="1">#REF!</definedName>
    <definedName name="_bdm.25ACB4FA824E4968ACB78A838590C8E5.edm" hidden="1">#REF!</definedName>
    <definedName name="_bdm.2668C22B664E42219CD81A4E0D6D1677.edm" hidden="1">#REF!</definedName>
    <definedName name="_bdm.26B4751ADB2240ACA124BB8BFAEC3800.edm" hidden="1">#REF!</definedName>
    <definedName name="_bdm.26FE944409B449B49556290D4B9F99FE.edm" hidden="1">#REF!</definedName>
    <definedName name="_bdm.27712615324141D7AF6DCBB5C6C27E43.edm" hidden="1">#REF!</definedName>
    <definedName name="_bdm.278A1157C5E44DD189C30BA5829A4317.edm" hidden="1">#REF!</definedName>
    <definedName name="_bdm.27C59642456B4164A4F6EC68C055C37C.edm" hidden="1">#REF!</definedName>
    <definedName name="_bdm.282F1BD8B6174D9384CAF1AD8C896378.edm" hidden="1">#REF!</definedName>
    <definedName name="_bdm.28635078F43247C9952ABC688B6EB8FB.edm" hidden="1">#REF!</definedName>
    <definedName name="_bdm.28EA9208F16C4249ABF9082FFD846450.edm" hidden="1">#REF!</definedName>
    <definedName name="_bdm.28EBACAE9555463AA351D9B54720A60F.edm" hidden="1">#REF!</definedName>
    <definedName name="_bdm.2AA5D5CF43D9452993A008E7480BDAEC.edm" hidden="1">#REF!</definedName>
    <definedName name="_bdm.2AB9AE0219D1424FA538C7690A4CDF50.edm" hidden="1">#REF!</definedName>
    <definedName name="_bdm.2C2D34D14E094D13876E0A3409E6F82E.edm" hidden="1">#REF!</definedName>
    <definedName name="_bdm.2CD34891F88C474288D8913A9C862910.edm" hidden="1">#REF!</definedName>
    <definedName name="_bdm.2D64C0BEBF5A42EEB042F57E53B8985E.edm" hidden="1">#REF!</definedName>
    <definedName name="_bdm.2D6E982537D0415D94C0BF543DE46937.edm" hidden="1">#REF!</definedName>
    <definedName name="_bdm.2DE2717BDD7B4F26ABEBA11F4AF8EB80.edm" hidden="1">#REF!</definedName>
    <definedName name="_bdm.2E4D3C79B575492F97AA980656519DA7.edm" hidden="1">#REF!</definedName>
    <definedName name="_bdm.2EE6F49B2A054D108386D35D6C562F3B.edm" hidden="1">#REF!</definedName>
    <definedName name="_bdm.3023FCBC47C640DDAB19C2EDBD027489.edm" hidden="1">#REF!</definedName>
    <definedName name="_bdm.302538A77F274CBB95FE1A5191021B46.edm" hidden="1">#REF!</definedName>
    <definedName name="_bdm.3059D6A240D749EAAD5D3E2B8F36DE6F.edm" hidden="1">#REF!</definedName>
    <definedName name="_bdm.3170A6D90AC34D9F827A9931ABCD8CFD.edm" hidden="1">#REF!</definedName>
    <definedName name="_bdm.31A7A7945A874FEC8562E3155164BAA1.edm" hidden="1">#REF!</definedName>
    <definedName name="_bdm.3292D9BC24C043F79CC5B09C254F3CED.edm" hidden="1">#REF!</definedName>
    <definedName name="_bdm.32C1F25A8D3A4D3BACD5F9B92BE3FC12.edm" hidden="1">#REF!</definedName>
    <definedName name="_bdm.32FD37EF56764C2E81B5E2A967EE5A87.edm" hidden="1">#REF!</definedName>
    <definedName name="_bdm.33b00f4582cd449d93f48febd46d1eeb.edm" hidden="1">#REF!</definedName>
    <definedName name="_bdm.33E4D00EF9FF4DDFB50130E6281102A0.edm" hidden="1">#REF!</definedName>
    <definedName name="_bdm.34425260E9F747C7A65DCB9B1DF9B6C1.edm" hidden="1">#REF!</definedName>
    <definedName name="_bdm.34D7E256B2FD45B293456EC10749B450.edm" hidden="1">#REF!</definedName>
    <definedName name="_bdm.3725A4389F4F4321AEE9BFE5AACBFC67.edm" hidden="1">#REF!</definedName>
    <definedName name="_bdm.386F44A0F21B4CF49A761A6E976C3EF7.edm" hidden="1">#REF!</definedName>
    <definedName name="_bdm.389AB664738C4492B94D2FC6AE4A0A11.edm" hidden="1">#REF!</definedName>
    <definedName name="_bdm.3935208A70BE4CFA8E5014B7F8AE4311.edm" hidden="1">#REF!</definedName>
    <definedName name="_bdm.39B8C036341144F198FF84D21FD23A54.edm" hidden="1">#REF!</definedName>
    <definedName name="_bdm.39EE0430D40D4EFFBF013BFB7B525245.edm" hidden="1">#REF!</definedName>
    <definedName name="_bdm.3A4B6E4C5FC9462FAB3339FC49661D91.edm" hidden="1">#REF!</definedName>
    <definedName name="_bdm.3A9DDA8327AA430D96082E3101468891.edm" hidden="1">#REF!</definedName>
    <definedName name="_bdm.3b006412530f421b8b02a1de1d333aff.edm" hidden="1">#REF!</definedName>
    <definedName name="_bdm.3BFE3C693C084D298FF3EE12F9E9378E.edm" hidden="1">#REF!</definedName>
    <definedName name="_bdm.3D7A9E3C7254439B81C16B26BC201C4E.edm" hidden="1">#REF!</definedName>
    <definedName name="_bdm.3F3D154789DB4E3D9F8942A23646B270.edm" hidden="1">#REF!</definedName>
    <definedName name="_bdm.3FE0A75122894D0480E20E3EA9CB8F66.edm" hidden="1">#REF!</definedName>
    <definedName name="_bdm.40192C2F4E574E89804BD909A621E94B.edm" hidden="1">#REF!</definedName>
    <definedName name="_bdm.40E9EDA92B4643148879AF9876A59A9F.edm" hidden="1">#REF!</definedName>
    <definedName name="_bdm.412825900d0a4817ba7a5041e30d640f.edm" hidden="1">#REF!</definedName>
    <definedName name="_bdm.4204EC7D7A174226AC7847DAAB12267E.edm" hidden="1">#REF!</definedName>
    <definedName name="_bdm.4281CE59A7B14C9A9910E91D1D6E6D7A.edm" hidden="1">#REF!</definedName>
    <definedName name="_bdm.4360676AD407460ABDB3AE601E6AC982.edm" hidden="1">#REF!</definedName>
    <definedName name="_bdm.437EBF4D680B48DE9E88B430E04D805A.edm" hidden="1">#REF!</definedName>
    <definedName name="_bdm.446cf2b07c60408bb6c383a9893b63d8.edm" hidden="1">#REF!</definedName>
    <definedName name="_bdm.44D72EB3E0124076959C0451894550DE.edm" hidden="1">#REF!</definedName>
    <definedName name="_bdm.4605DBD3457D4CD89D8E1E3E917A0DE1.edm" hidden="1">#REF!</definedName>
    <definedName name="_bdm.466218606F03462B9CCF104E4D204C5C.edm" hidden="1">#REF!</definedName>
    <definedName name="_bdm.46F8D7F3DD894741A631BF21031132F1.edm" hidden="1">#REF!</definedName>
    <definedName name="_bdm.47895B1AB8224B87A66635D20EB22E3D.edm" hidden="1">#REF!</definedName>
    <definedName name="_bdm.48af8c2e46894482bdae53eea28eb559.edm" hidden="1">#REF!</definedName>
    <definedName name="_bdm.48CC776D24244988AAA97F908CEDA3C4.edm" hidden="1">#REF!</definedName>
    <definedName name="_bdm.48CF2CF1318D4B04B3BEFB4E3D92AEA1.edm" hidden="1">#REF!</definedName>
    <definedName name="_bdm.4900F9A5B517416D8EEA79F7377E634F.edm" hidden="1">#REF!</definedName>
    <definedName name="_bdm.4930954B86334391A89B9150913FE66B.edm" hidden="1">#REF!</definedName>
    <definedName name="_bdm.493A22D52BE54F6AB9D59625FBC7FFDE.edm" hidden="1">#REF!</definedName>
    <definedName name="_bdm.49813B36FF484B20BC7AFB6A08ABF73F.edm" hidden="1">#REF!</definedName>
    <definedName name="_bdm.4A08328614CA492D939A7F87E1A801F3.edm" hidden="1">#REF!</definedName>
    <definedName name="_bdm.4C840CDDF4FA468EBDB620F7BDB1F634.edm" hidden="1">#REF!</definedName>
    <definedName name="_bdm.4C95D9FF3E21417EA6C09E5D83757B59.edm" hidden="1">#REF!</definedName>
    <definedName name="_bdm.4CE945BFE9BA4627920222D07C48D847.edm" hidden="1">#REF!</definedName>
    <definedName name="_bdm.4D1132E61F834869A7248A43392DAE60.edm" hidden="1">#REF!</definedName>
    <definedName name="_bdm.4D97CF94D7BA4475B4A0852C5D13CFF8.edm" hidden="1">#REF!</definedName>
    <definedName name="_bdm.4DAC183527334D6BAFA083B3AD54F6FE.edm" hidden="1">#REF!</definedName>
    <definedName name="_bdm.4DBE515A54FE47D6B9A7E644CC26EEB5.edm" hidden="1">#REF!</definedName>
    <definedName name="_bdm.4E2453ACA1164E4F9DE66B578B5DC673.edm" hidden="1">#REF!</definedName>
    <definedName name="_bdm.4E3A1B06394F49F6898D085C45BB8270.edm" hidden="1">#REF!</definedName>
    <definedName name="_bdm.4E7500AC6ED74E32AED59317816D5641.edm" hidden="1">#REF!</definedName>
    <definedName name="_bdm.4E78C50AB8384696B0A34C1640251CFF.edm" hidden="1">#REF!</definedName>
    <definedName name="_bdm.4E86172168884FB193D20147E5C8C2CA.edm" hidden="1">#REF!</definedName>
    <definedName name="_bdm.4ef6ea5018de4b3f9a479206e7b7cdb4.edm" hidden="1">#REF!</definedName>
    <definedName name="_bdm.4F305DAC4DB9442081788096E4D30134.edm" hidden="1">#REF!</definedName>
    <definedName name="_bdm.4F9534814F44470A868A6565FC244501.edm" hidden="1">#REF!</definedName>
    <definedName name="_bdm.4FB79880134E4D11A876E4AF268F9A57.edm" hidden="1">#REF!</definedName>
    <definedName name="_bdm.4FCB5A6D1ACE4A52A3A3DD86A153F974.edm" hidden="1">#REF!</definedName>
    <definedName name="_bdm.4FEA93C726D940BAAE92F305655BC917.edm" hidden="1">#REF!</definedName>
    <definedName name="_bdm.500457f5019e4373850b07c1d95eebb1.edm" hidden="1">#REF!</definedName>
    <definedName name="_bdm.5069BA2024754A148D5A23D7455F6196.edm" hidden="1">#REF!</definedName>
    <definedName name="_bdm.50CAF69B9059400FA28ACEB2A5F248BB.edm" hidden="1">#REF!</definedName>
    <definedName name="_bdm.50D2E628D0794ABE99FE2CE159CE0342.edm" hidden="1">#REF!</definedName>
    <definedName name="_bdm.5181041A497144AB88CF9C88BB49D506.edm" hidden="1">#REF!</definedName>
    <definedName name="_bdm.51FE70D6F9B14404A166298D2C97727D.edm" hidden="1">#REF!</definedName>
    <definedName name="_bdm.5280DBFCCAD0490FB99E27844F1A1C00.edm" hidden="1">#REF!</definedName>
    <definedName name="_bdm.529A972031BD44A8B90C1ADA416EFCE6.edm" hidden="1">#REF!</definedName>
    <definedName name="_bdm.5414C1F1B4A44232B58F3AD87C551CC9.edm" hidden="1">#REF!</definedName>
    <definedName name="_bdm.541A234F87204DC8BC58424A03CE44B9.edm" hidden="1">#REF!</definedName>
    <definedName name="_bdm.543E92F2F2124CB49B8ABD33B6F03AE5.edm" hidden="1">#REF!</definedName>
    <definedName name="_bdm.547a448295ff48faacbb33bb0db68307.edm" hidden="1">#REF!</definedName>
    <definedName name="_bdm.566922792B3E4430A6D7E24D354AC09B.edm" hidden="1">#REF!</definedName>
    <definedName name="_bdm.57b205f16da64ae2a2fee6433d09b85b.edm" hidden="1">#REF!</definedName>
    <definedName name="_bdm.582EEAB414B24151ABD71A1C4887AC70.edm" hidden="1">#REF!</definedName>
    <definedName name="_bdm.58e107cd0af04ea0b783ad9001d145b1.edm" hidden="1">#REF!</definedName>
    <definedName name="_bdm.5B55468FE5014C8AA9273B14A5A8E711.edm" hidden="1">#REF!</definedName>
    <definedName name="_bdm.5C78818BCBD845B78140A4B9DF16D49A.edm" hidden="1">#REF!</definedName>
    <definedName name="_bdm.5D3B3155F804470A8610156C943AEA9F.edm" hidden="1">#REF!</definedName>
    <definedName name="_bdm.5D846D8785B342F89EB60E7D0062BAE4.edm" hidden="1">#REF!</definedName>
    <definedName name="_bdm.5E7083607DA04475934852A7E6FB68FC.edm" hidden="1">#REF!</definedName>
    <definedName name="_bdm.5F6B8E8758664960BBA59B1AF8882B2C.edm" hidden="1">#REF!</definedName>
    <definedName name="_bdm.5F843B6588894F938BFACF6EF4DB0D4F.edm" hidden="1">#REF!</definedName>
    <definedName name="_bdm.5FFEB117BAC84E6A92BDE47AB8EFAA51.edm" hidden="1">#REF!</definedName>
    <definedName name="_bdm.6009F083C91F4966AFBD1CC63348D599.edm" hidden="1">#REF!</definedName>
    <definedName name="_bdm.60120253D71A456FACE291EEC9C1DB00.edm" hidden="1">#REF!</definedName>
    <definedName name="_bdm.60E2408C2AD34815BF6D9FE1373FD45B.edm" hidden="1">#REF!</definedName>
    <definedName name="_bdm.61348E76166746B39A5FF91246838B37.edm" hidden="1">#REF!</definedName>
    <definedName name="_bdm.616AC02C71FF479A8C43CF43788199E6.edm" hidden="1">#REF!</definedName>
    <definedName name="_bdm.61F7BE38430840C9BDE6F192E9916E3E.edm" hidden="1">#REF!</definedName>
    <definedName name="_bdm.621683EAD1B6481C9FB961F232D7B5ED.edm" hidden="1">#REF!</definedName>
    <definedName name="_bdm.6290EA298B1C47CCBF9F819869071AE0.edm" hidden="1">#REF!</definedName>
    <definedName name="_bdm.62A7462518A64EA28D3699DC6BDA8026.edm" hidden="1">#REF!</definedName>
    <definedName name="_bdm.6323473A60C940408C8FD879245BAA43.edm" hidden="1">#REF!</definedName>
    <definedName name="_bdm.639A4EBE372D4BA39516551CFABD8E6B.edm" hidden="1">#REF!</definedName>
    <definedName name="_bdm.640EE395A7D6479C9D2C77AE8382D901.edm" hidden="1">#REF!</definedName>
    <definedName name="_bdm.666F99A9108D4C44AA583D94B03EA610.edm" hidden="1">#REF!</definedName>
    <definedName name="_bdm.66ABF8C0CB114D168D71F0DC211E2A5C.edm" hidden="1">#REF!</definedName>
    <definedName name="_bdm.66CE3FE37BF14764BF457B7C8416FF1B.edm" hidden="1">#REF!</definedName>
    <definedName name="_bdm.68913FD3DC8D4AEE95FEB5731948D5A9.edm" hidden="1">#REF!</definedName>
    <definedName name="_bdm.68DFB314ACA14843B499882F591C77A0.edm" hidden="1">#REF!</definedName>
    <definedName name="_bdm.6934A04A69A249B8A497167554D5ED37.edm" hidden="1">#REF!</definedName>
    <definedName name="_bdm.698B3BC33BE34D21A144E6915F5C364D.edm" hidden="1">#REF!</definedName>
    <definedName name="_bdm.69C44124BA8C4881B6B58521F9657B20.edm" hidden="1">#REF!</definedName>
    <definedName name="_bdm.69C6B13753CF4A02A0D506EE93C1597D.edm" hidden="1">#REF!</definedName>
    <definedName name="_bdm.69E23144D8B345FBA0FAAD7344CED17D.edm" hidden="1">#REF!</definedName>
    <definedName name="_bdm.6b3a47f789f14c0e8b3277171a1a4a10.edm" hidden="1">#REF!</definedName>
    <definedName name="_bdm.6C399C673A5B4354A3DA0327B5A98522.edm" hidden="1">#REF!</definedName>
    <definedName name="_bdm.6C8FFFD7B17D4D4FBDC36D32D9D678CB.edm" hidden="1">#REF!</definedName>
    <definedName name="_bdm.6c99d81bdaec43c08abbcbf3fda44828.edm" hidden="1">#REF!</definedName>
    <definedName name="_bdm.6CA806FD73B840CD9476AAFD55F6ABC1.edm" hidden="1">#REF!</definedName>
    <definedName name="_bdm.6CC2B0910671451483DAD3B697521D06.edm" hidden="1">#REF!</definedName>
    <definedName name="_bdm.6E8D4D2E1C8641D99547EBF323B54C2F.edm" hidden="1">#REF!</definedName>
    <definedName name="_bdm.6F00018117DA4E9787CFD48631602EF2.edm" hidden="1">#REF!</definedName>
    <definedName name="_bdm.6F1610B3CA824EAB81A2D256FFE0E5E9.edm" hidden="1">#REF!</definedName>
    <definedName name="_bdm.6F6BF8DFD21D45F1B8F76F991AC3C432.edm" hidden="1">#REF!</definedName>
    <definedName name="_bdm.6FAFA432554F453382729773FC5C1F81.edm" hidden="1">#REF!</definedName>
    <definedName name="_bdm.6FE5E7E8D511496B95595342B307BFCF.edm" hidden="1">#REF!</definedName>
    <definedName name="_bdm.70067247738D406485EE4A3986799B56.edm" hidden="1">#REF!</definedName>
    <definedName name="_bdm.7019d1a58ae748539760fb3667185ce9.edm" hidden="1">#REF!</definedName>
    <definedName name="_bdm.71381D866AF144879FE51DE1799DD6B7.edm" hidden="1">#REF!</definedName>
    <definedName name="_bdm.718007829FE1421F830598534A3C303D.edm" hidden="1">#REF!</definedName>
    <definedName name="_bdm.728C4D4E5EDF4A5F8E066A265B7901C3.edm" hidden="1">#REF!</definedName>
    <definedName name="_bdm.72A517D2EC4D40A39D3518FC2332A36D.edm" hidden="1">#REF!</definedName>
    <definedName name="_bdm.7309C979757442CD9D511ECFDBE37F71.edm" hidden="1">#REF!</definedName>
    <definedName name="_bdm.73A29436EA72430EA3026A8E0C392288.edm" hidden="1">#REF!</definedName>
    <definedName name="_bdm.74447244A5654244AE2F0BFC71E65F4E.edm" hidden="1">#REF!</definedName>
    <definedName name="_bdm.7480C6E4167B48BABCF271FCDC4377AE.edm" hidden="1">#REF!</definedName>
    <definedName name="_bdm.75068E39EC6D4E9C888D9E2DB5F16DFB.edm" hidden="1">#REF!</definedName>
    <definedName name="_bdm.756ABEC9CC60404788768BC0E75D4A96.edm" hidden="1">#REF!</definedName>
    <definedName name="_bdm.76070E56B27E49E5A2F1D888D8E45705.edm" hidden="1">#REF!</definedName>
    <definedName name="_bdm.76BA3C1D997248FE80207DD33F01682B.edm" hidden="1">#REF!</definedName>
    <definedName name="_bdm.7863ADF0CC9C48CEB6F4E88860418933.edm" hidden="1">#REF!</definedName>
    <definedName name="_bdm.78e842f986e048b2a18a5168203e470a.edm" hidden="1">#REF!</definedName>
    <definedName name="_bdm.79EF2DA8E7DD4B06B75F38C9507DA1C6.edm" hidden="1">#REF!</definedName>
    <definedName name="_bdm.7A0D6EF83F414FDD8C550740EBD1D8B9.edm" hidden="1">#REF!</definedName>
    <definedName name="_bdm.7A38724E3881402C8BB45A527BF76493.edm" hidden="1">#REF!</definedName>
    <definedName name="_bdm.7A5A30607FBC4F96B6103DE043B12CB0.edm" hidden="1">#REF!</definedName>
    <definedName name="_bdm.7A9EC36ECD5D4D6C94C12240738FE789.edm" hidden="1">#REF!</definedName>
    <definedName name="_bdm.7AD2531470004260BA513223C7A0828D.edm" hidden="1">#REF!</definedName>
    <definedName name="_bdm.7B16D587D713415AB58553D0420900D6.edm" hidden="1">#REF!</definedName>
    <definedName name="_bdm.7BBB8CE8B290490D9FD4CCA76F8F632B.edm" hidden="1">#REF!</definedName>
    <definedName name="_bdm.7BF8447DC95E4417993F0CBC4E699CAF.edm" hidden="1">#REF!</definedName>
    <definedName name="_bdm.7CE90E21F38B444FA69E6163AFFD3245.edm" hidden="1">#REF!</definedName>
    <definedName name="_bdm.7DA6D2855E134CC2ACC8EB8A5F141459.edm" hidden="1">#REF!</definedName>
    <definedName name="_bdm.7DD722F8207345C597BF167402B2D38C.edm" hidden="1">#REF!</definedName>
    <definedName name="_bdm.7E1C52FF8E05407EBC63F483518DCC48.edm" hidden="1">#REF!</definedName>
    <definedName name="_bdm.7E1F3BC48C2D4ADBA0B1E77089203073.edm" hidden="1">#REF!</definedName>
    <definedName name="_bdm.7E4BE4EEECD94350BA1F81CF18EE4451.edm" hidden="1">#REF!</definedName>
    <definedName name="_bdm.7E59C4AB9B76431F89157B52F58D8DD8.edm" hidden="1">#REF!</definedName>
    <definedName name="_bdm.7EE93FC3EF8B41A381740C6EDDE1E054.edm" hidden="1">#REF!</definedName>
    <definedName name="_bdm.7F5E12762D38494DA899E8A4C8F31373.edm" hidden="1">#REF!</definedName>
    <definedName name="_bdm.816EB66BDC1D4166B9405623427C38D9.edm" hidden="1">#REF!</definedName>
    <definedName name="_bdm.81A0ED12D1174D63862C9531D58FB93E.edm" hidden="1">#REF!</definedName>
    <definedName name="_bdm.81E2944A2CDB4A0EA5AB4BF71B438DA7.edm" hidden="1">#REF!</definedName>
    <definedName name="_bdm.82088D73009145DCACA5C6AC457B517A.edm" hidden="1">#REF!</definedName>
    <definedName name="_bdm.8307BA67B82942F3B5BCD3344CBC5EA0.edm" hidden="1">#REF!</definedName>
    <definedName name="_bdm.830F452FA4194F1897A6FF85169490A3.edm" hidden="1">#REF!</definedName>
    <definedName name="_bdm.839E77C7E9844843B4CB74E20210EEF1.edm" hidden="1">#REF!</definedName>
    <definedName name="_bdm.85b0e48a3c9b421f984152d680ab4aaa.edm" hidden="1">#REF!</definedName>
    <definedName name="_bdm.85EA2B6504614C828E75C775E05EF21F.edm" hidden="1">#REF!</definedName>
    <definedName name="_bdm.8610eb432a16472c90366a42dad0d0db.edm" hidden="1">#REF!</definedName>
    <definedName name="_bdm.8675D84CDC46450A9641B76A1F4950D3.edm" hidden="1">#REF!</definedName>
    <definedName name="_bdm.86CA2EA0DB94474C867C08F6A122C71B.edm" hidden="1">#REF!</definedName>
    <definedName name="_bdm.86F2C18EAE2C4294BD3C2D02C1A6FAEF.edm" hidden="1">#REF!</definedName>
    <definedName name="_bdm.878B9626D95E41EA9D2C01DECAE640AA.edm" hidden="1">#REF!</definedName>
    <definedName name="_bdm.87D2571E3E204BA69485BB377CC55F55.edm" hidden="1">#REF!</definedName>
    <definedName name="_bdm.88003136591E40708373EE4E0250B891.edm" hidden="1">#REF!</definedName>
    <definedName name="_bdm.88EF9CE6653D490E8774EFAC42DFB550.edm" hidden="1">#REF!</definedName>
    <definedName name="_bdm.89D81C3D8354482399BEB6B8833490F5.edm" hidden="1">#REF!</definedName>
    <definedName name="_bdm.89F68EFA428A46179FEC4DA8C1C9B569.edm" hidden="1">#REF!</definedName>
    <definedName name="_bdm.8A193B5974294548B4967B9C0BF10F0D.edm" hidden="1">#REF!</definedName>
    <definedName name="_bdm.8AA3A01A9F304C169EDE41957E2E1237.edm" hidden="1">#REF!</definedName>
    <definedName name="_bdm.8AE0E8B02313474EA588BCAB4FEF17D0.edm" hidden="1">#REF!</definedName>
    <definedName name="_bdm.8B187E02366C4C15A56EB5A59DF561C8.edm" hidden="1">#REF!</definedName>
    <definedName name="_bdm.8B84A91D38C2492CAA740373376A9C9B.edm" hidden="1">#REF!</definedName>
    <definedName name="_bdm.8B943416F0474F3DA13AEBF8CB920FE6.edm" hidden="1">#REF!</definedName>
    <definedName name="_bdm.8BB73188827547E5A6F85740DAC041B9.edm" hidden="1">#REF!</definedName>
    <definedName name="_bdm.8bff3dcd26094f01b8db86e6473b8139.edm" hidden="1">#REF!</definedName>
    <definedName name="_bdm.8CC581556767469BBE3EDE4196C6D235.edm" hidden="1">#REF!</definedName>
    <definedName name="_bdm.8D6A76799CBD41B88FEA3150BD2CEA93.edm" hidden="1">#REF!</definedName>
    <definedName name="_bdm.8D762CE135E948ADACD0AE4F8EEEAED2.edm" hidden="1">#REF!</definedName>
    <definedName name="_bdm.8F2B2A3F8B694887B41CBD93EC452462.edm" hidden="1">#REF!</definedName>
    <definedName name="_bdm.8FCB78803D0B413080DE57A74841D53E.edm" hidden="1">#REF!</definedName>
    <definedName name="_bdm.9056EF6E83064064A653E6337F9A7AF8.edm" hidden="1">#REF!</definedName>
    <definedName name="_bdm.905BB02C6CC049DD82B320C06E068458.edm" hidden="1">#REF!</definedName>
    <definedName name="_bdm.9132680c8b7b4f9b8042c6ad993c689b.edm" hidden="1">#REF!</definedName>
    <definedName name="_bdm.919C4FD80E62432B89AE11DC0C136477.edm" hidden="1">#REF!</definedName>
    <definedName name="_bdm.91CD4DEC29C049BD929A8110F777B566.edm" hidden="1">#REF!</definedName>
    <definedName name="_bdm.92FE6DC103C64A18836880A44A3907C3.edm" hidden="1">#REF!</definedName>
    <definedName name="_bdm.94006DA267204C93AE1BEDEEE6D3D765.edm" hidden="1">#REF!</definedName>
    <definedName name="_bdm.94E749715624467E9EB28D3C236A57A3.edm" hidden="1">#REF!</definedName>
    <definedName name="_bdm.952B4053AABD41AB896143D823D23DC8.edm" hidden="1">#REF!</definedName>
    <definedName name="_bdm.954848313B6C45B1B4AC00EB79232C65.edm" hidden="1">#REF!</definedName>
    <definedName name="_bdm.9551B418BCFA458EAB3CF058EAD21F47.edm" hidden="1">#REF!</definedName>
    <definedName name="_bdm.958054DB35734DA7BE4A3D37757BACB5.edm" hidden="1">#REF!</definedName>
    <definedName name="_bdm.95990DE47B2F4ADB9C79A6FEB420FF08.edm" hidden="1">#REF!</definedName>
    <definedName name="_bdm.96CE0473F51640CA84C7D4695D661D7C.edm" hidden="1">#REF!</definedName>
    <definedName name="_bdm.970399334C004044A6F77B7888A9EBE7.edm" hidden="1">#REF!</definedName>
    <definedName name="_bdm.971DAA1D9B2347A1AF812221ED3A7605.edm" hidden="1">#REF!</definedName>
    <definedName name="_bdm.97C9F36FF5C646EFB477715CEBBD4B2F.edm" hidden="1">#REF!</definedName>
    <definedName name="_bdm.98084AB8CA494830A0714C6A7574B2C5.edm" hidden="1">#REF!</definedName>
    <definedName name="_bdm.98A08D76DCA047688A3462CD379512A7.edm" hidden="1">#REF!</definedName>
    <definedName name="_bdm.9926DB956C15476B88F3DFE994A641B7.edm" hidden="1">#REF!</definedName>
    <definedName name="_bdm.9935AB17428A4A419D561A38D28A0C43.edm" hidden="1">#REF!</definedName>
    <definedName name="_bdm.9B4D7B7E2D204AF4BFA8D1954DB95A30.edm" hidden="1">#REF!</definedName>
    <definedName name="_bdm.9bb7fa17b7f543a3aac3cc11da9fb120.edm" hidden="1">#REF!</definedName>
    <definedName name="_bdm.9BFCD7804FD543C883426C815DE9C8D0.edm" hidden="1">#REF!</definedName>
    <definedName name="_bdm.9C6EE367D7944115A64EE087F5679651.edm" hidden="1">#REF!</definedName>
    <definedName name="_bdm.9CCEC3629FD3490E9039A89F1AE78B1C.edm" hidden="1">#REF!</definedName>
    <definedName name="_bdm.9D1996AA3FE843249C7080AB942E6FCC.edm" hidden="1">#REF!</definedName>
    <definedName name="_bdm.9D576385AB334E0F91FC7FB7CEA21807.edm" hidden="1">#REF!</definedName>
    <definedName name="_bdm.9EF969AED56042D1B722EE7D9E271807.edm" hidden="1">#REF!</definedName>
    <definedName name="_bdm.9FAB4FDDAD6541FAA5059E2081679182.edm" hidden="1">#REF!</definedName>
    <definedName name="_bdm.A0B2365113E146E391C05B15861A92B4.edm" hidden="1">#REF!</definedName>
    <definedName name="_bdm.A0DFFC5C361147789F8B450F65098316.edm" hidden="1">#REF!</definedName>
    <definedName name="_bdm.A0F8A20A4CE94C70A6497BC5E1C85C44.edm" hidden="1">#REF!</definedName>
    <definedName name="_bdm.A2A1173BB4584A07B5359DA4CC354806.edm" hidden="1">#REF!</definedName>
    <definedName name="_bdm.A333726A5D064575ACE030ED875E24B2.edm" hidden="1">#REF!</definedName>
    <definedName name="_bdm.a33ac77e65e44f38a36307fd5e400cc0.edm" hidden="1">#REF!</definedName>
    <definedName name="_bdm.A34799881A47435499BEAA53D1614624.edm" hidden="1">#REF!</definedName>
    <definedName name="_bdm.A3DBFEEEBB244BD2B2537C6CA81AB73E.edm" hidden="1">#REF!</definedName>
    <definedName name="_bdm.A3F7DC25059C46AA8897944747A7A303.edm" hidden="1">#REF!</definedName>
    <definedName name="_bdm.A4C474BF7972425DA5BDB6E5E2C30822.edm" hidden="1">#REF!</definedName>
    <definedName name="_bdm.A66315C10345430796B02D2E53687E4A.edm" hidden="1">#REF!</definedName>
    <definedName name="_bdm.a6cd4c1e960d4c11b944a38b89ddd6a1.edm" hidden="1">#REF!</definedName>
    <definedName name="_bdm.A6F9F046549D48B2A189609EDAC4CA88.edm" hidden="1">#REF!</definedName>
    <definedName name="_bdm.A748A12A9B3C4D85BBD009D030548D45.edm" hidden="1">#REF!</definedName>
    <definedName name="_bdm.a7806a9d8cb74c198d724b517797fb76.edm" hidden="1">#REF!</definedName>
    <definedName name="_bdm.A7E93B6D8E954382B93A577709C71B7D.edm" hidden="1">#REF!</definedName>
    <definedName name="_bdm.A80A4E64BA8941BEA4C08CA29CFD6D9C.edm" hidden="1">#REF!</definedName>
    <definedName name="_bdm.A845EAF5B830462A895039685D1B10BC.edm" hidden="1">#REF!</definedName>
    <definedName name="_bdm.A87D2D4C54344B8799B903DC2393FAA8.edm" hidden="1">#REF!</definedName>
    <definedName name="_bdm.A8C321F8453B4FF1ACE1A89DDAC1A47C.edm" hidden="1">#REF!</definedName>
    <definedName name="_bdm.A9211BD8F2274F0188D0811117F2C933.edm" hidden="1">#REF!</definedName>
    <definedName name="_bdm.A9EBBF5820954A829CB8C12D88326DCA.edm" hidden="1">#REF!</definedName>
    <definedName name="_bdm.A9F438C455744C46AF514EE269CAB3EA.edm" hidden="1">#REF!</definedName>
    <definedName name="_bdm.AA6F8C2B901448A3B65E6C36E1572C0B.edm" hidden="1">#REF!</definedName>
    <definedName name="_bdm.AAA012BD7B5F44629607D40A00F2D8B7.edm" hidden="1">#REF!</definedName>
    <definedName name="_bdm.AABE723A59D448EAB33DB33D90555BB8.edm" hidden="1">#REF!</definedName>
    <definedName name="_bdm.AB87293030164CD69E6A51019FB32DFB.edm" hidden="1">#REF!</definedName>
    <definedName name="_bdm.AC31221B454844B69226FA81C1ABC9B4.edm" hidden="1">#REF!</definedName>
    <definedName name="_bdm.AC5F6070539641ADA8B45376A8DE723A.edm" hidden="1">#REF!</definedName>
    <definedName name="_bdm.ae386905c1c648a58617e9adfe8278ea.edm" hidden="1">#REF!</definedName>
    <definedName name="_bdm.AE3CECDE1CF444F194028C9C48C374E6.edm" hidden="1">#REF!</definedName>
    <definedName name="_bdm.AE84C6770C1B4DC7A9FFBE46E7BA6349.edm" hidden="1">#REF!</definedName>
    <definedName name="_bdm.aefa50cd85b246968bf52d7992c4931f.edm" hidden="1">#REF!</definedName>
    <definedName name="_bdm.AF0260D98F014A439AD500890343FDE2.edm" hidden="1">#REF!</definedName>
    <definedName name="_bdm.AF2F12C640144CF3A81AE4702E2D5A27.edm" hidden="1">#REF!</definedName>
    <definedName name="_bdm.b1390ca893494939903973a3bcd581f8.edm" hidden="1">#REF!</definedName>
    <definedName name="_bdm.B18B36769FB74919A410430659005982.edm" hidden="1">#REF!</definedName>
    <definedName name="_bdm.B1ACC77B11374E70A5A5E0FBE15F0172.edm" hidden="1">#REF!</definedName>
    <definedName name="_bdm.B3A13DA8531345E3BB58DB26FCFB7FEA.edm" hidden="1">#REF!</definedName>
    <definedName name="_bdm.B3BAC9CC87DB46F299E45963D2C7A541.edm" hidden="1">#REF!</definedName>
    <definedName name="_bdm.B4E731BBDB4A4D329A47277F414E2143.edm" hidden="1">#REF!</definedName>
    <definedName name="_bdm.B4F94CD6C0D7415BBEB01093E52A920B.edm" hidden="1">#REF!</definedName>
    <definedName name="_bdm.B6EB40DA2BC74148B3BAD58053C7511D.edm" hidden="1">#REF!</definedName>
    <definedName name="_bdm.B7D36F24B31141B9A12B1DE97C2730F3.edm" hidden="1">#REF!</definedName>
    <definedName name="_bdm.B80D9F2C93C841C696C5830617D3D444.edm" hidden="1">#REF!</definedName>
    <definedName name="_bdm.B8F69D9574074647A0747CF6CC9FBF9F.edm" hidden="1">#REF!</definedName>
    <definedName name="_bdm.B93E2010E9C447B79B4439E441BD6C15.edm" hidden="1">#REF!</definedName>
    <definedName name="_bdm.B971D09277EA4826B2F89C034C524531.edm" hidden="1">#REF!</definedName>
    <definedName name="_bdm.BABEE40806254FA788679C066DB0C578.edm" hidden="1">#REF!</definedName>
    <definedName name="_bdm.BB02533171A44822A07787909C789279.edm" hidden="1">#REF!</definedName>
    <definedName name="_bdm.BC44528361744132AF0F5A421B5C7FC3.edm" hidden="1">#REF!</definedName>
    <definedName name="_bdm.BC71ECEB93B643E7A3B8D9E90F6A485A.edm" hidden="1">#REF!</definedName>
    <definedName name="_bdm.BE18B4ACB1754D8E9C27AD70A6116BFC.edm" hidden="1">#REF!</definedName>
    <definedName name="_bdm.BE246BF6B1A04A76B3F179A3809B6F09.edm" hidden="1">#REF!</definedName>
    <definedName name="_bdm.BFB0C5E3FCBB484099127966034FEED3.edm" hidden="1">#REF!</definedName>
    <definedName name="_bdm.C0A4B92D76E748FE9101284B76A10BAA.edm" hidden="1">#REF!</definedName>
    <definedName name="_bdm.C0F143BF04944ACD98CDBE98D7ECE5FB.edm" hidden="1">#REF!</definedName>
    <definedName name="_bdm.c1544795927149b9a76c0e245f834eff.edm" hidden="1">#REF!</definedName>
    <definedName name="_bdm.C1A963CD0E714D3AA258AD0836EB9570.edm" hidden="1">#REF!</definedName>
    <definedName name="_bdm.C289B0FACEBA4B079A25C5F15107F64B.edm" hidden="1">#REF!</definedName>
    <definedName name="_bdm.C28CB53727484D02A4D2D4CE5AC1312C.edm" hidden="1">#REF!</definedName>
    <definedName name="_bdm.C296E4AB5CFA4B019F96A80A59CF73C5.edm" hidden="1">#REF!</definedName>
    <definedName name="_bdm.C2D81EE090454E5DA1ED5471919CEFC4.edm" hidden="1">#REF!</definedName>
    <definedName name="_bdm.C33B8DABB37F4B47BBFE72DEE8304F2D.edm" hidden="1">#REF!</definedName>
    <definedName name="_bdm.C39E1ED1AB4D4E0C97005A872B5CE56C.edm" hidden="1">#REF!</definedName>
    <definedName name="_bdm.C3AA4F8006D8497EA2B02278D61FB55A.edm" hidden="1">#REF!</definedName>
    <definedName name="_bdm.C3CE10670CCE408A82CFC6263FA78C18.edm" hidden="1">#REF!</definedName>
    <definedName name="_bdm.C4D7D1D361CF4EF0916E3D3423844E73.edm" hidden="1">#REF!</definedName>
    <definedName name="_bdm.C556F094675C47BDB4F790108B2E3C13.edm" hidden="1">#REF!</definedName>
    <definedName name="_bdm.C589B0FF3CB3437E833F4EF34FBCBD9E.edm" hidden="1">#REF!</definedName>
    <definedName name="_bdm.C67D3F0F5497425998E5C964B025728F.edm" hidden="1">#REF!</definedName>
    <definedName name="_bdm.C6B3C991591B40119A402DEA9F0280A9.edm" hidden="1">#REF!</definedName>
    <definedName name="_bdm.C6CE7298F6ED401C9BF70523F8427C35.edm" hidden="1">#REF!</definedName>
    <definedName name="_bdm.C853C27FB82742D6B56E80FC3879F316.edm" hidden="1">#REF!</definedName>
    <definedName name="_bdm.C862C963309641EAA7082E4F79233FA5.edm" hidden="1">#REF!</definedName>
    <definedName name="_bdm.C89F1F20AAE54A81BE5C7D527FBA1C69.edm" hidden="1">#REF!</definedName>
    <definedName name="_bdm.C909614432F0490CB9E7290F95485085.edm" hidden="1">#REF!</definedName>
    <definedName name="_bdm.C914A1D8B904401C9057A8D116E43ED0.edm" hidden="1">#REF!</definedName>
    <definedName name="_bdm.C976480351B44C749B64B549B5F34595.edm" hidden="1">#REF!</definedName>
    <definedName name="_bdm.CAC2C96F5E2749EDBD375DD28970CB25.edm" hidden="1">#REF!</definedName>
    <definedName name="_bdm.CAED5D643DD349D69909F81247CE4D30.edm" hidden="1">#REF!</definedName>
    <definedName name="_bdm.CB7FD5E3C7B74B35B024CD94BC3FF2B2.edm" hidden="1">#REF!</definedName>
    <definedName name="_bdm.CBCE49ABF7054C7D8635DCFD42C62637.edm" hidden="1">#REF!</definedName>
    <definedName name="_bdm.CBF106E81AF1407B914F61C42239D28B.edm" hidden="1">#REF!</definedName>
    <definedName name="_bdm.CDA551690EFE4B4391B813A6E4032634.edm" hidden="1">#REF!</definedName>
    <definedName name="_bdm.CE89B004C73545ACB0BE71E70D632B47.edm" hidden="1">#REF!</definedName>
    <definedName name="_bdm.CE9EC8736DF142299D3F894E5EAAE5FD.edm" hidden="1">#REF!</definedName>
    <definedName name="_bdm.CECDEC8EDBC1497FB35369A87F04C793.edm" hidden="1">#REF!</definedName>
    <definedName name="_bdm.CF62BCAB9FA1479DB9331FC1B4C68B65.edm" hidden="1">#REF!</definedName>
    <definedName name="_bdm.CFE8E2C0C3824673B4C0E9027E9603A6.edm" hidden="1">#REF!</definedName>
    <definedName name="_bdm.D1172C07BB584B51B5F46FF7F1084F52.edm" hidden="1">#REF!</definedName>
    <definedName name="_bdm.D15F84994B60481AA4CF39B339E351A2.edm" hidden="1">#REF!</definedName>
    <definedName name="_bdm.D16415DCDFE3493BBD27F9D3AE9FF201.edm" hidden="1">#REF!</definedName>
    <definedName name="_bdm.d18722a2839c4269b5b35e1fdf4e1f2b.edm" hidden="1">#REF!</definedName>
    <definedName name="_bdm.D19A5A77BF1E49BF816E1C3D37CD2F0E.edm" hidden="1">#REF!</definedName>
    <definedName name="_bdm.D1D86EA3753049C8A1D46C64A006BCA0.edm" hidden="1">#REF!</definedName>
    <definedName name="_bdm.d1ea8416cce045259e5f6f84086d3641.edm" hidden="1">#REF!</definedName>
    <definedName name="_bdm.D23415B2898A4562A5221AC7E29FE73F.edm" hidden="1">#REF!</definedName>
    <definedName name="_bdm.D276243E22D94532A50DC1391014A619.edm" hidden="1">#REF!</definedName>
    <definedName name="_bdm.D31DBB81AE90443CB15F376CAFF6928F.edm" hidden="1">#REF!</definedName>
    <definedName name="_bdm.D3AB437E29C644D481E68F051D19F897.edm" hidden="1">#REF!</definedName>
    <definedName name="_bdm.D58C5ED5385E4698AF4D6CBD4A4185C9.edm" hidden="1">#REF!</definedName>
    <definedName name="_bdm.D5B9290E432D4221826A56FD5D91C018.edm" hidden="1">#REF!</definedName>
    <definedName name="_bdm.D6F2AD185D104FC99B042170EDD54956.edm" hidden="1">#REF!</definedName>
    <definedName name="_bdm.D804A8B72E4C4024A8737E5F2F37BDFC.edm" hidden="1">#REF!</definedName>
    <definedName name="_bdm.D825CA71941E497CAEDAC6D318B6E776.edm" hidden="1">#REF!</definedName>
    <definedName name="_bdm.D909D149F98E40CEB99976E91BEA2AC6.edm" hidden="1">#REF!</definedName>
    <definedName name="_bdm.DA4BF50061BE4712B25D9FAA9B988107.edm" hidden="1">#REF!</definedName>
    <definedName name="_bdm.DB5FF4E00B694546B6EF2EC478D5D574.edm" hidden="1">#REF!</definedName>
    <definedName name="_bdm.dba54b6eb7d54c36be1672764e822933.edm" hidden="1">#REF!</definedName>
    <definedName name="_bdm.DC341461D3844DBBA8AE8912D3CC723A.edm" hidden="1">#REF!</definedName>
    <definedName name="_bdm.dc567bb7748c4bd2bee6d3b793596c41.edm" hidden="1">#REF!</definedName>
    <definedName name="_bdm.DD22B8AE80F6499C847C8CF57B4AA32B.edm" hidden="1">#REF!</definedName>
    <definedName name="_bdm.DD4C989E4A99427188E8CB481B442484.edm" hidden="1">#REF!</definedName>
    <definedName name="_bdm.DD4E3C79D05948ABA4F274E6E8D77EFB.edm" hidden="1">#REF!</definedName>
    <definedName name="_bdm.DE3CEC25B50848CB925F10F03215F291.edm" hidden="1">#REF!</definedName>
    <definedName name="_bdm.DE580986D10C40688C11E0C1ACC0BB7F.edm" hidden="1">#REF!</definedName>
    <definedName name="_bdm.DE648A5F7CE74633BDBA77AC9C602036.edm" hidden="1">#REF!</definedName>
    <definedName name="_bdm.DF4A457FD4F746B39379B252718A048A.edm" hidden="1">#REF!</definedName>
    <definedName name="_bdm.df52015194c547e4affa04506cacc0af.edm" hidden="1">#REF!</definedName>
    <definedName name="_bdm.DF82CE101B1B44C5A7DD77DE282F4504.edm" hidden="1">#REF!</definedName>
    <definedName name="_bdm.E0DD0B24504546E998431A90925B7A28.edm" hidden="1">#REF!</definedName>
    <definedName name="_bdm.e2b95fd2e4634c0db342b835e4f70bf0.edm" hidden="1">#REF!</definedName>
    <definedName name="_bdm.e3474cf4100a43f5ac6a0cff48323a6c.edm" hidden="1">#REF!</definedName>
    <definedName name="_bdm.E36C009F49EF4995B415059C793CDE6F.edm" hidden="1">#REF!</definedName>
    <definedName name="_bdm.E446AD1A204E453C8176A6030BF43D96.edm" hidden="1">#REF!</definedName>
    <definedName name="_bdm.E4762CC5D00A41E6870DFC8A7CBF8BA1.edm" hidden="1">#REF!</definedName>
    <definedName name="_bdm.E47945B7EE6A46BEB53961042CF7CD35.edm" hidden="1">#REF!</definedName>
    <definedName name="_bdm.E501377E2FF04C59927F1E0DEC455980.edm" hidden="1">#REF!</definedName>
    <definedName name="_bdm.E51EBF62D81F424A8D4FD42D783BB86F.edm" hidden="1">#REF!</definedName>
    <definedName name="_bdm.E5E464435EB84E9689A9E6DDFED6A763.edm" hidden="1">#REF!</definedName>
    <definedName name="_bdm.E5F3919F5DC640EDA776C61CDFF3318F.edm" hidden="1">#REF!</definedName>
    <definedName name="_bdm.E67F62222044404C8EF22463EB4EEF4C.edm" hidden="1">#REF!</definedName>
    <definedName name="_bdm.E6CE60FB1C8F46A78BAA4AD2FC17A66C.edm" hidden="1">#REF!</definedName>
    <definedName name="_bdm.E7ED750937E94C74A9C049411437DEA0.edm" hidden="1">#REF!</definedName>
    <definedName name="_bdm.E81F319410D74C749DEB27A69B5A3157.edm" hidden="1">#REF!</definedName>
    <definedName name="_bdm.E84F47B759A24456B59F3346448A960E.edm" hidden="1">#REF!</definedName>
    <definedName name="_bdm.E8FE1CF61913499BA4D49150528096DD.edm" hidden="1">#REF!</definedName>
    <definedName name="_bdm.E90480F364564036809C5E4543877727.edm" hidden="1">#REF!</definedName>
    <definedName name="_bdm.E9718EE3EC044946B119D2181040AE30.edm" hidden="1">#REF!</definedName>
    <definedName name="_bdm.E9F4DDDC6B9544A4866343348AD73098.edm" hidden="1">#REF!</definedName>
    <definedName name="_bdm.EA07319299254F0D92C9B891B4E709F9.edm" hidden="1">#REF!</definedName>
    <definedName name="_bdm.EA4D0267849F473A904AC33D92BDB0DB.edm" hidden="1">#REF!</definedName>
    <definedName name="_bdm.EAB7C8D2C57B418BB3561FD4EED13D00.edm" hidden="1">#REF!</definedName>
    <definedName name="_bdm.eb18e52439254a12adc98deed0280945.edm" hidden="1">#REF!</definedName>
    <definedName name="_bdm.EB79A52589E344C0A643A498540130D3.edm" hidden="1">#REF!</definedName>
    <definedName name="_bdm.EBC61FC2902F4D3482FC8540860F42BB.edm" hidden="1">#REF!</definedName>
    <definedName name="_bdm.EC06DA9DF6F549EFA2BEA8D56144DC64.edm" hidden="1">#REF!</definedName>
    <definedName name="_bdm.EC3D69D13D4249D2B3E8AB8AEBF2FBB6.edm" hidden="1">#REF!</definedName>
    <definedName name="_bdm.EC6DF981DEE3472FAB8BEAAA67FBE342.edm" hidden="1">#REF!</definedName>
    <definedName name="_bdm.ECA3BB100CFB4378A079EE8D59A57475.edm" hidden="1">#REF!</definedName>
    <definedName name="_bdm.ECA5526E73284D01BFDE30C11571C7D1.edm" hidden="1">#REF!</definedName>
    <definedName name="_bdm.ED5BDAA96E654EB0ABE9142BF0504D16.edm" hidden="1">#REF!</definedName>
    <definedName name="_bdm.EEBDB8C577AA486FB429BBB6995D03D7.edm" hidden="1">#REF!</definedName>
    <definedName name="_bdm.F0B8462061B242D4881D0889FD1E0657.edm" hidden="1">#REF!</definedName>
    <definedName name="_bdm.F1F39B7563084625BAE8DBB66AA7D4A9.edm" hidden="1">#REF!</definedName>
    <definedName name="_bdm.F21DF670F5C64956B07B08E470704816.edm" hidden="1">#REF!</definedName>
    <definedName name="_bdm.F3476ABA8BDB4F059210D2DD01DFB30B.edm" hidden="1">#REF!</definedName>
    <definedName name="_bdm.F4C31A2687334BDDA192A7089B24D354.edm" hidden="1">#REF!</definedName>
    <definedName name="_bdm.F51D0BBD661F414AA0B60EB3BBA0EBE3.edm" hidden="1">#REF!</definedName>
    <definedName name="_bdm.F64399AA833F40C1B4CA12693628D620.edm" hidden="1">#REF!</definedName>
    <definedName name="_bdm.F77DCB52D56748B48943A01DF47B4A8C.edm" hidden="1">#REF!</definedName>
    <definedName name="_bdm.F7FB16CDAF374F94A89544671A7D8635.edm" hidden="1">#REF!</definedName>
    <definedName name="_bdm.F8A8DCEB4DD84118B520FF6070B6FAA2.edm" hidden="1">#REF!</definedName>
    <definedName name="_bdm.F98CABE949D14175AD2E72C425DACEE4.edm" hidden="1">#REF!</definedName>
    <definedName name="_bdm.FA89A151DB2A46DEBEA6FD04DA7F17DF.edm" hidden="1">#REF!</definedName>
    <definedName name="_bdm.FBC1C28083114130895FA9C0D095C587.edm" hidden="1">#REF!</definedName>
    <definedName name="_bdm.FBC8F4734CD44B95848F689416B40C4F.edm" hidden="1">#REF!</definedName>
    <definedName name="_bdm.FBCF1A22AC5448DA92D30B7B46810780.edm" hidden="1">#REF!</definedName>
    <definedName name="_bdm.fbd9922d7cd54ec8a24c34335de5ada7.edm" hidden="1">#REF!</definedName>
    <definedName name="_bdm.FBF4DFA4665F4EFE8CD2560A20EC279F.edm" hidden="1">#REF!</definedName>
    <definedName name="_bdm.FC93550196814212BCCE876EE028FAA7.edm" hidden="1">#REF!</definedName>
    <definedName name="_bdm.FCEA6FF576054466A0539376CF2D6E83.edm" hidden="1">#REF!</definedName>
    <definedName name="_bdm.FDD43C113F664A439D8DA40A06D83602.edm" hidden="1">#REF!</definedName>
    <definedName name="_bdm.fdf606702b664a6cb047839d9751dbee.edm" hidden="1">#REF!</definedName>
    <definedName name="_bdm.FE2506E390A34C799E68291962D2D072.edm" hidden="1">#REF!</definedName>
    <definedName name="_bdm.FE5B639213404A92843D14CD0B6BC9D0.edm" hidden="1">#REF!</definedName>
    <definedName name="_bdm.FF572A4F8CFC4E7BBB22A51025A51D69.edm" hidden="1">#REF!</definedName>
    <definedName name="_bdm.FFEC93DA97204E7FB3AF033D27A9FD3A.edm" hidden="1">#REF!</definedName>
    <definedName name="_bdm.ToolkitBookmark.6_17_2004_9_35_05_AM.edm" hidden="1">#REF!</definedName>
    <definedName name="_BIO1" hidden="1">{"toc1",#N/A,FALSE,"TOC";"cover",#N/A,FALSE,"Cover";"ts1",#N/A,FALSE,"Transaction Summary";"ei3",#N/A,FALSE,"Earnings Impact";"ad3",#N/A,FALSE,"accretion dilution"}</definedName>
    <definedName name="_bji23" hidden="1">{#N/A,"PURCHM",FALSE,"Business Analysis";#N/A,"SPADD",FALSE,"Business Analysis"}</definedName>
    <definedName name="_bjw1" hidden="1">{#N/A,#N/A,FALSE,"Profit Status";#N/A,#N/A,FALSE,"Invest";#N/A,#N/A,FALSE,"Revenue";#N/A,#N/A,FALSE,"Variable Cost";#N/A,#N/A,FALSE,"Options &amp; Series"}</definedName>
    <definedName name="_bjw3" hidden="1">{#N/A,#N/A,FALSE,"Cover";#N/A,#N/A,FALSE,"Assumptions";#N/A,#N/A,FALSE,"Volumes";#N/A,#N/A,FALSE,"Pricing";#N/A,#N/A,FALSE,"TFLE Walk";#N/A,#N/A,FALSE,"Variable Cost";#N/A,#N/A,FALSE,"Sensitivity";#N/A,#N/A,FALSE,"Investment";#N/A,#N/A,FALSE,"Profitability"}</definedName>
    <definedName name="_bkd87" hidden="1">{#N/A,"PURCHM",FALSE,"Business Analysis";#N/A,"SPADD",FALSE,"Business Analysis"}</definedName>
    <definedName name="_bud3" hidden="1">{"budget95",#N/A,TRUE,"Tabelle1";"Tab1",#N/A,TRUE,"Tabelle2"}</definedName>
    <definedName name="_c" hidden="1">{#N/A,#N/A,FALSE,"Layout Cash Flow"}</definedName>
    <definedName name="_c83" hidden="1">{0,0,0,0;0,0,0,0;0,0,0,0}</definedName>
    <definedName name="_c88" hidden="1">{0,0,0,0;0,0,0,0;0,0,0,0;0,0,TRUE,0}</definedName>
    <definedName name="_CAP10" hidden="1">{"LC",#N/A,FALSE,"FC-15 Cap Expend"}</definedName>
    <definedName name="_cc1111" hidden="1">#REF!</definedName>
    <definedName name="_cum1" hidden="1">{"SCM_Detail",#N/A,FALSE,"SCM";"SCM_Top",#N/A,FALSE,"SCM"}</definedName>
    <definedName name="_CuN3" hidden="1">{#N/A,#N/A,FALSE,"WOBE_DE.XLS";#N/A,#N/A,FALSE,"WOB_1.XLS";#N/A,#N/A,FALSE,"WOB_2.XLS";#N/A,#N/A,FALSE,"WOB_3.XLS";#N/A,#N/A,FALSE,"WOB_4.XLS";#N/A,#N/A,FALSE,"WOB_5.XLS"}</definedName>
    <definedName name="_d1" hidden="1">{#N/A,#N/A,FALSE,"bel";#N/A,#N/A,FALSE,"neth"}</definedName>
    <definedName name="_d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as2"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_DAT1">[3]Exportumsätze!#REF!</definedName>
    <definedName name="_DAT2">[3]Exportumsätze!#REF!</definedName>
    <definedName name="_DAT3">[3]Exportumsätze!#REF!</definedName>
    <definedName name="_DAT4">[3]Exportumsätze!#REF!</definedName>
    <definedName name="_DAT5">[3]Exportumsätze!#REF!</definedName>
    <definedName name="_DCF1" hidden="1">{#N/A,#N/A,FALSE,"DCF Summary";#N/A,#N/A,FALSE,"Casema";#N/A,#N/A,FALSE,"Casema NoTel";#N/A,#N/A,FALSE,"UK";#N/A,#N/A,FALSE,"RCF";#N/A,#N/A,FALSE,"Intercable CZ";#N/A,#N/A,FALSE,"Interkabel P"}</definedName>
    <definedName name="_Dec01" hidden="1">{"Statement of Income",#N/A,TRUE,"Mar99";"Balance Sheet",#N/A,TRUE,"Mar99"}</definedName>
    <definedName name="_del3" hidden="1">{0}</definedName>
    <definedName name="_DF4" hidden="1">#REF!</definedName>
    <definedName name="_dfd1" hidden="1">{"comp1",#N/A,FALSE,"COMPS";"footnotes",#N/A,FALSE,"COMPS"}</definedName>
    <definedName name="_df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st_Bin" hidden="1">#REF!</definedName>
    <definedName name="_Dist_Values" hidden="1">#REF!</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jd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P6434" hidden="1">{"TOTALDPAK",#N/A,FALSE,"DPAK PRODUCTION";"HADPAK",#N/A,FALSE,"DPAK PRODUCTION";"PSIDPAK",#N/A,FALSE,"DPAK PRODUCTION"}</definedName>
    <definedName name="_dwa1" hidden="1">{#N/A,"PURCHM",FALSE,"Business Analysis";#N/A,"SPADD",FALSE,"Business Analysis"}</definedName>
    <definedName name="_e1" hidden="1">{"'Demand Units'!$Z$2:$AF$53"}</definedName>
    <definedName name="_edp1" hidden="1">{"assumption 50 50",#N/A,TRUE,"Merger";"has gets cash",#N/A,TRUE,"Merger";"accretion dilution",#N/A,TRUE,"Merger";"comparison credit stats",#N/A,TRUE,"Merger";"pf credit stats",#N/A,TRUE,"Merger";"pf sheets",#N/A,TRUE,"Merger"}</definedName>
    <definedName name="_eo2" hidden="1">{"'B1'!$B$3:$E$3"}</definedName>
    <definedName name="_eo4" hidden="1">{"'B1'!$B$3:$E$3"}</definedName>
    <definedName name="_eu93" hidden="1">{"Comp_of_Price_Effect",#N/A,FALSE,"QTRDPVAR"}</definedName>
    <definedName name="_ew10" hidden="1">{"'B1'!$B$3:$E$3"}</definedName>
    <definedName name="_ew2" hidden="1">{"'B1'!$B$3:$E$3"}</definedName>
    <definedName name="_ew3" hidden="1">{"'B1'!$B$3:$E$3"}</definedName>
    <definedName name="_ew4" hidden="1">{"'B1'!$B$3:$E$3"}</definedName>
    <definedName name="_ew5" hidden="1">{"'B1'!$B$3:$E$3"}</definedName>
    <definedName name="_ew6" hidden="1">{"'B1'!$B$3:$E$3"}</definedName>
    <definedName name="_ew8" hidden="1">{"'B1'!$B$3:$E$3"}</definedName>
    <definedName name="_EXPORT31_1_1296417617368.65804_417617397.794313" localSheetId="17" hidden="1">NA_TWC!$B$4:$N$86</definedName>
    <definedName name="_EXPORT31_1_1363505906392.645194_508505981.935247" localSheetId="9" hidden="1">PL_PEX!$C$4:$J$48</definedName>
    <definedName name="_EXPORT31_1_146417617490.966791_417620087.402877" localSheetId="15" hidden="1">'NA_Ford LuL'!$B$4:$H$32</definedName>
    <definedName name="_EXPORT31_1_1701414286972.23087_414286983.39153" localSheetId="8" hidden="1">'PL_Top customer'!$D$6:$R$40</definedName>
    <definedName name="_EXPORT31_1_1752414287102.58058_414287102.58058" localSheetId="11" hidden="1">PL_YTD!$D$8:$M$108</definedName>
    <definedName name="_EXPORT31_1_1867486830468.586029_486830468.586029" localSheetId="20" hidden="1">NA_monthly!$D$114:$L$129</definedName>
    <definedName name="_EXPORT31_1_2019486833588.272053_486833588.272053" localSheetId="4" hidden="1">'Lead PL'!$D$6:$M$111</definedName>
    <definedName name="_EXPORT31_1_2024505482441.463311_509553257.517982" localSheetId="4" hidden="1">'Lead PL'!$C$4:$I$111</definedName>
    <definedName name="_EXPORT31_1_2088417615661.267415_417615695.827225" localSheetId="12" hidden="1">PL_QoE!$B$6:$O$70</definedName>
    <definedName name="_EXPORT31_1_2113505668248.084517_508602718.942394" localSheetId="6" hidden="1">'Lead CF'!$C$4:$J$72</definedName>
    <definedName name="_EXPORT31_1_2149417616623.764661_417616634.682737" localSheetId="24" hidden="1">PL_Dummy!$B$6:$R$21</definedName>
    <definedName name="_EXPORT31_1_2300417609217.631713_417616567.967586" localSheetId="4" hidden="1">'Lead PL'!$B$6:$R$111</definedName>
    <definedName name="_EXPORT31_1_2593414287334.790706_414287334.790706" localSheetId="15" hidden="1">'NA_Ford LuL'!$D$6:$G$32</definedName>
    <definedName name="_EXPORT31_1_3025414286849.184902_414286894.980998" localSheetId="4" hidden="1">'Lead PL'!$D$6:$J$111</definedName>
    <definedName name="_EXPORT31_1_3173417606107.847951_417606166.666099" localSheetId="5" hidden="1">'Lead NA'!$B$6:$N$64</definedName>
    <definedName name="_EXPORT31_1_3435414287581.838639_486830878.844701" localSheetId="19" hidden="1">'NA_Net Debt'!$D$6:$I$48</definedName>
    <definedName name="_EXPORT31_1_371417616776.846478_417616776.846478" localSheetId="9" hidden="1">PL_PEX!$B$6:$R$48</definedName>
    <definedName name="_EXPORT31_1_3732417616937.697915_417616967.912064" localSheetId="24" hidden="1">PL_Dummy!$B$4:$R$21</definedName>
    <definedName name="_EXPORT31_1_3909417617797.939081_417617897.714434" localSheetId="16" hidden="1">'NA_Verb LuL'!$B$4:$H$31</definedName>
    <definedName name="_EXPORT31_1_396414287302.859545_414287302.859545" localSheetId="22" hidden="1">NA_Vorräte!$D$6:$I$48</definedName>
    <definedName name="_EXPORT31_1_4196414287258.165405_486829653.159871" localSheetId="17" hidden="1">NA_TWC!$D$6:$I$86</definedName>
    <definedName name="_EXPORT31_1_4204417617190.968265_417617220.037837" localSheetId="11" hidden="1">PL_YTD!$B$5:$N$108</definedName>
    <definedName name="_EXPORT31_1_4321486752067.395956_486752067.395956" localSheetId="9" hidden="1">PL_PEX!$C$4:$H$48</definedName>
    <definedName name="_EXPORT31_1_4586506788121.185291_507833262.927617" localSheetId="2" hidden="1">Datengrundlage!$B$3:$F$38</definedName>
    <definedName name="_EXPORT31_1_4880414287543.652736_414287543.652736" localSheetId="16" hidden="1">'NA_Verb LuL'!$D$6:$G$31</definedName>
    <definedName name="_EXPORT31_1_4897417617312.222163_417617326.640375" localSheetId="21" hidden="1">NA_CAPEX!$B$4:$M$24</definedName>
    <definedName name="_EXPORT31_1_4947486830351.061158_486830397.336695" localSheetId="20" hidden="1">NA_monthly!$C$132:$L$149</definedName>
    <definedName name="_EXPORT31_1_5073414287137.529906_414287137.529906" localSheetId="5" hidden="1">'Lead NA'!$D$6:$I$64</definedName>
    <definedName name="_EXPORT31_1_5102414286582.732182_414286582.732182" localSheetId="12" hidden="1">PL_QoE!$D$6:$J$70</definedName>
    <definedName name="_EXPORT31_1_5949417617422.813187_417617451.444593" localSheetId="22" hidden="1">NA_Vorräte!$B$4:$J$48</definedName>
    <definedName name="_EXPORT31_1_6069486830493.093058_486830493.093058" localSheetId="20" hidden="1">NA_monthly!$D$134:$L$149</definedName>
    <definedName name="_EXPORT31_1_6527417617954.000645_417617991.274952" localSheetId="19" hidden="1">'NA_Net Debt'!$B$4:$N$48</definedName>
    <definedName name="_EXPORT31_1_6861506197753.111907_507818340.325083" localSheetId="10" hidden="1">PL_oOPEX!$C$4:$I$48</definedName>
    <definedName name="_EXPORT31_1_7192486809367.873384_486809367.873384" localSheetId="17" hidden="1">NA_TWC!$D$6:$H$86</definedName>
    <definedName name="_EXPORT31_1_7495486751992.581873_486751992.581873" localSheetId="9" hidden="1">PL_PEX!$D$6:$H$48</definedName>
    <definedName name="_EXPORT31_1_7550417617099.393317_417617118.477953" localSheetId="9" hidden="1">PL_PEX!$B$4:$R$48</definedName>
    <definedName name="_EXPORT31_1_7774506101668.356568_506101668.356568" localSheetId="12" hidden="1">PL_QoE!$C$6:$I$70</definedName>
    <definedName name="_EXPORT31_1_7880505482596.594481_508602086.916794" localSheetId="5" hidden="1">'Lead NA'!$C$4:$I$64</definedName>
    <definedName name="_EXPORT31_1_7887417617248.529525_417617278.603294" localSheetId="5" hidden="1">'Lead NA'!$B$4:$N$64</definedName>
    <definedName name="_EXPORT31_1_7897417617007.375006_417617079.046594" localSheetId="8" hidden="1">'PL_Top customer'!$B$4:$S$40</definedName>
    <definedName name="_EXPORT31_1_800486830934.447347_508702367.477225" localSheetId="19" hidden="1">'NA_Net Debt'!$C$4:$I$48</definedName>
    <definedName name="_EXPORT31_1_8104414287060.729677_414287060.729677" localSheetId="10" hidden="1">PL_oOPEX!$D$6:$J$48</definedName>
    <definedName name="_EXPORT31_1_8215417616870.804848_417618962.83145" localSheetId="4" hidden="1">'Lead PL'!$B$4:$R$111</definedName>
    <definedName name="_EXPORT31_1_8250414286940.940221_414286940.940221" localSheetId="24" hidden="1">PL_Dummy!$D$6:$J$21</definedName>
    <definedName name="_EXPORT31_1_8392414287018.637866_414287018.637866" localSheetId="9" hidden="1">PL_PEX!$D$6:$J$48</definedName>
    <definedName name="_EXPORT31_1_8404417616816.020868_417616835.379406" localSheetId="12" hidden="1">PL_QoE!$B$4:$O$70</definedName>
    <definedName name="_EXPORT31_1_8511414287623.512961_414287689.39377" localSheetId="27" hidden="1">CF_monthly!$D$6:$CK$70</definedName>
    <definedName name="_EXPORT31_1_8511414287623.512961_414287689.39377" localSheetId="6" hidden="1">'Lead CF'!$D$6:$J$72</definedName>
    <definedName name="_EXPORT31_1_8515506698316.601348_508508662.730733" localSheetId="16" hidden="1">'NA_Verb LuL'!$C$4:$G$31</definedName>
    <definedName name="_EXPORT31_1_8578506179138.623639_508703255.950546" localSheetId="12" hidden="1">PL_QoE!$C$4:$I$70</definedName>
    <definedName name="_EXPORT31_1_8679417618057.538439_417618462.746952" localSheetId="27" hidden="1">CF_monthly!$B$4:$CL$70</definedName>
    <definedName name="_EXPORT31_1_8679417618057.538439_417618462.746952" localSheetId="6" hidden="1">'Lead CF'!$B$4:$O$72</definedName>
    <definedName name="_EXPORT31_1_8708506698293.873185_508508638.996084" localSheetId="15" hidden="1">'NA_Ford LuL'!$C$4:$G$32</definedName>
    <definedName name="_EXPORT31_1_888486810197.875492_508602322.953611" localSheetId="17" hidden="1">NA_TWC!$C$4:$I$86</definedName>
    <definedName name="_EXPORT31_1_900486834307.20537_486834307.20537" localSheetId="4" hidden="1">'Lead PL'!$C$4:$M$111</definedName>
    <definedName name="_EXPORT31_1_919506196164.295426_506196164.295426" localSheetId="11" hidden="1">PL_YTD!$C$5:$M$108</definedName>
    <definedName name="_EXPORT31_1_9484414287177.006651_414287177.006651" localSheetId="21" hidden="1">NA_CAPEX!$D$6:$H$24</definedName>
    <definedName name="_EXPORT31_1_9549486830199.166586_486830386.332405" localSheetId="20" hidden="1">NA_monthly!$C$112:$L$129</definedName>
    <definedName name="_EXPORT31_1_9607417617146.585093_417617165.433675" localSheetId="10" hidden="1">PL_oOPEX!$B$4:$R$48</definedName>
    <definedName name="_EXPORT31_1_9705414286507.75435_414286507.75435" localSheetId="2" hidden="1">Datengrundlage!$H$3:$L$38</definedName>
    <definedName name="_EXPORT31_1_9816417616701.237104_417616710.957204" localSheetId="8" hidden="1">'PL_Top customer'!$B$6:$S$40</definedName>
    <definedName name="_eyr1" hidden="1">{"hiden",#N/A,FALSE,"14";"hidden",#N/A,FALSE,"16";"hidden",#N/A,FALSE,"18";"hidden",#N/A,FALSE,"20"}</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5" hidden="1">{"'Sheet1'!$L$16"}</definedName>
    <definedName name="_FA16434"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FA26434" hidden="1">{"TOTALFAB",#N/A,FALSE,"WAFER FAB 2 EXPENSE";"FABPRODUCTION",#N/A,FALSE,"WAFER FAB 2 EXPENSE";"FABENGINEERING",#N/A,FALSE,"WAFER FAB 2 EXPENSE";"FABEQUIPSUPPORT",#N/A,FALSE,"WAFER FAB 2 EXPENSE";"FABPRODUCTLINE",#N/A,FALSE,"WAFER FAB 2 EXPENSE";"FABMATERIALS",#N/A,FALSE,"WAFER FAB 2 EXPENSE"}</definedName>
    <definedName name="_FA96434" hidden="1">{"TOTALFAB",#N/A,FALSE,"WAFER FAB 2 EXPENSE";"FABPRODUCTION",#N/A,FALSE,"WAFER FAB 2 EXPENSE";"FABENGINEERING",#N/A,FALSE,"WAFER FAB 2 EXPENSE";"FABEQUIPSUPPORT",#N/A,FALSE,"WAFER FAB 2 EXPENSE";"FABPRODUCTLINE",#N/A,FALSE,"WAFER FAB 2 EXPENSE";"FABMATERIALS",#N/A,FALSE,"WAFER FAB 2 EXPENSE"}</definedName>
    <definedName name="_FAC6434" hidden="1">{"TOTAL",#N/A,FALSE,"FACILITIES EXPENSE";"TOTALDETAIL",#N/A,FALSE,"FACILITIES EXPENSE";"MATERIALS",#N/A,FALSE,"FACILITIES EXPENSE";"FACILITIES",#N/A,FALSE,"FACILITIES EXPENSE";"CHEM",#N/A,FALSE,"FACILITIES EXPENSE";"GENSVC",#N/A,FALSE,"FACILITIES EXPENSE";"SAFETY",#N/A,FALSE,"FACILITIES EXPENSE"}</definedName>
    <definedName name="_fds2" hidden="1">{"comps",#N/A,FALSE,"comps";"notes",#N/A,FALSE,"comps"}</definedName>
    <definedName name="_feb01" hidden="1">{"Statement of Income",#N/A,TRUE,"Mar99";"Balance Sheet",#N/A,TRUE,"Mar99"}</definedName>
    <definedName name="_feb02" hidden="1">{"Statement of Income",#N/A,TRUE,"Mar99";"Balance Sheet",#N/A,TRUE,"Mar99"}</definedName>
    <definedName name="_Fill" hidden="1">#REF!</definedName>
    <definedName name="_xlnm._FilterDatabase" localSheetId="47" hidden="1">'2024 Debitoren'!$A$2:$AP$2</definedName>
    <definedName name="_xlnm._FilterDatabase" localSheetId="50" hidden="1">'2024 Kreditoren'!$A$2:$AV$2</definedName>
    <definedName name="_xlnm._FilterDatabase" localSheetId="56" hidden="1">Abkürzungsverzeichnis!$C$1:$D$1</definedName>
    <definedName name="_xlnm._FilterDatabase" localSheetId="49" hidden="1">'Dez25 Debitoren'!$A$2:$AQ$462</definedName>
    <definedName name="_xlnm._FilterDatabase" localSheetId="40" hidden="1">'Trial Balance (Susa)'!$A$1:$AT$329</definedName>
    <definedName name="_xlnm._FilterDatabase" hidden="1">#REF!</definedName>
    <definedName name="_Fir1" hidden="1">"03289 DATAGROUP GmbH Konzern"</definedName>
    <definedName name="_Fir2" hidden="1">"DATAGROUP IT Services Holding AG, Pliezhausen"</definedName>
    <definedName name="_Fir3" hidden="1">"DATAGROUP IT Services Holding AG"</definedName>
    <definedName name="_Fir4" hidden="1">"Pliezhausen"</definedName>
    <definedName name="_fy97" hidden="1">{#N/A,#N/A,FALSE,"FY97";#N/A,#N/A,FALSE,"FY98";#N/A,#N/A,FALSE,"FY99";#N/A,#N/A,FALSE,"FY00";#N/A,#N/A,FALSE,"FY01"}</definedName>
    <definedName name="_G1" hidden="1">{"'Future Reviews'!$A$1:$D$58"}</definedName>
    <definedName name="_G2" hidden="1">{"'Future Reviews'!$A$1:$D$58"}</definedName>
    <definedName name="_G3" hidden="1">{#N/A,#N/A,FALSE,"передел"}</definedName>
    <definedName name="_ggf1" hidden="1">{"comps",#N/A,FALSE,"comps";"notes",#N/A,FALSE,"comps"}</definedName>
    <definedName name="_gh1" hidden="1">{"'Data'!$A$1:$D$17"}</definedName>
    <definedName name="_GMX365" hidden="1">{#N/A,#N/A,FALSE,"J-CAR";#N/A,#N/A,FALSE,"gmx-130";#N/A,#N/A,FALSE,"d-186sable";#N/A,#N/A,FALSE,"savana";#N/A,#N/A,FALSE,"d-186taurus";#N/A,#N/A,FALSE,"hb dn";#N/A,#N/A,FALSE,"dakota"}</definedName>
    <definedName name="_GR_AmpelHigher_1" hidden="1">1</definedName>
    <definedName name="_GR_AmpelLower_1" hidden="1">1</definedName>
    <definedName name="_GR_AmpelParameters_1" hidden="1">{1;"Konsol_Eingabe";2;"Konsol_Ausgabe";"Yellow";"No value";TRUE}</definedName>
    <definedName name="_GR_EISLists" hidden="1">{1,"Kursarten","";1,"Währungen",""}</definedName>
    <definedName name="_GR_EISVariables_Default" hidden="1">{1,"Screen","";1,"KW1.Sel","";1,"Kursarten.Sel","";1,"Währungen.Sel","";1,"Kehrwert",""}</definedName>
    <definedName name="_GR_MaskAttributes" hidden="1">{"";TRUE;TRUE;TRUE;TRUE;TRUE;TRUE;"R1C1:R32C11";FALSE;FALSE;FALSE;FALSE;FALSE;FALSE;FALSE;61;FALSE;FALSE;FALSE;FALSE;FALSE;"";FALSE;FALSE}</definedName>
    <definedName name="_GR_MaskObjects_Buttons_63" hidden="1">{3;"Parameter";63;"$C$1";"15-05-01 10:22";"DADMIN";"Start";FALSE;"User";0;1}</definedName>
    <definedName name="_GR_MaskObjects_Buttons_67" hidden="1">{1;"Transaktionskurse";67;"$E$2";"03-09-01 22:25";"DADMIN";"Transaktionskurse";FALSE;"User";0;1}</definedName>
    <definedName name="_GR_MaskObjects_Listboxes_1" hidden="1">{2;FALSE;0;2;"Jahr";2;"Jahr.Sel";FALSE;10;1;1;"$C$4";"17-07-98 17:34";"DADMIN"}</definedName>
    <definedName name="_GR_MaskObjects_Listboxes_3" hidden="1">{2;FALSE;0;2;"Monate_MA";2;"Monate_MA.Sel";FALSE;10;3;1;"$C$5";"17-07-98 17:36";"DADMIN"}</definedName>
    <definedName name="_GR_MaskObjects_Listboxes_34" hidden="1">{2;FALSE;0;2;"Konzernwährung";2;"Konzernwährung.Sel";FALSE;10;34;1;"$C$7";"07-11-99 15:54";"DADMIN"}</definedName>
    <definedName name="_GR_MaskObjects_Listboxes_4" hidden="1">{2;FALSE;0;2;"Version";2;"Version.Sel";FALSE;10;4;1;"$C$6";"17-07-98 17:36";"DADMIN"}</definedName>
    <definedName name="_GR_MaskObjects_Listboxes_90" hidden="1">{2;FALSE;0;1;"Kursarten";1;"Kursarten.Sel";FALSE;10;90;1;"$J$9";"15-04-02 15:55";"DADMIN"}</definedName>
    <definedName name="_GR_MaskObjects_SpecialButtons_11" hidden="1">{14;11;"$A$1";"07-11-99 15:43";"DADMIN";11;"CONTROL.IBS!Währungen_Druck";"";"";"";""}</definedName>
    <definedName name="_GR_MaskObjects_SpecialButtons_15" hidden="1">{14;15;"$A$1";"07-11-99 15:42";"DADMIN";15;"CONTROL.IBS!Währungen_Neu";"";"";"";""}</definedName>
    <definedName name="_GR_MaskObjects_SpecialButtons_21" hidden="1">{2;21;"$D$2";"22-07-99 18:31";"DADMIN";21;"";"";"";"";""}</definedName>
    <definedName name="_GR_MaskObjects_SpecialButtons_24" hidden="1">{1;24;"$D$2";"22-07-99 18:31";"DADMIN";24;"";"";"";"";""}</definedName>
    <definedName name="_GR_MaskObjects_SpecialButtons_43" hidden="1">{14;43;"$A$1";"05-09-00 16:37";"DADMIN";43;"CONTROL.IBS!Scrollbar_change";"";"";"";""}</definedName>
    <definedName name="_GR_MaskObjects_SpecialButtons_44" hidden="1">{14;44;"$A$1";"05-09-00 16:37";"DADMIN";44;"CONTROL.IBS!Scrollbar_change";"";"";"";""}</definedName>
    <definedName name="_GR_MaskObjects_SpecialButtons_45" hidden="1">{14;45;"$A$1";"05-09-00 16:37";"DADMIN";45;"CONTROL.IBS!Scrollbar_change";"";"";"";""}</definedName>
    <definedName name="_GR_MaskObjects_SpecialButtons_46" hidden="1">{14;46;"$A$1";"05-09-00 16:37";"DADMIN";46;"CONTROL.IBS!Scrollbar_change";"";"";"";""}</definedName>
    <definedName name="_GR_MaskObjects_SpecialButtons_47" hidden="1">{14;47;"$A$1";"05-09-00 16:37";"DADMIN";47;"CONTROL.IBS!Scrollbar_change";"";"";"";""}</definedName>
    <definedName name="_GR_MaskObjects_SpecialButtons_48" hidden="1">{14;48;"$A$1";"05-09-00 16:37";"DADMIN";48;"CONTROL.IBS!Scrollbar_change";"";"";"";""}</definedName>
    <definedName name="_GR_MaskObjects_SpecialButtons_49" hidden="1">{14;49;"$A$1";"08-09-00 15:35";"DADMIN";49;"Control.ibs!Call_Help";"";"";"";""}</definedName>
    <definedName name="_GR_MaskObjects_SpecialButtons_6" hidden="1">{14;6;"$A$1";"07-11-99 15:41";"DADMIN";6;"IMPORT.IBS!Wechselkurse_übernehmen";"";"";"";""}</definedName>
    <definedName name="_GR_MaskObjects_SpecialButtons_71" hidden="1">{16;71;"$I$13";"03-04-02 09:51";"DADMIN";71;"";"";"";"";""}</definedName>
    <definedName name="_GR_MaskObjects_SpecialButtons_78" hidden="1">{14;78;"$D$41";"03-04-02 10:08";"DADMIN";78;"CONTROL.IBS!Scrollbar_change";"";"";"";""}</definedName>
    <definedName name="_GR_MaskObjects_SpecialButtons_79" hidden="1">{14;79;"$D$41";"03-04-02 10:08";"DADMIN";79;"CONTROL.IBS!Scrollbar_change";"";"";"";""}</definedName>
    <definedName name="_GR_MaskObjects_SpecialButtons_80" hidden="1">{14;80;"$D$41";"03-04-02 10:08";"DADMIN";80;"CONTROL.IBS!Scrollbar_change";"";"";"";""}</definedName>
    <definedName name="_GR_MaskObjects_SpecialButtons_82" hidden="1">{14;82;"$D$41";"03-04-02 10:08";"DADMIN";82;"CONTROL.IBS!Scrollbar_change";"";"";"";""}</definedName>
    <definedName name="_GR_MaskObjects_SpecialButtons_83" hidden="1">{14;83;"$D$41";"03-04-02 10:08";"DADMIN";83;"CONTROL.IBS!Scrollbar_change";"";"";"";""}</definedName>
    <definedName name="_GR_MaskObjects_SpecialButtons_84" hidden="1">{14;84;"$D$41";"03-04-02 10:09";"DADMIN";84;"CONTROL.IBS!Scrollbar_change";"";"";"";""}</definedName>
    <definedName name="_GR_MaskObjects_SpecialButtons_9" hidden="1">{14;9;"$A$1";"07-11-99 15:42";"DADMIN";9;"CONTROL.IBS!Währungen_CrossRates";"";"";"";""}</definedName>
    <definedName name="_GR_MaskObjects_SpecialButtons_94" hidden="1">{1;94;"$E$4";"24-04-02 21:23";"DADMIN";94;"";"";"";"";""}</definedName>
    <definedName name="_GR_MaskObjects_SpecialButtons_95" hidden="1">{2;95;"$C$2";"24-04-02 21:23";"DADMIN";95;"";"";"";"";""}</definedName>
    <definedName name="_GR_ObjectEvent_34" hidden="1">{FALSE;TRUE;1;"_GR_MaskObjects_DataRanges_1"}</definedName>
    <definedName name="_GR_ObjectEvent_36" hidden="1">{FALSE;TRUE;1;"_GR_MaskObjects_DataRanges_1"}</definedName>
    <definedName name="_GR_ObjectEvent_75" hidden="1">{FALSE;TRUE;1;"_GR_MaskObjects_DataRanges_1"}</definedName>
    <definedName name="_GR_ObjectEvent_76" hidden="1">{FALSE;TRUE;1;"_GR_MaskObjects_DataRanges_1"}</definedName>
    <definedName name="_GR_ObjectEvent_8" hidden="1">{FALSE;TRUE;1;"_GR_MaskObjects_DataRanges_1"}</definedName>
    <definedName name="_GR_ObjectEvent_87" hidden="1">{TRUE;TRUE;1;"_GR_MaskObjects_DataRanges_1"}</definedName>
    <definedName name="_GR_ObjectEvent_88" hidden="1">{TRUE;TRUE;1;"_GR_MaskObjects_DataRanges_1"}</definedName>
    <definedName name="_GR_ObjectEvent_90" hidden="1">{FALSE;TRUE;1;"_GR_MaskObjects_DataRanges_1"}</definedName>
    <definedName name="_GR3" hidden="1">{"Informes",#N/A,FALSE,"CA";"Informes",#N/A,FALSE,"CN";"Informes",#N/A,FALSE,"INVERSIONES";"Informes",#N/A,FALSE,"CN Oficial";"Informes",#N/A,FALSE,"CA Oficial";"Informes",#N/A,FALSE,"Res Datos Areas"}</definedName>
    <definedName name="_GSRATES_1" hidden="1">"CT300001Latest          "</definedName>
    <definedName name="_GSRATES_10" hidden="1">"CF3000012002123120020331"</definedName>
    <definedName name="_GSRATES_2" hidden="1">"CT30000120050725        "</definedName>
    <definedName name="_GSRATES_3" hidden="1">"CT30000120060509        "</definedName>
    <definedName name="_GSRATES_4" hidden="1">"CT30000120051231        "</definedName>
    <definedName name="_GSRATES_5" hidden="1">"CT300001Latest          "</definedName>
    <definedName name="_GSRATES_6" hidden="1">"CF3000012007070120070101"</definedName>
    <definedName name="_GSRATES_7" hidden="1">"CT300001Latest          "</definedName>
    <definedName name="_GSRATES_8" hidden="1">"CT300001Latest          "</definedName>
    <definedName name="_GSRATES_9" hidden="1">"CF3000012002123120020331"</definedName>
    <definedName name="_GSRATES_COUNT" hidden="1">6</definedName>
    <definedName name="_GSRATESR_1" hidden="1">#REF!</definedName>
    <definedName name="_GSRATESR_2" hidden="1">#REF!</definedName>
    <definedName name="_GSRATESR_3" hidden="1">#REF!</definedName>
    <definedName name="_GSRATESR_4" hidden="1">#REF!</definedName>
    <definedName name="_GSRATESR_5" hidden="1">#REF!</definedName>
    <definedName name="_GSRATESR_6" hidden="1">#REF!</definedName>
    <definedName name="_GSRATESR_7" hidden="1">#REF!</definedName>
    <definedName name="_GSRATESR_8" hidden="1">#REF!</definedName>
    <definedName name="_guv1" hidden="1">{"K GuV o. Kommentar",#N/A,FALSE,"Kaufhof"}</definedName>
    <definedName name="_guv3" hidden="1">{"K GuV o. Kommentar",#N/A,FALSE,"Kaufhof"}</definedName>
    <definedName name="_h1" hidden="1">{#N/A,#N/A,FALSE,"Cover";#N/A,#N/A,FALSE,"Assumptions";#N/A,#N/A,FALSE,"Volumes";#N/A,#N/A,FALSE,"Pricing";#N/A,#N/A,FALSE,"TFLE Walk";#N/A,#N/A,FALSE,"Variable Cost";#N/A,#N/A,FALSE,"Sensitivity";#N/A,#N/A,FALSE,"Investment";#N/A,#N/A,FALSE,"Profitability"}</definedName>
    <definedName name="_hk01" hidden="1">{"budget95",#N/A,TRUE,"Tabelle1";"Tab1",#N/A,TRUE,"Tabelle2"}</definedName>
    <definedName name="_hr1" hidden="1">#N/A</definedName>
    <definedName name="_hr2" hidden="1">#N/A</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2" hidden="1">{"PVGraph2",#N/A,FALSE,"PV Data"}</definedName>
    <definedName name="_I3" hidden="1">{"PVGraph2",#N/A,FALSE,"PV Data"}</definedName>
    <definedName name="_i6" hidden="1">{"'Demand Units'!$Z$2:$AF$53"}</definedName>
    <definedName name="_JP2" hidden="1">{"'SIVA Pricing Model'!$A$1:$F$39"}</definedName>
    <definedName name="_Jun02" hidden="1">{"Statement of Income",#N/A,TRUE,"Mar99";"Balance Sheet",#N/A,TRUE,"Mar99"}</definedName>
    <definedName name="_k13" hidden="1">{0,0,FALSE,0}</definedName>
    <definedName name="_KAW999929" hidden="1">#REF!</definedName>
    <definedName name="_KAW999934" hidden="1">#REF!</definedName>
    <definedName name="_KAW999950" hidden="1">#REF!</definedName>
    <definedName name="_Key1" hidden="1">#REF!</definedName>
    <definedName name="_Key1a" hidden="1">#REF!</definedName>
    <definedName name="_Key2" hidden="1">#REF!</definedName>
    <definedName name="_key3" hidden="1">#REF!</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9" hidden="1">#REF!</definedName>
    <definedName name="_kol1" hidden="1">{"away stand alones",#N/A,FALSE,"Target"}</definedName>
    <definedName name="_lb1" hidden="1">#N/A</definedName>
    <definedName name="_LG2" hidden="1">{#N/A,#N/A,TRUE,"매출진척-1";#N/A,#N/A,TRUE,"매출진척-2";#N/A,#N/A,TRUE,"제품실적";#N/A,#N/A,TRUE,"RAC";#N/A,#N/A,TRUE,"PAC ";#N/A,#N/A,TRUE,"재고현황";#N/A,#N/A,TRUE,"공지사항"}</definedName>
    <definedName name="_LPS2" hidden="1">{#N/A,#N/A,FALSE,"단축1";#N/A,#N/A,FALSE,"단축2";#N/A,#N/A,FALSE,"단축3";#N/A,#N/A,FALSE,"장축";#N/A,#N/A,FALSE,"4WD"}</definedName>
    <definedName name="_M6" hidden="1">{"SUMM",#N/A,TRUE,"C";"ACT_PROD",#N/A,TRUE,"A";"ACT_SHIP",#N/A,TRUE,"A";"BP_YLD",#N/A,TRUE,"B";"ACTZ_PROD",#N/A,TRUE,"D";"ACTZ_SHIP",#N/A,TRUE,"D";"ACTZ_YLD",#N/A,TRUE,"E";"CPSI_PROD",#N/A,TRUE,"F";"CPSI_SHIP",#N/A,TRUE,"F"}</definedName>
    <definedName name="_mai99" hidden="1">{"en FRF",#N/A,FALSE,"fév99";"en €uros",#N/A,FALSE,"fév99"}</definedName>
    <definedName name="_Mar03" hidden="1">{"Statement of Income",#N/A,TRUE,"Mar99";"Balance Sheet",#N/A,TRUE,"Mar99"}</definedName>
    <definedName name="_Mar04" hidden="1">{"Statement of Income",#N/A,TRUE,"Mar99";"Balance Sheet",#N/A,TRUE,"Mar99"}</definedName>
    <definedName name="_MMT6" hidden="1">{"REVISED",#N/A,FALSE,"Sheet1"}</definedName>
    <definedName name="_mno9" hidden="1">{"detail",#N/A,FALSE,"mfg";"summary",#N/A,FALSE,"mfg"}</definedName>
    <definedName name="_MRG2" hidden="1">{"INCOME",#N/A,FALSE,"ProNet";"VALUE",#N/A,FALSE,"ProNet"}</definedName>
    <definedName name="_mw2" hidden="1">{"budget95",#N/A,TRUE,"Tabelle1";"Tab1",#N/A,TRUE,"Tabelle2"}</definedName>
    <definedName name="_mw3" hidden="1">{"budget95",#N/A,TRUE,"Tabelle1";"Tab1",#N/A,TRUE,"Tabelle2"}</definedName>
    <definedName name="_n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_na2" hidden="1">{"'SIVA Pricing Model'!$A$1:$F$39"}</definedName>
    <definedName name="_na3" hidden="1">{"'SIVA Pricing Model'!$A$1:$F$39"}</definedName>
    <definedName name="_nam305" hidden="1">{"detail",#N/A,FALSE,"mfg";"summary",#N/A,FALSE,"mfg"}</definedName>
    <definedName name="_new" hidden="1">#REF!</definedName>
    <definedName name="_new1" hidden="1">{#N/A,#N/A,FALSE,"Pharm";#N/A,#N/A,FALSE,"WWCM"}</definedName>
    <definedName name="_new10" hidden="1">{#N/A,#N/A,TRUE,"PSG Total Contacts";#N/A,#N/A,TRUE,"PSG Rep Total";#N/A,#N/A,TRUE,"Core Rep Detail";#N/A,#N/A,TRUE,"BC Rep Detail";#N/A,#N/A,TRUE,"Marlboro";#N/A,#N/A,TRUE,"Covington";#N/A,#N/A,TRUE,"Dallas";#N/A,#N/A,TRUE,"VRS Stats";#N/A,#N/A,TRUE,"Internet";#N/A,#N/A,TRUE,"NCO and Call Mix";#N/A,#N/A,TRUE,"VRS &amp; Rep Calls"}</definedName>
    <definedName name="_New2" hidden="1">{"TOTAL",#N/A,FALSE,"A";"FISCAL94",#N/A,FALSE,"A";"FISCAL95",#N/A,FALSE,"A";"FISCAL96",#N/A,FALSE,"A";"misc page",#N/A,FALSE,"A"}</definedName>
    <definedName name="_new3" hidden="1">{"FY98Q1 nvs",#N/A,FALSE,"FY98 - Q1";"FY98Q2 nvs",#N/A,FALSE,"FY98 - Q2";"FY98Q3 nvs",#N/A,FALSE,"FY98 - Q3";"FY98Q4 nvs",#N/A,FALSE,"FY98 - Q4"}</definedName>
    <definedName name="_new4" hidden="1">{"INPUT",#N/A,FALSE,"REVENUE AND GM ";"CONTROL",#N/A,FALSE,"REVENUE AND GM ";"SWITCH",#N/A,FALSE,"REVENUE AND GM ";"OUTPUT",#N/A,FALSE,"REVENUE AND GM ";"TOTAL",#N/A,FALSE,"REVENUE AND GM "}</definedName>
    <definedName name="_new5" hidden="1">{"FY97Total",#N/A,FALSE,"FY97 - Total";"FY98Total",#N/A,FALSE,"FY98 - Total"}</definedName>
    <definedName name="_new6" hidden="1">{"FY97Q1",#N/A,FALSE,"FY97 - Q1";"FY97Q2",#N/A,FALSE,"FY97 - Q2";"FY97Q3",#N/A,FALSE,"FY97 - Q3";"FY97Q4",#N/A,FALSE,"FY97 - Q4"}</definedName>
    <definedName name="_NSO2" hidden="1">{"'Sheet1'!$L$16"}</definedName>
    <definedName name="_nv2" hidden="1">{#N/A,#N/A,FALSE,"Summary";#N/A,#N/A,FALSE,"Signatures";#N/A,#N/A,FALSE,"FL Current";#N/A,#N/A,FALSE,"Assumptions";#N/A,#N/A,FALSE,"Assumptions";#N/A,#N/A,FALSE,"Assumptions";#N/A,#N/A,FALSE,"FL Last";#N/A,#N/A,FALSE,"FL Orig";#N/A,#N/A,FALSE,"C to G Explain"}</definedName>
    <definedName name="_O" hidden="1">#REF!</definedName>
    <definedName name="_o1" hidden="1">{#N/A,#N/A,FALSE,"SUMMARY";#N/A,#N/A,FALSE,"mcsh";#N/A,#N/A,FALSE,"vol&amp;rev";#N/A,#N/A,FALSE,"wkgcap";#N/A,#N/A,FALSE,"DEPR&amp;DT";#N/A,#N/A,FALSE,"ASSETS";#N/A,#N/A,FALSE,"NI&amp;OTH&amp;DIV";#N/A,#N/A,FALSE,"CASHFLOW";#N/A,#N/A,FALSE,"CAPEMPL";#N/A,#N/A,FALSE,"ROCE"}</definedName>
    <definedName name="_OCT01" hidden="1">{"Statement of Income",#N/A,TRUE,"Mar99";"Balance Sheet",#N/A,TRUE,"Mar99"}</definedName>
    <definedName name="_OCT03" hidden="1">{"Statement of Income",#N/A,TRUE,"Mar99";"Balance Sheet",#N/A,TRUE,"Mar99"}</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0" hidden="1">{#N/A,#N/A,FALSE,"Calc";#N/A,#N/A,FALSE,"Sensitivity";#N/A,#N/A,FALSE,"LT Earn.Dil.";#N/A,#N/A,FALSE,"Dil. AVP"}</definedName>
    <definedName name="_ok1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u1" hidden="1">{"equity comps",#N/A,FALSE,"CS Comps";"equity comps",#N/A,FALSE,"PS Comps";"equity comps",#N/A,FALSE,"GIC_Comps";"equity comps",#N/A,FALSE,"GIC2_Comps";"debt comps",#N/A,FALSE,"CS Comps";"debt comps",#N/A,FALSE,"PS Comps";"debt comps",#N/A,FALSE,"GIC_Comps";"debt comps",#N/A,FALSE,"GIC2_Comps"}</definedName>
    <definedName name="_old3" hidden="1">{0,FALSE,4.45014771701848E-308,0}</definedName>
    <definedName name="_Order1" hidden="1">255</definedName>
    <definedName name="_Order2" hidden="1">255</definedName>
    <definedName name="_Order39" hidden="1">255</definedName>
    <definedName name="_OSX2" hidden="1">{"Area1",#N/A,FALSE,"OREWACC";"Area2",#N/A,FALSE,"OREWACC"}</definedName>
    <definedName name="_p" hidden="1">#REF!</definedName>
    <definedName name="_P00balance_sheet_2" hidden="1">#REF!</definedName>
    <definedName name="_P00DCF_Summary" hidden="1">#REF!</definedName>
    <definedName name="_P00drivers_quarterly" hidden="1">#REF!</definedName>
    <definedName name="_P00finacials_quarterly_nots" hidden="1">#REF!</definedName>
    <definedName name="_P00financials_quarterly" hidden="1">#REF!</definedName>
    <definedName name="_P00yearly2" hidden="1">#REF!</definedName>
    <definedName name="_P0lterDatabase" hidden="1">#REF!</definedName>
    <definedName name="_P2" hidden="1">{#N/A,#N/A,FALSE,"단축1";#N/A,#N/A,FALSE,"단축2";#N/A,#N/A,FALSE,"단축3";#N/A,#N/A,FALSE,"장축";#N/A,#N/A,FALSE,"4WD"}</definedName>
    <definedName name="_P6" hidden="1">{"SUM ALL YR",#N/A,FALSE,"SUM ALL YR";"sum01",#N/A,FALSE,"SUM 01";"sumM2",#N/A,FALSE,"SUM M2";"sum02",#N/A,FALSE,"SUM 02";"sum03",#N/A,FALSE,"SUM 03";"sum04",#N/A,FALSE,"SUM 04";"sum05",#N/A,FALSE,"SUM 05"}</definedName>
    <definedName name="_palopasteviewstyle" hidden="1">"White"</definedName>
    <definedName name="_Parse_In" hidden="1">#REF!</definedName>
    <definedName name="_Parse_Out" hidden="1">#REF!</definedName>
    <definedName name="_po1" hidden="1">{#N/A,#N/A,FALSE,"Calc";#N/A,#N/A,FALSE,"Sensitivity";#N/A,#N/A,FALSE,"LT Earn.Dil.";#N/A,#N/A,FALSE,"Dil. AVP"}</definedName>
    <definedName name="_poi1" hidden="1">{"assumption 50 50",#N/A,TRUE,"Merger";"has gets cash",#N/A,TRUE,"Merger";"accretion dilution",#N/A,TRUE,"Merger";"comparison credit stats",#N/A,TRUE,"Merger";"pf credit stats",#N/A,TRUE,"Merger";"pf sheets",#N/A,TRUE,"Merger"}</definedName>
    <definedName name="_pp1" hidden="1">{#N/A,#N/A,FALSE,"Trends";#N/A,#N/A,FALSE,"As Reported";#N/A,#N/A,FALSE,"(un) Commited"}</definedName>
    <definedName name="_pp2" hidden="1">{"Bilanz grob",#N/A,TRUE,"Planbilanz";"Erfolgsrechnung grob",#N/A,TRUE,"Plan-ER";#N/A,#N/A,TRUE,"Geldfluss";"Bilanz fein",#N/A,TRUE,"Planbilanz";"Erfolgsrechnung fein",#N/A,TRUE,"Plan-ER";#N/A,#N/A,TRUE,"Absatzplan";#N/A,#N/A,TRUE,"Einkaufsplan";#N/A,#N/A,TRUE,"Investitionsplan";#N/A,#N/A,TRUE,"KK Aktionäre"}</definedName>
    <definedName name="_puc101" hidden="1">{#N/A,"PURCHM",FALSE,"Business Analysis";#N/A,"SPADD",FALSE,"Business Analysis"}</definedName>
    <definedName name="_puc102" hidden="1">{#N/A,"PURCHM",FALSE,"Business Analysis";#N/A,"SPADD",FALSE,"Business Analysis"}</definedName>
    <definedName name="_q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Q2" hidden="1">{"'Standalone List Price Trends'!$A$1:$X$56"}</definedName>
    <definedName name="_q234" hidden="1">#N/A</definedName>
    <definedName name="_q3" hidden="1">#REF!</definedName>
    <definedName name="_Q4" hidden="1">{"'Standalone List Price Trends'!$A$1:$X$56"}</definedName>
    <definedName name="_Q5" hidden="1">{"'Standalone List Price Trends'!$A$1:$X$56"}</definedName>
    <definedName name="_q7" hidden="1">{"'Demand Units'!$Z$2:$AF$53"}</definedName>
    <definedName name="_Q9" hidden="1">{"'Standalone List Price Trends'!$A$1:$X$56"}</definedName>
    <definedName name="_qpi111" hidden="1">{"'GS- PS East and LA'!$L$67"}</definedName>
    <definedName name="_QR6434" hidden="1">{"QAEXPENSE",#N/A,FALSE,"QUALITY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_r" hidden="1">{"consolidated",#N/A,FALSE,"Sheet1";"cms",#N/A,FALSE,"Sheet1";"fse",#N/A,FALSE,"Sheet1"}</definedName>
    <definedName name="_r78ri"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r7irro"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RA1" hidden="1">{"'Jan-02'!$F$46:$F$47","'Jan-02'!$F$46:$F$47"}</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34"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_Regression" hidden="1">#REF!</definedName>
    <definedName name="_Regression_Int" hidden="1">1</definedName>
    <definedName name="_Regression_Out" hidden="1">#REF!</definedName>
    <definedName name="_Regression_X" hidden="1">#REF!</definedName>
    <definedName name="_Regression_Y" hidden="1">#REF!</definedName>
    <definedName name="_ROrder1" hidden="1">0</definedName>
    <definedName name="_rty1" hidden="1">{#N/A,#N/A,TRUE,"Pro Forma";#N/A,#N/A,TRUE,"PF_Bal";#N/A,#N/A,TRUE,"PF_INC";#N/A,#N/A,TRUE,"CBE";#N/A,#N/A,TRUE,"SWK"}</definedName>
    <definedName name="_rw1" hidden="1">{"'Standalone List Price Trends'!$A$1:$X$56"}</definedName>
    <definedName name="_rw2" hidden="1">{"'Standalone List Price Trends'!$A$1:$X$56"}</definedName>
    <definedName name="_rw3" hidden="1">{"'Standalone List Price Trends'!$A$1:$X$56"}</definedName>
    <definedName name="_rw4" hidden="1">{"'Standalone List Price Trends'!$A$1:$X$56"}</definedName>
    <definedName name="_s" hidden="1">{"CONS12",#N/A,FALSE,"1996BSCH";"DOM12",#N/A,FALSE,"1996BSCH";"CAN12",#N/A,FALSE,"1996BSCH";"DDODC12",#N/A,FALSE,"1996BSCH";"DDE12",#N/A,FALSE,"1996BSCH";"DDOC12",#N/A,FALSE,"1996BSCH";"ELIM6MO",#N/A,FALSE,"1996BSCH";"other12",#N/A,FALSE,"1996BSCH";"var12",#N/A,FALSE,"1996BSCH"}</definedName>
    <definedName name="_s2" hidden="1">#N/A</definedName>
    <definedName name="_s3" hidden="1">#N/A</definedName>
    <definedName name="_s34" hidden="1">{"QTD_GENERALH2",#N/A,FALSE,"QTD"}</definedName>
    <definedName name="_s4" hidden="1">#N/A</definedName>
    <definedName name="_s5" hidden="1">#N/A</definedName>
    <definedName name="_s6" hidden="1">#N/A</definedName>
    <definedName name="_sd34" hidden="1">{"QTD",#N/A,FALSE,"SUM"}</definedName>
    <definedName name="_sdf2" hidden="1">{#N/A,#N/A,FALSE,"Calc";#N/A,#N/A,FALSE,"Sensitivity";#N/A,#N/A,FALSE,"LT Earn.Dil.";#N/A,#N/A,FALSE,"Dil. AVP"}</definedName>
    <definedName name="_SDW1" hidden="1">#N/A</definedName>
    <definedName name="_sdy001" hidden="1">{#N/A,#N/A,FALSE,"PrintM"}</definedName>
    <definedName name="_sdy01" hidden="1">{#N/A,#N/A,FALSE,"PrintM"}</definedName>
    <definedName name="_sdy1" hidden="1">{#N/A,#N/A,FALSE,"PrintM"}</definedName>
    <definedName name="_sen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sen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SEP01" hidden="1">{"Statement of Income",#N/A,TRUE,"Mar99";"Balance Sheet",#N/A,TRUE,"Mar99"}</definedName>
    <definedName name="_Sep03" hidden="1">{"Statement of Income",#N/A,TRUE,"Mar99";"Balance Sheet",#N/A,TRUE,"Mar99"}</definedName>
    <definedName name="_sfh64354" hidden="1">{"dcfsummary",#N/A,FALSE,"NHY - DCF Valuation";"agriculture",#N/A,FALSE,"NHY - DCF Valuation";"oilgas",#N/A,FALSE,"NHY - DCF Valuation";"oilgastot",#N/A,FALSE,"NHY - DCF Valuation";"lightmetals",#N/A,FALSE,"NHY - DCF Valuation";"petrochemicals",#N/A,FALSE,"NHY - DCF Valuation";"other",#N/A,FALSE,"NHY - DCF Valuation"}</definedName>
    <definedName name="_Sort" hidden="1">#REF!</definedName>
    <definedName name="_spk1" hidden="1">{#N/A,#N/A,FALSE,"Cover";#N/A,#N/A,FALSE,"Profits";#N/A,#N/A,FALSE,"ABS";#N/A,#N/A,FALSE,"TFLE Detail";#N/A,#N/A,FALSE,"TFLE Walk";#N/A,#N/A,FALSE,"Variable Cost";#N/A,#N/A,FALSE,"V.C. Walk"}</definedName>
    <definedName name="_spk2" hidden="1">{#N/A,#N/A,FALSE,"Profit Status";#N/A,#N/A,FALSE,"Invest";#N/A,#N/A,FALSE,"Revenue";#N/A,#N/A,FALSE,"Variable Cost";#N/A,#N/A,FALSE,"Options &amp; Series"}</definedName>
    <definedName name="_spk3" hidden="1">{#N/A,#N/A,FALSE,"Cover";#N/A,#N/A,FALSE,"Assumptions";#N/A,#N/A,FALSE,"Volumes";#N/A,#N/A,FALSE,"Pricing";#N/A,#N/A,FALSE,"TFLE Walk";#N/A,#N/A,FALSE,"Variable Cost";#N/A,#N/A,FALSE,"Sensitivity";#N/A,#N/A,FALSE,"Investment";#N/A,#N/A,FALSE,"Profitability"}</definedName>
    <definedName name="_ss1" hidden="1">{"detail",#N/A,FALSE,"mfg";"summary",#N/A,FALSE,"mfg"}</definedName>
    <definedName name="_t1" hidden="1">{#N/A,#N/A,FALSE,"1996PL";#N/A,#N/A,FALSE,"1997PL";#N/A,#N/A,FALSE,"1998PL";#N/A,#N/A,FALSE,"1999PL"}</definedName>
    <definedName name="_T2" hidden="1">{#N/A,#N/A,FALSE,"단축1";#N/A,#N/A,FALSE,"단축2";#N/A,#N/A,FALSE,"단축3";#N/A,#N/A,FALSE,"장축";#N/A,#N/A,FALSE,"4WD"}</definedName>
    <definedName name="_T3" hidden="1">{#N/A,#N/A,FALSE,"단축1";#N/A,#N/A,FALSE,"단축2";#N/A,#N/A,FALSE,"단축3";#N/A,#N/A,FALSE,"장축";#N/A,#N/A,FALSE,"4WD"}</definedName>
    <definedName name="_T5" hidden="1">{#N/A,#N/A,FALSE,"단축1";#N/A,#N/A,FALSE,"단축2";#N/A,#N/A,FALSE,"단축3";#N/A,#N/A,FALSE,"장축";#N/A,#N/A,FALSE,"4WD"}</definedName>
    <definedName name="_Tab2_In1"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1" hidden="1">#REF!</definedName>
    <definedName name="_Table3_In2" hidden="1">#REF!</definedName>
    <definedName name="_TEM6434" hidden="1">{"ALLOCATION1",#N/A,FALSE,"EXPENSE ALLOCATIONS";"ALLOCATION2",#N/A,FALSE,"EXPENSE ALLOCATIONS";"ALLOCATION3",#N/A,FALSE,"EXPENSE ALLOCATIONS";"ALLOCATION4",#N/A,FALSE,"EXPENSE ALLOCATIONS"}</definedName>
    <definedName name="_tes2" hidden="1">{"'Expense Details'!$A$1:$AM$222"}</definedName>
    <definedName name="_Tes6" hidden="1">{"'SIVA Pricing Model'!$A$1:$F$39"}</definedName>
    <definedName name="_test" hidden="1">#REF!</definedName>
    <definedName name="_tm1" hidden="1">{#N/A,#N/A,FALSE,"Pharm";#N/A,#N/A,FALSE,"WWCM"}</definedName>
    <definedName name="_TMAutoChart1Names" hidden="1">{"Timeline","Chart 6","Timeline Chart 6"}</definedName>
    <definedName name="_TMAutoChart1Refs" hidden="1">{"","","'Timeline'!$F$16","'Timeline'!$F$25","","","","","",""}</definedName>
    <definedName name="_TMAutoChart2Names" hidden="1">{"Timeline","Chart 6","Timeline Chart 6"}</definedName>
    <definedName name="_TMAutoChart2Refs" hidden="1">{"","","'Timeline'!$F$16","'Timeline'!$H$25","","","","","",""}</definedName>
    <definedName name="_TMAutoChartCount" hidden="1">2</definedName>
    <definedName name="_tom11" hidden="1">{"'Demand Units'!$Z$2:$AF$53"}</definedName>
    <definedName name="_tu7" hidden="1">{"sales",#N/A,FALSE,"Sales";"sales existing",#N/A,FALSE,"Sales";"sales rd1",#N/A,FALSE,"Sales";"sales rd2",#N/A,FALSE,"Sales"}</definedName>
    <definedName name="_u18" hidden="1">{"Tages_D",#N/A,FALSE,"Tagesbericht";"Tages_PL",#N/A,FALSE,"Tagesbericht"}</definedName>
    <definedName name="_u20" hidden="1">{"fleisch",#N/A,FALSE,"WG HK";"food",#N/A,FALSE,"WG HK";"hartwaren",#N/A,FALSE,"WG HK";"weichwaren",#N/A,FALSE,"WG HK"}</definedName>
    <definedName name="_UNDO_UPS_" hidden="1">NA_monthly!$C$107:$CK$109</definedName>
    <definedName name="_UNDO_UPS_SEL_" hidden="1">NA_monthly!$C$107:$CK$109</definedName>
    <definedName name="_UNDO31X31X_" hidden="1">NA_monthly!$C$107:$CK$109</definedName>
    <definedName name="_UP16" hidden="1">Main.SAPF4Help()</definedName>
    <definedName name="_uu56" hidden="1">1/EUReXToNLG</definedName>
    <definedName name="_UUID_" hidden="1">775248</definedName>
    <definedName name="_v" hidden="1">#REF!</definedName>
    <definedName name="_vz533"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w1" hidden="1">{"PVGraph2",#N/A,FALSE,"PV Data"}</definedName>
    <definedName name="_w2" hidden="1">{"PVGraph2",#N/A,FALSE,"PV Data"}</definedName>
    <definedName name="_w3" hidden="1">{"PVGraph2",#N/A,FALSE,"PV Data"}</definedName>
    <definedName name="_wer" hidden="1">#REF!</definedName>
    <definedName name="_wer234" hidden="1">{"summary",#N/A,FALSE,"labor"}</definedName>
    <definedName name="_wer33" hidden="1">{"cover",#N/A,TRUE,"Cover";"toc5",#N/A,TRUE,"TOC";"over",#N/A,TRUE,"Overview";"ts2",#N/A,TRUE,"Det_Trans_Sum";"ei1",#N/A,TRUE,"Earnings Impact";"ad1",#N/A,TRUE,"accretion dilution";"pfis1",#N/A,TRUE,"Pro Forma Income Statement";"ca1",#N/A,TRUE,"Contribution_Analysis";"acq1",#N/A,TRUE,"Acquirer";"tar1",#N/A,TRUE,"Target"}</definedName>
    <definedName name="_wr1" hidden="1">{"hist_bs",#N/A,FALSE,"Exhibit D,E1,E2";#N/A,#N/A,FALSE,"Exhibit E3";#N/A,#N/A,FALSE,"Mgmt. Projtn";#N/A,#N/A,FALSE,"Exhibit B-1";#N/A,#N/A,FALSE,"Exhibit A";#N/A,#N/A,FALSE,"WACC";#N/A,#N/A,FALSE,"Control";"hist_inc",#N/A,FALSE,"Exhibit D,E1,E2"}</definedName>
    <definedName name="_wr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wrn02" hidden="1">{#N/A,#N/A,FALSE,"Sheet2"}</definedName>
    <definedName name="_wrn071" hidden="1">{#N/A,"PURCHM",FALSE,"Business Analysis";#N/A,"SPADD",FALSE,"Business Analysis"}</definedName>
    <definedName name="_wrn1" hidden="1">{#N/A,#N/A,FALSE,"DCF";#N/A,#N/A,FALSE,"WACC";#N/A,#N/A,FALSE,"Sales_EBIT";#N/A,#N/A,FALSE,"Capex_Depreciation";#N/A,#N/A,FALSE,"WC";#N/A,#N/A,FALSE,"Interest";#N/A,#N/A,FALSE,"Assumptions"}</definedName>
    <definedName name="_wrn2" hidden="1">{#N/A,#N/A,FALSE,"Calc";#N/A,#N/A,FALSE,"Sensitivity";#N/A,#N/A,FALSE,"LT Earn.Dil.";#N/A,#N/A,FALSE,"Dil. AVP"}</definedName>
    <definedName name="_wrn213" hidden="1">{"detail",#N/A,FALSE,"mfg";"summary",#N/A,FALSE,"mfg"}</definedName>
    <definedName name="_wrn3" hidden="1">{"comps",#N/A,FALSE,"comps";"notes",#N/A,FALSE,"comps"}</definedName>
    <definedName name="_wrn4" hidden="1">{"general",#N/A,FALSE,"Assumptions"}</definedName>
    <definedName name="_WRN41" hidden="1">{"detail",#N/A,FALSE,"mfg";"summary",#N/A,FALSE,"mfg"}</definedName>
    <definedName name="_wrn413" hidden="1">{"detail",#N/A,FALSE,"mfg";"summary",#N/A,FALSE,"mfg"}</definedName>
    <definedName name="_wrn51" hidden="1">{#N/A,"PURCHM",FALSE,"Business Analysis";#N/A,"SPADD",FALSE,"Business Analysis"}</definedName>
    <definedName name="_wrn61" hidden="1">{"detail",#N/A,FALSE,"mfg";"summary",#N/A,FALSE,"mfg"}</definedName>
    <definedName name="_wrn651" hidden="1">{"detail",#N/A,FALSE,"mfg";"summary",#N/A,FALSE,"mfg"}</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 hidden="1">{#N/A,#N/A,FALSE,"Admin";#N/A,#N/A,FALSE,"Other"}</definedName>
    <definedName name="_x1" hidden="1">{#N/A,#N/A,FALSE,"FY97";#N/A,#N/A,FALSE,"FY98";#N/A,#N/A,FALSE,"FY99";#N/A,#N/A,FALSE,"FY00";#N/A,#N/A,FALSE,"FY01"}</definedName>
    <definedName name="_X2" hidden="1">{#N/A,#N/A,FALSE,"Other";#N/A,#N/A,FALSE,"Ace";#N/A,#N/A,FALSE,"Derm"}</definedName>
    <definedName name="_x3" hidden="1">{"detail",#N/A,FALSE,"mfg";"summary",#N/A,FALSE,"mfg"}</definedName>
    <definedName name="_x4" hidden="1">{#N/A,"PURCHM",FALSE,"Business Analysis";#N/A,"SPADD",FALSE,"Business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f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_XG2" hidden="1">{#N/A,#N/A,FALSE,"단축1";#N/A,#N/A,FALSE,"단축2";#N/A,#N/A,FALSE,"단축3";#N/A,#N/A,FALSE,"장축";#N/A,#N/A,FALSE,"4WD"}</definedName>
    <definedName name="_xlchart.v5.0" hidden="1">'Think Cell'!$B$31:$AR$31</definedName>
    <definedName name="_xlchart.v5.1" hidden="1">'Think Cell'!$B$33:$AR$33</definedName>
    <definedName name="_xlcn.WorksheetConnection_EBITbybrandforthelast3years_11.03.15.xlsxTabelle41" hidden="1">#REF!</definedName>
    <definedName name="_xx10" hidden="1">{#N/A,"PURCHM",FALSE,"Business Analysis";#N/A,"SPADD",FALSE,"Business Analysis"}</definedName>
    <definedName name="_xx3" hidden="1">{"detail",#N/A,FALSE,"mfg";"summary",#N/A,FALSE,"mfg"}</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hidden="1">{"oct_res_comm",#N/A,FALSE,"VarToBud"}</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hidden="1">{"AS REP",#N/A,FALSE,"EEFSNAP2";"PROP",#N/A,FALSE,"EEFSNAP2";"RISKS",#N/A,FALSE,"EEFSNAP2";"VIEW ALL",#N/A,FALSE,"EEFSNAP2"}</definedName>
    <definedName name="_y2" hidden="1">{"PVGraph2",#N/A,FALSE,"PV Data"}</definedName>
    <definedName name="_y9" hidden="1">{"'Demand Units'!$Z$2:$AF$53"}</definedName>
    <definedName name="_z" hidden="1">{#N/A,#N/A,FALSE,"JAN"}</definedName>
    <definedName name="_z10" hidden="1">{"'Future Reviews'!$A$1:$D$58"}</definedName>
    <definedName name="_z11" hidden="1">{"'Future Reviews'!$A$1:$D$58"}</definedName>
    <definedName name="_z12" hidden="1">{"'Future Reviews'!$A$1:$D$58"}</definedName>
    <definedName name="_z13" hidden="1">{"'Future Reviews'!$A$1:$D$58"}</definedName>
    <definedName name="_z2" hidden="1">{"'Future Reviews'!$A$1:$D$58"}</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hidden="1">{"detail",#N/A,FALSE,"mfg";"summary",#N/A,FALSE,"mfg"}</definedName>
    <definedName name="_z3" hidden="1">{"'Future Reviews'!$A$1:$D$58"}</definedName>
    <definedName name="_z4" hidden="1">{"'Future Reviews'!$A$1:$D$58"}</definedName>
    <definedName name="_z5" hidden="1">{"'Future Reviews'!$A$1:$D$58"}</definedName>
    <definedName name="_z6" hidden="1">{"'Future Reviews'!$A$1:$D$58"}</definedName>
    <definedName name="_z7" hidden="1">{"'Future Reviews'!$A$1:$D$58"}</definedName>
    <definedName name="_z8" hidden="1">{"'Future Reviews'!$A$1:$D$58"}</definedName>
    <definedName name="_z9" hidden="1">{"'Future Reviews'!$A$1:$D$58"}</definedName>
    <definedName name="_Zbalance_sheet_2" hidden="1">{0,0,0,0,1,-4105,70.8661417322835,53.8582677165354,70.8661417322835,70.8661417322835,2,FALSE,FALSE,FALSE,FALSE,FALSE,#N/A,1,112,1,1,"","","","","","",FALSE}</definedName>
    <definedName name="_ZDCF_Summary" hidden="1">{0,0,0,0,1,-4105,41.04,53.8582677165354,64.08,51.84,2,FALSE,FALSE,FALSE,FALSE,FALSE,#N/A,1,65,1,1,"","","","","","",FALSE}</definedName>
    <definedName name="_Zdrivers_quarterly" hidden="1">{0,0,0,0,1,-4105,59.76,25.5118110236221,69.12,70.8661417322835,2,FALSE,FALSE,FALSE,FALSE,FALSE,#N/A,1,63,1,1,"","","","","","",FALSE}</definedName>
    <definedName name="_Zfinacials_quarterly_nots" hidden="1">{0,0,0,0,1,-4105,70.8661417322835,53.8582677165354,70.8661417322835,70.8661417322835,2,FALSE,FALSE,FALSE,FALSE,FALSE,#N/A,1,55,1,1,"","","","","","",FALSE}</definedName>
    <definedName name="_Zfinancials_quarterly" hidden="1">{0,0,0,0,1,-4105,70.8661417322835,53.8582677165354,70.8661417322835,70.8661417322835,2,FALSE,FALSE,FALSE,FALSE,FALSE,#N/A,1,55,1,1,"","","","","","",FALSE}</definedName>
    <definedName name="_Zyearly" hidden="1">{0,0,0,0,1,-4105,14.1732283464567,53.8582677165354,70.8661417322835,70.8661417322835,2,FALSE,FALSE,FALSE,FALSE,FALSE,#N/A,1,75,1,1,"","","","","","",FALSE}</definedName>
    <definedName name="_Zyearly2" hidden="1">{0,0,0,0,1,-4105,70.8661417322835,53.8582677165354,70.8661417322835,70.8661417322835,2,FALSE,FALSE,FALSE,FALSE,FALSE,#N/A,1,75,1,1,"","","","","","",FALSE}</definedName>
    <definedName name="_zz1" hidden="1">{"pro_view",#N/A,FALSE,"EEFSNAP2";"rep_view",#N/A,FALSE,"EEFSNAP2"}</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x" hidden="1">#REF!</definedName>
    <definedName name="Ⅱ" hidden="1">{#N/A,#N/A,FALSE,"정공"}</definedName>
    <definedName name="a" hidden="1">{#N/A,#N/A,FALSE,"Mittelherkunft";#N/A,#N/A,FALSE,"Mittelverwendung"}</definedName>
    <definedName name="A\" hidden="1">#REF!</definedName>
    <definedName name="a_nm" hidden="1">{"'Data'!$A$1:$D$17"}</definedName>
    <definedName name="A1_00근거" hidden="1">{#N/A,#N/A,FALSE,"단축1";#N/A,#N/A,FALSE,"단축2";#N/A,#N/A,FALSE,"단축3";#N/A,#N/A,FALSE,"장축";#N/A,#N/A,FALSE,"4WD"}</definedName>
    <definedName name="A10_UK" hidden="1">{"BS",#N/A,FALSE,"USA"}</definedName>
    <definedName name="a1a" hidden="1">{#N/A,"PURCHM",FALSE,"Business Analysis";#N/A,"SPADD",FALSE,"Business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a" hidden="1">{"detail",#N/A,FALSE,"mfg";"summary",#N/A,FALSE,"mfg"}</definedName>
    <definedName name="aa" hidden="1">{#N/A,#N/A,TRUE,"Cont_Stell";#N/A,#N/A,TRUE,"BTG";#N/A,#N/A,TRUE,"SH";#N/A,#N/A,TRUE,"GUV";#N/A,#N/A,TRUE,"Bilanz";#N/A,#N/A,TRUE,"WC";#N/A,#N/A,TRUE,"Beweg_bil";#N/A,#N/A,TRUE,"Kap_fluß";#N/A,#N/A,TRUE,"KENNZ";#N/A,#N/A,TRUE,"ANALYSE"}</definedName>
    <definedName name="AA.Report.Files" hidden="1">#REF!</definedName>
    <definedName name="AA.Reports.Available" hidden="1">#REF!</definedName>
    <definedName name="aaa" hidden="1">{#N/A,#N/A,TRUE,"Cont_Stell";#N/A,#N/A,TRUE,"BTG";#N/A,#N/A,TRUE,"SH";#N/A,#N/A,TRUE,"GUV";#N/A,#N/A,TRUE,"Bilanz";#N/A,#N/A,TRUE,"WC";#N/A,#N/A,TRUE,"Beweg_bil";#N/A,#N/A,TRUE,"Kap_fluß";#N/A,#N/A,TRUE,"KENNZ";#N/A,#N/A,TRUE,"ANALYSE"}</definedName>
    <definedName name="äää" hidden="1">{#N/A,#N/A,FALSE,"Umsatz 99";#N/A,#N/A,FALSE,"ER 99 "}</definedName>
    <definedName name="aaa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1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1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1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1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1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2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2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2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2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2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3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3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3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3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3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4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4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4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4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4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5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5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5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5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5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AAA_DOCTOPS" hidden="1">"AAA_SET"</definedName>
    <definedName name="AAA_dtemplate" hidden="1">"OFF"</definedName>
    <definedName name="AAA_duser" hidden="1">"OFF"</definedName>
    <definedName name="AAA_Options" hidden="1">"NYN"</definedName>
    <definedName name="AAA_u999999" hidden="1">"jmalinchak@970313143838"</definedName>
    <definedName name="aaa0" hidden="1">{#N/A,#N/A,FALSE,"Aging Summary";#N/A,#N/A,FALSE,"Ratio Analysis";#N/A,#N/A,FALSE,"Test 120 Day Accts";#N/A,#N/A,FALSE,"Tickmarks"}</definedName>
    <definedName name="aaaa" hidden="1">{#N/A,#N/A,FALSE,"Model";#N/A,#N/A,FALSE,"Division"}</definedName>
    <definedName name="ääää" hidden="1">{"'Sample Status'!$A$1:$J$21"}</definedName>
    <definedName name="aaaaa" hidden="1">{"general",#N/A,FALSE,"Assumptions"}</definedName>
    <definedName name="AAAAAA" hidden="1">{"casespecific",#N/A,FALSE,"Assumptions"}</definedName>
    <definedName name="aaaaaaa" hidden="1">{#N/A,#N/A,FALSE,"REPORT"}</definedName>
    <definedName name="aaaaaaaa" hidden="1">{#N/A,#N/A,FALSE,"ADNAMES.XLS";#N/A,#N/A,FALSE,"EQNAMES.XLS";#N/A,#N/A,FALSE,"INNAMES.XLS";#N/A,#N/A,FALSE,"HYNAMES.XLS";#N/A,#N/A,FALSE,"FIXNAMES.XLS";#N/A,#N/A,FALSE,"MONNAMES.XLS";#N/A,#N/A,FALSE,"TECNAMES.XLS"}</definedName>
    <definedName name="aaaaaaaaa" hidden="1">{#N/A,#N/A,TRUE,"Staffnos &amp; cost"}</definedName>
    <definedName name="aaaaaaaaaa" hidden="1">{#N/A,#N/A,FALSE,"ADNAMES.XLS";#N/A,#N/A,FALSE,"EQNAMES.XLS";#N/A,#N/A,FALSE,"INNAMES.XLS";#N/A,#N/A,FALSE,"HYNAMES.XLS";#N/A,#N/A,FALSE,"FIXNAMES.XLS";#N/A,#N/A,FALSE,"MONNAMES.XLS";#N/A,#N/A,FALSE,"TECNAMES.XLS"}</definedName>
    <definedName name="aaaaaaaaaaa" hidden="1">{#N/A,#N/A,FALSE,"Staffnos &amp; cost"}</definedName>
    <definedName name="aaaaaaaaaaaa" hidden="1">{#N/A,#N/A,TRUE,"CF brut";#N/A,#N/A,TRUE,"CashFlow";#N/A,#N/A,TRUE,"RCE";#N/A,#N/A,TRUE,"amort"}</definedName>
    <definedName name="aaaaaaaaaaaaa" hidden="1">{"COMNUS2000",#N/A,FALSE,"BL2000"}</definedName>
    <definedName name="aaaaaaaaaaaaaa" hidden="1">{"'Data'!$A$1:$D$17"}</definedName>
    <definedName name="aaaaaaaaaaaaaaa" hidden="1">{#N/A,#N/A,FALSE,"Pharm";#N/A,#N/A,FALSE,"WWCM"}</definedName>
    <definedName name="aaaaaaaaaaaaaaaaa" hidden="1">{"AnaM1",#N/A,FALSE,"AnalisisM";"AnaM2",#N/A,FALSE,"AnalisisM";"AnaM3",#N/A,FALSE,"AnalisisM"}</definedName>
    <definedName name="aaaaaaaaaaaaaaaaaa" hidden="1">{#N/A,#N/A,FALSE,"Calc";#N/A,#N/A,FALSE,"Sensitivity";#N/A,#N/A,FALSE,"LT Earn.Dil.";#N/A,#N/A,FALSE,"Dil. AVP"}</definedName>
    <definedName name="aaaaaaaaaaaaaaaaaaaaaaaa" hidden="1">{"COMJPN2000",#N/A,FALSE,"BL2000"}</definedName>
    <definedName name="aaaaaaaaaaaaaaaaaaaaaaaaaa" hidden="1">{"detail",#N/A,FALSE,"mfg";"summary",#N/A,FALSE,"mfg"}</definedName>
    <definedName name="aaaaab" hidden="1">{#N/A,#N/A,FALSE,"Model";#N/A,#N/A,FALSE,"Division"}</definedName>
    <definedName name="AAAAS" hidden="1">{#N/A,#N/A,FALSE,"정공"}</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CC" hidden="1">Main.SAPF4Help()</definedName>
    <definedName name="aachart2" hidden="1">#REF!</definedName>
    <definedName name="aachart6" hidden="1">#REF!</definedName>
    <definedName name="Aachen" hidden="1">{#N/A,#N/A,FALSE,"Mittelherkunft";#N/A,#N/A,FALSE,"Mittelverwendung"}</definedName>
    <definedName name="aada" hidden="1">#REF!</definedName>
    <definedName name="aaddd" hidden="1">{#N/A,#N/A,FALSE,"REPORT"}</definedName>
    <definedName name="aas" hidden="1">{#N/A,#N/A,FALSE,"1";#N/A,#N/A,FALSE,"2";#N/A,#N/A,FALSE,"16 - 17";#N/A,#N/A,FALSE,"18 - 19";#N/A,#N/A,FALSE,"26";#N/A,#N/A,FALSE,"27";#N/A,#N/A,FALSE,"28"}</definedName>
    <definedName name="aasda" hidden="1">{"PrintView",#N/A,FALSE,"Cash &amp; Equiv";"PrintView",#N/A,FALSE,"Investments";"Other Assets Print View",#N/A,FALSE,"Other Assets"}</definedName>
    <definedName name="aasf" hidden="1">#REF!</definedName>
    <definedName name="aass" hidden="1">{"detail",#N/A,FALSE,"mfg";"summary",#N/A,FALSE,"mfg"}</definedName>
    <definedName name="aawe" hidden="1">{"weichwaren",#N/A,FALSE,"Liste 1";"hartwaren",#N/A,FALSE,"Liste 1";"food",#N/A,FALSE,"Liste 1";"fleisch",#N/A,FALSE,"Liste 1"}</definedName>
    <definedName name="aawewfa" hidden="1">{#N/A,#N/A,TRUE,"Historicals";#N/A,#N/A,TRUE,"Charts";#N/A,#N/A,TRUE,"Forecasts"}</definedName>
    <definedName name="aawfasdf" hidden="1">{#N/A,#N/A,TRUE,"Historicals";#N/A,#N/A,TRUE,"Charts";#N/A,#N/A,TRUE,"Forecasts"}</definedName>
    <definedName name="aaww" hidden="1">{"weichwaren",#N/A,FALSE,"Liste 1";"hartwaren",#N/A,FALSE,"Liste 1";"food",#N/A,FALSE,"Liste 1";"fleisch",#N/A,FALSE,"Liste 1"}</definedName>
    <definedName name="aax" hidden="1">{"detail",#N/A,FALSE,"mfg";"summary",#N/A,FALSE,"mfg"}</definedName>
    <definedName name="ab" hidden="1">{"FY98Q1 var",#N/A,FALSE,"FY98 - Q1";"FY98Q2 var",#N/A,FALSE,"FY98 - Q2";"FY98Q3 var",#N/A,FALSE,"FY98 - Q3";"FY98Q4 var",#N/A,FALSE,"FY98 - Q4"}</definedName>
    <definedName name="abbb" hidden="1">{"Fiesta Facer Page",#N/A,FALSE,"Q_C_S";"Fiesta Main Page",#N/A,FALSE,"V_L";"Fiesta 95BP Struct",#N/A,FALSE,"StructBP";"Fiesta Post 95BP Struct",#N/A,FALSE,"AdjStructBP"}</definedName>
    <definedName name="abc" hidden="1">{#N/A,#N/A,TRUE,"Cover sheet";#N/A,#N/A,TRUE,"DCF analysis";#N/A,#N/A,TRUE,"WACC calculation"}</definedName>
    <definedName name="abc_Control" hidden="1">{"'Data'!$A$1:$D$17"}</definedName>
    <definedName name="abc0mq" hidden="1">{#N/A,"PURCHM",FALSE,"Business Analysis";#N/A,"SPADD",FALSE,"Business Analysis"}</definedName>
    <definedName name="abc0nks" hidden="1">{"detail",#N/A,FALSE,"mfg";"summary",#N/A,FALSE,"mfg"}</definedName>
    <definedName name="abc101a" hidden="1">{#N/A,"PURCHM",FALSE,"Business Analysis";#N/A,"SPADD",FALSE,"Business Analysis"}</definedName>
    <definedName name="abc109a" hidden="1">{"detail",#N/A,FALSE,"mfg";"summary",#N/A,FALSE,"mfg"}</definedName>
    <definedName name="abc11a" hidden="1">{"detail",#N/A,FALSE,"mfg";"summary",#N/A,FALSE,"mfg"}</definedName>
    <definedName name="abc11ab" hidden="1">{#N/A,"PURCHM",FALSE,"Business Analysis";#N/A,"SPADD",FALSE,"Business Analysis"}</definedName>
    <definedName name="abc12a" hidden="1">{"detail",#N/A,FALSE,"mfg";"summary",#N/A,FALSE,"mfg"}</definedName>
    <definedName name="abc13a" hidden="1">{"detail",#N/A,FALSE,"mfg";"summary",#N/A,FALSE,"mfg"}</definedName>
    <definedName name="abc14a" hidden="1">{"detail",#N/A,FALSE,"mfg";"summary",#N/A,FALSE,"mfg"}</definedName>
    <definedName name="abc1b" hidden="1">{#N/A,"PURCHM",FALSE,"Business Analysis";#N/A,"SPADD",FALSE,"Business Analysis"}</definedName>
    <definedName name="abc200a" hidden="1">{"detail",#N/A,FALSE,"mfg";"summary",#N/A,FALSE,"mfg"}</definedName>
    <definedName name="abc202a" hidden="1">{"detail",#N/A,FALSE,"mfg";"summary",#N/A,FALSE,"mfg"}</definedName>
    <definedName name="abc202b" hidden="1">{#N/A,"PURCHM",FALSE,"Business Analysis";#N/A,"SPADD",FALSE,"Business Analysis"}</definedName>
    <definedName name="abc213a" hidden="1">{"detail",#N/A,FALSE,"mfg";"summary",#N/A,FALSE,"mfg"}</definedName>
    <definedName name="abc2a" hidden="1">{"detail",#N/A,FALSE,"mfg";"summary",#N/A,FALSE,"mfg"}</definedName>
    <definedName name="abc312b" hidden="1">{"detail",#N/A,FALSE,"mfg";"summary",#N/A,FALSE,"mfg"}</definedName>
    <definedName name="abc31a" hidden="1">{"detail",#N/A,FALSE,"mfg";"summary",#N/A,FALSE,"mfg"}</definedName>
    <definedName name="abc32b" hidden="1">{"detail",#N/A,FALSE,"mfg";"summary",#N/A,FALSE,"mfg"}</definedName>
    <definedName name="abc35b" hidden="1">{"detail",#N/A,FALSE,"mfg";"summary",#N/A,FALSE,"mfg"}</definedName>
    <definedName name="abc36b" hidden="1">{"detail",#N/A,FALSE,"mfg";"summary",#N/A,FALSE,"mfg"}</definedName>
    <definedName name="abc37b" hidden="1">{"detail",#N/A,FALSE,"mfg";"summary",#N/A,FALSE,"mfg"}</definedName>
    <definedName name="abc38b" hidden="1">{"detail",#N/A,FALSE,"mfg";"summary",#N/A,FALSE,"mfg"}</definedName>
    <definedName name="abc41b" hidden="1">{"detail",#N/A,FALSE,"mfg";"summary",#N/A,FALSE,"mfg"}</definedName>
    <definedName name="abc42b" hidden="1">{"detail",#N/A,FALSE,"mfg";"summary",#N/A,FALSE,"mfg"}</definedName>
    <definedName name="abc51b" hidden="1">{"detail",#N/A,FALSE,"mfg";"summary",#N/A,FALSE,"mfg"}</definedName>
    <definedName name="abc61b" hidden="1">{"detail",#N/A,FALSE,"mfg";"summary",#N/A,FALSE,"mfg"}</definedName>
    <definedName name="abc67v" hidden="1">{#N/A,"PURCHM",FALSE,"Business Analysis";#N/A,"SPADD",FALSE,"Business Analysis"}</definedName>
    <definedName name="abc71b" hidden="1">{"detail",#N/A,FALSE,"mfg";"summary",#N/A,FALSE,"mfg"}</definedName>
    <definedName name="abc9bn" hidden="1">{"detail",#N/A,FALSE,"mfg";"summary",#N/A,FALSE,"mfg"}</definedName>
    <definedName name="abc9er" hidden="1">{"detail",#N/A,FALSE,"mfg";"summary",#N/A,FALSE,"mfg"}</definedName>
    <definedName name="abc9kn" hidden="1">{"detail",#N/A,FALSE,"mfg";"summary",#N/A,FALSE,"mfg"}</definedName>
    <definedName name="abca312" hidden="1">{"detail",#N/A,FALSE,"mfg";"summary",#N/A,FALSE,"mfg"}</definedName>
    <definedName name="abca312b" hidden="1">{"detail",#N/A,FALSE,"mfg";"summary",#N/A,FALSE,"mfg"}</definedName>
    <definedName name="abcd"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abcd1" hidden="1">{#N/A,"PURCHM",FALSE,"Business Analysis";#N/A,"SPADD",FALSE,"Business Analysis"}</definedName>
    <definedName name="abcd10" hidden="1">{#N/A,"PURCHM",FALSE,"Business Analysis";#N/A,"SPADD",FALSE,"Business Analysis"}</definedName>
    <definedName name="abcd101" hidden="1">{#N/A,"PURCHM",FALSE,"Business Analysis";#N/A,"SPADD",FALSE,"Business Analysis"}</definedName>
    <definedName name="abcd10a" hidden="1">{#N/A,"PURCHM",FALSE,"Business Analysis";#N/A,"SPADD",FALSE,"Business Analysis"}</definedName>
    <definedName name="abcd11" hidden="1">{#N/A,"PURCHM",FALSE,"Business Analysis";#N/A,"SPADD",FALSE,"Business Analysis"}</definedName>
    <definedName name="abcd12" hidden="1">{#N/A,"PURCHM",FALSE,"Business Analysis";#N/A,"SPADD",FALSE,"Business Analysis"}</definedName>
    <definedName name="abcd12b" hidden="1">{#N/A,"PURCHM",FALSE,"Business Analysis";#N/A,"SPADD",FALSE,"Business Analysis"}</definedName>
    <definedName name="abcd2" hidden="1">{#N/A,"PURCHM",FALSE,"Business Analysis";#N/A,"SPADD",FALSE,"Business Analysis"}</definedName>
    <definedName name="abcd200" hidden="1">{#N/A,"PURCHM",FALSE,"Business Analysis";#N/A,"SPADD",FALSE,"Business Analysis"}</definedName>
    <definedName name="abcd200b" hidden="1">{#N/A,"PURCHM",FALSE,"Business Analysis";#N/A,"SPADD",FALSE,"Business Analysis"}</definedName>
    <definedName name="abcd202" hidden="1">{#N/A,"PURCHM",FALSE,"Business Analysis";#N/A,"SPADD",FALSE,"Business Analysis"}</definedName>
    <definedName name="abcd21" hidden="1">{#N/A,"PURCHM",FALSE,"Business Analysis";#N/A,"SPADD",FALSE,"Business Analysis"}</definedName>
    <definedName name="abcd212" hidden="1">{#N/A,"PURCHM",FALSE,"Business Analysis";#N/A,"SPADD",FALSE,"Business Analysis"}</definedName>
    <definedName name="abcd21225b" hidden="1">{#N/A,"PURCHM",FALSE,"Business Analysis";#N/A,"SPADD",FALSE,"Business Analysis"}</definedName>
    <definedName name="abcd212b" hidden="1">{#N/A,"PURCHM",FALSE,"Business Analysis";#N/A,"SPADD",FALSE,"Business Analysis"}</definedName>
    <definedName name="abcd213" hidden="1">{#N/A,"PURCHM",FALSE,"Business Analysis";#N/A,"SPADD",FALSE,"Business Analysis"}</definedName>
    <definedName name="abcd213b" hidden="1">{#N/A,"PURCHM",FALSE,"Business Analysis";#N/A,"SPADD",FALSE,"Business Analysis"}</definedName>
    <definedName name="abcd21kb" hidden="1">{#N/A,"PURCHM",FALSE,"Business Analysis";#N/A,"SPADD",FALSE,"Business Analysis"}</definedName>
    <definedName name="abcd254" hidden="1">{#N/A,"PURCHM",FALSE,"Business Analysis";#N/A,"SPADD",FALSE,"Business Analysis"}</definedName>
    <definedName name="abcd2ab" hidden="1">{#N/A,"PURCHM",FALSE,"Business Analysis";#N/A,"SPADD",FALSE,"Business Analysis"}</definedName>
    <definedName name="abcd312" hidden="1">{#N/A,"PURCHM",FALSE,"Business Analysis";#N/A,"SPADD",FALSE,"Business Analysis"}</definedName>
    <definedName name="abcd312bd" hidden="1">{#N/A,"PURCHM",FALSE,"Business Analysis";#N/A,"SPADD",FALSE,"Business Analysis"}</definedName>
    <definedName name="abcd32" hidden="1">{#N/A,"PURCHM",FALSE,"Business Analysis";#N/A,"SPADD",FALSE,"Business Analysis"}</definedName>
    <definedName name="abcd32b" hidden="1">{#N/A,"PURCHM",FALSE,"Business Analysis";#N/A,"SPADD",FALSE,"Business Analysis"}</definedName>
    <definedName name="abcd33" hidden="1">{"detail",#N/A,FALSE,"mfg";"summary",#N/A,FALSE,"mfg"}</definedName>
    <definedName name="abcd33b" hidden="1">{"detail",#N/A,FALSE,"mfg";"summary",#N/A,FALSE,"mfg"}</definedName>
    <definedName name="abcd34" hidden="1">{#N/A,"PURCHM",FALSE,"Business Analysis";#N/A,"SPADD",FALSE,"Business Analysis"}</definedName>
    <definedName name="abcd34b" hidden="1">{#N/A,"PURCHM",FALSE,"Business Analysis";#N/A,"SPADD",FALSE,"Business Analysis"}</definedName>
    <definedName name="abcd35" hidden="1">{#N/A,"PURCHM",FALSE,"Business Analysis";#N/A,"SPADD",FALSE,"Business Analysis"}</definedName>
    <definedName name="abcd35b" hidden="1">{#N/A,"PURCHM",FALSE,"Business Analysis";#N/A,"SPADD",FALSE,"Business Analysis"}</definedName>
    <definedName name="abcd36" hidden="1">{"detail",#N/A,FALSE,"mfg";"summary",#N/A,FALSE,"mfg"}</definedName>
    <definedName name="abcd36b" hidden="1">{"detail",#N/A,FALSE,"mfg";"summary",#N/A,FALSE,"mfg"}</definedName>
    <definedName name="abcd39" hidden="1">{#N/A,"PURCHM",FALSE,"Business Analysis";#N/A,"SPADD",FALSE,"Business Analysis"}</definedName>
    <definedName name="abcd39bd" hidden="1">{#N/A,"PURCHM",FALSE,"Business Analysis";#N/A,"SPADD",FALSE,"Business Analysis"}</definedName>
    <definedName name="ABCD41" hidden="1">{#N/A,"PURCHM",FALSE,"Business Analysis";#N/A,"SPADD",FALSE,"Business Analysis"}</definedName>
    <definedName name="abcd412" hidden="1">{#N/A,"PURCHM",FALSE,"Business Analysis";#N/A,"SPADD",FALSE,"Business Analysis"}</definedName>
    <definedName name="abcd412bd" hidden="1">{#N/A,"PURCHM",FALSE,"Business Analysis";#N/A,"SPADD",FALSE,"Business Analysis"}</definedName>
    <definedName name="abcd41bd" hidden="1">{#N/A,"PURCHM",FALSE,"Business Analysis";#N/A,"SPADD",FALSE,"Business Analysis"}</definedName>
    <definedName name="abcd42" hidden="1">{#N/A,"PURCHM",FALSE,"Business Analysis";#N/A,"SPADD",FALSE,"Business Analysis"}</definedName>
    <definedName name="abcd42bd" hidden="1">{#N/A,"PURCHM",FALSE,"Business Analysis";#N/A,"SPADD",FALSE,"Business Analysis"}</definedName>
    <definedName name="abcd45" hidden="1">{#N/A,"PURCHM",FALSE,"Business Analysis";#N/A,"SPADD",FALSE,"Business Analysis"}</definedName>
    <definedName name="abcd45bd" hidden="1">{#N/A,"PURCHM",FALSE,"Business Analysis";#N/A,"SPADD",FALSE,"Business Analysis"}</definedName>
    <definedName name="abcd50" hidden="1">{#N/A,"PURCHM",FALSE,"Business Analysis";#N/A,"SPADD",FALSE,"Business Analysis"}</definedName>
    <definedName name="abcd51" hidden="1">{#N/A,"PURCHM",FALSE,"Business Analysis";#N/A,"SPADD",FALSE,"Business Analysis"}</definedName>
    <definedName name="abcd51bd" hidden="1">{#N/A,"PURCHM",FALSE,"Business Analysis";#N/A,"SPADD",FALSE,"Business Analysis"}</definedName>
    <definedName name="abcd61" hidden="1">{#N/A,"PURCHM",FALSE,"Business Analysis";#N/A,"SPADD",FALSE,"Business Analysis"}</definedName>
    <definedName name="abcd61bd" hidden="1">{#N/A,"PURCHM",FALSE,"Business Analysis";#N/A,"SPADD",FALSE,"Business Analysis"}</definedName>
    <definedName name="abcd71" hidden="1">{#N/A,"PURCHM",FALSE,"Business Analysis";#N/A,"SPADD",FALSE,"Business Analysis"}</definedName>
    <definedName name="abcd71bd" hidden="1">{#N/A,"PURCHM",FALSE,"Business Analysis";#N/A,"SPADD",FALSE,"Business Analysis"}</definedName>
    <definedName name="abcd90" hidden="1">{#N/A,"PURCHM",FALSE,"Business Analysis";#N/A,"SPADD",FALSE,"Business Analysis"}</definedName>
    <definedName name="abcd98b" hidden="1">{#N/A,"PURCHM",FALSE,"Business Analysis";#N/A,"SPADD",FALSE,"Business Analysis"}</definedName>
    <definedName name="abcda" hidden="1">{#N/A,"PURCHM",FALSE,"Business Analysis";#N/A,"SPADD",FALSE,"Business Analysis"}</definedName>
    <definedName name="abcda101" hidden="1">{#N/A,"PURCHM",FALSE,"Business Analysis";#N/A,"SPADD",FALSE,"Business Analysis"}</definedName>
    <definedName name="abcde" hidden="1">{#N/A,#N/A,FALSE,"Fluktuation TSI"}</definedName>
    <definedName name="ABCDEF" hidden="1">{#N/A,#N/A,FALSE,"정공"}</definedName>
    <definedName name="abcdefg" hidden="1">{#N/A,#N/A,FALSE,"Performance Flash Report"}</definedName>
    <definedName name="ABCDEFGHK" hidden="1">{#N/A,#N/A,FALSE,"Calc";#N/A,#N/A,FALSE,"Sensitivity";#N/A,#N/A,FALSE,"LT Earn.Dil.";#N/A,#N/A,FALSE,"Dil. AVP"}</definedName>
    <definedName name="abcdmibh" hidden="1">{#N/A,"PURCHM",FALSE,"Business Analysis";#N/A,"SPADD",FALSE,"Business Analysis"}</definedName>
    <definedName name="abcdv102" hidden="1">{#N/A,"PURCHM",FALSE,"Business Analysis";#N/A,"SPADD",FALSE,"Business Analysis"}</definedName>
    <definedName name="abcdv102d" hidden="1">{#N/A,"PURCHM",FALSE,"Business Analysis";#N/A,"SPADD",FALSE,"Business Analysis"}</definedName>
    <definedName name="ABCD관리" hidden="1">{#N/A,#N/A,FALSE,"정공"}</definedName>
    <definedName name="abci9" hidden="1">{#N/A,"PURCHM",FALSE,"Business Analysis";#N/A,"SPADD",FALSE,"Business Analysis"}</definedName>
    <definedName name="abci92" hidden="1">{#N/A,"PURCHM",FALSE,"Business Analysis";#N/A,"SPADD",FALSE,"Business Analysis"}</definedName>
    <definedName name="abcj9i" hidden="1">{"detail",#N/A,FALSE,"mfg";"summary",#N/A,FALSE,"mfg"}</definedName>
    <definedName name="abckg" hidden="1">{#N/A,"PURCHM",FALSE,"Business Analysis";#N/A,"SPADD",FALSE,"Business Analysis"}</definedName>
    <definedName name="abcklg" hidden="1">{"detail",#N/A,FALSE,"mfg";"summary",#N/A,FALSE,"mfg"}</definedName>
    <definedName name="abcl96\" hidden="1">{#N/A,"PURCHM",FALSE,"Business Analysis";#N/A,"SPADD",FALSE,"Business Analysis"}</definedName>
    <definedName name="abclkj" hidden="1">{"detail",#N/A,FALSE,"mfg";"summary",#N/A,FALSE,"mfg"}</definedName>
    <definedName name="abclxs" hidden="1">{"detail",#N/A,FALSE,"mfg";"summary",#N/A,FALSE,"mfg"}</definedName>
    <definedName name="abcoi" hidden="1">{"detail",#N/A,FALSE,"mfg";"summary",#N/A,FALSE,"mfg"}</definedName>
    <definedName name="abcois" hidden="1">{"detail",#N/A,FALSE,"mfg";"summary",#N/A,FALSE,"mfg"}</definedName>
    <definedName name="abd"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abda"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abdc" hidden="1">{"'Data'!$A$1:$D$17"}</definedName>
    <definedName name="ABDD" hidden="1">{#N/A,#N/A,FALSE,"단축1";#N/A,#N/A,FALSE,"단축2";#N/A,#N/A,FALSE,"단축3";#N/A,#N/A,FALSE,"장축";#N/A,#N/A,FALSE,"4WD"}</definedName>
    <definedName name="abe" hidden="1">{"GuVGmbH",#N/A,FALSE,"ratios";"BilanzGmbH",#N/A,FALSE,"ratios";"BilanzKG",#N/A,FALSE,"ratios";"GuVKG",#N/A,FALSE,"ratios"}</definedName>
    <definedName name="ABF" hidden="1">{"'Demand Units'!$X$11:$AD$45"}</definedName>
    <definedName name="ABG" hidden="1">{"'Demand Units'!$X$11:$AD$45"}</definedName>
    <definedName name="ABH" hidden="1">{"'Demand Units'!$X$11:$AD$45"}</definedName>
    <definedName name="abji" hidden="1">{#N/A,"PURCHM",FALSE,"Business Analysis";#N/A,"SPADD",FALSE,"Business Analysis"}</definedName>
    <definedName name="abki9" hidden="1">{#N/A,"PURCHM",FALSE,"Business Analysis";#N/A,"SPADD",FALSE,"Business Analysis"}</definedName>
    <definedName name="ablo5" hidden="1">{#N/A,"PURCHM",FALSE,"Business Analysis";#N/A,"SPADD",FALSE,"Business Analysis"}</definedName>
    <definedName name="ABRIL" hidden="1">{"'ALUMINIO'!$A$26:$K$53"}</definedName>
    <definedName name="abx" hidden="1">{#N/A,#N/A,FALSE,"invpln"}</definedName>
    <definedName name="ac" hidden="1">{"weichwaren",#N/A,FALSE,"Liste 1";"hartwaren",#N/A,FALSE,"Liste 1";"food",#N/A,FALSE,"Liste 1";"fleisch",#N/A,FALSE,"Liste 1"}</definedName>
    <definedName name="acc" hidden="1">{"'comite'!$A$9:$G$44","'comite'!$A$1:$G$6"}</definedName>
    <definedName name="Access_Button" hidden="1">"modgraph_feuille_1_Liste"</definedName>
    <definedName name="Access_Button1" hidden="1">"機能ｺｰﾄﾞ一覧_BLK→機能_List"</definedName>
    <definedName name="Access_Button2" hidden="1">"機能ｺｰﾄﾞ一覧_BLK→機能_List"</definedName>
    <definedName name="Access_Button3" hidden="1">"카드발송_카드발송_List1"</definedName>
    <definedName name="Access_Button4" hidden="1">"업체현황_카드발송_List"</definedName>
    <definedName name="AccessDatabase" hidden="1">"C:\DATA\théma.mdb"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_CHANGE" hidden="1">"ACCOUNT_CHANGE"</definedName>
    <definedName name="ACCOUNTS_PAY" hidden="1">"ACCOUNTS_PAY"</definedName>
    <definedName name="ACCRUED_EXP" hidden="1">"ACCRUED_EXP"</definedName>
    <definedName name="accs" hidden="1">{"detail",#N/A,FALSE,"mfg";"summary",#N/A,FALSE,"mfg"}</definedName>
    <definedName name="achart2" hidden="1">#REF!</definedName>
    <definedName name="achart3" hidden="1">#REF!</definedName>
    <definedName name="achart4" hidden="1">#REF!</definedName>
    <definedName name="achart5" hidden="1">#REF!</definedName>
    <definedName name="aclskn" hidden="1">{#N/A,#N/A,FALSE,"FY97";#N/A,#N/A,FALSE,"FY98";#N/A,#N/A,FALSE,"FY99";#N/A,#N/A,FALSE,"FY00";#N/A,#N/A,FALSE,"FY01"}</definedName>
    <definedName name="acob" hidden="1">{"'Form'!$A$2:$J$81"}</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ations" hidden="1">{"'Hardware Req.'!$A$1:$C$23"}</definedName>
    <definedName name="ActualMarginYOY" hidden="1">{#N/A,#N/A,FALSE,"Hoja10";#N/A,#N/A,FALSE,"Hoja9";#N/A,#N/A,FALSE,"Hoja8";#N/A,#N/A,FALSE,"Hoja7";#N/A,#N/A,FALSE,"Hoja6";#N/A,#N/A,FALSE,"Hoja5";#N/A,#N/A,FALSE,"Hoja4";#N/A,#N/A,FALSE,"Hoja2";#N/A,#N/A,FALSE,"Hoja3";#N/A,#N/A,FALSE,"HOJA1";#N/A,#N/A,FALSE,"CashFlow";#N/A,#N/A,FALSE,"FinStmts"}</definedName>
    <definedName name="ACwvu.BS." hidden="1">#REF!</definedName>
    <definedName name="ACwvu.summary1." hidden="1">#REF!</definedName>
    <definedName name="ACwvu.summary2." hidden="1">#REF!</definedName>
    <definedName name="ACwvu.summary3." hidden="1">#REF!</definedName>
    <definedName name="ad" hidden="1">{"CHART",#N/A,FALSE,"Arch Communications"}</definedName>
    <definedName name="adasd" hidden="1">{#N/A,#N/A,FALSE,"KA CH  (2)"}</definedName>
    <definedName name="adc" hidden="1">{#N/A,#N/A,TRUE,"Main";#N/A,#N/A,TRUE,"FCF_10Yr";#N/A,#N/A,TRUE,"FCF_15Yr";#N/A,#N/A,TRUE,"Assume"}</definedName>
    <definedName name="ADD_PAID_IN" hidden="1">"ADD_PAID_IN"</definedName>
    <definedName name="addg" hidden="1">{#N/A,#N/A,FALSE,"CBE";#N/A,#N/A,FALSE,"SWK"}</definedName>
    <definedName name="addg1" hidden="1">{#N/A,#N/A,FALSE,"CBE";#N/A,#N/A,FALSE,"SWK"}</definedName>
    <definedName name="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adf" hidden="1">{"'Sheet1'!$A$1:$J$121"}</definedName>
    <definedName name="adfadfasfda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 hidden="1">{#N/A,#N/A,TRUE,"PSG Total Contacts";#N/A,#N/A,TRUE,"PSG Rep Total";#N/A,#N/A,TRUE,"Core Rep Detail";#N/A,#N/A,TRUE,"BC Rep Detail";#N/A,#N/A,TRUE,"Marlboro";#N/A,#N/A,TRUE,"Covington";#N/A,#N/A,TRUE,"Dallas";#N/A,#N/A,TRUE,"VRS Stats";#N/A,#N/A,TRUE,"Internet";#N/A,#N/A,TRUE,"NCO and Call Mix";#N/A,#N/A,TRUE,"VRS &amp; Rep Calls"}</definedName>
    <definedName name="adfasfadfda"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 hidden="1">{"sales growth",#N/A,FALSE,"summary";"oper income",#N/A,FALSE,"summary";"oros rank",#N/A,FALSE,"summary";"net assets",#N/A,FALSE,"summary";"asset turnover",#N/A,FALSE,"summary";"orona",#N/A,FALSE,"summary"}</definedName>
    <definedName name="adfga" hidden="1">{14;45;"$A$1";"05-09-00 16:37";"DADMIN";45;"CONTROL.IBS!Scrollbar_change";"";"";"";""}</definedName>
    <definedName name="adfgasdg" hidden="1">{"regression corrigées",#N/A,FALSE,"Regressions"}</definedName>
    <definedName name="adfgasdysty" hidden="1">{#N/A,#N/A,FALSE,"REPORT"}</definedName>
    <definedName name="adfgdzf"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adfhzdf" hidden="1">{"sales",#N/A,FALSE,"Sales";"sales existing",#N/A,FALSE,"Sales";"sales rd1",#N/A,FALSE,"Sales";"sales rd2",#N/A,FALSE,"Sales"}</definedName>
    <definedName name="adfs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fsfjfjky" hidden="1">{#N/A,#N/A,FALSE,"REPORT"}</definedName>
    <definedName name="adfsgsdf5352" hidden="1">{"dcfsummary",#N/A,FALSE,"NHY - DCF Valuation";"agriculture",#N/A,FALSE,"NHY - DCF Valuation";"oilgas",#N/A,FALSE,"NHY - DCF Valuation";"oilgastot",#N/A,FALSE,"NHY - DCF Valuation";"lightmetals",#N/A,FALSE,"NHY - DCF Valuation";"petrochemicals",#N/A,FALSE,"NHY - DCF Valuation";"other",#N/A,FALSE,"NHY - DCF Valuation"}</definedName>
    <definedName name="adg" hidden="1">{"'Sheet1'!$A$1:$O$40"}</definedName>
    <definedName name="adgadgadgadsgasdg" hidden="1">{"'Title Transfer Units6,7,&amp;8'!$A$1:$B$4","'Title Transfer Units6,7,&amp;8'!$C$6"}</definedName>
    <definedName name="adgfgd" hidden="1">{"detail",#N/A,FALSE,"mfg";"summary",#N/A,FALSE,"mfg"}</definedName>
    <definedName name="adjustment" hidden="1">{#N/A,#N/A,TRUE,"PSG Total Contacts";#N/A,#N/A,TRUE,"PSG Rep Total";#N/A,#N/A,TRUE,"Core Rep Detail";#N/A,#N/A,TRUE,"BC Rep Detail";#N/A,#N/A,TRUE,"Marlboro";#N/A,#N/A,TRUE,"Covington";#N/A,#N/A,TRUE,"Dallas";#N/A,#N/A,TRUE,"VRS Stats";#N/A,#N/A,TRUE,"Internet";#N/A,#N/A,TRUE,"NCO and Call Mix";#N/A,#N/A,TRUE,"VRS &amp; Rep Calls"}</definedName>
    <definedName name="admin" hidden="1">{#N/A,#N/A,FALSE,"Staffnos &amp; cost"}</definedName>
    <definedName name="ADMIN1" hidden="1">{#N/A,#N/A,TRUE,"PSG Total Contacts";#N/A,#N/A,TRUE,"PSG Rep Total";#N/A,#N/A,TRUE,"Core Rep Detail";#N/A,#N/A,TRUE,"BC Rep Detail";#N/A,#N/A,TRUE,"Marlboro";#N/A,#N/A,TRUE,"Covington";#N/A,#N/A,TRUE,"Dallas";#N/A,#N/A,TRUE,"VRS Stats";#N/A,#N/A,TRUE,"Internet";#N/A,#N/A,TRUE,"NCO and Call Mix";#N/A,#N/A,TRUE,"VRS &amp; Rep Calls"}</definedName>
    <definedName name="AdminSlideMTD" hidden="1">{#N/A,#N/A,TRUE,"Expenses";#N/A,#N/A,TRUE,"BalanceSheet";#N/A,#N/A,TRUE,"CashFlow";#N/A,#N/A,TRUE,"OtherCurrentAssets";#N/A,#N/A,TRUE,"OtherAssets";#N/A,#N/A,TRUE,"AccruedExpenses"}</definedName>
    <definedName name="AdminSlideYTD" hidden="1">{#N/A,#N/A,TRUE,"Expenses";#N/A,#N/A,TRUE,"BalanceSheet";#N/A,#N/A,TRUE,"CashFlow";#N/A,#N/A,TRUE,"OtherCurrentAssets";#N/A,#N/A,TRUE,"OtherAssets";#N/A,#N/A,TRUE,"AccruedExpenses"}</definedName>
    <definedName name="adminsti" hidden="1">{#N/A,#N/A,TRUE,"PSG Total Contacts";#N/A,#N/A,TRUE,"PSG Rep Total";#N/A,#N/A,TRUE,"Core Rep Detail";#N/A,#N/A,TRUE,"BC Rep Detail";#N/A,#N/A,TRUE,"Marlboro";#N/A,#N/A,TRUE,"Covington";#N/A,#N/A,TRUE,"Dallas";#N/A,#N/A,TRUE,"VRS Stats";#N/A,#N/A,TRUE,"Internet";#N/A,#N/A,TRUE,"NCO and Call Mix";#N/A,#N/A,TRUE,"VRS &amp; Rep Calls"}</definedName>
    <definedName name="adrharh"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ads"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adsaf45t234"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AFD"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ADSDF" hidden="1">{#N/A,#N/A,TRUE,"Y생산";#N/A,#N/A,TRUE,"Y판매";#N/A,#N/A,TRUE,"Y총물량";#N/A,#N/A,TRUE,"Y능력";#N/A,#N/A,TRUE,"YKD"}</definedName>
    <definedName name="adsf"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adsfadfnkf" hidden="1">{"'Title Transfer Units6,7,&amp;8'!$A$1:$B$4","'Title Transfer Units6,7,&amp;8'!$C$6"}</definedName>
    <definedName name="adsfadgadg" hidden="1">{"'Title Transfer Units6,7,&amp;8'!$A$1:$B$4","'Title Transfer Units6,7,&amp;8'!$C$6"}</definedName>
    <definedName name="adsfadgadgg" hidden="1">{"'Title Transfer Units6,7,&amp;8'!$A$1:$B$4","'Title Transfer Units6,7,&amp;8'!$C$6"}</definedName>
    <definedName name="adsfadsfasdfasdf"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fasdfadsf" hidden="1">{"'Title Transfer Units6,7,&amp;8'!$A$1:$B$4","'Title Transfer Units6,7,&amp;8'!$C$6"}</definedName>
    <definedName name="adsfdafdsaf2" hidden="1">{#N/A,#N/A,FALSE,"Index";#N/A,#N/A,FALSE,"1.1";#N/A,#N/A,FALSE,"Scenario Summary"}</definedName>
    <definedName name="adsfdsafdsaf" hidden="1">{#N/A,#N/A,FALSE,"Index";#N/A,#N/A,FALSE,"1.1";#N/A,#N/A,FALSE,"Scenario Summary"}</definedName>
    <definedName name="adsfgadg" hidden="1">{"'Title Transfer Units6,7,&amp;8'!$A$1:$B$4","'Title Transfer Units6,7,&amp;8'!$C$6"}</definedName>
    <definedName name="adsfgds" hidden="1">{#N/A,#N/A,FALSE,"Umsatz CH";#N/A,#N/A,FALSE,"ER CH";#N/A,#N/A,FALSE,"EA CH (2) ";#N/A,#N/A,FALSE,"EA CH";#N/A,#N/A,FALSE,"EA CH (3) ";#N/A,#N/A,FALSE,"EA CH (4)";#N/A,#N/A,FALSE,"KA CH";#N/A,#N/A,FALSE,"KA CH  (2)";#N/A,#N/A,FALSE,"KA CH  (3)";#N/A,#N/A,FALSE,"KA CH (4)"}</definedName>
    <definedName name="adsfgreg" hidden="1">{#N/A,#N/A,TRUE,"Historicals";#N/A,#N/A,TRUE,"Charts";#N/A,#N/A,TRUE,"Forecasts"}</definedName>
    <definedName name="adsfregh" hidden="1">{#N/A,#N/A,TRUE,"Historicals";#N/A,#N/A,TRUE,"Charts";#N/A,#N/A,TRUE,"Forecasts"}</definedName>
    <definedName name="adsfrergre" hidden="1">{#N/A,#N/A,TRUE,"Historicals";#N/A,#N/A,TRUE,"Charts";#N/A,#N/A,TRUE,"Forecasts"}</definedName>
    <definedName name="adsfsrg5t"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gadgag" hidden="1">{"'Title Transfer Units6,7,&amp;8'!$A$1:$B$4","'Title Transfer Units6,7,&amp;8'!$C$6"}</definedName>
    <definedName name="adsgadhgadgasdfaf" hidden="1">{"'Title Transfer Units6,7,&amp;8'!$A$1:$B$4","'Title Transfer Units6,7,&amp;8'!$C$6"}</definedName>
    <definedName name="adsgsdfhg56" hidden="1">{"dcfsummary",#N/A,FALSE,"NHY - DCF Valuation";"agriculture",#N/A,FALSE,"NHY - DCF Valuation";"oilgas",#N/A,FALSE,"NHY - DCF Valuation";"oilgastot",#N/A,FALSE,"NHY - DCF Valuation";"lightmetals",#N/A,FALSE,"NHY - DCF Valuation";"petrochemicals",#N/A,FALSE,"NHY - DCF Valuation";"other",#N/A,FALSE,"NHY - DCF Valuation"}</definedName>
    <definedName name="adssd234" hidden="1">{"dcfsummary",#N/A,FALSE,"NHY - DCF Valuation";"agriculture",#N/A,FALSE,"NHY - DCF Valuation";"oilgas",#N/A,FALSE,"NHY - DCF Valuation";"oilgastot",#N/A,FALSE,"NHY - DCF Valuation";"lightmetals",#N/A,FALSE,"NHY - DCF Valuation";"petrochemicals",#N/A,FALSE,"NHY - DCF Valuation";"other",#N/A,FALSE,"NHY - DCF Valuation"}</definedName>
    <definedName name="advasdg" hidden="1">{"'Title Transfer Units6,7,&amp;8'!$A$1:$B$4","'Title Transfer Units6,7,&amp;8'!$C$6"}</definedName>
    <definedName name="ae" hidden="1">{#N/A,#N/A,FALSE,"Calc";#N/A,#N/A,FALSE,"Sensitivity";#N/A,#N/A,FALSE,"LT Earn.Dil.";#N/A,#N/A,FALSE,"Dil. AVP"}</definedName>
    <definedName name="ae5ze5" hidden="1">Word</definedName>
    <definedName name="aeradfaereawt" hidden="1">{"var_page",#N/A,FALSE,"template"}</definedName>
    <definedName name="aerhaerhaerh"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aerhrea" hidden="1">{#N/A,#N/A,FALSE,"단축1";#N/A,#N/A,FALSE,"단축2";#N/A,#N/A,FALSE,"단축3";#N/A,#N/A,FALSE,"장축";#N/A,#N/A,FALSE,"4WD"}</definedName>
    <definedName name="aert" hidden="1">{#N/A,#N/A,FALSE,"Layout Aktiva";#N/A,#N/A,FALSE,"Layout Passiva";#N/A,#N/A,FALSE,"Layout GuV";#N/A,#N/A,FALSE,"Layout Cash Flow";#N/A,#N/A,FALSE,"Mittelherkunft";#N/A,#N/A,FALSE,"Mittelverwendung";#N/A,#N/A,FALSE,"Finanzbedarfsrechnung"}</definedName>
    <definedName name="aertaejtae" hidden="1">{#N/A,#N/A,FALSE,"ACQ_GRAPHS";#N/A,#N/A,FALSE,"T_1 GRAPHS";#N/A,#N/A,FALSE,"T_2 GRAPHS";#N/A,#N/A,FALSE,"COMB_GRAPHS"}</definedName>
    <definedName name="aew" hidden="1">{#N/A,"PURCHM",FALSE,"Business Analysis";#N/A,"SPADD",FALSE,"Business Analysis"}</definedName>
    <definedName name="aewr" hidden="1">{"mgmt forecast",#N/A,FALSE,"Mgmt Forecast";"dcf table",#N/A,FALSE,"Mgmt Forecast";"sensitivity",#N/A,FALSE,"Mgmt Forecast";"table inputs",#N/A,FALSE,"Mgmt Forecast";"calculations",#N/A,FALSE,"Mgmt Forecast"}</definedName>
    <definedName name="aezeeeeeee"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aezer"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af" hidden="1">#N/A</definedName>
    <definedName name="afc" hidden="1">{"detail",#N/A,FALSE,"mfg";"summary",#N/A,FALSE,"mfg"}</definedName>
    <definedName name="af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fda" hidden="1">#REF!</definedName>
    <definedName name="AFDADSFDAS" hidden="1">{#N/A,#N/A,FALSE,"REPORT"}</definedName>
    <definedName name="afdafds" hidden="1">{#N/A,#N/A,FALSE,"Performance Flash Report"}</definedName>
    <definedName name="afds" hidden="1">{"YTD",#N/A,FALSE,"SUM"}</definedName>
    <definedName name="afgggrtgh" hidden="1">{#N/A,#N/A,TRUE,"Historicals";#N/A,#N/A,TRUE,"Charts";#N/A,#N/A,TRUE,"Forecasts"}</definedName>
    <definedName name="afhsrhsrgh" hidden="1">{#N/A,#N/A,FALSE,"INPUTS";#N/A,#N/A,FALSE,"PROFORMA BSHEET";#N/A,#N/A,FALSE,"COMBINED";#N/A,#N/A,FALSE,"ACQUIROR";#N/A,#N/A,FALSE,"TARGET 1";#N/A,#N/A,FALSE,"TARGET 2";#N/A,#N/A,FALSE,"HIGH YIELD";#N/A,#N/A,FALSE,"OVERFUND"}</definedName>
    <definedName name="AFR" hidden="1">{"'Demand Units'!$X$11:$AD$45"}</definedName>
    <definedName name="africa" hidden="1">{#N/A,#N/A,FALSE,"CNS";#N/A,#N/A,FALSE,"Serz";#N/A,#N/A,FALSE,"Ace"}</definedName>
    <definedName name="afsdf"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afsdgfsfdhg55" hidden="1">{"dcfsummary",#N/A,FALSE,"NHY - DCF Valuation";"agriculture",#N/A,FALSE,"NHY - DCF Valuation";"oilgas",#N/A,FALSE,"NHY - DCF Valuation";"oilgastot",#N/A,FALSE,"NHY - DCF Valuation";"lightmetals",#N/A,FALSE,"NHY - DCF Valuation";"petrochemicals",#N/A,FALSE,"NHY - DCF Valuation";"other",#N/A,FALSE,"NHY - DCF Valuation"}</definedName>
    <definedName name="afvh"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ag" hidden="1">{TRUE,TRUE,-1.25,-15.5,456.75,279.75,FALSE,FALSE,TRUE,TRUE,0,1,8,1,4,6,3,4,TRUE,TRUE,3,TRUE,1,TRUE,100,"Swvu.turnover.","ACwvu.turnover.",1,FALSE,FALSE,0.511811023622047,0.511811023622047,0.511811023622047,0.511811023622047,1,"","",FALSE,FALSE,FALSE,FALSE,1,#N/A,1,1,#DIV/0!,FALSE,"Rwvu.turnover.",#N/A,FALSE,FALSE}</definedName>
    <definedName name="aga" hidden="1">{#N/A,#N/A,FALSE,"Bezirk SW";#N/A,#N/A,FALSE,"Dir S (GK)";#N/A,#N/A,FALSE,"Dir FR (PK)"}</definedName>
    <definedName name="agafdhsdh" hidden="1">{#N/A,#N/A,FALSE,"REPORT"}</definedName>
    <definedName name="agag" hidden="1">{#N/A,#N/A,FALSE,"Aging Summary";#N/A,#N/A,FALSE,"Ratio Analysis";#N/A,#N/A,FALSE,"Test 120 Day Accts";#N/A,#N/A,FALSE,"Tickmarks"}</definedName>
    <definedName name="agarew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agcd22" hidden="1">{#N/A,"PURCHM",FALSE,"Business Analysis";#N/A,"SPADD",FALSE,"Business Analysis"}</definedName>
    <definedName name="agcd22bd" hidden="1">{#N/A,"PURCHM",FALSE,"Business Analysis";#N/A,"SPADD",FALSE,"Business Analysis"}</definedName>
    <definedName name="AGE" hidden="1">{#N/A,#N/A,FALSE,"Staffnos &amp; cost"}</definedName>
    <definedName name="age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fdg" hidden="1">{#N/A,#N/A,FALSE,"PMW Gruppe 99_98";#N/A,#N/A,FALSE,"PMW KG 98_99";#N/A,#N/A,FALSE,"PMW Inc. 99_98";#N/A,#N/A,FALSE,"PMW VTECH 99_98";#N/A,#N/A,FALSE,"PMW Thail. 99_98";#N/A,#N/A,FALSE,"PMW Canada 99_98";#N/A,#N/A,FALSE,"Währungsabw. 99_98"}</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G" hidden="1">#N/A</definedName>
    <definedName name="ago" hidden="1">{#N/A,#N/A,TRUE,"Cont_Stell";#N/A,#N/A,TRUE,"BTG";#N/A,#N/A,TRUE,"SH";#N/A,#N/A,TRUE,"GUV";#N/A,#N/A,TRUE,"Bilanz";#N/A,#N/A,TRUE,"WC";#N/A,#N/A,TRUE,"Beweg_bil";#N/A,#N/A,TRUE,"Kap_fluß";#N/A,#N/A,TRUE,"KENNZ";#N/A,#N/A,TRUE,"ANALYSE"}</definedName>
    <definedName name="agsgaghgfj" hidden="1">{#N/A,#N/A,FALSE,"Pharm";#N/A,#N/A,FALSE,"WWCM"}</definedName>
    <definedName name="ah" hidden="1">{"detail",#N/A,FALSE,"mfg";"summary",#N/A,FALSE,"mfg"}</definedName>
    <definedName name="ahadhasdgaefhgh" hidden="1">{"'Title Transfer Units6,7,&amp;8'!$A$1:$B$4","'Title Transfer Units6,7,&amp;8'!$C$6"}</definedName>
    <definedName name="ahll"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ida_2" hidden="1">{#N/A,#N/A,FALSE,"Finanzplan";#N/A,#N/A,FALSE,"Bilanz";#N/A,#N/A,FALSE,"GuV"}</definedName>
    <definedName name="Aida_4" hidden="1">{#N/A,#N/A,FALSE,"Finanzplan";#N/A,#N/A,FALSE,"Bilanz";#N/A,#N/A,FALSE,"GuV"}</definedName>
    <definedName name="aim" hidden="1">{#N/A,#N/A,FALSE,"Cover";#N/A,#N/A,FALSE,"Contents-Pg1";#N/A,#N/A,FALSE,"High-Com-pg2";#N/A,#N/A,FALSE,"1 Full";#N/A,#N/A,FALSE,"1chts";#N/A,#N/A,FALSE,"Table 2";#N/A,#N/A,FALSE,"3New Iss";#N/A,#N/A,FALSE,"4Money raised";#N/A,#N/A,FALSE,"5Aim";#N/A,#N/A,FALSE,"AiM charts";#N/A,#N/A,FALSE,"6FT Smll";#N/A,#N/A,FALSE,"11SEATS";#N/A,#N/A,FALSE,"12Notes"}</definedName>
    <definedName name="aimband" hidden="1">{#N/A,#N/A,FALSE,"Cover";#N/A,#N/A,FALSE,"Contents-Pg1";#N/A,#N/A,FALSE,"High-Com-pg2";#N/A,#N/A,FALSE,"1 Full";#N/A,#N/A,FALSE,"1chts";#N/A,#N/A,FALSE,"Table 2";#N/A,#N/A,FALSE,"3New Iss";#N/A,#N/A,FALSE,"4Money raised";#N/A,#N/A,FALSE,"5Aim";#N/A,#N/A,FALSE,"AiM charts";#N/A,#N/A,FALSE,"6FT Smll";#N/A,#N/A,FALSE,"11SEATS";#N/A,#N/A,FALSE,"12Notes"}</definedName>
    <definedName name="aj" hidden="1">{"detail",#N/A,FALSE,"mfg";"summary",#N/A,FALSE,"mfg"}</definedName>
    <definedName name="ajdklaj" hidden="1">#REF!</definedName>
    <definedName name="AJHFkjDGHF" hidden="1">{"Annual_Income",#N/A,FALSE,"Report Page";"Balance_Cash_Flow",#N/A,FALSE,"Report Page";"Quarterly_Income",#N/A,FALSE,"Report Page"}</definedName>
    <definedName name="alb" hidden="1">{#N/A,#N/A,FALSE,"Summary";#N/A,#N/A,FALSE,"Edit";#N/A,#N/A,FALSE,"MedProf";#N/A,#N/A,FALSE,"Proj Mgt";#N/A,#N/A,FALSE,"Creat Svc";#N/A,#N/A,FALSE,"Meet Svc";#N/A,#N/A,FALSE,"Non-OCC";#N/A,#N/A,FALSE,"Client Svc";#N/A,#N/A,FALSE,"Bus Dev";#N/A,#N/A,FALSE,"Indirect"}</definedName>
    <definedName name="alex" hidden="1">{#N/A,#N/A,FALSE,"REPORT"}</definedName>
    <definedName name="alexan" hidden="1">{#N/A,#N/A,FALSE,"REPORT"}</definedName>
    <definedName name="älll" hidden="1">{#N/A,#N/A,FALSE,"Produkte Erw.";#N/A,#N/A,FALSE,"Produkte Plan";#N/A,#N/A,FALSE,"Leistungen Erw.";#N/A,#N/A,FALSE,"Leistungen Plan";#N/A,#N/A,FALSE,"KA Allg.Kosten (2)";#N/A,#N/A,FALSE,"KA All.Kosten"}</definedName>
    <definedName name="ALo" hidden="1">MIN(IF((LEFT(#REF!,LEN(#REF!))=#REF!)*ROW(#REF!)=0,"",(LEFT(#REF!,LEN(#REF!))=#REF!)*ROW(#REF!)))</definedName>
    <definedName name="Alpena" hidden="1">{#N/A,#N/A,FALSE,"10yr Plan Inputs";#N/A,#N/A,FALSE,"10yr Plan Results";#N/A,#N/A,FALSE,"JV Cost Splits";#N/A,#N/A,FALSE,"JV Variable Costs";#N/A,#N/A,FALSE,"JV Fixed Costs";#N/A,#N/A,FALSE,"Dow Alt Cost 98";#N/A,#N/A,FALSE,"Case Summary"}</definedName>
    <definedName name="ALu" hidden="1">MAX((LEFT(#REF!:INDEX(#REF!,#REF!()),LEN(#REF!))=#REF!)*ROW(#REF!:INDEX(#REF!,#REF!())))</definedName>
    <definedName name="AMORTIZATION" hidden="1">"AMORTIZATION"</definedName>
    <definedName name="añ" hidden="1">{"Performance Details",#N/A,FALSE,"Current Yr";"Performance Details",#N/A,FALSE,"Budget";"Performance Details",#N/A,FALSE,"Prior Year"}</definedName>
    <definedName name="ando" hidden="1">{"'下期集計（10.27迄・速報値）'!$Q$16"}</definedName>
    <definedName name="andy" hidden="1">{#N/A,#N/A,FALSE,"REPORT"}</definedName>
    <definedName name="Anja"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nlageverm." hidden="1">{#N/A,#N/A,FALSE,"Aktiva";#N/A,#N/A,FALSE,"Passiva";#N/A,#N/A,FALSE,"guv";#N/A,#N/A,FALSE,"Anl-1";#N/A,#N/A,FALSE,"Anl-2";#N/A,#N/A,FALSE,"Anl-III";#N/A,#N/A,FALSE,"Ta-1-Anh";#N/A,#N/A,FALSE,"Ta-2-Anh";#N/A,#N/A,FALSE,"Ta-3-Anh";#N/A,#N/A,FALSE,"Kontroll-Blatt"}</definedName>
    <definedName name="ANM" hidden="1">{"'comite'!$A$9:$G$44","'comite'!$A$1:$G$6"}</definedName>
    <definedName name="annahmen" hidden="1">{"budget95",#N/A,TRUE,"Tabelle1";"Tab1",#N/A,TRUE,"Tabelle2"}</definedName>
    <definedName name="anotherrange" hidden="1">{#N/A,#N/A,FALSE,"Performance Flash Report"}</definedName>
    <definedName name="anscount" hidden="1">1</definedName>
    <definedName name="anu" hidden="1">{#N/A,#N/A,FALSE,"SUMMARY";#N/A,#N/A,FALSE,"RECEIVABLE";"Report recd",#N/A,FALSE,"RECEIVED"}</definedName>
    <definedName name="anything" hidden="1">{#N/A,#N/A,FALSE,"Output";#N/A,#N/A,FALSE,"Cover Sheet";#N/A,#N/A,FALSE,"Current Mkt. Projections"}</definedName>
    <definedName name="äöäö" hidden="1">{#N/A,#N/A,FALSE,"Umsatz CH";#N/A,#N/A,FALSE,"ER CH";#N/A,#N/A,FALSE,"EA CH (2) ";#N/A,#N/A,FALSE,"EA CH";#N/A,#N/A,FALSE,"EA CH (3) ";#N/A,#N/A,FALSE,"EA CH (4)";#N/A,#N/A,FALSE,"KA CH";#N/A,#N/A,FALSE,"KA CH  (2)";#N/A,#N/A,FALSE,"KA CH  (3)";#N/A,#N/A,FALSE,"KA CH (4)"}</definedName>
    <definedName name="AOCNFTHSDLR" hidden="1">{#N/A,#N/A,FALSE,"정공"}</definedName>
    <definedName name="aof" hidden="1">{"'SIVA Pricing Model'!$A$1:$F$39"}</definedName>
    <definedName name="äopä" hidden="1">{#N/A,#N/A,FALSE,"Layout GuV"}</definedName>
    <definedName name="ap" hidden="1">{"dcfsummary",#N/A,FALSE,"NHY - DCF Valuation";"agriculture",#N/A,FALSE,"NHY - DCF Valuation";"oilgas",#N/A,FALSE,"NHY - DCF Valuation";"oilgastot",#N/A,FALSE,"NHY - DCF Valuation";"lightmetals",#N/A,FALSE,"NHY - DCF Valuation";"petrochemicals",#N/A,FALSE,"NHY - DCF Valuation";"other",#N/A,FALSE,"NHY - DCF Valuation"}</definedName>
    <definedName name="APDX" hidden="1">{#N/A,#N/A,FALSE,"Cover Page";#N/A,#N/A,FALSE,"Facing Page";#N/A,#N/A,FALSE,"Main Page";#N/A,#N/A,FALSE,"Risk-Adjusted";#N/A,#N/A,FALSE,"Profit Improvement"}</definedName>
    <definedName name="Appendix" hidden="1">{#N/A,#N/A,FALSE,"Cover Page";#N/A,#N/A,FALSE,"Facing Page";#N/A,#N/A,FALSE,"Main Page";#N/A,#N/A,FALSE,"Risk-Adjusted";#N/A,#N/A,FALSE,"Profit Improvement"}</definedName>
    <definedName name="appendix4" hidden="1">{#N/A,#N/A,TRUE,"Cover sheet";#N/A,#N/A,TRUE,"Summary";#N/A,#N/A,TRUE,"Key Assumptions";#N/A,#N/A,TRUE,"Profit &amp; Loss";#N/A,#N/A,TRUE,"Balance Sheet";#N/A,#N/A,TRUE,"Cashflow";#N/A,#N/A,TRUE,"IRR";#N/A,#N/A,TRUE,"Ratios";#N/A,#N/A,TRUE,"Debt analysis"}</definedName>
    <definedName name="Apr00" hidden="1">{"Statement of Income",#N/A,TRUE,"Mar99";"Balance Sheet",#N/A,TRUE,"Mar99"}</definedName>
    <definedName name="Apr00TB" hidden="1">{"Statement of Income",#N/A,TRUE,"Mar99";"Balance Sheet",#N/A,TRUE,"Mar99"}</definedName>
    <definedName name="APWREFVCOUGAR" hidden="1">"'CVLT-US"</definedName>
    <definedName name="aq" hidden="1">{"Summary",#N/A,FALSE,"Summary";"A&amp;A's",#N/A,FALSE,"Aids &amp; A's";"MajorWorks",#N/A,FALSE,"Major Works";"EstateImps",#N/A,FALSE,"Estate Imps";"CatC",#N/A,FALSE,"Cat C Voids";"CycProg",#N/A,FALSE,"Cyclical Prog inc MR"}</definedName>
    <definedName name="aqe4h5taet" hidden="1">{"dcfsummary",#N/A,FALSE,"NHY - DCF Valuation";"agriculture",#N/A,FALSE,"NHY - DCF Valuation";"oilgas",#N/A,FALSE,"NHY - DCF Valuation";"oilgastot",#N/A,FALSE,"NHY - DCF Valuation";"lightmetals",#N/A,FALSE,"NHY - DCF Valuation";"petrochemicals",#N/A,FALSE,"NHY - DCF Valuation";"other",#N/A,FALSE,"NHY - DCF Valuation"}</definedName>
    <definedName name="aqw" hidden="1">{#N/A,"PURCHM",FALSE,"Business Analysis";#N/A,"SPADD",FALSE,"Business Analysis"}</definedName>
    <definedName name="ar" hidden="1">{#N/A,#N/A,FALSE,"Aktiva";#N/A,#N/A,FALSE,"Passiva";#N/A,#N/A,FALSE,"guv";#N/A,#N/A,FALSE,"Anl-1";#N/A,#N/A,FALSE,"Anl-2";#N/A,#N/A,FALSE,"Anl-III";#N/A,#N/A,FALSE,"Ta-1-Anh";#N/A,#N/A,FALSE,"Ta-2-Anh";#N/A,#N/A,FALSE,"Ta-3-Anh";#N/A,#N/A,FALSE,"Kontroll-Blatt"}</definedName>
    <definedName name="arancio" hidden="1">{"FY98Q1 var",#N/A,FALSE,"FY98 - Q1";"FY98Q2 var",#N/A,FALSE,"FY98 - Q2";"FY98Q3 var",#N/A,FALSE,"FY98 - Q3";"FY98Q4 var",#N/A,FALSE,"FY98 - Q4"}</definedName>
    <definedName name="are" hidden="1">{#N/A,#N/A,FALSE,"Sheet1"}</definedName>
    <definedName name="areherhdfa" hidden="1">{"dcfsummary",#N/A,FALSE,"NHY - DCF Valuation";"agriculture",#N/A,FALSE,"NHY - DCF Valuation";"oilgas",#N/A,FALSE,"NHY - DCF Valuation";"oilgastot",#N/A,FALSE,"NHY - DCF Valuation";"lightmetals",#N/A,FALSE,"NHY - DCF Valuation";"petrochemicals",#N/A,FALSE,"NHY - DCF Valuation";"other",#N/A,FALSE,"NHY - DCF Valuation"}</definedName>
    <definedName name="areta"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rgsrmsrymas" hidden="1">{"vi1",#N/A,FALSE,"Financial Statements";"vi2",#N/A,FALSE,"Financial Statements";#N/A,#N/A,FALSE,"DCF"}</definedName>
    <definedName name="arhsyhsrth"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rinhalt" hidden="1">{#N/A,#N/A,FALSE,"Aktiva";#N/A,#N/A,FALSE,"Passiva";#N/A,#N/A,FALSE,"guv";#N/A,#N/A,FALSE,"Anl-1";#N/A,#N/A,FALSE,"Anl-2";#N/A,#N/A,FALSE,"Anl-III";#N/A,#N/A,FALSE,"Ta-1-Anh";#N/A,#N/A,FALSE,"Ta-2-Anh";#N/A,#N/A,FALSE,"Ta-3-Anh";#N/A,#N/A,FALSE,"Kontroll-Blatt"}</definedName>
    <definedName name="arjagnargna" hidden="1">{#N/A,#N/A,FALSE,"ACQ_GRAPHS";#N/A,#N/A,FALSE,"T_1 GRAPHS";#N/A,#N/A,FALSE,"T_2 GRAPHS";#N/A,#N/A,FALSE,"COMB_GRAPHS"}</definedName>
    <definedName name="arm" hidden="1">#REF!</definedName>
    <definedName name="arne" hidden="1">{"dcfsummary",#N/A,FALSE,"NHY - DCF Valuation";"agriculture",#N/A,FALSE,"NHY - DCF Valuation";"oilgas",#N/A,FALSE,"NHY - DCF Valuation";"oilgastot",#N/A,FALSE,"NHY - DCF Valuation";"lightmetals",#N/A,FALSE,"NHY - DCF Valuation";"petrochemicals",#N/A,FALSE,"NHY - DCF Valuation";"other",#N/A,FALSE,"NHY - DCF Valuation"}</definedName>
    <definedName name="Art">#REF!</definedName>
    <definedName name="arta"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rtajtajea" hidden="1">{#N/A,#N/A,FALSE,"Valuation Assumptions";#N/A,#N/A,FALSE,"Summary";#N/A,#N/A,FALSE,"DCF";#N/A,#N/A,FALSE,"Valuation";#N/A,#N/A,FALSE,"WACC";#N/A,#N/A,FALSE,"UBVH";#N/A,#N/A,FALSE,"Free Cash Flow"}</definedName>
    <definedName name="artjawrja" hidden="1">{#N/A,#N/A,FALSE,"INPUTS";#N/A,#N/A,FALSE,"PROFORMA BSHEET";#N/A,#N/A,FALSE,"COMBINED";#N/A,#N/A,FALSE,"HIGH YIELD";#N/A,#N/A,FALSE,"COMB_GRAPHS"}</definedName>
    <definedName name="as" hidden="1">TEXT([0]!sve,"T.M.JJJJ")</definedName>
    <definedName name="AS2DocOpenMode" hidden="1">"AS2DocumentEdit"</definedName>
    <definedName name="AS2HasNoAutoHeaderFooter" hidden="1">" "</definedName>
    <definedName name="AS2NamedRange" hidden="1">6</definedName>
    <definedName name="AS2ReportLS" hidden="1">1</definedName>
    <definedName name="AS2StaticLS" hidden="1">#REF!</definedName>
    <definedName name="AS2SyncStepLS" hidden="1">0</definedName>
    <definedName name="AS2TaxWorkpaper" hidden="1">" "</definedName>
    <definedName name="AS2TickmarkLS" hidden="1">#REF!</definedName>
    <definedName name="AS2VersionLS" hidden="1">300</definedName>
    <definedName name="asa" hidden="1">#N/A</definedName>
    <definedName name="asad" hidden="1">{"away stand alones",#N/A,FALSE,"Target"}</definedName>
    <definedName name="ASaQSS"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asas" hidden="1">{#N/A,#N/A,FALSE,"Pharm";#N/A,#N/A,FALSE,"WWCM"}</definedName>
    <definedName name="asasas" hidden="1">{"comp1",#N/A,FALSE,"COMPS";"footnotes",#N/A,FALSE,"COMPS"}</definedName>
    <definedName name="asd"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asdas" hidden="1">{#N/A,#N/A,FALSE,"ADNAMES.XLS";#N/A,#N/A,FALSE,"EQNAMES.XLS";#N/A,#N/A,FALSE,"INNAMES.XLS";#N/A,#N/A,FALSE,"HYNAMES.XLS";#N/A,#N/A,FALSE,"FIXNAMES.XLS";#N/A,#N/A,FALSE,"MONNAMES.XLS";#N/A,#N/A,FALSE,"TECNAMES.XLS"}</definedName>
    <definedName name="asdas1" hidden="1">{#N/A,#N/A,FALSE,"Performance Flash Report"}</definedName>
    <definedName name="asdas2" hidden="1">{#N/A,#N/A,FALSE,"Performance Flash Report"}</definedName>
    <definedName name="asdasd" hidden="1">{"toc1",#N/A,FALSE,"TOC";"cover",#N/A,FALSE,"Cover";"ts1",#N/A,FALSE,"Transaction Summary";"ei3",#N/A,FALSE,"Earnings Impact";"ad3",#N/A,FALSE,"accretion dilution"}</definedName>
    <definedName name="asdasda" hidden="1">{"Teilenummer","Auftragsnummer","Bedarfsnummer","Ist-Menge","Ist-Datum","Sortierbegriff Bedar","Auftragsstatus","Teilenummer","Benennung 1","Benennung 2","Zeichnungsnummer","POSITIONSNUMMER"}</definedName>
    <definedName name="asdasdfa" hidden="1">{#N/A,#N/A,FALSE,"Mittelherkunft";#N/A,#N/A,FALSE,"Mittelverwendung"}</definedName>
    <definedName name="asdd" hidden="1">#REF!</definedName>
    <definedName name="asdde"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ASDDGGHHH" hidden="1">{"'Data'!$A$1:$D$17"}</definedName>
    <definedName name="asdf" hidden="1">{#N/A,#N/A,FALSE,"Calc";#N/A,#N/A,FALSE,"Sensitivity";#N/A,#N/A,FALSE,"LT Earn.Dil.";#N/A,#N/A,FALSE,"Dil. AVP"}</definedName>
    <definedName name="asdf.kjahsdf" hidden="1">{"'Title Transfer Units6,7,&amp;8'!$A$1:$B$4","'Title Transfer Units6,7,&amp;8'!$C$6"}</definedName>
    <definedName name="asdf1" hidden="1">#REF!</definedName>
    <definedName name="asdf23r23r"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 hidden="1">{#N/A,#N/A,FALSE,"10yr Plan Inputs";#N/A,#N/A,FALSE,"10yr Plan Results";#N/A,#N/A,FALSE,"JV Cost Splits";#N/A,#N/A,FALSE,"JV Variable Costs";#N/A,#N/A,FALSE,"JV Fixed Costs";#N/A,#N/A,FALSE,"Dow Alt Cost 98";#N/A,#N/A,FALSE,"Case Summary"}</definedName>
    <definedName name="asdfadf" hidden="1">#REF!</definedName>
    <definedName name="asdfadfsdaf2" hidden="1">{#N/A,#N/A,FALSE,"Index";#N/A,#N/A,FALSE,"1.1";#N/A,#N/A,FALSE,"Scenario Summary"}</definedName>
    <definedName name="asdfadg"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 hidden="1">{#N/A,#N/A,FALSE,"Inputs";#N/A,#N/A,FALSE,"10yr Plan";#N/A,#N/A,FALSE,"JV_Costs";#N/A,#N/A,FALSE,"Case Summary";#N/A,#N/A,FALSE,"Prdn";#N/A,#N/A,FALSE,"Variable"}</definedName>
    <definedName name="asdfadsf" hidden="1">{"'Sheet1'!$A$1:$J$121"}</definedName>
    <definedName name="asdfadsfa" hidden="1">{"'Title Transfer Units6,7,&amp;8'!$A$1:$B$4","'Title Transfer Units6,7,&amp;8'!$C$6"}</definedName>
    <definedName name="asdfadsfgr45"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lkjadf" hidden="1">{"'Title Transfer Units6,7,&amp;8'!$A$1:$B$4","'Title Transfer Units6,7,&amp;8'!$C$6"}</definedName>
    <definedName name="asdfasd" hidden="1">"c1376"</definedName>
    <definedName name="asdfasd645tw54"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asdf" hidden="1">{#N/A,#N/A,FALSE,"CBE";#N/A,#N/A,FALSE,"SWK"}</definedName>
    <definedName name="asdfasdfasd" hidden="1">{"ReportTop",#N/A,FALSE,"report top"}</definedName>
    <definedName name="asdfasdfasdf" hidden="1">{"comp1",#N/A,FALSE,"COMPS";"footnotes",#N/A,FALSE,"COMPS"}</definedName>
    <definedName name="asdfasdfsad" hidden="1">{#N/A,#N/A,FALSE,"output";#N/A,#N/A,FALSE,"contrib";#N/A,#N/A,FALSE,"profile";#N/A,#N/A,FALSE,"comps"}</definedName>
    <definedName name="asdfasdre" hidden="1">{TRUE,TRUE,-1.25,-15.5,604.5,369,FALSE,FALSE,TRUE,TRUE,0,1,83,1,38,4,5,4,TRUE,TRUE,3,TRUE,1,TRUE,75,"Swvu.inputs._.raw._.data.","ACwvu.inputs._.raw._.data.",#N/A,FALSE,FALSE,0.5,0.5,0.5,0.5,2,"&amp;F","&amp;A&amp;RPage &amp;P",FALSE,FALSE,FALSE,FALSE,1,60,#N/A,#N/A,"=R1C61:R53C89","=C1:C5",#N/A,#N/A,FALSE,FALSE,FALSE,1,600,600,FALSE,FALSE,TRUE,TRUE,TRUE}</definedName>
    <definedName name="asdfasf" hidden="1">38939.6653819444</definedName>
    <definedName name="asdfdd" hidden="1">{"mgmt forecast",#N/A,FALSE,"Mgmt Forecast";"dcf table",#N/A,FALSE,"Mgmt Forecast";"sensitivity",#N/A,FALSE,"Mgmt Forecast";"table inputs",#N/A,FALSE,"Mgmt Forecast";"calculations",#N/A,FALSE,"Mgmt Forecast"}</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g" hidden="1">{#N/A,#N/A,FALSE,"Pharm";#N/A,#N/A,FALSE,"WWCM"}</definedName>
    <definedName name="asdfgh" hidden="1">{#N/A,#N/A,FALSE,"Staffnos &amp; cost"}</definedName>
    <definedName name="ASDFGHJKK" hidden="1">{"Fiesta Facer Page",#N/A,FALSE,"Q_C_S";"Fiesta Main Page",#N/A,FALSE,"V_L";"Fiesta 95BP Struct",#N/A,FALSE,"StructBP";"Fiesta Post 95BP Struct",#N/A,FALSE,"AdjStructBP"}</definedName>
    <definedName name="asdfgkj" hidden="1">{#N/A,#N/A,FALSE,"단축1";#N/A,#N/A,FALSE,"단축2";#N/A,#N/A,FALSE,"단축3";#N/A,#N/A,FALSE,"장축";#N/A,#N/A,FALSE,"4WD"}</definedName>
    <definedName name="asdfgsdfgsfdg54"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qwef"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freghrsgd" hidden="1">{#N/A,#N/A,TRUE,"Historicals";#N/A,#N/A,TRUE,"Charts";#N/A,#N/A,TRUE,"Forecasts"}</definedName>
    <definedName name="asdfsa" hidden="1">{#N/A,#N/A,FALSE,"Performance Flash Report"}</definedName>
    <definedName name="asdfsadf" hidden="1">{#N/A,#N/A,FALSE,"Index";#N/A,#N/A,FALSE,"1.1";#N/A,#N/A,FALSE,"Scenario Summary"}</definedName>
    <definedName name="asdfsadfsdaf" hidden="1">{#N/A,#N/A,FALSE,"Index";#N/A,#N/A,FALSE,"1.1";#N/A,#N/A,FALSE,"Scenario Summary"}</definedName>
    <definedName name="asdfsdafdsafdsaf" hidden="1">{#N/A,#N/A,FALSE,"Index";#N/A,#N/A,FALSE,"1.1";#N/A,#N/A,FALSE,"Scenario Summary"}</definedName>
    <definedName name="asdfsdf" hidden="1">{#N/A,#N/A,FALSE,"Table of Contents"}</definedName>
    <definedName name="asdfw" hidden="1">{"indirect labor",#N/A,FALSE,"labor"}</definedName>
    <definedName name="asdfwe" hidden="1">{#N/A,#N/A,TRUE,"Historicals";#N/A,#N/A,TRUE,"Charts";#N/A,#N/A,TRUE,"Forecasts"}</definedName>
    <definedName name="asdfwer" hidden="1">{#N/A,#N/A,FALSE,"Layout Aktiva";#N/A,#N/A,FALSE,"Layout Passiva";#N/A,#N/A,FALSE,"Layout GuV";#N/A,#N/A,FALSE,"Layout Cash Flow";#N/A,#N/A,FALSE,"Mittelherkunft";#N/A,#N/A,FALSE,"Mittelverwendung";#N/A,#N/A,FALSE,"Finanzbedarfsrechnung"}</definedName>
    <definedName name="asdg5we5rg"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fgew" hidden="1">{"dcfsummary",#N/A,FALSE,"NHY - DCF Valuation";"agriculture",#N/A,FALSE,"NHY - DCF Valuation";"oilgas",#N/A,FALSE,"NHY - DCF Valuation";"oilgastot",#N/A,FALSE,"NHY - DCF Valuation";"lightmetals",#N/A,FALSE,"NHY - DCF Valuation";"petrochemicals",#N/A,FALSE,"NHY - DCF Valuation";"other",#N/A,FALSE,"NHY - DCF Valuation"}</definedName>
    <definedName name="asdgahdfhth" hidden="1">{#N/A,#N/A,FALSE,"REPORT"}</definedName>
    <definedName name="asdgasfkjdkjlf" hidden="1">{"'Title Transfer Units6,7,&amp;8'!$A$1:$B$4","'Title Transfer Units6,7,&amp;8'!$C$6"}</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rae" hidden="1">#REF!</definedName>
    <definedName name="asds" hidden="1">{#N/A,#N/A,FALSE,"Umsatz CH";#N/A,#N/A,FALSE,"ER CH";#N/A,#N/A,FALSE,"EA CH (2) ";#N/A,#N/A,FALSE,"EA CH";#N/A,#N/A,FALSE,"EA CH (3) ";#N/A,#N/A,FALSE,"EA CH (4)";#N/A,#N/A,FALSE,"KA CH";#N/A,#N/A,FALSE,"KA CH  (2)";#N/A,#N/A,FALSE,"KA CH  (3)";#N/A,#N/A,FALSE,"KA CH (4)"}</definedName>
    <definedName name="asdsa" hidden="1">{"FY97Tot nvs",#N/A,FALSE,"FY97 - Total";"FY98Tot nvs",#N/A,FALSE,"FY98 - Total"}</definedName>
    <definedName name="asdsad" hidden="1">{"consolidated",#N/A,FALSE,"Sheet1";"cms",#N/A,FALSE,"Sheet1";"fse",#N/A,FALSE,"Sheet1"}</definedName>
    <definedName name="asdse" hidden="1">{#N/A,#N/A,FALSE,"Model";#N/A,#N/A,FALSE,"Division"}</definedName>
    <definedName name="asdtf" hidden="1">{"'Standalone List Price Trends'!$A$1:$X$56"}</definedName>
    <definedName name="ase" hidden="1">{"Tages_D",#N/A,FALSE,"Tagesbericht";"Tages_PL",#N/A,FALSE,"Tagesbericht"}</definedName>
    <definedName name="ased" hidden="1">{"Tages_D",#N/A,FALSE,"Tagesbericht";"Tages_PL",#N/A,FALSE,"Tagesbericht"}</definedName>
    <definedName name="asedfdf" hidden="1">{"apci",#N/A,FALSE,"Chem_CY";"eastman",#N/A,FALSE,"Eastman";"betz",#N/A,FALSE,"Betz";"great lakes",#N/A,FALSE,"Great_Lakes";"hercules",#N/A,FALSE,"Hercules Chem Seg Data";"rohm",#N/A,FALSE,"Rohm";"union carbide",#N/A,FALSE,"Union";"witco",#N/A,FALSE,"Witco"}</definedName>
    <definedName name="aser" hidden="1">{"FY97Tot nvs",#N/A,FALSE,"FY97 - Total";"FY98Tot nvs",#N/A,FALSE,"FY98 - Total"}</definedName>
    <definedName name="a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fadsf" hidden="1">{"ONE",#N/A,FALSE,"96DDCOD";"TWO",#N/A,FALSE,"96DDCOD"}</definedName>
    <definedName name="asfasdf" hidden="1">#REF!</definedName>
    <definedName name="ASFD" hidden="1">{#N/A,#N/A,FALSE,"인원";#N/A,#N/A,FALSE,"비용2";#N/A,#N/A,FALSE,"비용1";#N/A,#N/A,FALSE,"비용";#N/A,#N/A,FALSE,"보증2";#N/A,#N/A,FALSE,"보증1";#N/A,#N/A,FALSE,"보증";#N/A,#N/A,FALSE,"손익1";#N/A,#N/A,FALSE,"손익";#N/A,#N/A,FALSE,"부서별매출";#N/A,#N/A,FALSE,"매출"}</definedName>
    <definedName name="asffghujyki" hidden="1">{#N/A,#N/A,FALSE,"Pharm";#N/A,#N/A,FALSE,"WWCM"}</definedName>
    <definedName name="asfg" hidden="1">{#N/A,#N/A,TRUE,"Cover sheet";#N/A,#N/A,TRUE,"Summary";#N/A,#N/A,TRUE,"Key Assumptions";#N/A,#N/A,TRUE,"Profit &amp; Loss";#N/A,#N/A,TRUE,"Balance Sheet";#N/A,#N/A,TRUE,"Cashflow";#N/A,#N/A,TRUE,"IRR";#N/A,#N/A,TRUE,"Ratios";#N/A,#N/A,TRUE,"Debt analysis"}</definedName>
    <definedName name="asgf" hidden="1">{#N/A,#N/A,FALSE,"Sheet1"}</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dasgasdg" hidden="1">{"'Standalone List Price Trends'!$A$1:$X$56"}</definedName>
    <definedName name="asghx" hidden="1">{"DCF","UPSIDE CASE",FALSE,"Sheet1";"DCF","BASE CASE",FALSE,"Sheet1";"DCF","DOWNSIDE CASE",FALSE,"Sheet1"}</definedName>
    <definedName name="ash" hidden="1">{#N/A,#N/A,TRUE,"Staffnos &amp; cost"}</definedName>
    <definedName name="asjdlksaj" hidden="1">{"'Data'!$A$1:$D$17"}</definedName>
    <definedName name="askdjfhaskjf" hidden="1">{#N/A,#N/A,FALSE,"Cover";#N/A,#N/A,FALSE,"Profits";#N/A,#N/A,FALSE,"ABS";#N/A,#N/A,FALSE,"TFLE Detail";#N/A,#N/A,FALSE,"TFLE Walk";#N/A,#N/A,FALSE,"Variable Cost";#N/A,#N/A,FALSE,"V.C. Walk"}</definedName>
    <definedName name="askjdb" hidden="1">{"HEADCOUNT",#N/A,FALSE,"labor"}</definedName>
    <definedName name="asqq" hidden="1">{"Performance Details",#N/A,FALSE,"Current Yr";"Performance Details",#N/A,FALSE,"Budget";"Performance Details",#N/A,FALSE,"Prior Year"}</definedName>
    <definedName name="ASR" hidden="1">{"SUM GER",#N/A,FALSE,"SUM GER";"SUM FRA",#N/A,FALSE,"SUM FRA";"SUM ITA",#N/A,FALSE,"SUM ITA";"SUM SPA",#N/A,FALSE,"SUM SPA";"SUM EGB",#N/A,FALSE,"SUM EGB";"SUM IND",#N/A,FALSE,"SUM IND"}</definedName>
    <definedName name="ass" hidden="1">{#N/A,#N/A,FALSE,"Balance Sheet";#N/A,#N/A,FALSE,"Income Statement";#N/A,#N/A,FALSE,"Changes in Financial Position"}</definedName>
    <definedName name="ASSA" hidden="1">{#N/A,#N/A,FALSE,"1";#N/A,#N/A,FALSE,"2";#N/A,#N/A,FALSE,"16 - 17";#N/A,#N/A,FALSE,"18 - 19";#N/A,#N/A,FALSE,"26";#N/A,#N/A,FALSE,"27";#N/A,#N/A,FALSE,"28"}</definedName>
    <definedName name="assd" hidden="1">{1;"Konsol_Eingabe";2;"Konsol_Ausgabe";"Yellow";"No value";TRUE}</definedName>
    <definedName name="ASSET_TURNS" hidden="1">"ASSET_TURNS"</definedName>
    <definedName name="Assets_Baxter_FooterType" hidden="1">"INTERNAL"</definedName>
    <definedName name="Assets_Bieffe_FooterType" hidden="1">"INTERNAL"</definedName>
    <definedName name="Assets_CVG_FooterType" hidden="1">"INTERNAL"</definedName>
    <definedName name="Assump_FooterType" hidden="1">"INTERNAL"</definedName>
    <definedName name="Assumptions_2" hidden="1">{"'Form'!$A$2:$J$81"}</definedName>
    <definedName name="ASSY" hidden="1">{#N/A,#N/A,FALSE,"단축1";#N/A,#N/A,FALSE,"단축2";#N/A,#N/A,FALSE,"단축3";#N/A,#N/A,FALSE,"장축";#N/A,#N/A,FALSE,"4WD"}</definedName>
    <definedName name="aswe" hidden="1">{"TXO2N2_GP",#N/A,FALSE,"MTHLYGP";"TXH2_GP",#N/A,FALSE,"MTHLYGP";"LOUIS_GP",#N/A,FALSE,"MTHLYGP";"H2_GP",#N/A,FALSE,"MTHLYGP";"O2N2_GP",#N/A,FALSE,"MTHLYGP";"PACKAGE_GP",#N/A,FALSE,"MTHLYGP";"OTHER_GP",#N/A,FALSE,"MTHLYGP"}</definedName>
    <definedName name="at" hidden="1">{"dcfsummary",#N/A,FALSE,"NHY - DCF Valuation";"agriculture",#N/A,FALSE,"NHY - DCF Valuation";"oilgas",#N/A,FALSE,"NHY - DCF Valuation";"oilgastot",#N/A,FALSE,"NHY - DCF Valuation";"lightmetals",#N/A,FALSE,"NHY - DCF Valuation";"petrochemicals",#N/A,FALSE,"NHY - DCF Valuation";"other",#N/A,FALSE,"NHY - DCF Valuation"}</definedName>
    <definedName name="ata" hidden="1">#N/A</definedName>
    <definedName name="atahd"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ATES" hidden="1">{"Y.1",#N/A,TRUE,"SIEMENS";"Y.2",#N/A,TRUE,"ALCATEL";"Y.3",#N/A,TRUE,"MOTOROLA";"Y.4",#N/A,TRUE,"DİĞER";"Y.5",#N/A,TRUE,"LG-5";"Y.6",#N/A,TRUE,"LG-5";"Y.7",#N/A,TRUE,"LG-4";"Y.8",#N/A,TRUE,"LG-4";"Y.10",#N/A,TRUE,"LG-4";"Y.9",#N/A,TRUE,"LG-4";"TERMİNAL",#N/A,TRUE,"TERMİNAL";"DETECON",#N/A,TRUE,"DETECON";"Y.10",#N/A,TRUE,"TEMİNAT";"Y.11",#N/A,TRUE,"TEMİNAT"}</definedName>
    <definedName name="atgwe" hidden="1">{#N/A,#N/A,TRUE,"Cover sheet";#N/A,#N/A,TRUE,"Summary";#N/A,#N/A,TRUE,"Key Assumptions";#N/A,#N/A,TRUE,"Profit &amp; Loss";#N/A,#N/A,TRUE,"Balance Sheet";#N/A,#N/A,TRUE,"Cashflow";#N/A,#N/A,TRUE,"IRR";#N/A,#N/A,TRUE,"Ratios";#N/A,#N/A,TRUE,"Debt analysis"}</definedName>
    <definedName name="athsthae" hidden="1">{#N/A,#N/A,FALSE,"INPUTS";#N/A,#N/A,FALSE,"PROFORMA BSHEET";#N/A,#N/A,FALSE,"COMBINED";#N/A,#N/A,FALSE,"HIGH YIELD";#N/A,#N/A,FALSE,"COMB_GRAPHS"}</definedName>
    <definedName name="atjwerja" hidden="1">{#N/A,#N/A,FALSE,"Valuation Assumptions";#N/A,#N/A,FALSE,"Summary";#N/A,#N/A,FALSE,"DCF";#N/A,#N/A,FALSE,"Valuation";#N/A,#N/A,FALSE,"WACC";#N/A,#N/A,FALSE,"UBVH";#N/A,#N/A,FALSE,"Free Cash Flow"}</definedName>
    <definedName name="atnantea" hidden="1">{"dcfsummary",#N/A,FALSE,"NHY - DCF Valuation";"agriculture",#N/A,FALSE,"NHY - DCF Valuation";"oilgas",#N/A,FALSE,"NHY - DCF Valuation";"oilgastot",#N/A,FALSE,"NHY - DCF Valuation";"lightmetals",#N/A,FALSE,"NHY - DCF Valuation";"petrochemicals",#N/A,FALSE,"NHY - DCF Valuation";"other",#N/A,FALSE,"NHY - DCF Valuation"}</definedName>
    <definedName name="ATSeXToEUR" hidden="1">1/EUReXToATS</definedName>
    <definedName name="att" hidden="1">{#N/A,#N/A,FALSE,"COVER PAGE";#N/A,#N/A,FALSE,"Page 2";#N/A,#N/A,FALSE,"Page 2";#N/A,#N/A,FALSE,"Page 4";#N/A,#N/A,FALSE,"Page5";#N/A,#N/A,FALSE,"Page 6";#N/A,#N/A,FALSE,"Page 7";#N/A,#N/A,FALSE,"Page 8";#N/A,#N/A,FALSE,"Page 10";#N/A,#N/A,FALSE,"Long-Term OCF Mult.";#N/A,#N/A,FALSE,"PCS Comp";#N/A,#N/A,FALSE,"OCS-CAPEX";#N/A,#N/A,FALSE,"Blank"}</definedName>
    <definedName name="Aug" hidden="1">{#N/A,#N/A,FALSE,"Staffnos &amp; cost"}</definedName>
    <definedName name="AUSENT" hidden="1">{"'Data'!$A$1:$D$17"}</definedName>
    <definedName name="AustinTest"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wertungsBereichsName" hidden="1">#REF!</definedName>
    <definedName name="AuszAnleihenKred" hidden="1">#REF!</definedName>
    <definedName name="AuszAnleihenKred_" hidden="1">#REF!</definedName>
    <definedName name="AuszAnleihenKredN" hidden="1">#REF!</definedName>
    <definedName name="AuszBeschaeftigte" hidden="1">#REF!</definedName>
    <definedName name="AuszBeschaeftigte_" hidden="1">#REF!</definedName>
    <definedName name="AuszBeschaeftigteN" hidden="1">#REF!</definedName>
    <definedName name="AuszFAVInvest" hidden="1">#REF!</definedName>
    <definedName name="AuszFAVInvest_" hidden="1">#REF!</definedName>
    <definedName name="AuszFAVInvestN" hidden="1">#REF!</definedName>
    <definedName name="AuszImmatVerm" hidden="1">#REF!</definedName>
    <definedName name="AuszImmatVerm_" hidden="1">[4]DATENHALTUNG!$AK$48</definedName>
    <definedName name="AuszImmatVermN" hidden="1">#REF!</definedName>
    <definedName name="AuszKfrFinDisp" hidden="1">#REF!</definedName>
    <definedName name="AuszKfrFinDisp_" hidden="1">#REF!</definedName>
    <definedName name="AuszKfrFinDispN" hidden="1">#REF!</definedName>
    <definedName name="AuszLieferanten" hidden="1">#REF!</definedName>
    <definedName name="AuszLieferanten_" hidden="1">#REF!</definedName>
    <definedName name="AuszLieferantenN" hidden="1">#REF!</definedName>
    <definedName name="AuszSAVInvest" hidden="1">#REF!</definedName>
    <definedName name="AuszSAVInvest_" hidden="1">#REF!</definedName>
    <definedName name="AuszSAVInvestN" hidden="1">#REF!</definedName>
    <definedName name="AuszUnternEigner" hidden="1">#REF!</definedName>
    <definedName name="AuszUnternEigner_" hidden="1">#REF!</definedName>
    <definedName name="AuszUnternEignerN" hidden="1">#REF!</definedName>
    <definedName name="Author" hidden="1">"Kirill Lapin"</definedName>
    <definedName name="AUto1" hidden="1">{#N/A,#N/A,FALSE,"Sheet1"}</definedName>
    <definedName name="automobi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VB" hidden="1">Main.SAPF4Help()</definedName>
    <definedName name="avdd" hidden="1">{#N/A,#N/A,FALSE,"Calc";#N/A,#N/A,FALSE,"Sensitivity";#N/A,#N/A,FALSE,"LT Earn.Dil.";#N/A,#N/A,FALSE,"Dil. AVP"}</definedName>
    <definedName name="ave"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gmultiple" hidden="1">#REF!</definedName>
    <definedName name="AVIR" hidden="1">{#N/A,#N/A,FALSE,"Staffnos &amp; cost"}</definedName>
    <definedName name="aw" hidden="1">{"dcfsummary",#N/A,FALSE,"NHY - DCF Valuation";"agriculture",#N/A,FALSE,"NHY - DCF Valuation";"oilgas",#N/A,FALSE,"NHY - DCF Valuation";"oilgastot",#N/A,FALSE,"NHY - DCF Valuation";"lightmetals",#N/A,FALSE,"NHY - DCF Valuation";"petrochemicals",#N/A,FALSE,"NHY - DCF Valuation";"other",#N/A,FALSE,"NHY - DCF Valuation"}</definedName>
    <definedName name="AWE" hidden="1">{#N/A,#N/A,FALSE,"초도품";#N/A,#N/A,FALSE,"초도품 (2)";#N/A,#N/A,FALSE,"초도품 (3)";#N/A,#N/A,FALSE,"초도품 (4)";#N/A,#N/A,FALSE,"초도품 (5)";#N/A,#N/A,FALSE,"초도품 (6)"}</definedName>
    <definedName name="aweraer" hidden="1">{#N/A,#N/A,FALSE,"5yr.hist."}</definedName>
    <definedName name="awerfawer" hidden="1">{"direct labor",#N/A,FALSE,"labor";"direct labor1",#N/A,FALSE,"labor"}</definedName>
    <definedName name="aweroiu" hidden="1">{"'SIVA Pricing Model'!$A$1:$F$39"}</definedName>
    <definedName name="awert" hidden="1">{#N/A,#N/A,FALSE,"ORIX CSC"}</definedName>
    <definedName name="awerwer" hidden="1">{"HEADCOUNT",#N/A,FALSE,"labor"}</definedName>
    <definedName name="awq" hidden="1">{"YTD",#N/A,FALSE,"SUM"}</definedName>
    <definedName name="awqe" hidden="1">{"net assets",#N/A,FALSE,"summary";"asset turnover",#N/A,FALSE,"summary";"orona",#N/A,FALSE,"summary"}</definedName>
    <definedName name="awqx" hidden="1">{"Comp_of_Price_Effect",#N/A,FALSE,"QTRDPVAR"}</definedName>
    <definedName name="awreport" hidden="1">{"Summary",#N/A,FALSE,"Summary";"A&amp;A's",#N/A,FALSE,"Aids &amp; A's";"MajorWorks",#N/A,FALSE,"Major Works";"EstateImps",#N/A,FALSE,"Estate Imps";"CatC",#N/A,FALSE,"Cat C Voids";"CycProg",#N/A,FALSE,"Cyclical Prog inc MR"}</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w" hidden="1">{#N/A,#N/A,FALSE,"Title Page";#N/A,#N/A,FALSE,"Summary Sheet";#N/A,#N/A,FALSE,"Fiscal Year Income Statement";#N/A,#N/A,FALSE,"Valuation Summary";#N/A,#N/A,FALSE,"Comps with IVT";#N/A,#N/A,FALSE,"Comps without IVT"}</definedName>
    <definedName name="awww" hidden="1">{#N/A,#N/A,FALSE,"Index";#N/A,#N/A,FALSE,"IncStmt";#N/A,#N/A,FALSE,"Ratios";#N/A,#N/A,FALSE,"CashFlows";#N/A,#N/A,FALSE,"Ins1";#N/A,#N/A,FALSE,"Ins2";#N/A,#N/A,FALSE,"SelfFund";#N/A,#N/A,FALSE,"SGA";#N/A,#N/A,FALSE,"Recon";#N/A,#N/A,FALSE,"Earnings";#N/A,#N/A,FALSE,"Earnings (2)";#N/A,#N/A,FALSE,"Stock";#N/A,#N/A,FALSE,"Stock (2)";#N/A,#N/A,FALSE,"PeerRatios";#N/A,#N/A,FALSE,"PeerRanks"}</definedName>
    <definedName name="AX" hidden="1">{#N/A,#N/A,FALSE,"Pharm";#N/A,#N/A,FALSE,"WWCM"}</definedName>
    <definedName name="axcdf" hidden="1">{#N/A,#N/A,FALSE,"정공"}</definedName>
    <definedName name="AXD" hidden="1">{#N/A,#N/A,FALSE,"초도품";#N/A,#N/A,FALSE,"초도품 (2)";#N/A,#N/A,FALSE,"초도품 (3)";#N/A,#N/A,FALSE,"초도품 (4)";#N/A,#N/A,FALSE,"초도품 (5)";#N/A,#N/A,FALSE,"초도품 (6)"}</definedName>
    <definedName name="axs" hidden="1">{"QTD",#N/A,FALSE,"SUM"}</definedName>
    <definedName name="axz" hidden="1">{#N/A,"PURCHM",FALSE,"Business Analysis";#N/A,"SPADD",FALSE,"Business Analysis"}</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{#N/A,#N/A,FALSE,"Pharm";#N/A,#N/A,FALSE,"WWCM"}</definedName>
    <definedName name="azeazr" hidden="1">{#N/A,#N/A,FALSE,"Sales Graph";#N/A,#N/A,FALSE,"BUC Graph";#N/A,#N/A,FALSE,"P&amp;L - YTD"}</definedName>
    <definedName name="azerety" hidden="1">{#N/A,#N/A,FALSE,"Pharm";#N/A,#N/A,FALSE,"WWCM"}</definedName>
    <definedName name="azrzar"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b" hidden="1">{#N/A,#N/A,FALSE,"Layout Aktiva";#N/A,#N/A,FALSE,"Layout Passiva"}</definedName>
    <definedName name="B1.1" hidden="1">#REF!</definedName>
    <definedName name="ba" hidden="1">{"IS",#N/A,FALSE,"IS";"RPTIS",#N/A,FALSE,"RPTIS";"STATS",#N/A,FALSE,"STATS";"CELL",#N/A,FALSE,"CELL";"BS",#N/A,FALSE,"BS"}</definedName>
    <definedName name="baba" hidden="1">{"A_Vorstand",#N/A,TRUE,"PK Szenario ";"B_Nord",#N/A,TRUE,"PK Szenario ";"C_Nordwest",#N/A,TRUE,"PK Szenario ";"D_West",#N/A,TRUE,"PK Szenario ";"E_Südwest",#N/A,TRUE,"PK Szenario ";"F_Süd",#N/A,TRUE,"PK Szenario ";"G_Ost",#N/A,TRUE,"PK Szenario ";"H_Gesamt",#N/A,TRUE,"PK Szenario "}</definedName>
    <definedName name="bacd1101bd" hidden="1">{#N/A,"PURCHM",FALSE,"Business Analysis";#N/A,"SPADD",FALSE,"Business Analysis"}</definedName>
    <definedName name="bacd31" hidden="1">{#N/A,"PURCHM",FALSE,"Business Analysis";#N/A,"SPADD",FALSE,"Business Analysis"}</definedName>
    <definedName name="bacd31bd" hidden="1">{#N/A,"PURCHM",FALSE,"Business Analysis";#N/A,"SPADD",FALSE,"Business Analysis"}</definedName>
    <definedName name="back" hidden="1">{"fdb1_Rapport_Report",#N/A,FALSE,"Report"}</definedName>
    <definedName name="back2" hidden="1">{"fdb2_print",#N/A,FALSE,"Report"}</definedName>
    <definedName name="backup_yo" hidden="1">{"fdb1_Rapport_Report",#N/A,FALSE,"Report"}</definedName>
    <definedName name="backup2_yo" hidden="1">{"fdb2_print",#N/A,FALSE,"Report"}</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se_rate" localSheetId="55">#REF!</definedName>
    <definedName name="base_rate">#REF!</definedName>
    <definedName name="base_rate_monthly" localSheetId="55">#REF!</definedName>
    <definedName name="base_rate_monthly">#REF!</definedName>
    <definedName name="BASIC_EPS_EXCL" hidden="1">"BASIC_EPS_EXCL"</definedName>
    <definedName name="BASIC_EPS_INCL" hidden="1">"BASIC_EPS_INCL"</definedName>
    <definedName name="BASIC_NORMAL_EPS" hidden="1">"BASIC_NORMAL_EPS"</definedName>
    <definedName name="BASIC_WEIGHT" hidden="1">"BASIC_WEIGHT"</definedName>
    <definedName name="bb" hidden="1">{#N/A,#N/A,TRUE,"Cont_Stell";#N/A,#N/A,TRUE,"BTG";#N/A,#N/A,TRUE,"SH";#N/A,#N/A,TRUE,"GUV";#N/A,#N/A,TRUE,"Bilanz";#N/A,#N/A,TRUE,"WC";#N/A,#N/A,TRUE,"Beweg_bil";#N/A,#N/A,TRUE,"Kap_fluß";#N/A,#N/A,TRUE,"KENNZ";#N/A,#N/A,TRUE,"ANALYSE"}</definedName>
    <definedName name="bb.gb._98" hidden="1">{#N/A,#N/A,FALSE,"Umsatz 99";#N/A,#N/A,FALSE,"ER 99 "}</definedName>
    <definedName name="bb.gb._99" hidden="1">{#N/A,#N/A,FALSE,"Umsatz 99";#N/A,#N/A,FALSE,"ER 99 "}</definedName>
    <definedName name="bbb" hidden="1">{#N/A,#N/A,FALSE,"Pharm";#N/A,#N/A,FALSE,"WWCM"}</definedName>
    <definedName name="bbbb" hidden="1">{#N/A,#N/A,FALSE,"REPORT"}</definedName>
    <definedName name="bbbbb" hidden="1">{"consolidated",#N/A,FALSE,"Sheet1";"cms",#N/A,FALSE,"Sheet1";"fse",#N/A,FALSE,"Sheet1"}</definedName>
    <definedName name="BBBBBB" hidden="1">{#N/A,#N/A,FALSE,"REPORT"}</definedName>
    <definedName name="bbbbbbb" hidden="1">{"detail",#N/A,FALSE,"mfg";"summary",#N/A,FALSE,"mfg"}</definedName>
    <definedName name="bbbbbbbb" hidden="1">{"cap_structure",#N/A,FALSE,"Graph-Mkt Cap";"price",#N/A,FALSE,"Graph-Price";"ebit",#N/A,FALSE,"Graph-EBITDA";"ebitda",#N/A,FALSE,"Graph-EBITDA"}</definedName>
    <definedName name="BBBBBBBBB" hidden="1">{#N/A,#N/A,FALSE,"REPORT"}</definedName>
    <definedName name="bbbbbbbbbb" hidden="1">{"detail",#N/A,FALSE,"mfg";"summary",#N/A,FALSE,"mfg"}</definedName>
    <definedName name="bbbbbbbbbbbb" hidden="1">{"'Data'!$A$1:$D$17"}</definedName>
    <definedName name="bbbbbbbbbbbbb" hidden="1">{#N/A,#N/A,FALSE,"Pharm";#N/A,#N/A,FALSE,"WWCM"}</definedName>
    <definedName name="bbbbbbbbbbbbbb" hidden="1">{"RES-2000",#N/A,FALSE,"BL2000";"A1-2000",#N/A,FALSE,"BL2000";"A2-2000",#N/A,FALSE,"BL2000"}</definedName>
    <definedName name="bbbbbbbbbbbbbbb" hidden="1">{#N/A,#N/A,TRUE,"Cont_Stell";#N/A,#N/A,TRUE,"BTG";#N/A,#N/A,TRUE,"SH";#N/A,#N/A,TRUE,"GUV";#N/A,#N/A,TRUE,"Bilanz";#N/A,#N/A,TRUE,"WC";#N/A,#N/A,TRUE,"Beweg_bil";#N/A,#N/A,TRUE,"Kap_fluß";#N/A,#N/A,TRUE,"KENNZ";#N/A,#N/A,TRUE,"ANALYSE"}</definedName>
    <definedName name="bbbbbbbbbbbbbbbbbbbb" hidden="1">{"detail",#N/A,FALSE,"mfg";"summary",#N/A,FALSE,"mfg"}</definedName>
    <definedName name="bbchart1" hidden="1">#REF!</definedName>
    <definedName name="bbchart2" hidden="1">#REF!</definedName>
    <definedName name="bbchart3" hidden="1">#REF!</definedName>
    <definedName name="bbchart4" hidden="1">#REF!</definedName>
    <definedName name="bbchart5" hidden="1">#REF!</definedName>
    <definedName name="bbvcx" hidden="1">{#N/A,#N/A,FALSE,"Umsatz HM";#N/A,#N/A,FALSE,"ER HM";#N/A,#N/A,FALSE,"EA HM  (2)";#N/A,#N/A,FALSE,"EA HM ";#N/A,#N/A,FALSE,"EA HM  (4)";#N/A,#N/A,FALSE,"EA HM  (3)";#N/A,#N/A,FALSE,"KA HM  (2)";#N/A,#N/A,FALSE,"KA HM";#N/A,#N/A,FALSE,"KA HM  (3)";#N/A,#N/A,FALSE,"KA HM (4)"}</definedName>
    <definedName name="bcahrt2" hidden="1">#REF!</definedName>
    <definedName name="bcahrt4" hidden="1">#REF!</definedName>
    <definedName name="bcdbdb" hidden="1">{#N/A,#N/A,FALSE,"Layout Aktiva";#N/A,#N/A,FALSE,"Layout Passiva"}</definedName>
    <definedName name="bchart1" hidden="1">#REF!</definedName>
    <definedName name="bchart5" hidden="1">#REF!</definedName>
    <definedName name="bdfgbrt" hidden="1">{#N/A,#N/A,TRUE,"Historicals";#N/A,#N/A,TRUE,"Charts";#N/A,#N/A,TRUE,"Forecasts"}</definedName>
    <definedName name="bdfstry" hidden="1">{#N/A,#N/A,TRUE,"Historicals";#N/A,#N/A,TRUE,"Charts";#N/A,#N/A,TRUE,"Forecasts"}</definedName>
    <definedName name="Bear"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FeXToEUR" hidden="1">1/EUReXToBEF</definedName>
    <definedName name="bein" hidden="1">{"fleisch",#N/A,FALSE,"WG HK";"food",#N/A,FALSE,"WG HK";"hartwaren",#N/A,FALSE,"WG HK";"weichwaren",#N/A,FALSE,"WG HK"}</definedName>
    <definedName name="bel" hidden="1">{"'Munka1'!$B$1:$G$101"}</definedName>
    <definedName name="Belgium" hidden="1">{"'Sheet1'!$A$1:$O$22"}</definedName>
    <definedName name="bello" hidden="1">{"FY98Q1",#N/A,FALSE,"FY98 - Q1";"FY98Q2",#N/A,FALSE,"FY98 - Q2";"FY98Q3",#N/A,FALSE,"FY98 - Q3";"FY98Q4",#N/A,FALSE,"FY98 - Q4"}</definedName>
    <definedName name="belnew" hidden="1">{"IS",#N/A,FALSE,"IS";"RPTIS",#N/A,FALSE,"RPTIS";"STATS",#N/A,FALSE,"STATS";"CELL",#N/A,FALSE,"CELL";"BS",#N/A,FALSE,"BS"}</definedName>
    <definedName name="Benchmarking" hidden="1">{"résultats_édition client",#N/A,FALSE,"Résultats"}</definedName>
    <definedName name="bene" hidden="1">{"Tages_D",#N/A,FALSE,"Tagesbericht";"Tages_PL",#N/A,FALSE,"Tagesbericht"}</definedName>
    <definedName name="Benschmarking" hidden="1">{"reg_edition client",#N/A,FALSE,"Regressions"}</definedName>
    <definedName name="Beratung" hidden="1">#N/A</definedName>
    <definedName name="Bermudez" hidden="1">{"'Data'!$A$1:$D$17"}</definedName>
    <definedName name="Bermudez1" hidden="1">{"'Data'!$A$1:$D$17"}</definedName>
    <definedName name="Bestätigungsvermerk" hidden="1">#REF!</definedName>
    <definedName name="BetrieblRohertrag" hidden="1">#REF!</definedName>
    <definedName name="BetrieblRohertrag_" hidden="1">#REF!</definedName>
    <definedName name="BetrieblRohertragK" hidden="1">#REF!</definedName>
    <definedName name="BetrieblRohertragM" hidden="1">#REF!</definedName>
    <definedName name="BetrieblRohertragN" hidden="1">#REF!</definedName>
    <definedName name="Betriebsergebnis" hidden="1">#REF!</definedName>
    <definedName name="Betriebsergebnis_" hidden="1">#REF!</definedName>
    <definedName name="BetriebsergebnisK" hidden="1">#REF!</definedName>
    <definedName name="BetriebsergebnisM" hidden="1">#REF!</definedName>
    <definedName name="BetriebsergebnisN" hidden="1">#REF!</definedName>
    <definedName name="BEx1IDQ7M0421D4DN8VXRBK4JZT0" hidden="1">#REF!</definedName>
    <definedName name="BEx1ITM1S86N1IN1OTGCXNKU3P73" hidden="1">#REF!</definedName>
    <definedName name="BEx1IWB0ZHM6S0OUL4XLX6A70SRR" hidden="1">#REF!</definedName>
    <definedName name="BEx1K59IF7UUJL5EZY6MNI7UXEBI" hidden="1">#REF!</definedName>
    <definedName name="BEx1LJB752WZ5G42I1EKC1FS8189" hidden="1">#REF!</definedName>
    <definedName name="BEx1LTT04O07ZCH09JL1KABT04JX" hidden="1">#REF!</definedName>
    <definedName name="BEx1MMVF7W3RT5QXO7JJDFGNO0OP" hidden="1">#REF!</definedName>
    <definedName name="BEx1NSZ9ZUUC5A862WFTOO3ZG8YK" hidden="1">#REF!</definedName>
    <definedName name="BEx1P1MWNI4KG7ZK4XYU4AASHD0C" hidden="1">#REF!</definedName>
    <definedName name="BEx1R25WATEVTJPPGLNDJM3HSGQL" hidden="1">#REF!</definedName>
    <definedName name="BEx1SK9BMZYHF5JNWZSOKT8KIY2M" hidden="1">#REF!</definedName>
    <definedName name="BEx1V5RJT1TBRY0VQLFT9KK7LH3Q" hidden="1">#REF!</definedName>
    <definedName name="BEx1XDXNEEUSVRNNP5QZ64V9HVUF" hidden="1">#REF!</definedName>
    <definedName name="BEx3CBQFM9GXQBG4UTMCZJ6VQAVP" hidden="1">#REF!</definedName>
    <definedName name="BEx3GUX699VHM6MM4L34NEZM1KJ3" hidden="1">#REF!</definedName>
    <definedName name="BEx3IMGE82LOSS38Q59NDPTQFTEQ" hidden="1">#REF!</definedName>
    <definedName name="BEx3J2HJ5GKLVMW9O8KEV2L525EL" hidden="1">#REF!</definedName>
    <definedName name="BEx3NYEXBV5OBCVLSUJLP3Q1FUA0" hidden="1">#REF!</definedName>
    <definedName name="BEx3PG7KZRR7XXSCVGK5732TALJT" hidden="1">#REF!</definedName>
    <definedName name="BEx3QKD8TKSD4J0CFVWZUBXS4AWP" hidden="1">#REF!</definedName>
    <definedName name="BEx3QZ1XNJ49Y6HF2VKVTJQJUUH5" hidden="1">#REF!</definedName>
    <definedName name="BEx3R0JV9EY14TSESSS8P16DKLTZ" hidden="1">#REF!</definedName>
    <definedName name="BEx3SM8T9CVWG8MQLEQSUVK1IFNK" hidden="1">#REF!</definedName>
    <definedName name="BEx3U5U6L2VXOTBE92W8590Z0903" hidden="1">#REF!</definedName>
    <definedName name="BEx3UOF5GM7S550VBT4DHFCIXFRZ" hidden="1">#REF!</definedName>
    <definedName name="BEx58TLFGI04CBYALB4LG55S2MZI" hidden="1">#REF!</definedName>
    <definedName name="BEx5B824UTHKGB3IB0OS84KQANSU" hidden="1">#REF!</definedName>
    <definedName name="BEx5BMQV645QZREIU2NYIGJ2NZBR" hidden="1">#REF!</definedName>
    <definedName name="BEx5BQHRV2SX9JY7SS46FLI1T6TZ" hidden="1">#REF!</definedName>
    <definedName name="BEx5E1ID5ZV1T2GZMQYD2L2L2E22" hidden="1">#REF!</definedName>
    <definedName name="BEx5K0E303B4KW00O6TLGH37SYJD" hidden="1">#REF!</definedName>
    <definedName name="BEx5NXPAUOC902M08UL3UCIF9J97" hidden="1">#REF!</definedName>
    <definedName name="BEx5PMJGMEZRQ5UBWCI1GXYS3KTQ" hidden="1">#REF!</definedName>
    <definedName name="BEx749P2TDAUJNURPB5VI2WC1VC0" hidden="1">#REF!</definedName>
    <definedName name="BEx77L4OQEB8LMJP5DKVSWANV31T" hidden="1">#REF!</definedName>
    <definedName name="BEx7ADJ0E7R8TLF1AI19JZWDHEDK" hidden="1">#REF!</definedName>
    <definedName name="BEx7AO5ZNEJFCC46DPGUFV69YUJU" hidden="1">#REF!</definedName>
    <definedName name="BEx7BDCA4QX9GQS3EXFP9OBD2ULD" hidden="1">#REF!</definedName>
    <definedName name="BEx7DK5TME6QD8VHX3VRZX5QDJ49" hidden="1">#REF!</definedName>
    <definedName name="BEx7HUSYKZQI0ORPY2I28ML7XE03" hidden="1">#REF!</definedName>
    <definedName name="BEx7IPTRQ19OVA9COQKE4N8LA5OV" hidden="1">#REF!</definedName>
    <definedName name="BEx7KAMBGUZMW9ATOBUGUHXELRJF" hidden="1">#REF!</definedName>
    <definedName name="BEx7L21IEPV662LIEEFDM4GF7TKW" hidden="1">#REF!</definedName>
    <definedName name="BEx7L451MNVZ7KNOEDQ62PEUWG8Z" hidden="1">#REF!</definedName>
    <definedName name="BEx7LI2OJMUAISL0A35CF9EDZVQ9" hidden="1">#REF!</definedName>
    <definedName name="BEx7MI1GMHKLZ71AIB48OMA0PLAE" hidden="1">#REF!</definedName>
    <definedName name="BEx7MZPZWWD041H30X762NXR6Y0X" hidden="1">#REF!</definedName>
    <definedName name="BEx92YJ11LS4F22DKCAWD8SN16W3" hidden="1">#REF!</definedName>
    <definedName name="BEx959EFHDGCJNANDK7BC6L0MPSP" hidden="1">#REF!</definedName>
    <definedName name="BEx95BHTHXPLPF1J0VNB1UB4SJB7" hidden="1">#REF!</definedName>
    <definedName name="BEx962BKRSB7VWO1I9611IG3HJL9" hidden="1">#REF!</definedName>
    <definedName name="BEx97D2LAVHU8BI66YB5E0CCVA3V" hidden="1">#REF!</definedName>
    <definedName name="BEx97ZZXW8RBVTX62K94E0KH8F8B" hidden="1">#REF!</definedName>
    <definedName name="BEx9GL512RQFDX1LOJTG2QMK1OVT" hidden="1">#REF!</definedName>
    <definedName name="BEx9GZZ185PHP7N5T5MAHGGHCDKU" hidden="1">#REF!</definedName>
    <definedName name="BEx9I814A2QZ12Y6MGOBRRU627KO" hidden="1">#REF!</definedName>
    <definedName name="BEx9I8BXW4HE0T7XGRP6MQTTE4Q7" hidden="1">#REF!</definedName>
    <definedName name="BEx9IM9KUL7LYM3VOPB9PF1GFLW5" hidden="1">#REF!</definedName>
    <definedName name="BExAX6Q2VN84G1DWN3NED34DRUHJ" hidden="1">#REF!</definedName>
    <definedName name="BExAXQT14FRI5ZZH0GQI77F0XZYN" hidden="1">#REF!</definedName>
    <definedName name="BExAYUYTQ1SD8NBET1T97UWM9W4T" hidden="1">#REF!</definedName>
    <definedName name="BExAZP33VG7O8VRRPLDTWYILV3J2" hidden="1">#REF!</definedName>
    <definedName name="BExB0HENX8SR0PGFBHD5PMVEJ9EF" hidden="1">#REF!</definedName>
    <definedName name="BExB1W7FMHU3GX93215QDY9HQXDE" hidden="1">#REF!</definedName>
    <definedName name="BExB2XDBSLJG7UHQ8FKZ1SNEIWSH" hidden="1">#REF!</definedName>
    <definedName name="BExB4GNXMG0F03BSH98AFDS8N4ZD" hidden="1">#REF!</definedName>
    <definedName name="BExB87Z7EMMXDFMJOG8F6WSTVCZR" hidden="1">#REF!</definedName>
    <definedName name="BExBB7VBQ30NOJQ6R3BD21BB3H5W" hidden="1">#REF!</definedName>
    <definedName name="BExBB9YVEGJF0J28ABUHI8V3A6UT" hidden="1">#REF!</definedName>
    <definedName name="BExBBGV0A5JO6H643JURO343PSOK" hidden="1">#REF!</definedName>
    <definedName name="BExCU767J1MMS6P4R606V0VP7YOX" hidden="1">#REF!</definedName>
    <definedName name="BExCWGOU935MT45X4BVGTGDKJG8R" hidden="1">#REF!</definedName>
    <definedName name="BExD29VOLBIF669L1YK3G2UVXXQW" hidden="1">#REF!</definedName>
    <definedName name="BExD2TYLCCBCE4EDZXGNEZM5QSQH" hidden="1">#REF!</definedName>
    <definedName name="BExD7AG7KPJG7DDCEBEIRH81IVF8" hidden="1">#REF!</definedName>
    <definedName name="BExDAIVPM6Y042YEELGF2X8J1WZS" hidden="1">#REF!</definedName>
    <definedName name="BExDB640575VXEMAO4KG2XVOVL2A" hidden="1">#REF!</definedName>
    <definedName name="BExEOQWKWC66X76ULCQLSWA7IJ5G" hidden="1">#REF!</definedName>
    <definedName name="BExERN785USYT3L8QP563K7JZX0H" hidden="1">#REF!</definedName>
    <definedName name="BExES5HCNLSYJ12S577PWUA856NC" hidden="1">#REF!</definedName>
    <definedName name="BExEUV1BKGGP9Z9G66TL39X6QDI7" hidden="1">#REF!</definedName>
    <definedName name="BExEWFDM69IBICX9EAEV3SPFS5Y7" hidden="1">#REF!</definedName>
    <definedName name="BExEXMU3J4SF1LOC4QBWAS77UPQ2" hidden="1">#REF!</definedName>
    <definedName name="BExEYYXSDUURMUHCIWA85TIUDEGH" hidden="1">#REF!</definedName>
    <definedName name="BExF3N2FTV6VRL8ZJ30MX9IGNB7S" hidden="1">#REF!</definedName>
    <definedName name="BExF5RXQNH59YI0ZEAQVXFI0TW8L" hidden="1">#REF!</definedName>
    <definedName name="BExF8BNDR46CRQI8TCZS9UJ92VCE" hidden="1">#REF!</definedName>
    <definedName name="BExF95X4OALM2P9QFRWZL8B4KMWT" hidden="1">#REF!</definedName>
    <definedName name="BExF9EM29OWG8W0UAUZYNHSN6Q21" hidden="1">#REF!</definedName>
    <definedName name="BExGKIJKL9J642289LV0OJJ1TILI" hidden="1">#REF!</definedName>
    <definedName name="BExGLIT3CJRMEXWRS00UQJKI32BM" hidden="1">#REF!</definedName>
    <definedName name="BExGM6HHXVXOGCSXWE4U1FIEVKND" hidden="1">#REF!</definedName>
    <definedName name="BExGOZS8O1YXQ4OJW2B77SDB0CXD" hidden="1">#REF!</definedName>
    <definedName name="BExGQKQ8Z6UCL3YH6145CH91N8L7" hidden="1">#REF!</definedName>
    <definedName name="BExGQN9UOX9PBA01P2LJW0D75ZWX" hidden="1">#REF!</definedName>
    <definedName name="BExGSQSQNHAKQX43KZ40QVJMC0OW" hidden="1">#REF!</definedName>
    <definedName name="BExGV3GPRSH8ALZLWOSQ5GTSUADF" hidden="1">#REF!</definedName>
    <definedName name="BExGVMSKMONN37R60ZU7NEEX6JBU" hidden="1">#REF!</definedName>
    <definedName name="BExH2KQSV2F3ROJG9BWJCDDRKWGK" hidden="1">#REF!</definedName>
    <definedName name="BExH2RSA7DMRCQNRHSWDVHW9NX3J" hidden="1">#REF!</definedName>
    <definedName name="BExIIX6U8T313DEW3IXO3OJ0ZXHN" hidden="1">#REF!</definedName>
    <definedName name="BExIKEU16FGFEKA9EM9T8LJ7ZA4C" hidden="1">#REF!</definedName>
    <definedName name="BExIKVM92S3I94HPZRFHACRFNWOI" hidden="1">#REF!</definedName>
    <definedName name="BExIMGESG5W36YYYYI2XA852ON3M" hidden="1">#REF!</definedName>
    <definedName name="BExIOZYYUSRAPJ4CI6637X6NYY5R" hidden="1">#REF!</definedName>
    <definedName name="BExIRGOJOXHXOIVAXQ3PZK4QFKLD" hidden="1">#REF!</definedName>
    <definedName name="BExIRJZ8W6U7Z84N4Z61WEBKU77Q" hidden="1">#REF!</definedName>
    <definedName name="BExIU6U2OD7JEWOBZEIKHKZ7YNWA" hidden="1">#REF!</definedName>
    <definedName name="BExIX5DJRVFMD00ZY76LAAL5A82T" hidden="1">#REF!</definedName>
    <definedName name="BExIXL9FA3SHL0EFTUUV1N9MJ9IL" hidden="1">#REF!</definedName>
    <definedName name="BExIYCDRVVSW6XOZEYS64FDQK7DG" hidden="1">#REF!</definedName>
    <definedName name="BExIYJFERQKKE8MUBIN6FOB6B51A" hidden="1">#REF!</definedName>
    <definedName name="BExKGBKL9RFL9UXUXODJ2S3BUS2M" hidden="1">#REF!</definedName>
    <definedName name="BExKKX05AJOQK8KSB3MY0TTO7R35" hidden="1">#REF!</definedName>
    <definedName name="BExKP6LLTRTTIXCRAMB6TYZV6M20" hidden="1">#REF!</definedName>
    <definedName name="BExKQ0PVJDU8WB35W0PVH0G27D9Q" hidden="1">#REF!</definedName>
    <definedName name="BExKRIO093H91C8J6PYK2CRQ9Z78" hidden="1">#REF!</definedName>
    <definedName name="BExKU7645H8FOT548TM16VOGWHJ8" hidden="1">#REF!</definedName>
    <definedName name="BExKU7M8XMN7TAR95Y2AIHGTFDUT" hidden="1">#REF!</definedName>
    <definedName name="BExKUN7A2I138KPXPQQMKXC0R1H1" hidden="1">#REF!</definedName>
    <definedName name="BExMAIV4P2IJPE304VKSLEHS0J2D" hidden="1">#REF!</definedName>
    <definedName name="BExMDFLZZ2FNY6GE74IZ7OO1KPTE" hidden="1">#REF!</definedName>
    <definedName name="BExMF2I3NNMY6MB5RIZY0ZGPM94L" hidden="1">#REF!</definedName>
    <definedName name="BExMHGIK3CUR8FB6NNEH5I94HC9Y" hidden="1">#REF!</definedName>
    <definedName name="BExMHJYPZ6Z39C833AGPK3BP9W8T" hidden="1">#REF!</definedName>
    <definedName name="BExMIETVRD00R889OKQQ0BFDQ0XV" hidden="1">#REF!</definedName>
    <definedName name="BExMIJMJ6HE9F3FT1TQOM2PGPPAM" hidden="1">#REF!</definedName>
    <definedName name="BExMJVKWJL1V3M0BO2UAK3GTEI4T" hidden="1">#REF!</definedName>
    <definedName name="BExMK9D7BGN7AG0UZIQ966BK3IFE" hidden="1">#REF!</definedName>
    <definedName name="BExML2L3ZHF8SPRJKKEJM6L0ARYA" hidden="1">#REF!</definedName>
    <definedName name="BExMLWEMCZ9NW871Q2U94CN470YU" hidden="1">#REF!</definedName>
    <definedName name="BExMLX06Q0PJ9OXXQATF8LDLLAE5" hidden="1">#REF!</definedName>
    <definedName name="BExMP5AF8XKG63B5H99EA0KVQYLR" hidden="1">#REF!</definedName>
    <definedName name="BExMPXRE43BI4DPNSP1SIPLGHGAQ" hidden="1">#REF!</definedName>
    <definedName name="BExMRIEGLN75EV8GQSCCQJB08SYV" hidden="1">#REF!</definedName>
    <definedName name="BExO5EQKFHHDQRTF781X1Z743LPV" hidden="1">#REF!</definedName>
    <definedName name="BExO5RBOVVWJQJYJ6949QI1Z58BQ" hidden="1">#REF!</definedName>
    <definedName name="BExOHFNNI1NFJVPVJ33U9A7JGFCJ" hidden="1">#REF!</definedName>
    <definedName name="BExOMCRYBVN6OC3RGPXLZNMCZCXC" hidden="1">#REF!</definedName>
    <definedName name="BExONOKUPIR8IOH1UAIP71BQYTLP" hidden="1">#REF!</definedName>
    <definedName name="BExQ3CASVAPPF9ESQPA1ORK7L7KE" hidden="1">#REF!</definedName>
    <definedName name="BExQ3SBZBISF6C8NNOKNT57LNIW5" hidden="1">#REF!</definedName>
    <definedName name="BExQ41H5AMLT1OM3QIFPF08MTWNC" hidden="1">#REF!</definedName>
    <definedName name="BExQ7ILKG84PSVGQQJDF0GPL9ISE" hidden="1">#REF!</definedName>
    <definedName name="BExQ7IWDM245VCM5W6V8Q0T6BG8T" hidden="1">#REF!</definedName>
    <definedName name="BExQ84XBNFEG0TZ0LCXRJ6IESUSQ" hidden="1">#REF!</definedName>
    <definedName name="BExQ8PR5BB0H6C1MQNPCMCDFFFP7" hidden="1">#REF!</definedName>
    <definedName name="BExQA1PICGJDW2S5MQYWT1Z7GO1A" hidden="1">#REF!</definedName>
    <definedName name="BExQAL6SVVBNLAPD6GR61CLZOMUN" hidden="1">#REF!</definedName>
    <definedName name="BExQB36679KBE8A52KOP82FG33KP" hidden="1">#REF!</definedName>
    <definedName name="BExQDB6U9VBJDAKONQC4UZAY4Y6N" hidden="1">#REF!</definedName>
    <definedName name="BExQEFHZKF2WPAVE3HIJR09H148G" hidden="1">#REF!</definedName>
    <definedName name="BExS13F1ULV3PWNVSHQYP22NFA9Q" hidden="1">#REF!</definedName>
    <definedName name="BExS38AI7RFDD6C80K9RZASV5W53" hidden="1">#REF!</definedName>
    <definedName name="BExS564AUZ4DA33T6FWXSOYHE359" hidden="1">#REF!</definedName>
    <definedName name="BExS5XOYCAFG2MQSZE3C6SN1D6UN" hidden="1">#REF!</definedName>
    <definedName name="BExS5XZQMBVPEK541IVLQFYD6GW6" hidden="1">#REF!</definedName>
    <definedName name="BExS621BO93B1QZ51EOBYA1ACKIP" hidden="1">#REF!</definedName>
    <definedName name="BExSA9OQX4RLQLQ5V7DC0J6HD1B7" hidden="1">#REF!</definedName>
    <definedName name="BExSAYPLADSLSTF3QHQYAZFCZC8X" hidden="1">#REF!</definedName>
    <definedName name="BExSCTZS3DSTL6J8Y11DQNQYL3SZ" hidden="1">#REF!</definedName>
    <definedName name="BExSFGEELYR8NVDQ6ZJPQ0APVFDX" hidden="1">#REF!</definedName>
    <definedName name="BExSFP8LN5RTTUXVT2J6NKQUAI8L" hidden="1">#REF!</definedName>
    <definedName name="BExTV6THKOJDWWQ0O69QBUG3LEQA" hidden="1">#REF!</definedName>
    <definedName name="BExTZHWVY43ZG4P9JRO8E8A91BDB" hidden="1">#REF!</definedName>
    <definedName name="BExU0S7RULNDHU8WSNSPM8JP9ZFR" hidden="1">#REF!</definedName>
    <definedName name="BExU37Q81N19795CDCNWRI5GQHQZ" hidden="1">#REF!</definedName>
    <definedName name="BExU3U1XUP6X26EU0FYOA66AUW8G" hidden="1">#REF!</definedName>
    <definedName name="BExU4QKJHG1CHQSC6RM1SMC0B5IT" hidden="1">#REF!</definedName>
    <definedName name="BExU7Q60549IDBMP1FBUR0LKIKK8" hidden="1">#REF!</definedName>
    <definedName name="BExUEKYVD1J9DXYDPYV7JKGTU7VA" hidden="1">#REF!</definedName>
    <definedName name="BExVYSRXH0R65LYU8C4FIS8HXMAS" hidden="1">#REF!</definedName>
    <definedName name="BExW1DZ74B6NQ0OZX0RSUGHPJICB" hidden="1">#REF!</definedName>
    <definedName name="BExW3GRATC3UVOX92NLXDCNQQKGC" hidden="1">#REF!</definedName>
    <definedName name="BExW68EMLS8G29P0J5CFWTV6X36S" hidden="1">#REF!</definedName>
    <definedName name="BExW6EJQH55323MKKZ0AELPY13ZR" hidden="1">#REF!</definedName>
    <definedName name="BExW7BIMAOADT5901EFZIB40CZY4" hidden="1">#REF!</definedName>
    <definedName name="BExW8GFB0Z700HK4ISQR04D1XFBV" hidden="1">#REF!</definedName>
    <definedName name="BExW8R2F60VGA54F807KPKIVPY4Z" hidden="1">#REF!</definedName>
    <definedName name="BExXQH9DMUEIC3SU2JBR19HL9YPP" hidden="1">#REF!</definedName>
    <definedName name="BExXRJBNSW11EARW4O3VJOLO7B5D" hidden="1">#REF!</definedName>
    <definedName name="BExXS7LMF3TF19N0J5W4UZIZHXWP" hidden="1">#REF!</definedName>
    <definedName name="BExXTER5X3ZAG49R8JU3R04VTRLZ" hidden="1">#REF!</definedName>
    <definedName name="BExXVETZW21U5CVVS0IJVX2U020T" hidden="1">#REF!</definedName>
    <definedName name="BExXVWNWMXG58VDP36YI0DW3AYL2" hidden="1">#REF!</definedName>
    <definedName name="BExXWV4PQE9ID8RF20OERLDY34PK" hidden="1">#REF!</definedName>
    <definedName name="BExXYW3X0BIOCO8X4IXM8JINNMJ2" hidden="1">#REF!</definedName>
    <definedName name="BExXZ9LFVDX0TVUXUPQYFMOHCDLO" hidden="1">#REF!</definedName>
    <definedName name="BExY2HQ69NQBHTM3R0GDALECRMSK" hidden="1">#REF!</definedName>
    <definedName name="BExY2VTBFYP66RBQZKKUZIIGVNE9" hidden="1">#REF!</definedName>
    <definedName name="BExY2ZUVTZKKA15QYRQ79ZCTSZML" hidden="1">#REF!</definedName>
    <definedName name="BExY31NMTDW8NZRPDS0C42AU3NKB" hidden="1">#REF!</definedName>
    <definedName name="BExY3MSEEWIBIXH8RONHQWSHQIDX" hidden="1">#REF!</definedName>
    <definedName name="BExY3Q31FN4S96P3GRWXL0J00T9B" hidden="1">#REF!</definedName>
    <definedName name="BExZJ6GKROPE324YJWCRTDUSJTL4" hidden="1">#REF!</definedName>
    <definedName name="BExZKOPDECSFGF39CY31ZHZKJXFP" hidden="1">#REF!</definedName>
    <definedName name="BExZKPR7NXT61BEWKH7MCRCDPWYX" hidden="1">#REF!</definedName>
    <definedName name="BExZL6OQQTEQIR8XKZXLR3CI02TT" hidden="1">#REF!</definedName>
    <definedName name="BExZOETNII823DJ9QJHQABZX7X4B" hidden="1">#REF!</definedName>
    <definedName name="BExZQ07TIV32LFXTYZ2VB7E53SJ9" hidden="1">#REF!</definedName>
    <definedName name="BExZU07Z52O5A79OL7J5DRU5T2VK" hidden="1">#REF!</definedName>
    <definedName name="BExZWV5ZCEKKY7OBZSYHYZPRIPJI" hidden="1">#REF!</definedName>
    <definedName name="BExZXHN727IU1B1FGHQ2U2XVOX2V" hidden="1">#REF!</definedName>
    <definedName name="BExZYFYJWGLQMVH49A5SS9R1BYGU" hidden="1">#REF!</definedName>
    <definedName name="BezogeneLeistungen" hidden="1">#REF!</definedName>
    <definedName name="BezogeneLeistungen_" hidden="1">#REF!</definedName>
    <definedName name="BezogeneLeistungenK" hidden="1">#REF!</definedName>
    <definedName name="BezogeneLeistungenM" hidden="1">#REF!</definedName>
    <definedName name="BezogeneLeistungenN" hidden="1">#REF!</definedName>
    <definedName name="bff" hidden="1">{#N/A,#N/A,FALSE,"Profit Status";#N/A,#N/A,FALSE,"Invest";#N/A,#N/A,FALSE,"Revenue";#N/A,#N/A,FALSE,"Variable Cost";#N/A,#N/A,FALSE,"Options &amp; Series"}</definedName>
    <definedName name="bfg" hidden="1">{#N/A,#N/A,TRUE,"Historicals";#N/A,#N/A,TRUE,"Charts";#N/A,#N/A,TRUE,"Forecasts"}</definedName>
    <definedName name="BG" hidden="1">{#N/A,#N/A,TRUE,"Cover sheet";#N/A,#N/A,TRUE,"DCF analysis";#N/A,#N/A,TRUE,"WACC calculation"}</definedName>
    <definedName name="BG_Del" hidden="1">15</definedName>
    <definedName name="BG_Ins" hidden="1">4</definedName>
    <definedName name="BG_Mod" hidden="1">6</definedName>
    <definedName name="bgh" hidden="1">{"histincome",#N/A,FALSE,"hyfins";"closing balance",#N/A,FALSE,"hyfins"}</definedName>
    <definedName name="bgn" hidden="1">{#N/A,#N/A,FALSE,"Cover";#N/A,#N/A,FALSE,"Contents-Pg1";#N/A,#N/A,FALSE,"High-Com-pg2";#N/A,#N/A,FALSE,"1 Full";#N/A,#N/A,FALSE,"1chts";#N/A,#N/A,FALSE,"Table 2";#N/A,#N/A,FALSE,"3New Iss";#N/A,#N/A,FALSE,"4Money raised";#N/A,#N/A,FALSE,"5Aim";#N/A,#N/A,FALSE,"AiM charts";#N/A,#N/A,FALSE,"6FT Smll";#N/A,#N/A,FALSE,"11SEATS";#N/A,#N/A,FALSE,"12Notes"}</definedName>
    <definedName name="bgns" hidden="1">{#N/A,#N/A,FALSE,"Cover";#N/A,#N/A,FALSE,"Contents-Pg1";#N/A,#N/A,FALSE,"High-Com-pg2";#N/A,#N/A,FALSE,"1 Full";#N/A,#N/A,FALSE,"1chts";#N/A,#N/A,FALSE,"Table 2";#N/A,#N/A,FALSE,"3New Iss";#N/A,#N/A,FALSE,"4Money raised";#N/A,#N/A,FALSE,"5Aim";#N/A,#N/A,FALSE,"AiM charts";#N/A,#N/A,FALSE,"6FT Smll";#N/A,#N/A,FALSE,"11SEATS";#N/A,#N/A,FALSE,"12Notes"}</definedName>
    <definedName name="bgns2" hidden="1">{#N/A,#N/A,FALSE,"Cover";#N/A,#N/A,FALSE,"Contents-Pg1";#N/A,#N/A,FALSE,"High-Com-pg2";#N/A,#N/A,FALSE,"1 Full";#N/A,#N/A,FALSE,"1chts";#N/A,#N/A,FALSE,"Table 2";#N/A,#N/A,FALSE,"3New Iss";#N/A,#N/A,FALSE,"4Money raised";#N/A,#N/A,FALSE,"5Aim";#N/A,#N/A,FALSE,"AiM charts";#N/A,#N/A,FALSE,"6FT Smll";#N/A,#N/A,FALSE,"11SEATS";#N/A,#N/A,FALSE,"12Notes"}</definedName>
    <definedName name="bgns6" hidden="1">{#N/A,#N/A,FALSE,"Cover";#N/A,#N/A,FALSE,"Contents-Pg1";#N/A,#N/A,FALSE,"High-Com-pg2";#N/A,#N/A,FALSE,"1 Full";#N/A,#N/A,FALSE,"1chts";#N/A,#N/A,FALSE,"Table 2";#N/A,#N/A,FALSE,"3New Iss";#N/A,#N/A,FALSE,"4Money raised";#N/A,#N/A,FALSE,"5Aim";#N/A,#N/A,FALSE,"AiM charts";#N/A,#N/A,FALSE,"6FT Smll";#N/A,#N/A,FALSE,"11SEATS";#N/A,#N/A,FALSE,"12Notes"}</definedName>
    <definedName name="bh" hidden="1">{"Tages_D",#N/A,FALSE,"Tagesbericht";"Tages_PL",#N/A,FALSE,"Tagesbericht"}</definedName>
    <definedName name="bhjb" hidden="1">{"résultats_édition client",#N/A,FALSE,"Résultats"}</definedName>
    <definedName name="bhjbu" hidden="1">{"weichwaren",#N/A,FALSE,"Liste 1";"hartwaren",#N/A,FALSE,"Liste 1";"food",#N/A,FALSE,"Liste 1";"fleisch",#N/A,FALSE,"Liste 1"}</definedName>
    <definedName name="BHUVAN" hidden="1">{"'subnets'!$A$1:$F$20"}</definedName>
    <definedName name="bih" hidden="1">{"Tages_D",#N/A,FALSE,"Tagesbericht";"Tages_PL",#N/A,FALSE,"Tagesbericht"}</definedName>
    <definedName name="bil" hidden="1">{"K Bilanz o. Kommentar",#N/A,FALSE,"Kaufhof"}</definedName>
    <definedName name="bilan4" hidden="1">{"K Bilanz o. Kommentar",#N/A,FALSE,"Kaufhof"}</definedName>
    <definedName name="bilan5" hidden="1">{"K Bilanz o. Kommentar",#N/A,FALSE,"Kaufhof"}</definedName>
    <definedName name="bilanz" hidden="1">{"K Bilanz o. Kommentar",#N/A,FALSE,"Kaufhof"}</definedName>
    <definedName name="bilanzeid" hidden="1">{#N/A,#N/A,FALSE,"Aktiva";#N/A,#N/A,FALSE,"Passiva";#N/A,#N/A,FALSE,"guv";#N/A,#N/A,FALSE,"Anl-1";#N/A,#N/A,FALSE,"Anl-2";#N/A,#N/A,FALSE,"Anl-III";#N/A,#N/A,FALSE,"Ta-1-Anh";#N/A,#N/A,FALSE,"Ta-2-Anh";#N/A,#N/A,FALSE,"Ta-3-Anh";#N/A,#N/A,FALSE,"Kontroll-Blatt"}</definedName>
    <definedName name="bilanzen" hidden="1">{"K Bilanz o. Kommentar",#N/A,FALSE,"Kaufhof"}</definedName>
    <definedName name="bill" hidden="1">{#N/A,#N/A,FALSE,"Cover";#N/A,#N/A,FALSE,"Assumptions";#N/A,#N/A,FALSE,"Volumes";#N/A,#N/A,FALSE,"Pricing";#N/A,#N/A,FALSE,"TFLE Walk";#N/A,#N/A,FALSE,"Variable Cost";#N/A,#N/A,FALSE,"Sensitivity";#N/A,#N/A,FALSE,"Investment";#N/A,#N/A,FALSE,"Profitability"}</definedName>
    <definedName name="BILL1" hidden="1">{#N/A,#N/A,FALSE,"Cover";#N/A,#N/A,FALSE,"Assumptions";#N/A,#N/A,FALSE,"Volumes";#N/A,#N/A,FALSE,"Pricing";#N/A,#N/A,FALSE,"TFLE Walk";#N/A,#N/A,FALSE,"Variable Cost";#N/A,#N/A,FALSE,"Sensitivity";#N/A,#N/A,FALSE,"Investment";#N/A,#N/A,FALSE,"Profitability"}</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inder" hidden="1">{"'Data'!$A$1:$D$17"}</definedName>
    <definedName name="bj" hidden="1">{"'Data'!$A$1:$D$17"}</definedName>
    <definedName name="BJW" hidden="1">{#N/A,#N/A,FALSE,"Cover";#N/A,#N/A,FALSE,"Profits";#N/A,#N/A,FALSE,"ABS";#N/A,#N/A,FALSE,"TFLE Detail";#N/A,#N/A,FALSE,"TFLE Walk";#N/A,#N/A,FALSE,"Variable Cost";#N/A,#N/A,FALSE,"V.C. Walk"}</definedName>
    <definedName name="bkls" hidden="1">{#N/A,"PURCHM",FALSE,"Business Analysis";#N/A,"SPADD",FALSE,"Business Analysis"}</definedName>
    <definedName name="bla" hidden="1">{#N/A,#N/A,TRUE,"Main assumptions";#N/A,#N/A,TRUE,"Subscriber projections";#N/A,#N/A,TRUE,"Revenues";#N/A,#N/A,TRUE,"Opex";#N/A,#N/A,TRUE,"Capex";#N/A,#N/A,TRUE,"Working capital";#N/A,#N/A,TRUE,"P&amp;L";#N/A,#N/A,TRUE,"Cash";#N/A,#N/A,TRUE,"Balance";#N/A,#N/A,TRUE,"Valuation";#N/A,#N/A,TRUE,"Bench"}</definedName>
    <definedName name="bla_2" hidden="1">{#N/A,#N/A,TRUE,"Main assumptions";#N/A,#N/A,TRUE,"Subscriber projections";#N/A,#N/A,TRUE,"Revenues";#N/A,#N/A,TRUE,"Opex";#N/A,#N/A,TRUE,"Capex";#N/A,#N/A,TRUE,"Working capital";#N/A,#N/A,TRUE,"P&amp;L";#N/A,#N/A,TRUE,"Cash";#N/A,#N/A,TRUE,"Balance";#N/A,#N/A,TRUE,"Valuation";#N/A,#N/A,TRUE,"Bench"}</definedName>
    <definedName name="blabla"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bla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blah" hidden="1">{"multiple",#N/A,FALSE,"client (2)";"margins",#N/A,FALSE,"client (2)";"data",#N/A,FALSE,"client (2)";"multiple",#N/A,FALSE,"client";"margins",#N/A,FALSE,"client";"data",#N/A,FALSE,"client"}</definedName>
    <definedName name="blah2" hidden="1">{"multiple",#N/A,FALSE,"client (2)";"margins",#N/A,FALSE,"client (2)";"data",#N/A,FALSE,"client (2)";"multiple",#N/A,FALSE,"client";"margins",#N/A,FALSE,"client";"data",#N/A,FALSE,"client"}</definedName>
    <definedName name="blah3" hidden="1">{"multiple",#N/A,FALSE,"client";"margins",#N/A,FALSE,"client";"data",#N/A,FALSE,"client"}</definedName>
    <definedName name="blah4" hidden="1">{#N/A,#N/A,FALSE,"Performance Flash Report"}</definedName>
    <definedName name="bleine.erg" hidden="1">{"fleisch",#N/A,FALSE,"WG HK";"food",#N/A,FALSE,"WG HK";"hartwaren",#N/A,FALSE,"WG HK";"weichwaren",#N/A,FALSE,"WG HK"}</definedName>
    <definedName name="blkh" hidden="1">{"fleisch",#N/A,FALSE,"WG HK";"food",#N/A,FALSE,"WG HK";"hartwaren",#N/A,FALSE,"WG HK";"weichwaren",#N/A,FALSE,"WG HK"}</definedName>
    <definedName name="BLPH1" hidden="1">#REF!</definedName>
    <definedName name="BLPH10"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 hidden="1">#REF!</definedName>
    <definedName name="BLPH110" hidden="1">#REF!</definedName>
    <definedName name="BLPH1100001" hidden="1">#REF!</definedName>
    <definedName name="BLPH1100002" hidden="1">#REF!</definedName>
    <definedName name="BLPH1100003" hidden="1">#REF!</definedName>
    <definedName name="BLPH1100004" hidden="1">#REF!</definedName>
    <definedName name="BLPH1100005" hidden="1">#REF!</definedName>
    <definedName name="BLPH1100006" hidden="1">#REF!</definedName>
    <definedName name="BLPH1100007" hidden="1">#REF!</definedName>
    <definedName name="BLPH1100008" hidden="1">#REF!</definedName>
    <definedName name="BLPH1100009" hidden="1">#REF!</definedName>
    <definedName name="BLPH1100010" hidden="1">#REF!</definedName>
    <definedName name="BLPH1100011" hidden="1">#REF!</definedName>
    <definedName name="BLPH1100012" hidden="1">#REF!</definedName>
    <definedName name="BLPH1100013" hidden="1">#REF!</definedName>
    <definedName name="BLPH1100014" hidden="1">#REF!</definedName>
    <definedName name="BLPH1100015" hidden="1">#REF!</definedName>
    <definedName name="BLPH1100016" hidden="1">#REF!</definedName>
    <definedName name="BLPH1100017" hidden="1">#REF!</definedName>
    <definedName name="BLPH1100018" hidden="1">#REF!</definedName>
    <definedName name="BLPH1100019" hidden="1">#REF!</definedName>
    <definedName name="BLPH1100020" hidden="1">#REF!</definedName>
    <definedName name="BLPH1100021" hidden="1">#REF!</definedName>
    <definedName name="BLPH1100022" hidden="1">#REF!</definedName>
    <definedName name="BLPH1100023" hidden="1">#REF!</definedName>
    <definedName name="BLPH1100024" hidden="1">#REF!</definedName>
    <definedName name="BLPH1100025" hidden="1">#REF!</definedName>
    <definedName name="BLPH1100026" hidden="1">#REF!</definedName>
    <definedName name="BLPH1100027" hidden="1">#REF!</definedName>
    <definedName name="BLPH1100028" hidden="1">#REF!</definedName>
    <definedName name="BLPH1100029" hidden="1">#REF!</definedName>
    <definedName name="BLPH1100030" hidden="1">#REF!</definedName>
    <definedName name="BLPH1100031" hidden="1">#REF!</definedName>
    <definedName name="BLPH1100032" hidden="1">#REF!</definedName>
    <definedName name="BLPH1100033" hidden="1">#REF!</definedName>
    <definedName name="BLPH1100034"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 hidden="1">#REF!</definedName>
    <definedName name="BLPH120" hidden="1">#REF!</definedName>
    <definedName name="BLPH121" hidden="1">#REF!</definedName>
    <definedName name="BLPH122" hidden="1">#REF!</definedName>
    <definedName name="BLPH123" hidden="1">#REF!</definedName>
    <definedName name="BLPH124" hidden="1">#REF!</definedName>
    <definedName name="BLPH125" hidden="1">#REF!</definedName>
    <definedName name="BLPH126" hidden="1">#REF!</definedName>
    <definedName name="BLPH127" hidden="1">#REF!</definedName>
    <definedName name="BLPH128" hidden="1">#REF!</definedName>
    <definedName name="BLPH129" hidden="1">#REF!</definedName>
    <definedName name="BLPH13" hidden="1">#REF!</definedName>
    <definedName name="BLPH130" hidden="1">#REF!</definedName>
    <definedName name="BLPH13000001" hidden="1">#REF!</definedName>
    <definedName name="BLPH13000002" hidden="1">#REF!</definedName>
    <definedName name="BLPH13000003" hidden="1">#REF!</definedName>
    <definedName name="BLPH13000004" hidden="1">#REF!</definedName>
    <definedName name="BLPH13000005" hidden="1">#REF!</definedName>
    <definedName name="BLPH13000006" hidden="1">#REF!</definedName>
    <definedName name="BLPH13000007" hidden="1">#REF!</definedName>
    <definedName name="BLPH13000008" hidden="1">#REF!</definedName>
    <definedName name="BLPH13000009" hidden="1">#REF!</definedName>
    <definedName name="BLPH13000010" hidden="1">#REF!</definedName>
    <definedName name="BLPH13000011" hidden="1">#REF!</definedName>
    <definedName name="BLPH13000012" hidden="1">#REF!</definedName>
    <definedName name="BLPH13000013" hidden="1">#REF!</definedName>
    <definedName name="BLPH13000014" hidden="1">#REF!</definedName>
    <definedName name="BLPH13000015" hidden="1">#REF!</definedName>
    <definedName name="BLPH13000016" hidden="1">#REF!</definedName>
    <definedName name="BLPH13000017" hidden="1">#REF!</definedName>
    <definedName name="BLPH13000018" hidden="1">#REF!</definedName>
    <definedName name="BLPH13000019" hidden="1">#REF!</definedName>
    <definedName name="BLPH13000020" hidden="1">#REF!</definedName>
    <definedName name="BLPH13000021" hidden="1">#REF!</definedName>
    <definedName name="BLPH13000022" hidden="1">#REF!</definedName>
    <definedName name="BLPH13000023" hidden="1">#REF!</definedName>
    <definedName name="BLPH13000024" hidden="1">#REF!</definedName>
    <definedName name="BLPH13000025" hidden="1">#REF!</definedName>
    <definedName name="BLPH13000026" hidden="1">#REF!</definedName>
    <definedName name="BLPH13000027" hidden="1">#REF!</definedName>
    <definedName name="BLPH13000028" hidden="1">#REF!</definedName>
    <definedName name="BLPH13000029" hidden="1">#REF!</definedName>
    <definedName name="BLPH13000030" hidden="1">#REF!</definedName>
    <definedName name="BLPH13000031" hidden="1">#REF!</definedName>
    <definedName name="BLPH13000032" hidden="1">#REF!</definedName>
    <definedName name="BLPH13000033" hidden="1">#REF!</definedName>
    <definedName name="BLPH13000034" hidden="1">#REF!</definedName>
    <definedName name="BLPH13000035" hidden="1">#REF!</definedName>
    <definedName name="BLPH13000036" hidden="1">#REF!</definedName>
    <definedName name="BLPH13000037" hidden="1">#REF!</definedName>
    <definedName name="BLPH13000038" hidden="1">#REF!</definedName>
    <definedName name="BLPH13000039" hidden="1">#REF!</definedName>
    <definedName name="BLPH13000040" hidden="1">#REF!</definedName>
    <definedName name="BLPH13000041" hidden="1">#REF!</definedName>
    <definedName name="BLPH13000042" hidden="1">#REF!</definedName>
    <definedName name="BLPH13000043" hidden="1">#REF!</definedName>
    <definedName name="BLPH13000044" hidden="1">#REF!</definedName>
    <definedName name="BLPH13000045" hidden="1">#REF!</definedName>
    <definedName name="BLPH13000046" hidden="1">#REF!</definedName>
    <definedName name="BLPH13000047" hidden="1">#REF!</definedName>
    <definedName name="BLPH13000048" hidden="1">#REF!</definedName>
    <definedName name="BLPH13000049" hidden="1">#REF!</definedName>
    <definedName name="BLPH13000050" hidden="1">#REF!</definedName>
    <definedName name="BLPH13000051" hidden="1">#REF!</definedName>
    <definedName name="BLPH13000052" hidden="1">#REF!</definedName>
    <definedName name="BLPH13000053" hidden="1">#REF!</definedName>
    <definedName name="BLPH13000054" hidden="1">#REF!</definedName>
    <definedName name="BLPH13000055" hidden="1">#REF!</definedName>
    <definedName name="BLPH13000056" hidden="1">#REF!</definedName>
    <definedName name="BLPH13000057" hidden="1">#REF!</definedName>
    <definedName name="BLPH13000058" hidden="1">#REF!</definedName>
    <definedName name="BLPH13000059" hidden="1">#REF!</definedName>
    <definedName name="BLPH13000060" hidden="1">#REF!</definedName>
    <definedName name="BLPH13000061" hidden="1">#REF!</definedName>
    <definedName name="BLPH13000062" hidden="1">#REF!</definedName>
    <definedName name="BLPH13000063" hidden="1">#REF!</definedName>
    <definedName name="BLPH13000064" hidden="1">#REF!</definedName>
    <definedName name="BLPH13000125" hidden="1">#REF!</definedName>
    <definedName name="BLPH13000126" hidden="1">#REF!</definedName>
    <definedName name="BLPH13000127" hidden="1">#REF!</definedName>
    <definedName name="BLPH13000128" hidden="1">#REF!</definedName>
    <definedName name="BLPH13000129" hidden="1">#REF!</definedName>
    <definedName name="BLPH13000130" hidden="1">#REF!</definedName>
    <definedName name="BLPH13000131" hidden="1">#REF!</definedName>
    <definedName name="BLPH13000132" hidden="1">#REF!</definedName>
    <definedName name="BLPH13000133" hidden="1">#REF!</definedName>
    <definedName name="BLPH13000134" hidden="1">#REF!</definedName>
    <definedName name="BLPH13000135" hidden="1">#REF!</definedName>
    <definedName name="BLPH13000136" hidden="1">#REF!</definedName>
    <definedName name="BLPH13000137" hidden="1">#REF!</definedName>
    <definedName name="BLPH13000138" hidden="1">#REF!</definedName>
    <definedName name="BLPH13000139" hidden="1">#REF!</definedName>
    <definedName name="BLPH13000140" hidden="1">#REF!</definedName>
    <definedName name="BLPH13000141" hidden="1">#REF!</definedName>
    <definedName name="BLPH13000142" hidden="1">#REF!</definedName>
    <definedName name="BLPH13000143" hidden="1">#REF!</definedName>
    <definedName name="BLPH13000144" hidden="1">#REF!</definedName>
    <definedName name="BLPH13000145" hidden="1">#REF!</definedName>
    <definedName name="BLPH13000146" hidden="1">#REF!</definedName>
    <definedName name="BLPH13000147" hidden="1">#REF!</definedName>
    <definedName name="BLPH13000148" hidden="1">#REF!</definedName>
    <definedName name="BLPH13000149" hidden="1">#REF!</definedName>
    <definedName name="BLPH131" hidden="1">#REF!</definedName>
    <definedName name="BLPH132" hidden="1">#REF!</definedName>
    <definedName name="BLPH133" hidden="1">#REF!</definedName>
    <definedName name="BLPH134" hidden="1">#REF!</definedName>
    <definedName name="BLPH135" hidden="1">#REF!</definedName>
    <definedName name="BLPH136" hidden="1">#REF!</definedName>
    <definedName name="BLPH137" hidden="1">#REF!</definedName>
    <definedName name="BLPH138" hidden="1">#REF!</definedName>
    <definedName name="BLPH139" hidden="1">#REF!</definedName>
    <definedName name="BLPH14" hidden="1">#REF!</definedName>
    <definedName name="BLPH140" hidden="1">#REF!</definedName>
    <definedName name="BLPH141" hidden="1">#REF!</definedName>
    <definedName name="BLPH142" hidden="1">#REF!</definedName>
    <definedName name="BLPH143" hidden="1">#REF!</definedName>
    <definedName name="BLPH144" hidden="1">#REF!</definedName>
    <definedName name="BLPH145" hidden="1">#REF!</definedName>
    <definedName name="BLPH146" hidden="1">#REF!</definedName>
    <definedName name="BLPH147" hidden="1">#REF!</definedName>
    <definedName name="BLPH148" hidden="1">#REF!</definedName>
    <definedName name="BLPH149" hidden="1">#REF!</definedName>
    <definedName name="BLPH15" hidden="1">#REF!</definedName>
    <definedName name="BLPH150" hidden="1">#REF!</definedName>
    <definedName name="BLPH151" hidden="1">#REF!</definedName>
    <definedName name="BLPH152" hidden="1">#REF!</definedName>
    <definedName name="BLPH153"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#N/A</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#N/A</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#N/A</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#N/A</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#N/A</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#N/A</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3" hidden="1">#REF!</definedName>
    <definedName name="BLPH44" hidden="1">#REF!</definedName>
    <definedName name="BLPH445" hidden="1">#REF!</definedName>
    <definedName name="BLPH446" hidden="1">#REF!</definedName>
    <definedName name="BLPH447" hidden="1">#REF!</definedName>
    <definedName name="BLPH448" hidden="1">#REF!</definedName>
    <definedName name="BLPH45" hidden="1">#REF!</definedName>
    <definedName name="BLPH451" hidden="1">#REF!</definedName>
    <definedName name="BLPH452" hidden="1">#REF!</definedName>
    <definedName name="BLPH453" hidden="1">#REF!</definedName>
    <definedName name="BLPH454" hidden="1">#REF!</definedName>
    <definedName name="BLPH46" hidden="1">#REF!</definedName>
    <definedName name="BLPH47" hidden="1">#REF!</definedName>
    <definedName name="BLPH48" hidden="1">#REF!</definedName>
    <definedName name="BLPH49" hidden="1">#REF!</definedName>
    <definedName name="BLPH5" hidden="1">#REF!</definedName>
    <definedName name="BLPH50" hidden="1">#REF!</definedName>
    <definedName name="BLPH51"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64"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 hidden="1">#REF!</definedName>
    <definedName name="BLPH90" hidden="1">#REF!</definedName>
    <definedName name="BLPH900011" hidden="1">#REF!</definedName>
    <definedName name="BLPH900012" hidden="1">#REF!</definedName>
    <definedName name="BLPH900013"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bmbnmn" hidden="1">{#N/A,#N/A,FALSE,"KA CH  (2)"}</definedName>
    <definedName name="bmt4Updated" hidden="1">41157.727037037</definedName>
    <definedName name="bmv" hidden="1">{#N/A,#N/A,FALSE,"DCF";#N/A,#N/A,FALSE,"WACC";#N/A,#N/A,FALSE,"Sales_EBIT";#N/A,#N/A,FALSE,"Capex_Depreciation";#N/A,#N/A,FALSE,"WC";#N/A,#N/A,FALSE,"Interest";#N/A,#N/A,FALSE,"Assumptions"}</definedName>
    <definedName name="b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 hidden="1">{"oct_res_comm",#N/A,FALSE,"VarToBud"}</definedName>
    <definedName name="BNCVHDO" hidden="1">{"'Demand Units'!$X$11:$AD$45"}</definedName>
    <definedName name="bndwfb" hidden="1">{"FY97Total var",#N/A,FALSE,"FY97 - Total";"FY98Total var",#N/A,FALSE,"FY98 - Total"}</definedName>
    <definedName name="BNFJRFKJ" hidden="1">{"'Demand Units'!$X$11:$AD$45"}</definedName>
    <definedName name="BNGHFKFD" hidden="1">{"'Demand Units'!$X$11:$AD$45"}</definedName>
    <definedName name="bnkj" hidden="1">{#N/A,#N/A,FALSE,"output";#N/A,#N/A,FALSE,"contrib";#N/A,#N/A,FALSE,"profile";#N/A,#N/A,FALSE,"comps"}</definedName>
    <definedName name="bnkj1" hidden="1">{#N/A,#N/A,FALSE,"output";#N/A,#N/A,FALSE,"contrib";#N/A,#N/A,FALSE,"profile";#N/A,#N/A,FALSE,"comps"}</definedName>
    <definedName name="bnm" hidden="1">{#N/A,#N/A,FALSE,"REPORT"}</definedName>
    <definedName name="bnmk" hidden="1">{#N/A,#N/A,FALSE,"Produkte Erw.";#N/A,#N/A,FALSE,"Produkte Plan";#N/A,#N/A,FALSE,"Leistungen Erw.";#N/A,#N/A,FALSE,"Leistungen Plan";#N/A,#N/A,FALSE,"KA Allg.Kosten (2)";#N/A,#N/A,FALSE,"KA All.Kosten"}</definedName>
    <definedName name="bnmm" hidden="1">{"detail",#N/A,FALSE,"mfg";"summary",#N/A,FALSE,"mfg"}</definedName>
    <definedName name="bnnn" hidden="1">{"consolidated",#N/A,FALSE,"Sheet1";"cms",#N/A,FALSE,"Sheet1";"fse",#N/A,FALSE,"Sheet1"}</definedName>
    <definedName name="bno" hidden="1">{#N/A,#N/A,FALSE,"Index";#N/A,#N/A,FALSE,"1.1";#N/A,#N/A,FALSE,"Scenario Summary"}</definedName>
    <definedName name="both203" hidden="1">{"detail",#N/A,FALSE,"mfg";"summary",#N/A,FALSE,"mfg"}</definedName>
    <definedName name="both204" hidden="1">{"detail",#N/A,FALSE,"mfg";"summary",#N/A,FALSE,"mfg"}</definedName>
    <definedName name="both89n" hidden="1">{"detail",#N/A,FALSE,"mfg";"summary",#N/A,FALSE,"mfg"}</definedName>
    <definedName name="both8mj" hidden="1">{"detail",#N/A,FALSE,"mfg";"summary",#N/A,FALSE,"mfg"}</definedName>
    <definedName name="br" hidden="1">{"'Munka1'!$B$1:$G$101"}</definedName>
    <definedName name="BraRepKumuliert">#REF!</definedName>
    <definedName name="brgew" hidden="1">{"'Munka1'!$B$1:$G$101"}</definedName>
    <definedName name="Bridge"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ghtline" hidden="1">{"Curr Month",#N/A,FALSE,"Curr Mo";"Total West",#N/A,FALSE,"Curr Mo";"YTD",#N/A,FALSE,"Curr Mo";"12 Months",#N/A,FALSE,"Curr Mo";"13 Months",#N/A,FALSE,"Curr Mo";"14 Months",#N/A,FALSE,"Curr Mo";"15 Months",#N/A,FALSE,"Curr Mo";"43 Months",#N/A,FALSE,"Curr Mo";"45 Months",#N/A,FALSE,"Curr Mo";"63 Months",#N/A,FALSE,"Curr Mo"}</definedName>
    <definedName name="Briteline" hidden="1">{"Curr Month",#N/A,FALSE,"Curr Mo";"Total West",#N/A,FALSE,"Curr Mo";"YTD",#N/A,FALSE,"Curr Mo";"12 Months",#N/A,FALSE,"Curr Mo";"13 Months",#N/A,FALSE,"Curr Mo";"14 Months",#N/A,FALSE,"Curr Mo";"15 Months",#N/A,FALSE,"Curr Mo";"43 Months",#N/A,FALSE,"Curr Mo";"45 Months",#N/A,FALSE,"Curr Mo";"63 Months",#N/A,FALSE,"Curr Mo"}</definedName>
    <definedName name="briteline___" hidden="1">{"Curr Month",#N/A,FALSE,"Curr Mo";"Total West",#N/A,FALSE,"Curr Mo";"YTD",#N/A,FALSE,"Curr Mo";"12 Months",#N/A,FALSE,"Curr Mo";"13 Months",#N/A,FALSE,"Curr Mo";"14 Months",#N/A,FALSE,"Curr Mo";"15 Months",#N/A,FALSE,"Curr Mo";"43 Months",#N/A,FALSE,"Curr Mo";"45 Months",#N/A,FALSE,"Curr Mo";"63 Months",#N/A,FALSE,"Curr Mo"}</definedName>
    <definedName name="Broker" hidden="1">{"'Analysis'!$A$1:$B$4,$A$6:$N$129"}</definedName>
    <definedName name="Broker2" hidden="1">{"'Analysis'!$A$1:$B$4,$A$6:$N$129"}</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yan" hidden="1">{#N/A,"PURADD",FALSE,"Business Analysis";#N/A,"PURSPP",FALSE,"Business Analysis";#N/A,"CTGIND",FALSE,"Business Analysis";#N/A,"PURCHM",FALSE,"Business Analysis";#N/A,"SPADD",FALSE,"Business Analysis";#N/A,"EPOXY",FALSE,"Business Analysis";#N/A,"PURPER",FALSE,"Business Analysis"}</definedName>
    <definedName name="bs" hidden="1">{#N/A,#N/A,FALSE,"Acq-Val";#N/A,#N/A,FALSE,"Acq-Mult Val"}</definedName>
    <definedName name="BSIWhichPageSetup" hidden="1">1</definedName>
    <definedName name="BSIWhichPageSetup_0" hidden="1">"0þ"</definedName>
    <definedName name="BS차이내역" hidden="1">{#N/A,#N/A,FALSE,"정공"}</definedName>
    <definedName name="bt" hidden="1">{"QTR_ACT",#N/A,FALSE,"PROP_PBIT_DEV_Q3";"QTR_BUD",#N/A,FALSE,"PROP_PBIT_DEV_Q3";"YTD_BUD",#N/A,FALSE,"PROP_PBIT_DEV_Q3";"YTD_ACT",#N/A,FALSE,"PROP_PBIT_DEV_Q3";"FY95 SNAP3",#N/A,FALSE,"PROP_PBIT_DEV_Q3";"FY95_BUD",#N/A,FALSE,"PROP_PBIT_DEV_Q3";"FY96_BUD",#N/A,FALSE,"PROP_PBIT_DEV_Q3"}</definedName>
    <definedName name="Budget_ASM_Set" hidden="1">{"'Sheet1'!$A$1:$H$96"}</definedName>
    <definedName name="budjsett_halvår1" hidden="1">{#N/A,#N/A,FALSE,"PrintH"}</definedName>
    <definedName name="budjsett1" hidden="1">{#N/A,#N/A,FALSE,"PrintH"}</definedName>
    <definedName name="budsjett_per_mnd1" hidden="1">{#N/A,#N/A,FALSE,"PrintM"}</definedName>
    <definedName name="budsjett_per1" hidden="1">{#N/A,#N/A,FALSE,"Sheet2"}</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ll" hidden="1">{#N/A,#N/A,FALSE,"Combo-Ass ";#N/A,#N/A,FALSE,"Combo-AD sum";#N/A,#N/A,FALSE,"Combo-Syn Sens";#N/A,#N/A,FALSE,"Combo-Contr";#N/A,#N/A,FALSE,"Combo-Credit Sum";#N/A,#N/A,FALSE,"Combo-Credit";#N/A,#N/A,FALSE,"Combo-AD";#N/A,#N/A,FALSE,"Combo-AD CF"}</definedName>
    <definedName name="bull2" hidden="1">{#N/A,"PURCHM",FALSE,"Business Analysis";#N/A,"SPADD",FALSE,"Business Analysis"}</definedName>
    <definedName name="bull3" hidden="1">{"detail",#N/A,FALSE,"mfg";"summary",#N/A,FALSE,"mfg"}</definedName>
    <definedName name="bull4" hidden="1">{#N/A,"PURCHM",FALSE,"Business Analysis";#N/A,"SPADD",FALSE,"Business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llsf" hidden="1">{#N/A,#N/A,TRUE,"Tar-Ass";#N/A,#N/A,TRUE,"Tar-Ass LBO";#N/A,#N/A,TRUE,"LBO Ret";#N/A,#N/A,TRUE,"Tar-BS LBO";#N/A,#N/A,TRUE,"Tar-IS LBO";#N/A,#N/A,TRUE,"Tar-CF LBO";#N/A,#N/A,TRUE,"Tar-Debt LBO";#N/A,#N/A,TRUE,"Tar-Int LBO";#N/A,#N/A,TRUE,"Tar-Taxes LBO";#N/A,#N/A,TRUE,"Tar-Val LBO"}</definedName>
    <definedName name="bumper" hidden="1">{#N/A,#N/A,FALSE,"Assumptions";#N/A,#N/A,FALSE,"Volumes";#N/A,#N/A,FALSE,"Pricing";#N/A,#N/A,FALSE,"Variable Cost";#N/A,#N/A,FALSE,"Investment";#N/A,#N/A,FALSE,"Profitability";#N/A,#N/A,FALSE,"Business Comparison"}</definedName>
    <definedName name="bus" hidden="1">{#N/A,#N/A,TRUE,"PSG Total Contacts";#N/A,#N/A,TRUE,"PSG Rep Total";#N/A,#N/A,TRUE,"Core Rep Detail";#N/A,#N/A,TRUE,"BC Rep Detail";#N/A,#N/A,TRUE,"Marlboro";#N/A,#N/A,TRUE,"Covington";#N/A,#N/A,TRUE,"Dallas";#N/A,#N/A,TRUE,"VRS Stats";#N/A,#N/A,TRUE,"Internet";#N/A,#N/A,TRUE,"NCO and Call Mix";#N/A,#N/A,TRUE,"VRS &amp; Rep Calls"}</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t" hidden="1">{#N/A,#N/A,FALSE,"DK1VER";#N/A,#N/A,FALSE,"DK1VER"}</definedName>
    <definedName name="BV_OVER_SHARES" hidden="1">"BV_OVER_SHARES"</definedName>
    <definedName name="bvbx" hidden="1">{#N/A,#N/A,TRUE,"Historicals";#N/A,#N/A,TRUE,"Charts";#N/A,#N/A,TRUE,"Forecasts"}</definedName>
    <definedName name="bvcx" hidden="1">{#N/A,#N/A,TRUE,"Historicals";#N/A,#N/A,TRUE,"Charts";#N/A,#N/A,TRUE,"Forecasts"}</definedName>
    <definedName name="BY" hidden="1">{"'Data'!$A$1:$D$17"}</definedName>
    <definedName name="bz" hidden="1">{"budget95",#N/A,TRUE,"Tabelle1";"Tab1",#N/A,TRUE,"Tabelle2"}</definedName>
    <definedName name="c.LTMYear" hidden="1">#REF!</definedName>
    <definedName name="cab" hidden="1">{"'Munka1'!$B$1:$G$101"}</definedName>
    <definedName name="Cable" hidden="1">{#N/A,#N/A,FALSE,"Operations";#N/A,#N/A,FALSE,"Financials"}</definedName>
    <definedName name="Cable2" hidden="1">{#N/A,#N/A,FALSE,"Operations";#N/A,#N/A,FALSE,"Financials"}</definedName>
    <definedName name="cabt" hidden="1">{"'Munka1'!$B$1:$G$101"}</definedName>
    <definedName name="CabTec" hidden="1">{"'Munka1'!$B$1:$G$101"}</definedName>
    <definedName name="cabtec2" hidden="1">{"'Munka1'!$B$1:$G$101"}</definedName>
    <definedName name="Cabtec3" hidden="1">{"'Munka1'!$B$1:$G$101"}</definedName>
    <definedName name="CAE해석" hidden="1">{#N/A,#N/A,FALSE,"단축1";#N/A,#N/A,FALSE,"단축2";#N/A,#N/A,FALSE,"단축3";#N/A,#N/A,FALSE,"장축";#N/A,#N/A,FALSE,"4WD"}</definedName>
    <definedName name="cagnew" hidden="1">{"IS",#N/A,FALSE,"IS";"RPTIS",#N/A,FALSE,"RPTIS";"STATS",#N/A,FALSE,"STATS";"CELL",#N/A,FALSE,"CELL";"BS",#N/A,FALSE,"BS"}</definedName>
    <definedName name="calle" hidden="1">{#N/A,#N/A,FALSE,"PrintS"}</definedName>
    <definedName name="calle1" hidden="1">{#N/A,#N/A,FALSE,"PrintS"}</definedName>
    <definedName name="caos" hidden="1">{"FY97Total",#N/A,FALSE,"FY97 - Total";"FY98Total",#N/A,FALSE,"FY98 - Total"}</definedName>
    <definedName name="CAPA" hidden="1">{#N/A,#N/A,FALSE,"인원";#N/A,#N/A,FALSE,"비용2";#N/A,#N/A,FALSE,"비용1";#N/A,#N/A,FALSE,"비용";#N/A,#N/A,FALSE,"보증2";#N/A,#N/A,FALSE,"보증1";#N/A,#N/A,FALSE,"보증";#N/A,#N/A,FALSE,"손익1";#N/A,#N/A,FALSE,"손익";#N/A,#N/A,FALSE,"부서별매출";#N/A,#N/A,FALSE,"매출"}</definedName>
    <definedName name="Capacity" hidden="1">{#N/A,#N/A,FALSE,"IPO";#N/A,#N/A,FALSE,"DCF";#N/A,#N/A,FALSE,"LBO";#N/A,#N/A,FALSE,"MULT_VAL";#N/A,#N/A,FALSE,"Status Quo";#N/A,#N/A,FALSE,"Recap"}</definedName>
    <definedName name="CAPEX" hidden="1">"CAPEX"</definedName>
    <definedName name="CAPITAL_EXPEN" hidden="1">"CAPITAL_EXPEN"</definedName>
    <definedName name="CAPITAL_LEASE" hidden="1">"CAPITAL_LEASE"</definedName>
    <definedName name="capitalized" hidden="1">{#N/A,#N/A,FALSE,"Title Page";#N/A,#N/A,FALSE,"Conclusions";#N/A,#N/A,FALSE,"Assum.";#N/A,#N/A,FALSE,"Sun  DCF-WC-Dep";#N/A,#N/A,FALSE,"MarketValue";#N/A,#N/A,FALSE,"BalSheet";#N/A,#N/A,FALSE,"WACC";#N/A,#N/A,FALSE,"PC+ Info.";#N/A,#N/A,FALSE,"PC+Info_2"}</definedName>
    <definedName name="CapitalStructure" hidden="1">#REF!</definedName>
    <definedName name="CapSpendingExcludesSanFu" hidden="1">{"detail",#N/A,FALSE,"mfg";"summary",#N/A,FALSE,"mfg"}</definedName>
    <definedName name="carla" hidden="1">{"FY98Q1",#N/A,FALSE,"FY98 - Q1";"FY98Q2",#N/A,FALSE,"FY98 - Q2";"FY98Q3",#N/A,FALSE,"FY98 - Q3";"FY98Q4",#N/A,FALSE,"FY98 - Q4"}</definedName>
    <definedName name="casca" hidden="1">{"'Data'!$A$1:$D$17"}</definedName>
    <definedName name="cash_bf" localSheetId="55">#REF!</definedName>
    <definedName name="cash_bf">#REF!</definedName>
    <definedName name="cash_cf" localSheetId="55">#REF!</definedName>
    <definedName name="cash_cf">#REF!</definedName>
    <definedName name="CASH_DUE_BANKS" hidden="1">"CASH_DUE_BANKS"</definedName>
    <definedName name="CASH_EQUIV" hidden="1">"CASH_EQUIV"</definedName>
    <definedName name="CASH_INTEREST" hidden="1">"CASH_INTEREST"</definedName>
    <definedName name="CASH_ST" hidden="1">"CASH_ST"</definedName>
    <definedName name="CASH_TAXES" hidden="1">"CASH_TAXES"</definedName>
    <definedName name="CashflFinanzierg" hidden="1">#REF!</definedName>
    <definedName name="CashflFinanzierg_" hidden="1">#REF!</definedName>
    <definedName name="CashflInvestition" hidden="1">#REF!</definedName>
    <definedName name="CashflInvestition_" hidden="1">#REF!</definedName>
    <definedName name="CashflLfdGesch" hidden="1">#REF!</definedName>
    <definedName name="CashflLfdGesch_" hidden="1">#REF!</definedName>
    <definedName name="cast" hidden="1">{#N/A,#N/A,TRUE,"PSG Total Contacts";#N/A,#N/A,TRUE,"PSG Rep Total";#N/A,#N/A,TRUE,"Core Rep Detail";#N/A,#N/A,TRUE,"BC Rep Detail";#N/A,#N/A,TRUE,"Marlboro";#N/A,#N/A,TRUE,"Covington";#N/A,#N/A,TRUE,"Dallas";#N/A,#N/A,TRUE,"VRS Stats";#N/A,#N/A,TRUE,"Internet";#N/A,#N/A,TRUE,"NCO and Call Mix";#N/A,#N/A,TRUE,"VRS &amp; Rep Calls"}</definedName>
    <definedName name="casta" hidden="1">{"FY97Total var",#N/A,FALSE,"FY97 - Total";"FY98Total var",#N/A,FALSE,"FY98 - Total"}</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hidden="1">#N/A</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55036A2_opts" hidden="1">"1, 1, 1, False, 2, True, False, , 0, False, False, 1, 1"</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6EBA7BA_opts" hidden="1">"1, 1, 1, False, 2, True, False, , 0, False, True,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9DDC996_opts" hidden="1">"1, 10, 1, False, 2, False, False, , 0, False, False, 2,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1B34D814_opts" hidden="1">"1, 1, 1, False, 2, True, False, , 0, False, False, 1, 1"</definedName>
    <definedName name="cb_sChart1B34D894_opts" hidden="1">"1, 1, 1, False, 2, True, False, , 0, False, False, 1, 2"</definedName>
    <definedName name="cb_sChart1B34D987_opts" hidden="1">"1, 1, 1, False, 2, False, False, , 0, False, False,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4AB240_opts" hidden="1">"1, 9, 1, False, 2, False, False, , 0, False, True, 2, 2"</definedName>
    <definedName name="cb_sChart1D5372A5_opts" hidden="1">"1, 5, 1, False, 2, False, False, , 0, False, False, 1, 1"</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9B8D4_opts" hidden="1">"1, 10, 1, False, 2, False, False, , 0, False, False, 1, 1"</definedName>
    <definedName name="cb_sChart1DB9C5CE_opts" hidden="1">"1, 10, 1, False, 2, False, False, , 0, False, False, 1, 1"</definedName>
    <definedName name="cb_sChart1DBAAD_opts" hidden="1">"2, 1, 2, True, 2, False, False, , 0, False, True, 1, 2"</definedName>
    <definedName name="cb_sChart1DBB89_opts" hidden="1">"2, 1, 2, True, 2, False, False, , 0, False, True, 1, 1"</definedName>
    <definedName name="cb_sChart1DBCD0EE_opts" hidden="1">"1, 10, 1, False, 2, False, False, , 0, False, False, 1, 1"</definedName>
    <definedName name="cb_sChart1DBCD418_opts" hidden="1">"1, 10, 1, False, 2, False, False, , 0, False, False,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2218BA_opts" hidden="1">"1, 4, 1, False, 2, False, False, , 0, False, True, 1, 1"</definedName>
    <definedName name="cb_sChartE221ADA_opts" hidden="1">"1, 5, 1, False, 2, False, False, , 0, False, False, 1, 1"</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-1131501022</definedName>
    <definedName name="cc" hidden="1">#REF!</definedName>
    <definedName name="çç" hidden="1">{"Informes",#N/A,FALSE,"CA";"Informes",#N/A,FALSE,"CN";"Informes",#N/A,FALSE,"INVERSIONES";"Informes",#N/A,FALSE,"CN Oficial";"Informes",#N/A,FALSE,"CA Oficial";"Informes",#N/A,FALSE,"Res Datos Areas"}</definedName>
    <definedName name="CC_Budget_2005_7810" hidden="1">{"'Raumplanung April'!$A$1:$H$30"}</definedName>
    <definedName name="ccac" hidden="1">{"hist_rev",#N/A,FALSE,"Revenue buildup-hist";"hist_rev_growth",#N/A,FALSE,"Revenue buildup-hist";"hist_exp",#N/A,FALSE,"Revenue buildup-hist";"hist_exp_growth",#N/A,FALSE,"Revenue buildup-hist";"historical_workcap",#N/A,FALSE,"Assumptions"}</definedName>
    <definedName name="ccc"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cccc" hidden="1">{#N/A,#N/A,TRUE,"Cont_Stell";#N/A,#N/A,TRUE,"BTG";#N/A,#N/A,TRUE,"SH";#N/A,#N/A,TRUE,"GUV";#N/A,#N/A,TRUE,"Bilanz";#N/A,#N/A,TRUE,"WC";#N/A,#N/A,TRUE,"Beweg_bil";#N/A,#N/A,TRUE,"Kap_fluß";#N/A,#N/A,TRUE,"KENNZ";#N/A,#N/A,TRUE,"ANALYSE"}</definedName>
    <definedName name="ccccc" hidden="1">{#N/A,#N/A,FALSE,"Layout Cash Flow"}</definedName>
    <definedName name="CCCCCCCCC" hidden="1">{#N/A,#N/A,FALSE,"Cover Sheet";#N/A,#N/A,FALSE,"Ave_Trans_Shp_Abs";#N/A,#N/A,FALSE,"Det_Shp_Abs";#N/A,#N/A,FALSE,"Ave_Trans_Inst_Abs";#N/A,#N/A,FALSE,"Det_Ins_Abs";#N/A,#N/A,FALSE,"Ave_Trans_Tot_ABS";#N/A,#N/A,FALSE,"Det_Total_ABS"}</definedName>
    <definedName name="CCCCCCCCCCCCCCCCCC" hidden="1">#REF!</definedName>
    <definedName name="cccddd" hidden="1">{#N/A,#N/A,FALSE,"단축1";#N/A,#N/A,FALSE,"단축2";#N/A,#N/A,FALSE,"단축3";#N/A,#N/A,FALSE,"장축";#N/A,#N/A,FALSE,"4WD"}</definedName>
    <definedName name="ccchart1" hidden="1">#REF!</definedName>
    <definedName name="ccchart2" hidden="1">#REF!</definedName>
    <definedName name="ccchart3" hidden="1">#REF!</definedName>
    <definedName name="ccchart4" hidden="1">#REF!</definedName>
    <definedName name="ccchart5" hidden="1">#REF!</definedName>
    <definedName name="ccczz" hidden="1">{#N/A,"VB",FALSE,"output";#N/A,"VS",FALSE,"output";#N/A,"VC",FALSE,"output";#N/A,"VG",FALSE,"output";#N/A,"J1",FALSE,"output";#N/A,"PT",FALSE,"output"}</definedName>
    <definedName name="ccf" hidden="1">{"YD PRS",#N/A,FALSE,"YTD"}</definedName>
    <definedName name="cchart1" hidden="1">#REF!</definedName>
    <definedName name="cchart2" hidden="1">#REF!</definedName>
    <definedName name="cchart4" hidden="1">#REF!</definedName>
    <definedName name="cchart5" hidden="1">#REF!</definedName>
    <definedName name="cd" hidden="1">{"equity comps",#N/A,FALSE,"CS Comps";"equity comps",#N/A,FALSE,"PS Comps";"equity comps",#N/A,FALSE,"GIC_Comps";"equity comps",#N/A,FALSE,"GIC2_Comps";"debt comps",#N/A,FALSE,"CS Comps";"debt comps",#N/A,FALSE,"PS Comps";"debt comps",#N/A,FALSE,"GIC_Comps";"debt comps",#N/A,FALSE,"GIC2_Comps"}</definedName>
    <definedName name="cdalt" hidden="1">{"budget95",#N/A,TRUE,"Tabelle1";"Tab1",#N/A,TRUE,"Tabelle2"}</definedName>
    <definedName name="cdAM" hidden="1">{"budget95",#N/A,TRUE,"Tabelle1";"Tab1",#N/A,TRUE,"Tabelle2"}</definedName>
    <definedName name="cdam00" hidden="1">{"budget95",#N/A,TRUE,"Tabelle1";"Tab1",#N/A,TRUE,"Tabelle2"}</definedName>
    <definedName name="cdam1100" hidden="1">{"budget95",#N/A,TRUE,"Tabelle1";"Tab1",#N/A,TRUE,"Tabelle2"}</definedName>
    <definedName name="cdamend" hidden="1">{"budget95",#N/A,TRUE,"Tabelle1";"Tab1",#N/A,TRUE,"Tabelle2"}</definedName>
    <definedName name="cdamend1" hidden="1">{"budget95",#N/A,TRUE,"Tabelle1";"Tab1",#N/A,TRUE,"Tabelle2"}</definedName>
    <definedName name="cdamend2" hidden="1">{"budget95",#N/A,TRUE,"Tabelle1";"Tab1",#N/A,TRUE,"Tabelle2"}</definedName>
    <definedName name="cddd" hidden="1">{"budget95",#N/A,TRUE,"Tabelle1";"Tab1",#N/A,TRUE,"Tabelle2"}</definedName>
    <definedName name="cdds" hidden="1">{"detail",#N/A,FALSE,"mfg";"summary",#N/A,FALSE,"mfg"}</definedName>
    <definedName name="cde"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cdf" hidden="1">{"sales growth",#N/A,FALSE,"summary";"oper income",#N/A,FALSE,"summary";"oros rank",#N/A,FALSE,"summary";"net assets",#N/A,FALSE,"summary";"asset turnover",#N/A,FALSE,"summary";"orona",#N/A,FALSE,"summary"}</definedName>
    <definedName name="cdff" hidden="1">{"equity comps",#N/A,FALSE,"CS Comps";"equity comps",#N/A,FALSE,"PS Comps";"equity comps",#N/A,FALSE,"GIC_Comps";"equity comps",#N/A,FALSE,"GIC2_Comps";"debt comps",#N/A,FALSE,"CS Comps";"debt comps",#N/A,FALSE,"PS Comps";"debt comps",#N/A,FALSE,"GIC_Comps";"debt comps",#N/A,FALSE,"GIC2_Comps"}</definedName>
    <definedName name="cdfor" hidden="1">{"budget95",#N/A,TRUE,"Tabelle1";"Tab1",#N/A,TRUE,"Tabelle2"}</definedName>
    <definedName name="cdol" hidden="1">{"budget95",#N/A,TRUE,"Tabelle1";"Tab1",#N/A,TRUE,"Tabelle2"}</definedName>
    <definedName name="CDpers" hidden="1">{"budget95",#N/A,TRUE,"Tabelle1";"Tab1",#N/A,TRUE,"Tabelle2"}</definedName>
    <definedName name="cds" hidden="1">{"detail",#N/A,FALSE,"mfg";"summary",#N/A,FALSE,"mfg"}</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rto" hidden="1">{"FY97Q1",#N/A,FALSE,"FY97 - Q1";"FY97Q2",#N/A,FALSE,"FY97 - Q2";"FY97Q3",#N/A,FALSE,"FY97 - Q3";"FY97Q4",#N/A,FALSE,"FY97 - Q4"}</definedName>
    <definedName name="certro" hidden="1">{"FY98Q1",#N/A,FALSE,"FY98 - Q1";"FY98Q2",#N/A,FALSE,"FY98 - Q2";"FY98Q3",#N/A,FALSE,"FY98 - Q3";"FY98Q4",#N/A,FALSE,"FY98 - Q4"}</definedName>
    <definedName name="cew" hidden="1">{"ICD Details",#N/A,FALSE,"Current Yr";"ICD Details",#N/A,FALSE,"Budget";"ICD Details",#N/A,FALSE,"Prior Year"}</definedName>
    <definedName name="cfg" hidden="1">{"Act_vs_Budget",#N/A,FALSE,"QTRDPVAR";"Act_vs_Prior_Year",#N/A,FALSE,"QTRDPVAR"}</definedName>
    <definedName name="CFiniN" hidden="1">0</definedName>
    <definedName name="cfs" hidden="1">{"YD LOUISIANA",#N/A,FALSE,"YTD"}</definedName>
    <definedName name="CFSheetVisible" hidden="1">#REF!</definedName>
    <definedName name="cghj" hidden="1">{"ReportTop",#N/A,FALSE,"report top"}</definedName>
    <definedName name="ch" hidden="1">{"sbfk2",#N/A,FALSE,"A";"sbkf3",#N/A,FALSE,"A";"sbkf4",#N/A,FALSE,"A";"sbkf1",#N/A,FALSE,"A"}</definedName>
    <definedName name="CH14_6" hidden="1">{"SCM_Detail",#N/A,FALSE,"SCM";"SCM_Top",#N/A,FALSE,"SCM"}</definedName>
    <definedName name="CH21_6" hidden="1">{"SCM_Detail",#N/A,FALSE,"SCM";"SCM_Top",#N/A,FALSE,"SCM"}</definedName>
    <definedName name="chang" hidden="1">{#N/A,#N/A,FALSE,"을지 (4)";#N/A,#N/A,FALSE,"을지 (5)";#N/A,#N/A,FALSE,"을지 (6)"}</definedName>
    <definedName name="ChangAT" hidden="1">{#N/A,"VB",FALSE,"output";#N/A,"VS",FALSE,"output";#N/A,"VC",FALSE,"output";#N/A,"VG",FALSE,"output";#N/A,"J1",FALSE,"output";#N/A,"PT",FALSE,"output"}</definedName>
    <definedName name="change" hidden="1">{1;"Konsol_Eingabe";2;"Konsol_Ausgabe";"Yellow";"No value";TRUE}</definedName>
    <definedName name="ChangeRange" hidden="1">#REF!</definedName>
    <definedName name="ChangeRange1" hidden="1">#REF!</definedName>
    <definedName name="CHANGES_WORK_CAP" hidden="1">"CHANGES_WORK_CAP"</definedName>
    <definedName name="Chart" hidden="1">#REF!</definedName>
    <definedName name="chartNew" hidden="1">{#N/A,#N/A,FALSE,"SUMMARY";#N/A,#N/A,FALSE,"mcsh";#N/A,#N/A,FALSE,"vol&amp;rev";#N/A,#N/A,FALSE,"wkgcap";#N/A,#N/A,FALSE,"DEPR&amp;DT";#N/A,#N/A,FALSE,"ASSETS";#N/A,#N/A,FALSE,"NI&amp;OTH&amp;DIV";#N/A,#N/A,FALSE,"CASHFLOW";#N/A,#N/A,FALSE,"CAPEMPL";#N/A,#N/A,FALSE,"ROCE"}</definedName>
    <definedName name="Charts2" hidden="1">#REF!</definedName>
    <definedName name="checkthis" hidden="1">#REF!</definedName>
    <definedName name="chgcvhgvvg" hidden="1">#REF!</definedName>
    <definedName name="CHIARA" hidden="1">{"'Future Reviews'!$A$1:$D$58"}</definedName>
    <definedName name="chiho" hidden="1">{"'下期集計（10.27迄・速報値）'!$Q$16"}</definedName>
    <definedName name="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chosie" hidden="1">{#N/A,#N/A,FALSE,"Pharm";#N/A,#N/A,FALSE,"WWCM"}</definedName>
    <definedName name="ci" hidden="1">{#N/A,#N/A,FALSE,"단축1";#N/A,#N/A,FALSE,"단축2";#N/A,#N/A,FALSE,"단축3";#N/A,#N/A,FALSE,"장축";#N/A,#N/A,FALSE,"4WD"}</definedName>
    <definedName name="ciao" hidden="1">{"FY98Q1 var",#N/A,FALSE,"FY98 - Q1";"FY98Q2 var",#N/A,FALSE,"FY98 - Q2";"FY98Q3 var",#N/A,FALSE,"FY98 - Q3";"FY98Q4 var",#N/A,FALSE,"FY98 - Q4"}</definedName>
    <definedName name="cieco" hidden="1">{"Allocation Matrix p1",#N/A,FALSE,"Allocation Matrix";"Allocation Matrix p2",#N/A,FALSE,"Allocation Matrix";"Allocation Matrix p3",#N/A,FALSE,"Allocation Matrix"}</definedName>
    <definedName name="cifra" hidden="1">{"FY97Q1 var",#N/A,FALSE,"FY97 - Q1";"FY97Q2 var",#N/A,FALSE,"FY97 - Q2";"FY97Q3 var",#N/A,FALSE,"FY97 - Q3";"FY97Q4 var",#N/A,FALSE,"FY97 - Q4"}</definedName>
    <definedName name="CIQANR_76cee6ac8ea746c4b5aac5c94447979c" hidden="1">#REF!</definedName>
    <definedName name="CIQANR_96c1cddfe61944a0bc15fe251fce345b" hidden="1">#REF!</definedName>
    <definedName name="CIQANR_d9968032b4694a8b9fc09ae21794208a" hidden="1">#REF!</definedName>
    <definedName name="CIQWBGuid" localSheetId="47" hidden="1">"bb66dab2-b0de-4d5c-823e-fa56f3f7f235"</definedName>
    <definedName name="CIQWBGuid" localSheetId="50" hidden="1">"bb66dab2-b0de-4d5c-823e-fa56f3f7f235"</definedName>
    <definedName name="CIQWBGuid" localSheetId="48" hidden="1">"bb66dab2-b0de-4d5c-823e-fa56f3f7f235"</definedName>
    <definedName name="CIQWBGuid" localSheetId="51" hidden="1">"bb66dab2-b0de-4d5c-823e-fa56f3f7f235"</definedName>
    <definedName name="CIQWBGuid" hidden="1">"e473bc52-1d15-455f-9146-6dcac3eeeceb"</definedName>
    <definedName name="CIQWBGuid_1" hidden="1">"45c41a06-4b14-428c-b2bf-cfa5f0eafbc0"</definedName>
    <definedName name="CIQWBGuid2" hidden="1">"1624847b-4375-42fb-9dd7-40ba87e6aaa1"</definedName>
    <definedName name="CIQWBGuil2" hidden="1">"c74735fe-0900-4227-b020-948d12a31ac8"</definedName>
    <definedName name="CIQWBInfo" localSheetId="47" hidden="1">"{ ""CIQVersion"":""9.52.4409.4666"" }"</definedName>
    <definedName name="CIQWBInfo" localSheetId="50" hidden="1">"{ ""CIQVersion"":""9.52.4409.4666"" }"</definedName>
    <definedName name="CIQWBInfo" hidden="1">"{ ""CIQVersion"":""9.52.4409.4666"" }"</definedName>
    <definedName name="CITY" hidden="1">"CITY"</definedName>
    <definedName name="cjghjhj" hidden="1">{#N/A,#N/A,FALSE,"Umsatz CH";#N/A,#N/A,FALSE,"ER CH";#N/A,#N/A,FALSE,"EA CH (2) ";#N/A,#N/A,FALSE,"EA CH";#N/A,#N/A,FALSE,"EA CH (3) ";#N/A,#N/A,FALSE,"EA CH (4)";#N/A,#N/A,FALSE,"KA CH";#N/A,#N/A,FALSE,"KA CH  (2)";#N/A,#N/A,FALSE,"KA CH  (3)";#N/A,#N/A,FALSE,"KA CH (4)"}</definedName>
    <definedName name="CL" hidden="1">1</definedName>
    <definedName name="ÇLK" hidden="1">{"'comite'!$A$9:$G$44","'comite'!$A$1:$G$6"}</definedName>
    <definedName name="CLsysID" hidden="1">"BWP"</definedName>
    <definedName name="Co50py" hidden="1">{#N/A,"DR",FALSE,"increm pf";#N/A,"MAMSI",FALSE,"increm pf";#N/A,"MAXI",FALSE,"increm pf";#N/A,"PCAM",FALSE,"increm pf";#N/A,"PHSV",FALSE,"increm pf";#N/A,"SIE",FALSE,"increm pf"}</definedName>
    <definedName name="COGstandard" hidden="1">{#N/A,#N/A,FALSE,"Pharm";#N/A,#N/A,FALSE,"WWCM"}</definedName>
    <definedName name="Coltrol29" hidden="1">{"'Data'!$A$1:$D$17"}</definedName>
    <definedName name="Column" hidden="1">#REF!</definedName>
    <definedName name="comeonnow" hidden="1">{#N/A,#N/A,FALSE,"Performance Flash Report"}</definedName>
    <definedName name="comite" hidden="1">{"'comite'!$A$9:$G$44","'comite'!$A$1:$G$6"}</definedName>
    <definedName name="COMMON_STOCK" hidden="1">"COMMON_STOCK"</definedName>
    <definedName name="commonstart" hidden="1">#REF!</definedName>
    <definedName name="comp2" hidden="1">{"'Sheet1'!$A$1:$H$96"}</definedName>
    <definedName name="comp21" hidden="1">#REF!</definedName>
    <definedName name="comp22" hidden="1">#REF!</definedName>
    <definedName name="comp23" hidden="1">#REF!</definedName>
    <definedName name="comp24" hidden="1">#REF!</definedName>
    <definedName name="comp25" hidden="1">#REF!</definedName>
    <definedName name="comp26" hidden="1">#REF!</definedName>
    <definedName name="comp27" hidden="1">#REF!</definedName>
    <definedName name="comp28" hidden="1">#REF!</definedName>
    <definedName name="comp29" hidden="1">#REF!</definedName>
    <definedName name="comp30" hidden="1">#REF!</definedName>
    <definedName name="comp31" hidden="1">#REF!</definedName>
    <definedName name="comp32" hidden="1">#REF!</definedName>
    <definedName name="comp33" hidden="1">#REF!</definedName>
    <definedName name="comp34" hidden="1">#REF!</definedName>
    <definedName name="comp35" hidden="1">#REF!</definedName>
    <definedName name="comp36" hidden="1">#REF!</definedName>
    <definedName name="COMPANY_ADDRESS" hidden="1">"COMPANY_ADDRESS"</definedName>
    <definedName name="Company_Code" hidden="1">"USDO"</definedName>
    <definedName name="COMPANY_NAME" hidden="1">"COMPANY_NAME"</definedName>
    <definedName name="COMPANY_PHONE" hidden="1">"COMPANY_PHONE"</definedName>
    <definedName name="COMPANY_STREET1" hidden="1">"COMPANY_STREET1"</definedName>
    <definedName name="COMPANY_STREET2" hidden="1">"COMPANY_STREET2"</definedName>
    <definedName name="COMPANY_TICKER" hidden="1">"COMPANY_TICKER"</definedName>
    <definedName name="COMPANY_WEBSITE" hidden="1">"COMPANY_WEBSITE"</definedName>
    <definedName name="COMPANY_ZIP" hidden="1">"COMPANY_ZIP"</definedName>
    <definedName name="CompanyName" hidden="1">#REF!</definedName>
    <definedName name="Comparable" hidden="1">{"First Page",#N/A,FALSE,"Surfactants LBO";"Second Page",#N/A,FALSE,"Surfactants LBO"}</definedName>
    <definedName name="Comparative_Period" hidden="1">#REF!</definedName>
    <definedName name="Compco1" hidden="1">{"Page1",#N/A,FALSE,"CompCo";"Page2",#N/A,FALSE,"CompCo"}</definedName>
    <definedName name="Compco2" hidden="1">{"Page1",#N/A,FALSE,"CompCo";"Page2",#N/A,FALSE,"CompCo"}</definedName>
    <definedName name="completion" localSheetId="55">#REF!</definedName>
    <definedName name="completion">#REF!</definedName>
    <definedName name="compnam" hidden="1">#REF!</definedName>
    <definedName name="compresult" hidden="1">{"FCB_ALL",#N/A,FALSE,"FCB"}</definedName>
    <definedName name="compresult2" hidden="1">{"FCB_ALL",#N/A,FALSE,"FCB"}</definedName>
    <definedName name="compresults" hidden="1">{"FCB_ALL",#N/A,FALSE,"FCB"}</definedName>
    <definedName name="CompYear" hidden="1">#REF!</definedName>
    <definedName name="CONCEPT" hidden="1">{#N/A,#N/A,FALSE,"단축1";#N/A,#N/A,FALSE,"단축2";#N/A,#N/A,FALSE,"단축3";#N/A,#N/A,FALSE,"장축";#N/A,#N/A,FALSE,"4WD"}</definedName>
    <definedName name="Condensed" hidden="1">{"execsum",#N/A,FALSE,"ExecSum";"finstatement",#N/A,FALSE,"Fin_St"}</definedName>
    <definedName name="CONF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onfused" hidden="1">#REF!</definedName>
    <definedName name="consolidation" hidden="1">{#N/A,#N/A,FALSE,"단축1";#N/A,#N/A,FALSE,"단축2";#N/A,#N/A,FALSE,"단축3";#N/A,#N/A,FALSE,"장축";#N/A,#N/A,FALSE,"4WD"}</definedName>
    <definedName name="ConsoliDent" hidden="1">39216.5878819444</definedName>
    <definedName name="Consultant_A" localSheetId="8">#REF!</definedName>
    <definedName name="Consultant_B" localSheetId="8">#REF!</definedName>
    <definedName name="ContentsHelp" hidden="1">#REF!</definedName>
    <definedName name="cooper2" hidden="1">{#N/A,#N/A,TRUE,"Pro Forma";#N/A,#N/A,TRUE,"PF_Bal";#N/A,#N/A,TRUE,"PF_INC";#N/A,#N/A,TRUE,"CBE";#N/A,#N/A,TRUE,"SWK"}</definedName>
    <definedName name="COPY" hidden="1">{#N/A,#N/A,FALSE,"Pharm";#N/A,#N/A,FALSE,"WWCM"}</definedName>
    <definedName name="copy1" hidden="1">{#N/A,#N/A,FALSE,"Pharm";#N/A,#N/A,FALSE,"WWCM"}</definedName>
    <definedName name="COPY2" hidden="1">{#N/A,#N/A,FALSE,"Pharm";#N/A,#N/A,FALSE,"WWCM"}</definedName>
    <definedName name="copy233" hidden="1">{#N/A,#N/A,FALSE,"Pharm";#N/A,#N/A,FALSE,"WWCM"}</definedName>
    <definedName name="copy3" hidden="1">{#N/A,#N/A,TRUE,"Pro Forma";#N/A,#N/A,TRUE,"PF_Bal";#N/A,#N/A,TRUE,"PF_INC";#N/A,#N/A,TRUE,"CBE";#N/A,#N/A,TRUE,"SWK"}</definedName>
    <definedName name="copy33" hidden="1">{#N/A,#N/A,FALSE,"Pharm";#N/A,#N/A,FALSE,"WWCM"}</definedName>
    <definedName name="copy38" hidden="1">{#N/A,#N/A,FALSE,"Pharm";#N/A,#N/A,FALSE,"WWCM"}</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TE" hidden="1">{"Capital",#N/A,FALSE,"capital"}</definedName>
    <definedName name="cost" hidden="1">{#N/A,#N/A,FALSE,"Key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name="COST_REVENUE" hidden="1">"COST_REVENUE"</definedName>
    <definedName name="Costwalk" hidden="1">{"REVISED",#N/A,FALSE,"Sheet1"}</definedName>
    <definedName name="Cotrans_Grafik" hidden="1">{"general",#N/A,FALSE,"Assumptions"}</definedName>
    <definedName name="coucou" hidden="1">{#N/A,#N/A,TRUE,"Cover sheet";#N/A,#N/A,TRUE,"INPUTS";#N/A,#N/A,TRUE,"OUTPUTS";#N/A,#N/A,TRUE,"VALUATION"}</definedName>
    <definedName name="coun" hidden="1">{#N/A,#N/A,FALSE,"Assessment";#N/A,#N/A,FALSE,"Staffing";#N/A,#N/A,FALSE,"Hires";#N/A,#N/A,FALSE,"Assumptions"}</definedName>
    <definedName name="COUNT2" hidden="1">{#N/A,#N/A,FALSE,"Assessment";#N/A,#N/A,FALSE,"Staffing";#N/A,#N/A,FALSE,"Hires";#N/A,#N/A,FALSE,"Assumptions"}</definedName>
    <definedName name="COUNTRY_NAME" hidden="1">"COUNTRY_NAME"</definedName>
    <definedName name="COVER1" hidden="1">#REF!</definedName>
    <definedName name="cover2" hidden="1">#N/A</definedName>
    <definedName name="cox" hidden="1">{#N/A,#N/A,FALSE,"Time Warner";#N/A,#N/A,FALSE,"Entertainment Group";#N/A,#N/A,FALSE,"EBITDA";#N/A,#N/A,FALSE,"Notes"}</definedName>
    <definedName name="CR" hidden="1">#N/A</definedName>
    <definedName name="Crap"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CreateTable" hidden="1">#REF!</definedName>
    <definedName name="CreditStats" hidden="1">#REF!</definedName>
    <definedName name="CROSSMBR" hidden="1">{#N/A,#N/A,FALSE,"단축1";#N/A,#N/A,FALSE,"단축2";#N/A,#N/A,FALSE,"단축3";#N/A,#N/A,FALSE,"장축";#N/A,#N/A,FALSE,"4WD"}</definedName>
    <definedName name="Crystal_1_1_WEBI_DataGrid" hidden="1">#REF!</definedName>
    <definedName name="Crystal_1_1_WEBI_HHeading" hidden="1">#REF!</definedName>
    <definedName name="Crystal_1_1_WEBI_Table" hidden="1">#REF!</definedName>
    <definedName name="csa" hidden="1">{"TXO2N2_GP",#N/A,FALSE,"MTHLYGP";"TXH2_GP",#N/A,FALSE,"MTHLYGP";"LOUIS_GP",#N/A,FALSE,"MTHLYGP";"H2_GP",#N/A,FALSE,"MTHLYGP";"O2N2_GP",#N/A,FALSE,"MTHLYGP";"PACKAGE_GP",#N/A,FALSE,"MTHLYGP";"OTHER_GP",#N/A,FALSE,"MTHLYGP"}</definedName>
    <definedName name="csd" hidden="1">#N/A</definedName>
    <definedName name="ctc" hidden="1">#REF!</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cuiao" hidden="1">{"Allocation Matrix p1",#N/A,FALSE,"Allocation Matrix";"Allocation Matrix p2",#N/A,FALSE,"Allocation Matrix";"Allocation Matrix p3",#N/A,FALSE,"Allocation Matrix"}</definedName>
    <definedName name="culo" hidden="1">{#N/A,#N/A,FALSE,"Table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name="cun" hidden="1">{#N/A,#N/A,FALSE,"WOB_1.XLS";#N/A,#N/A,FALSE,"WOB_2.XLS";#N/A,#N/A,FALSE,"WOB_3.XLS";#N/A,#N/A,FALSE,"WOB_4.XLS";#N/A,#N/A,FALSE,"WOB_5.XLS"}</definedName>
    <definedName name="CUNDEZ" hidden="1">{#N/A,#N/A,FALSE,"WOB_1.XLS";#N/A,#N/A,FALSE,"WOB_2.XLS";#N/A,#N/A,FALSE,"WOB_3.XLS";#N/A,#N/A,FALSE,"WOB_4.XLS";#N/A,#N/A,FALSE,"WOB_5.XLS"}</definedName>
    <definedName name="CURRENT_PORT" hidden="1">"CURRENT_PORT"</definedName>
    <definedName name="CURRENT_RATIO" hidden="1">"CURRENT_RATIO"</definedName>
    <definedName name="CurrYear" hidden="1">#REF!</definedName>
    <definedName name="curse" hidden="1">#REF!</definedName>
    <definedName name="cursource" hidden="1">#N/A</definedName>
    <definedName name="cutting" hidden="1">#REF!</definedName>
    <definedName name="cv"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cvb" hidden="1">{#N/A,#N/A,FALSE,"Operations";#N/A,#N/A,FALSE,"Financials"}</definedName>
    <definedName name="cvbn" hidden="1">{"vol data",#N/A,FALSE,"Datasheet";"vol graph",#N/A,FALSE,"Volume";"price data",#N/A,FALSE,"Datasheet";"price graph",#N/A,FALSE,"Price";"dp data",#N/A,FALSE,"Datasheet";"dp graph",#N/A,FALSE,"DirectProfit"}</definedName>
    <definedName name="cvbncvnvbn" hidden="1">{#N/A,#N/A,FALSE,"Operations";#N/A,#N/A,FALSE,"Financials"}</definedName>
    <definedName name="cvc" hidden="1">{#N/A,#N/A,FALSE,"KA CH  (2)"}</definedName>
    <definedName name="cvcv" hidden="1">{"AS REP",#N/A,FALSE,"EEFSNAP2";"PROP",#N/A,FALSE,"EEFSNAP2";"RISKS",#N/A,FALSE,"EEFSNAP2";"VIEW ALL",#N/A,FALSE,"EEFSNAP2"}</definedName>
    <definedName name="cvf" hidden="1">{#N/A,#N/A,FALSE,"Finanzbedarfsrechnung"}</definedName>
    <definedName name="CVNCVNBVN" hidden="1">{"comp1",#N/A,FALSE,"COMPS";"footnotes",#N/A,FALSE,"COMPS"}</definedName>
    <definedName name="Cwvu.ALL." hidden="1">#REF!,#REF!</definedName>
    <definedName name="Cwvu.all.2" hidden="1">#REF!,#REF!</definedName>
    <definedName name="Cwvu.GREY_ALL." hidden="1">#REF!</definedName>
    <definedName name="Cwvu.PRT." hidden="1">#REF!,#REF!,#REF!,#REF!,#REF!</definedName>
    <definedName name="Cwvu.prt.2" hidden="1">#REF!,#REF!,#REF!,#REF!,#REF!</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Z" hidden="1">{#N/A,#N/A,FALSE,"인원";#N/A,#N/A,FALSE,"비용2";#N/A,#N/A,FALSE,"비용1";#N/A,#N/A,FALSE,"비용";#N/A,#N/A,FALSE,"보증2";#N/A,#N/A,FALSE,"보증1";#N/A,#N/A,FALSE,"보증";#N/A,#N/A,FALSE,"손익1";#N/A,#N/A,FALSE,"손익";#N/A,#N/A,FALSE,"부서별매출";#N/A,#N/A,FALSE,"매출"}</definedName>
    <definedName name="cxz" hidden="1">{"cover",#N/A,TRUE,"Cover";"toc6",#N/A,TRUE,"TOC";"over",#N/A,TRUE,"Overview";"ts2",#N/A,TRUE,"Det_Trans_Sum";"ei",#N/A,TRUE,"Earnings Impact";"ad",#N/A,TRUE,"accretion dilution";"hg",#N/A,TRUE,"Has-Gets";"pfis",#N/A,TRUE,"Pro Forma Income Statement";"ca",#N/A,TRUE,"Contribution_Analysis";"acq",#N/A,TRUE,"Acquirer";"tar",#N/A,TRUE,"Target"}</definedName>
    <definedName name="CY_15_IS" hidden="1">#REF!</definedName>
    <definedName name="CY_16_IS" hidden="1">#REF!</definedName>
    <definedName name="cz" hidden="1">{"pro_view",#N/A,FALSE,"EEFSNAP2";"rep_view",#N/A,FALSE,"EEFSNAP2"}</definedName>
    <definedName name="czf" hidden="1">{"AS REP",#N/A,FALSE,"EEFSNAP2";"PROP",#N/A,FALSE,"EEFSNAP2";"RISKS",#N/A,FALSE,"EEFSNAP2";"VIEW ALL",#N/A,FALSE,"EEFSNAP2"}</definedName>
    <definedName name="d" hidden="1">{#N/A,#N/A,FALSE,"Finanzbedarsrechnung"}</definedName>
    <definedName name="DAD" hidden="1">{#N/A,#N/A,FALSE,"REPORT"}</definedName>
    <definedName name="DADF" hidden="1">{#N/A,#N/A,FALSE,"REPORT"}</definedName>
    <definedName name="daf" hidden="1">{#N/A,#N/A,FALSE,"1";#N/A,#N/A,FALSE,"2";#N/A,#N/A,FALSE,"16 - 17";#N/A,#N/A,FALSE,"18 - 19";#N/A,#N/A,FALSE,"26";#N/A,#N/A,FALSE,"27";#N/A,#N/A,FALSE,"28"}</definedName>
    <definedName name="dafA" hidden="1">#REF!</definedName>
    <definedName name="DAFAFAE" hidden="1">{#N/A,#N/A,FALSE,"단축1";#N/A,#N/A,FALSE,"단축2";#N/A,#N/A,FALSE,"단축3";#N/A,#N/A,FALSE,"장축";#N/A,#N/A,FALSE,"4WD"}</definedName>
    <definedName name="dafd" hidden="1">{"bs",#N/A,FALSE,"SCF"}</definedName>
    <definedName name="dafs"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g" hidden="1">{"Total",#N/A,FALSE,"Six Fields";"PDP",#N/A,FALSE,"Six Fields";"PNP",#N/A,FALSE,"Six Fields";"PUD",#N/A,FALSE,"Six Fields";"Prob",#N/A,FALSE,"Six Fields"}</definedName>
    <definedName name="ＤＡＩＳＵＵ" hidden="1">{#VALUE!,#N/A,FALSE,0;#N/A,#N/A,FALSE,0;#N/A,#N/A,FALSE,0;#N/A,#N/A,FALSE,0}</definedName>
    <definedName name="dakfkjafgkeaj" hidden="1">{#N/A,#N/A,FALSE,"Pharm";#N/A,#N/A,FALSE,"WWCM"}</definedName>
    <definedName name="das" hidden="1">{#N/A,#N/A,TRUE,"Cover";#N/A,#N/A,TRUE,"Summary";#N/A,#N/A,TRUE,"P&amp;L";#N/A,#N/A,TRUE,"CF";#N/A,#N/A,TRUE,"BS";#N/A,#N/A,TRUE,"BS_Assumptions";#N/A,#N/A,TRUE,"GSM1800 -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name="dasf" hidden="1">#REF!</definedName>
    <definedName name="Dat"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Dump" hidden="1">OFFSET(#REF!,1,0)</definedName>
    <definedName name="DATA_01" hidden="1">#REF!</definedName>
    <definedName name="Data_FooterType" hidden="1">"INTERNAL"</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base.File" hidden="1">#REF!</definedName>
    <definedName name="datadownfour" hidden="1">#REF!</definedName>
    <definedName name="datadownone" hidden="1">#REF!</definedName>
    <definedName name="datadownthree" hidden="1">#REF!</definedName>
    <definedName name="datadowntwo" hidden="1">#REF!</definedName>
    <definedName name="datatoggle" hidden="1">#REF!</definedName>
    <definedName name="datatoggletwo" hidden="1">#REF!</definedName>
    <definedName name="DataValDate" hidden="1">#REF!</definedName>
    <definedName name="datavaldate2" hidden="1">#REF!</definedName>
    <definedName name="datavaldate3" hidden="1">#REF!</definedName>
    <definedName name="DateRangePrice" hidden="1">OFFSET(#REF!,5,0,COUNTA(#REF!)-COUNTA(#REF!),1)</definedName>
    <definedName name="DateRangePriceMain" hidden="1">#REF!</definedName>
    <definedName name="dave" hidden="1">{"'Form'!$A$2:$J$81"}</definedName>
    <definedName name="daws" hidden="1">{#N/A,#N/A,FALSE,"Renewals In Process";#N/A,#N/A,FALSE,"New Clients In Process";#N/A,#N/A,FALSE,"Completed New Clients";#N/A,#N/A,FALSE,"Completed Renewals"}</definedName>
    <definedName name="DAYS_PAY_OUTST" hidden="1">"DAYS_PAY_OUTST"</definedName>
    <definedName name="DAYS_SALES_OUTST" hidden="1">"DAYS_SALES_OUTST"</definedName>
    <definedName name="dbed" hidden="1">{"histincome",#N/A,FALSE,"hyfins";"closing balance",#N/A,FALSE,"hyfins"}</definedName>
    <definedName name="DCF" localSheetId="54" hidden="1">{#N/A,#N/A,FALSE,"SKG_SC";#N/A,#N/A,FALSE,"SKG_KP";#N/A,#N/A,FALSE,"SCG_KC";#N/A,#N/A,FALSE,"SKG_PM";#N/A,#N/A,FALSE,"SKG_Asta";#N/A,#N/A,FALSE,"SKG_DE";#N/A,#N/A,FALSE,"SKG_FA";#N/A,#N/A,FALSE,"SKG_EM";#N/A,#N/A,FALSE,"SKG_AK";#N/A,#N/A,FALSE,"SKG_CER";#N/A,#N/A,FALSE,"SKG_BA";#N/A,#N/A,FALSE,"SKG_KO"}</definedName>
    <definedName name="DCF" localSheetId="55" hidden="1">{#N/A,#N/A,FALSE,"SKG_SC";#N/A,#N/A,FALSE,"SKG_KP";#N/A,#N/A,FALSE,"SCG_KC";#N/A,#N/A,FALSE,"SKG_PM";#N/A,#N/A,FALSE,"SKG_Asta";#N/A,#N/A,FALSE,"SKG_DE";#N/A,#N/A,FALSE,"SKG_FA";#N/A,#N/A,FALSE,"SKG_EM";#N/A,#N/A,FALSE,"SKG_AK";#N/A,#N/A,FALSE,"SKG_CER";#N/A,#N/A,FALSE,"SKG_BA";#N/A,#N/A,FALSE,"SKG_KO"}</definedName>
    <definedName name="DCF" hidden="1">{#N/A,#N/A,FALSE,"DCF Summary";#N/A,#N/A,FALSE,"Casema";#N/A,#N/A,FALSE,"Casema NoTel";#N/A,#N/A,FALSE,"UK";#N/A,#N/A,FALSE,"RCF";#N/A,#N/A,FALSE,"Intercable CZ";#N/A,#N/A,FALSE,"Interkabel P"}</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f" localSheetId="55" hidden="1">{#N/A,#N/A,FALSE,"SKG_SC";#N/A,#N/A,FALSE,"SKG_KP";#N/A,#N/A,FALSE,"SCG_KC";#N/A,#N/A,FALSE,"SKG_PM";#N/A,#N/A,FALSE,"SKG_Asta";#N/A,#N/A,FALSE,"SKG_DE";#N/A,#N/A,FALSE,"SKG_FA";#N/A,#N/A,FALSE,"SKG_EM";#N/A,#N/A,FALSE,"SKG_AK";#N/A,#N/A,FALSE,"SKG_CER";#N/A,#N/A,FALSE,"SKG_BA";#N/A,#N/A,FALSE,"SKG_KO"}</definedName>
    <definedName name="dcff" hidden="1">{#N/A,#N/A,FALSE,"SKG_SC";#N/A,#N/A,FALSE,"SKG_KP";#N/A,#N/A,FALSE,"SCG_KC";#N/A,#N/A,FALSE,"SKG_PM";#N/A,#N/A,FALSE,"SKG_Asta";#N/A,#N/A,FALSE,"SKG_DE";#N/A,#N/A,FALSE,"SKG_FA";#N/A,#N/A,FALSE,"SKG_EM";#N/A,#N/A,FALSE,"SKG_AK";#N/A,#N/A,FALSE,"SKG_CER";#N/A,#N/A,FALSE,"SKG_BA";#N/A,#N/A,FALSE,"SKG_KO"}</definedName>
    <definedName name="dchart1" hidden="1">#REF!</definedName>
    <definedName name="dchart4" hidden="1">#REF!</definedName>
    <definedName name="dcrutu"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d" hidden="1">{#N/A,#N/A,FALSE,"Layout Aktiva";#N/A,#N/A,FALSE,"Layout Passiva"}</definedName>
    <definedName name="ddchart1" hidden="1">#REF!</definedName>
    <definedName name="ddd"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1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1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1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1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1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2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2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2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2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2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3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3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3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3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3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4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4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4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4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4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5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5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5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5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_5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dddaz" hidden="1">{#N/A,#N/A,FALSE,"Pharm";#N/A,#N/A,FALSE,"WWCM"}</definedName>
    <definedName name="dddd" hidden="1">{"'Munka1'!$B$1:$G$101"}</definedName>
    <definedName name="ddddd" hidden="1">{"Tages_D",#N/A,FALSE,"Tagesbericht";"Tages_PL",#N/A,FALSE,"Tagesbericht"}</definedName>
    <definedName name="dddddd" hidden="1">{#N/A,#N/A,FALSE,"Pharm";#N/A,#N/A,FALSE,"WWCM"}</definedName>
    <definedName name="ddddddd" hidden="1">{"detail",#N/A,FALSE,"mfg";"summary",#N/A,FALSE,"mfg"}</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dfg" hidden="1">{#N/A,#N/A,FALSE,"정공"}</definedName>
    <definedName name="ddds" hidden="1">{"cap_structure",#N/A,FALSE,"Graph-Mkt Cap";"price",#N/A,FALSE,"Graph-Price";"ebit",#N/A,FALSE,"Graph-EBITDA";"ebitda",#N/A,FALSE,"Graph-EBITDA"}</definedName>
    <definedName name="ddee" hidden="1">{#N/A,#N/A,FALSE,"Finanzbedarsrechnung"}</definedName>
    <definedName name="ddf" hidden="1">{#N/A,#N/A,FALSE,"KA CH  (2)"}</definedName>
    <definedName name="dDFA" hidden="1">{#N/A,#N/A,FALSE,"단축1";#N/A,#N/A,FALSE,"단축2";#N/A,#N/A,FALSE,"단축3";#N/A,#N/A,FALSE,"장축";#N/A,#N/A,FALSE,"4WD"}</definedName>
    <definedName name="ddfdsfg"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ddff" hidden="1">{"Bilanz grob",#N/A,TRUE,"Planbilanz";"Erfolgsrechnung grob",#N/A,TRUE,"Plan-ER";#N/A,#N/A,TRUE,"Geldfluss";"Bilanz fein",#N/A,TRUE,"Planbilanz";"Erfolgsrechnung fein",#N/A,TRUE,"Plan-ER";#N/A,#N/A,TRUE,"Absatzplan";#N/A,#N/A,TRUE,"Einkaufsplan";#N/A,#N/A,TRUE,"Investitionsplan";#N/A,#N/A,TRUE,"KK Aktionäre"}</definedName>
    <definedName name="DDO" hidden="1">{"'Future Reviews'!$A$1:$D$58"}</definedName>
    <definedName name="DDS" hidden="1">{#N/A,#N/A,FALSE,"을지 (4)";#N/A,#N/A,FALSE,"을지 (5)";#N/A,#N/A,FALSE,"을지 (6)"}</definedName>
    <definedName name="ddsad"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ddsafdsf" hidden="1">{#N/A,#N/A,FALSE,"Index";#N/A,#N/A,FALSE,"1.1";#N/A,#N/A,FALSE,"Scenario Summary"}</definedName>
    <definedName name="ddx" hidden="1">{"YD LAPO2",#N/A,FALSE,"YTD";"YD LPH2",#N/A,FALSE,"YTD";"YD LOUISIANA",#N/A,FALSE,"YTD";"YD GENERALH2",#N/A,FALSE,"YTD";"YD PRS",#N/A,FALSE,"YTD";"YD PACKAGE",#N/A,FALSE,"YTD";"YD OTHER",#N/A,FALSE,"YTD"}</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bt_ratedBBB" hidden="1">{#N/A,#N/A,FALSE,"Aging Summary";#N/A,#N/A,FALSE,"Ratio Analysis";#N/A,#N/A,FALSE,"Test 120 Day Accts";#N/A,#N/A,FALSE,"Tickmarks"}</definedName>
    <definedName name="debt000" hidden="1">{"NP-New Acquisition",#N/A,FALSE,"NOTE PAYMENTS";"NP-Strategic Loan",#N/A,FALSE,"NOTE PAYMENTS";"NP-Tech Loan",#N/A,FALSE,"NOTE PAYMENTS";"NP-Existing Debt",#N/A,FALSE,"NOTE PAYMENTS";"NP-Curr Maturity",#N/A,FALSE,"NOTE PAYMENTS";"NP-Interest Exp",#N/A,FALSE,"NOTE PAYMENTS"}</definedName>
    <definedName name="debt1" hidden="1">{"NP-New Acquisition",#N/A,FALSE,"NOTE PAYMENTS";"NP-Strategic Loan",#N/A,FALSE,"NOTE PAYMENTS";"NP-Tech Loan",#N/A,FALSE,"NOTE PAYMENTS";"NP-Existing Debt",#N/A,FALSE,"NOTE PAYMENTS";"NP-Curr Maturity",#N/A,FALSE,"NOTE PAYMENTS";"NP-Interest Exp",#N/A,FALSE,"NOTE PAYMENTS"}</definedName>
    <definedName name="debt10" hidden="1">{"NP-New Acquisition",#N/A,FALSE,"NOTE PAYMENTS";"NP-Strategic Loan",#N/A,FALSE,"NOTE PAYMENTS";"NP-Tech Loan",#N/A,FALSE,"NOTE PAYMENTS";"NP-Existing Debt",#N/A,FALSE,"NOTE PAYMENTS";"NP-Curr Maturity",#N/A,FALSE,"NOTE PAYMENTS";"NP-Interest Exp",#N/A,FALSE,"NOTE PAYMENTS"}</definedName>
    <definedName name="debt2" hidden="1">{"NP-New Acquisition",#N/A,FALSE,"NOTE PAYMENTS";"NP-Strategic Loan",#N/A,FALSE,"NOTE PAYMENTS";"NP-Tech Loan",#N/A,FALSE,"NOTE PAYMENTS";"NP-Existing Debt",#N/A,FALSE,"NOTE PAYMENTS";"NP-Curr Maturity",#N/A,FALSE,"NOTE PAYMENTS";"NP-Interest Exp",#N/A,FALSE,"NOTE PAYMENTS"}</definedName>
    <definedName name="debt21" hidden="1">{"NP-New Acquisition",#N/A,FALSE,"NOTE PAYMENTS";"NP-Strategic Loan",#N/A,FALSE,"NOTE PAYMENTS";"NP-Tech Loan",#N/A,FALSE,"NOTE PAYMENTS";"NP-Existing Debt",#N/A,FALSE,"NOTE PAYMENTS";"NP-Curr Maturity",#N/A,FALSE,"NOTE PAYMENTS";"NP-Interest Exp",#N/A,FALSE,"NOTE PAYMENTS"}</definedName>
    <definedName name="debt25" hidden="1">{"NP-New Acquisition",#N/A,FALSE,"NOTE PAYMENTS";"NP-Strategic Loan",#N/A,FALSE,"NOTE PAYMENTS";"NP-Tech Loan",#N/A,FALSE,"NOTE PAYMENTS";"NP-Existing Debt",#N/A,FALSE,"NOTE PAYMENTS";"NP-Curr Maturity",#N/A,FALSE,"NOTE PAYMENTS";"NP-Interest Exp",#N/A,FALSE,"NOTE PAYMENTS"}</definedName>
    <definedName name="debt26" hidden="1">{"NP-New Acquisition",#N/A,FALSE,"NOTE PAYMENTS";"NP-Strategic Loan",#N/A,FALSE,"NOTE PAYMENTS";"NP-Tech Loan",#N/A,FALSE,"NOTE PAYMENTS";"NP-Existing Debt",#N/A,FALSE,"NOTE PAYMENTS";"NP-Curr Maturity",#N/A,FALSE,"NOTE PAYMENTS";"NP-Interest Exp",#N/A,FALSE,"NOTE PAYMENTS"}</definedName>
    <definedName name="debt27" hidden="1">{"NP-New Acquisition",#N/A,FALSE,"NOTE PAYMENTS";"NP-Strategic Loan",#N/A,FALSE,"NOTE PAYMENTS";"NP-Tech Loan",#N/A,FALSE,"NOTE PAYMENTS";"NP-Existing Debt",#N/A,FALSE,"NOTE PAYMENTS";"NP-Curr Maturity",#N/A,FALSE,"NOTE PAYMENTS";"NP-Interest Exp",#N/A,FALSE,"NOTE PAYMENTS"}</definedName>
    <definedName name="debt35" hidden="1">{"NP-New Acquisition",#N/A,FALSE,"NOTE PAYMENTS";"NP-Strategic Loan",#N/A,FALSE,"NOTE PAYMENTS";"NP-Tech Loan",#N/A,FALSE,"NOTE PAYMENTS";"NP-Existing Debt",#N/A,FALSE,"NOTE PAYMENTS";"NP-Curr Maturity",#N/A,FALSE,"NOTE PAYMENTS";"NP-Interest Exp",#N/A,FALSE,"NOTE PAYMENTS"}</definedName>
    <definedName name="debt5" hidden="1">{"NP-New Acquisition",#N/A,FALSE,"NOTE PAYMENTS";"NP-Strategic Loan",#N/A,FALSE,"NOTE PAYMENTS";"NP-Tech Loan",#N/A,FALSE,"NOTE PAYMENTS";"NP-Existing Debt",#N/A,FALSE,"NOTE PAYMENTS";"NP-Curr Maturity",#N/A,FALSE,"NOTE PAYMENTS";"NP-Interest Exp",#N/A,FALSE,"NOTE PAYMENTS"}</definedName>
    <definedName name="debt6" hidden="1">{"NP-New Acquisition",#N/A,FALSE,"NOTE PAYMENTS";"NP-Strategic Loan",#N/A,FALSE,"NOTE PAYMENTS";"NP-Tech Loan",#N/A,FALSE,"NOTE PAYMENTS";"NP-Existing Debt",#N/A,FALSE,"NOTE PAYMENTS";"NP-Curr Maturity",#N/A,FALSE,"NOTE PAYMENTS";"NP-Interest Exp",#N/A,FALSE,"NOTE PAYMENTS"}</definedName>
    <definedName name="debt66" hidden="1">{"NP-New Acquisition",#N/A,FALSE,"NOTE PAYMENTS";"NP-Strategic Loan",#N/A,FALSE,"NOTE PAYMENTS";"NP-Tech Loan",#N/A,FALSE,"NOTE PAYMENTS";"NP-Existing Debt",#N/A,FALSE,"NOTE PAYMENTS";"NP-Curr Maturity",#N/A,FALSE,"NOTE PAYMENTS";"NP-Interest Exp",#N/A,FALSE,"NOTE PAYMENTS"}</definedName>
    <definedName name="debt7" hidden="1">{"NP-New Acquisition",#N/A,FALSE,"NOTE PAYMENTS";"NP-Strategic Loan",#N/A,FALSE,"NOTE PAYMENTS";"NP-Tech Loan",#N/A,FALSE,"NOTE PAYMENTS";"NP-Existing Debt",#N/A,FALSE,"NOTE PAYMENTS";"NP-Curr Maturity",#N/A,FALSE,"NOTE PAYMENTS";"NP-Interest Exp",#N/A,FALSE,"NOTE PAYMENTS"}</definedName>
    <definedName name="debt8" hidden="1">{"NP-New Acquisition",#N/A,FALSE,"NOTE PAYMENTS";"NP-Strategic Loan",#N/A,FALSE,"NOTE PAYMENTS";"NP-Tech Loan",#N/A,FALSE,"NOTE PAYMENTS";"NP-Existing Debt",#N/A,FALSE,"NOTE PAYMENTS";"NP-Curr Maturity",#N/A,FALSE,"NOTE PAYMENTS";"NP-Interest Exp",#N/A,FALSE,"NOTE PAYMENTS"}</definedName>
    <definedName name="debtpref" hidden="1">#REF!</definedName>
    <definedName name="Dec_Plan_Income_Month" hidden="1">{"Oct_Plan_Income_Month",#N/A,FALSE,"OctInc";"Oct_Month_Lastyear_Inc",#N/A,FALSE,"OctInc"}</definedName>
    <definedName name="Deckbla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s" hidden="1">{#N/A,#N/A,FALSE,"Layout GuV"}</definedName>
    <definedName name="DEDZD" hidden="1">{#N/A,#N/A,FALSE,"Pharm";#N/A,#N/A,FALSE,"WWCM"}</definedName>
    <definedName name="DEE" hidden="1">{#N/A,#N/A,FALSE,"Pharm";#N/A,#N/A,FALSE,"WWCM"}</definedName>
    <definedName name="def"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DEFERRED_INC_TAX" hidden="1">"DEFERRED_INC_TAX"</definedName>
    <definedName name="DEFERRED_TAXES" hidden="1">"DEFERRED_TAXES"</definedName>
    <definedName name="degzer" hidden="1">{#N/A,#N/A,FALSE,"Layout Cash Flow"}</definedName>
    <definedName name="delete" hidden="1">{"'Sheet1'!$A$1:$O$22"}</definedName>
    <definedName name="Delete_ME" hidden="1">{"'Server Configuration'!$A$1:$DB$281"}</definedName>
    <definedName name="delete11" hidden="1">{"Page1",#N/A,FALSE,"CompCo";"Page2",#N/A,FALSE,"CompCo"}</definedName>
    <definedName name="delete20" hidden="1">{"Page1",#N/A,FALSE,"CompCo";"Page2",#N/A,FALSE,"CompCo"}</definedName>
    <definedName name="delete5" hidden="1">{"Page1",#N/A,FALSE,"CompCo";"Page2",#N/A,FALSE,"CompCo"}</definedName>
    <definedName name="deleteme" hidden="1">{"PA1",#N/A,FALSE,"BORDMW";"pa2",#N/A,FALSE,"BORDMW";"PA3",#N/A,FALSE,"BORDMW";"PA4",#N/A,FALSE,"BORDMW"}</definedName>
    <definedName name="deleteme1" hidden="1">{#N/A,#N/A,FALSE,"Summary";#N/A,#N/A,FALSE,"CF";#N/A,#N/A,FALSE,"P&amp;L";#N/A,#N/A,FALSE,"BS";#N/A,#N/A,FALSE,"Returns";#N/A,#N/A,FALSE,"Assumptions";#N/A,#N/A,FALSE,"Analysis"}</definedName>
    <definedName name="deleteme2" hidden="1">{#N/A,#N/A,TRUE,"Main assumptions";#N/A,#N/A,TRUE,"Subscriber projections";#N/A,#N/A,TRUE,"Revenues";#N/A,#N/A,TRUE,"Opex";#N/A,#N/A,TRUE,"Capex";#N/A,#N/A,TRUE,"Working capital";#N/A,#N/A,TRUE,"P&amp;L";#N/A,#N/A,TRUE,"Cash";#N/A,#N/A,TRUE,"Balance";#N/A,#N/A,TRUE,"Valuation";#N/A,#N/A,TRUE,"Bench"}</definedName>
    <definedName name="deleteme3" hidden="1">{#N/A,#N/A,FALSE,"Summary";#N/A,#N/A,FALSE,"CF";#N/A,#N/A,FALSE,"P&amp;L";"summary",#N/A,FALSE,"Returns";#N/A,#N/A,FALSE,"BS";"summary",#N/A,FALSE,"Analysis";#N/A,#N/A,FALSE,"Assumptions"}</definedName>
    <definedName name="DeleteRange" hidden="1">#REF!</definedName>
    <definedName name="DeleteTable" hidden="1">#REF!</definedName>
    <definedName name="DEMeXToEUR" hidden="1">#REF!</definedName>
    <definedName name="DEMeXToEUR1a" hidden="1">#REF!</definedName>
    <definedName name="DEPRE_AMORT" hidden="1">"DEPRE_AMORT"</definedName>
    <definedName name="DEPRE_AMORT_SUPPL" hidden="1">"DEPRE_AMORT_SUPPL"</definedName>
    <definedName name="DEPRE_DEPLE" hidden="1">"DEPRE_DEPLE"</definedName>
    <definedName name="DEPRE_SUPP" hidden="1">"DEPRE_SUPP"</definedName>
    <definedName name="DER" hidden="1">{"'Demand Units'!$X$11:$AD$45"}</definedName>
    <definedName name="derf"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derta" hidden="1">{"FY97Q1 nvs",#N/A,FALSE,"FY97 - Q1";"FY97Q2 nvs",#N/A,FALSE,"FY97 - Q2";"FY97Q3 nvs",#N/A,FALSE,"FY97 - Q3";"FY97Q4 nvs",#N/A,FALSE,"FY97 - Q4"}</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RIPTION_LONG" hidden="1">"DESCRIPTION_LONG"</definedName>
    <definedName name="dessd"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desto" hidden="1">{"FY98Q1 nvs",#N/A,FALSE,"FY98 - Q1";"FY98Q2 nvs",#N/A,FALSE,"FY98 - Q2";"FY98Q3 nvs",#N/A,FALSE,"FY98 - Q3";"FY98Q4 nvs",#N/A,FALSE,"FY98 - Q4"}</definedName>
    <definedName name="DETAIL1" hidden="1">{#N/A,#N/A,FALSE,"인원";#N/A,#N/A,FALSE,"비용2";#N/A,#N/A,FALSE,"비용1";#N/A,#N/A,FALSE,"비용";#N/A,#N/A,FALSE,"보증2";#N/A,#N/A,FALSE,"보증1";#N/A,#N/A,FALSE,"보증";#N/A,#N/A,FALSE,"손익1";#N/A,#N/A,FALSE,"손익";#N/A,#N/A,FALSE,"부서별매출";#N/A,#N/A,FALSE,"매출"}</definedName>
    <definedName name="DetailedPLinclLM" hidden="1">Main.SAPF4Help()</definedName>
    <definedName name="detto" hidden="1">{"FY97Q1",#N/A,FALSE,"FY97 - Q1";"FY97Q2",#N/A,FALSE,"FY97 - Q2";"FY97Q3",#N/A,FALSE,"FY97 - Q3";"FY97Q4",#N/A,FALSE,"FY97 - Q4"}</definedName>
    <definedName name="dev_tech" hidden="1">#REF!</definedName>
    <definedName name="devc" hidden="1">{"TOTTEXAS",#N/A,FALSE,"CM"}</definedName>
    <definedName name="DEZLFEZKLHF" hidden="1">{#N/A,#N/A,FALSE,"Pharm";#N/A,#N/A,FALSE,"WWCM"}</definedName>
    <definedName name="df" hidden="1">{"comps",#N/A,FALSE,"comps";"notes",#N/A,FALSE,"comps"}</definedName>
    <definedName name="dfA"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adfadsfa" hidden="1">{#VALUE!,#N/A,FALSE,0;#N/A,#N/A,FALSE,0;#N/A,#N/A,FALSE,0;#N/A,#N/A,FALSE,0}</definedName>
    <definedName name="dfafa" hidden="1">#N/A</definedName>
    <definedName name="dfagdfg" hidden="1">{"résultats_édition client",#N/A,FALSE,"Résultats"}</definedName>
    <definedName name="dfaggdfg" hidden="1">{"regression corrigées",#N/A,FALSE,"Regressions"}</definedName>
    <definedName name="DFASD" hidden="1">{#N/A,#N/A,FALSE,"인원";#N/A,#N/A,FALSE,"비용2";#N/A,#N/A,FALSE,"비용1";#N/A,#N/A,FALSE,"비용";#N/A,#N/A,FALSE,"보증2";#N/A,#N/A,FALSE,"보증1";#N/A,#N/A,FALSE,"보증";#N/A,#N/A,FALSE,"손익1";#N/A,#N/A,FALSE,"손익";#N/A,#N/A,FALSE,"부서별매출";#N/A,#N/A,FALSE,"매출"}</definedName>
    <definedName name="dfasdf" hidden="1">#REF!</definedName>
    <definedName name="dfbfhyt" hidden="1">{#N/A,#N/A,TRUE,"Historicals";#N/A,#N/A,TRUE,"Charts";#N/A,#N/A,TRUE,"Forecasts"}</definedName>
    <definedName name="dfbg" hidden="1">{#N/A,#N/A,FALSE,"V3 Stab-Geb Index";#N/A,#N/A,FALSE,"Vertrieb";#N/A,#N/A,FALSE,"V Daten";#N/A,#N/A,FALSE,"V-Z-Index";#N/A,#N/A,FALSE,"V-1 Daten";#N/A,#N/A,FALSE,"V-1 Index";#N/A,#N/A,FALSE,"V-2 Index";#N/A,#N/A,FALSE,"V-3 Daten";#N/A,#N/A,FALSE,"V3 Stab-Geb Index";#N/A,#N/A,FALSE,"V-3 VG's Index";#N/A,#N/A,FALSE,"V-4 Index";#N/A,#N/A,FALSE,"V-5 Index"}</definedName>
    <definedName name="dfd" hidden="1">{"comp1",#N/A,FALSE,"COMPS";"footnotes",#N/A,FALSE,"COMPS"}</definedName>
    <definedName name="dfdadf" hidden="1">{#N/A,"DR",FALSE,"increm pf";#N/A,"MAMSI",FALSE,"increm pf";#N/A,"MAXI",FALSE,"increm pf";#N/A,"PCAM",FALSE,"increm pf";#N/A,"PHSV",FALSE,"increm pf";#N/A,"SIE",FALSE,"increm pf"}</definedName>
    <definedName name="dfdas" hidden="1">{"FCB_ALL",#N/A,FALSE,"FCB";"GREY_ALL",#N/A,FALSE,"GREY"}</definedName>
    <definedName name="DFDD" hidden="1">{#N/A,#N/A,FALSE,"REPORT"}</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fd" hidden="1">{#N/A,#N/A,FALSE,"AD_Purchase";#N/A,#N/A,FALSE,"Credit";#N/A,#N/A,FALSE,"PF Acquisition";#N/A,#N/A,FALSE,"PF Offering"}</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sfdsdffdfdfdsdfsdfsdf" hidden="1">{#N/A,#N/A,FALSE,"Cover";#N/A,#N/A,FALSE,"Assumptions";#N/A,#N/A,FALSE,"Volumes";#N/A,#N/A,FALSE,"Pricing";#N/A,#N/A,FALSE,"TFLE Walk";#N/A,#N/A,FALSE,"Variable Cost";#N/A,#N/A,FALSE,"Sensitivity";#N/A,#N/A,FALSE,"Investment";#N/A,#N/A,FALSE,"Profitability"}</definedName>
    <definedName name="dfdgdfg" hidden="1">{"LEVEL1","UKCONSGAAP",TRUE,"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name="dfdsfsf" hidden="1">{#N/A,#N/A,FALSE,"Mittelherkunft";#N/A,#N/A,FALSE,"Mittelverwendung"}</definedName>
    <definedName name="dfegf" hidden="1">{"'MVS'!$A$5:$O$716"}</definedName>
    <definedName name="dfere" hidden="1">{"ReportTop",#N/A,FALSE,"report top"}</definedName>
    <definedName name="DFF" hidden="1">{#N/A,#N/A,FALSE,"단축1";#N/A,#N/A,FALSE,"단축2";#N/A,#N/A,FALSE,"단축3";#N/A,#N/A,FALSE,"장축";#N/A,#N/A,FALSE,"4WD"}</definedName>
    <definedName name="dffadfadf" hidden="1">{"'Title Transfer Units6,7,&amp;8'!$A$1:$B$4","'Title Transfer Units6,7,&amp;8'!$C$6"}</definedName>
    <definedName name="DFG" hidden="1">{#N/A,#N/A,FALSE,"Assumptions";#N/A,#N/A,FALSE,"N-IS-Sum";#N/A,#N/A,FALSE,"N-St-Sum";#N/A,#N/A,FALSE,"Inc Stmt";#N/A,#N/A,FALSE,"Stats"}</definedName>
    <definedName name="dfgd" hidden="1">{"subs",#N/A,FALSE,"database ";"proportional",#N/A,FALSE,"database "}</definedName>
    <definedName name="dfgderzeer5z"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fg" hidden="1">{#N/A,#N/A,TRUE,"Cover sheet";#N/A,#N/A,TRUE,"Summary";#N/A,#N/A,TRUE,"Key Assumptions";#N/A,#N/A,TRUE,"Profit &amp; Loss";#N/A,#N/A,TRUE,"Balance Sheet";#N/A,#N/A,TRUE,"Cashflow";#N/A,#N/A,TRUE,"IRR";#N/A,#N/A,TRUE,"Ratios";#N/A,#N/A,TRUE,"Debt analysis"}</definedName>
    <definedName name="dfgds" hidden="1">38922.8233796296</definedName>
    <definedName name="dfgfdg" hidden="1">{#N/A,#N/A,FALSE,"Umsatz CH";#N/A,#N/A,FALSE,"ER CH";#N/A,#N/A,FALSE,"EA CH (2) ";#N/A,#N/A,FALSE,"EA CH";#N/A,#N/A,FALSE,"EA CH (3) ";#N/A,#N/A,FALSE,"EA CH (4)";#N/A,#N/A,FALSE,"KA CH";#N/A,#N/A,FALSE,"KA CH  (2)";#N/A,#N/A,FALSE,"KA CH  (3)";#N/A,#N/A,FALSE,"KA CH (4)"}</definedName>
    <definedName name="dfgfdgf" hidden="1">{#N/A,#N/A,FALSE,"Produkte Erw.";#N/A,#N/A,FALSE,"Produkte Plan";#N/A,#N/A,FALSE,"Leistungen Erw.";#N/A,#N/A,FALSE,"Leistungen Plan";#N/A,#N/A,FALSE,"KA Allg.Kosten (2)";#N/A,#N/A,FALSE,"KA All.Kosten"}</definedName>
    <definedName name="dfgfg" hidden="1">{#N/A,#N/A,FALSE,"Umsatz HM";#N/A,#N/A,FALSE,"ER HM";#N/A,#N/A,FALSE,"EA HM  (2)";#N/A,#N/A,FALSE,"EA HM ";#N/A,#N/A,FALSE,"EA HM  (4)";#N/A,#N/A,FALSE,"EA HM  (3)";#N/A,#N/A,FALSE,"KA HM  (2)";#N/A,#N/A,FALSE,"KA HM";#N/A,#N/A,FALSE,"KA HM  (3)";#N/A,#N/A,FALSE,"KA HM (4)"}</definedName>
    <definedName name="dfggfhhj" hidden="1">{#N/A,#N/A,FALSE,"Umsatz CH";#N/A,#N/A,FALSE,"ER CH";#N/A,#N/A,FALSE,"EA CH (2) ";#N/A,#N/A,FALSE,"EA CH";#N/A,#N/A,FALSE,"EA CH (3) ";#N/A,#N/A,FALSE,"EA CH (4)";#N/A,#N/A,FALSE,"KA CH";#N/A,#N/A,FALSE,"KA CH  (2)";#N/A,#N/A,FALSE,"KA CH  (3)";#N/A,#N/A,FALSE,"KA CH (4)"}</definedName>
    <definedName name="dfgh"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dfgh56hzu" hidden="1">{#N/A,#N/A,FALSE,"Layout GuV"}</definedName>
    <definedName name="dfghd" hidden="1">{#N/A,#N/A,FALSE,"Layout Cash Flow"}</definedName>
    <definedName name="dfghdfhdg" hidden="1">{#N/A,#N/A,FALSE,"Umsatz 99";#N/A,#N/A,FALSE,"ER 99 "}</definedName>
    <definedName name="dfgsdgsdfgsdfg"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t" hidden="1">{"cover",#N/A,TRUE,"Cover";"toc6",#N/A,TRUE,"TOC";"over",#N/A,TRUE,"Overview";"ts2",#N/A,TRUE,"Det_Trans_Sum";"ei1",#N/A,TRUE,"Earnings Impact";"ad1",#N/A,TRUE,"accretion dilution";"hg1",#N/A,TRUE,"Has-Gets";"pfis1",#N/A,TRUE,"Pro Forma Income Statement";"ca1",#N/A,TRUE,"Contribution_Analysis";"acq1",#N/A,TRUE,"Acquirer";"tar1",#N/A,TRUE,"Target"}</definedName>
    <definedName name="dfgxc" hidden="1">{"targetdcf",#N/A,FALSE,"Merger consequences";"TARGETASSU",#N/A,FALSE,"Merger consequences";"TERMINAL VALUE",#N/A,FALSE,"Merger consequences"}</definedName>
    <definedName name="dfgxcv"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dfgzrtz" hidden="1">{#N/A,#N/A,FALSE,"Layout GuV"}</definedName>
    <definedName name="dfh" hidden="1">#REF!</definedName>
    <definedName name="dfhd" hidden="1">{"vi1",#N/A,FALSE,"Financial Statements";"vi2",#N/A,FALSE,"Financial Statements";#N/A,#N/A,FALSE,"DCF"}</definedName>
    <definedName name="DFHFDHFDH" hidden="1">{#N/A,#N/A,FALSE,"Operations";#N/A,#N/A,FALSE,"Financials"}</definedName>
    <definedName name="DFHJ" hidden="1">{#N/A,#N/A,FALSE,"단축1";#N/A,#N/A,FALSE,"단축2";#N/A,#N/A,FALSE,"단축3";#N/A,#N/A,FALSE,"장축";#N/A,#N/A,FALSE,"4WD"}</definedName>
    <definedName name="df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r" hidden="1">{TRUE,TRUE,-1.25,-15.5,456.75,279.75,FALSE,FALSE,TRUE,TRUE,0,1,21,1,127,6,3,4,TRUE,TRUE,3,TRUE,1,TRUE,100,"Swvu.profits.","ACwvu.profits.",1,FALSE,FALSE,0.511811023622047,0.511811023622047,0.511811023622047,0.511811023622047,1,"","",FALSE,FALSE,FALSE,FALSE,1,#N/A,1,1,#DIV/0!,FALSE,"Rwvu.profits.",#N/A,FALSE,FALSE}</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hidden="1">{#N/A,#N/A,FALSE,"Index";#N/A,#N/A,FALSE,"1.1";#N/A,#N/A,FALSE,"Scenario Summary"}</definedName>
    <definedName name="dfsaadsfa" hidden="1">{#N/A,#N/A,FALSE,"Calc";#N/A,#N/A,FALSE,"Sensitivity";#N/A,#N/A,FALSE,"LT Earn.Dil.";#N/A,#N/A,FALSE,"Dil. AVP"}</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d"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dfsdfdsf" hidden="1">{#N/A,#N/A,FALSE,"Umsatz CH";#N/A,#N/A,FALSE,"ER CH";#N/A,#N/A,FALSE,"EA CH (2) ";#N/A,#N/A,FALSE,"EA CH";#N/A,#N/A,FALSE,"EA CH (3) ";#N/A,#N/A,FALSE,"EA CH (4)";#N/A,#N/A,FALSE,"KA CH";#N/A,#N/A,FALSE,"KA CH  (2)";#N/A,#N/A,FALSE,"KA CH  (3)";#N/A,#N/A,FALSE,"KA CH (4)"}</definedName>
    <definedName name="dfsdfsd" hidden="1">{#N/A,#N/A,FALSE,"Layout Aktiva";#N/A,#N/A,FALSE,"Layout Passiva";#N/A,#N/A,FALSE,"Layout GuV";#N/A,#N/A,FALSE,"Layout Cash Flow";#N/A,#N/A,FALSE,"Mittelherkunft";#N/A,#N/A,FALSE,"Mittelverwendung";#N/A,#N/A,FALSE,"Finanzbedarfsrechnung"}</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gsrtg5" hidden="1">{"dcfsummary",#N/A,FALSE,"NHY - DCF Valuation";"agriculture",#N/A,FALSE,"NHY - DCF Valuation";"oilgas",#N/A,FALSE,"NHY - DCF Valuation";"oilgastot",#N/A,FALSE,"NHY - DCF Valuation";"lightmetals",#N/A,FALSE,"NHY - DCF Valuation";"petrochemicals",#N/A,FALSE,"NHY - DCF Valuation";"other",#N/A,FALSE,"NHY - DCF Valuation"}</definedName>
    <definedName name="dfssdf" hidden="1">{#N/A,#N/A,FALSE,"Finanzbedarfsrechnung"}</definedName>
    <definedName name="dft" hidden="1">{"EVA",#N/A,FALSE,"EVA";"WACC",#N/A,FALSE,"WACC"}</definedName>
    <definedName name="dfwerf" hidden="1">{#N/A,#N/A,FALSE,"Layout Aktiva";#N/A,#N/A,FALSE,"Layout Passiva";#N/A,#N/A,FALSE,"Layout GuV";#N/A,#N/A,FALSE,"Layout Cash Flow";#N/A,#N/A,FALSE,"Mittelherkunft";#N/A,#N/A,FALSE,"Mittelverwendung";#N/A,#N/A,FALSE,"Finanzbedarfsrechnung"}</definedName>
    <definedName name="dfxc"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DG" hidden="1">{#N/A,#N/A,FALSE,"Staffnos &amp; cost"}</definedName>
    <definedName name="dga" hidden="1">{"'Title Transfer Units6,7,&amp;8'!$A$1:$B$4","'Title Transfer Units6,7,&amp;8'!$C$6"}</definedName>
    <definedName name="dgdfgdgfdg" hidden="1">{"hiden",#N/A,FALSE,"14";"hidden",#N/A,FALSE,"16";"hidden",#N/A,FALSE,"18";"hidden",#N/A,FALSE,"20"}</definedName>
    <definedName name="dgdfgfd" hidden="1">{"up stand alones",#N/A,FALSE,"Acquiror"}</definedName>
    <definedName name="dgdg" hidden="1">{#N/A,#N/A,FALSE,"Calc";#N/A,#N/A,FALSE,"Sensitivity";#N/A,#N/A,FALSE,"LT Earn.Dil.";#N/A,#N/A,FALSE,"Dil. AVP"}</definedName>
    <definedName name="dgdgdfg" hidden="1">{"away stand alones",#N/A,FALSE,"Target"}</definedName>
    <definedName name="dgdgdgfd" hidden="1">{#N/A,#N/A,FALSE,"Operations";#N/A,#N/A,FALSE,"Financials"}</definedName>
    <definedName name="dgdgdgfdg" hidden="1">{"assumption 50 50",#N/A,TRUE,"Merger";"has gets cash",#N/A,TRUE,"Merger";"accretion dilution",#N/A,TRUE,"Merger";"comparison credit stats",#N/A,TRUE,"Merger";"pf credit stats",#N/A,TRUE,"Merger";"pf sheets",#N/A,TRUE,"Merger"}</definedName>
    <definedName name="dgdgfd" hidden="1">{"assumption 50 50",#N/A,TRUE,"Merger";"has gets cash",#N/A,TRUE,"Merger";"accretion dilution",#N/A,TRUE,"Merger";"comparison credit stats",#N/A,TRUE,"Merger";"pf credit stats",#N/A,TRUE,"Merger";"pf sheets",#N/A,TRUE,"Merger"}</definedName>
    <definedName name="dgdgfdgfdgfd" hidden="1">{"assumption cash",#N/A,TRUE,"Merger";"has gets cash",#N/A,TRUE,"Merger";"accretion dilution",#N/A,TRUE,"Merger";"comparison credit stats",#N/A,TRUE,"Merger";"pf credit stats",#N/A,TRUE,"Merger";"pf sheets",#N/A,TRUE,"Merger"}</definedName>
    <definedName name="dgdgss" hidden="1">{"consolidated",#N/A,FALSE,"Sheet1";"cms",#N/A,FALSE,"Sheet1";"fse",#N/A,FALSE,"Sheet1"}</definedName>
    <definedName name="dgdsgdsg" hidden="1">{"comps2",#N/A,FALSE,"AERO";"footnotes",#N/A,FALSE,"AERO"}</definedName>
    <definedName name="DGF" hidden="1">{#N/A,#N/A,FALSE,"단축1";#N/A,#N/A,FALSE,"단축2";#N/A,#N/A,FALSE,"단축3";#N/A,#N/A,FALSE,"장축";#N/A,#N/A,FALSE,"4WD"}</definedName>
    <definedName name="dgfdgfdg" hidden="1">{#N/A,#N/A,FALSE,"Calc";#N/A,#N/A,FALSE,"Sensitivity";#N/A,#N/A,FALSE,"LT Earn.Dil.";#N/A,#N/A,FALSE,"Dil. AVP"}</definedName>
    <definedName name="dgfhgf" hidden="1">{#N/A,#N/A,FALSE,"ORIX CSC"}</definedName>
    <definedName name="DGFMASEH" hidden="1">{"'גיליון1'!$W$156:$AB$173","'גיליון1'!$S$154:$AB$158"}</definedName>
    <definedName name="dghgh" hidden="1">{#N/A,#N/A,FALSE,"Produkte Erw.";#N/A,#N/A,FALSE,"Produkte Plan";#N/A,#N/A,FALSE,"Leistungen Erw.";#N/A,#N/A,FALSE,"Leistungen Plan";#N/A,#N/A,FALSE,"KA Allg.Kosten (2)";#N/A,#N/A,FALSE,"KA All.Kosten"}</definedName>
    <definedName name="dgj" hidden="1">{"EVA",#N/A,FALSE,"EVA";"WACC",#N/A,FALSE,"WACC"}</definedName>
    <definedName name="DGJSRGH" hidden="1">{#N/A,#N/A,FALSE,"단축1";#N/A,#N/A,FALSE,"단축2";#N/A,#N/A,FALSE,"단축3";#N/A,#N/A,FALSE,"장축";#N/A,#N/A,FALSE,"4WD"}</definedName>
    <definedName name="dgs"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gxcv"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dgy" hidden="1">{"mgmt forecast",#N/A,FALSE,"Mgmt Forecast";"dcf table",#N/A,FALSE,"Mgmt Forecast";"sensitivity",#N/A,FALSE,"Mgmt Forecast";"table inputs",#N/A,FALSE,"Mgmt Forecast";"calculations",#N/A,FALSE,"Mgmt Forecast"}</definedName>
    <definedName name="dhg" hidden="1">{"GuVGmbH",#N/A,FALSE,"ratios";"BilanzGmbH",#N/A,FALSE,"ratios";"BilanzKG",#N/A,FALSE,"ratios";"GuVKG",#N/A,FALSE,"ratios"}</definedName>
    <definedName name="dhgdh" hidden="1">{"mgmt forecast",#N/A,FALSE,"Mgmt Forecast";"dcf table",#N/A,FALSE,"Mgmt Forecast";"sensitivity",#N/A,FALSE,"Mgmt Forecast";"table inputs",#N/A,FALSE,"Mgmt Forecast";"calculations",#N/A,FALSE,"Mgmt Forecast"}</definedName>
    <definedName name="dhgkghkds" hidden="1">{"DCF1",#N/A,FALSE,"SIERRA DCF";"MATRIX1",#N/A,FALSE,"SIERRA DCF"}</definedName>
    <definedName name="dicci" hidden="1">{"FY97Total",#N/A,FALSE,"FY97 - Total";"FY98Total",#N/A,FALSE,"FY98 - Total"}</definedName>
    <definedName name="DIE" hidden="1">{#N/A,#N/A,FALSE,"단축1";#N/A,#N/A,FALSE,"단축2";#N/A,#N/A,FALSE,"단축3";#N/A,#N/A,FALSE,"장축";#N/A,#N/A,FALSE,"4WD"}</definedName>
    <definedName name="DIESEL" hidden="1">{#N/A,#N/A,FALSE,"단축1";#N/A,#N/A,FALSE,"단축2";#N/A,#N/A,FALSE,"단축3";#N/A,#N/A,FALSE,"장축";#N/A,#N/A,FALSE,"4WD"}</definedName>
    <definedName name="DIESELLL" hidden="1">{#N/A,#N/A,FALSE,"단축1";#N/A,#N/A,FALSE,"단축2";#N/A,#N/A,FALSE,"단축3";#N/A,#N/A,FALSE,"장축";#N/A,#N/A,FALSE,"4WD"}</definedName>
    <definedName name="Differences" hidden="1">{"Operating Data",#N/A,TRUE,"Sheet1";"Valuation Matrix",#N/A,TRUE,"Sheet1";"Sales Analysis",#N/A,TRUE,"Sheet1";"Closed Remodelled New",#N/A,TRUE,"Sheet1";"Competitive and FSP",#N/A,TRUE,"Sheet1";"Working Capital and Capex",#N/A,TRUE,"Sheet1";"depreciation",#N/A,TRUE,"Sheet1"}</definedName>
    <definedName name="digital" hidden="1">#N/A</definedName>
    <definedName name="digitalboost" hidden="1">{"sbfk2",#N/A,FALSE,"A";"sbkf3",#N/A,FALSE,"A";"sbkf4",#N/A,FALSE,"A";"sbkf1",#N/A,FALSE,"A"}</definedName>
    <definedName name="DILUT_ADJUST" hidden="1">"DILUT_ADJUST"</definedName>
    <definedName name="DILUT_EPS_EXCL" hidden="1">"DILUT_EPS_EXCL"</definedName>
    <definedName name="DILUT_EPS_INCL" hidden="1">"DILUT_EPS_INCL"</definedName>
    <definedName name="DILUT_NORMAL_EPS" hidden="1">"DILUT_NORMAL_EPS"</definedName>
    <definedName name="DILUT_WEIGHT" hidden="1">"DILUT_WEIGHT"</definedName>
    <definedName name="dimmi" hidden="1">{"FY97Q1 nvs",#N/A,FALSE,"FY97 - Q1";"FY97Q2 nvs",#N/A,FALSE,"FY97 - Q2";"FY97Q3 nvs",#N/A,FALSE,"FY97 - Q3";"FY97Q4 nvs",#N/A,FALSE,"FY97 - Q4"}</definedName>
    <definedName name="dirlo" hidden="1">{"FY97Tot nvs",#N/A,FALSE,"FY97 - Total";"FY98Tot nvs",#N/A,FALSE,"FY98 - Total"}</definedName>
    <definedName name="DISCONT_OPER" hidden="1">"DISCONT_OPER"</definedName>
    <definedName name="display_area_2" hidden="1">#REF!</definedName>
    <definedName name="DivFpb" hidden="1">#REF!</definedName>
    <definedName name="DIVID_SHARE" hidden="1">"DIVID_SHARE"</definedName>
    <definedName name="dj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HJ" hidden="1">{#N/A,#N/A,FALSE,"단축1";#N/A,#N/A,FALSE,"단축2";#N/A,#N/A,FALSE,"단축3";#N/A,#N/A,FALSE,"장축";#N/A,#N/A,FALSE,"4WD"}</definedName>
    <definedName name="DJGHJ" hidden="1">{#N/A,#N/A,FALSE,"단축1";#N/A,#N/A,FALSE,"단축2";#N/A,#N/A,FALSE,"단축3";#N/A,#N/A,FALSE,"장축";#N/A,#N/A,FALSE,"4WD"}</definedName>
    <definedName name="DJHD" hidden="1">{#N/A,#N/A,FALSE,"단축1";#N/A,#N/A,FALSE,"단축2";#N/A,#N/A,FALSE,"단축3";#N/A,#N/A,FALSE,"장축";#N/A,#N/A,FALSE,"4WD"}</definedName>
    <definedName name="DJKDNF" hidden="1">{"'Demand Units'!$X$11:$AD$45"}</definedName>
    <definedName name="djksljd" hidden="1">{#N/A,#N/A,FALSE,"Other";#N/A,#N/A,FALSE,"Ace";#N/A,#N/A,FALSE,"Derm"}</definedName>
    <definedName name="djm"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DJQ" hidden="1">{#N/A,#N/A,FALSE,"초도품";#N/A,#N/A,FALSE,"초도품 (2)";#N/A,#N/A,FALSE,"초도품 (3)";#N/A,#N/A,FALSE,"초도품 (4)";#N/A,#N/A,FALSE,"초도품 (5)";#N/A,#N/A,FALSE,"초도품 (6)"}</definedName>
    <definedName name="dkdk" hidden="1">{#N/A,#N/A,FALSE,"단축1";#N/A,#N/A,FALSE,"단축2";#N/A,#N/A,FALSE,"단축3";#N/A,#N/A,FALSE,"장축";#N/A,#N/A,FALSE,"4WD"}</definedName>
    <definedName name="dkfjdfNew"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gahirghigf" hidden="1">{#N/A,#N/A,FALSE,"Pharm";#N/A,#N/A,FALSE,"WWCM"}</definedName>
    <definedName name="dkj"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LDL" hidden="1">{#N/A,#N/A,FALSE,"단축1";#N/A,#N/A,FALSE,"단축2";#N/A,#N/A,FALSE,"단축3";#N/A,#N/A,FALSE,"장축";#N/A,#N/A,FALSE,"4WD"}</definedName>
    <definedName name="dma" hidden="1">{"GLI-Income Statement",#N/A,FALSE,"gli";"GLI - Balance Sheet Wksht",#N/A,FALSE,"gli";"GLI-Cash Flow",#N/A,FALSE,"gli";"GLI Qtrly Stats",#N/A,FALSE,"gli"}</definedName>
    <definedName name="DME_Dirty" hidden="1">"False"</definedName>
    <definedName name="DME_DocumentFlags" hidden="1">"1"</definedName>
    <definedName name="DME_DocumentID" hidden="1">"::ODMA\DME-MSE\London-36832"</definedName>
    <definedName name="DME_DocumentOpened" hidden="1">"True"</definedName>
    <definedName name="DME_DocumentTitle" hidden="1">"London-36832 - Standard Mini Model"</definedName>
    <definedName name="DME_LocalFile" hidden="1">"False"</definedName>
    <definedName name="DME_NextWindowNumber" hidden="1">"2"</definedName>
    <definedName name="DME_ODMALinks1" hidden="1">"::ODMA\DME-MSE\London-44590=C:\TEMP\Dme\London-44590.xls"</definedName>
    <definedName name="DME_ODMALinksCount" hidden="1">"1"</definedName>
    <definedName name="doc" hidden="1">{#N/A,#N/A,FALSE,"Header &amp; Contents";#N/A,#N/A,FALSE,"Section1 - Inv Smry";#N/A,#N/A,FALSE,"Section2 - Exec Smry";#N/A,#N/A,FALSE,"Section 3 - Cost Bdwn";#N/A,#N/A,FALSE,"Section 5 - Load &amp; Cap";#N/A,#N/A,FALSE,"Section 6 - Financial";#N/A,#N/A,FALSE,"Section 8 - Assumptions Summary";#N/A,#N/A,FALSE,"Section 9 - Local Signatures";#N/A,#N/A,FALSE,"Section 10 - Liberated Assets";#N/A,#N/A,FALSE,"Section 11 - Suppl Auth"}</definedName>
    <definedName name="DoCoMo" hidden="1">{"test2",#N/A,TRUE,"Prices"}</definedName>
    <definedName name="dog"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dos" hidden="1">{#N/A,#N/A,FALSE,"summary"}</definedName>
    <definedName name="doug"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wn" hidden="1">{#N/A,#N/A,FALSE,"Umsatz";#N/A,#N/A,FALSE,"Base V.02";#N/A,#N/A,FALSE,"Charts"}</definedName>
    <definedName name="DPNA" hidden="1">{"'Future Reviews'!$A$1:$D$58"}</definedName>
    <definedName name="dq" hidden="1">{"Comp_of_Price_Effect",#N/A,FALSE,"QTRDPVAR"}</definedName>
    <definedName name="dr" hidden="1">{"bkod1",#N/A,FALSE,"A";"bokd2",#N/A,FALSE,"A";"bokd3",#N/A,FALSE,"A";"bkod4",#N/A,FALSE,"A";"bokd5",#N/A,FALSE,"A";"bokd6",#N/A,FALSE,"A";"bokd7",#N/A,FALSE,"A"}</definedName>
    <definedName name="drak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drdf" hidden="1">{#N/A,#N/A,TRUE,"Staffnos &amp; cost"}</definedName>
    <definedName name="dre" hidden="1">{"weichwaren",#N/A,FALSE,"Liste 1";"hartwaren",#N/A,FALSE,"Liste 1";"food",#N/A,FALSE,"Liste 1";"fleisch",#N/A,FALSE,"Liste 1"}</definedName>
    <definedName name="drg" hidden="1">{"cover",#N/A,TRUE,"Cover";"toc5",#N/A,TRUE,"TOC";"over",#N/A,TRUE,"Overview";"ts2",#N/A,TRUE,"Det_Trans_Sum";"ei3",#N/A,TRUE,"Earnings Impact";"ad3",#N/A,TRUE,"accretion dilution";"pfis3",#N/A,TRUE,"Pro Forma Income Statement";"ca3",#N/A,TRUE,"Contribution_Analysis";"acq3",#N/A,TRUE,"Acquirer";"tar3",#N/A,TRUE,"Target"}</definedName>
    <definedName name="DRIVEABILITY" hidden="1">{#N/A,#N/A,FALSE,"단축1";#N/A,#N/A,FALSE,"단축2";#N/A,#N/A,FALSE,"단축3";#N/A,#N/A,FALSE,"장축";#N/A,#N/A,FALSE,"4WD"}</definedName>
    <definedName name="DRS" hidden="1">39454.4051388889</definedName>
    <definedName name="drw" hidden="1">{"PAGE 1",#N/A,FALSE,"COS";"PAGE 2",#N/A,FALSE,"COS";"PAGE 3",#N/A,FALSE,"COS"}</definedName>
    <definedName name="ds"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dsa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safa" hidden="1">{"comp1",#N/A,FALSE,"COMPS";"footnotes",#N/A,FALSE,"COMPS"}</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sf" hidden="1">#REF!</definedName>
    <definedName name="dsafergre" hidden="1">{#N/A,#N/A,TRUE,"Historicals";#N/A,#N/A,TRUE,"Charts";#N/A,#N/A,TRUE,"Forecasts"}</definedName>
    <definedName name="dsafertge" hidden="1">{#N/A,#N/A,TRUE,"Historicals";#N/A,#N/A,TRUE,"Charts";#N/A,#N/A,TRUE,"Forecasts"}</definedName>
    <definedName name="dsafg" hidden="1">{"reg_edition client",#N/A,FALSE,"Regressions"}</definedName>
    <definedName name="dsafge" hidden="1">{#N/A,#N/A,TRUE,"Historicals";#N/A,#N/A,TRUE,"Charts";#N/A,#N/A,TRUE,"Forecasts"}</definedName>
    <definedName name="dsafsdaf" hidden="1">{#N/A,#N/A,FALSE,"Index";#N/A,#N/A,FALSE,"1.1";#N/A,#N/A,FALSE,"Scenario Summary"}</definedName>
    <definedName name="dsafwer" hidden="1">{#N/A,#N/A,TRUE,"Historicals";#N/A,#N/A,TRUE,"Charts";#N/A,#N/A,TRUE,"Forecasts"}</definedName>
    <definedName name="dscasca" hidden="1">{"dcf_summary_value",#N/A,FALSE,"depr and amort";"dcf_discountedCF",#N/A,FALSE,"depr and amort";"dcf_terminalCF",#N/A,FALSE,"depr and amort";"dcf_terminal_value",#N/A,FALSE,"depr and amort";"dcf_implied_multiples",#N/A,FALSE,"depr and amort";"dcf_is_annual",#N/A,FALSE,"depr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efinedName>
    <definedName name="ds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dsd_ol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dsdafgsa" hidden="1">{"Performance Details",#N/A,FALSE,"Current Yr";"Performance Details",#N/A,FALSE,"Budget";"Performance Details",#N/A,FALSE,"Prior Year"}</definedName>
    <definedName name="dsdd"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dse" hidden="1">{"FY97Tot nvs",#N/A,FALSE,"FY97 - Total";"FY98Tot nvs",#N/A,FALSE,"FY98 - Total"}</definedName>
    <definedName name="DSF" hidden="1">{#N/A,#N/A,FALSE,"Renewals In Process";#N/A,#N/A,FALSE,"New Clients In Process";#N/A,#N/A,FALSE,"Completed New Clients";#N/A,#N/A,FALSE,"Completed Renewals"}</definedName>
    <definedName name="DSF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sfadsf" hidden="1">{"histincome",#N/A,FALSE,"hyfins";"closing balance",#N/A,FALSE,"hyfins"}</definedName>
    <definedName name="dsfasf" hidden="1">{#N/A,#N/A,FALSE,"Cover";#N/A,#N/A,FALSE,"Profits";#N/A,#N/A,FALSE,"ABS";#N/A,#N/A,FALSE,"TFLE Detail";#N/A,#N/A,FALSE,"TFLE Walk";#N/A,#N/A,FALSE,"Variable Cost";#N/A,#N/A,FALSE,"V.C. Walk"}</definedName>
    <definedName name="dsfergersa" hidden="1">{#N/A,#N/A,TRUE,"Historicals";#N/A,#N/A,TRUE,"Charts";#N/A,#N/A,TRUE,"Forecasts"}</definedName>
    <definedName name="dsferghrt" hidden="1">{#N/A,#N/A,TRUE,"Historicals";#N/A,#N/A,TRUE,"Charts";#N/A,#N/A,TRUE,"Forecasts"}</definedName>
    <definedName name="dsfff"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dsfgdsgfsdfg" hidden="1">{"'Plan_vs_Actual'!$B$3:$U$27"}</definedName>
    <definedName name="dsfgf" hidden="1">{"'Plan_vs_Actual'!$B$3:$U$27"}</definedName>
    <definedName name="dsfsf" hidden="1">{"SUM GER",#N/A,FALSE,"SUM GER";"SUM FRA",#N/A,FALSE,"SUM FRA";"SUM ITA",#N/A,FALSE,"SUM ITA";"SUM SPA",#N/A,FALSE,"SUM SPA";"SUM EGB",#N/A,FALSE,"SUM EGB";"SUM IND",#N/A,FALSE,"SUM IND"}</definedName>
    <definedName name="dsfsffss" hidden="1">{#N/A,#N/A,FALSE,"Pharm";#N/A,#N/A,FALSE,"WWCM"}</definedName>
    <definedName name="dsg" hidden="1">{#N/A,#N/A,FALSE,"Calc";#N/A,#N/A,FALSE,"Sensitivity";#N/A,#N/A,FALSE,"LT Earn.Dil.";#N/A,#N/A,FALSE,"Dil. AVP"}</definedName>
    <definedName name="dsgds"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dsgf"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L" hidden="1">{#N/A,#N/A,FALSE,"단축1";#N/A,#N/A,FALSE,"단축2";#N/A,#N/A,FALSE,"단축3";#N/A,#N/A,FALSE,"장축";#N/A,#N/A,FALSE,"4WD"}</definedName>
    <definedName name="DsLink_DistDueBack" hidden="1">""</definedName>
    <definedName name="DsLink_DistEmailFrom" hidden="1">"richard_tse@dell.ca"</definedName>
    <definedName name="DsLink_DistEmailMessage" hidden="1">"You have received a Distributed Spreadsheet.  Please open Excel and select the menu option, Distributed Spreadsheet, Receive and Open Spreadsheet."</definedName>
    <definedName name="DsLink_DistEmailReturnTo" hidden="1">"richard_tse@dell.ca"</definedName>
    <definedName name="DsLink_DistEmailSubject" hidden="1">"Distributed Spreadsheet Received"</definedName>
    <definedName name="DsLink_DistInstruction" hidden="1">"You have received a Distributed Spreadsheet that needs to be completed and returned."</definedName>
    <definedName name="DSO" hidden="1">{#N/A,#N/A,FALSE,"ACQ_GRAPHS";#N/A,#N/A,FALSE,"T_1 GRAPHS";#N/A,#N/A,FALSE,"T_2 GRAPHS";#N/A,#N/A,FALSE,"COMB_GRAPHS"}</definedName>
    <definedName name="dsrfgds" hidden="1">{#N/A,#N/A,TRUE,"Historicals";#N/A,#N/A,TRUE,"Charts";#N/A,#N/A,TRUE,"Forecasts"}</definedName>
    <definedName name="dss" hidden="1">{#N/A,#N/A,FALSE,"ACQ_GRAPHS";#N/A,#N/A,FALSE,"T_1 GRAPHS";#N/A,#N/A,FALSE,"T_2 GRAPHS";#N/A,#N/A,FALSE,"COMB_GRAPHS"}</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hdftd" hidden="1">{#N/A,#N/A,TRUE,"Historicals";#N/A,#N/A,TRUE,"Charts";#N/A,#N/A,TRUE,"Forecasts"}</definedName>
    <definedName name="dthdfthfd" hidden="1">{#N/A,#N/A,TRUE,"Historicals";#N/A,#N/A,TRUE,"Charts";#N/A,#N/A,TRUE,"Forecasts"}</definedName>
    <definedName name="dthdtyhfgg" hidden="1">{#N/A,#N/A,TRUE,"Historicals";#N/A,#N/A,TRUE,"Charts";#N/A,#N/A,TRUE,"Forecasts"}</definedName>
    <definedName name="dtu" hidden="1">{#N/A,#N/A,TRUE,"financial";#N/A,#N/A,TRUE,"plants"}</definedName>
    <definedName name="dtzzk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ummy"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dummy2" hidden="1">{"REVISED",#N/A,FALSE,"Sheet1"}</definedName>
    <definedName name="dummy3" hidden="1">{"REVISED",#N/A,FALSE,"Sheet1"}</definedName>
    <definedName name="Dummyw"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duplicate123A" hidden="1">#REF!</definedName>
    <definedName name="DVSVSDVsdvsD" hidden="1">{"'Planning Data'!$A$2:$X$120"}</definedName>
    <definedName name="dw" hidden="1">#N/A</definedName>
    <definedName name="dwe" hidden="1">#N/A</definedName>
    <definedName name="dwx" hidden="1">{"Comp_of_Price_Effect",#N/A,FALSE,"QTRDPVAR"}</definedName>
    <definedName name="dx" hidden="1">{"Month Summary",#N/A,FALSE,"Summary";"Total Details",#N/A,FALSE,"Current Yr";"Polymers Details",#N/A,FALSE,"Current Yr";"Performance Details",#N/A,FALSE,"Current Yr";"ICD Details",#N/A,FALSE,"Current Yr"}</definedName>
    <definedName name="DZ.IndSpec_Left" hidden="1">#REF!</definedName>
    <definedName name="DZ.IndSpec_Right" hidden="1">#REF!</definedName>
    <definedName name="DZ.LTM" hidden="1">#REF!</definedName>
    <definedName name="DZ.LTMPlus" hidden="1">#REF!</definedName>
    <definedName name="e" localSheetId="54" hidden="1">'[1]Piper Heidsieck'!#REF!</definedName>
    <definedName name="e" localSheetId="55" hidden="1">'[1]Piper Heidsieck'!#REF!</definedName>
    <definedName name="e" hidden="1">{#N/A,#N/A,FALSE,"Layout GuV"}</definedName>
    <definedName name="e0" hidden="1">{"'Demand Units'!$Z$2:$AF$53"}</definedName>
    <definedName name="E01_Sender" hidden="1">"0669/PREMIER7/0685/P_NOSTAL/"</definedName>
    <definedName name="E05_OrderCustom" hidden="1">6</definedName>
    <definedName name="E50ﾄﾞﾗﾍﾙ西端" hidden="1">1</definedName>
    <definedName name="eaf" hidden="1">#REF!</definedName>
    <definedName name="earn1" hidden="1">#REF!</definedName>
    <definedName name="eartert" hidden="1">{#N/A,#N/A,FALSE,"Layout GuV"}</definedName>
    <definedName name="eata43qrfed" hidden="1">{"dcfsummary",#N/A,FALSE,"NHY - DCF Valuation";"agriculture",#N/A,FALSE,"NHY - DCF Valuation";"oilgas",#N/A,FALSE,"NHY - DCF Valuation";"oilgastot",#N/A,FALSE,"NHY - DCF Valuation";"lightmetals",#N/A,FALSE,"NHY - DCF Valuation";"petrochemicals",#N/A,FALSE,"NHY - DCF Valuation";"other",#N/A,FALSE,"NHY - DCF Valuation"}</definedName>
    <definedName name="EAWR" hidden="1">{#N/A,#N/A,FALSE,"단축1";#N/A,#N/A,FALSE,"단축2";#N/A,#N/A,FALSE,"단축3";#N/A,#N/A,FALSE,"장축";#N/A,#N/A,FALSE,"4WD"}</definedName>
    <definedName name="EBIT_10K" hidden="1">"EBIT_10K"</definedName>
    <definedName name="EBIT_10Q" hidden="1">"EBIT_10Q"</definedName>
    <definedName name="EBIT_10Q1" hidden="1">"EBIT_10Q1"</definedName>
    <definedName name="EBIT_GROWTH_1" hidden="1">"EBIT_GROWTH_1"</definedName>
    <definedName name="EBIT_GROWTH_2" hidden="1">"EBIT_GROWTH_2"</definedName>
    <definedName name="EBIT_MARGIN" hidden="1">"EBIT_MARGIN"</definedName>
    <definedName name="EBIT_OVER_IE" hidden="1">"EBIT_OVER_IE"</definedName>
    <definedName name="ebitda" localSheetId="55">#REF!</definedName>
    <definedName name="ebitda">#REF!</definedName>
    <definedName name="EBITDA_10K" hidden="1">"EBITDA_10K"</definedName>
    <definedName name="EBITDA_10Q" hidden="1">"EBITDA_10Q"</definedName>
    <definedName name="EBITDA_10Q1" hidden="1">"EBITDA_10Q1"</definedName>
    <definedName name="EBITDA_CAPEX_OVER_TOTAL_IE" hidden="1">"EBITDA_CAPEX_OVER_TOTAL_IE"</definedName>
    <definedName name="EBITDA_GROWTH_1" hidden="1">"EBITDA_GROWTH_1"</definedName>
    <definedName name="EBITDA_GROWTH_2" hidden="1">"EBITDA_GROWTH_2"</definedName>
    <definedName name="EBITDA_OVER_TOTAL_IE" hidden="1">"EBITDA_OVER_TOTAL_IE"</definedName>
    <definedName name="EBITDADec"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ed5dyx" hidden="1">{#N/A,#N/A,FALSE,"CBE";#N/A,#N/A,FALSE,"SWK"}</definedName>
    <definedName name="EDFedf" hidden="1">{#N/A,#N/A,FALSE,"Staffnos &amp; cost"}</definedName>
    <definedName name="edp" hidden="1">{"assumption 50 50",#N/A,TRUE,"Merger";"has gets cash",#N/A,TRUE,"Merger";"accretion dilution",#N/A,TRUE,"Merger";"comparison credit stats",#N/A,TRUE,"Merger";"pf credit stats",#N/A,TRUE,"Merger";"pf sheets",#N/A,TRUE,"Merger"}</definedName>
    <definedName name="ee" hidden="1">{"FY97Q1 nvs",#N/A,FALSE,"FY97 - Q1";"FY97Q2 nvs",#N/A,FALSE,"FY97 - Q2";"FY97Q3 nvs",#N/A,FALSE,"FY97 - Q3";"FY97Q4 nvs",#N/A,FALSE,"FY97 - Q4"}</definedName>
    <definedName name="EEE" hidden="1">{#N/A,#N/A,FALSE,"Pharm";#N/A,#N/A,FALSE,"WWCM"}</definedName>
    <definedName name="eee.lll" hidden="1">{#N/A,#N/A,FALSE,"PMW Gruppe 99_98";#N/A,#N/A,FALSE,"PMW KG 98_99";#N/A,#N/A,FALSE,"PMW Inc. 99_98";#N/A,#N/A,FALSE,"PMW VTECH 99_98";#N/A,#N/A,FALSE,"PMW Thail. 99_98";#N/A,#N/A,FALSE,"PMW Canada 99_98";#N/A,#N/A,FALSE,"Währungsabw. 99_98"}</definedName>
    <definedName name="eeee" hidden="1">{#N/A,#N/A,FALSE,"Calc";#N/A,#N/A,FALSE,"Sensitivity";#N/A,#N/A,FALSE,"LT Earn.Dil.";#N/A,#N/A,FALSE,"Dil. AVP"}</definedName>
    <definedName name="eeeee" hidden="1">{#N/A,#N/A,FALSE,"Pharm";#N/A,#N/A,FALSE,"WWCM"}</definedName>
    <definedName name="eeeeeee" hidden="1">#N/A</definedName>
    <definedName name="eeeeeeee" hidden="1">{"Pg1",#N/A,FALSE,"OpExYTDvsBud";"Pg2",#N/A,FALSE,"OpExYTDvsBud"}</definedName>
    <definedName name="eeeeeeeee" hidden="1">{"Pa1",#N/A,FALSE,"OpExYTDvsPY";"Pa2",#N/A,FALSE,"OpExYTDvsPY"}</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hidden="1">{#N/A,"PURCHM",FALSE,"Business Analysis";#N/A,"SPADD",FALSE,"Business Analysis"}</definedName>
    <definedName name="eeeeeeeeeeee" hidden="1">{"pro_view",#N/A,FALSE,"EEFSNAP2";"rep_view",#N/A,FALSE,"EEFSNAP2"}</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EEEEEEEEEEEEEEEE" hidden="1">{"Summary",#N/A,FALSE,"Summary";"A&amp;A's",#N/A,FALSE,"Aids &amp; A's";"MajorWorks",#N/A,FALSE,"Major Works";"EstateImps",#N/A,FALSE,"Estate Imps";"CatC",#N/A,FALSE,"Cat C Voids";"CycProg",#N/A,FALSE,"Cyclical Prog inc MR"}</definedName>
    <definedName name="eeeeeeeeeeeeeeeeeeeeeeeeee" hidden="1">{"London cttee condensed",#N/A,FALSE,"Dev Panel Cut Report";"South East cttee condensed",#N/A,FALSE,"Dev Panel Cut Report"}</definedName>
    <definedName name="eek" hidden="1">{#N/A,#N/A,FALSE,"FCF Corporate Services";#N/A,#N/A,FALSE,"FCF Assum Corporate Services";#N/A,#N/A,FALSE,"DCF Corp. Services Sensitivity";#N/A,#N/A,FALSE,"AVP Corporate Services";"FCF in percent",#N/A,FALSE,"FCF Corporate Services"}</definedName>
    <definedName name="eer" hidden="1">{#N/A,#N/A,TRUE,"Cover sheet";#N/A,#N/A,TRUE,"Summary";#N/A,#N/A,TRUE,"Key Assumptions";#N/A,#N/A,TRUE,"Profit &amp; Loss";#N/A,#N/A,TRUE,"Balance Sheet";#N/A,#N/A,TRUE,"Cashflow";#N/A,#N/A,TRUE,"IRR";#N/A,#N/A,TRUE,"Ratios";#N/A,#N/A,TRUE,"Debt analysis"}</definedName>
    <definedName name="eererer" hidden="1">{"mgmt forecast",#N/A,FALSE,"Mgmt Forecast";"dcf table",#N/A,FALSE,"Mgmt Forecast";"sensitivity",#N/A,FALSE,"Mgmt Forecast";"table inputs",#N/A,FALSE,"Mgmt Forecast";"calculations",#N/A,FALSE,"Mgmt Forecast"}</definedName>
    <definedName name="eert" hidden="1">{#N/A,#N/A,FALSE,"Umsatz EO BP";#N/A,#N/A,FALSE,"Umsatz EO OP";#N/A,#N/A,FALSE,"ER EO BP";#N/A,#N/A,FALSE,"ER EO OP";#N/A,#N/A,FALSE,"EA EO (2)";#N/A,#N/A,FALSE,"EA EO";#N/A,#N/A,FALSE,"EA EO (3)";#N/A,#N/A,FALSE,"EA EO (4)";#N/A,#N/A,FALSE,"KA EO  (2)";#N/A,#N/A,FALSE,"KA EO";#N/A,#N/A,FALSE,"KA EO  (3)";#N/A,#N/A,FALSE,"KA EO (4)"}</definedName>
    <definedName name="EERYREYREYERY" hidden="1">{"up stand alones",#N/A,FALSE,"Acquiror"}</definedName>
    <definedName name="eeutzuitzu" hidden="1">{#N/A,#N/A,FALSE,"Layout Cash Flow"}</definedName>
    <definedName name="EF" hidden="1">{#N/A,#N/A,TRUE,"Cover sheet";#N/A,#N/A,TRUE,"DCF analysis";#N/A,#N/A,TRUE,"WACC calculation"}</definedName>
    <definedName name="efaf" hidden="1">{"'SIVA Pricing Model'!$A$1:$F$39"}</definedName>
    <definedName name="efaf2" hidden="1">{"'SIVA Pricing Model'!$A$1:$F$39"}</definedName>
    <definedName name="efbar" hidden="1">{#N/A,#N/A,FALSE,"Performance Flash Report"}</definedName>
    <definedName name="EFFECT_SPECIAL_CHARGE" hidden="1">"EFFECT_SPECIAL_CHARGE"</definedName>
    <definedName name="effodd" hidden="1">{"'Standalone List Price Trends'!$A$1:$X$56"}</definedName>
    <definedName name="EFFOG" hidden="1">{#N/A,#N/A,FALSE,"단축1";#N/A,#N/A,FALSE,"단축2";#N/A,#N/A,FALSE,"단축3";#N/A,#N/A,FALSE,"장축";#N/A,#N/A,FALSE,"4WD"}</definedName>
    <definedName name="efin" hidden="1">{#N/A,#N/A,FALSE,"Output";#N/A,#N/A,FALSE,"Cover Sheet";#N/A,#N/A,FALSE,"Current Mkt. Projections"}</definedName>
    <definedName name="efn" hidden="1">{#N/A,#N/A,TRUE,"DCF Summary";#N/A,#N/A,TRUE,"Casema";#N/A,#N/A,TRUE,"UK";#N/A,#N/A,TRUE,"RCF";#N/A,#N/A,TRUE,"Intercable CZ";#N/A,#N/A,TRUE,"Interkabel P";#N/A,#N/A,TRUE,"LBO-Total";#N/A,#N/A,TRUE,"LBO-Casema"}</definedName>
    <definedName name="EFqef"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efr" hidden="1">{#N/A,#N/A,FALSE,"Layout Aktiva";#N/A,#N/A,FALSE,"Layout Passiva"}</definedName>
    <definedName name="EF제동" hidden="1">{#N/A,#N/A,FALSE,"단축1";#N/A,#N/A,FALSE,"단축2";#N/A,#N/A,FALSE,"단축3";#N/A,#N/A,FALSE,"장축";#N/A,#N/A,FALSE,"4WD"}</definedName>
    <definedName name="egf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h" hidden="1">{"cover",#N/A,TRUE,"Cover";"toc3",#N/A,TRUE,"TOC";"over",#N/A,TRUE,"Overview";"ts2",#N/A,TRUE,"Det_Trans_Sum";"ei2c",#N/A,TRUE,"Earnings Impact";"ad2",#N/A,TRUE,"accretion dilution";"pfis2",#N/A,TRUE,"Pro Forma Income Statement";"acq2c",#N/A,TRUE,"Acquirer";"tar2c",#N/A,TRUE,"Target"}</definedName>
    <definedName name="eHÜ0101200001000" hidden="1">#REF!</definedName>
    <definedName name="eHÜ0101200002000" hidden="1">#REF!</definedName>
    <definedName name="eHÜ0102200001000" hidden="1">#REF!</definedName>
    <definedName name="eHÜ0102200002000" hidden="1">#REF!</definedName>
    <definedName name="eHÜ0102200003000" hidden="1">#REF!</definedName>
    <definedName name="eHÜ0103200002000" hidden="1">#REF!</definedName>
    <definedName name="eHÜ0103200003000" hidden="1">#REF!</definedName>
    <definedName name="eHÜ0103200004000" hidden="1">#REF!</definedName>
    <definedName name="eHÜ0104200001000" hidden="1">#REF!</definedName>
    <definedName name="eHÜ0105200001000" hidden="1">#REF!</definedName>
    <definedName name="eHÜ0106200001000" hidden="1">#REF!</definedName>
    <definedName name="eHÜ0106200002000" hidden="1">#REF!</definedName>
    <definedName name="eHÜ0107100007000" hidden="1">#REF!</definedName>
    <definedName name="eHÜ0107200002000" hidden="1">#REF!</definedName>
    <definedName name="eHÜ0107200003000" hidden="1">#REF!</definedName>
    <definedName name="eHÜ0107200004000" hidden="1">#REF!</definedName>
    <definedName name="eHÜ0107200005000" hidden="1">#REF!</definedName>
    <definedName name="eHÜ0107200006000" hidden="1">#REF!</definedName>
    <definedName name="eHÜ0107200008000" hidden="1">#REF!</definedName>
    <definedName name="eHÜ0107200009000" hidden="1">#REF!</definedName>
    <definedName name="eHÜ0107200010000" hidden="1">#REF!</definedName>
    <definedName name="eHÜ0112200001000" hidden="1">#REF!</definedName>
    <definedName name="eHÜ0112200002000" hidden="1">#REF!</definedName>
    <definedName name="ei"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genkapital" hidden="1">{#N/A,#N/A,FALSE,"Aging Summary";#N/A,#N/A,FALSE,"Ratio Analysis";#N/A,#N/A,FALSE,"Test 120 Day Accts";#N/A,#N/A,FALSE,"Tickmarks"}</definedName>
    <definedName name="Eigenkapitalplanung" hidden="1">{#N/A,#N/A,FALSE,"Aging Summary";#N/A,#N/A,FALSE,"Ratio Analysis";#N/A,#N/A,FALSE,"Test 120 Day Accts";#N/A,#N/A,FALSE,"Tickmarks"}</definedName>
    <definedName name="Eigenverbrauch" hidden="1">#REF!</definedName>
    <definedName name="Eigenverbrauch_" hidden="1">[4]DATENHALTUNG!$AK$69</definedName>
    <definedName name="EigenverbrauchN" hidden="1">#REF!</definedName>
    <definedName name="EIJI" hidden="1">{"ALLOCATION1",#N/A,FALSE,"EXPENSE ALLOCATIONS";"ALLOCATION2",#N/A,FALSE,"EXPENSE ALLOCATIONS";"ALLOCATION3",#N/A,FALSE,"EXPENSE ALLOCATIONS";"ALLOCATION4",#N/A,FALSE,"EXPENSE ALLOCATIONS"}</definedName>
    <definedName name="Eiji1" hidden="1">{"ALLOCATION1",#N/A,FALSE,"EXPENSE ALLOCATIONS";"ALLOCATION2",#N/A,FALSE,"EXPENSE ALLOCATIONS";"ALLOCATION3",#N/A,FALSE,"EXPENSE ALLOCATIONS";"ALLOCATION4",#N/A,FALSE,"EXPENSE ALLOCATIONS"}</definedName>
    <definedName name="EIJIA" hidden="1">{"ALLOCATION1",#N/A,FALSE,"EXPENSE ALLOCATIONS";"ALLOCATION2",#N/A,FALSE,"EXPENSE ALLOCATIONS";"ALLOCATION3",#N/A,FALSE,"EXPENSE ALLOCATIONS";"ALLOCATION4",#N/A,FALSE,"EXPENSE ALLOCATIONS"}</definedName>
    <definedName name="EIJIB"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EIJIC" hidden="1">{"TOTALDPAK",#N/A,FALSE,"DPAK PRODUCTION";"HADPAK",#N/A,FALSE,"DPAK PRODUCTION";"PSIDPAK",#N/A,FALSE,"DPAK PRODUCTION"}</definedName>
    <definedName name="EIJID" hidden="1">{"TOTALFAB",#N/A,FALSE,"WAFER FAB 2 EXPENSE";"FABPRODUCTION",#N/A,FALSE,"WAFER FAB 2 EXPENSE";"FABENGINEERING",#N/A,FALSE,"WAFER FAB 2 EXPENSE";"FABEQUIPSUPPORT",#N/A,FALSE,"WAFER FAB 2 EXPENSE";"FABPRODUCTLINE",#N/A,FALSE,"WAFER FAB 2 EXPENSE";"FABMATERIALS",#N/A,FALSE,"WAFER FAB 2 EXPENSE"}</definedName>
    <definedName name="eings" hidden="1">{#N/A,"PURCHM",FALSE,"Business Analysis";#N/A,"SPADD",FALSE,"Business Analysis"}</definedName>
    <definedName name="EInheiten"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zAnleihen_Kred" hidden="1">#REF!</definedName>
    <definedName name="EinzAnleihen_Kred_" hidden="1">#REF!</definedName>
    <definedName name="EinzAnleihen_KredN" hidden="1">#REF!</definedName>
    <definedName name="EinzEigenkapital" hidden="1">#REF!</definedName>
    <definedName name="EinzEigenkapital_" hidden="1">#REF!</definedName>
    <definedName name="EinzEigenkapitalN" hidden="1">#REF!</definedName>
    <definedName name="EinzEKZufuehrung" hidden="1">#REF!</definedName>
    <definedName name="EinzEKZufuehrung_" hidden="1">#REF!</definedName>
    <definedName name="EinzEKZufuehrungN" hidden="1">#REF!</definedName>
    <definedName name="EinzFAVVerkauf" hidden="1">#REF!</definedName>
    <definedName name="EinzFAVVerkauf_" hidden="1">#REF!</definedName>
    <definedName name="EinzFAVVerkaufN" hidden="1">#REF!</definedName>
    <definedName name="EinzImmatVerm" hidden="1">#REF!</definedName>
    <definedName name="EinzImmatVerm_" hidden="1">#REF!</definedName>
    <definedName name="EinzImmatVermN" hidden="1">#REF!</definedName>
    <definedName name="EinzKfrFinDisp" hidden="1">#REF!</definedName>
    <definedName name="EinzKfrFinDisp_" hidden="1">#REF!</definedName>
    <definedName name="EinzKfrFinDispN" hidden="1">#REF!</definedName>
    <definedName name="EinzKunden" hidden="1">#REF!</definedName>
    <definedName name="EinzKunden_" hidden="1">#REF!</definedName>
    <definedName name="EinzKundenN" hidden="1">#REF!</definedName>
    <definedName name="EinzSAVVerkauf" hidden="1">#REF!</definedName>
    <definedName name="EinzSAVVerkauf_" hidden="1">#REF!</definedName>
    <definedName name="EinzSAVVerkaufN" hidden="1">#REF!</definedName>
    <definedName name="EJ" hidden="1">TEXT(EJE,"TT.MM.JJJJ")</definedName>
    <definedName name="EJE" hidden="1">40087</definedName>
    <definedName name="ejejejej"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K" hidden="1">TEXT(EJE,"T.M.JJJJ")</definedName>
    <definedName name="ejkfgkjze" hidden="1">{#N/A,#N/A,FALSE,"Pharm";#N/A,#N/A,FALSE,"WWCM"}</definedName>
    <definedName name="EK" hidden="1">{#N/A,#N/A,FALSE,"Aging Summary";#N/A,#N/A,FALSE,"Ratio Analysis";#N/A,#N/A,FALSE,"Test 120 Day Accts";#N/A,#N/A,FALSE,"Tickmarks"}</definedName>
    <definedName name="Eken" hidden="1">{#N/A,#N/A,FALSE,"INPUTS";#N/A,#N/A,FALSE,"PROFORMA BSHEET";#N/A,#N/A,FALSE,"COMBINED";#N/A,#N/A,FALSE,"HIGH YIELD";#N/A,#N/A,FALSE,"COMB_GRAPHS"}</definedName>
    <definedName name="Eken.cs" hidden="1">{#N/A,#N/A,FALSE,"INPUTS";#N/A,#N/A,FALSE,"PROFORMA BSHEET";#N/A,#N/A,FALSE,"COMBINED";#N/A,#N/A,FALSE,"ACQUIROR";#N/A,#N/A,FALSE,"TARGET 1";#N/A,#N/A,FALSE,"TARGET 2";#N/A,#N/A,FALSE,"HIGH YIELD";#N/A,#N/A,FALSE,"OVERFUND"}</definedName>
    <definedName name="EKVR" hidden="1">{#N/A,#N/A,FALSE,"Aktiva";#N/A,#N/A,FALSE,"Passiva";#N/A,#N/A,FALSE,"guv";#N/A,#N/A,FALSE,"Anl-1";#N/A,#N/A,FALSE,"Anl-2";#N/A,#N/A,FALSE,"Anl-III";#N/A,#N/A,FALSE,"Ta-1-Anh";#N/A,#N/A,FALSE,"Ta-2-Anh";#N/A,#N/A,FALSE,"Ta-3-Anh";#N/A,#N/A,FALSE,"Kontroll-Blatt"}</definedName>
    <definedName name="ekvre" hidden="1">{#N/A,#N/A,FALSE,"Aktiva";#N/A,#N/A,FALSE,"Passiva";#N/A,#N/A,FALSE,"guv";#N/A,#N/A,FALSE,"Anl-1";#N/A,#N/A,FALSE,"Anl-2";#N/A,#N/A,FALSE,"Anl-III";#N/A,#N/A,FALSE,"Ta-1-Anh";#N/A,#N/A,FALSE,"Ta-2-Anh";#N/A,#N/A,FALSE,"Ta-3-Anh";#N/A,#N/A,FALSE,"Kontroll-Blatt"}</definedName>
    <definedName name="emil1" hidden="1">{#N/A,#N/A,FALSE,"Calc";#N/A,#N/A,FALSE,"Sensitivity";#N/A,#N/A,FALSE,"LT Earn.Dil.";#N/A,#N/A,FALSE,"Dil. AVP"}</definedName>
    <definedName name="emily" hidden="1">{#N/A,#N/A,FALSE,"Calc";#N/A,#N/A,FALSE,"Sensitivity";#N/A,#N/A,FALSE,"LT Earn.Dil.";#N/A,#N/A,FALSE,"Dil. AVP"}</definedName>
    <definedName name="emily1" hidden="1">{#N/A,#N/A,FALSE,"Calc";#N/A,#N/A,FALSE,"Sensitivity";#N/A,#N/A,FALSE,"LT Earn.Dil.";#N/A,#N/A,FALSE,"Dil. AVP"}</definedName>
    <definedName name="emily10" hidden="1">{#N/A,#N/A,FALSE,"Calc";#N/A,#N/A,FALSE,"Sensitivity";#N/A,#N/A,FALSE,"LT Earn.Dil.";#N/A,#N/A,FALSE,"Dil. AVP"}</definedName>
    <definedName name="emily100" hidden="1">{#N/A,#N/A,FALSE,"Calc";#N/A,#N/A,FALSE,"Sensitivity";#N/A,#N/A,FALSE,"LT Earn.Dil.";#N/A,#N/A,FALSE,"Dil. AVP"}</definedName>
    <definedName name="EMPLOYEES" hidden="1">"EMPLOYEES"</definedName>
    <definedName name="EMS" hidden="1">{"'Data'!$A$1:$D$17"}</definedName>
    <definedName name="ENG_BI_EXE_NAME" hidden="1">"BICORE.EXE"</definedName>
    <definedName name="ENG_BI_EXEC_CMD_ARGS" hidden="1">"03304607807808310008509207808203605007003304907412708906908707207908410406808007306906512505112706312512707306708509308007306605313413009611212310611910211610507306609207808209007408306207006908008207908709108905109208308709708805509105413413209511611"</definedName>
    <definedName name="ENG_BI_EXEC_CMD_ARGS_2" hidden="1">"91061191011161050730660760720850650850800720661200551230541341320951161191061191011161050730660940900700820700831021171111181211051191120851191061151261270951161191051271041171010770670810700830870920790910770610870720830660810580530550510680560490480"</definedName>
    <definedName name="ENG_BI_EXEC_CMD_ARGS_3" hidden="1">"68050050055059060058059058065056063056055060053054053064055066066057050068051051053059058054059058062052063055049054063050052058059059055050059058053053064050058054059059063054063054051054063049058062059064055060050058053060057057063055049059134123099"</definedName>
    <definedName name="ENG_BI_EXEC_CMD_ARGS_4" hidden="1">"117118099112105103081065087078068079077070062106110129128079091077069086074069081069082069082083070056126"</definedName>
    <definedName name="ENG_BI_GEN_LIC" hidden="1">"1"</definedName>
    <definedName name="ENG_BI_GEN_LIC_WS" hidden="1">"True"</definedName>
    <definedName name="ENG_BI_LBI" hidden="1">"B70E71BI55"</definedName>
    <definedName name="ENG_BI_TLA" hidden="1">"168;115;40;151;9;31;124;198;22;131;31;134;248;39;32;154;128;244;35;261;244;57;70;103;103;150;232;183;259;32;212;256"</definedName>
    <definedName name="ENG_BI_TLA2" hidden="1">"152;120;133;91;249;21;39;191;31;68;207;73;225;167;47;216;175;109;105;194;178;125;73;16;103;190;84;195;53;158;61;126"</definedName>
    <definedName name="ENTERPRISE_VALUE" hidden="1">"ENTERPRISE_VALUE"</definedName>
    <definedName name="entntfnyh" hidden="1">{"dcfsummary",#N/A,FALSE,"NHY - DCF Valuation";"agriculture",#N/A,FALSE,"NHY - DCF Valuation";"oilgas",#N/A,FALSE,"NHY - DCF Valuation";"oilgastot",#N/A,FALSE,"NHY - DCF Valuation";"lightmetals",#N/A,FALSE,"NHY - DCF Valuation";"petrochemicals",#N/A,FALSE,"NHY - DCF Valuation";"other",#N/A,FALSE,"NHY - DCF Valuation"}</definedName>
    <definedName name="eo" hidden="1">{"'B1'!$B$3:$E$3"}</definedName>
    <definedName name="eoflsru" hidden="1">{"QTD",#N/A,FALSE,"SUM"}</definedName>
    <definedName name="EOGH" hidden="1">{#N/A,#N/A,FALSE,"단축1";#N/A,#N/A,FALSE,"단축2";#N/A,#N/A,FALSE,"단축3";#N/A,#N/A,FALSE,"장축";#N/A,#N/A,FALSE,"4WD"}</definedName>
    <definedName name="eoil" hidden="1">{"detail",#N/A,FALSE,"mfg";"summary",#N/A,FALSE,"mfg"}</definedName>
    <definedName name="EO계획" hidden="1">#N/A</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S" hidden="1">"EPS"</definedName>
    <definedName name="EPS_10K" hidden="1">"EPS_10K"</definedName>
    <definedName name="EPS_10Q" hidden="1">"EPS_10Q"</definedName>
    <definedName name="EPS_10Q1" hidden="1">"EPS_10Q1"</definedName>
    <definedName name="EPS_EST" hidden="1">"EPS_EST"</definedName>
    <definedName name="EPS_EST_1" hidden="1">"EPS_EST_1"</definedName>
    <definedName name="epsltm" hidden="1">#REF!</definedName>
    <definedName name="eqrwwe" hidden="1">{#N/A,#N/A,TRUE,"Historicals";#N/A,#N/A,TRUE,"Charts";#N/A,#N/A,TRUE,"Forecasts"}</definedName>
    <definedName name="EQUITY_AFFIL" hidden="1">"EQUITY_AFFIL"</definedName>
    <definedName name="EQUITY_MARKET_VAL" hidden="1">"EQUITY_MARKET_VAL"</definedName>
    <definedName name="equity2row" hidden="1">#REF!</definedName>
    <definedName name="equityrow" hidden="1">#REF!</definedName>
    <definedName name="EQV_OVER_BV" hidden="1">"EQV_OVER_BV"</definedName>
    <definedName name="EQV_OVER_LTM_PRETAX_INC" hidden="1">"EQV_OVER_LTM_PRETAX_INC"</definedName>
    <definedName name="er" hidden="1">{#N/A,#N/A,FALSE,"Staffnos &amp; cost"}</definedName>
    <definedName name="er\" hidden="1">{#N/A,#N/A,FALSE,"TS";#N/A,#N/A,FALSE,"Combo";#N/A,#N/A,FALSE,"FAIR";#N/A,#N/A,FALSE,"RBC";#N/A,#N/A,FALSE,"xxxx";#N/A,#N/A,FALSE,"A_D";#N/A,#N/A,FALSE,"WACC";#N/A,#N/A,FALSE,"DCF";#N/A,#N/A,FALSE,"LBO";#N/A,#N/A,FALSE,"AcqMults";#N/A,#N/A,FALSE,"CompMults"}</definedName>
    <definedName name="eraefewef" hidden="1">{#N/A,#N/A,FALSE,"summary"}</definedName>
    <definedName name="erase2" hidden="1">{#N/A,#N/A,FALSE,"Summary";#N/A,#N/A,FALSE,"CF";#N/A,#N/A,FALSE,"P&amp;L";#N/A,#N/A,FALSE,"BS";#N/A,#N/A,FALSE,"Returns";#N/A,#N/A,FALSE,"Assumptions";#N/A,#N/A,FALSE,"Analysis"}</definedName>
    <definedName name="erase3" hidden="1">{#N/A,#N/A,FALSE,"Summary";#N/A,#N/A,FALSE,"CF";#N/A,#N/A,FALSE,"P&amp;L";"summary",#N/A,FALSE,"Returns";#N/A,#N/A,FALSE,"BS";"summary",#N/A,FALSE,"Analysis";#N/A,#N/A,FALSE,"Assumptions"}</definedName>
    <definedName name="erd" hidden="1">{#N/A,#N/A,FALSE,"Pharm";#N/A,#N/A,FALSE,"WWCM"}</definedName>
    <definedName name="ere" hidden="1">{#N/A,#N/A,TRUE,"FR_HC";#N/A,#N/A,TRUE,"FR_REST";#N/A,#N/A,TRUE,"FR_RETA";#N/A,#N/A,TRUE,"FR_TECSOF";#N/A,#N/A,TRUE,"FR_NETTEC";#N/A,#N/A,TRUE,"FR_CLISER"}</definedName>
    <definedName name="erer"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ererer" hidden="1">#REF!</definedName>
    <definedName name="ererer3"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erererer"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ereserweer" hidden="1">{#N/A,#N/A,FALSE,"mfg - consol";#N/A,#N/A,FALSE,"mfg - flo";#N/A,#N/A,FALSE,"mfg - lindsay"}</definedName>
    <definedName name="erew" hidden="1">{#N/A,#N/A,FALSE,"Sheet1"}</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gebni"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VorSteuern" hidden="1">#REF!</definedName>
    <definedName name="ErgebnisVorSteuern_" hidden="1">#REF!</definedName>
    <definedName name="ErgebnisVorSteuernK" hidden="1">#REF!</definedName>
    <definedName name="ErgebnisVorSteuernM" hidden="1">#REF!</definedName>
    <definedName name="ErgebnisVorSteuernN" hidden="1">#REF!</definedName>
    <definedName name="erghr" hidden="1">{"graph",#N/A,FALSE,"WWJU";"graph",#N/A,FALSE,"WWSEM";"graph",#N/A,FALSE,"GOMJU";"graph",#N/A,FALSE,"GOMSEM";"graph",#N/A,FALSE,"NSJU";"graph",#N/A,FALSE,"NSSEM";"graph",#N/A,FALSE,"WAJU";"graph",#N/A,FALSE,"STOCKPRI";"graph",#N/A,FALSE,"CFTEV";"graph",#N/A,FALSE,"NAV-RCV";"graph",#N/A,FALSE,"CRUDEWW"}</definedName>
    <definedName name="ErhaltDividenden" hidden="1">#REF!</definedName>
    <definedName name="ErhaltDividenden_" hidden="1">#REF!</definedName>
    <definedName name="ErhaltDividendenN" hidden="1">#REF!</definedName>
    <definedName name="ErhaltZinsen" hidden="1">#REF!</definedName>
    <definedName name="ErhaltZinsen_" hidden="1">#REF!</definedName>
    <definedName name="ErhaltZinsenN" hidden="1">#REF!</definedName>
    <definedName name="ErhaltZuschuesse" hidden="1">#REF!</definedName>
    <definedName name="ErhaltZuschuesse_" hidden="1">#REF!</definedName>
    <definedName name="ErhaltZuschuesseN" hidden="1">#REF!</definedName>
    <definedName name="erhfgbdgh" hidden="1">{#N/A,#N/A,TRUE,"Historicals";#N/A,#N/A,TRUE,"Charts";#N/A,#N/A,TRUE,"Forecasts"}</definedName>
    <definedName name="eric" hidden="1">{#N/A,#N/A,FALSE,"Profit Status";#N/A,#N/A,FALSE,"Invest";#N/A,#N/A,FALSE,"Revenue";#N/A,#N/A,FALSE,"Variable Cost";#N/A,#N/A,FALSE,"Options &amp; Series"}</definedName>
    <definedName name="ermgkrtnbnvmd" hidden="1">Word</definedName>
    <definedName name="err.g." hidden="1">{#N/A,#N/A,FALSE,"KA CH  (2)"}</definedName>
    <definedName name="ERRA" hidden="1">{"Allocation Matrix p1",#N/A,FALSE,"Allocation Matrix";"Allocation Matrix p2",#N/A,FALSE,"Allocation Matrix";"Allocation Matrix p3",#N/A,FALSE,"Allocation Matrix"}</definedName>
    <definedName name="erre" hidden="1">{"weichwaren",#N/A,FALSE,"Liste 1";"hartwaren",#N/A,FALSE,"Liste 1";"food",#N/A,FALSE,"Liste 1";"fleisch",#N/A,FALSE,"Liste 1"}</definedName>
    <definedName name="errr.g" hidden="1">{#N/A,#N/A,FALSE,"KA CH  (2)"}</definedName>
    <definedName name="erryeyetyuu" hidden="1">{#N/A,#N/A,FALSE,"Pharm";#N/A,#N/A,FALSE,"WWCM"}</definedName>
    <definedName name="ert" hidden="1">{#N/A,#N/A,FALSE,"1. PTI Ziele";#N/A,#N/A,FALSE,"2. Zielkatalog ";#N/A,#N/A,FALSE,"3. Masterterminplan"}</definedName>
    <definedName name="ertaertaer" hidden="1">{#N/A,#N/A,FALSE,"Layout Aktiva";#N/A,#N/A,FALSE,"Layout Passiva"}</definedName>
    <definedName name="ertaz" hidden="1">{#N/A,#N/A,FALSE,"Operations";#N/A,#N/A,FALSE,"Financials"}</definedName>
    <definedName name="erterg" hidden="1">{#N/A,#N/A,FALSE,"Layout Cash Flow"}</definedName>
    <definedName name="ertr" hidden="1">{#N/A,#N/A,FALSE,"Umsatz 99";#N/A,#N/A,FALSE,"ER 99 "}</definedName>
    <definedName name="Ertragsteuerzlg" hidden="1">#REF!</definedName>
    <definedName name="Ertragsteuerzlg_" hidden="1">#REF!</definedName>
    <definedName name="ErtragsteuerzlgN" hidden="1">#REF!</definedName>
    <definedName name="Ertragswert_Sz6" hidden="1">{#N/A,#N/A,FALSE,"Mittelherkunft";#N/A,#N/A,FALSE,"Mittelverwendung"}</definedName>
    <definedName name="ervnj" hidden="1">{"YTDACT",#N/A,FALSE,"YTD Cum";"YTDBUD",#N/A,FALSE,"YTD Cum";"YTDPRIOR",#N/A,FALSE,"YTD Cum"}</definedName>
    <definedName name="erw" hidden="1">{#N/A,#N/A,FALSE,"Fluktuation TSI"}</definedName>
    <definedName name="erwefasgrghehwet" hidden="1">{"'Sheet1'!$L$16"}</definedName>
    <definedName name="erwerer" hidden="1">{#N/A,#N/A,FALSE,"mfg - consol";#N/A,#N/A,FALSE,"mfg - flo";#N/A,#N/A,FALSE,"mfg - lindsay"}</definedName>
    <definedName name="eryert" hidden="1">{"MATERIAL",#N/A,FALSE,"material"}</definedName>
    <definedName name="esdqcfq1de3w" hidden="1">#REF!</definedName>
    <definedName name="esdrt" hidden="1">#REF!</definedName>
    <definedName name="esnrc100c1_values" hidden="1">{"FTSE100","COMPANIES",TRUE}</definedName>
    <definedName name="esnrc15c1_values" hidden="1">{"EUWAT","COMPANIES",TRUE}</definedName>
    <definedName name="esnrc198c1_values" hidden="1">{"EUENG","COMPANIES",TRUE}</definedName>
    <definedName name="esnrc1c1_values" hidden="1">{"HUBAN","COMPANIES",TRUE}</definedName>
    <definedName name="esnrc33c1_values" hidden="1">{"EUMOT","COMPANIES",TRUE}</definedName>
    <definedName name="esnrc46c1_values" hidden="1">{"PL","COMPANIES",TRUE}</definedName>
    <definedName name="esnrc4c1_values" hidden="1">{"GRBAN","COMPANIES",TRUE}</definedName>
    <definedName name="esnrc56c1_values" hidden="1">{"ASCONGRP","COMPANIES",TRUE}</definedName>
    <definedName name="esnrc63c1_values" hidden="1">{"EUUTIGRP","COMPANIES",TRUE}</definedName>
    <definedName name="esnrc91c1_values" hidden="1">{"EUUTI","COMPANIES",TRUE}</definedName>
    <definedName name="ESOP_DEBT" hidden="1">"ESOP_DEBT"</definedName>
    <definedName name="ESPeXToEUR" hidden="1">1/EUReXToESP</definedName>
    <definedName name="esr" hidden="1">{"qchm_dcf",#N/A,FALSE,"QCHMDCF2";"qchm_terminal",#N/A,FALSE,"QCHMDCF2"}</definedName>
    <definedName name="ess" hidden="1">{#N/A,#N/A,TRUE,"PSG Total Contacts";#N/A,#N/A,TRUE,"PSG Rep Total";#N/A,#N/A,TRUE,"Core Rep Detail";#N/A,#N/A,TRUE,"BC Rep Detail";#N/A,#N/A,TRUE,"Marlboro";#N/A,#N/A,TRUE,"Covington";#N/A,#N/A,TRUE,"Dallas";#N/A,#N/A,TRUE,"VRS Stats";#N/A,#N/A,TRUE,"Internet";#N/A,#N/A,TRUE,"NCO and Call Mix";#N/A,#N/A,TRUE,"VRS &amp; Rep Calls"}</definedName>
    <definedName name="ESSAI" hidden="1">{#N/A,#N/A,FALSE,"Pharm";#N/A,#N/A,FALSE,"WWCM"}</definedName>
    <definedName name="essai2" hidden="1">{"'LU_GMP'!$A$10:$U$254"}</definedName>
    <definedName name="essais" hidden="1">{#N/A,#N/A,FALSE,"F_Plan";#N/A,#N/A,FALSE,"Parameter"}</definedName>
    <definedName name="essais2" hidden="1">{#N/A,#N/A,FALSE,"F_Plan";#N/A,#N/A,FALSE,"Parameter"}</definedName>
    <definedName name="essb" hidden="1">{#N/A,#N/A,TRUE,"PSG Total Contacts";#N/A,#N/A,TRUE,"PSG Rep Total";#N/A,#N/A,TRUE,"Core Rep Detail";#N/A,#N/A,TRUE,"BC Rep Detail";#N/A,#N/A,TRUE,"Marlboro";#N/A,#N/A,TRUE,"Covington";#N/A,#N/A,TRUE,"Dallas";#N/A,#N/A,TRUE,"VRS Stats";#N/A,#N/A,TRUE,"Internet";#N/A,#N/A,TRUE,"NCO and Call Mix";#N/A,#N/A,TRUE,"VRS &amp; Rep Calls"}</definedName>
    <definedName name="est" hidden="1">{#N/A,#N/A,FALSE,"Key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name="est_mvic" hidden="1">#REF!</definedName>
    <definedName name="Estimate" hidden="1">{#N/A,#N/A,FALSE,"P&amp;L";#N/A,#N/A,FALSE,"Capital";#N/A,#N/A,FALSE,"Summary";#N/A,#N/A,FALSE,"VAR Rec";#N/A,#N/A,FALSE,"EBIT Rec"}</definedName>
    <definedName name="et"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c" hidden="1">#REF!</definedName>
    <definedName name="etet" hidden="1">{#N/A,#N/A,FALSE,"Calc";#N/A,#N/A,FALSE,"Sensitivity";#N/A,#N/A,FALSE,"LT Earn.Dil.";#N/A,#N/A,FALSE,"Dil. AVP"}</definedName>
    <definedName name="ETM.BID" hidden="1">"7be5220cf82549649558d90af623bfb5"</definedName>
    <definedName name="ETRYU" hidden="1">{#N/A,#N/A,FALSE,"단축1";#N/A,#N/A,FALSE,"단축2";#N/A,#N/A,FALSE,"단축3";#N/A,#N/A,FALSE,"장축";#N/A,#N/A,FALSE,"4WD"}</definedName>
    <definedName name="etwasneues" hidden="1">#N/A</definedName>
    <definedName name="ety" hidden="1">{"Acq_matrix",#N/A,FALSE,"Acquisition Matrix"}</definedName>
    <definedName name="etyufg" hidden="1">{"mult96",#N/A,FALSE,"PETCOMP";"est96",#N/A,FALSE,"PETCOMP";"mult95",#N/A,FALSE,"PETCOMP";"est95",#N/A,FALSE,"PETCOMP";"multltm",#N/A,FALSE,"PETCOMP";"resultltm",#N/A,FALSE,"PETCOMP"}</definedName>
    <definedName name="ETYUI" hidden="1">{#N/A,#N/A,FALSE,"단축1";#N/A,#N/A,FALSE,"단축2";#N/A,#N/A,FALSE,"단축3";#N/A,#N/A,FALSE,"장축";#N/A,#N/A,FALSE,"4WD"}</definedName>
    <definedName name="etzutzutz" hidden="1">{#N/A,#N/A,FALSE,"Layout Aktiva";#N/A,#N/A,FALSE,"Layout Passiva"}</definedName>
    <definedName name="eu" hidden="1">{"apci",#N/A,FALSE,"Chem_CY";"eastman",#N/A,FALSE,"Eastman";"betz",#N/A,FALSE,"Betz";"great lakes",#N/A,FALSE,"Great_Lakes";"hercules",#N/A,FALSE,"Hercules Chem Seg Data";"rohm",#N/A,FALSE,"Rohm";"union carbide",#N/A,FALSE,"Union";"witco",#N/A,FALSE,"Witco"}</definedName>
    <definedName name="EUReXToDEM" hidden="1">#REF!</definedName>
    <definedName name="eutzuitzui" hidden="1">{#N/A,#N/A,FALSE,"Finanzbedarfsrechnung"}</definedName>
    <definedName name="euutzu" hidden="1">{#N/A,#N/A,FALSE,"Finanzbedarfsrechnung"}</definedName>
    <definedName name="euvwu" hidden="1">{"'B1'!$B$3:$E$3"}</definedName>
    <definedName name="EV" hidden="1">TEXT(EVE,"TT.MM.JJJJ")</definedName>
    <definedName name="ev.Calculation" hidden="1">-4105</definedName>
    <definedName name="ev.Initialized" hidden="1">FALSE</definedName>
    <definedName name="EV__ALLOWSTOPEXPAND__" hidden="1">1</definedName>
    <definedName name="EV__CVPARAMS__" hidden="1">"Trend!$B$17:$C$38;"</definedName>
    <definedName name="EV__DECIMALSYMBOL__" hidden="1">"."</definedName>
    <definedName name="EV__EVCOM_OPTIONS__" hidden="1">8</definedName>
    <definedName name="EV__EXPOPTIONS__" hidden="1">0</definedName>
    <definedName name="EV__LASTREFTIME__" hidden="1">42096.450150463</definedName>
    <definedName name="EV__LASTREFTIME___1" hidden="1">38610.708900463</definedName>
    <definedName name="EV__LASTREFTIME___2" hidden="1">"(GMT-05:00)12/13/2012 8:16:56 AM"</definedName>
    <definedName name="EV__LOCKEDCVW__BUDGET" hidden="1">"SalesVolume,ACTUAL,SalesCustomers,TOTALVAL,AspenPumps,GBP,2012.JAN,Periodic,"</definedName>
    <definedName name="EV__LOCKEDCVW__CAPITAL" hidden="1">"DEPR.AMORT,ALL_ASSETCLASS,TOT_ASSETS,ACTUAL,TOTAL_ADJ,WICHORUS_DS_RD,PROD_HIER,USD,2012.DEC,PERIODIC,"</definedName>
    <definedName name="EV__LOCKEDCVW__CASHFLOW" hidden="1">"A_TOTCFA,AC_CASHAC,ACTUAL,LC,E_QSG,2007.Q2,PERIODIC,"</definedName>
    <definedName name="EV__LOCKEDCVW__CONSO" hidden="1">"A_None_NETINC,B_ALL,ACTUAL,C_ALL,USD,TotConso,E_QSG,G_ALL,2007.Q3,PERIODIC,"</definedName>
    <definedName name="EV__LOCKEDCVW__CORPOPS" hidden="1">"A_None_NETINC,B_ALL,BUDGET,C_ALL,USD,TotConso,E_100,G_ALL,2007.Q3,PERIODIC,"</definedName>
    <definedName name="EV__LOCKEDCVW__EXPENSES" hidden="1">"EXPENSES,FCST12,TOTAL_ADJ,TELLABS,EXP_DETAIL,PROD_HIER,USD,2011.DEC,PERIODIC,"</definedName>
    <definedName name="EV__LOCKEDCVW__FINANCE" hidden="1">"15110,Actual,TotalAdj,TOT_DEPT,TOT_COMPANY,TOT_LOB,2009.OCT,PERIODIC,"</definedName>
    <definedName name="EV__LOCKEDCVW__FINANCE_HP" hidden="1">"Balance_Sheet,ACTUAL,C_HPE,All_DS,2011.dec,YTD,"</definedName>
    <definedName name="EV__LOCKEDCVW__FPR" hidden="1">"A_STAT_INVENT,B_ALL,FORECAST,C_ALL,LC,Input,D_ALL,E_503,P_ALL,S_ALL,2006.Q4,PERIODIC,"</definedName>
    <definedName name="EV__LOCKEDCVW__INTERCOMATCHING" hidden="1">"ICAssets,Actual,Input,E_All,I_All,2004.TOTAL,USD,PERIODIC,"</definedName>
    <definedName name="EV__LOCKEDCVW__KPI" hidden="1">"ACTUAL,TOTALCC,TotalAdj,All_Minions,TOT_ANDROID,TOT_WGS_FRNGS,USD,TOT_SUB_LNCH,2006.TOTAL,PERIODIC,"</definedName>
    <definedName name="EV__LOCKEDCVW__MANAGEMENT" hidden="1">"PL_REV,FCST12,CHANNEL,ALL_CUSTOMER,TOTAL_ADJ,TELLABS,ALT1_HIER,USD,TOTAL_TELLABS,2010.DEC,PERIODIC,"</definedName>
    <definedName name="EV__LOCKEDCVW__OPERATIONS" hidden="1">"ACTUAL,SalesCustomers,TOTALVAL,TotalItems,SalesValue,GBP,TotalSuppliers,2012.TOTAL,Periodic,"</definedName>
    <definedName name="EV__LOCKEDCVW__PAYROLL" hidden="1">"11250,Actual,TotalAdj,TOT_DEPT,ALLEMPL,TOT_COMPANY_PF,Tot_Job,TOT_LOB,XCG,2008.Total,4215,PERIODIC,"</definedName>
    <definedName name="EV__LOCKEDCVW__PLANNING2005" hidden="1">"ACTUAL,ALLLE,TURBINE,GPPCT,ALLPRODUCTS,USOPS,1998.TOTAL,PERIODIC,"</definedName>
    <definedName name="EV__LOCKEDCVW__PROJ_EVEREST" hidden="1">"ACTUAL,TOTALADJ,TOT_DELIVER,TOT_ANDROID,2000.TOTAL,PERIODIC,"</definedName>
    <definedName name="EV__LOCKEDCVW__RATE" hidden="1">"ACTUAL,USD,Avg,Default,2004.TOTAL,PERIODIC,"</definedName>
    <definedName name="EV__LOCKEDCVW__RATE_INTERCO" hidden="1">"Actual,Avg,Default,2004.TOTAL,USD,PERIODIC,"</definedName>
    <definedName name="EV__LOCKEDCVW__REVENUE" hidden="1">"Balance_Sheet,Actual,TOT_CUSTOMERS,TotalAdj,TOT_COMPANY_PF,TOT_LOB,2005.TOTAL,PERIODIC,"</definedName>
    <definedName name="EV__LOCKEDCVW__SAFETY" hidden="1">"Accidents,Actual,TotalAdj,TOT_DEPT,TOT_COMPANY_PF,TOT_LOB,2005.TOTAL,PERIODIC,"</definedName>
    <definedName name="EV__LOCKEDCVW__TEST" hidden="1">"Tot_Broker_Rev,Actual,TotalAdj,TOT_COMPANY,TOT_LOB,2008.APR,TOT_DEPT,PERIODIC,"</definedName>
    <definedName name="EV__LOCKEDCVW__WORKFORCE" hidden="1">"PAYROLL_RELATED,PLAN,TOTAL_ADJ,EMPLOYEES,FINANCE,PROD_HIER_ELIM,USD,2012.TOTAL,PERIODIC,"</definedName>
    <definedName name="EV__LOCKEDCVW__XCHANGE" hidden="1">"ACTUAL,TotalEntity2,TotalRate,USOPS,1998.TOTAL,PERIODIC,"</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134217735</definedName>
    <definedName name="EV__WBVERSION__" hidden="1">0</definedName>
    <definedName name="EV__WSINFO__" hidden="1">"silver"</definedName>
    <definedName name="EV_latreftime1_" hidden="1">39027.4279050926</definedName>
    <definedName name="EV_OVER_EMPLOYEE" hidden="1">"EV_OVER_EMPLOYEE"</definedName>
    <definedName name="EV_OVER_LTM_EBIT" hidden="1">"EV_OVER_LTM_EBIT"</definedName>
    <definedName name="EV_OVER_LTM_EBITDA" hidden="1">"EV_OVER_LTM_EBITDA"</definedName>
    <definedName name="EV_OVER_LTM_REVENUE" hidden="1">"EV_OVER_LTM_REVENUE"</definedName>
    <definedName name="EV_OVER_REVENUE_EST" hidden="1">"EV_OVER_REVENUE_EST"</definedName>
    <definedName name="EV_OVER_REVENUE_EST_1" hidden="1">"EV_OVER_REVENUE_EST_1"</definedName>
    <definedName name="EVE" hidden="1">39722</definedName>
    <definedName name="EVK" hidden="1">TEXT(EVE,"T.M.JJJJ")</definedName>
    <definedName name="EVLastRefTime" hidden="1">38638.6670023148</definedName>
    <definedName name="ew" hidden="1">{#N/A,"PURADD",FALSE,"Business Analysis";#N/A,"PURSPP",FALSE,"Business Analysis";#N/A,"CTGIND",FALSE,"Business Analysis";#N/A,"PURCHM",FALSE,"Business Analysis";#N/A,"SPADD",FALSE,"Business Analysis";#N/A,"EPOXY",FALSE,"Business Analysis";#N/A,"PURPER",FALSE,"Business Analysis"}</definedName>
    <definedName name="EWA" hidden="1">{#N/A,#N/A,FALSE,"초도품";#N/A,#N/A,FALSE,"초도품 (2)";#N/A,#N/A,FALSE,"초도품 (3)";#N/A,#N/A,FALSE,"초도품 (4)";#N/A,#N/A,FALSE,"초도품 (5)";#N/A,#N/A,FALSE,"초도품 (6)"}</definedName>
    <definedName name="ewae" hidden="1">{"FY98Q1",#N/A,FALSE,"FY98 - Q1";"FY98Q2",#N/A,FALSE,"FY98 - Q2";"FY98Q3",#N/A,FALSE,"FY98 - Q3";"FY98Q4",#N/A,FALSE,"FY98 - Q4"}</definedName>
    <definedName name="ewaw" hidden="1">{"Act_vs_Budget",#N/A,FALSE,"QTRDPVAR";"Act_vs_Prior_Year",#N/A,FALSE,"QTRDPVAR"}</definedName>
    <definedName name="ewdf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wdwqd" hidden="1">{#N/A,"PURCHM",FALSE,"Business Analysis";#N/A,"SPADD",FALSE,"Business Analysis"}</definedName>
    <definedName name="ewe" hidden="1">{#N/A,#N/A,FALSE,"inc state";#N/A,#N/A,FALSE,"Products";#N/A,#N/A,FALSE,"bal sht"}</definedName>
    <definedName name="ewewe"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ewf" hidden="1">{"GuVGmbH",#N/A,FALSE,"ratios";"BilanzGmbH",#N/A,FALSE,"ratios";"BilanzKG",#N/A,FALSE,"ratios";"GuVKG",#N/A,FALSE,"ratios"}</definedName>
    <definedName name="ewq" hidden="1">{"oct_res_comm",#N/A,FALSE,"VarToBud"}</definedName>
    <definedName name="ewr"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ewrtwet" hidden="1">#REF!</definedName>
    <definedName name="ewrwer" hidden="1">{#N/A,#N/A,FALSE,"ORIX CSC"}</definedName>
    <definedName name="ewv" hidden="1">{"Page1",#N/A,FALSE,"OpExJanvsBud";"Page2",#N/A,FALSE,"OpExJanvsBud"}</definedName>
    <definedName name="ewwe" hidden="1">{#N/A,#N/A,FALSE,"REPORT"}</definedName>
    <definedName name="EWY" hidden="1">{#N/A,#N/A,FALSE,"단축1";#N/A,#N/A,FALSE,"단축2";#N/A,#N/A,FALSE,"단축3";#N/A,#N/A,FALSE,"장축";#N/A,#N/A,FALSE,"4WD"}</definedName>
    <definedName name="ExactAddinConnection" hidden="1">"001"</definedName>
    <definedName name="ExactAddinConnection.001" hidden="1">"corp-es-db;001;mike.wolnik;1"</definedName>
    <definedName name="ExactAddinConnection.010" hidden="1">"corp-es-db;001;gary.bristow;1"</definedName>
    <definedName name="ExactAddinConnection.050" hidden="1">"corp-es-db;050;gary.bristow;1"</definedName>
    <definedName name="ExactAddinConnection.102" hidden="1">"SGDC04;102;amokhtar;1"</definedName>
    <definedName name="ExactAddinConnection.360" hidden="1">"amsfinw01;360;kbekkenk;1"</definedName>
    <definedName name="ExactAddinReports" hidden="1">1</definedName>
    <definedName name="ExactlyOneYear" hidden="1">#REF!</definedName>
    <definedName name="ExbMult_Total" hidden="1">#REF!</definedName>
    <definedName name="exbnumlist" hidden="1">#REF!</definedName>
    <definedName name="EXC_VER" hidden="1">"  V 2.86"</definedName>
    <definedName name="EXCEL_VER" hidden="1">"8.0e"</definedName>
    <definedName name="EXCHANGE" hidden="1">{"'subnets'!$A$1:$F$20"}</definedName>
    <definedName name="Exchange_Rates" hidden="1">#REF!</definedName>
    <definedName name="excl_FX" hidden="1">{"SCM_Detail",#N/A,FALSE,"SCM";"SCM_Top",#N/A,FALSE,"SCM"}</definedName>
    <definedName name="ExfactoryPrices"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xit_cash" localSheetId="55">#REF!</definedName>
    <definedName name="exit_cash">#REF!</definedName>
    <definedName name="exit_multiple" localSheetId="55">#REF!</definedName>
    <definedName name="exit_multiple">#REF!</definedName>
    <definedName name="exit_year" localSheetId="55">#REF!</definedName>
    <definedName name="exit_year">#REF!</definedName>
    <definedName name="Exp.2008" hidden="1">{"'WST RETAIL PRICE LIST Apr 9 (2)'!$B$1:$C$177"}</definedName>
    <definedName name="expanded" hidden="1">{"printceo5",#N/A,FALSE,"CEO";"prints15",#N/A,FALSE,"S1";"printdepr5",#N/A,FALSE,"DEPR"}</definedName>
    <definedName name="ExRate_Yr1" hidden="1">#REF!</definedName>
    <definedName name="ExRate_Yr2" hidden="1">#REF!</definedName>
    <definedName name="ExRate_Yr3" hidden="1">#REF!</definedName>
    <definedName name="ExRate_Yr4" hidden="1">#REF!</definedName>
    <definedName name="ExRate_Yr5" hidden="1">#REF!</definedName>
    <definedName name="ExRate_Yr6" hidden="1">#REF!</definedName>
    <definedName name="ExRate_Yr7" hidden="1">#REF!</definedName>
    <definedName name="ExRateLTM_Yr1" hidden="1">#REF!</definedName>
    <definedName name="ExRateLTM_Yr2" hidden="1">#REF!</definedName>
    <definedName name="ExRateLTM_Yr3" hidden="1">#REF!</definedName>
    <definedName name="ext" hidden="1">{#N/A,#N/A,TRUE,"Cont_Stell";#N/A,#N/A,TRUE,"BTG";#N/A,#N/A,TRUE,"SH";#N/A,#N/A,TRUE,"GUV";#N/A,#N/A,TRUE,"Bilanz";#N/A,#N/A,TRUE,"WC";#N/A,#N/A,TRUE,"Beweg_bil";#N/A,#N/A,TRUE,"Kap_fluß";#N/A,#N/A,TRUE,"KENNZ";#N/A,#N/A,TRUE,"ANALYSE"}</definedName>
    <definedName name="EXTRA_ITEMS" hidden="1">"EXTRA_ITEMS"</definedName>
    <definedName name="eydsr" hidden="1">{#N/A,"PURCHM",FALSE,"Business Analysis";#N/A,"SPADD",FALSE,"Business Analysis"}</definedName>
    <definedName name="eyr" hidden="1">{"hiden",#N/A,FALSE,"14";"hidden",#N/A,FALSE,"16";"hidden",#N/A,FALSE,"18";"hidden",#N/A,FALSE,"20"}</definedName>
    <definedName name="EYRU" hidden="1">{#N/A,#N/A,FALSE,"단축1";#N/A,#N/A,FALSE,"단축2";#N/A,#N/A,FALSE,"단축3";#N/A,#N/A,FALSE,"장축";#N/A,#N/A,FALSE,"4WD"}</definedName>
    <definedName name="eyteye"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eyteyeey" hidden="1">{#N/A,#N/A,FALSE,"P&amp;L";#N/A,#N/A,FALSE,"Balance Sheet";#N/A,#N/A,FALSE,"Cash flow";#N/A,#N/A,FALSE,"Sales";#N/A,#N/A,FALSE,"Data";#N/A,#N/A,FALSE,"Pie Q2.00";#N/A,#N/A,FALSE,"Pie Accum";#N/A,#N/A,FALSE,"Integrators";#N/A,#N/A,FALSE,"Geographic";#N/A,#N/A,FALSE,"DSO";#N/A,#N/A,FALSE,"Headcount"}</definedName>
    <definedName name="eytv" hidden="1">{"AQUIRORDCF",#N/A,FALSE,"Merger consequences";"Acquirorassns",#N/A,FALSE,"Merger consequences"}</definedName>
    <definedName name="ezer"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ezt" hidden="1">{#N/A,#N/A,FALSE,"Calc";#N/A,#N/A,FALSE,"Sensitivity";#N/A,#N/A,FALSE,"LT Earn.Dil.";#N/A,#N/A,FALSE,"Dil. AVP"}</definedName>
    <definedName name="f" localSheetId="55" hidden="1">'[1]Piper Heidsieck'!#REF!</definedName>
    <definedName name="f" hidden="1">'[1]Piper Heidsieck'!#REF!</definedName>
    <definedName name="f.ffff" hidden="1">{#N/A,#N/A,FALSE,"Umsatz 99";#N/A,#N/A,FALSE,"ER 99 "}</definedName>
    <definedName name="f\" hidden="1">{#N/A,#N/A,FALSE,"Cover";#N/A,#N/A,FALSE,"Profits";#N/A,#N/A,FALSE,"ABS";#N/A,#N/A,FALSE,"TFLE Detail";#N/A,#N/A,FALSE,"TFLE Walk";#N/A,#N/A,FALSE,"Variable Cost";#N/A,#N/A,FALSE,"V.C. Walk"}</definedName>
    <definedName name="fa"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fa" hidden="1">{#N/A,#N/A,FALSE,"Cover";#N/A,#N/A,FALSE,"Assumptions";#N/A,#N/A,FALSE,"Volumes";#N/A,#N/A,FALSE,"Pricing";#N/A,#N/A,FALSE,"TFLE Walk";#N/A,#N/A,FALSE,"Variable Cost";#N/A,#N/A,FALSE,"Sensitivity";#N/A,#N/A,FALSE,"Investment";#N/A,#N/A,FALSE,"Profitability"}</definedName>
    <definedName name="FarrellWitchita" hidden="1">{"FCB_ALL",#N/A,FALSE,"FCB"}</definedName>
    <definedName name="fasdf" hidden="1">{"SUM ALL YR",#N/A,FALSE,"SUM ALL YR";"sum01",#N/A,FALSE,"SUM 01";"sumM2",#N/A,FALSE,"SUM M2";"sum02",#N/A,FALSE,"SUM 02";"sum03",#N/A,FALSE,"SUM 03";"sum04",#N/A,FALSE,"SUM 04";"sum05",#N/A,FALSE,"SUM 05"}</definedName>
    <definedName name="fasdffsd" hidden="1">{#N/A,#N/A,FALSE,"Bestfoods";#N/A,#N/A,FALSE,"Campbell";#N/A,#N/A,FALSE,"ConAgra";#N/A,#N/A,FALSE,"Healthy Choice";#N/A,#N/A,FALSE,"Int'l Home Foods";#N/A,#N/A,FALSE,"General Mills";#N/A,#N/A,FALSE,"Heinz";#N/A,#N/A,FALSE,"Kellogg";#N/A,#N/A,FALSE,"Kraft";#N/A,#N/A,FALSE,"Nabisco";#N/A,#N/A,FALSE,"Quaker Oats";#N/A,#N/A,FALSE,"Sara Lee";#N/A,#N/A,FALSE,"print summary"}</definedName>
    <definedName name="fasdfsd" hidden="1">39166.5621180556</definedName>
    <definedName name="fasdfwegr" hidden="1">{#N/A,#N/A,TRUE,"Historicals";#N/A,#N/A,TRUE,"Charts";#N/A,#N/A,TRUE,"Forecasts"}</definedName>
    <definedName name="fast" hidden="1">{"FY97Q1",#N/A,FALSE,"FY97 - Q1";"FY97Q2",#N/A,FALSE,"FY97 - Q2";"FY97Q3",#N/A,FALSE,"FY97 - Q3";"FY97Q4",#N/A,FALSE,"FY97 - Q4"}</definedName>
    <definedName name="fbnhsfbgh" hidden="1">{#VALUE!,#N/A,FALSE,0;#N/A,#N/A,FALSE,0;#N/A,#N/A,FALSE,0;#N/A,#N/A,FALSE,0;#N/A,#N/A,FALSE,0;#N/A,#N/A,FALSE,0;#N/A,#N/A,FALSE,0;#N/A,#N/A,FALSE,0;#N/A,#N/A,FALSE,0}</definedName>
    <definedName name="FC1_Motorplan" hidden="1">{"Recon",#N/A,FALSE,"GL Recons";"Recon Detail",#N/A,FALSE,"GL Recons"}</definedName>
    <definedName name="fcb" hidden="1">{"FCB_ALL",#N/A,FALSE,"FCB"}</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ode" hidden="1">#REF!</definedName>
    <definedName name="fcuk" hidden="1">{"by departments",#N/A,TRUE,"FORECAST";"cap_headcount",#N/A,TRUE,"FORECAST";"summary",#N/A,TRUE,"FORECAST"}</definedName>
    <definedName name="fd" hidden="1">"3O3X63G5BUK9F0LUEJV5CTJXV"</definedName>
    <definedName name="fdaf" hidden="1">{#N/A,#N/A,TRUE,"Historicals";#N/A,#N/A,TRUE,"Charts";#N/A,#N/A,TRUE,"Forecasts"}</definedName>
    <definedName name="fdafdsafdsa" hidden="1">{#N/A,#N/A,TRUE,"Historicals";#N/A,#N/A,TRUE,"Charts";#N/A,#N/A,TRUE,"Forecasts"}</definedName>
    <definedName name="fdare" hidden="1">{#N/A,#N/A,TRUE,"Historicals";#N/A,#N/A,TRUE,"Charts";#N/A,#N/A,TRUE,"Forecasts"}</definedName>
    <definedName name="fdas" hidden="1">{"IS",#N/A,FALSE,"IS";"RPTIS",#N/A,FALSE,"RPTIS";"STATS",#N/A,FALSE,"STATS";"CELL",#N/A,FALSE,"CELL";"BS",#N/A,FALSE,"BS"}</definedName>
    <definedName name="fdasa" hidden="1">{#N/A,#N/A,TRUE,"Historicals";#N/A,#N/A,TRUE,"Charts";#N/A,#N/A,TRUE,"Forecasts"}</definedName>
    <definedName name="fdasggfdg" hidden="1">{"résultats_édition client",#N/A,FALSE,"Résultats"}</definedName>
    <definedName name="FDC_0_0" hidden="1">"#"</definedName>
    <definedName name="FDC_1_0" hidden="1">"#"</definedName>
    <definedName name="FDC_10_0" hidden="1">"#"</definedName>
    <definedName name="FDC_10_1" hidden="1">"#"</definedName>
    <definedName name="FDC_10_2" hidden="1">"#"</definedName>
    <definedName name="FDC_10_3" hidden="1">"#"</definedName>
    <definedName name="FDC_11_0" hidden="1">"#"</definedName>
    <definedName name="FDC_11_1" hidden="1">"#"</definedName>
    <definedName name="FDC_11_2" hidden="1">"#"</definedName>
    <definedName name="FDC_11_3" hidden="1">"#"</definedName>
    <definedName name="FDC_12_0" hidden="1">"#"</definedName>
    <definedName name="FDC_12_1" hidden="1">"#"</definedName>
    <definedName name="FDC_12_2" hidden="1">"#"</definedName>
    <definedName name="FDC_12_3" hidden="1">"#"</definedName>
    <definedName name="FDC_13_0" hidden="1">"#"</definedName>
    <definedName name="FDC_13_1" hidden="1">"#"</definedName>
    <definedName name="FDC_13_2" hidden="1">"#"</definedName>
    <definedName name="FDC_13_3" hidden="1">"#"</definedName>
    <definedName name="FDC_14_0" hidden="1">"#"</definedName>
    <definedName name="FDC_14_1" hidden="1">"#"</definedName>
    <definedName name="FDC_14_2" hidden="1">"#"</definedName>
    <definedName name="FDC_14_3" hidden="1">"#"</definedName>
    <definedName name="FDC_15_0" hidden="1">"#"</definedName>
    <definedName name="FDC_16_0" hidden="1">"#"</definedName>
    <definedName name="FDC_17_0" hidden="1">"#"</definedName>
    <definedName name="FDC_18_0" hidden="1">"#"</definedName>
    <definedName name="FDC_19_0" hidden="1">"#"</definedName>
    <definedName name="FDC_19_1" hidden="1">"#"</definedName>
    <definedName name="FDC_19_2" hidden="1">"#"</definedName>
    <definedName name="FDC_19_3" hidden="1">"#"</definedName>
    <definedName name="FDC_2_0" hidden="1">"#"</definedName>
    <definedName name="FDC_20_0" hidden="1">"#"</definedName>
    <definedName name="FDC_21_0" hidden="1">"#"</definedName>
    <definedName name="FDC_21_1" hidden="1">"#"</definedName>
    <definedName name="FDC_21_2" hidden="1">"#"</definedName>
    <definedName name="FDC_21_3" hidden="1">"#"</definedName>
    <definedName name="FDC_22_0" hidden="1">"#"</definedName>
    <definedName name="FDC_23_0" hidden="1">"#"</definedName>
    <definedName name="FDC_24_0" hidden="1">"#"</definedName>
    <definedName name="FDC_25_0" hidden="1">"#"</definedName>
    <definedName name="FDC_25_1" hidden="1">"#"</definedName>
    <definedName name="FDC_25_2" hidden="1">"#"</definedName>
    <definedName name="FDC_25_3" hidden="1">"#"</definedName>
    <definedName name="FDC_26_0" hidden="1">"#"</definedName>
    <definedName name="FDC_26_1" hidden="1">"#"</definedName>
    <definedName name="FDC_26_2" hidden="1">"#"</definedName>
    <definedName name="FDC_26_3" hidden="1">"#"</definedName>
    <definedName name="FDC_27_0" hidden="1">"#"</definedName>
    <definedName name="FDC_28_0" hidden="1">"#"</definedName>
    <definedName name="FDC_28_1" hidden="1">"#"</definedName>
    <definedName name="FDC_28_2" hidden="1">"#"</definedName>
    <definedName name="FDC_28_3" hidden="1">"#"</definedName>
    <definedName name="FDC_29_0" hidden="1">"#"</definedName>
    <definedName name="FDC_29_1" hidden="1">"#"</definedName>
    <definedName name="FDC_29_2" hidden="1">"#"</definedName>
    <definedName name="FDC_29_3" hidden="1">"#"</definedName>
    <definedName name="FDC_3_0" hidden="1">"#"</definedName>
    <definedName name="FDC_30_0" hidden="1">"#"</definedName>
    <definedName name="FDC_31_0" hidden="1">"#"</definedName>
    <definedName name="FDC_32_0" hidden="1">"#"</definedName>
    <definedName name="FDC_33_0" hidden="1">"#"</definedName>
    <definedName name="FDC_34_0" hidden="1">"#"</definedName>
    <definedName name="FDC_35_0" hidden="1">"#"</definedName>
    <definedName name="FDC_36_0" hidden="1">"#"</definedName>
    <definedName name="FDC_37_0" hidden="1">"#"</definedName>
    <definedName name="FDC_38_0" hidden="1">"#"</definedName>
    <definedName name="FDC_39_0" hidden="1">"#"</definedName>
    <definedName name="FDC_4_0" hidden="1">"#"</definedName>
    <definedName name="FDC_40_0" hidden="1">"#"</definedName>
    <definedName name="FDC_41_0" hidden="1">"#"</definedName>
    <definedName name="FDC_41_1" hidden="1">"#"</definedName>
    <definedName name="FDC_41_2" hidden="1">"#"</definedName>
    <definedName name="FDC_41_3" hidden="1">"#"</definedName>
    <definedName name="FDC_42_0" hidden="1">"#"</definedName>
    <definedName name="FDC_42_1" hidden="1">"#"</definedName>
    <definedName name="FDC_42_2" hidden="1">"#"</definedName>
    <definedName name="FDC_42_3" hidden="1">"#"</definedName>
    <definedName name="FDC_43_0" hidden="1">"#"</definedName>
    <definedName name="FDC_43_1" hidden="1">"#"</definedName>
    <definedName name="FDC_43_2" hidden="1">"#"</definedName>
    <definedName name="FDC_43_3" hidden="1">"#"</definedName>
    <definedName name="FDC_44_0" hidden="1">"#"</definedName>
    <definedName name="FDC_45_0" hidden="1">"#"</definedName>
    <definedName name="FDC_45_1" hidden="1">"#"</definedName>
    <definedName name="FDC_45_2" hidden="1">"#"</definedName>
    <definedName name="FDC_45_3" hidden="1">"#"</definedName>
    <definedName name="FDC_46_0" hidden="1">"#"</definedName>
    <definedName name="FDC_46_1" hidden="1">"#"</definedName>
    <definedName name="FDC_46_2" hidden="1">"#"</definedName>
    <definedName name="FDC_46_3" hidden="1">"#"</definedName>
    <definedName name="FDC_47_0" hidden="1">"#"</definedName>
    <definedName name="FDC_47_1" hidden="1">"#"</definedName>
    <definedName name="FDC_47_2" hidden="1">"#"</definedName>
    <definedName name="FDC_47_3" hidden="1">"#"</definedName>
    <definedName name="FDC_48_0" hidden="1">"#"</definedName>
    <definedName name="FDC_48_1" hidden="1">"#"</definedName>
    <definedName name="FDC_48_2" hidden="1">"#"</definedName>
    <definedName name="FDC_48_3" hidden="1">"#"</definedName>
    <definedName name="FDC_49_0" hidden="1">"#"</definedName>
    <definedName name="FDC_49_1" hidden="1">"#"</definedName>
    <definedName name="FDC_49_2" hidden="1">"#"</definedName>
    <definedName name="FDC_49_3" hidden="1">"#"</definedName>
    <definedName name="FDC_5_0" hidden="1">"#"</definedName>
    <definedName name="FDC_5_1" hidden="1">"#"</definedName>
    <definedName name="FDC_5_2" hidden="1">"#"</definedName>
    <definedName name="FDC_5_3" hidden="1">"#"</definedName>
    <definedName name="FDC_50_0" hidden="1">"#"</definedName>
    <definedName name="FDC_50_1" hidden="1">"#"</definedName>
    <definedName name="FDC_50_2" hidden="1">"#"</definedName>
    <definedName name="FDC_50_3" hidden="1">"#"</definedName>
    <definedName name="FDC_51_0" hidden="1">"#"</definedName>
    <definedName name="FDC_51_1" hidden="1">"#"</definedName>
    <definedName name="FDC_51_2" hidden="1">"#"</definedName>
    <definedName name="FDC_51_3" hidden="1">"#"</definedName>
    <definedName name="FDC_52_0" hidden="1">"#"</definedName>
    <definedName name="FDC_52_1" hidden="1">"#"</definedName>
    <definedName name="FDC_52_2" hidden="1">"#"</definedName>
    <definedName name="FDC_52_3" hidden="1">"#"</definedName>
    <definedName name="FDC_53_0" hidden="1">"#"</definedName>
    <definedName name="FDC_53_1" hidden="1">"#"</definedName>
    <definedName name="FDC_53_2" hidden="1">"#"</definedName>
    <definedName name="FDC_53_3" hidden="1">"#"</definedName>
    <definedName name="FDC_54_0" hidden="1">"#"</definedName>
    <definedName name="FDC_54_1" hidden="1">"#"</definedName>
    <definedName name="FDC_54_2" hidden="1">"#"</definedName>
    <definedName name="FDC_54_3" hidden="1">"#"</definedName>
    <definedName name="FDC_55_0" hidden="1">"#"</definedName>
    <definedName name="FDC_55_1" hidden="1">"#"</definedName>
    <definedName name="FDC_55_2" hidden="1">"#"</definedName>
    <definedName name="FDC_55_3" hidden="1">"#"</definedName>
    <definedName name="FDC_56_0" hidden="1">"#"</definedName>
    <definedName name="FDC_57_0" hidden="1">"#"</definedName>
    <definedName name="FDC_58_0" hidden="1">"#"</definedName>
    <definedName name="FDC_58_1" hidden="1">"#"</definedName>
    <definedName name="FDC_58_10" hidden="1">"#"</definedName>
    <definedName name="FDC_58_100" hidden="1">"#"</definedName>
    <definedName name="FDC_58_101" hidden="1">"#"</definedName>
    <definedName name="FDC_58_102" hidden="1">"#"</definedName>
    <definedName name="FDC_58_103" hidden="1">"#"</definedName>
    <definedName name="FDC_58_104" hidden="1">"#"</definedName>
    <definedName name="FDC_58_105" hidden="1">"#"</definedName>
    <definedName name="FDC_58_106" hidden="1">"#"</definedName>
    <definedName name="FDC_58_107" hidden="1">"#"</definedName>
    <definedName name="FDC_58_108" hidden="1">"#"</definedName>
    <definedName name="FDC_58_109" hidden="1">"#"</definedName>
    <definedName name="FDC_58_11" hidden="1">"#"</definedName>
    <definedName name="FDC_58_110" hidden="1">"#"</definedName>
    <definedName name="FDC_58_111" hidden="1">"#"</definedName>
    <definedName name="FDC_58_112" hidden="1">"#"</definedName>
    <definedName name="FDC_58_113" hidden="1">"#"</definedName>
    <definedName name="FDC_58_114" hidden="1">"#"</definedName>
    <definedName name="FDC_58_115" hidden="1">"#"</definedName>
    <definedName name="FDC_58_116" hidden="1">"#"</definedName>
    <definedName name="FDC_58_117" hidden="1">"#"</definedName>
    <definedName name="FDC_58_118" hidden="1">"#"</definedName>
    <definedName name="FDC_58_119" hidden="1">"#"</definedName>
    <definedName name="FDC_58_12" hidden="1">"#"</definedName>
    <definedName name="FDC_58_120" hidden="1">"#"</definedName>
    <definedName name="FDC_58_121" hidden="1">"#"</definedName>
    <definedName name="FDC_58_122" hidden="1">"#"</definedName>
    <definedName name="FDC_58_123" hidden="1">"#"</definedName>
    <definedName name="FDC_58_124" hidden="1">"#"</definedName>
    <definedName name="FDC_58_125" hidden="1">"#"</definedName>
    <definedName name="FDC_58_126" hidden="1">"#"</definedName>
    <definedName name="FDC_58_127" hidden="1">"#"</definedName>
    <definedName name="FDC_58_128" hidden="1">"#"</definedName>
    <definedName name="FDC_58_129" hidden="1">"#"</definedName>
    <definedName name="FDC_58_13" hidden="1">"#"</definedName>
    <definedName name="FDC_58_130" hidden="1">"#"</definedName>
    <definedName name="FDC_58_131" hidden="1">"#"</definedName>
    <definedName name="FDC_58_132" hidden="1">"#"</definedName>
    <definedName name="FDC_58_133" hidden="1">"#"</definedName>
    <definedName name="FDC_58_134" hidden="1">"#"</definedName>
    <definedName name="FDC_58_135" hidden="1">"#"</definedName>
    <definedName name="FDC_58_136" hidden="1">"#"</definedName>
    <definedName name="FDC_58_137" hidden="1">"#"</definedName>
    <definedName name="FDC_58_138" hidden="1">"#"</definedName>
    <definedName name="FDC_58_139" hidden="1">"#"</definedName>
    <definedName name="FDC_58_14" hidden="1">"#"</definedName>
    <definedName name="FDC_58_140" hidden="1">"#"</definedName>
    <definedName name="FDC_58_141" hidden="1">"#"</definedName>
    <definedName name="FDC_58_142" hidden="1">"#"</definedName>
    <definedName name="FDC_58_143" hidden="1">"#"</definedName>
    <definedName name="FDC_58_144" hidden="1">"#"</definedName>
    <definedName name="FDC_58_145" hidden="1">"#"</definedName>
    <definedName name="FDC_58_146" hidden="1">"#"</definedName>
    <definedName name="FDC_58_147" hidden="1">"#"</definedName>
    <definedName name="FDC_58_148" hidden="1">"#"</definedName>
    <definedName name="FDC_58_149" hidden="1">"#"</definedName>
    <definedName name="FDC_58_15" hidden="1">"#"</definedName>
    <definedName name="FDC_58_150" hidden="1">"#"</definedName>
    <definedName name="FDC_58_151" hidden="1">"#"</definedName>
    <definedName name="FDC_58_152" hidden="1">"#"</definedName>
    <definedName name="FDC_58_153" hidden="1">"#"</definedName>
    <definedName name="FDC_58_154" hidden="1">"#"</definedName>
    <definedName name="FDC_58_155" hidden="1">"#"</definedName>
    <definedName name="FDC_58_156" hidden="1">"#"</definedName>
    <definedName name="FDC_58_157" hidden="1">"#"</definedName>
    <definedName name="FDC_58_158" hidden="1">"#"</definedName>
    <definedName name="FDC_58_159" hidden="1">"#"</definedName>
    <definedName name="FDC_58_16" hidden="1">"#"</definedName>
    <definedName name="FDC_58_160" hidden="1">"#"</definedName>
    <definedName name="FDC_58_161" hidden="1">"#"</definedName>
    <definedName name="FDC_58_162" hidden="1">"#"</definedName>
    <definedName name="FDC_58_163" hidden="1">"#"</definedName>
    <definedName name="FDC_58_164" hidden="1">"#"</definedName>
    <definedName name="FDC_58_165" hidden="1">"#"</definedName>
    <definedName name="FDC_58_166" hidden="1">"#"</definedName>
    <definedName name="FDC_58_167" hidden="1">"#"</definedName>
    <definedName name="FDC_58_168" hidden="1">"#"</definedName>
    <definedName name="FDC_58_169" hidden="1">"#"</definedName>
    <definedName name="FDC_58_17" hidden="1">"#"</definedName>
    <definedName name="FDC_58_170" hidden="1">"#"</definedName>
    <definedName name="FDC_58_171" hidden="1">"#"</definedName>
    <definedName name="FDC_58_172" hidden="1">"#"</definedName>
    <definedName name="FDC_58_173" hidden="1">"#"</definedName>
    <definedName name="FDC_58_174" hidden="1">"#"</definedName>
    <definedName name="FDC_58_175" hidden="1">"#"</definedName>
    <definedName name="FDC_58_176" hidden="1">"#"</definedName>
    <definedName name="FDC_58_177" hidden="1">"#"</definedName>
    <definedName name="FDC_58_178" hidden="1">"#"</definedName>
    <definedName name="FDC_58_179" hidden="1">"#"</definedName>
    <definedName name="FDC_58_18" hidden="1">"#"</definedName>
    <definedName name="FDC_58_180" hidden="1">"#"</definedName>
    <definedName name="FDC_58_181" hidden="1">"#"</definedName>
    <definedName name="FDC_58_182" hidden="1">"#"</definedName>
    <definedName name="FDC_58_183" hidden="1">"#"</definedName>
    <definedName name="FDC_58_184" hidden="1">"#"</definedName>
    <definedName name="FDC_58_185" hidden="1">"#"</definedName>
    <definedName name="FDC_58_186" hidden="1">"#"</definedName>
    <definedName name="FDC_58_187" hidden="1">"#"</definedName>
    <definedName name="FDC_58_188" hidden="1">"#"</definedName>
    <definedName name="FDC_58_189" hidden="1">"#"</definedName>
    <definedName name="FDC_58_19" hidden="1">"#"</definedName>
    <definedName name="FDC_58_190" hidden="1">"#"</definedName>
    <definedName name="FDC_58_191" hidden="1">"#"</definedName>
    <definedName name="FDC_58_192" hidden="1">"#"</definedName>
    <definedName name="FDC_58_193" hidden="1">"#"</definedName>
    <definedName name="FDC_58_194" hidden="1">"#"</definedName>
    <definedName name="FDC_58_195" hidden="1">"#"</definedName>
    <definedName name="FDC_58_196" hidden="1">"#"</definedName>
    <definedName name="FDC_58_197" hidden="1">"#"</definedName>
    <definedName name="FDC_58_198" hidden="1">"#"</definedName>
    <definedName name="FDC_58_199" hidden="1">"#"</definedName>
    <definedName name="FDC_58_2" hidden="1">"#"</definedName>
    <definedName name="FDC_58_20" hidden="1">"#"</definedName>
    <definedName name="FDC_58_200" hidden="1">"#"</definedName>
    <definedName name="FDC_58_201" hidden="1">"#"</definedName>
    <definedName name="FDC_58_202" hidden="1">"#"</definedName>
    <definedName name="FDC_58_203" hidden="1">"#"</definedName>
    <definedName name="FDC_58_204" hidden="1">"#"</definedName>
    <definedName name="FDC_58_205" hidden="1">"#"</definedName>
    <definedName name="FDC_58_206" hidden="1">"#"</definedName>
    <definedName name="FDC_58_207" hidden="1">"#"</definedName>
    <definedName name="FDC_58_208" hidden="1">"#"</definedName>
    <definedName name="FDC_58_209" hidden="1">"#"</definedName>
    <definedName name="FDC_58_21" hidden="1">"#"</definedName>
    <definedName name="FDC_58_210" hidden="1">"#"</definedName>
    <definedName name="FDC_58_211" hidden="1">"#"</definedName>
    <definedName name="FDC_58_212" hidden="1">"#"</definedName>
    <definedName name="FDC_58_213" hidden="1">"#"</definedName>
    <definedName name="FDC_58_214" hidden="1">"#"</definedName>
    <definedName name="FDC_58_215" hidden="1">"#"</definedName>
    <definedName name="FDC_58_216" hidden="1">"#"</definedName>
    <definedName name="FDC_58_217" hidden="1">"#"</definedName>
    <definedName name="FDC_58_218" hidden="1">"#"</definedName>
    <definedName name="FDC_58_219" hidden="1">"#"</definedName>
    <definedName name="FDC_58_22" hidden="1">"#"</definedName>
    <definedName name="FDC_58_220" hidden="1">"#"</definedName>
    <definedName name="FDC_58_221" hidden="1">"#"</definedName>
    <definedName name="FDC_58_222" hidden="1">"#"</definedName>
    <definedName name="FDC_58_223" hidden="1">"#"</definedName>
    <definedName name="FDC_58_224" hidden="1">"#"</definedName>
    <definedName name="FDC_58_225" hidden="1">"#"</definedName>
    <definedName name="FDC_58_226" hidden="1">"#"</definedName>
    <definedName name="FDC_58_227" hidden="1">"#"</definedName>
    <definedName name="FDC_58_228" hidden="1">"#"</definedName>
    <definedName name="FDC_58_229" hidden="1">"#"</definedName>
    <definedName name="FDC_58_23" hidden="1">"#"</definedName>
    <definedName name="FDC_58_230" hidden="1">"#"</definedName>
    <definedName name="FDC_58_231" hidden="1">"#"</definedName>
    <definedName name="FDC_58_232" hidden="1">"#"</definedName>
    <definedName name="FDC_58_233" hidden="1">"#"</definedName>
    <definedName name="FDC_58_234" hidden="1">"#"</definedName>
    <definedName name="FDC_58_235" hidden="1">"#"</definedName>
    <definedName name="FDC_58_236" hidden="1">"#"</definedName>
    <definedName name="FDC_58_237" hidden="1">"#"</definedName>
    <definedName name="FDC_58_238" hidden="1">"#"</definedName>
    <definedName name="FDC_58_239" hidden="1">"#"</definedName>
    <definedName name="FDC_58_24" hidden="1">"#"</definedName>
    <definedName name="FDC_58_240" hidden="1">"#"</definedName>
    <definedName name="FDC_58_241" hidden="1">"#"</definedName>
    <definedName name="FDC_58_242" hidden="1">"#"</definedName>
    <definedName name="FDC_58_243" hidden="1">"#"</definedName>
    <definedName name="FDC_58_244" hidden="1">"#"</definedName>
    <definedName name="FDC_58_245" hidden="1">"#"</definedName>
    <definedName name="FDC_58_246" hidden="1">"#"</definedName>
    <definedName name="FDC_58_247" hidden="1">"#"</definedName>
    <definedName name="FDC_58_248" hidden="1">"#"</definedName>
    <definedName name="FDC_58_249" hidden="1">"#"</definedName>
    <definedName name="FDC_58_25" hidden="1">"#"</definedName>
    <definedName name="FDC_58_250" hidden="1">"#"</definedName>
    <definedName name="FDC_58_251" hidden="1">"#"</definedName>
    <definedName name="FDC_58_252" hidden="1">"#"</definedName>
    <definedName name="FDC_58_253" hidden="1">"#"</definedName>
    <definedName name="FDC_58_254" hidden="1">"#"</definedName>
    <definedName name="FDC_58_255" hidden="1">"#"</definedName>
    <definedName name="FDC_58_256" hidden="1">"#"</definedName>
    <definedName name="FDC_58_257" hidden="1">"#"</definedName>
    <definedName name="FDC_58_258" hidden="1">"#"</definedName>
    <definedName name="FDC_58_259" hidden="1">"#"</definedName>
    <definedName name="FDC_58_26" hidden="1">"#"</definedName>
    <definedName name="FDC_58_260" hidden="1">"#"</definedName>
    <definedName name="FDC_58_261" hidden="1">"#"</definedName>
    <definedName name="FDC_58_27" hidden="1">"#"</definedName>
    <definedName name="FDC_58_28" hidden="1">"#"</definedName>
    <definedName name="FDC_58_29" hidden="1">"#"</definedName>
    <definedName name="FDC_58_3" hidden="1">"#"</definedName>
    <definedName name="FDC_58_30" hidden="1">"#"</definedName>
    <definedName name="FDC_58_31" hidden="1">"#"</definedName>
    <definedName name="FDC_58_32" hidden="1">"#"</definedName>
    <definedName name="FDC_58_33" hidden="1">"#"</definedName>
    <definedName name="FDC_58_34" hidden="1">"#"</definedName>
    <definedName name="FDC_58_35" hidden="1">"#"</definedName>
    <definedName name="FDC_58_36" hidden="1">"#"</definedName>
    <definedName name="FDC_58_37" hidden="1">"#"</definedName>
    <definedName name="FDC_58_38" hidden="1">"#"</definedName>
    <definedName name="FDC_58_39" hidden="1">"#"</definedName>
    <definedName name="FDC_58_4" hidden="1">"#"</definedName>
    <definedName name="FDC_58_40" hidden="1">"#"</definedName>
    <definedName name="FDC_58_41" hidden="1">"#"</definedName>
    <definedName name="FDC_58_42" hidden="1">"#"</definedName>
    <definedName name="FDC_58_43" hidden="1">"#"</definedName>
    <definedName name="FDC_58_44" hidden="1">"#"</definedName>
    <definedName name="FDC_58_45" hidden="1">"#"</definedName>
    <definedName name="FDC_58_46" hidden="1">"#"</definedName>
    <definedName name="FDC_58_47" hidden="1">"#"</definedName>
    <definedName name="FDC_58_48" hidden="1">"#"</definedName>
    <definedName name="FDC_58_49" hidden="1">"#"</definedName>
    <definedName name="FDC_58_5" hidden="1">"#"</definedName>
    <definedName name="FDC_58_50" hidden="1">"#"</definedName>
    <definedName name="FDC_58_51" hidden="1">"#"</definedName>
    <definedName name="FDC_58_52" hidden="1">"#"</definedName>
    <definedName name="FDC_58_53" hidden="1">"#"</definedName>
    <definedName name="FDC_58_54" hidden="1">"#"</definedName>
    <definedName name="FDC_58_55" hidden="1">"#"</definedName>
    <definedName name="FDC_58_56" hidden="1">"#"</definedName>
    <definedName name="FDC_58_57" hidden="1">"#"</definedName>
    <definedName name="FDC_58_58" hidden="1">"#"</definedName>
    <definedName name="FDC_58_59" hidden="1">"#"</definedName>
    <definedName name="FDC_58_6" hidden="1">"#"</definedName>
    <definedName name="FDC_58_60" hidden="1">"#"</definedName>
    <definedName name="FDC_58_61" hidden="1">"#"</definedName>
    <definedName name="FDC_58_62" hidden="1">"#"</definedName>
    <definedName name="FDC_58_63" hidden="1">"#"</definedName>
    <definedName name="FDC_58_64" hidden="1">"#"</definedName>
    <definedName name="FDC_58_65" hidden="1">"#"</definedName>
    <definedName name="FDC_58_66" hidden="1">"#"</definedName>
    <definedName name="FDC_58_67" hidden="1">"#"</definedName>
    <definedName name="FDC_58_68" hidden="1">"#"</definedName>
    <definedName name="FDC_58_69" hidden="1">"#"</definedName>
    <definedName name="FDC_58_7" hidden="1">"#"</definedName>
    <definedName name="FDC_58_70" hidden="1">"#"</definedName>
    <definedName name="FDC_58_71" hidden="1">"#"</definedName>
    <definedName name="FDC_58_72" hidden="1">"#"</definedName>
    <definedName name="FDC_58_73" hidden="1">"#"</definedName>
    <definedName name="FDC_58_74" hidden="1">"#"</definedName>
    <definedName name="FDC_58_75" hidden="1">"#"</definedName>
    <definedName name="FDC_58_76" hidden="1">"#"</definedName>
    <definedName name="FDC_58_77" hidden="1">"#"</definedName>
    <definedName name="FDC_58_78" hidden="1">"#"</definedName>
    <definedName name="FDC_58_79" hidden="1">"#"</definedName>
    <definedName name="FDC_58_8" hidden="1">"#"</definedName>
    <definedName name="FDC_58_80" hidden="1">"#"</definedName>
    <definedName name="FDC_58_81" hidden="1">"#"</definedName>
    <definedName name="FDC_58_82" hidden="1">"#"</definedName>
    <definedName name="FDC_58_83" hidden="1">"#"</definedName>
    <definedName name="FDC_58_84" hidden="1">"#"</definedName>
    <definedName name="FDC_58_85" hidden="1">"#"</definedName>
    <definedName name="FDC_58_86" hidden="1">"#"</definedName>
    <definedName name="FDC_58_87" hidden="1">"#"</definedName>
    <definedName name="FDC_58_88" hidden="1">"#"</definedName>
    <definedName name="FDC_58_89" hidden="1">"#"</definedName>
    <definedName name="FDC_58_9" hidden="1">"#"</definedName>
    <definedName name="FDC_58_90" hidden="1">"#"</definedName>
    <definedName name="FDC_58_91" hidden="1">"#"</definedName>
    <definedName name="FDC_58_92" hidden="1">"#"</definedName>
    <definedName name="FDC_58_93" hidden="1">"#"</definedName>
    <definedName name="FDC_58_94" hidden="1">"#"</definedName>
    <definedName name="FDC_58_95" hidden="1">"#"</definedName>
    <definedName name="FDC_58_96" hidden="1">"#"</definedName>
    <definedName name="FDC_58_97" hidden="1">"#"</definedName>
    <definedName name="FDC_58_98" hidden="1">"#"</definedName>
    <definedName name="FDC_58_99" hidden="1">"#"</definedName>
    <definedName name="FDC_59_0" hidden="1">"#"</definedName>
    <definedName name="FDC_59_1" hidden="1">"#"</definedName>
    <definedName name="FDC_59_10" hidden="1">"#"</definedName>
    <definedName name="FDC_59_100" hidden="1">"#"</definedName>
    <definedName name="FDC_59_101" hidden="1">"#"</definedName>
    <definedName name="FDC_59_102" hidden="1">"#"</definedName>
    <definedName name="FDC_59_103" hidden="1">"#"</definedName>
    <definedName name="FDC_59_104" hidden="1">"#"</definedName>
    <definedName name="FDC_59_105" hidden="1">"#"</definedName>
    <definedName name="FDC_59_106" hidden="1">"#"</definedName>
    <definedName name="FDC_59_107" hidden="1">"#"</definedName>
    <definedName name="FDC_59_108" hidden="1">"#"</definedName>
    <definedName name="FDC_59_109" hidden="1">"#"</definedName>
    <definedName name="FDC_59_11" hidden="1">"#"</definedName>
    <definedName name="FDC_59_110" hidden="1">"#"</definedName>
    <definedName name="FDC_59_111" hidden="1">"#"</definedName>
    <definedName name="FDC_59_112" hidden="1">"#"</definedName>
    <definedName name="FDC_59_113" hidden="1">"#"</definedName>
    <definedName name="FDC_59_114" hidden="1">"#"</definedName>
    <definedName name="FDC_59_115" hidden="1">"#"</definedName>
    <definedName name="FDC_59_116" hidden="1">"#"</definedName>
    <definedName name="FDC_59_117" hidden="1">"#"</definedName>
    <definedName name="FDC_59_118" hidden="1">"#"</definedName>
    <definedName name="FDC_59_119" hidden="1">"#"</definedName>
    <definedName name="FDC_59_12" hidden="1">"#"</definedName>
    <definedName name="FDC_59_120" hidden="1">"#"</definedName>
    <definedName name="FDC_59_121" hidden="1">"#"</definedName>
    <definedName name="FDC_59_122" hidden="1">"#"</definedName>
    <definedName name="FDC_59_123" hidden="1">"#"</definedName>
    <definedName name="FDC_59_124" hidden="1">"#"</definedName>
    <definedName name="FDC_59_125" hidden="1">"#"</definedName>
    <definedName name="FDC_59_126" hidden="1">"#"</definedName>
    <definedName name="FDC_59_127" hidden="1">"#"</definedName>
    <definedName name="FDC_59_128" hidden="1">"#"</definedName>
    <definedName name="FDC_59_129" hidden="1">"#"</definedName>
    <definedName name="FDC_59_13" hidden="1">"#"</definedName>
    <definedName name="FDC_59_130" hidden="1">"#"</definedName>
    <definedName name="FDC_59_131" hidden="1">"#"</definedName>
    <definedName name="FDC_59_132" hidden="1">"#"</definedName>
    <definedName name="FDC_59_133" hidden="1">"#"</definedName>
    <definedName name="FDC_59_134" hidden="1">"#"</definedName>
    <definedName name="FDC_59_135" hidden="1">"#"</definedName>
    <definedName name="FDC_59_136" hidden="1">"#"</definedName>
    <definedName name="FDC_59_137" hidden="1">"#"</definedName>
    <definedName name="FDC_59_138" hidden="1">"#"</definedName>
    <definedName name="FDC_59_139" hidden="1">"#"</definedName>
    <definedName name="FDC_59_14" hidden="1">"#"</definedName>
    <definedName name="FDC_59_140" hidden="1">"#"</definedName>
    <definedName name="FDC_59_141" hidden="1">"#"</definedName>
    <definedName name="FDC_59_142" hidden="1">"#"</definedName>
    <definedName name="FDC_59_143" hidden="1">"#"</definedName>
    <definedName name="FDC_59_144" hidden="1">"#"</definedName>
    <definedName name="FDC_59_145" hidden="1">"#"</definedName>
    <definedName name="FDC_59_146" hidden="1">"#"</definedName>
    <definedName name="FDC_59_147" hidden="1">"#"</definedName>
    <definedName name="FDC_59_148" hidden="1">"#"</definedName>
    <definedName name="FDC_59_149" hidden="1">"#"</definedName>
    <definedName name="FDC_59_15" hidden="1">"#"</definedName>
    <definedName name="FDC_59_150" hidden="1">"#"</definedName>
    <definedName name="FDC_59_151" hidden="1">"#"</definedName>
    <definedName name="FDC_59_152" hidden="1">"#"</definedName>
    <definedName name="FDC_59_153" hidden="1">"#"</definedName>
    <definedName name="FDC_59_154" hidden="1">"#"</definedName>
    <definedName name="FDC_59_155" hidden="1">"#"</definedName>
    <definedName name="FDC_59_156" hidden="1">"#"</definedName>
    <definedName name="FDC_59_157" hidden="1">"#"</definedName>
    <definedName name="FDC_59_158" hidden="1">"#"</definedName>
    <definedName name="FDC_59_159" hidden="1">"#"</definedName>
    <definedName name="FDC_59_16" hidden="1">"#"</definedName>
    <definedName name="FDC_59_160" hidden="1">"#"</definedName>
    <definedName name="FDC_59_161" hidden="1">"#"</definedName>
    <definedName name="FDC_59_162" hidden="1">"#"</definedName>
    <definedName name="FDC_59_163" hidden="1">"#"</definedName>
    <definedName name="FDC_59_164" hidden="1">"#"</definedName>
    <definedName name="FDC_59_165" hidden="1">"#"</definedName>
    <definedName name="FDC_59_166" hidden="1">"#"</definedName>
    <definedName name="FDC_59_167" hidden="1">"#"</definedName>
    <definedName name="FDC_59_168" hidden="1">"#"</definedName>
    <definedName name="FDC_59_169" hidden="1">"#"</definedName>
    <definedName name="FDC_59_17" hidden="1">"#"</definedName>
    <definedName name="FDC_59_170" hidden="1">"#"</definedName>
    <definedName name="FDC_59_171" hidden="1">"#"</definedName>
    <definedName name="FDC_59_172" hidden="1">"#"</definedName>
    <definedName name="FDC_59_173" hidden="1">"#"</definedName>
    <definedName name="FDC_59_174" hidden="1">"#"</definedName>
    <definedName name="FDC_59_175" hidden="1">"#"</definedName>
    <definedName name="FDC_59_176" hidden="1">"#"</definedName>
    <definedName name="FDC_59_177" hidden="1">"#"</definedName>
    <definedName name="FDC_59_178" hidden="1">"#"</definedName>
    <definedName name="FDC_59_179" hidden="1">"#"</definedName>
    <definedName name="FDC_59_18" hidden="1">"#"</definedName>
    <definedName name="FDC_59_180" hidden="1">"#"</definedName>
    <definedName name="FDC_59_181" hidden="1">"#"</definedName>
    <definedName name="FDC_59_182" hidden="1">"#"</definedName>
    <definedName name="FDC_59_183" hidden="1">"#"</definedName>
    <definedName name="FDC_59_184" hidden="1">"#"</definedName>
    <definedName name="FDC_59_185" hidden="1">"#"</definedName>
    <definedName name="FDC_59_186" hidden="1">"#"</definedName>
    <definedName name="FDC_59_187" hidden="1">"#"</definedName>
    <definedName name="FDC_59_188" hidden="1">"#"</definedName>
    <definedName name="FDC_59_189" hidden="1">"#"</definedName>
    <definedName name="FDC_59_19" hidden="1">"#"</definedName>
    <definedName name="FDC_59_190" hidden="1">"#"</definedName>
    <definedName name="FDC_59_191" hidden="1">"#"</definedName>
    <definedName name="FDC_59_192" hidden="1">"#"</definedName>
    <definedName name="FDC_59_193" hidden="1">"#"</definedName>
    <definedName name="FDC_59_194" hidden="1">"#"</definedName>
    <definedName name="FDC_59_195" hidden="1">"#"</definedName>
    <definedName name="FDC_59_196" hidden="1">"#"</definedName>
    <definedName name="FDC_59_197" hidden="1">"#"</definedName>
    <definedName name="FDC_59_198" hidden="1">"#"</definedName>
    <definedName name="FDC_59_199" hidden="1">"#"</definedName>
    <definedName name="FDC_59_2" hidden="1">"#"</definedName>
    <definedName name="FDC_59_20" hidden="1">"#"</definedName>
    <definedName name="FDC_59_200" hidden="1">"#"</definedName>
    <definedName name="FDC_59_201" hidden="1">"#"</definedName>
    <definedName name="FDC_59_202" hidden="1">"#"</definedName>
    <definedName name="FDC_59_203" hidden="1">"#"</definedName>
    <definedName name="FDC_59_204" hidden="1">"#"</definedName>
    <definedName name="FDC_59_205" hidden="1">"#"</definedName>
    <definedName name="FDC_59_206" hidden="1">"#"</definedName>
    <definedName name="FDC_59_207" hidden="1">"#"</definedName>
    <definedName name="FDC_59_208" hidden="1">"#"</definedName>
    <definedName name="FDC_59_209" hidden="1">"#"</definedName>
    <definedName name="FDC_59_21" hidden="1">"#"</definedName>
    <definedName name="FDC_59_210" hidden="1">"#"</definedName>
    <definedName name="FDC_59_211" hidden="1">"#"</definedName>
    <definedName name="FDC_59_212" hidden="1">"#"</definedName>
    <definedName name="FDC_59_213" hidden="1">"#"</definedName>
    <definedName name="FDC_59_214" hidden="1">"#"</definedName>
    <definedName name="FDC_59_215" hidden="1">"#"</definedName>
    <definedName name="FDC_59_216" hidden="1">"#"</definedName>
    <definedName name="FDC_59_217" hidden="1">"#"</definedName>
    <definedName name="FDC_59_218" hidden="1">"#"</definedName>
    <definedName name="FDC_59_219" hidden="1">"#"</definedName>
    <definedName name="FDC_59_22" hidden="1">"#"</definedName>
    <definedName name="FDC_59_220" hidden="1">"#"</definedName>
    <definedName name="FDC_59_221" hidden="1">"#"</definedName>
    <definedName name="FDC_59_222" hidden="1">"#"</definedName>
    <definedName name="FDC_59_223" hidden="1">"#"</definedName>
    <definedName name="FDC_59_224" hidden="1">"#"</definedName>
    <definedName name="FDC_59_225" hidden="1">"#"</definedName>
    <definedName name="FDC_59_226" hidden="1">"#"</definedName>
    <definedName name="FDC_59_227" hidden="1">"#"</definedName>
    <definedName name="FDC_59_228" hidden="1">"#"</definedName>
    <definedName name="FDC_59_229" hidden="1">"#"</definedName>
    <definedName name="FDC_59_23" hidden="1">"#"</definedName>
    <definedName name="FDC_59_230" hidden="1">"#"</definedName>
    <definedName name="FDC_59_231" hidden="1">"#"</definedName>
    <definedName name="FDC_59_232" hidden="1">"#"</definedName>
    <definedName name="FDC_59_233" hidden="1">"#"</definedName>
    <definedName name="FDC_59_234" hidden="1">"#"</definedName>
    <definedName name="FDC_59_235" hidden="1">"#"</definedName>
    <definedName name="FDC_59_236" hidden="1">"#"</definedName>
    <definedName name="FDC_59_237" hidden="1">"#"</definedName>
    <definedName name="FDC_59_238" hidden="1">"#"</definedName>
    <definedName name="FDC_59_239" hidden="1">"#"</definedName>
    <definedName name="FDC_59_24" hidden="1">"#"</definedName>
    <definedName name="FDC_59_240" hidden="1">"#"</definedName>
    <definedName name="FDC_59_241" hidden="1">"#"</definedName>
    <definedName name="FDC_59_242" hidden="1">"#"</definedName>
    <definedName name="FDC_59_243" hidden="1">"#"</definedName>
    <definedName name="FDC_59_244" hidden="1">"#"</definedName>
    <definedName name="FDC_59_245" hidden="1">"#"</definedName>
    <definedName name="FDC_59_246" hidden="1">"#"</definedName>
    <definedName name="FDC_59_247" hidden="1">"#"</definedName>
    <definedName name="FDC_59_248" hidden="1">"#"</definedName>
    <definedName name="FDC_59_249" hidden="1">"#"</definedName>
    <definedName name="FDC_59_25" hidden="1">"#"</definedName>
    <definedName name="FDC_59_250" hidden="1">"#"</definedName>
    <definedName name="FDC_59_251" hidden="1">"#"</definedName>
    <definedName name="FDC_59_252" hidden="1">"#"</definedName>
    <definedName name="FDC_59_253" hidden="1">"#"</definedName>
    <definedName name="FDC_59_254" hidden="1">"#"</definedName>
    <definedName name="FDC_59_255" hidden="1">"#"</definedName>
    <definedName name="FDC_59_256" hidden="1">"#"</definedName>
    <definedName name="FDC_59_257" hidden="1">"#"</definedName>
    <definedName name="FDC_59_258" hidden="1">"#"</definedName>
    <definedName name="FDC_59_259" hidden="1">"#"</definedName>
    <definedName name="FDC_59_26" hidden="1">"#"</definedName>
    <definedName name="FDC_59_260" hidden="1">"#"</definedName>
    <definedName name="FDC_59_261" hidden="1">"#"</definedName>
    <definedName name="FDC_59_27" hidden="1">"#"</definedName>
    <definedName name="FDC_59_28" hidden="1">"#"</definedName>
    <definedName name="FDC_59_29" hidden="1">"#"</definedName>
    <definedName name="FDC_59_3" hidden="1">"#"</definedName>
    <definedName name="FDC_59_30" hidden="1">"#"</definedName>
    <definedName name="FDC_59_31" hidden="1">"#"</definedName>
    <definedName name="FDC_59_32" hidden="1">"#"</definedName>
    <definedName name="FDC_59_33" hidden="1">"#"</definedName>
    <definedName name="FDC_59_34" hidden="1">"#"</definedName>
    <definedName name="FDC_59_35" hidden="1">"#"</definedName>
    <definedName name="FDC_59_36" hidden="1">"#"</definedName>
    <definedName name="FDC_59_37" hidden="1">"#"</definedName>
    <definedName name="FDC_59_38" hidden="1">"#"</definedName>
    <definedName name="FDC_59_39" hidden="1">"#"</definedName>
    <definedName name="FDC_59_4" hidden="1">"#"</definedName>
    <definedName name="FDC_59_40" hidden="1">"#"</definedName>
    <definedName name="FDC_59_41" hidden="1">"#"</definedName>
    <definedName name="FDC_59_42" hidden="1">"#"</definedName>
    <definedName name="FDC_59_43" hidden="1">"#"</definedName>
    <definedName name="FDC_59_44" hidden="1">"#"</definedName>
    <definedName name="FDC_59_45" hidden="1">"#"</definedName>
    <definedName name="FDC_59_46" hidden="1">"#"</definedName>
    <definedName name="FDC_59_47" hidden="1">"#"</definedName>
    <definedName name="FDC_59_48" hidden="1">"#"</definedName>
    <definedName name="FDC_59_49" hidden="1">"#"</definedName>
    <definedName name="FDC_59_5" hidden="1">"#"</definedName>
    <definedName name="FDC_59_50" hidden="1">"#"</definedName>
    <definedName name="FDC_59_51" hidden="1">"#"</definedName>
    <definedName name="FDC_59_52" hidden="1">"#"</definedName>
    <definedName name="FDC_59_53" hidden="1">"#"</definedName>
    <definedName name="FDC_59_54" hidden="1">"#"</definedName>
    <definedName name="FDC_59_55" hidden="1">"#"</definedName>
    <definedName name="FDC_59_56" hidden="1">"#"</definedName>
    <definedName name="FDC_59_57" hidden="1">"#"</definedName>
    <definedName name="FDC_59_58" hidden="1">"#"</definedName>
    <definedName name="FDC_59_59" hidden="1">"#"</definedName>
    <definedName name="FDC_59_6" hidden="1">"#"</definedName>
    <definedName name="FDC_59_60" hidden="1">"#"</definedName>
    <definedName name="FDC_59_61" hidden="1">"#"</definedName>
    <definedName name="FDC_59_62" hidden="1">"#"</definedName>
    <definedName name="FDC_59_63" hidden="1">"#"</definedName>
    <definedName name="FDC_59_64" hidden="1">"#"</definedName>
    <definedName name="FDC_59_65" hidden="1">"#"</definedName>
    <definedName name="FDC_59_66" hidden="1">"#"</definedName>
    <definedName name="FDC_59_67" hidden="1">"#"</definedName>
    <definedName name="FDC_59_68" hidden="1">"#"</definedName>
    <definedName name="FDC_59_69" hidden="1">"#"</definedName>
    <definedName name="FDC_59_7" hidden="1">"#"</definedName>
    <definedName name="FDC_59_70" hidden="1">"#"</definedName>
    <definedName name="FDC_59_71" hidden="1">"#"</definedName>
    <definedName name="FDC_59_72" hidden="1">"#"</definedName>
    <definedName name="FDC_59_73" hidden="1">"#"</definedName>
    <definedName name="FDC_59_74" hidden="1">"#"</definedName>
    <definedName name="FDC_59_75" hidden="1">"#"</definedName>
    <definedName name="FDC_59_76" hidden="1">"#"</definedName>
    <definedName name="FDC_59_77" hidden="1">"#"</definedName>
    <definedName name="FDC_59_78" hidden="1">"#"</definedName>
    <definedName name="FDC_59_79" hidden="1">"#"</definedName>
    <definedName name="FDC_59_8" hidden="1">"#"</definedName>
    <definedName name="FDC_59_80" hidden="1">"#"</definedName>
    <definedName name="FDC_59_81" hidden="1">"#"</definedName>
    <definedName name="FDC_59_82" hidden="1">"#"</definedName>
    <definedName name="FDC_59_83" hidden="1">"#"</definedName>
    <definedName name="FDC_59_84" hidden="1">"#"</definedName>
    <definedName name="FDC_59_85" hidden="1">"#"</definedName>
    <definedName name="FDC_59_86" hidden="1">"#"</definedName>
    <definedName name="FDC_59_87" hidden="1">"#"</definedName>
    <definedName name="FDC_59_88" hidden="1">"#"</definedName>
    <definedName name="FDC_59_89" hidden="1">"#"</definedName>
    <definedName name="FDC_59_9" hidden="1">"#"</definedName>
    <definedName name="FDC_59_90" hidden="1">"#"</definedName>
    <definedName name="FDC_59_91" hidden="1">"#"</definedName>
    <definedName name="FDC_59_92" hidden="1">"#"</definedName>
    <definedName name="FDC_59_93" hidden="1">"#"</definedName>
    <definedName name="FDC_59_94" hidden="1">"#"</definedName>
    <definedName name="FDC_59_95" hidden="1">"#"</definedName>
    <definedName name="FDC_59_96" hidden="1">"#"</definedName>
    <definedName name="FDC_59_97" hidden="1">"#"</definedName>
    <definedName name="FDC_59_98" hidden="1">"#"</definedName>
    <definedName name="FDC_59_99" hidden="1">"#"</definedName>
    <definedName name="FDC_6_0" hidden="1">"#"</definedName>
    <definedName name="FDC_6_1" hidden="1">"#"</definedName>
    <definedName name="FDC_6_2" hidden="1">"#"</definedName>
    <definedName name="FDC_6_3" hidden="1">"#"</definedName>
    <definedName name="FDC_60_0" hidden="1">"#"</definedName>
    <definedName name="FDC_60_1" hidden="1">"#"</definedName>
    <definedName name="FDC_60_10" hidden="1">"#"</definedName>
    <definedName name="FDC_60_100" hidden="1">"#"</definedName>
    <definedName name="FDC_60_101" hidden="1">"#"</definedName>
    <definedName name="FDC_60_102" hidden="1">"#"</definedName>
    <definedName name="FDC_60_103" hidden="1">"#"</definedName>
    <definedName name="FDC_60_104" hidden="1">"#"</definedName>
    <definedName name="FDC_60_105" hidden="1">"#"</definedName>
    <definedName name="FDC_60_106" hidden="1">"#"</definedName>
    <definedName name="FDC_60_107" hidden="1">"#"</definedName>
    <definedName name="FDC_60_108" hidden="1">"#"</definedName>
    <definedName name="FDC_60_109" hidden="1">"#"</definedName>
    <definedName name="FDC_60_11" hidden="1">"#"</definedName>
    <definedName name="FDC_60_110" hidden="1">"#"</definedName>
    <definedName name="FDC_60_111" hidden="1">"#"</definedName>
    <definedName name="FDC_60_112" hidden="1">"#"</definedName>
    <definedName name="FDC_60_113" hidden="1">"#"</definedName>
    <definedName name="FDC_60_114" hidden="1">"#"</definedName>
    <definedName name="FDC_60_115" hidden="1">"#"</definedName>
    <definedName name="FDC_60_116" hidden="1">"#"</definedName>
    <definedName name="FDC_60_117" hidden="1">"#"</definedName>
    <definedName name="FDC_60_118" hidden="1">"#"</definedName>
    <definedName name="FDC_60_119" hidden="1">"#"</definedName>
    <definedName name="FDC_60_12" hidden="1">"#"</definedName>
    <definedName name="FDC_60_120" hidden="1">"#"</definedName>
    <definedName name="FDC_60_121" hidden="1">"#"</definedName>
    <definedName name="FDC_60_122" hidden="1">"#"</definedName>
    <definedName name="FDC_60_123" hidden="1">"#"</definedName>
    <definedName name="FDC_60_124" hidden="1">"#"</definedName>
    <definedName name="FDC_60_125" hidden="1">"#"</definedName>
    <definedName name="FDC_60_126" hidden="1">"#"</definedName>
    <definedName name="FDC_60_127" hidden="1">"#"</definedName>
    <definedName name="FDC_60_128" hidden="1">"#"</definedName>
    <definedName name="FDC_60_129" hidden="1">"#"</definedName>
    <definedName name="FDC_60_13" hidden="1">"#"</definedName>
    <definedName name="FDC_60_130" hidden="1">"#"</definedName>
    <definedName name="FDC_60_131" hidden="1">"#"</definedName>
    <definedName name="FDC_60_132" hidden="1">"#"</definedName>
    <definedName name="FDC_60_133" hidden="1">"#"</definedName>
    <definedName name="FDC_60_134" hidden="1">"#"</definedName>
    <definedName name="FDC_60_135" hidden="1">"#"</definedName>
    <definedName name="FDC_60_136" hidden="1">"#"</definedName>
    <definedName name="FDC_60_137" hidden="1">"#"</definedName>
    <definedName name="FDC_60_138" hidden="1">"#"</definedName>
    <definedName name="FDC_60_139" hidden="1">"#"</definedName>
    <definedName name="FDC_60_14" hidden="1">"#"</definedName>
    <definedName name="FDC_60_140" hidden="1">"#"</definedName>
    <definedName name="FDC_60_141" hidden="1">"#"</definedName>
    <definedName name="FDC_60_142" hidden="1">"#"</definedName>
    <definedName name="FDC_60_143" hidden="1">"#"</definedName>
    <definedName name="FDC_60_144" hidden="1">"#"</definedName>
    <definedName name="FDC_60_145" hidden="1">"#"</definedName>
    <definedName name="FDC_60_146" hidden="1">"#"</definedName>
    <definedName name="FDC_60_147" hidden="1">"#"</definedName>
    <definedName name="FDC_60_148" hidden="1">"#"</definedName>
    <definedName name="FDC_60_149" hidden="1">"#"</definedName>
    <definedName name="FDC_60_15" hidden="1">"#"</definedName>
    <definedName name="FDC_60_150" hidden="1">"#"</definedName>
    <definedName name="FDC_60_151" hidden="1">"#"</definedName>
    <definedName name="FDC_60_152" hidden="1">"#"</definedName>
    <definedName name="FDC_60_153" hidden="1">"#"</definedName>
    <definedName name="FDC_60_154" hidden="1">"#"</definedName>
    <definedName name="FDC_60_155" hidden="1">"#"</definedName>
    <definedName name="FDC_60_156" hidden="1">"#"</definedName>
    <definedName name="FDC_60_157" hidden="1">"#"</definedName>
    <definedName name="FDC_60_158" hidden="1">"#"</definedName>
    <definedName name="FDC_60_159" hidden="1">"#"</definedName>
    <definedName name="FDC_60_16" hidden="1">"#"</definedName>
    <definedName name="FDC_60_160" hidden="1">"#"</definedName>
    <definedName name="FDC_60_161" hidden="1">"#"</definedName>
    <definedName name="FDC_60_162" hidden="1">"#"</definedName>
    <definedName name="FDC_60_163" hidden="1">"#"</definedName>
    <definedName name="FDC_60_164" hidden="1">"#"</definedName>
    <definedName name="FDC_60_165" hidden="1">"#"</definedName>
    <definedName name="FDC_60_166" hidden="1">"#"</definedName>
    <definedName name="FDC_60_167" hidden="1">"#"</definedName>
    <definedName name="FDC_60_168" hidden="1">"#"</definedName>
    <definedName name="FDC_60_169" hidden="1">"#"</definedName>
    <definedName name="FDC_60_17" hidden="1">"#"</definedName>
    <definedName name="FDC_60_170" hidden="1">"#"</definedName>
    <definedName name="FDC_60_171" hidden="1">"#"</definedName>
    <definedName name="FDC_60_172" hidden="1">"#"</definedName>
    <definedName name="FDC_60_173" hidden="1">"#"</definedName>
    <definedName name="FDC_60_174" hidden="1">"#"</definedName>
    <definedName name="FDC_60_175" hidden="1">"#"</definedName>
    <definedName name="FDC_60_176" hidden="1">"#"</definedName>
    <definedName name="FDC_60_177" hidden="1">"#"</definedName>
    <definedName name="FDC_60_178" hidden="1">"#"</definedName>
    <definedName name="FDC_60_179" hidden="1">"#"</definedName>
    <definedName name="FDC_60_18" hidden="1">"#"</definedName>
    <definedName name="FDC_60_180" hidden="1">"#"</definedName>
    <definedName name="FDC_60_181" hidden="1">"#"</definedName>
    <definedName name="FDC_60_182" hidden="1">"#"</definedName>
    <definedName name="FDC_60_183" hidden="1">"#"</definedName>
    <definedName name="FDC_60_184" hidden="1">"#"</definedName>
    <definedName name="FDC_60_185" hidden="1">"#"</definedName>
    <definedName name="FDC_60_186" hidden="1">"#"</definedName>
    <definedName name="FDC_60_187" hidden="1">"#"</definedName>
    <definedName name="FDC_60_188" hidden="1">"#"</definedName>
    <definedName name="FDC_60_189" hidden="1">"#"</definedName>
    <definedName name="FDC_60_19" hidden="1">"#"</definedName>
    <definedName name="FDC_60_190" hidden="1">"#"</definedName>
    <definedName name="FDC_60_191" hidden="1">"#"</definedName>
    <definedName name="FDC_60_192" hidden="1">"#"</definedName>
    <definedName name="FDC_60_193" hidden="1">"#"</definedName>
    <definedName name="FDC_60_194" hidden="1">"#"</definedName>
    <definedName name="FDC_60_195" hidden="1">"#"</definedName>
    <definedName name="FDC_60_196" hidden="1">"#"</definedName>
    <definedName name="FDC_60_197" hidden="1">"#"</definedName>
    <definedName name="FDC_60_198" hidden="1">"#"</definedName>
    <definedName name="FDC_60_199" hidden="1">"#"</definedName>
    <definedName name="FDC_60_2" hidden="1">"#"</definedName>
    <definedName name="FDC_60_20" hidden="1">"#"</definedName>
    <definedName name="FDC_60_200" hidden="1">"#"</definedName>
    <definedName name="FDC_60_201" hidden="1">"#"</definedName>
    <definedName name="FDC_60_202" hidden="1">"#"</definedName>
    <definedName name="FDC_60_203" hidden="1">"#"</definedName>
    <definedName name="FDC_60_204" hidden="1">"#"</definedName>
    <definedName name="FDC_60_205" hidden="1">"#"</definedName>
    <definedName name="FDC_60_206" hidden="1">"#"</definedName>
    <definedName name="FDC_60_207" hidden="1">"#"</definedName>
    <definedName name="FDC_60_208" hidden="1">"#"</definedName>
    <definedName name="FDC_60_209" hidden="1">"#"</definedName>
    <definedName name="FDC_60_21" hidden="1">"#"</definedName>
    <definedName name="FDC_60_210" hidden="1">"#"</definedName>
    <definedName name="FDC_60_211" hidden="1">"#"</definedName>
    <definedName name="FDC_60_212" hidden="1">"#"</definedName>
    <definedName name="FDC_60_213" hidden="1">"#"</definedName>
    <definedName name="FDC_60_214" hidden="1">"#"</definedName>
    <definedName name="FDC_60_215" hidden="1">"#"</definedName>
    <definedName name="FDC_60_216" hidden="1">"#"</definedName>
    <definedName name="FDC_60_217" hidden="1">"#"</definedName>
    <definedName name="FDC_60_218" hidden="1">"#"</definedName>
    <definedName name="FDC_60_219" hidden="1">"#"</definedName>
    <definedName name="FDC_60_22" hidden="1">"#"</definedName>
    <definedName name="FDC_60_220" hidden="1">"#"</definedName>
    <definedName name="FDC_60_221" hidden="1">"#"</definedName>
    <definedName name="FDC_60_222" hidden="1">"#"</definedName>
    <definedName name="FDC_60_223" hidden="1">"#"</definedName>
    <definedName name="FDC_60_224" hidden="1">"#"</definedName>
    <definedName name="FDC_60_225" hidden="1">"#"</definedName>
    <definedName name="FDC_60_226" hidden="1">"#"</definedName>
    <definedName name="FDC_60_227" hidden="1">"#"</definedName>
    <definedName name="FDC_60_228" hidden="1">"#"</definedName>
    <definedName name="FDC_60_229" hidden="1">"#"</definedName>
    <definedName name="FDC_60_23" hidden="1">"#"</definedName>
    <definedName name="FDC_60_230" hidden="1">"#"</definedName>
    <definedName name="FDC_60_231" hidden="1">"#"</definedName>
    <definedName name="FDC_60_232" hidden="1">"#"</definedName>
    <definedName name="FDC_60_233" hidden="1">"#"</definedName>
    <definedName name="FDC_60_234" hidden="1">"#"</definedName>
    <definedName name="FDC_60_235" hidden="1">"#"</definedName>
    <definedName name="FDC_60_236" hidden="1">"#"</definedName>
    <definedName name="FDC_60_237" hidden="1">"#"</definedName>
    <definedName name="FDC_60_238" hidden="1">"#"</definedName>
    <definedName name="FDC_60_239" hidden="1">"#"</definedName>
    <definedName name="FDC_60_24" hidden="1">"#"</definedName>
    <definedName name="FDC_60_240" hidden="1">"#"</definedName>
    <definedName name="FDC_60_241" hidden="1">"#"</definedName>
    <definedName name="FDC_60_242" hidden="1">"#"</definedName>
    <definedName name="FDC_60_243" hidden="1">"#"</definedName>
    <definedName name="FDC_60_244" hidden="1">"#"</definedName>
    <definedName name="FDC_60_245" hidden="1">"#"</definedName>
    <definedName name="FDC_60_246" hidden="1">"#"</definedName>
    <definedName name="FDC_60_247" hidden="1">"#"</definedName>
    <definedName name="FDC_60_248" hidden="1">"#"</definedName>
    <definedName name="FDC_60_249" hidden="1">"#"</definedName>
    <definedName name="FDC_60_25" hidden="1">"#"</definedName>
    <definedName name="FDC_60_250" hidden="1">"#"</definedName>
    <definedName name="FDC_60_251" hidden="1">"#"</definedName>
    <definedName name="FDC_60_252" hidden="1">"#"</definedName>
    <definedName name="FDC_60_253" hidden="1">"#"</definedName>
    <definedName name="FDC_60_254" hidden="1">"#"</definedName>
    <definedName name="FDC_60_255" hidden="1">"#"</definedName>
    <definedName name="FDC_60_256" hidden="1">"#"</definedName>
    <definedName name="FDC_60_257" hidden="1">"#"</definedName>
    <definedName name="FDC_60_258" hidden="1">"#"</definedName>
    <definedName name="FDC_60_259" hidden="1">"#"</definedName>
    <definedName name="FDC_60_26" hidden="1">"#"</definedName>
    <definedName name="FDC_60_260" hidden="1">"#"</definedName>
    <definedName name="FDC_60_261" hidden="1">"#"</definedName>
    <definedName name="FDC_60_27" hidden="1">"#"</definedName>
    <definedName name="FDC_60_28" hidden="1">"#"</definedName>
    <definedName name="FDC_60_29" hidden="1">"#"</definedName>
    <definedName name="FDC_60_3" hidden="1">"#"</definedName>
    <definedName name="FDC_60_30" hidden="1">"#"</definedName>
    <definedName name="FDC_60_31" hidden="1">"#"</definedName>
    <definedName name="FDC_60_32" hidden="1">"#"</definedName>
    <definedName name="FDC_60_33" hidden="1">"#"</definedName>
    <definedName name="FDC_60_34" hidden="1">"#"</definedName>
    <definedName name="FDC_60_35" hidden="1">"#"</definedName>
    <definedName name="FDC_60_36" hidden="1">"#"</definedName>
    <definedName name="FDC_60_37" hidden="1">"#"</definedName>
    <definedName name="FDC_60_38" hidden="1">"#"</definedName>
    <definedName name="FDC_60_39" hidden="1">"#"</definedName>
    <definedName name="FDC_60_4" hidden="1">"#"</definedName>
    <definedName name="FDC_60_40" hidden="1">"#"</definedName>
    <definedName name="FDC_60_41" hidden="1">"#"</definedName>
    <definedName name="FDC_60_42" hidden="1">"#"</definedName>
    <definedName name="FDC_60_43" hidden="1">"#"</definedName>
    <definedName name="FDC_60_44" hidden="1">"#"</definedName>
    <definedName name="FDC_60_45" hidden="1">"#"</definedName>
    <definedName name="FDC_60_46" hidden="1">"#"</definedName>
    <definedName name="FDC_60_47" hidden="1">"#"</definedName>
    <definedName name="FDC_60_48" hidden="1">"#"</definedName>
    <definedName name="FDC_60_49" hidden="1">"#"</definedName>
    <definedName name="FDC_60_5" hidden="1">"#"</definedName>
    <definedName name="FDC_60_50" hidden="1">"#"</definedName>
    <definedName name="FDC_60_51" hidden="1">"#"</definedName>
    <definedName name="FDC_60_52" hidden="1">"#"</definedName>
    <definedName name="FDC_60_53" hidden="1">"#"</definedName>
    <definedName name="FDC_60_54" hidden="1">"#"</definedName>
    <definedName name="FDC_60_55" hidden="1">"#"</definedName>
    <definedName name="FDC_60_56" hidden="1">"#"</definedName>
    <definedName name="FDC_60_57" hidden="1">"#"</definedName>
    <definedName name="FDC_60_58" hidden="1">"#"</definedName>
    <definedName name="FDC_60_59" hidden="1">"#"</definedName>
    <definedName name="FDC_60_6" hidden="1">"#"</definedName>
    <definedName name="FDC_60_60" hidden="1">"#"</definedName>
    <definedName name="FDC_60_61" hidden="1">"#"</definedName>
    <definedName name="FDC_60_62" hidden="1">"#"</definedName>
    <definedName name="FDC_60_63" hidden="1">"#"</definedName>
    <definedName name="FDC_60_64" hidden="1">"#"</definedName>
    <definedName name="FDC_60_65" hidden="1">"#"</definedName>
    <definedName name="FDC_60_66" hidden="1">"#"</definedName>
    <definedName name="FDC_60_67" hidden="1">"#"</definedName>
    <definedName name="FDC_60_68" hidden="1">"#"</definedName>
    <definedName name="FDC_60_69" hidden="1">"#"</definedName>
    <definedName name="FDC_60_7" hidden="1">"#"</definedName>
    <definedName name="FDC_60_70" hidden="1">"#"</definedName>
    <definedName name="FDC_60_71" hidden="1">"#"</definedName>
    <definedName name="FDC_60_72" hidden="1">"#"</definedName>
    <definedName name="FDC_60_73" hidden="1">"#"</definedName>
    <definedName name="FDC_60_74" hidden="1">"#"</definedName>
    <definedName name="FDC_60_75" hidden="1">"#"</definedName>
    <definedName name="FDC_60_76" hidden="1">"#"</definedName>
    <definedName name="FDC_60_77" hidden="1">"#"</definedName>
    <definedName name="FDC_60_78" hidden="1">"#"</definedName>
    <definedName name="FDC_60_79" hidden="1">"#"</definedName>
    <definedName name="FDC_60_8" hidden="1">"#"</definedName>
    <definedName name="FDC_60_80" hidden="1">"#"</definedName>
    <definedName name="FDC_60_81" hidden="1">"#"</definedName>
    <definedName name="FDC_60_82" hidden="1">"#"</definedName>
    <definedName name="FDC_60_83" hidden="1">"#"</definedName>
    <definedName name="FDC_60_84" hidden="1">"#"</definedName>
    <definedName name="FDC_60_85" hidden="1">"#"</definedName>
    <definedName name="FDC_60_86" hidden="1">"#"</definedName>
    <definedName name="FDC_60_87" hidden="1">"#"</definedName>
    <definedName name="FDC_60_88" hidden="1">"#"</definedName>
    <definedName name="FDC_60_89" hidden="1">"#"</definedName>
    <definedName name="FDC_60_9" hidden="1">"#"</definedName>
    <definedName name="FDC_60_90" hidden="1">"#"</definedName>
    <definedName name="FDC_60_91" hidden="1">"#"</definedName>
    <definedName name="FDC_60_92" hidden="1">"#"</definedName>
    <definedName name="FDC_60_93" hidden="1">"#"</definedName>
    <definedName name="FDC_60_94" hidden="1">"#"</definedName>
    <definedName name="FDC_60_95" hidden="1">"#"</definedName>
    <definedName name="FDC_60_96" hidden="1">"#"</definedName>
    <definedName name="FDC_60_97" hidden="1">"#"</definedName>
    <definedName name="FDC_60_98" hidden="1">"#"</definedName>
    <definedName name="FDC_60_99" hidden="1">"#"</definedName>
    <definedName name="FDC_61_0" hidden="1">"#"</definedName>
    <definedName name="FDC_62_0" hidden="1">"#"</definedName>
    <definedName name="FDC_62_1" hidden="1">"#"</definedName>
    <definedName name="FDC_62_10" hidden="1">"#"</definedName>
    <definedName name="FDC_62_100" hidden="1">"#"</definedName>
    <definedName name="FDC_62_101" hidden="1">"#"</definedName>
    <definedName name="FDC_62_102" hidden="1">"#"</definedName>
    <definedName name="FDC_62_103" hidden="1">"#"</definedName>
    <definedName name="FDC_62_104" hidden="1">"#"</definedName>
    <definedName name="FDC_62_105" hidden="1">"#"</definedName>
    <definedName name="FDC_62_106" hidden="1">"#"</definedName>
    <definedName name="FDC_62_107" hidden="1">"#"</definedName>
    <definedName name="FDC_62_108" hidden="1">"#"</definedName>
    <definedName name="FDC_62_109" hidden="1">"#"</definedName>
    <definedName name="FDC_62_11" hidden="1">"#"</definedName>
    <definedName name="FDC_62_110" hidden="1">"#"</definedName>
    <definedName name="FDC_62_111" hidden="1">"#"</definedName>
    <definedName name="FDC_62_112" hidden="1">"#"</definedName>
    <definedName name="FDC_62_113" hidden="1">"#"</definedName>
    <definedName name="FDC_62_114" hidden="1">"#"</definedName>
    <definedName name="FDC_62_115" hidden="1">"#"</definedName>
    <definedName name="FDC_62_116" hidden="1">"#"</definedName>
    <definedName name="FDC_62_117" hidden="1">"#"</definedName>
    <definedName name="FDC_62_118" hidden="1">"#"</definedName>
    <definedName name="FDC_62_119" hidden="1">"#"</definedName>
    <definedName name="FDC_62_12" hidden="1">"#"</definedName>
    <definedName name="FDC_62_120" hidden="1">"#"</definedName>
    <definedName name="FDC_62_121" hidden="1">"#"</definedName>
    <definedName name="FDC_62_122" hidden="1">"#"</definedName>
    <definedName name="FDC_62_123" hidden="1">"#"</definedName>
    <definedName name="FDC_62_124" hidden="1">"#"</definedName>
    <definedName name="FDC_62_125" hidden="1">"#"</definedName>
    <definedName name="FDC_62_126" hidden="1">"#"</definedName>
    <definedName name="FDC_62_127" hidden="1">"#"</definedName>
    <definedName name="FDC_62_128" hidden="1">"#"</definedName>
    <definedName name="FDC_62_129" hidden="1">"#"</definedName>
    <definedName name="FDC_62_13" hidden="1">"#"</definedName>
    <definedName name="FDC_62_130" hidden="1">"#"</definedName>
    <definedName name="FDC_62_131" hidden="1">"#"</definedName>
    <definedName name="FDC_62_132" hidden="1">"#"</definedName>
    <definedName name="FDC_62_133" hidden="1">"#"</definedName>
    <definedName name="FDC_62_134" hidden="1">"#"</definedName>
    <definedName name="FDC_62_135" hidden="1">"#"</definedName>
    <definedName name="FDC_62_136" hidden="1">"#"</definedName>
    <definedName name="FDC_62_137" hidden="1">"#"</definedName>
    <definedName name="FDC_62_138" hidden="1">"#"</definedName>
    <definedName name="FDC_62_139" hidden="1">"#"</definedName>
    <definedName name="FDC_62_14" hidden="1">"#"</definedName>
    <definedName name="FDC_62_140" hidden="1">"#"</definedName>
    <definedName name="FDC_62_141" hidden="1">"#"</definedName>
    <definedName name="FDC_62_142" hidden="1">"#"</definedName>
    <definedName name="FDC_62_143" hidden="1">"#"</definedName>
    <definedName name="FDC_62_144" hidden="1">"#"</definedName>
    <definedName name="FDC_62_145" hidden="1">"#"</definedName>
    <definedName name="FDC_62_146" hidden="1">"#"</definedName>
    <definedName name="FDC_62_147" hidden="1">"#"</definedName>
    <definedName name="FDC_62_148" hidden="1">"#"</definedName>
    <definedName name="FDC_62_149" hidden="1">"#"</definedName>
    <definedName name="FDC_62_15" hidden="1">"#"</definedName>
    <definedName name="FDC_62_150" hidden="1">"#"</definedName>
    <definedName name="FDC_62_151" hidden="1">"#"</definedName>
    <definedName name="FDC_62_152" hidden="1">"#"</definedName>
    <definedName name="FDC_62_153" hidden="1">"#"</definedName>
    <definedName name="FDC_62_154" hidden="1">"#"</definedName>
    <definedName name="FDC_62_155" hidden="1">"#"</definedName>
    <definedName name="FDC_62_156" hidden="1">"#"</definedName>
    <definedName name="FDC_62_157" hidden="1">"#"</definedName>
    <definedName name="FDC_62_158" hidden="1">"#"</definedName>
    <definedName name="FDC_62_159" hidden="1">"#"</definedName>
    <definedName name="FDC_62_16" hidden="1">"#"</definedName>
    <definedName name="FDC_62_160" hidden="1">"#"</definedName>
    <definedName name="FDC_62_161" hidden="1">"#"</definedName>
    <definedName name="FDC_62_162" hidden="1">"#"</definedName>
    <definedName name="FDC_62_163" hidden="1">"#"</definedName>
    <definedName name="FDC_62_164" hidden="1">"#"</definedName>
    <definedName name="FDC_62_165" hidden="1">"#"</definedName>
    <definedName name="FDC_62_166" hidden="1">"#"</definedName>
    <definedName name="FDC_62_167" hidden="1">"#"</definedName>
    <definedName name="FDC_62_168" hidden="1">"#"</definedName>
    <definedName name="FDC_62_169" hidden="1">"#"</definedName>
    <definedName name="FDC_62_17" hidden="1">"#"</definedName>
    <definedName name="FDC_62_170" hidden="1">"#"</definedName>
    <definedName name="FDC_62_171" hidden="1">"#"</definedName>
    <definedName name="FDC_62_172" hidden="1">"#"</definedName>
    <definedName name="FDC_62_173" hidden="1">"#"</definedName>
    <definedName name="FDC_62_174" hidden="1">"#"</definedName>
    <definedName name="FDC_62_175" hidden="1">"#"</definedName>
    <definedName name="FDC_62_176" hidden="1">"#"</definedName>
    <definedName name="FDC_62_177" hidden="1">"#"</definedName>
    <definedName name="FDC_62_178" hidden="1">"#"</definedName>
    <definedName name="FDC_62_179" hidden="1">"#"</definedName>
    <definedName name="FDC_62_18" hidden="1">"#"</definedName>
    <definedName name="FDC_62_180" hidden="1">"#"</definedName>
    <definedName name="FDC_62_181" hidden="1">"#"</definedName>
    <definedName name="FDC_62_182" hidden="1">"#"</definedName>
    <definedName name="FDC_62_183" hidden="1">"#"</definedName>
    <definedName name="FDC_62_184" hidden="1">"#"</definedName>
    <definedName name="FDC_62_185" hidden="1">"#"</definedName>
    <definedName name="FDC_62_186" hidden="1">"#"</definedName>
    <definedName name="FDC_62_187" hidden="1">"#"</definedName>
    <definedName name="FDC_62_188" hidden="1">"#"</definedName>
    <definedName name="FDC_62_189" hidden="1">"#"</definedName>
    <definedName name="FDC_62_19" hidden="1">"#"</definedName>
    <definedName name="FDC_62_190" hidden="1">"#"</definedName>
    <definedName name="FDC_62_191" hidden="1">"#"</definedName>
    <definedName name="FDC_62_192" hidden="1">"#"</definedName>
    <definedName name="FDC_62_193" hidden="1">"#"</definedName>
    <definedName name="FDC_62_194" hidden="1">"#"</definedName>
    <definedName name="FDC_62_195" hidden="1">"#"</definedName>
    <definedName name="FDC_62_196" hidden="1">"#"</definedName>
    <definedName name="FDC_62_197" hidden="1">"#"</definedName>
    <definedName name="FDC_62_198" hidden="1">"#"</definedName>
    <definedName name="FDC_62_199" hidden="1">"#"</definedName>
    <definedName name="FDC_62_2" hidden="1">"#"</definedName>
    <definedName name="FDC_62_20" hidden="1">"#"</definedName>
    <definedName name="FDC_62_200" hidden="1">"#"</definedName>
    <definedName name="FDC_62_201" hidden="1">"#"</definedName>
    <definedName name="FDC_62_202" hidden="1">"#"</definedName>
    <definedName name="FDC_62_203" hidden="1">"#"</definedName>
    <definedName name="FDC_62_204" hidden="1">"#"</definedName>
    <definedName name="FDC_62_205" hidden="1">"#"</definedName>
    <definedName name="FDC_62_206" hidden="1">"#"</definedName>
    <definedName name="FDC_62_207" hidden="1">"#"</definedName>
    <definedName name="FDC_62_208" hidden="1">"#"</definedName>
    <definedName name="FDC_62_209" hidden="1">"#"</definedName>
    <definedName name="FDC_62_21" hidden="1">"#"</definedName>
    <definedName name="FDC_62_210" hidden="1">"#"</definedName>
    <definedName name="FDC_62_211" hidden="1">"#"</definedName>
    <definedName name="FDC_62_212" hidden="1">"#"</definedName>
    <definedName name="FDC_62_213" hidden="1">"#"</definedName>
    <definedName name="FDC_62_214" hidden="1">"#"</definedName>
    <definedName name="FDC_62_215" hidden="1">"#"</definedName>
    <definedName name="FDC_62_216" hidden="1">"#"</definedName>
    <definedName name="FDC_62_217" hidden="1">"#"</definedName>
    <definedName name="FDC_62_218" hidden="1">"#"</definedName>
    <definedName name="FDC_62_219" hidden="1">"#"</definedName>
    <definedName name="FDC_62_22" hidden="1">"#"</definedName>
    <definedName name="FDC_62_220" hidden="1">"#"</definedName>
    <definedName name="FDC_62_221" hidden="1">"#"</definedName>
    <definedName name="FDC_62_222" hidden="1">"#"</definedName>
    <definedName name="FDC_62_223" hidden="1">"#"</definedName>
    <definedName name="FDC_62_224" hidden="1">"#"</definedName>
    <definedName name="FDC_62_225" hidden="1">"#"</definedName>
    <definedName name="FDC_62_226" hidden="1">"#"</definedName>
    <definedName name="FDC_62_227" hidden="1">"#"</definedName>
    <definedName name="FDC_62_228" hidden="1">"#"</definedName>
    <definedName name="FDC_62_229" hidden="1">"#"</definedName>
    <definedName name="FDC_62_23" hidden="1">"#"</definedName>
    <definedName name="FDC_62_230" hidden="1">"#"</definedName>
    <definedName name="FDC_62_231" hidden="1">"#"</definedName>
    <definedName name="FDC_62_232" hidden="1">"#"</definedName>
    <definedName name="FDC_62_233" hidden="1">"#"</definedName>
    <definedName name="FDC_62_234" hidden="1">"#"</definedName>
    <definedName name="FDC_62_235" hidden="1">"#"</definedName>
    <definedName name="FDC_62_236" hidden="1">"#"</definedName>
    <definedName name="FDC_62_237" hidden="1">"#"</definedName>
    <definedName name="FDC_62_238" hidden="1">"#"</definedName>
    <definedName name="FDC_62_239" hidden="1">"#"</definedName>
    <definedName name="FDC_62_24" hidden="1">"#"</definedName>
    <definedName name="FDC_62_240" hidden="1">"#"</definedName>
    <definedName name="FDC_62_241" hidden="1">"#"</definedName>
    <definedName name="FDC_62_242" hidden="1">"#"</definedName>
    <definedName name="FDC_62_243" hidden="1">"#"</definedName>
    <definedName name="FDC_62_244" hidden="1">"#"</definedName>
    <definedName name="FDC_62_245" hidden="1">"#"</definedName>
    <definedName name="FDC_62_246" hidden="1">"#"</definedName>
    <definedName name="FDC_62_247" hidden="1">"#"</definedName>
    <definedName name="FDC_62_248" hidden="1">"#"</definedName>
    <definedName name="FDC_62_249" hidden="1">"#"</definedName>
    <definedName name="FDC_62_25" hidden="1">"#"</definedName>
    <definedName name="FDC_62_250" hidden="1">"#"</definedName>
    <definedName name="FDC_62_251" hidden="1">"#"</definedName>
    <definedName name="FDC_62_252" hidden="1">"#"</definedName>
    <definedName name="FDC_62_253" hidden="1">"#"</definedName>
    <definedName name="FDC_62_254" hidden="1">"#"</definedName>
    <definedName name="FDC_62_255" hidden="1">"#"</definedName>
    <definedName name="FDC_62_256" hidden="1">"#"</definedName>
    <definedName name="FDC_62_257" hidden="1">"#"</definedName>
    <definedName name="FDC_62_258" hidden="1">"#"</definedName>
    <definedName name="FDC_62_259" hidden="1">"#"</definedName>
    <definedName name="FDC_62_26" hidden="1">"#"</definedName>
    <definedName name="FDC_62_260" hidden="1">"#"</definedName>
    <definedName name="FDC_62_261" hidden="1">"#"</definedName>
    <definedName name="FDC_62_27" hidden="1">"#"</definedName>
    <definedName name="FDC_62_28" hidden="1">"#"</definedName>
    <definedName name="FDC_62_29" hidden="1">"#"</definedName>
    <definedName name="FDC_62_3" hidden="1">"#"</definedName>
    <definedName name="FDC_62_30" hidden="1">"#"</definedName>
    <definedName name="FDC_62_31" hidden="1">"#"</definedName>
    <definedName name="FDC_62_32" hidden="1">"#"</definedName>
    <definedName name="FDC_62_33" hidden="1">"#"</definedName>
    <definedName name="FDC_62_34" hidden="1">"#"</definedName>
    <definedName name="FDC_62_35" hidden="1">"#"</definedName>
    <definedName name="FDC_62_36" hidden="1">"#"</definedName>
    <definedName name="FDC_62_37" hidden="1">"#"</definedName>
    <definedName name="FDC_62_38" hidden="1">"#"</definedName>
    <definedName name="FDC_62_39" hidden="1">"#"</definedName>
    <definedName name="FDC_62_4" hidden="1">"#"</definedName>
    <definedName name="FDC_62_40" hidden="1">"#"</definedName>
    <definedName name="FDC_62_41" hidden="1">"#"</definedName>
    <definedName name="FDC_62_42" hidden="1">"#"</definedName>
    <definedName name="FDC_62_43" hidden="1">"#"</definedName>
    <definedName name="FDC_62_44" hidden="1">"#"</definedName>
    <definedName name="FDC_62_45" hidden="1">"#"</definedName>
    <definedName name="FDC_62_46" hidden="1">"#"</definedName>
    <definedName name="FDC_62_47" hidden="1">"#"</definedName>
    <definedName name="FDC_62_48" hidden="1">"#"</definedName>
    <definedName name="FDC_62_49" hidden="1">"#"</definedName>
    <definedName name="FDC_62_5" hidden="1">"#"</definedName>
    <definedName name="FDC_62_50" hidden="1">"#"</definedName>
    <definedName name="FDC_62_51" hidden="1">"#"</definedName>
    <definedName name="FDC_62_52" hidden="1">"#"</definedName>
    <definedName name="FDC_62_53" hidden="1">"#"</definedName>
    <definedName name="FDC_62_54" hidden="1">"#"</definedName>
    <definedName name="FDC_62_55" hidden="1">"#"</definedName>
    <definedName name="FDC_62_56" hidden="1">"#"</definedName>
    <definedName name="FDC_62_57" hidden="1">"#"</definedName>
    <definedName name="FDC_62_58" hidden="1">"#"</definedName>
    <definedName name="FDC_62_59" hidden="1">"#"</definedName>
    <definedName name="FDC_62_6" hidden="1">"#"</definedName>
    <definedName name="FDC_62_60" hidden="1">"#"</definedName>
    <definedName name="FDC_62_61" hidden="1">"#"</definedName>
    <definedName name="FDC_62_62" hidden="1">"#"</definedName>
    <definedName name="FDC_62_63" hidden="1">"#"</definedName>
    <definedName name="FDC_62_64" hidden="1">"#"</definedName>
    <definedName name="FDC_62_65" hidden="1">"#"</definedName>
    <definedName name="FDC_62_66" hidden="1">"#"</definedName>
    <definedName name="FDC_62_67" hidden="1">"#"</definedName>
    <definedName name="FDC_62_68" hidden="1">"#"</definedName>
    <definedName name="FDC_62_69" hidden="1">"#"</definedName>
    <definedName name="FDC_62_7" hidden="1">"#"</definedName>
    <definedName name="FDC_62_70" hidden="1">"#"</definedName>
    <definedName name="FDC_62_71" hidden="1">"#"</definedName>
    <definedName name="FDC_62_72" hidden="1">"#"</definedName>
    <definedName name="FDC_62_73" hidden="1">"#"</definedName>
    <definedName name="FDC_62_74" hidden="1">"#"</definedName>
    <definedName name="FDC_62_75" hidden="1">"#"</definedName>
    <definedName name="FDC_62_76" hidden="1">"#"</definedName>
    <definedName name="FDC_62_77" hidden="1">"#"</definedName>
    <definedName name="FDC_62_78" hidden="1">"#"</definedName>
    <definedName name="FDC_62_79" hidden="1">"#"</definedName>
    <definedName name="FDC_62_8" hidden="1">"#"</definedName>
    <definedName name="FDC_62_80" hidden="1">"#"</definedName>
    <definedName name="FDC_62_81" hidden="1">"#"</definedName>
    <definedName name="FDC_62_82" hidden="1">"#"</definedName>
    <definedName name="FDC_62_83" hidden="1">"#"</definedName>
    <definedName name="FDC_62_84" hidden="1">"#"</definedName>
    <definedName name="FDC_62_85" hidden="1">"#"</definedName>
    <definedName name="FDC_62_86" hidden="1">"#"</definedName>
    <definedName name="FDC_62_87" hidden="1">"#"</definedName>
    <definedName name="FDC_62_88" hidden="1">"#"</definedName>
    <definedName name="FDC_62_89" hidden="1">"#"</definedName>
    <definedName name="FDC_62_9" hidden="1">"#"</definedName>
    <definedName name="FDC_62_90" hidden="1">"#"</definedName>
    <definedName name="FDC_62_91" hidden="1">"#"</definedName>
    <definedName name="FDC_62_92" hidden="1">"#"</definedName>
    <definedName name="FDC_62_93" hidden="1">"#"</definedName>
    <definedName name="FDC_62_94" hidden="1">"#"</definedName>
    <definedName name="FDC_62_95" hidden="1">"#"</definedName>
    <definedName name="FDC_62_96" hidden="1">"#"</definedName>
    <definedName name="FDC_62_97" hidden="1">"#"</definedName>
    <definedName name="FDC_62_98" hidden="1">"#"</definedName>
    <definedName name="FDC_62_99" hidden="1">"#"</definedName>
    <definedName name="FDC_63_0" hidden="1">"#"</definedName>
    <definedName name="FDC_63_1" hidden="1">"#"</definedName>
    <definedName name="FDC_63_10" hidden="1">"#"</definedName>
    <definedName name="FDC_63_100" hidden="1">"#"</definedName>
    <definedName name="FDC_63_101" hidden="1">"#"</definedName>
    <definedName name="FDC_63_102" hidden="1">"#"</definedName>
    <definedName name="FDC_63_103" hidden="1">"#"</definedName>
    <definedName name="FDC_63_104" hidden="1">"#"</definedName>
    <definedName name="FDC_63_105" hidden="1">"#"</definedName>
    <definedName name="FDC_63_106" hidden="1">"#"</definedName>
    <definedName name="FDC_63_107" hidden="1">"#"</definedName>
    <definedName name="FDC_63_108" hidden="1">"#"</definedName>
    <definedName name="FDC_63_109" hidden="1">"#"</definedName>
    <definedName name="FDC_63_11" hidden="1">"#"</definedName>
    <definedName name="FDC_63_110" hidden="1">"#"</definedName>
    <definedName name="FDC_63_111" hidden="1">"#"</definedName>
    <definedName name="FDC_63_112" hidden="1">"#"</definedName>
    <definedName name="FDC_63_113" hidden="1">"#"</definedName>
    <definedName name="FDC_63_114" hidden="1">"#"</definedName>
    <definedName name="FDC_63_115" hidden="1">"#"</definedName>
    <definedName name="FDC_63_116" hidden="1">"#"</definedName>
    <definedName name="FDC_63_117" hidden="1">"#"</definedName>
    <definedName name="FDC_63_118" hidden="1">"#"</definedName>
    <definedName name="FDC_63_119" hidden="1">"#"</definedName>
    <definedName name="FDC_63_12" hidden="1">"#"</definedName>
    <definedName name="FDC_63_120" hidden="1">"#"</definedName>
    <definedName name="FDC_63_121" hidden="1">"#"</definedName>
    <definedName name="FDC_63_122" hidden="1">"#"</definedName>
    <definedName name="FDC_63_123" hidden="1">"#"</definedName>
    <definedName name="FDC_63_124" hidden="1">"#"</definedName>
    <definedName name="FDC_63_125" hidden="1">"#"</definedName>
    <definedName name="FDC_63_126" hidden="1">"#"</definedName>
    <definedName name="FDC_63_127" hidden="1">"#"</definedName>
    <definedName name="FDC_63_128" hidden="1">"#"</definedName>
    <definedName name="FDC_63_129" hidden="1">"#"</definedName>
    <definedName name="FDC_63_13" hidden="1">"#"</definedName>
    <definedName name="FDC_63_130" hidden="1">"#"</definedName>
    <definedName name="FDC_63_131" hidden="1">"#"</definedName>
    <definedName name="FDC_63_132" hidden="1">"#"</definedName>
    <definedName name="FDC_63_133" hidden="1">"#"</definedName>
    <definedName name="FDC_63_134" hidden="1">"#"</definedName>
    <definedName name="FDC_63_135" hidden="1">"#"</definedName>
    <definedName name="FDC_63_136" hidden="1">"#"</definedName>
    <definedName name="FDC_63_137" hidden="1">"#"</definedName>
    <definedName name="FDC_63_138" hidden="1">"#"</definedName>
    <definedName name="FDC_63_139" hidden="1">"#"</definedName>
    <definedName name="FDC_63_14" hidden="1">"#"</definedName>
    <definedName name="FDC_63_140" hidden="1">"#"</definedName>
    <definedName name="FDC_63_141" hidden="1">"#"</definedName>
    <definedName name="FDC_63_142" hidden="1">"#"</definedName>
    <definedName name="FDC_63_143" hidden="1">"#"</definedName>
    <definedName name="FDC_63_144" hidden="1">"#"</definedName>
    <definedName name="FDC_63_145" hidden="1">"#"</definedName>
    <definedName name="FDC_63_146" hidden="1">"#"</definedName>
    <definedName name="FDC_63_147" hidden="1">"#"</definedName>
    <definedName name="FDC_63_148" hidden="1">"#"</definedName>
    <definedName name="FDC_63_149" hidden="1">"#"</definedName>
    <definedName name="FDC_63_15" hidden="1">"#"</definedName>
    <definedName name="FDC_63_150" hidden="1">"#"</definedName>
    <definedName name="FDC_63_151" hidden="1">"#"</definedName>
    <definedName name="FDC_63_152" hidden="1">"#"</definedName>
    <definedName name="FDC_63_153" hidden="1">"#"</definedName>
    <definedName name="FDC_63_154" hidden="1">"#"</definedName>
    <definedName name="FDC_63_155" hidden="1">"#"</definedName>
    <definedName name="FDC_63_156" hidden="1">"#"</definedName>
    <definedName name="FDC_63_157" hidden="1">"#"</definedName>
    <definedName name="FDC_63_158" hidden="1">"#"</definedName>
    <definedName name="FDC_63_159" hidden="1">"#"</definedName>
    <definedName name="FDC_63_16" hidden="1">"#"</definedName>
    <definedName name="FDC_63_160" hidden="1">"#"</definedName>
    <definedName name="FDC_63_161" hidden="1">"#"</definedName>
    <definedName name="FDC_63_162" hidden="1">"#"</definedName>
    <definedName name="FDC_63_163" hidden="1">"#"</definedName>
    <definedName name="FDC_63_164" hidden="1">"#"</definedName>
    <definedName name="FDC_63_165" hidden="1">"#"</definedName>
    <definedName name="FDC_63_166" hidden="1">"#"</definedName>
    <definedName name="FDC_63_167" hidden="1">"#"</definedName>
    <definedName name="FDC_63_168" hidden="1">"#"</definedName>
    <definedName name="FDC_63_169" hidden="1">"#"</definedName>
    <definedName name="FDC_63_17" hidden="1">"#"</definedName>
    <definedName name="FDC_63_170" hidden="1">"#"</definedName>
    <definedName name="FDC_63_171" hidden="1">"#"</definedName>
    <definedName name="FDC_63_172" hidden="1">"#"</definedName>
    <definedName name="FDC_63_173" hidden="1">"#"</definedName>
    <definedName name="FDC_63_174" hidden="1">"#"</definedName>
    <definedName name="FDC_63_175" hidden="1">"#"</definedName>
    <definedName name="FDC_63_176" hidden="1">"#"</definedName>
    <definedName name="FDC_63_177" hidden="1">"#"</definedName>
    <definedName name="FDC_63_178" hidden="1">"#"</definedName>
    <definedName name="FDC_63_179" hidden="1">"#"</definedName>
    <definedName name="FDC_63_18" hidden="1">"#"</definedName>
    <definedName name="FDC_63_180" hidden="1">"#"</definedName>
    <definedName name="FDC_63_181" hidden="1">"#"</definedName>
    <definedName name="FDC_63_182" hidden="1">"#"</definedName>
    <definedName name="FDC_63_183" hidden="1">"#"</definedName>
    <definedName name="FDC_63_184" hidden="1">"#"</definedName>
    <definedName name="FDC_63_185" hidden="1">"#"</definedName>
    <definedName name="FDC_63_186" hidden="1">"#"</definedName>
    <definedName name="FDC_63_187" hidden="1">"#"</definedName>
    <definedName name="FDC_63_188" hidden="1">"#"</definedName>
    <definedName name="FDC_63_189" hidden="1">"#"</definedName>
    <definedName name="FDC_63_19" hidden="1">"#"</definedName>
    <definedName name="FDC_63_190" hidden="1">"#"</definedName>
    <definedName name="FDC_63_191" hidden="1">"#"</definedName>
    <definedName name="FDC_63_192" hidden="1">"#"</definedName>
    <definedName name="FDC_63_193" hidden="1">"#"</definedName>
    <definedName name="FDC_63_194" hidden="1">"#"</definedName>
    <definedName name="FDC_63_195" hidden="1">"#"</definedName>
    <definedName name="FDC_63_196" hidden="1">"#"</definedName>
    <definedName name="FDC_63_197" hidden="1">"#"</definedName>
    <definedName name="FDC_63_198" hidden="1">"#"</definedName>
    <definedName name="FDC_63_199" hidden="1">"#"</definedName>
    <definedName name="FDC_63_2" hidden="1">"#"</definedName>
    <definedName name="FDC_63_20" hidden="1">"#"</definedName>
    <definedName name="FDC_63_200" hidden="1">"#"</definedName>
    <definedName name="FDC_63_201" hidden="1">"#"</definedName>
    <definedName name="FDC_63_202" hidden="1">"#"</definedName>
    <definedName name="FDC_63_203" hidden="1">"#"</definedName>
    <definedName name="FDC_63_204" hidden="1">"#"</definedName>
    <definedName name="FDC_63_205" hidden="1">"#"</definedName>
    <definedName name="FDC_63_206" hidden="1">"#"</definedName>
    <definedName name="FDC_63_207" hidden="1">"#"</definedName>
    <definedName name="FDC_63_208" hidden="1">"#"</definedName>
    <definedName name="FDC_63_209" hidden="1">"#"</definedName>
    <definedName name="FDC_63_21" hidden="1">"#"</definedName>
    <definedName name="FDC_63_210" hidden="1">"#"</definedName>
    <definedName name="FDC_63_211" hidden="1">"#"</definedName>
    <definedName name="FDC_63_212" hidden="1">"#"</definedName>
    <definedName name="FDC_63_213" hidden="1">"#"</definedName>
    <definedName name="FDC_63_214" hidden="1">"#"</definedName>
    <definedName name="FDC_63_215" hidden="1">"#"</definedName>
    <definedName name="FDC_63_216" hidden="1">"#"</definedName>
    <definedName name="FDC_63_217" hidden="1">"#"</definedName>
    <definedName name="FDC_63_218" hidden="1">"#"</definedName>
    <definedName name="FDC_63_219" hidden="1">"#"</definedName>
    <definedName name="FDC_63_22" hidden="1">"#"</definedName>
    <definedName name="FDC_63_220" hidden="1">"#"</definedName>
    <definedName name="FDC_63_221" hidden="1">"#"</definedName>
    <definedName name="FDC_63_222" hidden="1">"#"</definedName>
    <definedName name="FDC_63_223" hidden="1">"#"</definedName>
    <definedName name="FDC_63_224" hidden="1">"#"</definedName>
    <definedName name="FDC_63_225" hidden="1">"#"</definedName>
    <definedName name="FDC_63_226" hidden="1">"#"</definedName>
    <definedName name="FDC_63_227" hidden="1">"#"</definedName>
    <definedName name="FDC_63_228" hidden="1">"#"</definedName>
    <definedName name="FDC_63_229" hidden="1">"#"</definedName>
    <definedName name="FDC_63_23" hidden="1">"#"</definedName>
    <definedName name="FDC_63_230" hidden="1">"#"</definedName>
    <definedName name="FDC_63_231" hidden="1">"#"</definedName>
    <definedName name="FDC_63_232" hidden="1">"#"</definedName>
    <definedName name="FDC_63_233" hidden="1">"#"</definedName>
    <definedName name="FDC_63_234" hidden="1">"#"</definedName>
    <definedName name="FDC_63_235" hidden="1">"#"</definedName>
    <definedName name="FDC_63_236" hidden="1">"#"</definedName>
    <definedName name="FDC_63_237" hidden="1">"#"</definedName>
    <definedName name="FDC_63_238" hidden="1">"#"</definedName>
    <definedName name="FDC_63_239" hidden="1">"#"</definedName>
    <definedName name="FDC_63_24" hidden="1">"#"</definedName>
    <definedName name="FDC_63_240" hidden="1">"#"</definedName>
    <definedName name="FDC_63_241" hidden="1">"#"</definedName>
    <definedName name="FDC_63_242" hidden="1">"#"</definedName>
    <definedName name="FDC_63_243" hidden="1">"#"</definedName>
    <definedName name="FDC_63_244" hidden="1">"#"</definedName>
    <definedName name="FDC_63_245" hidden="1">"#"</definedName>
    <definedName name="FDC_63_246" hidden="1">"#"</definedName>
    <definedName name="FDC_63_247" hidden="1">"#"</definedName>
    <definedName name="FDC_63_248" hidden="1">"#"</definedName>
    <definedName name="FDC_63_249" hidden="1">"#"</definedName>
    <definedName name="FDC_63_25" hidden="1">"#"</definedName>
    <definedName name="FDC_63_250" hidden="1">"#"</definedName>
    <definedName name="FDC_63_251" hidden="1">"#"</definedName>
    <definedName name="FDC_63_252" hidden="1">"#"</definedName>
    <definedName name="FDC_63_253" hidden="1">"#"</definedName>
    <definedName name="FDC_63_254" hidden="1">"#"</definedName>
    <definedName name="FDC_63_255" hidden="1">"#"</definedName>
    <definedName name="FDC_63_256" hidden="1">"#"</definedName>
    <definedName name="FDC_63_257" hidden="1">"#"</definedName>
    <definedName name="FDC_63_258" hidden="1">"#"</definedName>
    <definedName name="FDC_63_259" hidden="1">"#"</definedName>
    <definedName name="FDC_63_26" hidden="1">"#"</definedName>
    <definedName name="FDC_63_260" hidden="1">"#"</definedName>
    <definedName name="FDC_63_261" hidden="1">"#"</definedName>
    <definedName name="FDC_63_27" hidden="1">"#"</definedName>
    <definedName name="FDC_63_28" hidden="1">"#"</definedName>
    <definedName name="FDC_63_29" hidden="1">"#"</definedName>
    <definedName name="FDC_63_3" hidden="1">"#"</definedName>
    <definedName name="FDC_63_30" hidden="1">"#"</definedName>
    <definedName name="FDC_63_31" hidden="1">"#"</definedName>
    <definedName name="FDC_63_32" hidden="1">"#"</definedName>
    <definedName name="FDC_63_33" hidden="1">"#"</definedName>
    <definedName name="FDC_63_34" hidden="1">"#"</definedName>
    <definedName name="FDC_63_35" hidden="1">"#"</definedName>
    <definedName name="FDC_63_36" hidden="1">"#"</definedName>
    <definedName name="FDC_63_37" hidden="1">"#"</definedName>
    <definedName name="FDC_63_38" hidden="1">"#"</definedName>
    <definedName name="FDC_63_39" hidden="1">"#"</definedName>
    <definedName name="FDC_63_4" hidden="1">"#"</definedName>
    <definedName name="FDC_63_40" hidden="1">"#"</definedName>
    <definedName name="FDC_63_41" hidden="1">"#"</definedName>
    <definedName name="FDC_63_42" hidden="1">"#"</definedName>
    <definedName name="FDC_63_43" hidden="1">"#"</definedName>
    <definedName name="FDC_63_44" hidden="1">"#"</definedName>
    <definedName name="FDC_63_45" hidden="1">"#"</definedName>
    <definedName name="FDC_63_46" hidden="1">"#"</definedName>
    <definedName name="FDC_63_47" hidden="1">"#"</definedName>
    <definedName name="FDC_63_48" hidden="1">"#"</definedName>
    <definedName name="FDC_63_49" hidden="1">"#"</definedName>
    <definedName name="FDC_63_5" hidden="1">"#"</definedName>
    <definedName name="FDC_63_50" hidden="1">"#"</definedName>
    <definedName name="FDC_63_51" hidden="1">"#"</definedName>
    <definedName name="FDC_63_52" hidden="1">"#"</definedName>
    <definedName name="FDC_63_53" hidden="1">"#"</definedName>
    <definedName name="FDC_63_54" hidden="1">"#"</definedName>
    <definedName name="FDC_63_55" hidden="1">"#"</definedName>
    <definedName name="FDC_63_56" hidden="1">"#"</definedName>
    <definedName name="FDC_63_57" hidden="1">"#"</definedName>
    <definedName name="FDC_63_58" hidden="1">"#"</definedName>
    <definedName name="FDC_63_59" hidden="1">"#"</definedName>
    <definedName name="FDC_63_6" hidden="1">"#"</definedName>
    <definedName name="FDC_63_60" hidden="1">"#"</definedName>
    <definedName name="FDC_63_61" hidden="1">"#"</definedName>
    <definedName name="FDC_63_62" hidden="1">"#"</definedName>
    <definedName name="FDC_63_63" hidden="1">"#"</definedName>
    <definedName name="FDC_63_64" hidden="1">"#"</definedName>
    <definedName name="FDC_63_65" hidden="1">"#"</definedName>
    <definedName name="FDC_63_66" hidden="1">"#"</definedName>
    <definedName name="FDC_63_67" hidden="1">"#"</definedName>
    <definedName name="FDC_63_68" hidden="1">"#"</definedName>
    <definedName name="FDC_63_69" hidden="1">"#"</definedName>
    <definedName name="FDC_63_7" hidden="1">"#"</definedName>
    <definedName name="FDC_63_70" hidden="1">"#"</definedName>
    <definedName name="FDC_63_71" hidden="1">"#"</definedName>
    <definedName name="FDC_63_72" hidden="1">"#"</definedName>
    <definedName name="FDC_63_73" hidden="1">"#"</definedName>
    <definedName name="FDC_63_74" hidden="1">"#"</definedName>
    <definedName name="FDC_63_75" hidden="1">"#"</definedName>
    <definedName name="FDC_63_76" hidden="1">"#"</definedName>
    <definedName name="FDC_63_77" hidden="1">"#"</definedName>
    <definedName name="FDC_63_78" hidden="1">"#"</definedName>
    <definedName name="FDC_63_79" hidden="1">"#"</definedName>
    <definedName name="FDC_63_8" hidden="1">"#"</definedName>
    <definedName name="FDC_63_80" hidden="1">"#"</definedName>
    <definedName name="FDC_63_81" hidden="1">"#"</definedName>
    <definedName name="FDC_63_82" hidden="1">"#"</definedName>
    <definedName name="FDC_63_83" hidden="1">"#"</definedName>
    <definedName name="FDC_63_84" hidden="1">"#"</definedName>
    <definedName name="FDC_63_85" hidden="1">"#"</definedName>
    <definedName name="FDC_63_86" hidden="1">"#"</definedName>
    <definedName name="FDC_63_87" hidden="1">"#"</definedName>
    <definedName name="FDC_63_88" hidden="1">"#"</definedName>
    <definedName name="FDC_63_89" hidden="1">"#"</definedName>
    <definedName name="FDC_63_9" hidden="1">"#"</definedName>
    <definedName name="FDC_63_90" hidden="1">"#"</definedName>
    <definedName name="FDC_63_91" hidden="1">"#"</definedName>
    <definedName name="FDC_63_92" hidden="1">"#"</definedName>
    <definedName name="FDC_63_93" hidden="1">"#"</definedName>
    <definedName name="FDC_63_94" hidden="1">"#"</definedName>
    <definedName name="FDC_63_95" hidden="1">"#"</definedName>
    <definedName name="FDC_63_96" hidden="1">"#"</definedName>
    <definedName name="FDC_63_97" hidden="1">"#"</definedName>
    <definedName name="FDC_63_98" hidden="1">"#"</definedName>
    <definedName name="FDC_63_99" hidden="1">"#"</definedName>
    <definedName name="FDC_64_0" hidden="1">"#"</definedName>
    <definedName name="FDC_64_1" hidden="1">"#"</definedName>
    <definedName name="FDC_64_10" hidden="1">"#"</definedName>
    <definedName name="FDC_64_100" hidden="1">"#"</definedName>
    <definedName name="FDC_64_101" hidden="1">"#"</definedName>
    <definedName name="FDC_64_102" hidden="1">"#"</definedName>
    <definedName name="FDC_64_103" hidden="1">"#"</definedName>
    <definedName name="FDC_64_104" hidden="1">"#"</definedName>
    <definedName name="FDC_64_105" hidden="1">"#"</definedName>
    <definedName name="FDC_64_106" hidden="1">"#"</definedName>
    <definedName name="FDC_64_107" hidden="1">"#"</definedName>
    <definedName name="FDC_64_108" hidden="1">"#"</definedName>
    <definedName name="FDC_64_109" hidden="1">"#"</definedName>
    <definedName name="FDC_64_11" hidden="1">"#"</definedName>
    <definedName name="FDC_64_110" hidden="1">"#"</definedName>
    <definedName name="FDC_64_111" hidden="1">"#"</definedName>
    <definedName name="FDC_64_112" hidden="1">"#"</definedName>
    <definedName name="FDC_64_113" hidden="1">"#"</definedName>
    <definedName name="FDC_64_114" hidden="1">"#"</definedName>
    <definedName name="FDC_64_115" hidden="1">"#"</definedName>
    <definedName name="FDC_64_116" hidden="1">"#"</definedName>
    <definedName name="FDC_64_117" hidden="1">"#"</definedName>
    <definedName name="FDC_64_118" hidden="1">"#"</definedName>
    <definedName name="FDC_64_119" hidden="1">"#"</definedName>
    <definedName name="FDC_64_12" hidden="1">"#"</definedName>
    <definedName name="FDC_64_120" hidden="1">"#"</definedName>
    <definedName name="FDC_64_121" hidden="1">"#"</definedName>
    <definedName name="FDC_64_122" hidden="1">"#"</definedName>
    <definedName name="FDC_64_123" hidden="1">"#"</definedName>
    <definedName name="FDC_64_124" hidden="1">"#"</definedName>
    <definedName name="FDC_64_125" hidden="1">"#"</definedName>
    <definedName name="FDC_64_126" hidden="1">"#"</definedName>
    <definedName name="FDC_64_127" hidden="1">"#"</definedName>
    <definedName name="FDC_64_128" hidden="1">"#"</definedName>
    <definedName name="FDC_64_129" hidden="1">"#"</definedName>
    <definedName name="FDC_64_13" hidden="1">"#"</definedName>
    <definedName name="FDC_64_130" hidden="1">"#"</definedName>
    <definedName name="FDC_64_131" hidden="1">"#"</definedName>
    <definedName name="FDC_64_132" hidden="1">"#"</definedName>
    <definedName name="FDC_64_133" hidden="1">"#"</definedName>
    <definedName name="FDC_64_134" hidden="1">"#"</definedName>
    <definedName name="FDC_64_135" hidden="1">"#"</definedName>
    <definedName name="FDC_64_136" hidden="1">"#"</definedName>
    <definedName name="FDC_64_137" hidden="1">"#"</definedName>
    <definedName name="FDC_64_138" hidden="1">"#"</definedName>
    <definedName name="FDC_64_139" hidden="1">"#"</definedName>
    <definedName name="FDC_64_14" hidden="1">"#"</definedName>
    <definedName name="FDC_64_140" hidden="1">"#"</definedName>
    <definedName name="FDC_64_141" hidden="1">"#"</definedName>
    <definedName name="FDC_64_142" hidden="1">"#"</definedName>
    <definedName name="FDC_64_143" hidden="1">"#"</definedName>
    <definedName name="FDC_64_144" hidden="1">"#"</definedName>
    <definedName name="FDC_64_145" hidden="1">"#"</definedName>
    <definedName name="FDC_64_146" hidden="1">"#"</definedName>
    <definedName name="FDC_64_147" hidden="1">"#"</definedName>
    <definedName name="FDC_64_148" hidden="1">"#"</definedName>
    <definedName name="FDC_64_149" hidden="1">"#"</definedName>
    <definedName name="FDC_64_15" hidden="1">"#"</definedName>
    <definedName name="FDC_64_150" hidden="1">"#"</definedName>
    <definedName name="FDC_64_151" hidden="1">"#"</definedName>
    <definedName name="FDC_64_152" hidden="1">"#"</definedName>
    <definedName name="FDC_64_153" hidden="1">"#"</definedName>
    <definedName name="FDC_64_154" hidden="1">"#"</definedName>
    <definedName name="FDC_64_155" hidden="1">"#"</definedName>
    <definedName name="FDC_64_156" hidden="1">"#"</definedName>
    <definedName name="FDC_64_157" hidden="1">"#"</definedName>
    <definedName name="FDC_64_158" hidden="1">"#"</definedName>
    <definedName name="FDC_64_159" hidden="1">"#"</definedName>
    <definedName name="FDC_64_16" hidden="1">"#"</definedName>
    <definedName name="FDC_64_160" hidden="1">"#"</definedName>
    <definedName name="FDC_64_161" hidden="1">"#"</definedName>
    <definedName name="FDC_64_162" hidden="1">"#"</definedName>
    <definedName name="FDC_64_163" hidden="1">"#"</definedName>
    <definedName name="FDC_64_164" hidden="1">"#"</definedName>
    <definedName name="FDC_64_165" hidden="1">"#"</definedName>
    <definedName name="FDC_64_166" hidden="1">"#"</definedName>
    <definedName name="FDC_64_167" hidden="1">"#"</definedName>
    <definedName name="FDC_64_168" hidden="1">"#"</definedName>
    <definedName name="FDC_64_169" hidden="1">"#"</definedName>
    <definedName name="FDC_64_17" hidden="1">"#"</definedName>
    <definedName name="FDC_64_170" hidden="1">"#"</definedName>
    <definedName name="FDC_64_171" hidden="1">"#"</definedName>
    <definedName name="FDC_64_172" hidden="1">"#"</definedName>
    <definedName name="FDC_64_173" hidden="1">"#"</definedName>
    <definedName name="FDC_64_174" hidden="1">"#"</definedName>
    <definedName name="FDC_64_175" hidden="1">"#"</definedName>
    <definedName name="FDC_64_176" hidden="1">"#"</definedName>
    <definedName name="FDC_64_177" hidden="1">"#"</definedName>
    <definedName name="FDC_64_178" hidden="1">"#"</definedName>
    <definedName name="FDC_64_179" hidden="1">"#"</definedName>
    <definedName name="FDC_64_18" hidden="1">"#"</definedName>
    <definedName name="FDC_64_180" hidden="1">"#"</definedName>
    <definedName name="FDC_64_181" hidden="1">"#"</definedName>
    <definedName name="FDC_64_182" hidden="1">"#"</definedName>
    <definedName name="FDC_64_183" hidden="1">"#"</definedName>
    <definedName name="FDC_64_184" hidden="1">"#"</definedName>
    <definedName name="FDC_64_185" hidden="1">"#"</definedName>
    <definedName name="FDC_64_186" hidden="1">"#"</definedName>
    <definedName name="FDC_64_187" hidden="1">"#"</definedName>
    <definedName name="FDC_64_188" hidden="1">"#"</definedName>
    <definedName name="FDC_64_189" hidden="1">"#"</definedName>
    <definedName name="FDC_64_19" hidden="1">"#"</definedName>
    <definedName name="FDC_64_190" hidden="1">"#"</definedName>
    <definedName name="FDC_64_191" hidden="1">"#"</definedName>
    <definedName name="FDC_64_192" hidden="1">"#"</definedName>
    <definedName name="FDC_64_193" hidden="1">"#"</definedName>
    <definedName name="FDC_64_194" hidden="1">"#"</definedName>
    <definedName name="FDC_64_195" hidden="1">"#"</definedName>
    <definedName name="FDC_64_196" hidden="1">"#"</definedName>
    <definedName name="FDC_64_197" hidden="1">"#"</definedName>
    <definedName name="FDC_64_198" hidden="1">"#"</definedName>
    <definedName name="FDC_64_199" hidden="1">"#"</definedName>
    <definedName name="FDC_64_2" hidden="1">"#"</definedName>
    <definedName name="FDC_64_20" hidden="1">"#"</definedName>
    <definedName name="FDC_64_200" hidden="1">"#"</definedName>
    <definedName name="FDC_64_201" hidden="1">"#"</definedName>
    <definedName name="FDC_64_202" hidden="1">"#"</definedName>
    <definedName name="FDC_64_203" hidden="1">"#"</definedName>
    <definedName name="FDC_64_204" hidden="1">"#"</definedName>
    <definedName name="FDC_64_205" hidden="1">"#"</definedName>
    <definedName name="FDC_64_206" hidden="1">"#"</definedName>
    <definedName name="FDC_64_207" hidden="1">"#"</definedName>
    <definedName name="FDC_64_208" hidden="1">"#"</definedName>
    <definedName name="FDC_64_209" hidden="1">"#"</definedName>
    <definedName name="FDC_64_21" hidden="1">"#"</definedName>
    <definedName name="FDC_64_210" hidden="1">"#"</definedName>
    <definedName name="FDC_64_211" hidden="1">"#"</definedName>
    <definedName name="FDC_64_212" hidden="1">"#"</definedName>
    <definedName name="FDC_64_213" hidden="1">"#"</definedName>
    <definedName name="FDC_64_214" hidden="1">"#"</definedName>
    <definedName name="FDC_64_215" hidden="1">"#"</definedName>
    <definedName name="FDC_64_216" hidden="1">"#"</definedName>
    <definedName name="FDC_64_217" hidden="1">"#"</definedName>
    <definedName name="FDC_64_218" hidden="1">"#"</definedName>
    <definedName name="FDC_64_219" hidden="1">"#"</definedName>
    <definedName name="FDC_64_22" hidden="1">"#"</definedName>
    <definedName name="FDC_64_220" hidden="1">"#"</definedName>
    <definedName name="FDC_64_221" hidden="1">"#"</definedName>
    <definedName name="FDC_64_222" hidden="1">"#"</definedName>
    <definedName name="FDC_64_223" hidden="1">"#"</definedName>
    <definedName name="FDC_64_224" hidden="1">"#"</definedName>
    <definedName name="FDC_64_225" hidden="1">"#"</definedName>
    <definedName name="FDC_64_226" hidden="1">"#"</definedName>
    <definedName name="FDC_64_227" hidden="1">"#"</definedName>
    <definedName name="FDC_64_228" hidden="1">"#"</definedName>
    <definedName name="FDC_64_229" hidden="1">"#"</definedName>
    <definedName name="FDC_64_23" hidden="1">"#"</definedName>
    <definedName name="FDC_64_230" hidden="1">"#"</definedName>
    <definedName name="FDC_64_231" hidden="1">"#"</definedName>
    <definedName name="FDC_64_232" hidden="1">"#"</definedName>
    <definedName name="FDC_64_233" hidden="1">"#"</definedName>
    <definedName name="FDC_64_234" hidden="1">"#"</definedName>
    <definedName name="FDC_64_235" hidden="1">"#"</definedName>
    <definedName name="FDC_64_236" hidden="1">"#"</definedName>
    <definedName name="FDC_64_237" hidden="1">"#"</definedName>
    <definedName name="FDC_64_238" hidden="1">"#"</definedName>
    <definedName name="FDC_64_239" hidden="1">"#"</definedName>
    <definedName name="FDC_64_24" hidden="1">"#"</definedName>
    <definedName name="FDC_64_240" hidden="1">"#"</definedName>
    <definedName name="FDC_64_241" hidden="1">"#"</definedName>
    <definedName name="FDC_64_242" hidden="1">"#"</definedName>
    <definedName name="FDC_64_243" hidden="1">"#"</definedName>
    <definedName name="FDC_64_244" hidden="1">"#"</definedName>
    <definedName name="FDC_64_245" hidden="1">"#"</definedName>
    <definedName name="FDC_64_246" hidden="1">"#"</definedName>
    <definedName name="FDC_64_247" hidden="1">"#"</definedName>
    <definedName name="FDC_64_248" hidden="1">"#"</definedName>
    <definedName name="FDC_64_249" hidden="1">"#"</definedName>
    <definedName name="FDC_64_25" hidden="1">"#"</definedName>
    <definedName name="FDC_64_250" hidden="1">"#"</definedName>
    <definedName name="FDC_64_251" hidden="1">"#"</definedName>
    <definedName name="FDC_64_252" hidden="1">"#"</definedName>
    <definedName name="FDC_64_253" hidden="1">"#"</definedName>
    <definedName name="FDC_64_254" hidden="1">"#"</definedName>
    <definedName name="FDC_64_255" hidden="1">"#"</definedName>
    <definedName name="FDC_64_256" hidden="1">"#"</definedName>
    <definedName name="FDC_64_257" hidden="1">"#"</definedName>
    <definedName name="FDC_64_258" hidden="1">"#"</definedName>
    <definedName name="FDC_64_259" hidden="1">"#"</definedName>
    <definedName name="FDC_64_26" hidden="1">"#"</definedName>
    <definedName name="FDC_64_260" hidden="1">"#"</definedName>
    <definedName name="FDC_64_261" hidden="1">"#"</definedName>
    <definedName name="FDC_64_27" hidden="1">"#"</definedName>
    <definedName name="FDC_64_28" hidden="1">"#"</definedName>
    <definedName name="FDC_64_29" hidden="1">"#"</definedName>
    <definedName name="FDC_64_3" hidden="1">"#"</definedName>
    <definedName name="FDC_64_30" hidden="1">"#"</definedName>
    <definedName name="FDC_64_31" hidden="1">"#"</definedName>
    <definedName name="FDC_64_32" hidden="1">"#"</definedName>
    <definedName name="FDC_64_33" hidden="1">"#"</definedName>
    <definedName name="FDC_64_34" hidden="1">"#"</definedName>
    <definedName name="FDC_64_35" hidden="1">"#"</definedName>
    <definedName name="FDC_64_36" hidden="1">"#"</definedName>
    <definedName name="FDC_64_37" hidden="1">"#"</definedName>
    <definedName name="FDC_64_38" hidden="1">"#"</definedName>
    <definedName name="FDC_64_39" hidden="1">"#"</definedName>
    <definedName name="FDC_64_4" hidden="1">"#"</definedName>
    <definedName name="FDC_64_40" hidden="1">"#"</definedName>
    <definedName name="FDC_64_41" hidden="1">"#"</definedName>
    <definedName name="FDC_64_42" hidden="1">"#"</definedName>
    <definedName name="FDC_64_43" hidden="1">"#"</definedName>
    <definedName name="FDC_64_44" hidden="1">"#"</definedName>
    <definedName name="FDC_64_45" hidden="1">"#"</definedName>
    <definedName name="FDC_64_46" hidden="1">"#"</definedName>
    <definedName name="FDC_64_47" hidden="1">"#"</definedName>
    <definedName name="FDC_64_48" hidden="1">"#"</definedName>
    <definedName name="FDC_64_49" hidden="1">"#"</definedName>
    <definedName name="FDC_64_5" hidden="1">"#"</definedName>
    <definedName name="FDC_64_50" hidden="1">"#"</definedName>
    <definedName name="FDC_64_51" hidden="1">"#"</definedName>
    <definedName name="FDC_64_52" hidden="1">"#"</definedName>
    <definedName name="FDC_64_53" hidden="1">"#"</definedName>
    <definedName name="FDC_64_54" hidden="1">"#"</definedName>
    <definedName name="FDC_64_55" hidden="1">"#"</definedName>
    <definedName name="FDC_64_56" hidden="1">"#"</definedName>
    <definedName name="FDC_64_57" hidden="1">"#"</definedName>
    <definedName name="FDC_64_58" hidden="1">"#"</definedName>
    <definedName name="FDC_64_59" hidden="1">"#"</definedName>
    <definedName name="FDC_64_6" hidden="1">"#"</definedName>
    <definedName name="FDC_64_60" hidden="1">"#"</definedName>
    <definedName name="FDC_64_61" hidden="1">"#"</definedName>
    <definedName name="FDC_64_62" hidden="1">"#"</definedName>
    <definedName name="FDC_64_63" hidden="1">"#"</definedName>
    <definedName name="FDC_64_64" hidden="1">"#"</definedName>
    <definedName name="FDC_64_65" hidden="1">"#"</definedName>
    <definedName name="FDC_64_66" hidden="1">"#"</definedName>
    <definedName name="FDC_64_67" hidden="1">"#"</definedName>
    <definedName name="FDC_64_68" hidden="1">"#"</definedName>
    <definedName name="FDC_64_69" hidden="1">"#"</definedName>
    <definedName name="FDC_64_7" hidden="1">"#"</definedName>
    <definedName name="FDC_64_70" hidden="1">"#"</definedName>
    <definedName name="FDC_64_71" hidden="1">"#"</definedName>
    <definedName name="FDC_64_72" hidden="1">"#"</definedName>
    <definedName name="FDC_64_73" hidden="1">"#"</definedName>
    <definedName name="FDC_64_74" hidden="1">"#"</definedName>
    <definedName name="FDC_64_75" hidden="1">"#"</definedName>
    <definedName name="FDC_64_76" hidden="1">"#"</definedName>
    <definedName name="FDC_64_77" hidden="1">"#"</definedName>
    <definedName name="FDC_64_78" hidden="1">"#"</definedName>
    <definedName name="FDC_64_79" hidden="1">"#"</definedName>
    <definedName name="FDC_64_8" hidden="1">"#"</definedName>
    <definedName name="FDC_64_80" hidden="1">"#"</definedName>
    <definedName name="FDC_64_81" hidden="1">"#"</definedName>
    <definedName name="FDC_64_82" hidden="1">"#"</definedName>
    <definedName name="FDC_64_83" hidden="1">"#"</definedName>
    <definedName name="FDC_64_84" hidden="1">"#"</definedName>
    <definedName name="FDC_64_85" hidden="1">"#"</definedName>
    <definedName name="FDC_64_86" hidden="1">"#"</definedName>
    <definedName name="FDC_64_87" hidden="1">"#"</definedName>
    <definedName name="FDC_64_88" hidden="1">"#"</definedName>
    <definedName name="FDC_64_89" hidden="1">"#"</definedName>
    <definedName name="FDC_64_9" hidden="1">"#"</definedName>
    <definedName name="FDC_64_90" hidden="1">"#"</definedName>
    <definedName name="FDC_64_91" hidden="1">"#"</definedName>
    <definedName name="FDC_64_92" hidden="1">"#"</definedName>
    <definedName name="FDC_64_93" hidden="1">"#"</definedName>
    <definedName name="FDC_64_94" hidden="1">"#"</definedName>
    <definedName name="FDC_64_95" hidden="1">"#"</definedName>
    <definedName name="FDC_64_96" hidden="1">"#"</definedName>
    <definedName name="FDC_64_97" hidden="1">"#"</definedName>
    <definedName name="FDC_64_98" hidden="1">"#"</definedName>
    <definedName name="FDC_64_99" hidden="1">"#"</definedName>
    <definedName name="FDC_65_0" hidden="1">"#"</definedName>
    <definedName name="FDC_7_0" hidden="1">"#"</definedName>
    <definedName name="FDC_7_1" hidden="1">"#"</definedName>
    <definedName name="FDC_7_2" hidden="1">"#"</definedName>
    <definedName name="FDC_7_3" hidden="1">"#"</definedName>
    <definedName name="FDC_8_0" hidden="1">"#"</definedName>
    <definedName name="FDC_8_1" hidden="1">"#"</definedName>
    <definedName name="FDC_8_2" hidden="1">"#"</definedName>
    <definedName name="FDC_8_3" hidden="1">"#"</definedName>
    <definedName name="FDC_9_0" hidden="1">"#"</definedName>
    <definedName name="FDC_9_1" hidden="1">"#"</definedName>
    <definedName name="FDC_9_2" hidden="1">"#"</definedName>
    <definedName name="FDC_9_3" hidden="1">"#"</definedName>
    <definedName name="fdd" hidden="1">{"Bilanz grob",#N/A,TRUE,"Planbilanz";"Erfolgsrechnung grob",#N/A,TRUE,"Plan-ER";#N/A,#N/A,TRUE,"Geldfluss";"Bilanz fein",#N/A,TRUE,"Planbilanz";"Erfolgsrechnung fein",#N/A,TRUE,"Plan-ER";#N/A,#N/A,TRUE,"Absatzplan";#N/A,#N/A,TRUE,"Einkaufsplan";#N/A,#N/A,TRUE,"Investitionsplan";#N/A,#N/A,TRUE,"KK Aktionäre"}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_1" hidden="1">"A35795"</definedName>
    <definedName name="FDD_10_2" hidden="1">"A36160"</definedName>
    <definedName name="FDD_10_3" hidden="1">"E36525"</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_1" hidden="1">"E35795"</definedName>
    <definedName name="FDD_11_2" hidden="1">"E36160"</definedName>
    <definedName name="FDD_11_3" hidden="1">"E36525"</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_1" hidden="1">"E35795"</definedName>
    <definedName name="FDD_12_2" hidden="1">"E36160"</definedName>
    <definedName name="FDD_12_3" hidden="1">"E36525"</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_1" hidden="1">"A35795"</definedName>
    <definedName name="FDD_19_2" hidden="1">"E36160"</definedName>
    <definedName name="FDD_19_3" hidden="1">"E36525"</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_1" hidden="1">"U35795"</definedName>
    <definedName name="FDD_25_2" hidden="1">"U36160"</definedName>
    <definedName name="FDD_25_3" hidden="1">"U36525"</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1_1" hidden="1">"A35795"</definedName>
    <definedName name="FDD_41_2" hidden="1">"E36160"</definedName>
    <definedName name="FDD_41_3" hidden="1">"E36525"</definedName>
    <definedName name="FDD_42_0" hidden="1">"U25569"</definedName>
    <definedName name="FDD_42_1" hidden="1">"U35795"</definedName>
    <definedName name="FDD_42_2" hidden="1">"U36160"</definedName>
    <definedName name="FDD_42_3" hidden="1">"U36525"</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_1" hidden="1">"E35795"</definedName>
    <definedName name="FDD_5_2" hidden="1">"E36160"</definedName>
    <definedName name="FDD_5_3" hidden="1">"E36525"</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00" hidden="1">"A35044"</definedName>
    <definedName name="FDD_58_101" hidden="1">"A35051"</definedName>
    <definedName name="FDD_58_102" hidden="1">"A35058"</definedName>
    <definedName name="FDD_58_103" hidden="1">"A35065"</definedName>
    <definedName name="FDD_58_104" hidden="1">"A35072"</definedName>
    <definedName name="FDD_58_105" hidden="1">"A35079"</definedName>
    <definedName name="FDD_58_106" hidden="1">"A35086"</definedName>
    <definedName name="FDD_58_107" hidden="1">"A35093"</definedName>
    <definedName name="FDD_58_108" hidden="1">"A35100"</definedName>
    <definedName name="FDD_58_109" hidden="1">"A35107"</definedName>
    <definedName name="FDD_58_11" hidden="1">"A34699"</definedName>
    <definedName name="FDD_58_110" hidden="1">"A35114"</definedName>
    <definedName name="FDD_58_111" hidden="1">"A35121"</definedName>
    <definedName name="FDD_58_112" hidden="1">"A35128"</definedName>
    <definedName name="FDD_58_113" hidden="1">"A35135"</definedName>
    <definedName name="FDD_58_114" hidden="1">"A35142"</definedName>
    <definedName name="FDD_58_115" hidden="1">"A35149"</definedName>
    <definedName name="FDD_58_116" hidden="1">"A35156"</definedName>
    <definedName name="FDD_58_117" hidden="1">"A35162"</definedName>
    <definedName name="FDD_58_118" hidden="1">"A35170"</definedName>
    <definedName name="FDD_58_119" hidden="1">"A35177"</definedName>
    <definedName name="FDD_58_12" hidden="1">"A35064"</definedName>
    <definedName name="FDD_58_120" hidden="1">"A35184"</definedName>
    <definedName name="FDD_58_121" hidden="1">"A35191"</definedName>
    <definedName name="FDD_58_122" hidden="1">"A35198"</definedName>
    <definedName name="FDD_58_123" hidden="1">"A35205"</definedName>
    <definedName name="FDD_58_124" hidden="1">"A35212"</definedName>
    <definedName name="FDD_58_125" hidden="1">"A35219"</definedName>
    <definedName name="FDD_58_126" hidden="1">"A35226"</definedName>
    <definedName name="FDD_58_127" hidden="1">"A35233"</definedName>
    <definedName name="FDD_58_128" hidden="1">"A35240"</definedName>
    <definedName name="FDD_58_129" hidden="1">"A35247"</definedName>
    <definedName name="FDD_58_13" hidden="1">"A35430"</definedName>
    <definedName name="FDD_58_130" hidden="1">"A35254"</definedName>
    <definedName name="FDD_58_131" hidden="1">"A35261"</definedName>
    <definedName name="FDD_58_132" hidden="1">"A35268"</definedName>
    <definedName name="FDD_58_133" hidden="1">"A35275"</definedName>
    <definedName name="FDD_58_134" hidden="1">"A35282"</definedName>
    <definedName name="FDD_58_135" hidden="1">"A35289"</definedName>
    <definedName name="FDD_58_136" hidden="1">"A35296"</definedName>
    <definedName name="FDD_58_137" hidden="1">"A35303"</definedName>
    <definedName name="FDD_58_138" hidden="1">"A35310"</definedName>
    <definedName name="FDD_58_139" hidden="1">"A35317"</definedName>
    <definedName name="FDD_58_14" hidden="1">"A35795"</definedName>
    <definedName name="FDD_58_140" hidden="1">"A35324"</definedName>
    <definedName name="FDD_58_141" hidden="1">"A35331"</definedName>
    <definedName name="FDD_58_142" hidden="1">"A35338"</definedName>
    <definedName name="FDD_58_143" hidden="1">"A35345"</definedName>
    <definedName name="FDD_58_144" hidden="1">"A35352"</definedName>
    <definedName name="FDD_58_145" hidden="1">"A35359"</definedName>
    <definedName name="FDD_58_146" hidden="1">"A35366"</definedName>
    <definedName name="FDD_58_147" hidden="1">"A35373"</definedName>
    <definedName name="FDD_58_148" hidden="1">"A35380"</definedName>
    <definedName name="FDD_58_149" hidden="1">"A35387"</definedName>
    <definedName name="FDD_58_15" hidden="1">"A34449"</definedName>
    <definedName name="FDD_58_150" hidden="1">"A35394"</definedName>
    <definedName name="FDD_58_151" hidden="1">"A35401"</definedName>
    <definedName name="FDD_58_152" hidden="1">"A35408"</definedName>
    <definedName name="FDD_58_153" hidden="1">"A35415"</definedName>
    <definedName name="FDD_58_154" hidden="1">"A35422"</definedName>
    <definedName name="FDD_58_155" hidden="1">"A35429"</definedName>
    <definedName name="FDD_58_156" hidden="1">"A35436"</definedName>
    <definedName name="FDD_58_157" hidden="1">"A35443"</definedName>
    <definedName name="FDD_58_158" hidden="1">"A35450"</definedName>
    <definedName name="FDD_58_159" hidden="1">"A35457"</definedName>
    <definedName name="FDD_58_16" hidden="1">"A34456"</definedName>
    <definedName name="FDD_58_160" hidden="1">"A35464"</definedName>
    <definedName name="FDD_58_161" hidden="1">"A35471"</definedName>
    <definedName name="FDD_58_162" hidden="1">"A35478"</definedName>
    <definedName name="FDD_58_163" hidden="1">"A35485"</definedName>
    <definedName name="FDD_58_164" hidden="1">"A35492"</definedName>
    <definedName name="FDD_58_165" hidden="1">"A35499"</definedName>
    <definedName name="FDD_58_166" hidden="1">"A35506"</definedName>
    <definedName name="FDD_58_167" hidden="1">"A35513"</definedName>
    <definedName name="FDD_58_168" hidden="1">"A35520"</definedName>
    <definedName name="FDD_58_169" hidden="1">"A35527"</definedName>
    <definedName name="FDD_58_17" hidden="1">"A34463"</definedName>
    <definedName name="FDD_58_170" hidden="1">"A35534"</definedName>
    <definedName name="FDD_58_171" hidden="1">"A35541"</definedName>
    <definedName name="FDD_58_172" hidden="1">"A35548"</definedName>
    <definedName name="FDD_58_173" hidden="1">"A35555"</definedName>
    <definedName name="FDD_58_174" hidden="1">"A35562"</definedName>
    <definedName name="FDD_58_175" hidden="1">"A35569"</definedName>
    <definedName name="FDD_58_176" hidden="1">"A35576"</definedName>
    <definedName name="FDD_58_177" hidden="1">"A35583"</definedName>
    <definedName name="FDD_58_178" hidden="1">"A35590"</definedName>
    <definedName name="FDD_58_179" hidden="1">"A35597"</definedName>
    <definedName name="FDD_58_18" hidden="1">"A34470"</definedName>
    <definedName name="FDD_58_180" hidden="1">"A35604"</definedName>
    <definedName name="FDD_58_181" hidden="1">"A35611"</definedName>
    <definedName name="FDD_58_182" hidden="1">"A35618"</definedName>
    <definedName name="FDD_58_183" hidden="1">"A35625"</definedName>
    <definedName name="FDD_58_184" hidden="1">"A35632"</definedName>
    <definedName name="FDD_58_185" hidden="1">"A35639"</definedName>
    <definedName name="FDD_58_186" hidden="1">"A35646"</definedName>
    <definedName name="FDD_58_187" hidden="1">"A35653"</definedName>
    <definedName name="FDD_58_188" hidden="1">"A35660"</definedName>
    <definedName name="FDD_58_189" hidden="1">"A35667"</definedName>
    <definedName name="FDD_58_19" hidden="1">"A34477"</definedName>
    <definedName name="FDD_58_190" hidden="1">"A35674"</definedName>
    <definedName name="FDD_58_191" hidden="1">"A35681"</definedName>
    <definedName name="FDD_58_192" hidden="1">"A35688"</definedName>
    <definedName name="FDD_58_193" hidden="1">"A35695"</definedName>
    <definedName name="FDD_58_194" hidden="1">"A35702"</definedName>
    <definedName name="FDD_58_195" hidden="1">"A35709"</definedName>
    <definedName name="FDD_58_196" hidden="1">"A35716"</definedName>
    <definedName name="FDD_58_197" hidden="1">"A35723"</definedName>
    <definedName name="FDD_58_198" hidden="1">"A35730"</definedName>
    <definedName name="FDD_58_199" hidden="1">"A35737"</definedName>
    <definedName name="FDD_58_2" hidden="1">"A31412"</definedName>
    <definedName name="FDD_58_20" hidden="1">"A34484"</definedName>
    <definedName name="FDD_58_200" hidden="1">"A35744"</definedName>
    <definedName name="FDD_58_201" hidden="1">"A35751"</definedName>
    <definedName name="FDD_58_202" hidden="1">"A35758"</definedName>
    <definedName name="FDD_58_203" hidden="1">"A35765"</definedName>
    <definedName name="FDD_58_204" hidden="1">"A35772"</definedName>
    <definedName name="FDD_58_205" hidden="1">"A35779"</definedName>
    <definedName name="FDD_58_206" hidden="1">"A35786"</definedName>
    <definedName name="FDD_58_207" hidden="1">"A35793"</definedName>
    <definedName name="FDD_58_208" hidden="1">"A35800"</definedName>
    <definedName name="FDD_58_209" hidden="1">"A35807"</definedName>
    <definedName name="FDD_58_21" hidden="1">"A34491"</definedName>
    <definedName name="FDD_58_210" hidden="1">"A35814"</definedName>
    <definedName name="FDD_58_211" hidden="1">"A35821"</definedName>
    <definedName name="FDD_58_212" hidden="1">"A35828"</definedName>
    <definedName name="FDD_58_213" hidden="1">"A35835"</definedName>
    <definedName name="FDD_58_214" hidden="1">"A35842"</definedName>
    <definedName name="FDD_58_215" hidden="1">"A35849"</definedName>
    <definedName name="FDD_58_216" hidden="1">"A35856"</definedName>
    <definedName name="FDD_58_217" hidden="1">"A35863"</definedName>
    <definedName name="FDD_58_218" hidden="1">"A35870"</definedName>
    <definedName name="FDD_58_219" hidden="1">"A35877"</definedName>
    <definedName name="FDD_58_22" hidden="1">"A34498"</definedName>
    <definedName name="FDD_58_220" hidden="1">"A35884"</definedName>
    <definedName name="FDD_58_221" hidden="1">"A35891"</definedName>
    <definedName name="FDD_58_222" hidden="1">"A35898"</definedName>
    <definedName name="FDD_58_223" hidden="1">"A35905"</definedName>
    <definedName name="FDD_58_224" hidden="1">"A35912"</definedName>
    <definedName name="FDD_58_225" hidden="1">"A35919"</definedName>
    <definedName name="FDD_58_226" hidden="1">"A35926"</definedName>
    <definedName name="FDD_58_227" hidden="1">"A35933"</definedName>
    <definedName name="FDD_58_228" hidden="1">"A35940"</definedName>
    <definedName name="FDD_58_229" hidden="1">"A35947"</definedName>
    <definedName name="FDD_58_23" hidden="1">"A34505"</definedName>
    <definedName name="FDD_58_230" hidden="1">"A35954"</definedName>
    <definedName name="FDD_58_231" hidden="1">"A35961"</definedName>
    <definedName name="FDD_58_232" hidden="1">"A35968"</definedName>
    <definedName name="FDD_58_233" hidden="1">"A35975"</definedName>
    <definedName name="FDD_58_234" hidden="1">"A35982"</definedName>
    <definedName name="FDD_58_235" hidden="1">"A35989"</definedName>
    <definedName name="FDD_58_236" hidden="1">"A35996"</definedName>
    <definedName name="FDD_58_237" hidden="1">"A36003"</definedName>
    <definedName name="FDD_58_238" hidden="1">"A36010"</definedName>
    <definedName name="FDD_58_239" hidden="1">"A36017"</definedName>
    <definedName name="FDD_58_24" hidden="1">"A34512"</definedName>
    <definedName name="FDD_58_240" hidden="1">"A36024"</definedName>
    <definedName name="FDD_58_241" hidden="1">"A36031"</definedName>
    <definedName name="FDD_58_242" hidden="1">"A36038"</definedName>
    <definedName name="FDD_58_243" hidden="1">"A36045"</definedName>
    <definedName name="FDD_58_244" hidden="1">"A36052"</definedName>
    <definedName name="FDD_58_245" hidden="1">"A36059"</definedName>
    <definedName name="FDD_58_246" hidden="1">"A36066"</definedName>
    <definedName name="FDD_58_247" hidden="1">"A36073"</definedName>
    <definedName name="FDD_58_248" hidden="1">"A36080"</definedName>
    <definedName name="FDD_58_249" hidden="1">"A36087"</definedName>
    <definedName name="FDD_58_25" hidden="1">"A34519"</definedName>
    <definedName name="FDD_58_250" hidden="1">"A36094"</definedName>
    <definedName name="FDD_58_251" hidden="1">"A36101"</definedName>
    <definedName name="FDD_58_252" hidden="1">"A36108"</definedName>
    <definedName name="FDD_58_253" hidden="1">"A36115"</definedName>
    <definedName name="FDD_58_254" hidden="1">"A36122"</definedName>
    <definedName name="FDD_58_255" hidden="1">"A36129"</definedName>
    <definedName name="FDD_58_256" hidden="1">"A36136"</definedName>
    <definedName name="FDD_58_257" hidden="1">"A36143"</definedName>
    <definedName name="FDD_58_258" hidden="1">"A36150"</definedName>
    <definedName name="FDD_58_259" hidden="1">"A36157"</definedName>
    <definedName name="FDD_58_26" hidden="1">"A34526"</definedName>
    <definedName name="FDD_58_260" hidden="1">"A36164"</definedName>
    <definedName name="FDD_58_27" hidden="1">"A34533"</definedName>
    <definedName name="FDD_58_28" hidden="1">"A34540"</definedName>
    <definedName name="FDD_58_29" hidden="1">"A34547"</definedName>
    <definedName name="FDD_58_3" hidden="1">"A31777"</definedName>
    <definedName name="FDD_58_30" hidden="1">"A34554"</definedName>
    <definedName name="FDD_58_31" hidden="1">"A34561"</definedName>
    <definedName name="FDD_58_32" hidden="1">"A34568"</definedName>
    <definedName name="FDD_58_33" hidden="1">"A34575"</definedName>
    <definedName name="FDD_58_34" hidden="1">"A34582"</definedName>
    <definedName name="FDD_58_35" hidden="1">"A34589"</definedName>
    <definedName name="FDD_58_36" hidden="1">"A34596"</definedName>
    <definedName name="FDD_58_37" hidden="1">"A34603"</definedName>
    <definedName name="FDD_58_38" hidden="1">"A34610"</definedName>
    <definedName name="FDD_58_39" hidden="1">"A34617"</definedName>
    <definedName name="FDD_58_4" hidden="1">"A32142"</definedName>
    <definedName name="FDD_58_40" hidden="1">"A34624"</definedName>
    <definedName name="FDD_58_41" hidden="1">"A34631"</definedName>
    <definedName name="FDD_58_42" hidden="1">"A34638"</definedName>
    <definedName name="FDD_58_43" hidden="1">"A34645"</definedName>
    <definedName name="FDD_58_44" hidden="1">"A34652"</definedName>
    <definedName name="FDD_58_45" hidden="1">"A34659"</definedName>
    <definedName name="FDD_58_46" hidden="1">"A34666"</definedName>
    <definedName name="FDD_58_47" hidden="1">"A34673"</definedName>
    <definedName name="FDD_58_48" hidden="1">"A34680"</definedName>
    <definedName name="FDD_58_49" hidden="1">"A34687"</definedName>
    <definedName name="FDD_58_5" hidden="1">"A32508"</definedName>
    <definedName name="FDD_58_50" hidden="1">"A34694"</definedName>
    <definedName name="FDD_58_51" hidden="1">"A34701"</definedName>
    <definedName name="FDD_58_52" hidden="1">"A34708"</definedName>
    <definedName name="FDD_58_53" hidden="1">"A34715"</definedName>
    <definedName name="FDD_58_54" hidden="1">"A34722"</definedName>
    <definedName name="FDD_58_55" hidden="1">"A34729"</definedName>
    <definedName name="FDD_58_56" hidden="1">"A34736"</definedName>
    <definedName name="FDD_58_57" hidden="1">"A34743"</definedName>
    <definedName name="FDD_58_58" hidden="1">"A34750"</definedName>
    <definedName name="FDD_58_59" hidden="1">"A34757"</definedName>
    <definedName name="FDD_58_6" hidden="1">"A32873"</definedName>
    <definedName name="FDD_58_60" hidden="1">"A34764"</definedName>
    <definedName name="FDD_58_61" hidden="1">"A34771"</definedName>
    <definedName name="FDD_58_62" hidden="1">"A34778"</definedName>
    <definedName name="FDD_58_63" hidden="1">"A34785"</definedName>
    <definedName name="FDD_58_64" hidden="1">"A34792"</definedName>
    <definedName name="FDD_58_65" hidden="1">"A34799"</definedName>
    <definedName name="FDD_58_66" hidden="1">"A34806"</definedName>
    <definedName name="FDD_58_67" hidden="1">"A34813"</definedName>
    <definedName name="FDD_58_68" hidden="1">"A34820"</definedName>
    <definedName name="FDD_58_69" hidden="1">"A34827"</definedName>
    <definedName name="FDD_58_7" hidden="1">"A33238"</definedName>
    <definedName name="FDD_58_70" hidden="1">"A34834"</definedName>
    <definedName name="FDD_58_71" hidden="1">"A34841"</definedName>
    <definedName name="FDD_58_72" hidden="1">"A34848"</definedName>
    <definedName name="FDD_58_73" hidden="1">"A34855"</definedName>
    <definedName name="FDD_58_74" hidden="1">"A34862"</definedName>
    <definedName name="FDD_58_75" hidden="1">"A34869"</definedName>
    <definedName name="FDD_58_76" hidden="1">"A34876"</definedName>
    <definedName name="FDD_58_77" hidden="1">"A34883"</definedName>
    <definedName name="FDD_58_78" hidden="1">"A34890"</definedName>
    <definedName name="FDD_58_79" hidden="1">"A34897"</definedName>
    <definedName name="FDD_58_8" hidden="1">"A33603"</definedName>
    <definedName name="FDD_58_80" hidden="1">"A34904"</definedName>
    <definedName name="FDD_58_81" hidden="1">"A34911"</definedName>
    <definedName name="FDD_58_82" hidden="1">"A34918"</definedName>
    <definedName name="FDD_58_83" hidden="1">"A34925"</definedName>
    <definedName name="FDD_58_84" hidden="1">"A34932"</definedName>
    <definedName name="FDD_58_85" hidden="1">"A34939"</definedName>
    <definedName name="FDD_58_86" hidden="1">"A34946"</definedName>
    <definedName name="FDD_58_87" hidden="1">"A34953"</definedName>
    <definedName name="FDD_58_88" hidden="1">"A34960"</definedName>
    <definedName name="FDD_58_89" hidden="1">"A34967"</definedName>
    <definedName name="FDD_58_9" hidden="1">"A33969"</definedName>
    <definedName name="FDD_58_90" hidden="1">"A34974"</definedName>
    <definedName name="FDD_58_91" hidden="1">"A34981"</definedName>
    <definedName name="FDD_58_92" hidden="1">"A34988"</definedName>
    <definedName name="FDD_58_93" hidden="1">"A34995"</definedName>
    <definedName name="FDD_58_94" hidden="1">"A35002"</definedName>
    <definedName name="FDD_58_95" hidden="1">"A35009"</definedName>
    <definedName name="FDD_58_96" hidden="1">"A35016"</definedName>
    <definedName name="FDD_58_97" hidden="1">"A35023"</definedName>
    <definedName name="FDD_58_98" hidden="1">"A35030"</definedName>
    <definedName name="FDD_58_99" hidden="1">"A35037"</definedName>
    <definedName name="FDD_59_0" hidden="1">"A30681"</definedName>
    <definedName name="FDD_59_1" hidden="1">"A31047"</definedName>
    <definedName name="FDD_59_10" hidden="1">"A34334"</definedName>
    <definedName name="FDD_59_100" hidden="1">"A35044"</definedName>
    <definedName name="FDD_59_101" hidden="1">"A35051"</definedName>
    <definedName name="FDD_59_102" hidden="1">"A35059"</definedName>
    <definedName name="FDD_59_103" hidden="1">"A35065"</definedName>
    <definedName name="FDD_59_104" hidden="1">"A35072"</definedName>
    <definedName name="FDD_59_105" hidden="1">"A35079"</definedName>
    <definedName name="FDD_59_106" hidden="1">"A35086"</definedName>
    <definedName name="FDD_59_107" hidden="1">"A35093"</definedName>
    <definedName name="FDD_59_108" hidden="1">"A35100"</definedName>
    <definedName name="FDD_59_109" hidden="1">"A35107"</definedName>
    <definedName name="FDD_59_11" hidden="1">"A34699"</definedName>
    <definedName name="FDD_59_110" hidden="1">"A35114"</definedName>
    <definedName name="FDD_59_111" hidden="1">"A35121"</definedName>
    <definedName name="FDD_59_112" hidden="1">"A35128"</definedName>
    <definedName name="FDD_59_113" hidden="1">"A35135"</definedName>
    <definedName name="FDD_59_114" hidden="1">"A35141"</definedName>
    <definedName name="FDD_59_115" hidden="1">"A35149"</definedName>
    <definedName name="FDD_59_116" hidden="1">"A35156"</definedName>
    <definedName name="FDD_59_117" hidden="1">"A35163"</definedName>
    <definedName name="FDD_59_118" hidden="1">"A35170"</definedName>
    <definedName name="FDD_59_119" hidden="1">"A35177"</definedName>
    <definedName name="FDD_59_12" hidden="1">"A35064"</definedName>
    <definedName name="FDD_59_120" hidden="1">"A35184"</definedName>
    <definedName name="FDD_59_121" hidden="1">"A35192"</definedName>
    <definedName name="FDD_59_122" hidden="1">"A35198"</definedName>
    <definedName name="FDD_59_123" hidden="1">"A35205"</definedName>
    <definedName name="FDD_59_124" hidden="1">"A35213"</definedName>
    <definedName name="FDD_59_125" hidden="1">"A35219"</definedName>
    <definedName name="FDD_59_126" hidden="1">"A35226"</definedName>
    <definedName name="FDD_59_127" hidden="1">"A35233"</definedName>
    <definedName name="FDD_59_128" hidden="1">"A35240"</definedName>
    <definedName name="FDD_59_129" hidden="1">"A35247"</definedName>
    <definedName name="FDD_59_13" hidden="1">"A35430"</definedName>
    <definedName name="FDD_59_130" hidden="1">"A35254"</definedName>
    <definedName name="FDD_59_131" hidden="1">"A35261"</definedName>
    <definedName name="FDD_59_132" hidden="1">"A35268"</definedName>
    <definedName name="FDD_59_133" hidden="1">"A35275"</definedName>
    <definedName name="FDD_59_134" hidden="1">"A35282"</definedName>
    <definedName name="FDD_59_135" hidden="1">"A35289"</definedName>
    <definedName name="FDD_59_136" hidden="1">"A35296"</definedName>
    <definedName name="FDD_59_137" hidden="1">"A35303"</definedName>
    <definedName name="FDD_59_138" hidden="1">"A35310"</definedName>
    <definedName name="FDD_59_139" hidden="1">"A35317"</definedName>
    <definedName name="FDD_59_14" hidden="1">"A35795"</definedName>
    <definedName name="FDD_59_140" hidden="1">"A35324"</definedName>
    <definedName name="FDD_59_141" hidden="1">"A35331"</definedName>
    <definedName name="FDD_59_142" hidden="1">"A35338"</definedName>
    <definedName name="FDD_59_143" hidden="1">"A35345"</definedName>
    <definedName name="FDD_59_144" hidden="1">"A35352"</definedName>
    <definedName name="FDD_59_145" hidden="1">"A35359"</definedName>
    <definedName name="FDD_59_146" hidden="1">"A35366"</definedName>
    <definedName name="FDD_59_147" hidden="1">"A35373"</definedName>
    <definedName name="FDD_59_148" hidden="1">"A35380"</definedName>
    <definedName name="FDD_59_149" hidden="1">"A35387"</definedName>
    <definedName name="FDD_59_15" hidden="1">"A34449"</definedName>
    <definedName name="FDD_59_150" hidden="1">"A35394"</definedName>
    <definedName name="FDD_59_151" hidden="1">"A35401"</definedName>
    <definedName name="FDD_59_152" hidden="1">"A35408"</definedName>
    <definedName name="FDD_59_153" hidden="1">"A35415"</definedName>
    <definedName name="FDD_59_154" hidden="1">"A35422"</definedName>
    <definedName name="FDD_59_155" hidden="1">"A35429"</definedName>
    <definedName name="FDD_59_156" hidden="1">"A35436"</definedName>
    <definedName name="FDD_59_157" hidden="1">"A35443"</definedName>
    <definedName name="FDD_59_158" hidden="1">"A35450"</definedName>
    <definedName name="FDD_59_159" hidden="1">"A35457"</definedName>
    <definedName name="FDD_59_16" hidden="1">"A34457"</definedName>
    <definedName name="FDD_59_160" hidden="1">"A35464"</definedName>
    <definedName name="FDD_59_161" hidden="1">"A35471"</definedName>
    <definedName name="FDD_59_162" hidden="1">"A35478"</definedName>
    <definedName name="FDD_59_163" hidden="1">"A35485"</definedName>
    <definedName name="FDD_59_164" hidden="1">"A35492"</definedName>
    <definedName name="FDD_59_165" hidden="1">"A35499"</definedName>
    <definedName name="FDD_59_166" hidden="1">"A35506"</definedName>
    <definedName name="FDD_59_167" hidden="1">"A35513"</definedName>
    <definedName name="FDD_59_168" hidden="1">"A35521"</definedName>
    <definedName name="FDD_59_169" hidden="1">"A35527"</definedName>
    <definedName name="FDD_59_17" hidden="1">"A34463"</definedName>
    <definedName name="FDD_59_170" hidden="1">"A35534"</definedName>
    <definedName name="FDD_59_171" hidden="1">"A35541"</definedName>
    <definedName name="FDD_59_172" hidden="1">"A35548"</definedName>
    <definedName name="FDD_59_173" hidden="1">"A35556"</definedName>
    <definedName name="FDD_59_174" hidden="1">"A35562"</definedName>
    <definedName name="FDD_59_175" hidden="1">"A35569"</definedName>
    <definedName name="FDD_59_176" hidden="1">"A35577"</definedName>
    <definedName name="FDD_59_177" hidden="1">"A35583"</definedName>
    <definedName name="FDD_59_178" hidden="1">"A35590"</definedName>
    <definedName name="FDD_59_179" hidden="1">"A35597"</definedName>
    <definedName name="FDD_59_18" hidden="1">"A34470"</definedName>
    <definedName name="FDD_59_180" hidden="1">"A35604"</definedName>
    <definedName name="FDD_59_181" hidden="1">"A35611"</definedName>
    <definedName name="FDD_59_182" hidden="1">"A35618"</definedName>
    <definedName name="FDD_59_183" hidden="1">"A35625"</definedName>
    <definedName name="FDD_59_184" hidden="1">"A35632"</definedName>
    <definedName name="FDD_59_185" hidden="1">"A35639"</definedName>
    <definedName name="FDD_59_186" hidden="1">"A35646"</definedName>
    <definedName name="FDD_59_187" hidden="1">"A35653"</definedName>
    <definedName name="FDD_59_188" hidden="1">"A35660"</definedName>
    <definedName name="FDD_59_189" hidden="1">"A35668"</definedName>
    <definedName name="FDD_59_19" hidden="1">"A34477"</definedName>
    <definedName name="FDD_59_190" hidden="1">"A35674"</definedName>
    <definedName name="FDD_59_191" hidden="1">"A35681"</definedName>
    <definedName name="FDD_59_192" hidden="1">"A35688"</definedName>
    <definedName name="FDD_59_193" hidden="1">"A35695"</definedName>
    <definedName name="FDD_59_194" hidden="1">"A35702"</definedName>
    <definedName name="FDD_59_195" hidden="1">"A35709"</definedName>
    <definedName name="FDD_59_196" hidden="1">"A35716"</definedName>
    <definedName name="FDD_59_197" hidden="1">"A35723"</definedName>
    <definedName name="FDD_59_198" hidden="1">"A35730"</definedName>
    <definedName name="FDD_59_199" hidden="1">"A35737"</definedName>
    <definedName name="FDD_59_2" hidden="1">"A31412"</definedName>
    <definedName name="FDD_59_20" hidden="1">"A34485"</definedName>
    <definedName name="FDD_59_200" hidden="1">"A35744"</definedName>
    <definedName name="FDD_59_201" hidden="1">"A35751"</definedName>
    <definedName name="FDD_59_202" hidden="1">"A35758"</definedName>
    <definedName name="FDD_59_203" hidden="1">"A35765"</definedName>
    <definedName name="FDD_59_204" hidden="1">"A35772"</definedName>
    <definedName name="FDD_59_205" hidden="1">"A35779"</definedName>
    <definedName name="FDD_59_206" hidden="1">"A35786"</definedName>
    <definedName name="FDD_59_207" hidden="1">"A35793"</definedName>
    <definedName name="FDD_59_208" hidden="1">"A35800"</definedName>
    <definedName name="FDD_59_209" hidden="1">"A35807"</definedName>
    <definedName name="FDD_59_21" hidden="1">"A34491"</definedName>
    <definedName name="FDD_59_210" hidden="1">"A35814"</definedName>
    <definedName name="FDD_59_211" hidden="1">"A35821"</definedName>
    <definedName name="FDD_59_212" hidden="1">"A35828"</definedName>
    <definedName name="FDD_59_213" hidden="1">"A35835"</definedName>
    <definedName name="FDD_59_214" hidden="1">"A35842"</definedName>
    <definedName name="FDD_59_215" hidden="1">"A35849"</definedName>
    <definedName name="FDD_59_216" hidden="1">"A35856"</definedName>
    <definedName name="FDD_59_217" hidden="1">"A35863"</definedName>
    <definedName name="FDD_59_218" hidden="1">"A35870"</definedName>
    <definedName name="FDD_59_219" hidden="1">"A35877"</definedName>
    <definedName name="FDD_59_22" hidden="1">"A34498"</definedName>
    <definedName name="FDD_59_220" hidden="1">"A35884"</definedName>
    <definedName name="FDD_59_221" hidden="1">"A35891"</definedName>
    <definedName name="FDD_59_222" hidden="1">"A35899"</definedName>
    <definedName name="FDD_59_223" hidden="1">"A35905"</definedName>
    <definedName name="FDD_59_224" hidden="1">"A35912"</definedName>
    <definedName name="FDD_59_225" hidden="1">"A35919"</definedName>
    <definedName name="FDD_59_226" hidden="1">"A35926"</definedName>
    <definedName name="FDD_59_227" hidden="1">"A35933"</definedName>
    <definedName name="FDD_59_228" hidden="1">"A35941"</definedName>
    <definedName name="FDD_59_229" hidden="1">"A35947"</definedName>
    <definedName name="FDD_59_23" hidden="1">"A34505"</definedName>
    <definedName name="FDD_59_230" hidden="1">"A35954"</definedName>
    <definedName name="FDD_59_231" hidden="1">"A35961"</definedName>
    <definedName name="FDD_59_232" hidden="1">"A35968"</definedName>
    <definedName name="FDD_59_233" hidden="1">"A35975"</definedName>
    <definedName name="FDD_59_234" hidden="1">"A35982"</definedName>
    <definedName name="FDD_59_235" hidden="1">"A35989"</definedName>
    <definedName name="FDD_59_236" hidden="1">"A35996"</definedName>
    <definedName name="FDD_59_237" hidden="1">"A36003"</definedName>
    <definedName name="FDD_59_238" hidden="1">"A36010"</definedName>
    <definedName name="FDD_59_239" hidden="1">"A36017"</definedName>
    <definedName name="FDD_59_24" hidden="1">"A34512"</definedName>
    <definedName name="FDD_59_240" hidden="1">"A36024"</definedName>
    <definedName name="FDD_59_241" hidden="1">"A36031"</definedName>
    <definedName name="FDD_59_242" hidden="1">"A36039"</definedName>
    <definedName name="FDD_59_243" hidden="1">"A36045"</definedName>
    <definedName name="FDD_59_244" hidden="1">"A36052"</definedName>
    <definedName name="FDD_59_245" hidden="1">"A36059"</definedName>
    <definedName name="FDD_59_246" hidden="1">"A36066"</definedName>
    <definedName name="FDD_59_247" hidden="1">"A36073"</definedName>
    <definedName name="FDD_59_248" hidden="1">"A36080"</definedName>
    <definedName name="FDD_59_249" hidden="1">"A36087"</definedName>
    <definedName name="FDD_59_25" hidden="1">"A34519"</definedName>
    <definedName name="FDD_59_250" hidden="1">"A36094"</definedName>
    <definedName name="FDD_59_251" hidden="1">"A36101"</definedName>
    <definedName name="FDD_59_252" hidden="1">"A36108"</definedName>
    <definedName name="FDD_59_253" hidden="1">"A36116"</definedName>
    <definedName name="FDD_59_254" hidden="1">"A36122"</definedName>
    <definedName name="FDD_59_255" hidden="1">"A36129"</definedName>
    <definedName name="FDD_59_256" hidden="1">"A36136"</definedName>
    <definedName name="FDD_59_257" hidden="1">"A36143"</definedName>
    <definedName name="FDD_59_258" hidden="1">"A36150"</definedName>
    <definedName name="FDD_59_259" hidden="1">"A36157"</definedName>
    <definedName name="FDD_59_26" hidden="1">"A34526"</definedName>
    <definedName name="FDD_59_260" hidden="1">"A36164"</definedName>
    <definedName name="FDD_59_27" hidden="1">"A34533"</definedName>
    <definedName name="FDD_59_28" hidden="1">"A34540"</definedName>
    <definedName name="FDD_59_29" hidden="1">"A34547"</definedName>
    <definedName name="FDD_59_3" hidden="1">"A31777"</definedName>
    <definedName name="FDD_59_30" hidden="1">"A34554"</definedName>
    <definedName name="FDD_59_31" hidden="1">"A34561"</definedName>
    <definedName name="FDD_59_32" hidden="1">"A34568"</definedName>
    <definedName name="FDD_59_33" hidden="1">"A34576"</definedName>
    <definedName name="FDD_59_34" hidden="1">"A34582"</definedName>
    <definedName name="FDD_59_35" hidden="1">"A34589"</definedName>
    <definedName name="FDD_59_36" hidden="1">"A34596"</definedName>
    <definedName name="FDD_59_37" hidden="1">"A34603"</definedName>
    <definedName name="FDD_59_38" hidden="1">"A34610"</definedName>
    <definedName name="FDD_59_39" hidden="1">"A34617"</definedName>
    <definedName name="FDD_59_4" hidden="1">"A32142"</definedName>
    <definedName name="FDD_59_40" hidden="1">"A34624"</definedName>
    <definedName name="FDD_59_41" hidden="1">"A34631"</definedName>
    <definedName name="FDD_59_42" hidden="1">"A34638"</definedName>
    <definedName name="FDD_59_43" hidden="1">"A34645"</definedName>
    <definedName name="FDD_59_44" hidden="1">"A34652"</definedName>
    <definedName name="FDD_59_45" hidden="1">"A34659"</definedName>
    <definedName name="FDD_59_46" hidden="1">"A34666"</definedName>
    <definedName name="FDD_59_47" hidden="1">"A34673"</definedName>
    <definedName name="FDD_59_48" hidden="1">"A34680"</definedName>
    <definedName name="FDD_59_49" hidden="1">"A34687"</definedName>
    <definedName name="FDD_59_5" hidden="1">"A32508"</definedName>
    <definedName name="FDD_59_50" hidden="1">"A34696"</definedName>
    <definedName name="FDD_59_51" hidden="1">"A34702"</definedName>
    <definedName name="FDD_59_52" hidden="1">"A34708"</definedName>
    <definedName name="FDD_59_53" hidden="1">"A34715"</definedName>
    <definedName name="FDD_59_54" hidden="1">"A34722"</definedName>
    <definedName name="FDD_59_55" hidden="1">"A34729"</definedName>
    <definedName name="FDD_59_56" hidden="1">"A34736"</definedName>
    <definedName name="FDD_59_57" hidden="1">"A34743"</definedName>
    <definedName name="FDD_59_58" hidden="1">"A34750"</definedName>
    <definedName name="FDD_59_59" hidden="1">"A34757"</definedName>
    <definedName name="FDD_59_6" hidden="1">"A32873"</definedName>
    <definedName name="FDD_59_60" hidden="1">"A34764"</definedName>
    <definedName name="FDD_59_61" hidden="1">"A34771"</definedName>
    <definedName name="FDD_59_62" hidden="1">"A34778"</definedName>
    <definedName name="FDD_59_63" hidden="1">"A34785"</definedName>
    <definedName name="FDD_59_64" hidden="1">"A34792"</definedName>
    <definedName name="FDD_59_65" hidden="1">"A34799"</definedName>
    <definedName name="FDD_59_66" hidden="1">"A34807"</definedName>
    <definedName name="FDD_59_67" hidden="1">"A34813"</definedName>
    <definedName name="FDD_59_68" hidden="1">"A34820"</definedName>
    <definedName name="FDD_59_69" hidden="1">"A34828"</definedName>
    <definedName name="FDD_59_7" hidden="1">"A33238"</definedName>
    <definedName name="FDD_59_70" hidden="1">"A34834"</definedName>
    <definedName name="FDD_59_71" hidden="1">"A34841"</definedName>
    <definedName name="FDD_59_72" hidden="1">"A34848"</definedName>
    <definedName name="FDD_59_73" hidden="1">"A34855"</definedName>
    <definedName name="FDD_59_74" hidden="1">"A34862"</definedName>
    <definedName name="FDD_59_75" hidden="1">"A34870"</definedName>
    <definedName name="FDD_59_76" hidden="1">"A34876"</definedName>
    <definedName name="FDD_59_77" hidden="1">"A34883"</definedName>
    <definedName name="FDD_59_78" hidden="1">"A34891"</definedName>
    <definedName name="FDD_59_79" hidden="1">"A34897"</definedName>
    <definedName name="FDD_59_8" hidden="1">"A33603"</definedName>
    <definedName name="FDD_59_80" hidden="1">"A34904"</definedName>
    <definedName name="FDD_59_81" hidden="1">"A34911"</definedName>
    <definedName name="FDD_59_82" hidden="1">"A34918"</definedName>
    <definedName name="FDD_59_83" hidden="1">"A34925"</definedName>
    <definedName name="FDD_59_84" hidden="1">"A34932"</definedName>
    <definedName name="FDD_59_85" hidden="1">"A34940"</definedName>
    <definedName name="FDD_59_86" hidden="1">"A34946"</definedName>
    <definedName name="FDD_59_87" hidden="1">"A34953"</definedName>
    <definedName name="FDD_59_88" hidden="1">"A34960"</definedName>
    <definedName name="FDD_59_89" hidden="1">"A34967"</definedName>
    <definedName name="FDD_59_9" hidden="1">"A33969"</definedName>
    <definedName name="FDD_59_90" hidden="1">"A34974"</definedName>
    <definedName name="FDD_59_91" hidden="1">"A34981"</definedName>
    <definedName name="FDD_59_92" hidden="1">"A34988"</definedName>
    <definedName name="FDD_59_93" hidden="1">"A34995"</definedName>
    <definedName name="FDD_59_94" hidden="1">"A35002"</definedName>
    <definedName name="FDD_59_95" hidden="1">"A35009"</definedName>
    <definedName name="FDD_59_96" hidden="1">"A35016"</definedName>
    <definedName name="FDD_59_97" hidden="1">"A35023"</definedName>
    <definedName name="FDD_59_98" hidden="1">"A35030"</definedName>
    <definedName name="FDD_59_99" hidden="1">"A35037"</definedName>
    <definedName name="FDD_6_0" hidden="1">"A25569"</definedName>
    <definedName name="FDD_6_1" hidden="1">"A35795"</definedName>
    <definedName name="FDD_6_2" hidden="1">"E36160"</definedName>
    <definedName name="FDD_6_3" hidden="1">"E36525"</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_1" hidden="1">"E35795"</definedName>
    <definedName name="FDD_7_2" hidden="1">"E36160"</definedName>
    <definedName name="FDD_7_3" hidden="1">"E36525"</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_1" hidden="1">"E35795"</definedName>
    <definedName name="FDD_8_2" hidden="1">"E36160"</definedName>
    <definedName name="FDD_8_3" hidden="1">"E36525"</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_1" hidden="1">"E35795"</definedName>
    <definedName name="FDD_9_2" hidden="1">"E36160"</definedName>
    <definedName name="FDD_9_3" hidden="1">"E36525"</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edqwed"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hidden="1">{"SCM_Detail",#N/A,FALSE,"SCM";"SCM_Top",#N/A,FALSE,"SCM"}</definedName>
    <definedName name="FDFD" hidden="1">{#N/A,#N/A,FALSE,"Pharm";#N/A,#N/A,FALSE,"WWCM"}</definedName>
    <definedName name="fdfdf" hidden="1">{#N/A,#N/A,FALSE,"Staffnos &amp; cost"}</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 hidden="1">{#N/A,#N/A,FALSE,"Bestfoods";#N/A,#N/A,FALSE,"Campbell";#N/A,#N/A,FALSE,"ConAgra";#N/A,#N/A,FALSE,"Healthy Choice";#N/A,#N/A,FALSE,"Int'l Home Foods";#N/A,#N/A,FALSE,"General Mills";#N/A,#N/A,FALSE,"Heinz";#N/A,#N/A,FALSE,"Kellogg";#N/A,#N/A,FALSE,"Kraft";#N/A,#N/A,FALSE,"Nabisco";#N/A,#N/A,FALSE,"Quaker Oats";#N/A,#N/A,FALSE,"Sara Lee";#N/A,#N/A,FALSE,"print summary"}</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g" hidden="1">{"quarterly",#N/A,FALSE,"Income Statement";#N/A,#N/A,FALSE,"print segment";#N/A,#N/A,FALSE,"Balance Sheet";#N/A,#N/A,FALSE,"Annl Inc";#N/A,#N/A,FALSE,"Cash Flow"}</definedName>
    <definedName name="fdfgdgdfgfdg" hidden="1">{"comp",#N/A,FALSE,"SPEC";"footnotes",#N/A,FALSE,"SPEC"}</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dfgfdgf" hidden="1">{#N/A,#N/A,FALSE,"Produkte Erw.";#N/A,#N/A,FALSE,"Produkte Plan";#N/A,#N/A,FALSE,"Leistungen Erw.";#N/A,#N/A,FALSE,"Leistungen Plan";#N/A,#N/A,FALSE,"KA Allg.Kosten (2)";#N/A,#N/A,FALSE,"KA All.Kosten"}</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hidden="1">{#N/A,#N/A,FALSE,"KA CH  (2)"}</definedName>
    <definedName name="fdgfdgsdgsdgs" hidden="1">{#N/A,#N/A,FALSE,"KA CH  (2)"}</definedName>
    <definedName name="fdhfdh" hidden="1">{"First Page",#N/A,FALSE,"Surfactants LBO";"Second Page",#N/A,FALSE,"Surfactants LBO"}</definedName>
    <definedName name="FDHFDHHG"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fghfdh" hidden="1">{"First Page",#N/A,FALSE,"Surfactants LBO";"Second Page",#N/A,FALSE,"Surfactants LBO"}</definedName>
    <definedName name="fdhgfj" hidden="1">{"adj95mult",#N/A,FALSE,"COMPCO";"adj95est",#N/A,FALSE,"COMPCO"}</definedName>
    <definedName name="fdhhfhfgh"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fdhrthfg" hidden="1">{#N/A,#N/A,TRUE,"Historicals";#N/A,#N/A,TRUE,"Charts";#N/A,#N/A,TRUE,"Forecasts"}</definedName>
    <definedName name="FDJGDFHJ" hidden="1">{#N/A,#N/A,FALSE,"단축1";#N/A,#N/A,FALSE,"단축2";#N/A,#N/A,FALSE,"단축3";#N/A,#N/A,FALSE,"장축";#N/A,#N/A,FALSE,"4WD"}</definedName>
    <definedName name="FDP_280_1_aSrv" hidden="1">#REF!</definedName>
    <definedName name="FDP_281_1_aSrv" hidden="1">#REF!</definedName>
    <definedName name="FDP_282_1_aSrv" hidden="1">#REF!</definedName>
    <definedName name="FDP_283_1_aSrv" hidden="1">#REF!</definedName>
    <definedName name="FDQ" hidden="1">{"detail",#N/A,FALSE,"mfg";"summary",#N/A,FALSE,"mfg"}</definedName>
    <definedName name="fds" hidden="1">{"comps",#N/A,FALSE,"comps";"notes",#N/A,FALSE,"comps"}</definedName>
    <definedName name="fdsa" hidden="1">{#N/A,#N/A,TRUE,"Historicals";#N/A,#N/A,TRUE,"Charts";#N/A,#N/A,TRUE,"Forecasts"}</definedName>
    <definedName name="fdsafdf" hidden="1">{#N/A,#N/A,TRUE,"Historicals";#N/A,#N/A,TRUE,"Charts";#N/A,#N/A,TRUE,"Forecasts"}</definedName>
    <definedName name="fdsafrwefreg" hidden="1">{#N/A,#N/A,TRUE,"Historicals";#N/A,#N/A,TRUE,"Charts";#N/A,#N/A,TRUE,"Forecasts"}</definedName>
    <definedName name="fdsagfdg" hidden="1">{"toc1",#N/A,FALSE,"TOC";"cover",#N/A,FALSE,"Cover";"ts1",#N/A,FALSE,"Transaction Summary";"ei3",#N/A,FALSE,"Earnings Impact";"ad3",#N/A,FALSE,"accretion dilution"}</definedName>
    <definedName name="fdsagsfdg344"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aregh" hidden="1">{#N/A,#N/A,TRUE,"Historicals";#N/A,#N/A,TRUE,"Charts";#N/A,#N/A,TRUE,"Forecasts"}</definedName>
    <definedName name="fdsf" hidden="1">{"general",#N/A,FALSE,"Assumptions"}</definedName>
    <definedName name="fdsf2" hidden="1">{"general",#N/A,FALSE,"Assumptions"}</definedName>
    <definedName name="fdsfs" hidden="1">{"GLI-Income Statement",#N/A,FALSE,"gli";"GLI - Balance Sheet Wksht",#N/A,FALSE,"gli";"GLI-Cash Flow",#N/A,FALSE,"gli";"GLI Qtrly Stats",#N/A,FALSE,"gli"}</definedName>
    <definedName name="fdsgafgrt" hidden="1">{#N/A,#N/A,TRUE,"Historicals";#N/A,#N/A,TRUE,"Charts";#N/A,#N/A,TRUE,"Forecasts"}</definedName>
    <definedName name="fdsgdfgsdfgh54" hidden="1">{"dcfsummary",#N/A,FALSE,"NHY - DCF Valuation";"agriculture",#N/A,FALSE,"NHY - DCF Valuation";"oilgas",#N/A,FALSE,"NHY - DCF Valuation";"oilgastot",#N/A,FALSE,"NHY - DCF Valuation";"lightmetals",#N/A,FALSE,"NHY - DCF Valuation";"petrochemicals",#N/A,FALSE,"NHY - DCF Valuation";"other",#N/A,FALSE,"NHY - DCF Valuation"}</definedName>
    <definedName name="fdsgfsrt" hidden="1">{#N/A,#N/A,TRUE,"Historicals";#N/A,#N/A,TRUE,"Charts";#N/A,#N/A,TRUE,"Forecasts"}</definedName>
    <definedName name="FDSJFH" hidden="1">{"'Data'!$A$1:$D$17"}</definedName>
    <definedName name="fdskj" hidden="1">{#N/A,#N/A,FALSE,"Model";#N/A,#N/A,FALSE,"Division"}</definedName>
    <definedName name="fdsrfaer" hidden="1">{"K GuV o. Kommentar",#N/A,FALSE,"Kaufhof"}</definedName>
    <definedName name="fdv" hidden="1">{"quarterly",#N/A,FALSE,"Income Statement";#N/A,#N/A,FALSE,"print segment";#N/A,#N/A,FALSE,"Balance Sheet";#N/A,#N/A,FALSE,"Annl Inc";#N/A,#N/A,FALSE,"Cash Flow"}</definedName>
    <definedName name="Feb_D" hidden="1">"CT41H4F85C6471IMEFRRV32TF"</definedName>
    <definedName name="feb02tb" hidden="1">{"Statement of Income",#N/A,TRUE,"Mar99";"Balance Sheet",#N/A,TRUE,"Mar99"}</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gheath" hidden="1">#REF!</definedName>
    <definedName name="feineer" hidden="1">{"fleisch",#N/A,FALSE,"WG HK";"food",#N/A,FALSE,"WG HK";"hartwaren",#N/A,FALSE,"WG HK";"weichwaren",#N/A,FALSE,"WG HK"}</definedName>
    <definedName name="Felli" hidden="1">{"A_Vorstand",#N/A,TRUE,"PK Szenario ";"B_Nord",#N/A,TRUE,"PK Szenario ";"C_Nordwest",#N/A,TRUE,"PK Szenario ";"D_West",#N/A,TRUE,"PK Szenario ";"E_Südwest",#N/A,TRUE,"PK Szenario ";"F_Süd",#N/A,TRUE,"PK Szenario ";"G_Ost",#N/A,TRUE,"PK Szenario ";"H_Gesamt",#N/A,TRUE,"PK Szenario "}</definedName>
    <definedName name="fer"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fesa" hidden="1">{"apci",#N/A,FALSE,"Chem_CY";"eastman",#N/A,FALSE,"Eastman";"betz",#N/A,FALSE,"Betz";"great lakes",#N/A,FALSE,"Great_Lakes";"hercules",#N/A,FALSE,"Hercules Chem Seg Data";"rohm",#N/A,FALSE,"Rohm";"union carbide",#N/A,FALSE,"Union";"witco",#N/A,FALSE,"Witco"}</definedName>
    <definedName name="fetgerq" hidden="1">{"ONE",#N/A,FALSE,"96DDCOD";"TWO",#N/A,FALSE,"96DDCOD"}</definedName>
    <definedName name="fetr" hidden="1">{"BA detail",#N/A,FALSE,"Q3YTD "}</definedName>
    <definedName name="fewf" hidden="1">{#N/A,#N/A,TRUE,"Historicals";#N/A,#N/A,TRUE,"Charts";#N/A,#N/A,TRUE,"Forecasts"}</definedName>
    <definedName name="fewfsdf" hidden="1">{#N/A,#N/A,TRUE,"Historicals";#N/A,#N/A,TRUE,"Charts";#N/A,#N/A,TRUE,"Forecasts"}</definedName>
    <definedName name="fewq" hidden="1">{"Comp_of_Price_Effect",#N/A,FALSE,"QTRDPVAR"}</definedName>
    <definedName name="ffd" hidden="1">{#N/A,#N/A,FALSE,"Rohstoffnotierungen";#N/A,#N/A,FALSE,"ER HCST Erw. 99";#N/A,#N/A,FALSE,"ER HCST Plan 00";#N/A,#N/A,FALSE,"Umsatz KG";#N/A,#N/A,FALSE,"ER HCST";#N/A,#N/A,FALSE,"EA ST (2)";#N/A,#N/A,FALSE,"EA ST";#N/A,#N/A,FALSE,"EA ST (3)";#N/A,#N/A,FALSE,"EA ST (4)";#N/A,#N/A,FALSE,"KA ST  (2)";#N/A,#N/A,FALSE,"KA ST";#N/A,#N/A,FALSE,"KA ST  (3)";#N/A,#N/A,FALSE,"KA ST (4)"}</definedName>
    <definedName name="ffdd" hidden="1">{#N/A,#N/A,FALSE,"Umsatz EO BP";#N/A,#N/A,FALSE,"Umsatz EO OP";#N/A,#N/A,FALSE,"ER EO BP";#N/A,#N/A,FALSE,"ER EO OP";#N/A,#N/A,FALSE,"EA EO (2)";#N/A,#N/A,FALSE,"EA EO";#N/A,#N/A,FALSE,"EA EO (3)";#N/A,#N/A,FALSE,"EA EO (4)";#N/A,#N/A,FALSE,"KA EO  (2)";#N/A,#N/A,FALSE,"KA EO";#N/A,#N/A,FALSE,"KA EO  (3)";#N/A,#N/A,FALSE,"KA EO (4)"}</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ee"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ff" hidden="1">{#N/A,#N/A,TRUE,"Notes";#N/A,#N/A,TRUE,"Cap Struct";#N/A,#N/A,TRUE,"OBS";#N/A,#N/A,TRUE,"bal Sheet";#N/A,#N/A,TRUE,"Inc stmt";#N/A,#N/A,TRUE,"csh flw";#N/A,#N/A,TRUE,"debt";#N/A,#N/A,TRUE,"detail 96,97";#N/A,#N/A,TRUE,"Covenants"}</definedName>
    <definedName name="fff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1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1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1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1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1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2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2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2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2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2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3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3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3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3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3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4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4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4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4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4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5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5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5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5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_5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ffff" hidden="1">{"comps",#N/A,FALSE,"comps";"notes",#N/A,FALSE,"comps"}</definedName>
    <definedName name="FFFFF" hidden="1">{#VALUE!,#N/A,FALSE,0;#N/A,#N/A,FALSE,0;#N/A,#N/A,FALSE,0;#N/A,#N/A,FALSE,0}</definedName>
    <definedName name="ffffff" hidden="1">{"'Boston'!$A$1:$AQ$152","'Summary'!$R$37","'Summary'!$A$1:$P$44"}</definedName>
    <definedName name="fffffff" hidden="1">{#N/A,#N/A,FALSE,"Pharm";#N/A,#N/A,FALSE,"WWCM"}</definedName>
    <definedName name="fffffffffffffff" hidden="1">{#N/A,#N/A,FALSE,"단축1";#N/A,#N/A,FALSE,"단축2";#N/A,#N/A,FALSE,"단축3";#N/A,#N/A,FALSE,"장축";#N/A,#N/A,FALSE,"4WD"}</definedName>
    <definedName name="FFGHJKK" hidden="1">{#N/A,#N/A,FALSE,"단축1";#N/A,#N/A,FALSE,"단축2";#N/A,#N/A,FALSE,"단축3";#N/A,#N/A,FALSE,"장축";#N/A,#N/A,FALSE,"4WD"}</definedName>
    <definedName name="ffsf" hidden="1">{"'Future Reviews'!$A$1:$D$58"}</definedName>
    <definedName name="ffy" hidden="1">{#N/A,#N/A,FALSE,"FY97";#N/A,#N/A,FALSE,"FY98";#N/A,#N/A,FALSE,"FY99";#N/A,#N/A,FALSE,"FY00";#N/A,#N/A,FALSE,"FY01"}</definedName>
    <definedName name="f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gcvfhg" hidden="1">{#N/A,#N/A,TRUE,"Historicals";#N/A,#N/A,TRUE,"Charts";#N/A,#N/A,TRUE,"Forecasts"}</definedName>
    <definedName name="fgdghj" hidden="1">{#N/A,#N/A,TRUE,"Cont_Stell";#N/A,#N/A,TRUE,"BTG";#N/A,#N/A,TRUE,"SH";#N/A,#N/A,TRUE,"GUV";#N/A,#N/A,TRUE,"Bilanz";#N/A,#N/A,TRUE,"WC";#N/A,#N/A,TRUE,"Beweg_bil";#N/A,#N/A,TRUE,"Kap_fluß";#N/A,#N/A,TRUE,"KENNZ";#N/A,#N/A,TRUE,"ANALYSE"}</definedName>
    <definedName name="fgf" hidden="1">{"Data",#N/A,FALSE,"M_VGBUS3";"Graphs1",#N/A,FALSE,"M_VGBUS3";"Volume1",#N/A,FALSE,"M_VGBUS3";"Index1",#N/A,FALSE,"M_VGBUS3";"NUR1",#N/A,FALSE,"M_VGBUS3";"Return1",#N/A,FALSE,"M_VGBUS3";"Licencing1",#N/A,FALSE,"M_VGBUS3";"MFG1",#N/A,FALSE,"M_VGBUS3"}</definedName>
    <definedName name="fgfg" hidden="1">{#N/A,#N/A,FALSE,"Umsatz EO BP";#N/A,#N/A,FALSE,"Umsatz EO OP";#N/A,#N/A,FALSE,"ER EO BP";#N/A,#N/A,FALSE,"ER EO OP";#N/A,#N/A,FALSE,"EA EO (2)";#N/A,#N/A,FALSE,"EA EO";#N/A,#N/A,FALSE,"EA EO (3)";#N/A,#N/A,FALSE,"EA EO (4)";#N/A,#N/A,FALSE,"KA EO  (2)";#N/A,#N/A,FALSE,"KA EO";#N/A,#N/A,FALSE,"KA EO  (3)";#N/A,#N/A,FALSE,"KA EO (4)"}</definedName>
    <definedName name="fgfgf" hidden="1">{#N/A,#N/A,FALSE,"Umsatz 99";#N/A,#N/A,FALSE,"ER 99 "}</definedName>
    <definedName name="fgfgfgf" hidden="1">{"mgmt forecast",#N/A,FALSE,"Mgmt Forecast";"dcf table",#N/A,FALSE,"Mgmt Forecast";"sensitivity",#N/A,FALSE,"Mgmt Forecast";"table inputs",#N/A,FALSE,"Mgmt Forecast";"calculations",#N/A,FALSE,"Mgmt Forecast"}</definedName>
    <definedName name="FGFR" hidden="1">{#N/A,#N/A,TRUE,"Cover sheet";#N/A,#N/A,TRUE,"Summary";#N/A,#N/A,TRUE,"Key Assumptions";#N/A,#N/A,TRUE,"Profit &amp; Loss";#N/A,#N/A,TRUE,"Balance Sheet";#N/A,#N/A,TRUE,"Cashflow";#N/A,#N/A,TRUE,"IRR";#N/A,#N/A,TRUE,"Ratios";#N/A,#N/A,TRUE,"Debt analysis"}</definedName>
    <definedName name="fgfx" hidden="1">{#N/A,#N/A,FALSE,"Umsatz 99";#N/A,#N/A,FALSE,"ER 99 "}</definedName>
    <definedName name="fgg" hidden="1">{"Bilanz grob",#N/A,TRUE,"Planbilanz";"Erfolgsrechnung grob",#N/A,TRUE,"Plan-ER";#N/A,#N/A,TRUE,"Geldfluss";"Bilanz fein",#N/A,TRUE,"Planbilanz";"Erfolgsrechnung fein",#N/A,TRUE,"Plan-ER";#N/A,#N/A,TRUE,"Absatzplan";#N/A,#N/A,TRUE,"Einkaufsplan";#N/A,#N/A,TRUE,"Investitionsplan";#N/A,#N/A,TRUE,"KK Aktionäre"}</definedName>
    <definedName name="fggddf" hidden="1">{"Employee Efficiency",#N/A,FALSE,"Benchmarking"}</definedName>
    <definedName name="fgh"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fghdhgdfhfd" hidden="1">{"equity comps",#N/A,FALSE,"CS Comps";"equity comps",#N/A,FALSE,"PS Comps";"equity comps",#N/A,FALSE,"GIC_Comps";"equity comps",#N/A,FALSE,"GIC2_Comps"}</definedName>
    <definedName name="fghdrth" hidden="1">{#N/A,#N/A,TRUE,"Historicals";#N/A,#N/A,TRUE,"Charts";#N/A,#N/A,TRUE,"Forecasts"}</definedName>
    <definedName name="fghfgh" hidden="1">{"away stand alones",#N/A,FALSE,"Target"}</definedName>
    <definedName name="fghfghfgh" hidden="1">{"assumption cash",#N/A,TRUE,"Merger";"has gets cash",#N/A,TRUE,"Merger";"accretion dilution",#N/A,TRUE,"Merger";"comparison credit stats",#N/A,TRUE,"Merger";"pf credit stats",#N/A,TRUE,"Merger";"pf sheets",#N/A,TRUE,"Merger"}</definedName>
    <definedName name="fghfghfghgfh" hidden="1">{#N/A,#N/A,FALSE,"KA CH  (2)"}</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hidden="1">{#N/A,#N/A,FALSE,"Umsatz CH";#N/A,#N/A,FALSE,"ER CH";#N/A,#N/A,FALSE,"EA CH (2) ";#N/A,#N/A,FALSE,"EA CH";#N/A,#N/A,FALSE,"EA CH (3) ";#N/A,#N/A,FALSE,"EA CH (4)";#N/A,#N/A,FALSE,"KA CH";#N/A,#N/A,FALSE,"KA CH  (2)";#N/A,#N/A,FALSE,"KA CH  (3)";#N/A,#N/A,FALSE,"KA CH (4)"}</definedName>
    <definedName name="fghfh" hidden="1">{#N/A,#N/A,FALSE,"Umsatz EO BP";#N/A,#N/A,FALSE,"Umsatz EO OP";#N/A,#N/A,FALSE,"ER EO BP";#N/A,#N/A,FALSE,"ER EO OP";#N/A,#N/A,FALSE,"EA EO (2)";#N/A,#N/A,FALSE,"EA EO";#N/A,#N/A,FALSE,"EA EO (3)";#N/A,#N/A,FALSE,"EA EO (4)";#N/A,#N/A,FALSE,"KA EO  (2)";#N/A,#N/A,FALSE,"KA EO";#N/A,#N/A,FALSE,"KA EO  (3)";#N/A,#N/A,FALSE,"KA EO (4)"}</definedName>
    <definedName name="FGHFMFMJTMV" hidden="1">{#N/A,#N/A,FALSE,"단축1";#N/A,#N/A,FALSE,"단축2";#N/A,#N/A,FALSE,"단축3";#N/A,#N/A,FALSE,"장축";#N/A,#N/A,FALSE,"4WD"}</definedName>
    <definedName name="fghgf" hidden="1">{#N/A,#N/A,FALSE,"Mittelherkunft";#N/A,#N/A,FALSE,"Mittelverwendung"}</definedName>
    <definedName name="FGHGFJF" hidden="1">{#N/A,#N/A,FALSE,"단축1";#N/A,#N/A,FALSE,"단축2";#N/A,#N/A,FALSE,"단축3";#N/A,#N/A,FALSE,"장축";#N/A,#N/A,FALSE,"4WD"}</definedName>
    <definedName name="fghj" hidden="1">{#N/A,#N/A,FALSE,"Finanzbedarfsrechnung"}</definedName>
    <definedName name="fghrthyuj" hidden="1">{#N/A,#N/A,TRUE,"Historicals";#N/A,#N/A,TRUE,"Charts";#N/A,#N/A,TRUE,"Forecasts"}</definedName>
    <definedName name="fghsert" hidden="1">{#N/A,#N/A,TRUE,"Historicals";#N/A,#N/A,TRUE,"Charts";#N/A,#N/A,TRUE,"Forecasts"}</definedName>
    <definedName name="fgjfgjfgj" hidden="1">{#N/A,#N/A,FALSE,"Produkte Erw.";#N/A,#N/A,FALSE,"Produkte Plan";#N/A,#N/A,FALSE,"Leistungen Erw.";#N/A,#N/A,FALSE,"Leistungen Plan";#N/A,#N/A,FALSE,"KA Allg.Kosten (2)";#N/A,#N/A,FALSE,"KA All.Kosten"}</definedName>
    <definedName name="fgjhfgjhgj" hidden="1">{"comp1",#N/A,FALSE,"COMPS";"footnotes",#N/A,FALSE,"COMPS"}</definedName>
    <definedName name="fgkjkh" hidden="1">{#N/A,#N/A,FALSE,"REPORT"}</definedName>
    <definedName name="fgndh" hidden="1">{#N/A,#N/A,TRUE,"Historicals";#N/A,#N/A,TRUE,"Charts";#N/A,#N/A,TRUE,"Forecasts"}</definedName>
    <definedName name="fgsd" hidden="1">{"PAGE 1",#N/A,FALSE,"COS Excluding Geismar";"PAGE 2",#N/A,FALSE,"COS Excluding Geismar";"PAGE 3",#N/A,FALSE,"COS Excluding Geismar"}</definedName>
    <definedName name="fgsdf"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gsdhh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g" hidden="1">{"consolidated",#N/A,FALSE,"Sheet1";"cms",#N/A,FALSE,"Sheet1";"fse",#N/A,FALSE,"Sheet1"}</definedName>
    <definedName name="fgt" hidden="1">{"Performance Details",#N/A,FALSE,"Current Yr";"Performance Details",#N/A,FALSE,"Budget";"Performance Details",#N/A,FALSE,"Prior Year"}</definedName>
    <definedName name="FGVDFG" hidden="1">{#N/A,#N/A,FALSE,"Staffnos &amp; cost"}</definedName>
    <definedName name="fh" hidden="1">{#N/A,#N/A,FALSE,"Staffnos &amp; cost"}</definedName>
    <definedName name="FHE" hidden="1">{"'Demand Units'!$X$11:$AD$45"}</definedName>
    <definedName name="fhfgh" hidden="1">{#N/A,#N/A,FALSE,"Umsatz CH";#N/A,#N/A,FALSE,"ER CH";#N/A,#N/A,FALSE,"EA CH (2) ";#N/A,#N/A,FALSE,"EA CH";#N/A,#N/A,FALSE,"EA CH (3) ";#N/A,#N/A,FALSE,"EA CH (4)";#N/A,#N/A,FALSE,"KA CH";#N/A,#N/A,FALSE,"KA CH  (2)";#N/A,#N/A,FALSE,"KA CH  (3)";#N/A,#N/A,FALSE,"KA CH (4)"}</definedName>
    <definedName name="fhfghfghfgh" hidden="1">{"equity comps",#N/A,FALSE,"CS Comps";"equity comps",#N/A,FALSE,"PS Comps";"equity comps",#N/A,FALSE,"GIC_Comps";"equity comps",#N/A,FALSE,"GIC2_Comps";"debt comps",#N/A,FALSE,"CS Comps";"debt comps",#N/A,FALSE,"PS Comps";"debt comps",#N/A,FALSE,"GIC_Comps";"debt comps",#N/A,FALSE,"GIC2_Comps"}</definedName>
    <definedName name="fhfhfgh" hidden="1">{"hiden",#N/A,FALSE,"14";"hidden",#N/A,FALSE,"16";"hidden",#N/A,FALSE,"18";"hidden",#N/A,FALSE,"20"}</definedName>
    <definedName name="fhfhh" hidden="1">{#N/A,#N/A,FALSE,"Umsatz CH";#N/A,#N/A,FALSE,"ER CH";#N/A,#N/A,FALSE,"EA CH (2) ";#N/A,#N/A,FALSE,"EA CH";#N/A,#N/A,FALSE,"EA CH (3) ";#N/A,#N/A,FALSE,"EA CH (4)";#N/A,#N/A,FALSE,"KA CH";#N/A,#N/A,FALSE,"KA CH  (2)";#N/A,#N/A,FALSE,"KA CH  (3)";#N/A,#N/A,FALSE,"KA CH (4)"}</definedName>
    <definedName name="fhgfhf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hjfjg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rtz" hidden="1">{#N/A,#N/A,FALSE,"PMW Gruppe 00_99";#N/A,#N/A,FALSE,"PMW KG 00_99";#N/A,#N/A,FALSE,"PMW Inc. 00_99";#N/A,#N/A,FALSE,"PMW VTECH 00_99";#N/A,#N/A,FALSE,"PMW Thail. 00_99";#N/A,#N/A,FALSE,"PMW Canada 00_99";#N/A,#N/A,FALSE,"Währungsabw. 00_99"}</definedName>
    <definedName name="File.Type" hidden="1">#REF!</definedName>
    <definedName name="FileChart" hidden="1">#REF!</definedName>
    <definedName name="fill" hidden="1">#REF!</definedName>
    <definedName name="Fill1" hidden="1">#REF!</definedName>
    <definedName name="Fill2" hidden="1">#REF!</definedName>
    <definedName name="FIMeXToEUR" hidden="1">1/EUReXToFIM</definedName>
    <definedName name="fina" hidden="1">{"Balance Sheet",#N/A,FALSE,"CONS BS";"Income Stmt",#N/A,FALSE,"CONS IS";"Cash Flow",#N/A,FALSE,"CONS BS";"Debt Service",#N/A,FALSE,"CONS BS";"Pref Div",#N/A,FALSE,"PREF STK ";"Check figures",#N/A,FALSE,"CONS BS";"CNA Je's",#N/A,FALSE,"CNA Je's"}</definedName>
    <definedName name="fina0" hidden="1">{"Balance Sheet",#N/A,FALSE,"CONS BS";"Income Stmt",#N/A,FALSE,"CONS IS";"Cash Flow",#N/A,FALSE,"CONS BS";"Debt Service",#N/A,FALSE,"CONS BS";"Pref Div",#N/A,FALSE,"PREF STK ";"Check figures",#N/A,FALSE,"CONS BS";"CNA Je's",#N/A,FALSE,"CNA Je's"}</definedName>
    <definedName name="fina26" hidden="1">{"Balance Sheet",#N/A,FALSE,"CONS BS";"Income Stmt",#N/A,FALSE,"CONS IS";"Cash Flow",#N/A,FALSE,"CONS BS";"Debt Service",#N/A,FALSE,"CONS BS";"Pref Div",#N/A,FALSE,"PREF STK ";"Check figures",#N/A,FALSE,"CONS BS";"CNA Je's",#N/A,FALSE,"CNA Je's"}</definedName>
    <definedName name="fina3" hidden="1">{"Balance Sheet",#N/A,FALSE,"CONS BS";"Income Stmt",#N/A,FALSE,"CONS IS";"Cash Flow",#N/A,FALSE,"CONS BS";"Debt Service",#N/A,FALSE,"CONS BS";"Pref Div",#N/A,FALSE,"PREF STK ";"Check figures",#N/A,FALSE,"CONS BS";"CNA Je's",#N/A,FALSE,"CNA Je's"}</definedName>
    <definedName name="fina33" hidden="1">{"Balance Sheet",#N/A,FALSE,"CONS BS";"Income Stmt",#N/A,FALSE,"CONS IS";"Cash Flow",#N/A,FALSE,"CONS BS";"Debt Service",#N/A,FALSE,"CONS BS";"Pref Div",#N/A,FALSE,"PREF STK ";"Check figures",#N/A,FALSE,"CONS BS";"CNA Je's",#N/A,FALSE,"CNA Je's"}</definedName>
    <definedName name="fina4" hidden="1">{"Balance Sheet",#N/A,FALSE,"CONS BS";"Income Stmt",#N/A,FALSE,"CONS IS";"Cash Flow",#N/A,FALSE,"CONS BS";"Debt Service",#N/A,FALSE,"CONS BS";"Pref Div",#N/A,FALSE,"PREF STK ";"Check figures",#N/A,FALSE,"CONS BS";"CNA Je's",#N/A,FALSE,"CNA Je's"}</definedName>
    <definedName name="fina44" hidden="1">{"Balance Sheet",#N/A,FALSE,"CONS BS";"Income Stmt",#N/A,FALSE,"CONS IS";"Cash Flow",#N/A,FALSE,"CONS BS";"Debt Service",#N/A,FALSE,"CONS BS";"Pref Div",#N/A,FALSE,"PREF STK ";"Check figures",#N/A,FALSE,"CONS BS";"CNA Je's",#N/A,FALSE,"CNA Je's"}</definedName>
    <definedName name="fina6" hidden="1">{"Balance Sheet",#N/A,FALSE,"CONS BS";"Income Stmt",#N/A,FALSE,"CONS IS";"Cash Flow",#N/A,FALSE,"CONS BS";"Debt Service",#N/A,FALSE,"CONS BS";"Pref Div",#N/A,FALSE,"PREF STK ";"Check figures",#N/A,FALSE,"CONS BS";"CNA Je's",#N/A,FALSE,"CNA Je's"}</definedName>
    <definedName name="fina66" hidden="1">{"Balance Sheet",#N/A,FALSE,"CONS BS";"Income Stmt",#N/A,FALSE,"CONS IS";"Cash Flow",#N/A,FALSE,"CONS BS";"Debt Service",#N/A,FALSE,"CONS BS";"Pref Div",#N/A,FALSE,"PREF STK ";"Check figures",#N/A,FALSE,"CONS BS";"CNA Je's",#N/A,FALSE,"CNA Je's"}</definedName>
    <definedName name="fina7" hidden="1">{"Balance Sheet",#N/A,FALSE,"CONS BS";"Income Stmt",#N/A,FALSE,"CONS IS";"Cash Flow",#N/A,FALSE,"CONS BS";"Debt Service",#N/A,FALSE,"CONS BS";"Pref Div",#N/A,FALSE,"PREF STK ";"Check figures",#N/A,FALSE,"CONS BS";"CNA Je's",#N/A,FALSE,"CNA Je's"}</definedName>
    <definedName name="fina77" hidden="1">{"Balance Sheet",#N/A,FALSE,"CONS BS";"Income Stmt",#N/A,FALSE,"CONS IS";"Cash Flow",#N/A,FALSE,"CONS BS";"Debt Service",#N/A,FALSE,"CONS BS";"Pref Div",#N/A,FALSE,"PREF STK ";"Check figures",#N/A,FALSE,"CONS BS";"CNA Je's",#N/A,FALSE,"CNA Je's"}</definedName>
    <definedName name="financia" hidden="1">{"Balance Sheet",#N/A,FALSE,"CONS BS";"Income Stmt",#N/A,FALSE,"CONS IS";"Cash Flow",#N/A,FALSE,"CONS BS";"Debt Service",#N/A,FALSE,"CONS BS";"Pref Div",#N/A,FALSE,"PREF STK ";"Check figures",#N/A,FALSE,"CONS BS";"CNA Je's",#N/A,FALSE,"CNA Je's"}</definedName>
    <definedName name="financial" hidden="1">{#N/A,#N/A,FALSE,"1996 Monthly Detail";#N/A,#N/A,FALSE,"1996 CashFlow";#N/A,#N/A,FALSE,"PNL By Dept";#N/A,#N/A,FALSE,"1997 Quarterly Detail";#N/A,#N/A,FALSE,"1998 Quarterly Detail";#N/A,#N/A,FALSE,"1997 Cash Flow";#N/A,#N/A,FALSE,"1998 Cash Flow"}</definedName>
    <definedName name="FINANCING_CASH" hidden="1">"FINANCING_CASH"</definedName>
    <definedName name="finast1" hidden="1">{"Balance Sheet",#N/A,FALSE,"CONS BS";"Income Stmt",#N/A,FALSE,"CONS IS";"Cash Flow",#N/A,FALSE,"CONS BS";"Debt Service",#N/A,FALSE,"CONS BS";"Pref Div",#N/A,FALSE,"PREF STK ";"Check figures",#N/A,FALSE,"CONS BS";"CNA Je's",#N/A,FALSE,"CNA Je's"}</definedName>
    <definedName name="finast11" hidden="1">{"Balance Sheet",#N/A,FALSE,"CONS BS";"Income Stmt",#N/A,FALSE,"CONS IS";"Cash Flow",#N/A,FALSE,"CONS BS";"Debt Service",#N/A,FALSE,"CONS BS";"Pref Div",#N/A,FALSE,"PREF STK ";"Check figures",#N/A,FALSE,"CONS BS";"CNA Je's",#N/A,FALSE,"CNA Je's"}</definedName>
    <definedName name="finast2" hidden="1">{"Balance Sheet",#N/A,FALSE,"CONS BS";"Income Stmt",#N/A,FALSE,"CONS IS";"Cash Flow",#N/A,FALSE,"CONS BS";"Debt Service",#N/A,FALSE,"CONS BS";"Pref Div",#N/A,FALSE,"PREF STK ";"Check figures",#N/A,FALSE,"CONS BS";"CNA Je's",#N/A,FALSE,"CNA Je's"}</definedName>
    <definedName name="finast22" hidden="1">{"Balance Sheet",#N/A,FALSE,"CONS BS";"Income Stmt",#N/A,FALSE,"CONS IS";"Cash Flow",#N/A,FALSE,"CONS BS";"Debt Service",#N/A,FALSE,"CONS BS";"Pref Div",#N/A,FALSE,"PREF STK ";"Check figures",#N/A,FALSE,"CONS BS";"CNA Je's",#N/A,FALSE,"CNA Je's"}</definedName>
    <definedName name="finc"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Finishing2" hidden="1">{"'Data'!$A$1:$D$17"}</definedName>
    <definedName name="finres" hidden="1">#REF!</definedName>
    <definedName name="fins1" hidden="1">{#N/A,#N/A,FALSE,"Calc";#N/A,#N/A,FALSE,"Sensitivity";#N/A,#N/A,FALSE,"LT Earn.Dil.";#N/A,#N/A,FALSE,"Dil. AVP"}</definedName>
    <definedName name="fj" hidden="1">{"Tages_D",#N/A,FALSE,"Tagesbericht";"Tages_PL",#N/A,FALSE,"Tagesbericht"}</definedName>
    <definedName name="fjalaslaslfasllaa" hidden="1">{#N/A,#N/A,FALSE,"을지 (4)";#N/A,#N/A,FALSE,"을지 (5)";#N/A,#N/A,FALSE,"을지 (6)"}</definedName>
    <definedName name="FJEZK" hidden="1">{#N/A,#N/A,FALSE,"Pharm";#N/A,#N/A,FALSE,"WWCM"}</definedName>
    <definedName name="FJFJ" hidden="1">{#N/A,#N/A,FALSE,"단축1";#N/A,#N/A,FALSE,"단축2";#N/A,#N/A,FALSE,"단축3";#N/A,#N/A,FALSE,"장축";#N/A,#N/A,FALSE,"4WD"}</definedName>
    <definedName name="FJFJFJFJFJFF" hidden="1">{#N/A,#N/A,FALSE,"단축1";#N/A,#N/A,FALSE,"단축2";#N/A,#N/A,FALSE,"단축3";#N/A,#N/A,FALSE,"장축";#N/A,#N/A,FALSE,"4WD"}</definedName>
    <definedName name="fjgtjtr"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fjhjd"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whf" hidden="1">{#N/A,#N/A,FALSE,"Profit Status";#N/A,#N/A,FALSE,"Invest";#N/A,#N/A,FALSE,"Revenue";#N/A,#N/A,FALSE,"Variable Cost";#N/A,#N/A,FALSE,"Options &amp; Series"}</definedName>
    <definedName name="fjyfyd" hidden="1">{#N/A,#N/A,TRUE,"Historicals";#N/A,#N/A,TRUE,"Charts";#N/A,#N/A,TRUE,"Forecasts"}</definedName>
    <definedName name="fkjfdh" hidden="1">{"mult96",#N/A,FALSE,"PETCOMP";"est96",#N/A,FALSE,"PETCOMP";"mult95",#N/A,FALSE,"PETCOMP";"est95",#N/A,FALSE,"PETCOMP";"multltm",#N/A,FALSE,"PETCOMP";"resultltm",#N/A,FALSE,"PETCOMP"}</definedName>
    <definedName name="FL" hidden="1">"DATAGROUP IT Services Holding AG, Pliezhausen"</definedName>
    <definedName name="Flagship" hidden="1">{"EXPORT",#N/A,FALSE,"A8CONTENT"}</definedName>
    <definedName name="FLKWFL" hidden="1">{"'Demand Units'!$X$11:$AD$45"}</definedName>
    <definedName name="flu"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FMittelAnfangPeriode" hidden="1">#REF!</definedName>
    <definedName name="FMittelAnfangPeriode_" hidden="1">#REF!</definedName>
    <definedName name="FMittelEndePeriode" hidden="1">#REF!</definedName>
    <definedName name="FMittelEndePeriode_" hidden="1">#REF!</definedName>
    <definedName name="FOG_자재표" hidden="1">{#N/A,#N/A,FALSE,"단축1";#N/A,#N/A,FALSE,"단축2";#N/A,#N/A,FALSE,"단축3";#N/A,#N/A,FALSE,"장축";#N/A,#N/A,FALSE,"4WD"}</definedName>
    <definedName name="FOKPEWPOF" hidden="1">{"'Demand Units'!$X$11:$AD$45"}</definedName>
    <definedName name="Folie8" hidden="1">#REF!</definedName>
    <definedName name="Football" hidden="1">{"cover",#N/A,TRUE,"Cover";"toc6",#N/A,TRUE,"TOC";"over",#N/A,TRUE,"Overview";"ts2",#N/A,TRUE,"Det_Trans_Sum";"ei2",#N/A,TRUE,"Earnings Impact";"ad2",#N/A,TRUE,"accretion dilution";"hg2",#N/A,TRUE,"Has-Gets";"pfis2",#N/A,TRUE,"Pro Forma Income Statement";"ca2",#N/A,TRUE,"Contribution_Analysis";"acq2",#N/A,TRUE,"Acquirer";"tar2",#N/A,TRUE,"Target"}</definedName>
    <definedName name="ForderungenGgKdn" hidden="1">#REF!</definedName>
    <definedName name="ForderungenGgKdn_" hidden="1">#REF!</definedName>
    <definedName name="ForecastPeriod" hidden="1">#REF!</definedName>
    <definedName name="FOREIGN_EXCHANGE" hidden="1">"FOREIGN_EXCHANGE"</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atted" hidden="1">{"'Sheet1'!$A$1:$F$101"}</definedName>
    <definedName name="Formula" hidden="1">"'&lt;ContentDefinition name=""SASMain:MKTDL.TBVOLREVENSLANEPROFITABILITY"" rsid=""287721188"" type=""PivotTable"" format=""REPORTXML"" imgfmt=""ACTIVEX"" created=""05/12/2011 19:13:38"" modifed=""05/20/2011 17:07:18"" user=""XPMUser"" apply=""False"" th'"</definedName>
    <definedName name="Fox" hidden="1">{#N/A,#N/A,FALSE,"Aging Summary";#N/A,#N/A,FALSE,"Ratio Analysis";#N/A,#N/A,FALSE,"Test 120 Day Accts";#N/A,#N/A,FALSE,"Tickmarks"}</definedName>
    <definedName name="fpa" hidden="1">{#N/A,#N/A,FALSE,"PCS"}</definedName>
    <definedName name="FPWOFPW" hidden="1">{"'Demand Units'!$X$11:$AD$45"}</definedName>
    <definedName name="fqf"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rage" hidden="1">{#N/A,#N/A,FALSE,"Aktiva";#N/A,#N/A,FALSE,"Passiva";#N/A,#N/A,FALSE,"guv";#N/A,#N/A,FALSE,"Anl-1";#N/A,#N/A,FALSE,"Anl-2";#N/A,#N/A,FALSE,"Anl-III";#N/A,#N/A,FALSE,"Ta-1-Anh";#N/A,#N/A,FALSE,"Ta-2-Anh";#N/A,#N/A,FALSE,"Ta-3-Anh";#N/A,#N/A,FALSE,"Kontroll-Blatt"}</definedName>
    <definedName name="Frank" hidden="1">{#N/A,#N/A,TRUE,"Cover sheet";#N/A,#N/A,TRUE,"DCF analysis";#N/A,#N/A,TRUE,"WACC calculation"}</definedName>
    <definedName name="frank2" hidden="1">{"'Boston'!$A$1:$AQ$152","'Summary'!$R$37","'Summary'!$A$1:$P$44"}</definedName>
    <definedName name="frdf"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fre" hidden="1">{"FY98Q1 var",#N/A,FALSE,"FY98 - Q1";"FY98Q2 var",#N/A,FALSE,"FY98 - Q2";"FY98Q3 var",#N/A,FALSE,"FY98 - Q3";"FY98Q4 var",#N/A,FALSE,"FY98 - Q4"}</definedName>
    <definedName name="fred" hidden="1">{"'Boston'!$A$1:$AQ$152","'Summary'!$R$37","'Summary'!$A$1:$P$44"}</definedName>
    <definedName name="FRFERFE" hidden="1">{#N/A,#N/A,FALSE,"Pharm";#N/A,#N/A,FALSE,"WWCM"}</definedName>
    <definedName name="FRFeXToEUR" hidden="1">1/EUReXToFRF</definedName>
    <definedName name="frfrf" hidden="1">#REF!</definedName>
    <definedName name="fro" hidden="1">{#N/A,#N/A,FALSE,"Sheet2"}</definedName>
    <definedName name="front" hidden="1">{#N/A,#N/A,TRUE,"Front Page";#N/A,#N/A,TRUE,"Content";#N/A,#N/A,TRUE,"Changes to forecast";#N/A,#N/A,TRUE,"Forecast Summaries";#N/A,#N/A,TRUE,"Q1 Summary";#N/A,#N/A,TRUE,"Q2 Summary";#N/A,#N/A,TRUE,"Q3 Summary";#N/A,#N/A,TRUE,"Q4 Summary";#N/A,#N/A,TRUE,"FY Summary";#N/A,#N/A,TRUE,"Opportunities";#N/A,#N/A,TRUE,"Risks";#N/A,#N/A,TRUE,"Target Graphs";#N/A,#N/A,TRUE,"Rev Chart";#N/A,#N/A,TRUE,"GM Chart";#N/A,#N/A,TRUE,"Offering Bar Chart";#N/A,#N/A,TRUE,"Issues";#N/A,#N/A,TRUE,"Lost Bids";#N/A,#N/A,TRUE,"Major Sales Campains";#N/A,#N/A,TRUE,"Ongoing Revenue";#N/A,#N/A,TRUE,"Names List"}</definedName>
    <definedName name="frty" hidden="1">{"PRS",#N/A,FALSE,"CM"}</definedName>
    <definedName name="fsa" hidden="1">{"cover",#N/A,TRUE,"Cover";"toc6",#N/A,TRUE,"TOC";"over",#N/A,TRUE,"Overview";"ts2",#N/A,TRUE,"Det_Trans_Sum";"ei1",#N/A,TRUE,"Earnings Impact";"ad1",#N/A,TRUE,"accretion dilution";"hg1",#N/A,TRUE,"Has-Gets";"pfis1",#N/A,TRUE,"Pro Forma Income Statement";"ca1",#N/A,TRUE,"Contribution_Analysis";"acq1",#N/A,TRUE,"Acquirer";"tar1",#N/A,TRUE,"Target"}</definedName>
    <definedName name="fsct" hidden="1">{#N/A,#N/A,FALSE,"Income Statement";#N/A,#N/A,FALSE,"Balance Sheet";#N/A,#N/A,FALSE,"AR Analysis";#N/A,#N/A,FALSE,"Inventory Analysis";#N/A,#N/A,FALSE,"Direct Material";#N/A,#N/A,FALSE,"Labor";#N/A,#N/A,FALSE,"Overhead";#N/A,#N/A,FALSE,"Capital";#N/A,#N/A,FALSE,"Indirect Roster"}</definedName>
    <definedName name="fsd" hidden="1">{#N/A,#N/A,FALSE,"Sheet1"}</definedName>
    <definedName name="fsdbdf" hidden="1">"c330"</definedName>
    <definedName name="fsdf" hidden="1">{#N/A,#N/A,FALSE,"Staffnos &amp; cost"}</definedName>
    <definedName name="fsdfsadf" hidden="1">{"investments",#N/A,FALSE,"CYTD CF Oct";"invest month",#N/A,FALSE,"CYTD CF Oct";"scf",#N/A,FALSE,"CYTD CF Oct";"direct method",#N/A,FALSE,"CYTD CF Oct";"indirect",#N/A,FALSE,"CYTD CF Oct"}</definedName>
    <definedName name="fsdsfafd" hidden="1">{"CSheet",#N/A,FALSE,"C";"SmCap",#N/A,FALSE,"VAL1";"GulfCoast",#N/A,FALSE,"VAL1";"nav",#N/A,FALSE,"NAV";"Summary",#N/A,FALSE,"NAV"}</definedName>
    <definedName name="fsfs" hidden="1">{#N/A,#N/A,FALSE,"Calc";#N/A,#N/A,FALSE,"Sensitivity";#N/A,#N/A,FALSE,"LT Earn.Dil.";#N/A,#N/A,FALSE,"Dil. AVP"}</definedName>
    <definedName name="fs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oPacific" hidden="1">{"BS",#N/A,FALSE,"USA"}</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thfftf" hidden="1">{#N/A,#N/A,TRUE,"Historicals";#N/A,#N/A,TRUE,"Charts";#N/A,#N/A,TRUE,"Forecasts"}</definedName>
    <definedName name="fthfhftft" hidden="1">{#N/A,#N/A,TRUE,"Historicals";#N/A,#N/A,TRUE,"Charts";#N/A,#N/A,TRUE,"Forecasts"}</definedName>
    <definedName name="fthfthrs" hidden="1">{#N/A,#N/A,TRUE,"Historicals";#N/A,#N/A,TRUE,"Charts";#N/A,#N/A,TRUE,"Forecasts"}</definedName>
    <definedName name="fthftthfhf" hidden="1">{#N/A,#N/A,TRUE,"Historicals";#N/A,#N/A,TRUE,"Charts";#N/A,#N/A,TRUE,"Forecasts"}</definedName>
    <definedName name="ftutyu" hidden="1">{0,#N/A,FALSE,0;0,#N/A,FALSE,0}</definedName>
    <definedName name="ftyfyfy" hidden="1">{"SCM_Detail",#N/A,FALSE,"SCM";"SCM_Top",#N/A,FALSE,"SCM"}</definedName>
    <definedName name="fuafg"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iil" hidden="1">{#N/A,#N/A,FALSE,"V3 Stab-Geb Index";#N/A,#N/A,FALSE,"Vertrieb";#N/A,#N/A,FALSE,"V Daten";#N/A,#N/A,FALSE,"V-Z-Index";#N/A,#N/A,FALSE,"V-1 Daten";#N/A,#N/A,FALSE,"V-1 Index";#N/A,#N/A,FALSE,"V-2 Index";#N/A,#N/A,FALSE,"V-3 Daten";#N/A,#N/A,FALSE,"V3 Stab-Geb Index";#N/A,#N/A,FALSE,"V-3 VG's Index";#N/A,#N/A,FALSE,"V-4 Index";#N/A,#N/A,FALSE,"V-5 Index"}</definedName>
    <definedName name="full" hidden="1">#REF!</definedName>
    <definedName name="furu" hidden="1">{#N/A,#N/A,FALSE,"INPUTS";#N/A,#N/A,FALSE,"PROFORMA BSHEET";#N/A,#N/A,FALSE,"COMBINED";#N/A,#N/A,FALSE,"HIGH YIELD";#N/A,#N/A,FALSE,"COMB_GRAPHS"}</definedName>
    <definedName name="FVG" hidden="1">{#N/A,#N/A,FALSE,"Pharm";#N/A,#N/A,FALSE,"WWCM"}</definedName>
    <definedName name="fwef" hidden="1">#N/A</definedName>
    <definedName name="fwer" hidden="1">{#N/A,"PURCHM",FALSE,"Business Analysis";#N/A,"SPADD",FALSE,"Business Analysis"}</definedName>
    <definedName name="fwwefwef"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FX_NONE" hidden="1">#REF!</definedName>
    <definedName name="FY_DATE" hidden="1">"FY_DATE"</definedName>
    <definedName name="fz" hidden="1">{"bkf1",#N/A,FALSE,"A";"bfk2",#N/A,FALSE,"A";"bfk3",#N/A,FALSE,"A";"bfk4",#N/A,FALSE,"A";"bfk5",#N/A,FALSE,"A";"bfk6",#N/A,FALSE,"A";"bfk7",#N/A,FALSE,"A";"bfk8",#N/A,FALSE,"A";"bfk9",#N/A,FALSE,"A"}</definedName>
    <definedName name="fzlfz"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g" localSheetId="54" hidden="1">'[1]Piper Heidsieck'!#REF!</definedName>
    <definedName name="g" localSheetId="55" hidden="1">'[1]Piper Heidsieck'!#REF!</definedName>
    <definedName name="g" hidden="1">{#N/A,#N/A,TRUE,"Cover sheet";#N/A,#N/A,TRUE,"DCF analysis";#N/A,#N/A,TRUE,"WACC calculation"}</definedName>
    <definedName name="ga" hidden="1">{"dcfsummary",#N/A,FALSE,"NHY - DCF Valuation";"agriculture",#N/A,FALSE,"NHY - DCF Valuation";"oilgas",#N/A,FALSE,"NHY - DCF Valuation";"oilgastot",#N/A,FALSE,"NHY - DCF Valuation";"lightmetals",#N/A,FALSE,"NHY - DCF Valuation";"petrochemicals",#N/A,FALSE,"NHY - DCF Valuation";"other",#N/A,FALSE,"NHY - DCF Valuation"}</definedName>
    <definedName name="GAIN_SALE_ASSETS" hidden="1">"GAIN_SALE_ASSETS"</definedName>
    <definedName name="gary" hidden="1">{#N/A,#N/A,TRUE,"Tar-Ass";#N/A,#N/A,TRUE,"Tar-Ass LBO";#N/A,#N/A,TRUE,"LBO Ret";#N/A,#N/A,TRUE,"Tar-BS LBO";#N/A,#N/A,TRUE,"Tar-IS LBO";#N/A,#N/A,TRUE,"Tar-CF LBO";#N/A,#N/A,TRUE,"Tar-Debt LBO";#N/A,#N/A,TRUE,"Tar-Int LBO";#N/A,#N/A,TRUE,"Tar-Taxes LBO";#N/A,#N/A,TRUE,"Tar-Val LBO"}</definedName>
    <definedName name="GASDFG" hidden="1">{#N/A,#N/A,TRUE,"Staffnos &amp; cost"}</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c_hint_new_document">#REF!</definedName>
    <definedName name="gd" hidden="1">{#N/A,#N/A,TRUE,"Cover sheet";#N/A,#N/A,TRUE,"INPUTS";#N/A,#N/A,TRUE,"OUTPUTS";#N/A,#N/A,TRUE,"VALUATION"}</definedName>
    <definedName name="gda" hidden="1">{"'下期集計（10.27迄・速報値）'!$Q$16"}</definedName>
    <definedName name="gdf" hidden="1">{#N/A,#N/A,FALSE,"Staffnos &amp; cost"}</definedName>
    <definedName name="gdff"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gdf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gdfgdf" hidden="1">{#N/A,#N/A,FALSE,"Pharm";#N/A,#N/A,FALSE,"WWCM"}</definedName>
    <definedName name="GDFHDHGF" hidden="1">{#N/A,#N/A,FALSE,"Staffnos &amp; cost"}</definedName>
    <definedName name="gdg" hidden="1">{#N/A,#N/A,FALSE,"Front Page";#N/A,#N/A,FALSE,"Contents";#N/A,#N/A,FALSE,"Deals in month";#N/A,#N/A,FALSE,"Order Tracking";#N/A,#N/A,FALSE,"Orders Committed";#N/A,#N/A,FALSE,"Orders P1-3";#N/A,#N/A,FALSE,"Major Sales Top 20";#N/A,#N/A,FALSE,"Major Sales";#N/A,#N/A,FALSE,"MJ OS Calculation sheet";#N/A,#N/A,FALSE,"MJ HPS Calculation sheet";#N/A,#N/A,FALSE,"OS Rev Track";#N/A,#N/A,FALSE,"OS Committed";#N/A,#N/A,FALSE,"OS P1-3";#N/A,#N/A,FALSE,"HPS Rev Track";#N/A,#N/A,FALSE,"HPS Committed";#N/A,#N/A,FALSE,"HPS P1-3";#N/A,#N/A,FALSE,"Lost Bids";#N/A,#N/A,FALSE,"OSD Offering Bar Chart";#N/A,#N/A,FALSE,"HPS Offering Bar Chart";#N/A,#N/A,FALSE,"Defence Offering Bar Chart";#N/A,#N/A,FALSE,"Ongoing HPS VME Revenue";#N/A,#N/A,FALSE,"Issues"}</definedName>
    <definedName name="gdgd" hidden="1">{#N/A,#N/A,FALSE,"Calc";#N/A,#N/A,FALSE,"Sensitivity";#N/A,#N/A,FALSE,"LT Earn.Dil.";#N/A,#N/A,FALSE,"Dil. AVP"}</definedName>
    <definedName name="gdgs" hidden="1">{#N/A,#N/A,FALSE,"Total";#N/A,#N/A,FALSE,"Engg";#N/A,#N/A,FALSE,"Manf";#N/A,#N/A,FALSE,"Proc";#N/A,#N/A,FALSE,"CAEL";#N/A,#N/A,FALSE,"MAEL";#N/A,#N/A,FALSE,"AESL";#N/A,#N/A,FALSE,"AeHQ";#N/A,#N/A,FALSE,"AeHQFin";#N/A,#N/A,FALSE,"AeHQPer";#N/A,#N/A,FALSE,"AeHQCHQ";#N/A,#N/A,FALSE,"PlcHQ";#N/A,#N/A,FALSE,"PlcHQFin";#N/A,#N/A,FALSE,"PlcHQPer";#N/A,#N/A,FALSE,"PlcHQCHQ";#N/A,#N/A,FALSE,"Initiatives"}</definedName>
    <definedName name="gdsa" hidden="1">{"'下期集計（10.27迄・速報値）'!$Q$16"}</definedName>
    <definedName name="gdsdfs" hidden="1">{"SCM_Detail",#N/A,FALSE,"SCM";"SCM_Top",#N/A,FALSE,"SCM"}</definedName>
    <definedName name="ge" hidden="1">{#N/A,#N/A,FALSE,"Profit Status";#N/A,#N/A,FALSE,"Invest";#N/A,#N/A,FALSE,"Revenue";#N/A,#N/A,FALSE,"Variable Cost";#N/A,#N/A,FALSE,"Options &amp; Series"}</definedName>
    <definedName name="geaegdda" hidden="1">{"'Title Transfer Units6,7,&amp;8'!$A$1:$B$4","'Title Transfer Units6,7,&amp;8'!$C$6"}</definedName>
    <definedName name="GeelCapexFcst" hidden="1">{#N/A,#N/A,FALSE,"SUMMARY";#N/A,#N/A,FALSE,"mcsh";#N/A,#N/A,FALSE,"vol&amp;rev";#N/A,#N/A,FALSE,"wkgcap";#N/A,#N/A,FALSE,"DEPR&amp;DT";#N/A,#N/A,FALSE,"ASSETS";#N/A,#N/A,FALSE,"NI&amp;OTH&amp;DIV";#N/A,#N/A,FALSE,"CASHFLOW";#N/A,#N/A,FALSE,"CAPEMPL";#N/A,#N/A,FALSE,"ROCE"}</definedName>
    <definedName name="GeelCapexFcsts" hidden="1">{#N/A,#N/A,FALSE,"SUMMARY";#N/A,#N/A,FALSE,"mcsh";#N/A,#N/A,FALSE,"vol&amp;rev";#N/A,#N/A,FALSE,"wkgcap";#N/A,#N/A,FALSE,"DEPR&amp;DT";#N/A,#N/A,FALSE,"ASSETS";#N/A,#N/A,FALSE,"NI&amp;OTH&amp;DIV";#N/A,#N/A,FALSE,"CASHFLOW";#N/A,#N/A,FALSE,"CAPEMPL";#N/A,#N/A,FALSE,"ROCE"}</definedName>
    <definedName name="gehe" hidden="1">{"Tages_D",#N/A,FALSE,"Tagesbericht";"Tages_PL",#N/A,FALSE,"Tagesbericht"}</definedName>
    <definedName name="Genesys" hidden="1">{"'comite'!$A$9:$G$44","'comite'!$A$1:$G$6"}</definedName>
    <definedName name="GES_LIST" hidden="1">#REF!,#REF!,#REF!,#REF!,#REF!,#REF!,#REF!,#REF!,#REF!,#REF!,#REF!,#REF!,#REF!,#REF!,#REF!,#REF!,#REF!,#REF!,#REF!,#REF!,#REF!,#REF!,#REF!,#REF!,#REF!,#REF!,#REF!,#REF!,#REF!,#REF!,#REF!,#REF!,#REF!,#REF!,#REF!</definedName>
    <definedName name="Gesamtkosten" hidden="1">#REF!</definedName>
    <definedName name="Gesamtkosten_" hidden="1">#REF!</definedName>
    <definedName name="GesamtkostenK" hidden="1">#REF!</definedName>
    <definedName name="GesamtkostenM" hidden="1">#REF!</definedName>
    <definedName name="GesamtkostenN" hidden="1">#REF!</definedName>
    <definedName name="Gesamtleistung" hidden="1">#REF!</definedName>
    <definedName name="Gesamtleistung_" hidden="1">#REF!</definedName>
    <definedName name="GesamtleistungK" hidden="1">#REF!</definedName>
    <definedName name="GesamtleistungM" hidden="1">#REF!</definedName>
    <definedName name="GesamtleistungN" hidden="1">#REF!</definedName>
    <definedName name="GesamtleistungZ" hidden="1">#REF!</definedName>
    <definedName name="GezZinsen" hidden="1">#REF!</definedName>
    <definedName name="GezZinsen_" hidden="1">#REF!</definedName>
    <definedName name="GezZinsenN" hidden="1">#REF!</definedName>
    <definedName name="gf"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a" hidden="1">{"FY98Q1 nvs",#N/A,FALSE,"FY98 - Q1";"FY98Q2 nvs",#N/A,FALSE,"FY98 - Q2";"FY98Q3 nvs",#N/A,FALSE,"FY98 - Q3";"FY98Q4 nvs",#N/A,FALSE,"FY98 - Q4"}</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g" hidden="1">{#N/A,#N/A,FALSE,"Staffnos &amp; cost"}</definedName>
    <definedName name="gfdgh" hidden="1">{"SUM GER",#N/A,FALSE,"SUM GER";"SUM FRA",#N/A,FALSE,"SUM FRA";"SUM ITA",#N/A,FALSE,"SUM ITA";"SUM SPA",#N/A,FALSE,"SUM SPA";"SUM EGB",#N/A,FALSE,"SUM EGB";"SUM IND",#N/A,FALSE,"SUM IND"}</definedName>
    <definedName name="gfdjhjh" hidden="1">{#N/A,#N/A,FALSE,"Pharm";#N/A,#N/A,FALSE,"WWCM"}</definedName>
    <definedName name="GFDS" hidden="1">{#N/A,#N/A,FALSE,"단축1";#N/A,#N/A,FALSE,"단축2";#N/A,#N/A,FALSE,"단축3";#N/A,#N/A,FALSE,"장축";#N/A,#N/A,FALSE,"4WD"}</definedName>
    <definedName name="gfdsge" hidden="1">{#N/A,#N/A,TRUE,"Historicals";#N/A,#N/A,TRUE,"Charts";#N/A,#N/A,TRUE,"Forecasts"}</definedName>
    <definedName name="gfdsged" hidden="1">{"REVISED",#N/A,FALSE,"Sheet1"}</definedName>
    <definedName name="gfdsgsfdy" hidden="1">{#N/A,#N/A,TRUE,"Historicals";#N/A,#N/A,TRUE,"Charts";#N/A,#N/A,TRUE,"Forecasts"}</definedName>
    <definedName name="gfdsgw" hidden="1">{#N/A,#N/A,TRUE,"Historicals";#N/A,#N/A,TRUE,"Charts";#N/A,#N/A,TRUE,"Forecasts"}</definedName>
    <definedName name="gff" hidden="1">{"sweden",#N/A,FALSE,"Sweden";"germany",#N/A,FALSE,"Germany";"portugal",#N/A,FALSE,"Portugal";"belgium",#N/A,FALSE,"Belgium";"japan",#N/A,FALSE,"Japan ";"italy",#N/A,FALSE,"Italy";"spain",#N/A,FALSE,"Spain";"korea",#N/A,FALSE,"Korea"}</definedName>
    <definedName name="gfgffgf" hidden="1">{"mgmt forecast",#N/A,FALSE,"Mgmt Forecast";"dcf table",#N/A,FALSE,"Mgmt Forecast";"sensitivity",#N/A,FALSE,"Mgmt Forecast";"table inputs",#N/A,FALSE,"Mgmt Forecast";"calculations",#N/A,FALSE,"Mgmt Forecast"}</definedName>
    <definedName name="gfghdfgdf" hidden="1">{#N/A,#N/A,FALSE,"Umsatz CH";#N/A,#N/A,FALSE,"ER CH";#N/A,#N/A,FALSE,"EA CH (2) ";#N/A,#N/A,FALSE,"EA CH";#N/A,#N/A,FALSE,"EA CH (3) ";#N/A,#N/A,FALSE,"EA CH (4)";#N/A,#N/A,FALSE,"KA CH";#N/A,#N/A,FALSE,"KA CH  (2)";#N/A,#N/A,FALSE,"KA CH  (3)";#N/A,#N/A,FALSE,"KA CH (4)"}</definedName>
    <definedName name="gfh" hidden="1">{"CSheet",#N/A,FALSE,"C";"SmCap",#N/A,FALSE,"VAL1";"GulfCoast",#N/A,FALSE,"VAL1";"nav",#N/A,FALSE,"NAV";"Summary",#N/A,FALSE,"NAV"}</definedName>
    <definedName name="gfhfgh" hidden="1">{#N/A,#N/A,FALSE,"Umsatz HM";#N/A,#N/A,FALSE,"ER HM";#N/A,#N/A,FALSE,"EA HM  (2)";#N/A,#N/A,FALSE,"EA HM ";#N/A,#N/A,FALSE,"EA HM  (4)";#N/A,#N/A,FALSE,"EA HM  (3)";#N/A,#N/A,FALSE,"KA HM  (2)";#N/A,#N/A,FALSE,"KA HM";#N/A,#N/A,FALSE,"KA HM  (3)";#N/A,#N/A,FALSE,"KA HM (4)"}</definedName>
    <definedName name="gfhfghgsdfghfg" hidden="1">{#N/A,#N/A,FALSE,"Umsatz 99";#N/A,#N/A,FALSE,"ER 99 "}</definedName>
    <definedName name="gfhh" hidden="1">{#N/A,#N/A,FALSE,"Umsatz CH";#N/A,#N/A,FALSE,"ER CH";#N/A,#N/A,FALSE,"EA CH (2) ";#N/A,#N/A,FALSE,"EA CH";#N/A,#N/A,FALSE,"EA CH (3) ";#N/A,#N/A,FALSE,"EA CH (4)";#N/A,#N/A,FALSE,"KA CH";#N/A,#N/A,FALSE,"KA CH  (2)";#N/A,#N/A,FALSE,"KA CH  (3)";#N/A,#N/A,FALSE,"KA CH (4)"}</definedName>
    <definedName name="gfhtf"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GFJG" hidden="1">{#N/A,#N/A,FALSE,"단축1";#N/A,#N/A,FALSE,"단축2";#N/A,#N/A,FALSE,"단축3";#N/A,#N/A,FALSE,"장축";#N/A,#N/A,FALSE,"4WD"}</definedName>
    <definedName name="gfkf"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gfr" hidden="1">{#N/A,#N/A,FALSE,"Staffnos &amp; cost"}</definedName>
    <definedName name="gfrr" hidden="1">{#N/A,#N/A,FALSE,"Umsatz 99";#N/A,#N/A,FALSE,"ER 99 "}</definedName>
    <definedName name="gfsd" hidden="1">{"consolidated",#N/A,FALSE,"Sheet1";"cms",#N/A,FALSE,"Sheet1";"fse",#N/A,FALSE,"Sheet1"}</definedName>
    <definedName name="gfsdgsdgf" hidden="1">{#N/A,#N/A,TRUE,"Historicals";#N/A,#N/A,TRUE,"Charts";#N/A,#N/A,TRUE,"Forecasts"}</definedName>
    <definedName name="gg" hidden="1">{#N/A,#N/A,FALSE,"Operations";#N/A,#N/A,FALSE,"Financials"}</definedName>
    <definedName name="ggf" hidden="1">{"comps",#N/A,FALSE,"comps";"notes",#N/A,FALSE,"comps"}</definedName>
    <definedName name="ggfgf" hidden="1">{#N/A,#N/A,FALSE,"Tab 5 - Budget Statement";#N/A,#N/A,FALSE,"Tab 4 - Financial Worksheet";#N/A,#N/A,FALSE,"Tab 1 - Resource Worksheet";#N/A,#N/A,FALSE,"Tab 2 - Educ-Travel-Ent";#N/A,#N/A,FALSE,"Tab 3 - Hardware-Software"}</definedName>
    <definedName name="ggg" hidden="1">{#N/A,#N/A,FALSE,"Aging Summary";#N/A,#N/A,FALSE,"Ratio Analysis";#N/A,#N/A,FALSE,"Test 120 Day Accts";#N/A,#N/A,FALSE,"Tickmarks"}</definedName>
    <definedName name="gggg" hidden="1">{#N/A,#N/A,FALSE,"ADNAMES.XLS";#N/A,#N/A,FALSE,"EQNAMES.XLS";#N/A,#N/A,FALSE,"INNAMES.XLS";#N/A,#N/A,FALSE,"HYNAMES.XLS";#N/A,#N/A,FALSE,"FIXNAMES.XLS";#N/A,#N/A,FALSE,"MONNAMES.XLS";#N/A,#N/A,FALSE,"TECNAMES.XLS"}</definedName>
    <definedName name="ggggg" hidden="1">{"budget992000_customers",#N/A,FALSE,"Celtel alternative 6"}</definedName>
    <definedName name="ggggggg" hidden="1">{"budget992000 profit and loss",#N/A,FALSE,"Celtel alternative 6"}</definedName>
    <definedName name="GGGGGGGGGGG" hidden="1">{"London cttee condensed",#N/A,FALSE,"Dev Panel Cut Report";"South East cttee condensed",#N/A,FALSE,"Dev Panel Cut Report"}</definedName>
    <definedName name="gggggggggggggg" hidden="1">{#N/A,#N/A,TRUE,"Cont_Stell";#N/A,#N/A,TRUE,"BTG";#N/A,#N/A,TRUE,"SH";#N/A,#N/A,TRUE,"GUV";#N/A,#N/A,TRUE,"Bilanz";#N/A,#N/A,TRUE,"WC";#N/A,#N/A,TRUE,"Beweg_bil";#N/A,#N/A,TRUE,"Kap_fluß";#N/A,#N/A,TRUE,"KENNZ";#N/A,#N/A,TRUE,"ANALYSE"}</definedName>
    <definedName name="gghghg" hidden="1">{"Data",#N/A,FALSE,"M_VGBUS3";"Graphs1",#N/A,FALSE,"M_VGBUS3";"Volume1",#N/A,FALSE,"M_VGBUS3";"Index1",#N/A,FALSE,"M_VGBUS3";"NUR1",#N/A,FALSE,"M_VGBUS3";"Return1",#N/A,FALSE,"M_VGBUS3";"Licencing1",#N/A,FALSE,"M_VGBUS3";"MFG1",#N/A,FALSE,"M_VGBUS3"}</definedName>
    <definedName name="g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ghd" hidden="1">{#N/A,#N/A,FALSE,"Aging Summary";#N/A,#N/A,FALSE,"Ratio Analysis";#N/A,#N/A,FALSE,"Test 120 Day Accts";#N/A,#N/A,FALSE,"Tickmarks"}</definedName>
    <definedName name="ghdf" hidden="1">{"Acq_matrix",#N/A,FALSE,"Acquisition Matrix"}</definedName>
    <definedName name="GHDHGFJFJJGFJF" hidden="1">{#N/A,#N/A,FALSE,"Staffnos &amp; cost"}</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gh" hidden="1">{#N/A,#N/A,FALSE,"Umsatz CH";#N/A,#N/A,FALSE,"ER CH";#N/A,#N/A,FALSE,"EA CH (2) ";#N/A,#N/A,FALSE,"EA CH";#N/A,#N/A,FALSE,"EA CH (3) ";#N/A,#N/A,FALSE,"EA CH (4)";#N/A,#N/A,FALSE,"KA CH";#N/A,#N/A,FALSE,"KA CH  (2)";#N/A,#N/A,FALSE,"KA CH  (3)";#N/A,#N/A,FALSE,"KA CH (4)"}</definedName>
    <definedName name="ghfs" hidden="1">{#N/A,#N/A,TRUE,"Historicals";#N/A,#N/A,TRUE,"Charts";#N/A,#N/A,TRUE,"Forecasts"}</definedName>
    <definedName name="ghggg" hidden="1">1/EUReXToESP</definedName>
    <definedName name="ghgh" hidden="1">#REF!</definedName>
    <definedName name="ghghdrtd" hidden="1">{#N/A,#N/A,TRUE,"Historicals";#N/A,#N/A,TRUE,"Charts";#N/A,#N/A,TRUE,"Forecasts"}</definedName>
    <definedName name="ghgt" hidden="1">{#N/A,#N/A,TRUE,"FR_HC";#N/A,#N/A,TRUE,"FR_REST";#N/A,#N/A,TRUE,"FR_RETA";#N/A,#N/A,TRUE,"FR_TECSOF";#N/A,#N/A,TRUE,"FR_NETTEC";#N/A,#N/A,TRUE,"FR_CLISER"}</definedName>
    <definedName name="ghh" hidden="1">{"cred comp",#N/A,FALSE,"Comparable Credit Analysis";"IS",#N/A,FALSE,"IS";"Sensitivity",#N/A,FALSE,"Sensitivity";"BS",#N/A,FALSE,"BS";"Bond Summary",#N/A,FALSE,"B Summary";"AD",#N/A,FALSE,"Accretion";"NAV",#N/A,FALSE,"NAV";"SU",#N/A,FALSE,"S&amp;U";"acq. study",#N/A,FALSE,"Acq. Study";"F Charges",#N/A,FALSE,"Fixed Charges"}</definedName>
    <definedName name="ghhghd" hidden="1">{"mgmt forecast",#N/A,FALSE,"Mgmt Forecast";"dcf table",#N/A,FALSE,"Mgmt Forecast";"sensitivity",#N/A,FALSE,"Mgmt Forecast";"table inputs",#N/A,FALSE,"Mgmt Forecast";"calculations",#N/A,FALSE,"Mgmt Forecast"}</definedName>
    <definedName name="ghhhg" hidden="1">{#N/A,#N/A,FALSE,"ORIX CSC"}</definedName>
    <definedName name="ghi"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ghj" hidden="1">{"CSheet",#N/A,FALSE,"C";"SmCap",#N/A,FALSE,"VAL1";"GulfCoast",#N/A,FALSE,"VAL1";"nav",#N/A,FALSE,"NAV";"Summary",#N/A,FALSE,"NAV"}</definedName>
    <definedName name="ghj.ljj" hidden="1">{#N/A,#N/A,FALSE,"Produkte Erw.";#N/A,#N/A,FALSE,"Produkte Plan";#N/A,#N/A,FALSE,"Leistungen Erw.";#N/A,#N/A,FALSE,"Leistungen Plan";#N/A,#N/A,FALSE,"KA Allg.Kosten (2)";#N/A,#N/A,FALSE,"KA All.Kosten"}</definedName>
    <definedName name="ghj.zz" hidden="1">{#N/A,#N/A,FALSE,"Umsatz CH";#N/A,#N/A,FALSE,"ER CH";#N/A,#N/A,FALSE,"EA CH (2) ";#N/A,#N/A,FALSE,"EA CH";#N/A,#N/A,FALSE,"EA CH (3) ";#N/A,#N/A,FALSE,"EA CH (4)";#N/A,#N/A,FALSE,"KA CH";#N/A,#N/A,FALSE,"KA CH  (2)";#N/A,#N/A,FALSE,"KA CH  (3)";#N/A,#N/A,FALSE,"KA CH (4)"}</definedName>
    <definedName name="ghjggjh" hidden="1">{#N/A,#N/A,FALSE,"Pharm";#N/A,#N/A,FALSE,"WWCM"}</definedName>
    <definedName name="ghjhgj" hidden="1">{#N/A,#N/A,FALSE,"PMW Gruppe 99_98";#N/A,#N/A,FALSE,"PMW KG 98_99";#N/A,#N/A,FALSE,"PMW Inc. 99_98";#N/A,#N/A,FALSE,"PMW VTECH 99_98";#N/A,#N/A,FALSE,"PMW Thail. 99_98";#N/A,#N/A,FALSE,"PMW Canada 99_98";#N/A,#N/A,FALSE,"Währungsabw. 99_98"}</definedName>
    <definedName name="ghjhgjh" hidden="1">{#N/A,#N/A,FALSE,"KA CH  (2)"}</definedName>
    <definedName name="ghjhj" hidden="1">{#N/A,#N/A,FALSE,"Umsatz EO BP";#N/A,#N/A,FALSE,"Umsatz EO OP";#N/A,#N/A,FALSE,"ER EO BP";#N/A,#N/A,FALSE,"ER EO OP";#N/A,#N/A,FALSE,"EA EO (2)";#N/A,#N/A,FALSE,"EA EO";#N/A,#N/A,FALSE,"EA EO (3)";#N/A,#N/A,FALSE,"EA EO (4)";#N/A,#N/A,FALSE,"KA EO  (2)";#N/A,#N/A,FALSE,"KA EO";#N/A,#N/A,FALSE,"KA EO  (3)";#N/A,#N/A,FALSE,"KA EO (4)"}</definedName>
    <definedName name="ghj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ghk" hidden="1">{#N/A,#N/A,FALSE,"Mittelherkunft";#N/A,#N/A,FALSE,"Mittelverwendung"}</definedName>
    <definedName name="ghkg"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ghkgh"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ghu"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huifd" hidden="1">{#N/A,"PURCHM",FALSE,"Business Analysis";#N/A,"SPADD",FALSE,"Business Analysis"}</definedName>
    <definedName name="GH일정" hidden="1">{#N/A,#N/A,FALSE,"단축1";#N/A,#N/A,FALSE,"단축2";#N/A,#N/A,FALSE,"단축3";#N/A,#N/A,FALSE,"장축";#N/A,#N/A,FALSE,"4WD"}</definedName>
    <definedName name="GIGI" hidden="1">{"FY98Q1",#N/A,FALSE,"FY98 - Q1";"FY98Q2",#N/A,FALSE,"FY98 - Q2";"FY98Q3",#N/A,FALSE,"FY98 - Q3";"FY98Q4",#N/A,FALSE,"FY98 - Q4"}</definedName>
    <definedName name="GIO" hidden="1">{"'Future Reviews'!$A$1:$D$58"}</definedName>
    <definedName name="GIORGIO" hidden="1">{"FY97Q1 var",#N/A,FALSE,"FY97 - Q1";"FY97Q2 var",#N/A,FALSE,"FY97 - Q2";"FY97Q3 var",#N/A,FALSE,"FY97 - Q3";"FY97Q4 var",#N/A,FALSE,"FY97 - Q4"}</definedName>
    <definedName name="GJ" hidden="1">"2009/2010"</definedName>
    <definedName name="gjh" hidden="1">{#N/A,#N/A,FALSE,"Umsatz 99";#N/A,#N/A,FALSE,"ER 99 "}</definedName>
    <definedName name="gjhk"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gjio" hidden="1">{"cred comp",#N/A,FALSE,"Comparable Credit Analysis";"IS",#N/A,FALSE,"IS";"Sensitivity",#N/A,FALSE,"Sensitivity";"BS",#N/A,FALSE,"BS";"Bond Summary",#N/A,FALSE,"B Summary";"AD",#N/A,FALSE,"Accretion";"NAV",#N/A,FALSE,"NAV";"SU",#N/A,FALSE,"S&amp;U";"acq. study",#N/A,FALSE,"Acq. Study";"F Charges",#N/A,FALSE,"Fixed Charges"}</definedName>
    <definedName name="gjk" hidden="1">{#N/A,#N/A,FALSE,"Umsatz HM";#N/A,#N/A,FALSE,"ER HM";#N/A,#N/A,FALSE,"EA HM  (2)";#N/A,#N/A,FALSE,"EA HM ";#N/A,#N/A,FALSE,"EA HM  (4)";#N/A,#N/A,FALSE,"EA HM  (3)";#N/A,#N/A,FALSE,"KA HM  (2)";#N/A,#N/A,FALSE,"KA HM";#N/A,#N/A,FALSE,"KA HM  (3)";#N/A,#N/A,FALSE,"KA HM (4)"}</definedName>
    <definedName name="gjsf" hidden="1">{"targetdcf",#N/A,FALSE,"Merger consequences";"TARGETASSU",#N/A,FALSE,"Merger consequences";"TERMINAL VALUE",#N/A,FALSE,"Merger consequences"}</definedName>
    <definedName name="gk" hidden="1">{#N/A,#N/A,FALSE,"Cover";#N/A,#N/A,FALSE,"Assumptions";#N/A,#N/A,FALSE,"Volumes";#N/A,#N/A,FALSE,"Pricing";#N/A,#N/A,FALSE,"TFLE Walk";#N/A,#N/A,FALSE,"Variable Cost";#N/A,#N/A,FALSE,"Sensitivity";#N/A,#N/A,FALSE,"Investment";#N/A,#N/A,FALSE,"Profitability"}</definedName>
    <definedName name="gkg"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gkjgi" hidden="1">{"direct labor",#N/A,FALSE,"labor";"direct labor1",#N/A,FALSE,"labor"}</definedName>
    <definedName name="gkjjk" hidden="1">{#N/A,#N/A,FALSE,"Umsatz CH";#N/A,#N/A,FALSE,"ER CH";#N/A,#N/A,FALSE,"EA CH (2) ";#N/A,#N/A,FALSE,"EA CH";#N/A,#N/A,FALSE,"EA CH (3) ";#N/A,#N/A,FALSE,"EA CH (4)";#N/A,#N/A,FALSE,"KA CH";#N/A,#N/A,FALSE,"KA CH  (2)";#N/A,#N/A,FALSE,"KA CH  (3)";#N/A,#N/A,FALSE,"KA CH (4)"}</definedName>
    <definedName name="gkn" hidden="1">{#N/A,#N/A,FALSE,"COVER PAGE";#N/A,#N/A,FALSE,"Page 2";#N/A,#N/A,FALSE,"Page 2";#N/A,#N/A,FALSE,"Page 4";#N/A,#N/A,FALSE,"Page5";#N/A,#N/A,FALSE,"Page 6";#N/A,#N/A,FALSE,"Page 7";#N/A,#N/A,FALSE,"Page 8";#N/A,#N/A,FALSE,"Page 10";#N/A,#N/A,FALSE,"Long-Term OCF Mult.";#N/A,#N/A,FALSE,"PCS Comp";#N/A,#N/A,FALSE,"OCS-CAPEX";#N/A,#N/A,FALSE,"Blank"}</definedName>
    <definedName name="GlideChartMarker" hidden="1">"Chart!A1"</definedName>
    <definedName name="GlideDataMarker" hidden="1">"Data!A1"</definedName>
    <definedName name="GlideHiddenMarker" hidden="1">"Costcurvedata!A1"</definedName>
    <definedName name="GlideMaxCharts" hidden="1">7</definedName>
    <definedName name="Global1" hidden="1">{#N/A,#N/A,FALSE,"Pharm";#N/A,#N/A,FALSE,"WWCM"}</definedName>
    <definedName name="Gloss" hidden="1">{#N/A,#N/A,FALSE,"Cover";#N/A,#N/A,FALSE,"Assumptions";#N/A,#N/A,FALSE,"Volumes";#N/A,#N/A,FALSE,"Pricing";#N/A,#N/A,FALSE,"TFLE Walk";#N/A,#N/A,FALSE,"Variable Cost";#N/A,#N/A,FALSE,"Sensitivity";#N/A,#N/A,FALSE,"Investment";#N/A,#N/A,FALSE,"Profitability"}</definedName>
    <definedName name="gls_ACT_EST_ROW" hidden="1">#N/A</definedName>
    <definedName name="gls_ACT_FORM_OFFSET" hidden="1">#N/A</definedName>
    <definedName name="gls_AnalystEmpNoHeading" hidden="1">#N/A</definedName>
    <definedName name="gls_AnalystNameHeading" hidden="1">#N/A</definedName>
    <definedName name="gls_EST_FORM_OFFSET" hidden="1">#N/A</definedName>
    <definedName name="gls_EXTERNAL_COL_REF" hidden="1">#N/A</definedName>
    <definedName name="gls_FIRST_ITEM" hidden="1">#N/A</definedName>
    <definedName name="gls_FIRST_PK" hidden="1">#N/A</definedName>
    <definedName name="gls_FIRST_ROWMULT" hidden="1">#N/A</definedName>
    <definedName name="gls_FIRST_UNITS" hidden="1">#N/A</definedName>
    <definedName name="gls_FIXED_NAMES" hidden="1">#N/A</definedName>
    <definedName name="gls_FONT_STATUS" hidden="1">#N/A</definedName>
    <definedName name="gls_GenAccountingConvention" hidden="1">#N/A</definedName>
    <definedName name="gls_GenCompany" hidden="1">#N/A</definedName>
    <definedName name="gls_GenCompanyInfo" hidden="1">#N/A</definedName>
    <definedName name="gls_GenCountry" hidden="1">#N/A</definedName>
    <definedName name="gls_GenCurrency" hidden="1">#N/A</definedName>
    <definedName name="gls_GenCurrencyMultiplier" hidden="1">#N/A</definedName>
    <definedName name="gls_GenEnterCompInfo" hidden="1">#N/A</definedName>
    <definedName name="gls_GenLastPriceTargetRevised" hidden="1">#N/A</definedName>
    <definedName name="gls_GenLastPublished" hidden="1">#N/A</definedName>
    <definedName name="gls_GenLastRecRevised" hidden="1">#N/A</definedName>
    <definedName name="gls_GenMainInfo" hidden="1">#N/A</definedName>
    <definedName name="gls_GenProfile" hidden="1">#N/A</definedName>
    <definedName name="gls_GenRecComment" hidden="1">#N/A</definedName>
    <definedName name="gls_GenSheetVersion" hidden="1">#N/A</definedName>
    <definedName name="gls_genStockCore" hidden="1">#N/A</definedName>
    <definedName name="gls_genStockRec" hidden="1">#N/A</definedName>
    <definedName name="gls_GenTargetCurrency" hidden="1">#N/A</definedName>
    <definedName name="gls_IssuedStockClassHeading" hidden="1">#N/A</definedName>
    <definedName name="gls_IssuedStockCodeHeading" hidden="1">#N/A</definedName>
    <definedName name="gls_IssuedStockFreeFloatHeading" hidden="1">#N/A</definedName>
    <definedName name="gls_KEY_DATA" hidden="1">#N/A</definedName>
    <definedName name="gls_KEY_VALUE" hidden="1">#N/A</definedName>
    <definedName name="gls_PERIOD_CODE" hidden="1">#N/A</definedName>
    <definedName name="gls_PERIOD_INDICATOR" hidden="1">#N/A</definedName>
    <definedName name="gls_PERIOD_PARENT_OR_CONSOL" hidden="1">#N/A</definedName>
    <definedName name="gls_PERIOD_TYPE" hidden="1">#N/A</definedName>
    <definedName name="gls_PrincipalStockClass" hidden="1">#N/A</definedName>
    <definedName name="gls_ShareholderClassHeading" hidden="1">#N/A</definedName>
    <definedName name="gls_ShareholderHolding" hidden="1">#N/A</definedName>
    <definedName name="gls_ShareholderHoldingHeading" hidden="1">#N/A</definedName>
    <definedName name="gls_ShareholderName" hidden="1">#N/A</definedName>
    <definedName name="gls_ShareholderNameHeading" hidden="1">#N/A</definedName>
    <definedName name="gls_ShareholdingName" hidden="1">#N/A</definedName>
    <definedName name="gls_SPARE_YEARS" hidden="1">#N/A</definedName>
    <definedName name="gls_START_FORMULA_OVERRIDEABLE" hidden="1">#N/A</definedName>
    <definedName name="gls_START_LOCAL_NAMES" hidden="1">#N/A</definedName>
    <definedName name="gls_START_PERIOD_CURRENCY" hidden="1">#N/A</definedName>
    <definedName name="gls_START_STATUS" hidden="1">#N/A</definedName>
    <definedName name="gls_START_USER_STATUS" hidden="1">#N/A</definedName>
    <definedName name="gls_START_VALIDATION" hidden="1">#N/A</definedName>
    <definedName name="gls_START_WHAT" hidden="1">#N/A</definedName>
    <definedName name="gls_START_YEAR" hidden="1">#N/A</definedName>
    <definedName name="gls_TEMP_PERIOD_CODE" hidden="1">#N/A</definedName>
    <definedName name="gls_YEAR_AE_CONTROL" hidden="1">#N/A</definedName>
    <definedName name="gls_YEAR_END_ROW" hidden="1">#N/A</definedName>
    <definedName name="gma" hidden="1">{"Avorstand",#N/A,TRUE,"Abf. Szenario ";"Bnord",#N/A,TRUE,"Abf. Szenario ";"Cnordwest",#N/A,TRUE,"Abf. Szenario ";"Dwest",#N/A,TRUE,"Abf. Szenario ";"Esüdwest",#N/A,TRUE,"Abf. Szenario ";"Fsüd",#N/A,TRUE,"Abf. Szenario ";"Host",#N/A,TRUE,"Abf. Szenario ";"Gesamt",#N/A,TRUE,"Abf. Szenario "}</definedName>
    <definedName name="gmcol" hidden="1">#REF!</definedName>
    <definedName name="gndnd" hidden="1">{#N/A,#N/A,TRUE,"Historicals";#N/A,#N/A,TRUE,"Charts";#N/A,#N/A,TRUE,"Forecasts"}</definedName>
    <definedName name="gnfd" hidden="1">{#N/A,#N/A,TRUE,"Historicals";#N/A,#N/A,TRUE,"Charts";#N/A,#N/A,TRUE,"Forecasts"}</definedName>
    <definedName name="gnhf" hidden="1">{"K GuV o. Kommentar",#N/A,FALSE,"Kaufhof"}</definedName>
    <definedName name="go" hidden="1">{"TOTAL",#N/A,FALSE,"A";"FISCAL94",#N/A,FALSE,"A";"FISCAL95",#N/A,FALSE,"A";"FISCAL96",#N/A,FALSE,"A";"misc page",#N/A,FALSE,"A"}</definedName>
    <definedName name="gods" hidden="1">{"consolidated",#N/A,FALSE,"Sheet1";"cms",#N/A,FALSE,"Sheet1";"fse",#N/A,FALSE,"Sheet1"}</definedName>
    <definedName name="gogo" hidden="1">{#N/A,#N/A,TRUE,"Cover sheet";#N/A,#N/A,TRUE,"INPUTS";#N/A,#N/A,TRUE,"OUTPUTS";#N/A,#N/A,TRUE,"VALUATION"}</definedName>
    <definedName name="GOODWILL_NET" hidden="1">"GOODWILL_NET"</definedName>
    <definedName name="gors" hidden="1">{"var_page",#N/A,FALSE,"template"}</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rade" hidden="1">{"NissanDetail",#N/A,FALSE,"1096NNA";"InfinitiDetail",#N/A,FALSE,"1096NNA";"PartsServDetail",#N/A,FALSE,"1096NNA";"VehicleOpsDetail",#N/A,FALSE,"1096NNA";"OtherexpDetail",#N/A,FALSE,"1096NNA"}</definedName>
    <definedName name="Gradewalk" hidden="1">{"RES-2001",#N/A,FALSE,"BL2000";"A1-2001",#N/A,FALSE,"BL2000";"A2-2001",#N/A,FALSE,"BL2000"}</definedName>
    <definedName name="GRAFICA" hidden="1">{"'Data'!$A$1:$D$17"}</definedName>
    <definedName name="Grafik1" hidden="1">{"mgmt forecast",#N/A,FALSE,"Mgmt Forecast";"dcf table",#N/A,FALSE,"Mgmt Forecast";"sensitivity",#N/A,FALSE,"Mgmt Forecast";"table inputs",#N/A,FALSE,"Mgmt Forecast";"calculations",#N/A,FALSE,"Mgmt Forecast"}</definedName>
    <definedName name="graham" hidden="1">{"ICD Details",#N/A,FALSE,"Current Yr";"ICD Details",#N/A,FALSE,"Budget";"ICD Details",#N/A,FALSE,"Prior Year"}</definedName>
    <definedName name="graph" hidden="1">{#N/A,#N/A,FALSE,"REPORT"}</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erewg" hidden="1">{#N/A,#N/A,TRUE,"Historicals";#N/A,#N/A,TRUE,"Charts";#N/A,#N/A,TRUE,"Forecasts"}</definedName>
    <definedName name="grewgfd" hidden="1">{#N/A,#N/A,TRUE,"Historicals";#N/A,#N/A,TRUE,"Charts";#N/A,#N/A,TRUE,"Forecasts"}</definedName>
    <definedName name="grewghythyt" hidden="1">{#N/A,#N/A,TRUE,"Historicals";#N/A,#N/A,TRUE,"Charts";#N/A,#N/A,TRUE,"Forecasts"}</definedName>
    <definedName name="grewgregs" hidden="1">{#N/A,#N/A,TRUE,"Historicals";#N/A,#N/A,TRUE,"Charts";#N/A,#N/A,TRUE,"Forecasts"}</definedName>
    <definedName name="grewgres" hidden="1">{#N/A,#N/A,TRUE,"Historicals";#N/A,#N/A,TRUE,"Charts";#N/A,#N/A,TRUE,"Forecasts"}</definedName>
    <definedName name="grewgrewg" hidden="1">{#N/A,#N/A,TRUE,"Historicals";#N/A,#N/A,TRUE,"Charts";#N/A,#N/A,TRUE,"Forecasts"}</definedName>
    <definedName name="grghfgfg" hidden="1">{#N/A,#N/A,FALSE,"Umsatz CH";#N/A,#N/A,FALSE,"ER CH";#N/A,#N/A,FALSE,"EA CH (2) ";#N/A,#N/A,FALSE,"EA CH";#N/A,#N/A,FALSE,"EA CH (3) ";#N/A,#N/A,FALSE,"EA CH (4)";#N/A,#N/A,FALSE,"KA CH";#N/A,#N/A,FALSE,"KA CH  (2)";#N/A,#N/A,FALSE,"KA CH  (3)";#N/A,#N/A,FALSE,"KA CH (4)"}</definedName>
    <definedName name="GROSS_DIVID" hidden="1">"GROSS_DIVID"</definedName>
    <definedName name="GROSS_MARGIN" hidden="1">"GROSS_MARGIN"</definedName>
    <definedName name="GROSS_PROFIT" hidden="1">"GROSS_PROFIT"</definedName>
    <definedName name="grossnetdebt" hidden="1">#REF!</definedName>
    <definedName name="grq" hidden="1">{"'WS Sales by Rep'!$A$24:$L$46"}</definedName>
    <definedName name="grr" hidden="1">{"risultati",#N/A,FALSE,"Revenues";"ricavi advertising",#N/A,FALSE,"Revenues";"ricavi e-commerce",#N/A,FALSE,"Revenues";"ricavi fee for content",#N/A,FALSE,"Revenues";"costi infrastruttura",#N/A,FALSE,"Costi";"altri costi",#N/A,FALSE,"Costi";"conto economico",#N/A,FALSE,"Conto economico";"Flussi di cassa",#N/A,FALSE,"FCF"}</definedName>
    <definedName name="grtr" hidden="1">{"graph",#N/A,FALSE,"WWJU";"graph",#N/A,FALSE,"WWSEM";"graph",#N/A,FALSE,"GOMJU";"graph",#N/A,FALSE,"GOMSEM";"graph",#N/A,FALSE,"NSJU";"graph",#N/A,FALSE,"NSSEM";"graph",#N/A,FALSE,"WAJU";"graph",#N/A,FALSE,"STOCKPRI";"graph",#N/A,FALSE,"CFTEV";"graph",#N/A,FALSE,"NAV-RCV";"graph",#N/A,FALSE,"CRUDEWW"}</definedName>
    <definedName name="Grundstuecksaufwand" hidden="1">#REF!</definedName>
    <definedName name="Grundstuecksaufwand_" hidden="1">#REF!</definedName>
    <definedName name="GrundstuecksaufwandN" hidden="1">#REF!</definedName>
    <definedName name="Grundstuecksertraege" hidden="1">#REF!</definedName>
    <definedName name="Grundstuecksertraege_" hidden="1">#REF!</definedName>
    <definedName name="GrundstuecksertraegeN" hidden="1">#REF!</definedName>
    <definedName name="gsadfgfd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gsd" hidden="1">{"SCM_Detail",#N/A,FALSE,"SCM";"SCM_Top",#N/A,FALSE,"SCM"}</definedName>
    <definedName name="gsergf" hidden="1">{#N/A,#N/A,TRUE,"Historicals";#N/A,#N/A,TRUE,"Charts";#N/A,#N/A,TRUE,"Forecasts"}</definedName>
    <definedName name="gsfhdghdgh654q" hidden="1">{"dcfsummary",#N/A,FALSE,"NHY - DCF Valuation";"agriculture",#N/A,FALSE,"NHY - DCF Valuation";"oilgas",#N/A,FALSE,"NHY - DCF Valuation";"oilgastot",#N/A,FALSE,"NHY - DCF Valuation";"lightmetals",#N/A,FALSE,"NHY - DCF Valuation";"petrochemicals",#N/A,FALSE,"NHY - DCF Valuation";"other",#N/A,FALSE,"NHY - DCF Valuation"}</definedName>
    <definedName name="gsgf" hidden="1">{"'Plan_vs_Actual'!$B$3:$U$27"}</definedName>
    <definedName name="gty" hidden="1">{"QTD_PACKAGE",#N/A,FALSE,"QTD"}</definedName>
    <definedName name="gukhjhjhjg" hidden="1">{#N/A,#N/A,TRUE,"Historicals";#N/A,#N/A,TRUE,"Charts";#N/A,#N/A,TRUE,"Forecasts"}</definedName>
    <definedName name="GuV" localSheetId="54" hidden="1">{#N/A,#N/A,FALSE,"SKG_SC";#N/A,#N/A,FALSE,"SKG_KP";#N/A,#N/A,FALSE,"SCG_KC";#N/A,#N/A,FALSE,"SKG_PM";#N/A,#N/A,FALSE,"SKG_Asta";#N/A,#N/A,FALSE,"SKG_DE";#N/A,#N/A,FALSE,"SKG_FA";#N/A,#N/A,FALSE,"SKG_EM";#N/A,#N/A,FALSE,"SKG_AK";#N/A,#N/A,FALSE,"SKG_CER";#N/A,#N/A,FALSE,"SKG_BA";#N/A,#N/A,FALSE,"SKG_KO"}</definedName>
    <definedName name="GuV" localSheetId="55" hidden="1">{#N/A,#N/A,FALSE,"SKG_SC";#N/A,#N/A,FALSE,"SKG_KP";#N/A,#N/A,FALSE,"SCG_KC";#N/A,#N/A,FALSE,"SKG_PM";#N/A,#N/A,FALSE,"SKG_Asta";#N/A,#N/A,FALSE,"SKG_DE";#N/A,#N/A,FALSE,"SKG_FA";#N/A,#N/A,FALSE,"SKG_EM";#N/A,#N/A,FALSE,"SKG_AK";#N/A,#N/A,FALSE,"SKG_CER";#N/A,#N/A,FALSE,"SKG_BA";#N/A,#N/A,FALSE,"SKG_KO"}</definedName>
    <definedName name="guv" hidden="1">{"K GuV o. Kommentar",#N/A,FALSE,"Kaufhof"}</definedName>
    <definedName name="GuV_200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UV_2004_00"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GUV015_06" hidden="1">{"BS",#N/A,FALSE,"USA"}</definedName>
    <definedName name="guz" hidden="1">{"fleisch",#N/A,FALSE,"WG HK";"food",#N/A,FALSE,"WG HK";"hartwaren",#N/A,FALSE,"WG HK";"weichwaren",#N/A,FALSE,"WG HK"}</definedName>
    <definedName name="GV" hidden="1">"2008/2009"</definedName>
    <definedName name="gvbg"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gvhj"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GVor2" hidden="1">#VALUE!</definedName>
    <definedName name="GVor3" hidden="1">#VALUE!</definedName>
    <definedName name="GVor4" hidden="1">#VALUE!</definedName>
    <definedName name="gwsre4geasr" hidden="1">{"dcfsummary",#N/A,FALSE,"NHY - DCF Valuation";"agriculture",#N/A,FALSE,"NHY - DCF Valuation";"oilgas",#N/A,FALSE,"NHY - DCF Valuation";"oilgastot",#N/A,FALSE,"NHY - DCF Valuation";"lightmetals",#N/A,FALSE,"NHY - DCF Valuation";"petrochemicals",#N/A,FALSE,"NHY - DCF Valuation";"other",#N/A,FALSE,"NHY - DCF Valuation"}</definedName>
    <definedName name="gyhui" hidden="1">{"CSheet",#N/A,FALSE,"C";"SmCap",#N/A,FALSE,"VAL1";"GulfCoast",#N/A,FALSE,"VAL1";"nav",#N/A,FALSE,"NAV";"Summary",#N/A,FALSE,"NAV"}</definedName>
    <definedName name="GZSZOnline" hidden="1">{"TeleKomplett",#N/A,TRUE,"Tele";"gfKomplett",#N/A,TRUE,"Gf";"MktKomplett",#N/A,TRUE,"Mkt";"RTLTextKomplett",#N/A,TRUE,"RTLText";"ATXITVKomplett",#N/A,TRUE,"ATXITV";"TechKomplett",#N/A,TRUE,"Tech";"Pufferkomplett",#N/A,TRUE,"Puffer"}</definedName>
    <definedName name="h" localSheetId="54" hidden="1">'[1]Piper Heidsieck'!#REF!</definedName>
    <definedName name="h" localSheetId="55" hidden="1">'[1]Piper Heidsieck'!#REF!</definedName>
    <definedName name="h" hidden="1">{#N/A,#N/A,TRUE,"Cont_Stell";#N/A,#N/A,TRUE,"BTG";#N/A,#N/A,TRUE,"SH";#N/A,#N/A,TRUE,"GUV";#N/A,#N/A,TRUE,"Bilanz";#N/A,#N/A,TRUE,"WC";#N/A,#N/A,TRUE,"Beweg_bil";#N/A,#N/A,TRUE,"Kap_fluß";#N/A,#N/A,TRUE,"KENNZ";#N/A,#N/A,TRUE,"ANALYSE"}</definedName>
    <definedName name="h.ll" hidden="1">{#N/A,#N/A,FALSE,"PMW Gruppe 99_98";#N/A,#N/A,FALSE,"PMW KG 98_99";#N/A,#N/A,FALSE,"PMW Inc. 99_98";#N/A,#N/A,FALSE,"PMW VTECH 99_98";#N/A,#N/A,FALSE,"PMW Thail. 99_98";#N/A,#N/A,FALSE,"PMW Canada 99_98";#N/A,#N/A,FALSE,"Währungsabw. 99_98"}</definedName>
    <definedName name="H2H" hidden="1">{#N/A,#N/A,FALSE,"Staffnos &amp; cost"}</definedName>
    <definedName name="h45zh" hidden="1">{#N/A,#N/A,FALSE,"Layout Aktiva";#N/A,#N/A,FALSE,"Layout Passiva";#N/A,#N/A,FALSE,"Layout GuV";#N/A,#N/A,FALSE,"Layout Cash Flow";#N/A,#N/A,FALSE,"Mittelherkunft";#N/A,#N/A,FALSE,"Mittelverwendung";#N/A,#N/A,FALSE,"Finanzbedarfsrechnung"}</definedName>
    <definedName name="hallo" hidden="1">{"K Bilanz o. Kommentar",#N/A,FALSE,"Kaufhof"}</definedName>
    <definedName name="Halloo" hidden="1">{"K GuV o. Kommentar",#N/A,FALSE,"Kaufhof"}</definedName>
    <definedName name="Hans" hidden="1">#N/A</definedName>
    <definedName name="harry" hidden="1">#N/A</definedName>
    <definedName name="Haryana" hidden="1">{#N/A,#N/A,FALSE,"Staffnos &amp; cost"}</definedName>
    <definedName name="hb"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dghd" hidden="1">{#N/A,#N/A,TRUE,"Historicals";#N/A,#N/A,TRUE,"Charts";#N/A,#N/A,TRUE,"Forecasts"}</definedName>
    <definedName name="HBGFF" hidden="1">{"'Demand Units'!$X$11:$AD$45"}</definedName>
    <definedName name="hbs" hidden="1">{"'TRXAllergyVolume'!$A$1:$I$47"}</definedName>
    <definedName name="hdfg" hidden="1">{#N/A,#N/A,TRUE,"Historicals";#N/A,#N/A,TRUE,"Charts";#N/A,#N/A,TRUE,"Forecasts"}</definedName>
    <definedName name="hdfgh" hidden="1">{"SUM GER",#N/A,FALSE,"SUM GER";"SUM FRA",#N/A,FALSE,"SUM FRA";"SUM ITA",#N/A,FALSE,"SUM ITA";"SUM SPA",#N/A,FALSE,"SUM SPA";"SUM EGB",#N/A,FALSE,"SUM EGB";"SUM IND",#N/A,FALSE,"SUM IND"}</definedName>
    <definedName name="hdfghfg" hidden="1">{"SUM ALL YR",#N/A,FALSE,"SUM ALL YR";"sum01",#N/A,FALSE,"SUM 01";"sumM2",#N/A,FALSE,"SUM M2";"sum02",#N/A,FALSE,"SUM 02";"sum03",#N/A,FALSE,"SUM 03";"sum04",#N/A,FALSE,"SUM 04";"sum05",#N/A,FALSE,"SUM 05"}</definedName>
    <definedName name="hdfrthfd" hidden="1">{#N/A,#N/A,TRUE,"Historicals";#N/A,#N/A,TRUE,"Charts";#N/A,#N/A,TRUE,"Forecasts"}</definedName>
    <definedName name="HDHFH"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hdkjhdksj"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hdsg" hidden="1">{0,0,0,0;0,0,0,FALSE;0,0,0,0}</definedName>
    <definedName name="Headcount2" hidden="1">{"'WS Sales by Rep'!$A$24:$L$46"}</definedName>
    <definedName name="Headcount3" hidden="1">{"'WS Sales by Rep'!$A$24:$L$46"}</definedName>
    <definedName name="Header1" hidden="1">IF(COUNTA(#REF!)=0,0,INDEX(#REF!,MATCH(ROW(#REF!),#REF!,TRUE)))+1</definedName>
    <definedName name="Header2" hidden="1">#REF!-1 &amp; "." &amp; MAX(1,COUNTA(INDEX(#REF!,MATCH(#REF!-1,#REF!,FALSE)):#REF!))</definedName>
    <definedName name="HeaderSpot" hidden="1">#REF!</definedName>
    <definedName name="hector" hidden="1">{"'Data'!$A$1:$D$17"}</definedName>
    <definedName name="hell" hidden="1">{"Area1",#N/A,FALSE,"OREWACC";"Area2",#N/A,FALSE,"OREWACC"}</definedName>
    <definedName name="helleon" hidden="1">{"Area1",#N/A,FALSE,"OREWACC";"Area2",#N/A,FALSE,"OREWACC"}</definedName>
    <definedName name="Hello" hidden="1">{"Area1",#N/A,FALSE,"OREWACC";"Area2",#N/A,FALSE,"OREWACC"}</definedName>
    <definedName name="hello1" hidden="1">{"Area1",#N/A,FALSE,"OREWACC";"Area2",#N/A,FALSE,"OREWACC"}</definedName>
    <definedName name="hello2" hidden="1">{"Area1",#N/A,FALSE,"OREWACC";"Area2",#N/A,FALSE,"OREWACC"}</definedName>
    <definedName name="helloandgo" hidden="1">{#N/A,#N/A,FALSE,"Cover";#N/A,#N/A,FALSE,"Contents-Pg1";#N/A,#N/A,FALSE,"High-Com-pg2";#N/A,#N/A,FALSE,"1 Full";#N/A,#N/A,FALSE,"1chts";#N/A,#N/A,FALSE,"Table 2";#N/A,#N/A,FALSE,"3New Iss";#N/A,#N/A,FALSE,"4Money raised";#N/A,#N/A,FALSE,"5Aim";#N/A,#N/A,FALSE,"AiM charts";#N/A,#N/A,FALSE,"6FT Smll";#N/A,#N/A,FALSE,"11SEATS";#N/A,#N/A,FALSE,"12Notes"}</definedName>
    <definedName name="help1" hidden="1">{#N/A,#N/A,FALSE,"CONSOLIDATED";#N/A,#N/A,FALSE,"LANCE CO";#N/A,#N/A,FALSE,"VISTA"}</definedName>
    <definedName name="HELP3" hidden="1">{#N/A,#N/A,FALSE,"CONSOLIDATED";#N/A,#N/A,FALSE,"LANCE CO";#N/A,#N/A,FALSE,"VISTA"}</definedName>
    <definedName name="HELP4" hidden="1">{#N/A,#N/A,FALSE,"CONSOLIDATED";#N/A,#N/A,FALSE,"LANCE CO";#N/A,#N/A,FALSE,"VISTA"}</definedName>
    <definedName name="HELP5" hidden="1">{#N/A,#N/A,FALSE,"CONSOLIDATED";#N/A,#N/A,FALSE,"LANCE CO";#N/A,#N/A,FALSE,"VISTA"}</definedName>
    <definedName name="HELP6" hidden="1">{#N/A,#N/A,FALSE,"CONSOLIDATED";#N/A,#N/A,FALSE,"LANCE CO";#N/A,#N/A,FALSE,"VISTA"}</definedName>
    <definedName name="HELP7" hidden="1">{#N/A,#N/A,FALSE,"CONSOLIDATED";#N/A,#N/A,FALSE,"LANCE CO";#N/A,#N/A,FALSE,"VISTA"}</definedName>
    <definedName name="HELP8" hidden="1">{#N/A,#N/A,FALSE,"CONSOLIDATED";#N/A,#N/A,FALSE,"LANCE CO";#N/A,#N/A,FALSE,"VISTA"}</definedName>
    <definedName name="Hemorrhage" hidden="1">{"mgmt forecast",#N/A,FALSE,"Mgmt Forecast";"dcf table",#N/A,FALSE,"Mgmt Forecast";"sensitivity",#N/A,FALSE,"Mgmt Forecast";"table inputs",#N/A,FALSE,"Mgmt Forecast";"calculations",#N/A,FALSE,"Mgmt Forecast"}</definedName>
    <definedName name="hfdshfe" hidden="1">{#N/A,#N/A,TRUE,"Historicals";#N/A,#N/A,TRUE,"Charts";#N/A,#N/A,TRUE,"Forecasts"}</definedName>
    <definedName name="hfgh"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hfghdh" hidden="1">{#N/A,#N/A,TRUE,"Historicals";#N/A,#N/A,TRUE,"Charts";#N/A,#N/A,TRUE,"Forecasts"}</definedName>
    <definedName name="hfghrthrt" hidden="1">{#N/A,#N/A,TRUE,"Historicals";#N/A,#N/A,TRUE,"Charts";#N/A,#N/A,TRUE,"Forecasts"}</definedName>
    <definedName name="hfh" hidden="1">{#N/A,#N/A,FALSE,"Staffnos &amp; cost"}</definedName>
    <definedName name="HFinGraph" hidden="1">{#N/A,#N/A,FALSE,"Pharm";#N/A,#N/A,FALSE,"WWCM"}</definedName>
    <definedName name="hg" hidden="1">{"fleisch",#N/A,FALSE,"WG HK";"food",#N/A,FALSE,"WG HK";"hartwaren",#N/A,FALSE,"WG HK";"weichwaren",#N/A,FALSE,"WG HK"}</definedName>
    <definedName name="HGB"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hgcj" hidden="1">{#N/A,#N/A,FALSE,"5yr.hist."}</definedName>
    <definedName name="hgdhdyu" hidden="1">{#N/A,#N/A,TRUE,"Historicals";#N/A,#N/A,TRUE,"Charts";#N/A,#N/A,TRUE,"Forecasts"}</definedName>
    <definedName name="hgdhr" hidden="1">{#N/A,#N/A,TRUE,"Historicals";#N/A,#N/A,TRUE,"Charts";#N/A,#N/A,TRUE,"Forecasts"}</definedName>
    <definedName name="hgfd" hidden="1">{"BA detail",#N/A,FALSE,"Q3YTD "}</definedName>
    <definedName name="hgfdhty" hidden="1">{#N/A,#N/A,TRUE,"Historicals";#N/A,#N/A,TRUE,"Charts";#N/A,#N/A,TRUE,"Forecasts"}</definedName>
    <definedName name="hgfhd" hidden="1">{#N/A,#N/A,TRUE,"Historicals";#N/A,#N/A,TRUE,"Charts";#N/A,#N/A,TRUE,"Forecasts"}</definedName>
    <definedName name="hgfhsdf"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GFT" hidden="1">{"'Demand Units'!$X$11:$AD$45"}</definedName>
    <definedName name="hgfthfh" hidden="1">{#N/A,#N/A,TRUE,"Historicals";#N/A,#N/A,TRUE,"Charts";#N/A,#N/A,TRUE,"Forecasts"}</definedName>
    <definedName name="hgfy"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hghg"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hj"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gjghjhhg" hidden="1">{#N/A,#N/A,FALSE,"Produkte Erw.";#N/A,#N/A,FALSE,"Produkte Plan";#N/A,#N/A,FALSE,"Leistungen Erw.";#N/A,#N/A,FALSE,"Leistungen Plan";#N/A,#N/A,FALSE,"KA Allg.Kosten (2)";#N/A,#N/A,FALSE,"KA All.Kosten"}</definedName>
    <definedName name="hgmfmytut" hidden="1">{#N/A,#N/A,TRUE,"Historicals";#N/A,#N/A,TRUE,"Charts";#N/A,#N/A,TRUE,"Forecasts"}</definedName>
    <definedName name="hgrth" hidden="1">{"orixcsc",#N/A,FALSE,"ORIX CSC";"orixcsc2",#N/A,FALSE,"ORIX CSC"}</definedName>
    <definedName name="hgsdherhrg" hidden="1">{#N/A,#N/A,TRUE,"Historicals";#N/A,#N/A,TRUE,"Charts";#N/A,#N/A,TRUE,"Forecasts"}</definedName>
    <definedName name="h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k" hidden="1">{#N/A,#N/A,FALSE,"KA CH  (2)"}</definedName>
    <definedName name="HHADKHCKHLDA" hidden="1">{#N/A,#N/A,FALSE,"단축1";#N/A,#N/A,FALSE,"단축2";#N/A,#N/A,FALSE,"단축3";#N/A,#N/A,FALSE,"장축";#N/A,#N/A,FALSE,"4WD"}</definedName>
    <definedName name="hherereq" hidden="1">1/EUReXToLUF</definedName>
    <definedName name="hhfhfhf" hidden="1">#REF!</definedName>
    <definedName name="hhh"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hhhh1" hidden="1">{#N/A,#N/A,FALSE,"MAY";#N/A,#N/A,FALSE,"Q2";#N/A,#N/A,FALSE,"YTD"}</definedName>
    <definedName name="hhhh7000" hidden="1">{#N/A,#N/A,FALSE,"MAY";#N/A,#N/A,FALSE,"Q2";#N/A,#N/A,FALSE,"YTD"}</definedName>
    <definedName name="hhhhh" hidden="1">{"weichwaren",#N/A,FALSE,"Liste 1";"hartwaren",#N/A,FALSE,"Liste 1";"food",#N/A,FALSE,"Liste 1";"fleisch",#N/A,FALSE,"Liste 1"}</definedName>
    <definedName name="hhhhhh" hidden="1">1/EUReXToDEM</definedName>
    <definedName name="HHHHHHHHHH" hidden="1">{#N/A,#N/A,FALSE,"단축1";#N/A,#N/A,FALSE,"단축2";#N/A,#N/A,FALSE,"단축3";#N/A,#N/A,FALSE,"장축";#N/A,#N/A,FALSE,"4WD"}</definedName>
    <definedName name="hhhhhhhhhhh" hidden="1">{"Summary",#N/A,FALSE,"Summary";"A&amp;A's",#N/A,FALSE,"Aids &amp; A's";"MajorWorks",#N/A,FALSE,"Major Works";"EstateImps",#N/A,FALSE,"Estate Imps";"CatC",#N/A,FALSE,"Cat C Voids";"CycProg",#N/A,FALSE,"Cyclical Prog inc MR"}</definedName>
    <definedName name="HHHHHHHHHHHHH" hidden="1">{#N/A,#N/A,FALSE,"단축1";#N/A,#N/A,FALSE,"단축2";#N/A,#N/A,FALSE,"단축3";#N/A,#N/A,FALSE,"장축";#N/A,#N/A,FALSE,"4WD"}</definedName>
    <definedName name="HHHHHHHHHHHHHHHHH" hidden="1">{#N/A,#N/A,FALSE,"단축1";#N/A,#N/A,FALSE,"단축2";#N/A,#N/A,FALSE,"단축3";#N/A,#N/A,FALSE,"장축";#N/A,#N/A,FALSE,"4WD"}</definedName>
    <definedName name="hhhsdf" hidden="1">{"up stand alones",#N/A,FALSE,"Acquiror"}</definedName>
    <definedName name="hhhsdf1" hidden="1">{"up stand alones",#N/A,FALSE,"Acquiror"}</definedName>
    <definedName name="hhj.ls" hidden="1">{#N/A,#N/A,FALSE,"Produkte Erw.";#N/A,#N/A,FALSE,"Produkte Plan";#N/A,#N/A,FALSE,"Leistungen Erw.";#N/A,#N/A,FALSE,"Leistungen Plan";#N/A,#N/A,FALSE,"KA Allg.Kosten (2)";#N/A,#N/A,FALSE,"KA All.Kosten"}</definedName>
    <definedName name="hhjkhjkjkjkl" hidden="1">{"'WS Sales by Rep'!$A$24:$L$46"}</definedName>
    <definedName name="hi" hidden="1">{#N/A,#N/A,FALSE,"JAN"}</definedName>
    <definedName name="Hibh" hidden="1">{#N/A,#N/A,FALSE,"Pharm";#N/A,#N/A,FALSE,"WWCM"}</definedName>
    <definedName name="HiddenRows" hidden="1">#REF!</definedName>
    <definedName name="High" hidden="1">{#N/A,#N/A,FALSE,"Pharm";#N/A,#N/A,FALSE,"WWCM"}</definedName>
    <definedName name="HighPrice" hidden="1">#REF!</definedName>
    <definedName name="himmel"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storical" hidden="1">{"GTI monthly IS",#N/A,FALSE,"gti";#N/A,#N/A,FALSE,"gti"}</definedName>
    <definedName name="hiulj" hidden="1">{"EVA",#N/A,FALSE,"EVA";"WACC",#N/A,FALSE,"WACC"}</definedName>
    <definedName name="hj.k" hidden="1">{#N/A,#N/A,FALSE,"Produkte Erw.";#N/A,#N/A,FALSE,"Produkte Plan";#N/A,#N/A,FALSE,"Leistungen Erw.";#N/A,#N/A,FALSE,"Leistungen Plan";#N/A,#N/A,FALSE,"KA Allg.Kosten (2)";#N/A,#N/A,FALSE,"KA All.Kosten"}</definedName>
    <definedName name="hjbhj" hidden="1">{"LEVEL1","UKCONSGAAP",TRUE,"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name="hjfgjghj" hidden="1">{"up stand alones",#N/A,FALSE,"Acquiror"}</definedName>
    <definedName name="hjg"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jgflha" hidden="1">{#N/A,#N/A,FALSE,"Cover Sheet";#N/A,#N/A,FALSE,"Ave_Trans_Shp_Abs";#N/A,#N/A,FALSE,"Det_Shp_Abs";#N/A,#N/A,FALSE,"Ave_Trans_Inst_Abs";#N/A,#N/A,FALSE,"Det_Ins_Abs";#N/A,#N/A,FALSE,"Ave_Trans_Tot_ABS";#N/A,#N/A,FALSE,"Det_Total_ABS"}</definedName>
    <definedName name="hjghhgyg" hidden="1">{"Polymers Details",#N/A,FALSE,"Current Yr";"Polymer Details",#N/A,FALSE,"Budget";"Polymer Details",#N/A,FALSE,"Prior Year"}</definedName>
    <definedName name="hjghjhgj"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glkfg" hidden="1">{"AQUIRORDCF",#N/A,FALSE,"Merger consequences";"Acquirorassns",#N/A,FALSE,"Merger consequences"}</definedName>
    <definedName name="hjhj" hidden="1">{#N/A,#N/A,FALSE,"Layout Aktiva";#N/A,#N/A,FALSE,"Layout Passiva";#N/A,#N/A,FALSE,"Layout GuV";#N/A,#N/A,FALSE,"Layout Cash Flow";#N/A,#N/A,FALSE,"Mittelherkunft";#N/A,#N/A,FALSE,"Mittelverwendung";#N/A,#N/A,FALSE,"Finanzbedarfsrechnung"}</definedName>
    <definedName name="hjhjffukfuk" hidden="1">{#N/A,#N/A,FALSE,"Pharm";#N/A,#N/A,FALSE,"WWCM"}</definedName>
    <definedName name="hjhjfkfukywrte" hidden="1">{#N/A,#N/A,FALSE,"Pharm";#N/A,#N/A,FALSE,"WWCM"}</definedName>
    <definedName name="hjhjj" hidden="1">{#N/A,#N/A,FALSE,"ORIX CSC"}</definedName>
    <definedName name="hjhjkhas"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hjhkjkl" hidden="1">{#N/A,#N/A,FALSE,"Pharm";#N/A,#N/A,FALSE,"WWCM"}</definedName>
    <definedName name="hjjjkk" hidden="1">{#N/A,#N/A,FALSE,"REPORT"}</definedName>
    <definedName name="hjjkk" hidden="1">{#N/A,#N/A,FALSE,"Pharm";#N/A,#N/A,FALSE,"WWCM"}</definedName>
    <definedName name="hjjkl" hidden="1">{"'Sheet1'!$L$16"}</definedName>
    <definedName name="hjk" hidden="1">{#N/A,#N/A,FALSE,"Umsatz 99";#N/A,#N/A,FALSE,"ER 99 "}</definedName>
    <definedName name="hjk.l" hidden="1">{#N/A,#N/A,FALSE,"Produkte Erw.";#N/A,#N/A,FALSE,"Produkte Plan";#N/A,#N/A,FALSE,"Leistungen Erw.";#N/A,#N/A,FALSE,"Leistungen Plan";#N/A,#N/A,FALSE,"KA Allg.Kosten (2)";#N/A,#N/A,FALSE,"KA All.Kosten"}</definedName>
    <definedName name="hjkh" hidden="1">{"assumption 50 50",#N/A,TRUE,"Merger";"has gets cash",#N/A,TRUE,"Merger";"accretion dilution",#N/A,TRUE,"Merger";"comparison credit stats",#N/A,TRUE,"Merger";"pf credit stats",#N/A,TRUE,"Merger";"pf sheets",#N/A,TRUE,"Merger"}</definedName>
    <definedName name="hjkhjk" hidden="1">{#N/A,#N/A,FALSE,"KA CH  (2)"}</definedName>
    <definedName name="hjkhjkhjk" hidden="1">{"equity comps",#N/A,FALSE,"CS Comps";"equity comps",#N/A,FALSE,"PS Comps";"equity comps",#N/A,FALSE,"GIC_Comps";"equity comps",#N/A,FALSE,"GIC2_Comps";"debt comps",#N/A,FALSE,"CS Comps";"debt comps",#N/A,FALSE,"PS Comps";"debt comps",#N/A,FALSE,"GIC_Comps";"debt comps",#N/A,FALSE,"GIC2_Comps"}</definedName>
    <definedName name="hjkjhk" hidden="1">{#N/A,#N/A,FALSE,"Calc";#N/A,#N/A,FALSE,"Sensitivity";#N/A,#N/A,FALSE,"LT Earn.Dil.";#N/A,#N/A,FALSE,"Dil. AVP"}</definedName>
    <definedName name="hjkk" hidden="1">{#N/A,#N/A,FALSE,"Pharm";#N/A,#N/A,FALSE,"WWCM"}</definedName>
    <definedName name="hjkl" hidden="1">{"Burden (burden)",#N/A,FALSE,"burden"}</definedName>
    <definedName name="hjl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hjnh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juy" hidden="1">{#N/A,#N/A,FALSE,"Index";#N/A,#N/A,FALSE,"1.1";#N/A,#N/A,FALSE,"Scenario Summary"}</definedName>
    <definedName name="HKDetail" hidden="1">{"budget95",#N/A,TRUE,"Tabelle1";"Tab1",#N/A,TRUE,"Tabelle2"}</definedName>
    <definedName name="hkhjk" hidden="1">{#N/A,#N/A,FALSE,"Operations";#N/A,#N/A,FALSE,"Financials"}</definedName>
    <definedName name="hkjj" hidden="1">{"Line Efficiency",#N/A,FALSE,"Benchmarking"}</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hidden="1">{#N/A,#N/A,FALSE,"REPORT"}</definedName>
    <definedName name="hlp" hidden="1">#REF!</definedName>
    <definedName name="hls" hidden="1">{"WACC_clientcopy",#N/A,FALSE,"Inputs";"Beta_clientcopy",#N/A,FALSE,"Inputs";"SCF_clientcopy",#N/A,FALSE,"Inputs";"ProBS_clientcopy",#N/A,FALSE,"Inputs";"BS_clientcopy",#N/A,FALSE,"Inputs";"ProIS_clientcopy",#N/A,FALSE,"Inputs";"IS_clientcopy",#N/A,FALSE,"Inputs";"Ratios_clientcopy",#N/A,FALSE,"Ratios"}</definedName>
    <definedName name="hlu"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HMG" hidden="1">{#N/A,#N/A,FALSE,"REPORT"}</definedName>
    <definedName name="hmx" hidden="1">{"budget95",#N/A,TRUE,"Tabelle1";"Tab1",#N/A,TRUE,"Tabelle2"}</definedName>
    <definedName name="hn._I006" hidden="1">#REF!</definedName>
    <definedName name="hn._I018" hidden="1">#REF!</definedName>
    <definedName name="hn._I024" hidden="1">#REF!</definedName>
    <definedName name="hn._I028" hidden="1">#REF!</definedName>
    <definedName name="hn._I029" hidden="1">#REF!</definedName>
    <definedName name="hn._I030" hidden="1">#REF!</definedName>
    <definedName name="hn._I031" hidden="1">#REF!</definedName>
    <definedName name="hn._I044" hidden="1">#REF!</definedName>
    <definedName name="hn._I051" hidden="1">#REF!</definedName>
    <definedName name="hn._I059" hidden="1">#REF!</definedName>
    <definedName name="hn._I062" hidden="1">#REF!</definedName>
    <definedName name="hn._I070" hidden="1">#REF!</definedName>
    <definedName name="hn._I071" hidden="1">#REF!</definedName>
    <definedName name="hn._I075" hidden="1">#REF!</definedName>
    <definedName name="hn._I077" hidden="1">#REF!</definedName>
    <definedName name="hn._I083" hidden="1">#REF!</definedName>
    <definedName name="hn._I085" hidden="1">#REF!</definedName>
    <definedName name="hn._P001" hidden="1">#REF!</definedName>
    <definedName name="hn._P002" hidden="1">#REF!</definedName>
    <definedName name="hn._P004" hidden="1">#REF!</definedName>
    <definedName name="hn._P014" hidden="1">#REF!</definedName>
    <definedName name="hn._P016" hidden="1">#REF!</definedName>
    <definedName name="hn._P017" hidden="1">#REF!</definedName>
    <definedName name="hn._P017g" hidden="1">#REF!</definedName>
    <definedName name="hn._P021" hidden="1">#REF!</definedName>
    <definedName name="hn._P024" hidden="1">#REF!</definedName>
    <definedName name="hn.Add015" hidden="1">#REF!</definedName>
    <definedName name="hn.ConvertVal1" hidden="1">#REF!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CopyforPR" hidden="1">#REF!</definedName>
    <definedName name="hn.Delete015" hidden="1">#REF!,#REF!,#REF!,#REF!</definedName>
    <definedName name="hn.domestic" hidden="1">#REF!</definedName>
    <definedName name="hn.DZ_MultByFXRates" hidden="1">#REF!,#REF!,#REF!,#REF!</definedName>
    <definedName name="hn.ExtDb" hidden="1">FALSE</definedName>
    <definedName name="hn.FromMain" hidden="1">#REF!</definedName>
    <definedName name="hn.FromMain1" hidden="1">#REF!</definedName>
    <definedName name="hn.FromMain2" hidden="1">#REF!</definedName>
    <definedName name="hn.FromMain3" hidden="1">#REF!</definedName>
    <definedName name="hn.FromMain4" hidden="1">#REF!</definedName>
    <definedName name="hn.FromMain5" hidden="1">#REF!</definedName>
    <definedName name="hn.Global" hidden="1">#REF!</definedName>
    <definedName name="hn.LTM_MultByFXRates" hidden="1">#REF!,#REF!,#REF!,#REF!,#REF!,#REF!,#REF!</definedName>
    <definedName name="hn.LTMData" hidden="1">#REF!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ParityCheck" hidden="1">#REF!</definedName>
    <definedName name="hn.PrivateLTMYear" hidden="1">#REF!</definedName>
    <definedName name="hn.RolledForward" hidden="1">FALSE</definedName>
    <definedName name="hn.USLast" hidden="1">#REF!</definedName>
    <definedName name="hn.YearLabel" hidden="1">#REF!</definedName>
    <definedName name="hngfgnfgn" hidden="1">{#N/A,#N/A,TRUE,"Historicals";#N/A,#N/A,TRUE,"Charts";#N/A,#N/A,TRUE,"Forecasts"}</definedName>
    <definedName name="hod" hidden="1">{#N/A,#N/A,FALSE,"TS";#N/A,#N/A,FALSE,"Combo";#N/A,#N/A,FALSE,"FAIR";#N/A,#N/A,FALSE,"RBC";#N/A,#N/A,FALSE,"xxxx";#N/A,#N/A,FALSE,"A_D";#N/A,#N/A,FALSE,"WACC";#N/A,#N/A,FALSE,"DCF";#N/A,#N/A,FALSE,"LBO";#N/A,#N/A,FALSE,"AcqMults";#N/A,#N/A,FALSE,"CompMults"}</definedName>
    <definedName name="HOJA" hidden="1">{"RES-2002",#N/A,FALSE,"BL2000";"A1-2002",#N/A,FALSE,"BL2000";"A2-2002",#N/A,FALSE,"BL2000"}</definedName>
    <definedName name="HOLA" hidden="1">{"AR",#N/A,FALSE,"ASMGTSUM";"INV",#N/A,FALSE,"ASMGTSUM";"HCCOMP",#N/A,FALSE,"ASMGTSUM";"cap.depr",#N/A,FALSE,"ASMGTSUM"}</definedName>
    <definedName name="Hola2" hidden="1">{"'B1'!$B$3:$E$3"}</definedName>
    <definedName name="HOLA3" hidden="1">{"'B1'!$B$3:$E$3"}</definedName>
    <definedName name="HOLA4" hidden="1">{"'B1'!$B$3:$E$3"}</definedName>
    <definedName name="holdpers" hidden="1">{"budget95",#N/A,TRUE,"Tabelle1";"Tab1",#N/A,TRUE,"Tabelle2"}</definedName>
    <definedName name="HOMFE" hidden="1">{#N/A,#N/A,FALSE,"Assessment";#N/A,#N/A,FALSE,"Staffing";#N/A,#N/A,FALSE,"Hires";#N/A,#N/A,FALSE,"Assumptions"}</definedName>
    <definedName name="Horst" hidden="1">#N/A</definedName>
    <definedName name="houy" hidden="1">{#N/A,#N/A,FALSE,"AD_Purchase";#N/A,#N/A,FALSE,"Credit";#N/A,#N/A,FALSE,"PF Acquisition";#N/A,#N/A,FALSE,"PF Offering"}</definedName>
    <definedName name="hppackage.xls" hidden="1">{"LCCOST",#N/A,FALSE,"FC-3 "}</definedName>
    <definedName name="HP문제점현황" hidden="1">{#N/A,#N/A,FALSE,"단축1";#N/A,#N/A,FALSE,"단축2";#N/A,#N/A,FALSE,"단축3";#N/A,#N/A,FALSE,"장축";#N/A,#N/A,FALSE,"4WD"}</definedName>
    <definedName name="HQ" hidden="1">{#N/A,#N/A,FALSE,"6405";#N/A,#N/A,FALSE,"6406";#N/A,#N/A,FALSE,"6409";#N/A,#N/A,FALSE,"6425";#N/A,#N/A,FALSE,"6426";#N/A,#N/A,FALSE,"6427";#N/A,#N/A,FALSE,"6440";#N/A,#N/A,FALSE,"6441";#N/A,#N/A,FALSE,"6442";#N/A,#N/A,FALSE,"6443"}</definedName>
    <definedName name="hr" hidden="1">#N/A</definedName>
    <definedName name="hrbs" hidden="1">{#VALUE!,#N/A,FALSE,0;#N/A,#N/A,FALSE,0;#N/A,#N/A,FALSE,0;#N/A,#N/A,FALSE,0;#N/A,#N/A,FALSE,0;#N/A,#N/A,FALSE,0;#N/A,#N/A,FALSE,0}</definedName>
    <definedName name="hrewtwhdg" hidden="1">{#N/A,#N/A,TRUE,"Historicals";#N/A,#N/A,TRUE,"Charts";#N/A,#N/A,TRUE,"Forecasts"}</definedName>
    <definedName name="HRS"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hrtgf" hidden="1">{#N/A,#N/A,TRUE,"Historicals";#N/A,#N/A,TRUE,"Charts";#N/A,#N/A,TRUE,"Forecasts"}</definedName>
    <definedName name="hrthfdghfr" hidden="1">{#N/A,#N/A,TRUE,"Historicals";#N/A,#N/A,TRUE,"Charts";#N/A,#N/A,TRUE,"Forecasts"}</definedName>
    <definedName name="hsdfhe" hidden="1">{#N/A,#N/A,TRUE,"Historicals";#N/A,#N/A,TRUE,"Charts";#N/A,#N/A,TRUE,"Forecasts"}</definedName>
    <definedName name="hshhr" hidden="1">{#N/A,#N/A,TRUE,"Staffnos &amp; cost"}</definedName>
    <definedName name="hsk" hidden="1">{"risultati",#N/A,FALSE,"Revenues";"ricavi advertising",#N/A,FALSE,"Revenues";"ricavi e-commerce",#N/A,FALSE,"Revenues";"ricavi fee for content",#N/A,FALSE,"Revenues";"costi infrastruttura",#N/A,FALSE,"Costi";"altri costi",#N/A,FALSE,"Costi";"conto economico",#N/A,FALSE,"Conto economico";"Flussi di cassa",#N/A,FALSE,"FCF"}</definedName>
    <definedName name="htdf" hidden="1">{#N/A,#N/A,TRUE,"Historicals";#N/A,#N/A,TRUE,"Charts";#N/A,#N/A,TRUE,"Forecasts"}</definedName>
    <definedName name="htehdfgd" hidden="1">{#N/A,#N/A,TRUE,"Historicals";#N/A,#N/A,TRUE,"Charts";#N/A,#N/A,TRUE,"Forecasts"}</definedName>
    <definedName name="htehdr" hidden="1">{#N/A,#N/A,TRUE,"Historicals";#N/A,#N/A,TRUE,"Charts";#N/A,#N/A,TRUE,"Forecasts"}</definedName>
    <definedName name="htehythfg" hidden="1">{#N/A,#N/A,TRUE,"Historicals";#N/A,#N/A,TRUE,"Charts";#N/A,#N/A,TRUE,"Forecasts"}</definedName>
    <definedName name="htfx" hidden="1">{#N/A,#N/A,FALSE,"V3 Stab-Geb Index";#N/A,#N/A,FALSE,"Vertrieb";#N/A,#N/A,FALSE,"V Daten";#N/A,#N/A,FALSE,"V-Z-Index";#N/A,#N/A,FALSE,"V-1 Daten";#N/A,#N/A,FALSE,"V-1 Index";#N/A,#N/A,FALSE,"V-2 Index";#N/A,#N/A,FALSE,"V-3 Daten";#N/A,#N/A,FALSE,"V3 Stab-Geb Index";#N/A,#N/A,FALSE,"V-3 VG's Index";#N/A,#N/A,FALSE,"V-4 Index";#N/A,#N/A,FALSE,"V-5 Index"}</definedName>
    <definedName name="hthbgd" hidden="1">{#N/A,#N/A,TRUE,"Historicals";#N/A,#N/A,TRUE,"Charts";#N/A,#N/A,TRUE,"Forecasts"}</definedName>
    <definedName name="hthty" hidden="1">{#N/A,#N/A,TRUE,"Historicals";#N/A,#N/A,TRUE,"Charts";#N/A,#N/A,TRUE,"Forecasts"}</definedName>
    <definedName name="HTLD2" hidden="1">{"'Title Transfer Units6,7,&amp;8'!$A$1:$B$4","'Title Transfer Units6,7,&amp;8'!$C$6"}</definedName>
    <definedName name="HTLKJNG5" hidden="1">{"'Title Transfer Units6,7,&amp;8'!$A$1:$B$4","'Title Transfer Units6,7,&amp;8'!$C$6"}</definedName>
    <definedName name="htlm" hidden="1">{"'LU_GMP'!$A$10:$U$254"}</definedName>
    <definedName name="htm" hidden="1">{"'SIVA Pricing Model'!$A$1:$F$39"}</definedName>
    <definedName name="htm_cc" hidden="1">{"'WS Sales by Rep'!$A$24:$L$46"}</definedName>
    <definedName name="htm_cc_ws" hidden="1">{"'WS Sales by Rep'!$A$24:$L$46"}</definedName>
    <definedName name="htm_cc_ws4" hidden="1">{"'WS Sales by Rep'!$A$24:$L$46"}</definedName>
    <definedName name="htm_cc2" hidden="1">{"'WS Sales by Rep'!$A$24:$L$46"}</definedName>
    <definedName name="htm_cc2_ws" hidden="1">{"'WS Sales by Rep'!$A$24:$L$46"}</definedName>
    <definedName name="htm_cc3" hidden="1">{"'WS Sales by Rep'!$A$24:$L$46"}</definedName>
    <definedName name="htm_cc3_ws" hidden="1">{"'WS Sales by Rep'!$A$24:$L$46"}</definedName>
    <definedName name="htm_cc4" hidden="1">{"'WS Sales by Rep'!$A$24:$L$46"}</definedName>
    <definedName name="HTM_Control" hidden="1">{"'下期集計（10.27迄・速報値）'!$Q$16"}</definedName>
    <definedName name="HTM_control42" hidden="1">{"'Analysis'!$A$1:$B$4,$A$6:$N$129"}</definedName>
    <definedName name="htm_fac" hidden="1">{"'WS Sales by Rep'!$A$24:$L$46"}</definedName>
    <definedName name="htm_fac2" hidden="1">{"'WS Sales by Rep'!$A$24:$L$46"}</definedName>
    <definedName name="htm_fin" hidden="1">{"'WS Sales by Rep'!$A$24:$L$46"}</definedName>
    <definedName name="htm_fin2" hidden="1">{"'WS Sales by Rep'!$A$24:$L$46"}</definedName>
    <definedName name="htm_fin3" hidden="1">{"'WS Sales by Rep'!$A$24:$L$46"}</definedName>
    <definedName name="htm_fin4" hidden="1">{"'WS Sales by Rep'!$A$24:$L$46"}</definedName>
    <definedName name="htm_fin5" hidden="1">{"'WS Sales by Rep'!$A$24:$L$46"}</definedName>
    <definedName name="htm_ga" hidden="1">{"'WS Sales by Rep'!$A$24:$L$46"}</definedName>
    <definedName name="htm_ga_fin" hidden="1">{"'WS Sales by Rep'!$A$24:$L$46"}</definedName>
    <definedName name="htm_hr" hidden="1">{"'WS Sales by Rep'!$A$24:$L$46"}</definedName>
    <definedName name="htm_hr2" hidden="1">{"'WS Sales by Rep'!$A$24:$L$46"}</definedName>
    <definedName name="htm_plan_cc" hidden="1">{"'WS Sales by Rep'!$A$24:$L$46"}</definedName>
    <definedName name="htm_plan_cc2" hidden="1">{"'WS Sales by Rep'!$A$24:$L$46"}</definedName>
    <definedName name="htm_plan_fin5" hidden="1">{"'WS Sales by Rep'!$A$24:$L$46"}</definedName>
    <definedName name="htm_plana" hidden="1">{"'WS Sales by Rep'!$A$24:$L$46"}</definedName>
    <definedName name="htm_plana_fin" hidden="1">{"'WS Sales by Rep'!$A$24:$L$46"}</definedName>
    <definedName name="htm_planfac" hidden="1">{"'WS Sales by Rep'!$A$24:$L$46"}</definedName>
    <definedName name="htm_planfin" hidden="1">{"'WS Sales by Rep'!$A$24:$L$46"}</definedName>
    <definedName name="htm_planhr" hidden="1">{"'WS Sales by Rep'!$A$24:$L$46"}</definedName>
    <definedName name="htm_ws" hidden="1">{"'WS Sales by Rep'!$A$24:$L$46"}</definedName>
    <definedName name="HTML" hidden="1">{"'Data'!$A$1:$D$17"}</definedName>
    <definedName name="HTML_24" hidden="1">{"'Data'!$A$1:$D$17"}</definedName>
    <definedName name="HTML_CodePage" localSheetId="54" hidden="1">1252</definedName>
    <definedName name="HTML_CodePage" localSheetId="55" hidden="1">1252</definedName>
    <definedName name="HTML_CodePage" hidden="1">1250</definedName>
    <definedName name="HTML_contol2" hidden="1">{"'ALUMINIO'!$A$26:$K$53"}</definedName>
    <definedName name="HTML_Control" localSheetId="54" hidden="1">{"'Sheet1'!$A$1:$H$145"}</definedName>
    <definedName name="HTML_Control" localSheetId="55" hidden="1">{"'Sheet1'!$A$1:$H$145"}</definedName>
    <definedName name="HTML_Control" hidden="1">{"'Munka1'!$B$1:$G$101"}</definedName>
    <definedName name="HTML_Control_bis" hidden="1">{"'Sheet1'!$A$1:$O$22"}</definedName>
    <definedName name="html_control_cc" hidden="1">{"'WS Sales by Rep'!$A$24:$L$46"}</definedName>
    <definedName name="html_control_cc2" hidden="1">{"'WS Sales by Rep'!$A$24:$L$46"}</definedName>
    <definedName name="html_control_cc3" hidden="1">{"'WS Sales by Rep'!$A$24:$L$46"}</definedName>
    <definedName name="html_control_cc4" hidden="1">{"'WS Sales by Rep'!$A$24:$L$46"}</definedName>
    <definedName name="html_control_fac" hidden="1">{"'WS Sales by Rep'!$A$24:$L$46"}</definedName>
    <definedName name="html_control_fac2" hidden="1">{"'WS Sales by Rep'!$A$24:$L$46"}</definedName>
    <definedName name="HTML_Control_fin" hidden="1">{"'WS Sales by Rep'!$A$24:$L$46"}</definedName>
    <definedName name="html_control_fin2" hidden="1">{"'WS Sales by Rep'!$A$24:$L$46"}</definedName>
    <definedName name="html_control_fin3" hidden="1">{"'WS Sales by Rep'!$A$24:$L$46"}</definedName>
    <definedName name="html_control_fin4" hidden="1">{"'WS Sales by Rep'!$A$24:$L$46"}</definedName>
    <definedName name="html_control_fin5" hidden="1">{"'WS Sales by Rep'!$A$24:$L$46"}</definedName>
    <definedName name="html_control_fin6" hidden="1">{"'WS Sales by Rep'!$A$24:$L$46"}</definedName>
    <definedName name="html_control_finance" hidden="1">{"'WS Sales by Rep'!$A$24:$L$46"}</definedName>
    <definedName name="html_control_ga" hidden="1">{"'WS Sales by Rep'!$A$24:$L$46"}</definedName>
    <definedName name="html_control_hr" hidden="1">{"'WS Sales by Rep'!$A$24:$L$46"}</definedName>
    <definedName name="html_control_hr2" hidden="1">{"'WS Sales by Rep'!$A$24:$L$46"}</definedName>
    <definedName name="html_control_plan_cc" hidden="1">{"'WS Sales by Rep'!$A$24:$L$46"}</definedName>
    <definedName name="html_control_plan_cc3" hidden="1">{"'WS Sales by Rep'!$A$24:$L$46"}</definedName>
    <definedName name="html_control_plana" hidden="1">{"'WS Sales by Rep'!$A$24:$L$46"}</definedName>
    <definedName name="html_control_planfac" hidden="1">{"'WS Sales by Rep'!$A$24:$L$46"}</definedName>
    <definedName name="html_control_planfin" hidden="1">{"'WS Sales by Rep'!$A$24:$L$46"}</definedName>
    <definedName name="html_control_planfin2" hidden="1">{"'WS Sales by Rep'!$A$24:$L$46"}</definedName>
    <definedName name="html_control_planhr" hidden="1">{"'WS Sales by Rep'!$A$24:$L$46"}</definedName>
    <definedName name="Html_control1" hidden="1">{"'Perf 96'!$A$1:$P$98"}</definedName>
    <definedName name="HTML_Control10" hidden="1">{"'Data'!$A$1:$D$17"}</definedName>
    <definedName name="HTML_Control11" hidden="1">{"'Data'!$A$1:$D$17"}</definedName>
    <definedName name="HTML_Control12" hidden="1">{"'Data'!$A$1:$D$17"}</definedName>
    <definedName name="HTML_Control13" hidden="1">{"'Data'!$A$1:$D$17"}</definedName>
    <definedName name="HTML_Control14" hidden="1">{"'Data'!$A$1:$D$17"}</definedName>
    <definedName name="HTML_Control15" hidden="1">{"'Data'!$A$1:$D$17"}</definedName>
    <definedName name="HTML_Control16" hidden="1">{"'Data'!$A$1:$D$17"}</definedName>
    <definedName name="HTML_Control17" hidden="1">{"'Data'!$A$1:$D$17"}</definedName>
    <definedName name="HTML_Control18" hidden="1">{"'Data'!$A$1:$D$17"}</definedName>
    <definedName name="HTML_Control19" hidden="1">{"'Data'!$A$1:$D$17"}</definedName>
    <definedName name="HTML_Control2" hidden="1">{"'SIVA Pricing Model'!$A$1:$F$39"}</definedName>
    <definedName name="HTML_Control20" hidden="1">{"'Data'!$A$1:$D$17"}</definedName>
    <definedName name="HTML_Control21" hidden="1">{"'Data'!$A$1:$D$17"}</definedName>
    <definedName name="HTML_Control23" hidden="1">{"'Data'!$A$1:$D$17"}</definedName>
    <definedName name="HTML_Control24" hidden="1">{"'Data'!$A$1:$D$17"}</definedName>
    <definedName name="HTML_Control25" hidden="1">{"'Data'!$A$1:$D$17"}</definedName>
    <definedName name="HTML_Control26" hidden="1">{"'Data'!$A$1:$D$17"}</definedName>
    <definedName name="HTML_Control27" hidden="1">{"'Data'!$A$1:$D$17"}</definedName>
    <definedName name="HTML_Control28" hidden="1">{"'Data'!$A$1:$D$17"}</definedName>
    <definedName name="HTML_Control29" hidden="1">{"'Data'!$A$1:$D$17"}</definedName>
    <definedName name="HTML_Control3" hidden="1">{"'SIVA Pricing Model'!$A$1:$F$39"}</definedName>
    <definedName name="HTML_Control30" hidden="1">{"'Data'!$A$1:$D$17"}</definedName>
    <definedName name="HTML_Control31" hidden="1">{"'Data'!$A$1:$D$17"}</definedName>
    <definedName name="HTML_Control32" hidden="1">{"'Data'!$A$1:$D$17"}</definedName>
    <definedName name="HTML_Control33" hidden="1">{"'Data'!$A$1:$D$17"}</definedName>
    <definedName name="HTML_Control34" hidden="1">{"'Data'!$A$1:$D$17"}</definedName>
    <definedName name="html_Control38" hidden="1">{"'Data'!$A$1:$D$17"}</definedName>
    <definedName name="HTML_Control4" hidden="1">{"'Data'!$A$1:$D$17"}</definedName>
    <definedName name="HTML_Control5" hidden="1">{"'SIVA Pricing Model'!$A$1:$F$39"}</definedName>
    <definedName name="HTML_Control6" hidden="1">{"'Data'!$A$1:$D$17"}</definedName>
    <definedName name="HTML_Control7" hidden="1">{"'Data'!$A$1:$D$17"}</definedName>
    <definedName name="HTML_Control8" hidden="1">{"'Data'!$A$1:$D$17"}</definedName>
    <definedName name="HTML_Control9" hidden="1">{"'Data'!$A$1:$D$17"}</definedName>
    <definedName name="HTML_Controla" hidden="1">{"'FXRates AUD'!$AH$586"}</definedName>
    <definedName name="HTML_contuol234" hidden="1">{"'Data'!$A$1:$D$17"}</definedName>
    <definedName name="HTML_Ctrol" hidden="1">{"'Title Transfer Units6,7,&amp;8'!$A$1:$B$4","'Title Transfer Units6,7,&amp;8'!$C$6"}</definedName>
    <definedName name="HTML_Ctrol2" hidden="1">{"'Title Transfer Units6,7,&amp;8'!$A$1:$B$4","'Title Transfer Units6,7,&amp;8'!$C$6"}</definedName>
    <definedName name="HTML_Description" localSheetId="54" hidden="1">""</definedName>
    <definedName name="HTML_Description" localSheetId="55" hidden="1">""</definedName>
    <definedName name="HTML_Description" hidden="1">"Umsatz in dem aktuellen Monat und aufgelaufen für das Jahr 1999"</definedName>
    <definedName name="HTML_Email" localSheetId="54" hidden="1">""</definedName>
    <definedName name="HTML_Email" localSheetId="55" hidden="1">""</definedName>
    <definedName name="HTML_Email" hidden="1">"arpkffin@mail.matav.hu"</definedName>
    <definedName name="HTML_Header" localSheetId="54" hidden="1">"Country Risk Premiums"</definedName>
    <definedName name="HTML_Header" localSheetId="55" hidden="1">"Country Risk Premiums"</definedName>
    <definedName name="HTML_Header" hidden="1">"Umsatz, Ist/Plan CabTec Kft 1999"</definedName>
    <definedName name="HTML_LastUpdate" localSheetId="54" hidden="1">"2/19/99"</definedName>
    <definedName name="HTML_LastUpdate" localSheetId="55" hidden="1">"2/19/99"</definedName>
    <definedName name="HTML_LastUpdate" hidden="1">"1999.11.23."</definedName>
    <definedName name="HTML_LineAfter" localSheetId="54" hidden="1">TRUE</definedName>
    <definedName name="HTML_LineAfter" localSheetId="55" hidden="1">TRUE</definedName>
    <definedName name="HTML_LineAfter" hidden="1">FALSE</definedName>
    <definedName name="HTML_LineBefore" localSheetId="54" hidden="1">TRUE</definedName>
    <definedName name="HTML_LineBefore" localSheetId="55" hidden="1">TRUE</definedName>
    <definedName name="HTML_LineBefore" hidden="1">FALSE</definedName>
    <definedName name="HTML_Name" localSheetId="54" hidden="1">"Aswath Damodaran"</definedName>
    <definedName name="HTML_Name" localSheetId="55" hidden="1">"Aswath Damodaran"</definedName>
    <definedName name="HTML_Name" hidden="1">"Szabó István"</definedName>
    <definedName name="HTML_OBDlg2" hidden="1">TRUE</definedName>
    <definedName name="HTML_OBDlg3" hidden="1">TRUE</definedName>
    <definedName name="HTML_OBDlg4" hidden="1">TRUE</definedName>
    <definedName name="HTML_OS" localSheetId="54" hidden="1">1</definedName>
    <definedName name="HTML_OS" localSheetId="55" hidden="1">1</definedName>
    <definedName name="HTML_OS" hidden="1">0</definedName>
    <definedName name="HTML_PathFile" hidden="1">"C:\a\Excel\HTML\Umsatzak.htm"</definedName>
    <definedName name="HTML_PathFileMac" hidden="1">"Macintosh HD:HomePageStuff:New_Home_Page:datafile:ctryprem.html"</definedName>
    <definedName name="HTML_PathTemplate" hidden="1">"G:\ST_Forecast\html\master_w.htm"</definedName>
    <definedName name="HTML_Title" localSheetId="54" hidden="1">"Country Risk Premiums"</definedName>
    <definedName name="HTML_Title" localSheetId="55" hidden="1">"Country Risk Premiums"</definedName>
    <definedName name="HTML_Title" hidden="1">"Umsatz, aktuell"</definedName>
    <definedName name="HTML1" hidden="1">{"'Title Transfer Units6,7,&amp;8'!$A$1:$B$4","'Title Transfer Units6,7,&amp;8'!$C$6"}</definedName>
    <definedName name="HTML1_1" hidden="1">"'[internet 98q4.xls]xcontact'!$A$1:$F$114"</definedName>
    <definedName name="HTML1_10" hidden="1">""</definedName>
    <definedName name="HTML1_11" hidden="1">1</definedName>
    <definedName name="HTML1_12" hidden="1">"D:\data\xl\MyHTML.htm"</definedName>
    <definedName name="HTML1_13" hidden="1">#N/A</definedName>
    <definedName name="HTML1_14" hidden="1">#N/A</definedName>
    <definedName name="HTML1_15" hidden="1">#N/A</definedName>
    <definedName name="HTML1_2" hidden="1">1</definedName>
    <definedName name="HTML1_3" hidden="1">"internet 98q4.xls"</definedName>
    <definedName name="HTML1_4" hidden="1">"xcontact"</definedName>
    <definedName name="HTML1_5" hidden="1">""</definedName>
    <definedName name="HTML1_6" hidden="1">-4146</definedName>
    <definedName name="HTML1_7" hidden="1">-4146</definedName>
    <definedName name="HTML1_8" hidden="1">"15/10/1998"</definedName>
    <definedName name="HTML1_9" hidden="1">"GEORGIADES"</definedName>
    <definedName name="HTML10_10" hidden="1">""</definedName>
    <definedName name="HTML10_11" hidden="1">1</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0" hidden="1">""</definedName>
    <definedName name="HTML11_11" hidden="1">1</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0" hidden="1">""</definedName>
    <definedName name="HTML12_11" hidden="1">1</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0" hidden="1">""</definedName>
    <definedName name="HTML13_11" hidden="1">1</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0" hidden="1">""</definedName>
    <definedName name="HTML14_11" hidden="1">1</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0" hidden="1">""</definedName>
    <definedName name="HTML15_11" hidden="1">1</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0" hidden="1">""</definedName>
    <definedName name="HTML16_11" hidden="1">1</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0" hidden="1">""</definedName>
    <definedName name="HTML17_11" hidden="1">1</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0" hidden="1">""</definedName>
    <definedName name="HTML18_11" hidden="1">1</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0" hidden="1">""</definedName>
    <definedName name="HTML19_11" hidden="1">1</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 hidden="1">{"'B1'!$B$3:$E$3"}</definedName>
    <definedName name="HTML2_1" hidden="1">"'[internet 98q4.xls]xcontact'!$A$2:$F$114"</definedName>
    <definedName name="HTML2_10" hidden="1">""</definedName>
    <definedName name="HTML2_11" hidden="1">1</definedName>
    <definedName name="HTML2_12" hidden="1">"D:\data\xl\MyHTML.htm"</definedName>
    <definedName name="HTML2_13" hidden="1">#N/A</definedName>
    <definedName name="HTML2_14" hidden="1">#N/A</definedName>
    <definedName name="HTML2_15" hidden="1">#N/A</definedName>
    <definedName name="HTML2_2" hidden="1">1</definedName>
    <definedName name="HTML2_3" hidden="1">"internet 98q4.xls"</definedName>
    <definedName name="HTML2_4" hidden="1">"xcontact"</definedName>
    <definedName name="HTML2_5" hidden="1">""</definedName>
    <definedName name="HTML2_6" hidden="1">-4146</definedName>
    <definedName name="HTML2_7" hidden="1">-4146</definedName>
    <definedName name="HTML2_8" hidden="1">"15/10/1998"</definedName>
    <definedName name="HTML2_9" hidden="1">"GEORGIADES"</definedName>
    <definedName name="HTML20_10" hidden="1">""</definedName>
    <definedName name="HTML20_11" hidden="1">1</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0" hidden="1">""</definedName>
    <definedName name="HTML21_11" hidden="1">1</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0" hidden="1">""</definedName>
    <definedName name="HTML22_11" hidden="1">1</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0" hidden="1">""</definedName>
    <definedName name="HTML23_11" hidden="1">1</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0" hidden="1">""</definedName>
    <definedName name="HTML24_11" hidden="1">1</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0" hidden="1">""</definedName>
    <definedName name="HTML25_11" hidden="1">1</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0" hidden="1">""</definedName>
    <definedName name="HTML26_11" hidden="1">1</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0" hidden="1">""</definedName>
    <definedName name="HTML27_11" hidden="1">1</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0" hidden="1">""</definedName>
    <definedName name="HTML28_11" hidden="1">1</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0" hidden="1">""</definedName>
    <definedName name="HTML29_11" hidden="1">1</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"'[internet 98q4.xls]xlist3'!$A$3:$E$175"</definedName>
    <definedName name="HTML3_10" hidden="1">""</definedName>
    <definedName name="HTML3_11" hidden="1">-4146</definedName>
    <definedName name="HTML3_12" hidden="1">"D:\data\aaa html\national2.htm"</definedName>
    <definedName name="HTML3_13" hidden="1">#N/A</definedName>
    <definedName name="HTML3_14" hidden="1">#N/A</definedName>
    <definedName name="HTML3_15" hidden="1">#N/A</definedName>
    <definedName name="HTML3_2" hidden="1">1</definedName>
    <definedName name="HTML3_3" hidden="1">"internet 98q4.xls"</definedName>
    <definedName name="HTML3_4" hidden="1">"xlist3"</definedName>
    <definedName name="HTML3_5" hidden="1">""</definedName>
    <definedName name="HTML3_6" hidden="1">-4146</definedName>
    <definedName name="HTML3_7" hidden="1">-4146</definedName>
    <definedName name="HTML3_8" hidden="1">"15/10/1998"</definedName>
    <definedName name="HTML3_9" hidden="1">"GEORGIADES"</definedName>
    <definedName name="HTML30_10" hidden="1">""</definedName>
    <definedName name="HTML30_11" hidden="1">1</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0" hidden="1">""</definedName>
    <definedName name="HTML31_11" hidden="1">1</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0" hidden="1">""</definedName>
    <definedName name="HTML32_11" hidden="1">1</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"'[internet 98q4.xls]x1.2'!$B$5:$C$25"</definedName>
    <definedName name="HTML4_10" hidden="1">""</definedName>
    <definedName name="HTML4_11" hidden="1">1</definedName>
    <definedName name="HTML4_12" hidden="1">"D:\data\aaa html\test1.htm"</definedName>
    <definedName name="HTML4_13" hidden="1">#N/A</definedName>
    <definedName name="HTML4_14" hidden="1">#N/A</definedName>
    <definedName name="HTML4_15" hidden="1">#N/A</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0" hidden="1">""</definedName>
    <definedName name="HTML5_11" hidden="1">-4146</definedName>
    <definedName name="HTML5_12" hidden="1">"C:\current\12.htm"</definedName>
    <definedName name="HTML5_2" hidden="1">1</definedName>
    <definedName name="HTML5_3" hidden="1">"1Q99 10Q"</definedName>
    <definedName name="HTML5_4" hidden="1">"Exhibit 12"</definedName>
    <definedName name="HTML5_5" hidden="1">""</definedName>
    <definedName name="HTML5_6" hidden="1">-4146</definedName>
    <definedName name="HTML5_7" hidden="1">-4146</definedName>
    <definedName name="HTML5_8" hidden="1">"05/24/1999"</definedName>
    <definedName name="HTML5_9" hidden="1">"General Electric"</definedName>
    <definedName name="HTML6_10" hidden="1">""</definedName>
    <definedName name="HTML6_11" hidden="1">1</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0" hidden="1">""</definedName>
    <definedName name="HTML7_11" hidden="1">1</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0" hidden="1">""</definedName>
    <definedName name="HTML8_11" hidden="1">1</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0" hidden="1">""</definedName>
    <definedName name="HTML9_11" hidden="1">1</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4</definedName>
    <definedName name="htmll2" hidden="1">{"'Sample Status'!$A$1:$J$21"}</definedName>
    <definedName name="HTNL3" hidden="1">{"'Title Transfer Units6,7,&amp;8'!$A$1:$B$4","'Title Transfer Units6,7,&amp;8'!$C$6"}</definedName>
    <definedName name="htre" hidden="1">{#N/A,#N/A,TRUE,"Historicals";#N/A,#N/A,TRUE,"Charts";#N/A,#N/A,TRUE,"Forecasts"}</definedName>
    <definedName name="htrehd" hidden="1">{#N/A,#N/A,TRUE,"Historicals";#N/A,#N/A,TRUE,"Charts";#N/A,#N/A,TRUE,"Forecasts"}</definedName>
    <definedName name="htrhehdf" hidden="1">{#N/A,#N/A,TRUE,"Historicals";#N/A,#N/A,TRUE,"Charts";#N/A,#N/A,TRUE,"Forecasts"}</definedName>
    <definedName name="htrhfg" hidden="1">{#N/A,#N/A,TRUE,"Historicals";#N/A,#N/A,TRUE,"Charts";#N/A,#N/A,TRUE,"Forecasts"}</definedName>
    <definedName name="htrhtrh" hidden="1">{#N/A,#N/A,TRUE,"Historicals";#N/A,#N/A,TRUE,"Charts";#N/A,#N/A,TRUE,"Forecasts"}</definedName>
    <definedName name="htyrht" hidden="1">{#N/A,#N/A,TRUE,"Historicals";#N/A,#N/A,TRUE,"Charts";#N/A,#N/A,TRUE,"Forecasts"}</definedName>
    <definedName name="htyuityuiotio" hidden="1">{#N/A,#N/A,FALSE,"REPORT"}</definedName>
    <definedName name="hu"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go"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HUh" hidden="1">{"'Standalone List Price Trends'!$A$1:$X$56"}</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i" hidden="1">{"Sum1",#N/A,FALSE,"Reserve Report";"Sum2",#N/A,FALSE,"Reserve Report";"Sum3",#N/A,FALSE,"Reserve Report";"Sum4",#N/A,FALSE,"Reserve Report"}</definedName>
    <definedName name="huj" hidden="1">{"SCM_Detail",#N/A,FALSE,"SCM";"SCM_Top",#N/A,FALSE,"SCM"}</definedName>
    <definedName name="hurz" hidden="1">{#N/A,#N/A,FALSE,"WOB_1.XLS";#N/A,#N/A,FALSE,"WOB_2.XLS";#N/A,#N/A,FALSE,"WOB_3.XLS";#N/A,#N/A,FALSE,"WOB_4.XLS";#N/A,#N/A,FALSE,"WOB_5.XLS"}</definedName>
    <definedName name="hurz2" hidden="1">{#N/A,#N/A,FALSE,"WOBE_DE.XLS";#N/A,#N/A,FALSE,"WOB_1.XLS";#N/A,#N/A,FALSE,"WOB_2.XLS";#N/A,#N/A,FALSE,"WOB_3.XLS";#N/A,#N/A,FALSE,"WOB_4.XLS";#N/A,#N/A,FALSE,"WOB_5.XLS"}</definedName>
    <definedName name="hurz3" hidden="1">{#N/A,#N/A,FALSE,"WOB_1.XLS";#N/A,#N/A,FALSE,"WOB_2.XLS";#N/A,#N/A,FALSE,"WOB_3.XLS";#N/A,#N/A,FALSE,"WOB_4.XLS";#N/A,#N/A,FALSE,"WOB_5.XLS"}</definedName>
    <definedName name="hurz4" hidden="1">{#N/A,#N/A,FALSE,"WOBE_DE.XLS";#N/A,#N/A,FALSE,"WOB_1.XLS";#N/A,#N/A,FALSE,"WOB_2.XLS";#N/A,#N/A,FALSE,"WOB_3.XLS";#N/A,#N/A,FALSE,"WOB_4.XLS";#N/A,#N/A,FALSE,"WOB_5.XLS"}</definedName>
    <definedName name="hurz5" hidden="1">{#N/A,#N/A,FALSE,"WOB_1.XLS";#N/A,#N/A,FALSE,"WOB_2.XLS";#N/A,#N/A,FALSE,"WOB_3.XLS";#N/A,#N/A,FALSE,"WOB_4.XLS";#N/A,#N/A,FALSE,"WOB_5.XLS"}</definedName>
    <definedName name="huy" hidden="1">{"'Sheet1'!$L$16"}</definedName>
    <definedName name="HvSAutomaticLabelingDisabled" hidden="1">"True"</definedName>
    <definedName name="HvSClassificationId" hidden="1">"d4c75f49-f1ee-485c-aa75-2c54e2ab5223"</definedName>
    <definedName name="HvSOldClassificationId" hidden="1">"d4c75f49-f1ee-485c-aa75-2c54e2ab5223"</definedName>
    <definedName name="HvSPrefix" hidden="1">"Lorange"</definedName>
    <definedName name="HvSPreviousClassificationId" hidden="1">"d4c75f49-f1ee-485c-aa75-2c54e2ab5223"</definedName>
    <definedName name="HvSShowClassificationRequestWindow" hidden="1">"False"</definedName>
    <definedName name="HvSWorkbookInitialized" hidden="1">"False"</definedName>
    <definedName name="hw" hidden="1">{"sales growth",#N/A,FALSE,"summary";"oper income",#N/A,FALSE,"summary";"oros rank",#N/A,FALSE,"summary";"net assets",#N/A,FALSE,"summary";"asset turnover",#N/A,FALSE,"summary";"orona",#N/A,FALSE,"summary"}</definedName>
    <definedName name="hy"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pertention" hidden="1">{#N/A,#N/A,FALSE,"Pharm";#N/A,#N/A,FALSE,"WWCM"}</definedName>
    <definedName name="hypo" hidden="1">{#N/A,#N/A,FALSE,"Pharm";#N/A,#N/A,FALSE,"WWCM"}</definedName>
    <definedName name="hyt"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hytrf" hidden="1">{#N/A,#N/A,TRUE,"Historicals";#N/A,#N/A,TRUE,"Charts";#N/A,#N/A,TRUE,"Forecasts"}</definedName>
    <definedName name="hzihz" hidden="1">{#N/A,#N/A,FALSE,"M1";#N/A,#N/A,FALSE,"K7";#N/A,#N/A,FALSE,"K6";#N/A,#N/A,FALSE,"K5";#N/A,#N/A,FALSE,"K4";#N/A,#N/A,FALSE,"K3";#N/A,#N/A,FALSE,"K2";#N/A,#N/A,FALSE,"K1"}</definedName>
    <definedName name="I68Y" hidden="1">{"'Demand Units'!$X$11:$AD$45"}</definedName>
    <definedName name="i8uitiu"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IA" hidden="1">{"SCM_Detail",#N/A,FALSE,"SCM";"SCM_Top",#N/A,FALSE,"SCM"}</definedName>
    <definedName name="ibnjks" hidden="1">{"detail",#N/A,FALSE,"mfg";"summary",#N/A,FALSE,"mfg"}</definedName>
    <definedName name="idid" hidden="1">{#N/A,#N/A,FALSE,"단축1";#N/A,#N/A,FALSE,"단축2";#N/A,#N/A,FALSE,"단축3";#N/A,#N/A,FALSE,"장축";#N/A,#N/A,FALSE,"4WD"}</definedName>
    <definedName name="IDL.Connector.UDF" hidden="1">0</definedName>
    <definedName name="IDL.Connector.Version" hidden="1">"16.1.0.0"</definedName>
    <definedName name="IDL.Connector.Version2011" hidden="1">"10.0.0.4"</definedName>
    <definedName name="IDL.Connector.Version2012" hidden="1">"10.0.0.4"</definedName>
    <definedName name="IEPeXToEUR" hidden="1">1/EUReXToIEP</definedName>
    <definedName name="ierj" hidden="1">{"weichwaren",#N/A,FALSE,"Liste 1";"hartwaren",#N/A,FALSE,"Liste 1";"food",#N/A,FALSE,"Liste 1";"fleisch",#N/A,FALSE,"Liste 1"}</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IENE" hidden="1">{"FY97Total var",#N/A,FALSE,"FY97 - Total";"FY98Total var",#N/A,FALSE,"FY98 - Total"}</definedName>
    <definedName name="IHE" hidden="1">#REF!</definedName>
    <definedName name="ihuygvd" hidden="1">{#N/A,#N/A,FALSE,"초도품";#N/A,#N/A,FALSE,"초도품 (2)";#N/A,#N/A,FALSE,"초도품 (3)";#N/A,#N/A,FALSE,"초도품 (4)";#N/A,#N/A,FALSE,"초도품 (5)";#N/A,#N/A,FALSE,"초도품 (6)"}</definedName>
    <definedName name="ii" hidden="1">{"Tariff Comparison",#N/A,FALSE,"Benchmarking";"Tariff Comparison 2",#N/A,FALSE,"Benchmarking";"Tariff Comparison 3",#N/A,FALSE,"Benchmarking"}</definedName>
    <definedName name="ii.oo" hidden="1">{#N/A,#N/A,FALSE,"Umsatz EO BP";#N/A,#N/A,FALSE,"Umsatz EO OP";#N/A,#N/A,FALSE,"ER EO BP";#N/A,#N/A,FALSE,"ER EO OP";#N/A,#N/A,FALSE,"EA EO (2)";#N/A,#N/A,FALSE,"EA EO";#N/A,#N/A,FALSE,"EA EO (3)";#N/A,#N/A,FALSE,"EA EO (4)";#N/A,#N/A,FALSE,"KA EO  (2)";#N/A,#N/A,FALSE,"KA EO";#N/A,#N/A,FALSE,"KA EO  (3)";#N/A,#N/A,FALSE,"KA EO (4)"}</definedName>
    <definedName name="iii" hidden="1">{"detail",#N/A,FALSE,"mfg";"summary",#N/A,FALSE,"mfg"}</definedName>
    <definedName name="IIII" hidden="1">{#N/A,#N/A,FALSE,"단축1";#N/A,#N/A,FALSE,"단축2";#N/A,#N/A,FALSE,"단축3";#N/A,#N/A,FALSE,"장축";#N/A,#N/A,FALSE,"4WD"}</definedName>
    <definedName name="iiiii" hidden="1">{#N/A,#N/A,FALSE,"Calc";#N/A,#N/A,FALSE,"Sensitivity";#N/A,#N/A,FALSE,"LT Earn.Dil.";#N/A,#N/A,FALSE,"Dil. AVP"}</definedName>
    <definedName name="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iiiiiiiii"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joi" hidden="1">{#N/A,#N/A,FALSE,"Produkte Erw.";#N/A,#N/A,FALSE,"Produkte Plan";#N/A,#N/A,FALSE,"Leistungen Erw.";#N/A,#N/A,FALSE,"Leistungen Plan";#N/A,#N/A,FALSE,"KA Allg.Kosten (2)";#N/A,#N/A,FALSE,"KA All.Kosten"}</definedName>
    <definedName name="ik" hidden="1">{"casespecific",#N/A,FALSE,"Assumptions"}</definedName>
    <definedName name="iki" hidden="1">{"Y.1",#N/A,TRUE,"SIEMENS";"Y.2",#N/A,TRUE,"ALCATEL";"Y.3",#N/A,TRUE,"MOTOROLA";"Y.4",#N/A,TRUE,"DİĞER";"Y.5",#N/A,TRUE,"LG-5";"Y.6",#N/A,TRUE,"LG-5";"Y.7",#N/A,TRUE,"LG-4";"Y.8",#N/A,TRUE,"LG-4";"Y.10",#N/A,TRUE,"LG-4";"Y.9",#N/A,TRUE,"LG-4";"TERMİNAL",#N/A,TRUE,"TERMİNAL";"DETECON",#N/A,TRUE,"DETECON";"Y.10",#N/A,TRUE,"TEMİNAT";"Y.11",#N/A,TRUE,"TEMİNAT"}</definedName>
    <definedName name="ikiooo" hidden="1">{"'Other IPS'!$A$5","'Other IPS'!$A$4:$K$38"}</definedName>
    <definedName name="ilöul" hidden="1">{#N/A,#N/A,FALSE,"Layout GuV"}</definedName>
    <definedName name="imeclosedthreads" hidden="1">41918.5692013889</definedName>
    <definedName name="Img_ML_3c7g1a7g" hidden="1">"IMG_3"</definedName>
    <definedName name="Img_ML_7g5e5e2b" hidden="1">"IMG_3"</definedName>
    <definedName name="Img_ML_8h7g4d4d" hidden="1">"IMG_3"</definedName>
    <definedName name="Img_Production_Breakdown" hidden="1">"IMG_3"</definedName>
    <definedName name="imj" hidden="1">{#N/A,#N/A,FALSE,"Aging Summary";#N/A,#N/A,FALSE,"Ratio Analysis";#N/A,#N/A,FALSE,"Test 120 Day Accts";#N/A,#N/A,FALSE,"Tickmarks"}</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NC_AFTER_TAX" hidden="1">"INC_AFTER_TAX"</definedName>
    <definedName name="INC_AVAIL_EXCL" hidden="1">"INC_AVAIL_EXCL"</definedName>
    <definedName name="INC_AVAIL_INCL" hidden="1">"INC_AVAIL_INCL"</definedName>
    <definedName name="INC_BEFORE_TAX" hidden="1">"INC_BEFORE_TAX"</definedName>
    <definedName name="INC_TAX" hidden="1">"INC_TAX"</definedName>
    <definedName name="INC_TAX_EXCL" hidden="1">"INC_TAX_EXCL"</definedName>
    <definedName name="incentive" hidden="1">{#N/A,#N/A,FALSE,"UEG Cover";#N/A,#N/A,FALSE,"UEG Summary";#N/A,#N/A,FALSE,"UPS Cover";#N/A,#N/A,FALSE,"REGULATED_POWER";#N/A,#N/A,FALSE,"REG_VAR_YTD";#N/A,#N/A,FALSE,"UCG";#N/A,#N/A,FALSE,"UCG_VAR_YTD";#N/A,#N/A,FALSE,"O&amp;M_DETAIL";#N/A,#N/A,FALSE,"UPS HEADCOUNT";#N/A,#N/A,FALSE,"UPS CAPITAL";#N/A,#N/A,FALSE,"UPS FLEX PLAN";#N/A,#N/A,FALSE,"UER Cover";#N/A,#N/A,FALSE,"AEC EBIT-EVA Month";#N/A,#N/A,FALSE,"AEC EBIT-EVA Y-T-D";#N/A,#N/A,FALSE,"AEM-TG EBIT-EVA Month";#N/A,#N/A,FALSE,"APC-PT EBIT-EVA Month ";#N/A,#N/A,FALSE,"AEM-Term EBIT-EVA Month ";#N/A,#N/A,FALSE,"APC-Term EBIT-EVA Month";#N/A,#N/A,FALSE,"AEM O&amp;M Detail";#N/A,#N/A,FALSE,"AQP Cover";#N/A,#N/A,FALSE,"AQP EBIT-EVA Month";#N/A,#N/A,FALSE,"AQP EBIT-EVA Y-T-D";#N/A,#N/A,FALSE,"AQP O&amp;M Detail";#N/A,#N/A,FALSE,"Operating Stats-UER";#N/A,#N/A,FALSE,"Headcount";#N/A,#N/A,FALSE,"GSS Cover";#N/A,#N/A,FALSE,"GSS EBIT-EVA Month";#N/A,#N/A,FALSE,"GSS EBIT-EVA Variance";#N/A,#N/A,FALSE,"GSS O&amp;M Detail - P&amp;L";#N/A,#N/A,FALSE,"GSS O&amp;M Variance";#N/A,#N/A,FALSE,"UES Cover";#N/A,#N/A,FALSE,"UES Total";#N/A,#N/A,FALSE,"Monthly UES by SBU";#N/A,#N/A,FALSE,"YTD UES by SBU";#N/A,#N/A,FALSE,"IndustEBIT";#N/A,#N/A,FALSE,"Com'l EBIT ";#N/A,#N/A,FALSE,"UEM EBIT"}</definedName>
    <definedName name="IncTarget" hidden="1">{#N/A,#N/A,FALSE,"Assumptions";#N/A,#N/A,FALSE,"Volumes";#N/A,#N/A,FALSE,"Pricing";#N/A,#N/A,FALSE,"Variable Cost";#N/A,#N/A,FALSE,"Investment";#N/A,#N/A,FALSE,"Profitability";#N/A,#N/A,FALSE,"Business Comparison"}</definedName>
    <definedName name="inflList" hidden="1">"11011000000000000000000000000000000000000000000000000000000000000000000000000000000000000000000000000000000000000000000000000000000000000000000000000000000000000000000000000000000000000000000000000000"</definedName>
    <definedName name="INFO_BI_EXE_NAME" hidden="1">"BICEVOLUTION.EXE"</definedName>
    <definedName name="INFO_EXE_SERVER_PATH" hidden="1">"C:\Program Files (x86)\Pastel Evolution\BICEVOLUTION.EXE"</definedName>
    <definedName name="INFO_INSTANCE_ID" hidden="1">"0"</definedName>
    <definedName name="INFO_INSTANCE_NAME" hidden="1">"Copy of Attix5 Consolidated Management March_Jay_20141030_15_21_40_2121.xls"</definedName>
    <definedName name="INFO_REPORT_CODE" hidden="1">"E4-GL01-3-5"</definedName>
    <definedName name="INFO_REPORT_ID" hidden="1">"2"</definedName>
    <definedName name="INFO_REPORT_NAME" hidden="1">"A5 Consolidated Management Pack D-3-5"</definedName>
    <definedName name="INFO_RUN_USER" hidden="1">""</definedName>
    <definedName name="INFO_RUN_WORKSTATION" hidden="1">"A5-EVO-GATEWAY"</definedName>
    <definedName name="ingjks" hidden="1">{"detail",#N/A,FALSE,"mfg";"summary",#N/A,FALSE,"mfg"}</definedName>
    <definedName name="ingo" hidden="1">{#N/A,#N/A,FALSE,"Report-Generator";#N/A,#N/A,FALSE,"S.1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name="Inhaltsverzeichnis" hidden="1">{#N/A,#N/A,FALSE,"Aktiva";#N/A,#N/A,FALSE,"Passiva";#N/A,#N/A,FALSE,"guv";#N/A,#N/A,FALSE,"Anl-1";#N/A,#N/A,FALSE,"Anl-2";#N/A,#N/A,FALSE,"Anl-III";#N/A,#N/A,FALSE,"Ta-1-Anh";#N/A,#N/A,FALSE,"Ta-2-Anh";#N/A,#N/A,FALSE,"Ta-3-Anh";#N/A,#N/A,FALSE,"Kontroll-Blatt"}</definedName>
    <definedName name="iniske" hidden="1">{"detail",#N/A,FALSE,"mfg";"summary",#N/A,FALSE,"mfg"}</definedName>
    <definedName name="inksl" hidden="1">{"detail",#N/A,FALSE,"mfg";"summary",#N/A,FALSE,"mfg"}</definedName>
    <definedName name="INL.Connector.Version2014" hidden="1">"10.0.0.4"</definedName>
    <definedName name="INL.Connector.VersionQ3" hidden="1">"10.0.0.4"</definedName>
    <definedName name="Input_Prognos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instrument_1" localSheetId="55">#REF!</definedName>
    <definedName name="instrument_1">#REF!</definedName>
    <definedName name="instrument_1_amount" localSheetId="55">#REF!</definedName>
    <definedName name="instrument_1_amount">#REF!</definedName>
    <definedName name="instrument_1_bf" localSheetId="55">#REF!</definedName>
    <definedName name="instrument_1_bf">#REF!</definedName>
    <definedName name="instrument_1_cf" localSheetId="55">#REF!</definedName>
    <definedName name="instrument_1_cf">#REF!</definedName>
    <definedName name="instrument_1_custom_pmt" localSheetId="55">#REF!</definedName>
    <definedName name="instrument_1_custom_pmt">#REF!</definedName>
    <definedName name="instrument_1_int_accrual" localSheetId="55">#REF!</definedName>
    <definedName name="instrument_1_int_accrual">#REF!</definedName>
    <definedName name="instrument_1_int_pmt" localSheetId="55">#REF!</definedName>
    <definedName name="instrument_1_int_pmt">#REF!</definedName>
    <definedName name="instrument_1_int_rate" localSheetId="55">#REF!</definedName>
    <definedName name="instrument_1_int_rate">#REF!</definedName>
    <definedName name="instrument_1_rollup" localSheetId="55">#REF!</definedName>
    <definedName name="instrument_1_rollup">#REF!</definedName>
    <definedName name="instrument_1_rollup_percent" localSheetId="55">#REF!</definedName>
    <definedName name="instrument_1_rollup_percent">#REF!</definedName>
    <definedName name="instrument_1_rpmt" localSheetId="55">#REF!</definedName>
    <definedName name="instrument_1_rpmt">#REF!</definedName>
    <definedName name="instrument_1_rpmt_holiday" localSheetId="55">#REF!</definedName>
    <definedName name="instrument_1_rpmt_holiday">#REF!</definedName>
    <definedName name="instrument_1_term" localSheetId="55">#REF!</definedName>
    <definedName name="instrument_1_term">#REF!</definedName>
    <definedName name="instrument_10" localSheetId="55">#REF!</definedName>
    <definedName name="instrument_10">#REF!</definedName>
    <definedName name="instrument_10_amount" localSheetId="55">#REF!</definedName>
    <definedName name="instrument_10_amount">#REF!</definedName>
    <definedName name="instrument_10_bf" localSheetId="55">#REF!</definedName>
    <definedName name="instrument_10_bf">#REF!</definedName>
    <definedName name="instrument_10_cf" localSheetId="55">#REF!</definedName>
    <definedName name="instrument_10_cf">#REF!</definedName>
    <definedName name="instrument_10_cfd" localSheetId="55">#REF!</definedName>
    <definedName name="instrument_10_cfd">#REF!</definedName>
    <definedName name="instrument_10_int_accrual" localSheetId="55">#REF!</definedName>
    <definedName name="instrument_10_int_accrual">#REF!</definedName>
    <definedName name="instrument_10_int_pmt" localSheetId="55">#REF!</definedName>
    <definedName name="instrument_10_int_pmt">#REF!</definedName>
    <definedName name="instrument_10_int_rate" localSheetId="55">#REF!</definedName>
    <definedName name="instrument_10_int_rate">#REF!</definedName>
    <definedName name="instrument_10_months_term" localSheetId="55">#REF!</definedName>
    <definedName name="instrument_10_months_term">#REF!</definedName>
    <definedName name="instrument_10_rollup" localSheetId="55">#REF!</definedName>
    <definedName name="instrument_10_rollup">#REF!</definedName>
    <definedName name="instrument_10_rollup_percent" localSheetId="55">#REF!</definedName>
    <definedName name="instrument_10_rollup_percent">#REF!</definedName>
    <definedName name="instrument_10_rpmt" localSheetId="55">#REF!</definedName>
    <definedName name="instrument_10_rpmt">#REF!</definedName>
    <definedName name="instrument_10_rpmt_holiday" localSheetId="55">#REF!</definedName>
    <definedName name="instrument_10_rpmt_holiday">#REF!</definedName>
    <definedName name="instrument_10_term" localSheetId="55">#REF!</definedName>
    <definedName name="instrument_10_term">#REF!</definedName>
    <definedName name="instrument_11" localSheetId="55">#REF!</definedName>
    <definedName name="instrument_11">#REF!</definedName>
    <definedName name="instrument_11_amount" localSheetId="55">#REF!</definedName>
    <definedName name="instrument_11_amount">#REF!</definedName>
    <definedName name="instrument_11_bf" localSheetId="55">#REF!</definedName>
    <definedName name="instrument_11_bf">#REF!</definedName>
    <definedName name="instrument_11_cf" localSheetId="55">#REF!</definedName>
    <definedName name="instrument_11_cf">#REF!</definedName>
    <definedName name="instrument_11_int_accrual" localSheetId="55">#REF!</definedName>
    <definedName name="instrument_11_int_accrual">#REF!</definedName>
    <definedName name="instrument_11_int_pmt" localSheetId="55">#REF!</definedName>
    <definedName name="instrument_11_int_pmt">#REF!</definedName>
    <definedName name="instrument_11_int_rate" localSheetId="55">#REF!</definedName>
    <definedName name="instrument_11_int_rate">#REF!</definedName>
    <definedName name="instrument_11_rollup" localSheetId="55">#REF!</definedName>
    <definedName name="instrument_11_rollup">#REF!</definedName>
    <definedName name="instrument_11_rollup_percent" localSheetId="55">#REF!</definedName>
    <definedName name="instrument_11_rollup_percent">#REF!</definedName>
    <definedName name="instrument_11_rpmt" localSheetId="55">#REF!</definedName>
    <definedName name="instrument_11_rpmt">#REF!</definedName>
    <definedName name="instrument_11_rpmt_holiday" localSheetId="55">#REF!</definedName>
    <definedName name="instrument_11_rpmt_holiday">#REF!</definedName>
    <definedName name="instrument_11_term" localSheetId="55">#REF!</definedName>
    <definedName name="instrument_11_term">#REF!</definedName>
    <definedName name="instrument_2" localSheetId="55">#REF!</definedName>
    <definedName name="instrument_2">#REF!</definedName>
    <definedName name="instrument_2_amount" localSheetId="55">#REF!</definedName>
    <definedName name="instrument_2_amount">#REF!</definedName>
    <definedName name="instrument_2_bf" localSheetId="55">#REF!</definedName>
    <definedName name="instrument_2_bf">#REF!</definedName>
    <definedName name="instrument_2_cf" localSheetId="55">#REF!</definedName>
    <definedName name="instrument_2_cf">#REF!</definedName>
    <definedName name="instrument_2_custom_pmt" localSheetId="55">#REF!</definedName>
    <definedName name="instrument_2_custom_pmt">#REF!</definedName>
    <definedName name="instrument_2_int_accrual" localSheetId="55">#REF!</definedName>
    <definedName name="instrument_2_int_accrual">#REF!</definedName>
    <definedName name="instrument_2_int_pmt" localSheetId="55">#REF!</definedName>
    <definedName name="instrument_2_int_pmt">#REF!</definedName>
    <definedName name="instrument_2_int_rate" localSheetId="55">#REF!</definedName>
    <definedName name="instrument_2_int_rate">#REF!</definedName>
    <definedName name="instrument_2_months_term" localSheetId="55">#REF!</definedName>
    <definedName name="instrument_2_months_term">#REF!</definedName>
    <definedName name="instrument_2_rollup" localSheetId="55">#REF!</definedName>
    <definedName name="instrument_2_rollup">#REF!</definedName>
    <definedName name="instrument_2_rollup_percent" localSheetId="55">#REF!</definedName>
    <definedName name="instrument_2_rollup_percent">#REF!</definedName>
    <definedName name="instrument_2_rpmt" localSheetId="55">#REF!</definedName>
    <definedName name="instrument_2_rpmt">#REF!</definedName>
    <definedName name="instrument_2_rpmt_holiday" localSheetId="55">#REF!</definedName>
    <definedName name="instrument_2_rpmt_holiday">#REF!</definedName>
    <definedName name="instrument_2_term" localSheetId="55">#REF!</definedName>
    <definedName name="instrument_2_term">#REF!</definedName>
    <definedName name="instrument_3" localSheetId="55">#REF!</definedName>
    <definedName name="instrument_3">#REF!</definedName>
    <definedName name="instrument_3_amount" localSheetId="55">#REF!</definedName>
    <definedName name="instrument_3_amount">#REF!</definedName>
    <definedName name="instrument_3_bf" localSheetId="55">#REF!</definedName>
    <definedName name="instrument_3_bf">#REF!</definedName>
    <definedName name="instrument_3_cf" localSheetId="55">#REF!</definedName>
    <definedName name="instrument_3_cf">#REF!</definedName>
    <definedName name="instrument_3_custom_pmt" localSheetId="55">#REF!</definedName>
    <definedName name="instrument_3_custom_pmt">#REF!</definedName>
    <definedName name="instrument_3_int_accrual" localSheetId="55">#REF!</definedName>
    <definedName name="instrument_3_int_accrual">#REF!</definedName>
    <definedName name="instrument_3_int_pmt" localSheetId="55">#REF!</definedName>
    <definedName name="instrument_3_int_pmt">#REF!</definedName>
    <definedName name="instrument_3_int_rate" localSheetId="55">#REF!</definedName>
    <definedName name="instrument_3_int_rate">#REF!</definedName>
    <definedName name="instrument_3_rollup" localSheetId="55">#REF!</definedName>
    <definedName name="instrument_3_rollup">#REF!</definedName>
    <definedName name="instrument_3_rollup_percent" localSheetId="55">#REF!</definedName>
    <definedName name="instrument_3_rollup_percent">#REF!</definedName>
    <definedName name="instrument_3_rpmt" localSheetId="55">#REF!</definedName>
    <definedName name="instrument_3_rpmt">#REF!</definedName>
    <definedName name="instrument_3_rpmt_holiday" localSheetId="55">#REF!</definedName>
    <definedName name="instrument_3_rpmt_holiday">#REF!</definedName>
    <definedName name="instrument_3_term" localSheetId="55">#REF!</definedName>
    <definedName name="instrument_3_term">#REF!</definedName>
    <definedName name="instrument_4" localSheetId="55">#REF!</definedName>
    <definedName name="instrument_4">#REF!</definedName>
    <definedName name="instrument_4_amount" localSheetId="55">#REF!</definedName>
    <definedName name="instrument_4_amount">#REF!</definedName>
    <definedName name="instrument_4_bf" localSheetId="55">#REF!</definedName>
    <definedName name="instrument_4_bf">#REF!</definedName>
    <definedName name="instrument_4_cf" localSheetId="55">#REF!</definedName>
    <definedName name="instrument_4_cf">#REF!</definedName>
    <definedName name="instrument_4_custom_pmt" localSheetId="55">#REF!</definedName>
    <definedName name="instrument_4_custom_pmt">#REF!</definedName>
    <definedName name="instrument_4_int_accrual" localSheetId="55">#REF!</definedName>
    <definedName name="instrument_4_int_accrual">#REF!</definedName>
    <definedName name="instrument_4_int_pmt" localSheetId="55">#REF!</definedName>
    <definedName name="instrument_4_int_pmt">#REF!</definedName>
    <definedName name="instrument_4_int_rate" localSheetId="55">#REF!</definedName>
    <definedName name="instrument_4_int_rate">#REF!</definedName>
    <definedName name="instrument_4_rollup" localSheetId="55">#REF!</definedName>
    <definedName name="instrument_4_rollup">#REF!</definedName>
    <definedName name="instrument_4_rollup_percent" localSheetId="55">#REF!</definedName>
    <definedName name="instrument_4_rollup_percent">#REF!</definedName>
    <definedName name="instrument_4_rpmt" localSheetId="55">#REF!</definedName>
    <definedName name="instrument_4_rpmt">#REF!</definedName>
    <definedName name="instrument_4_rpmt_holiday" localSheetId="55">#REF!</definedName>
    <definedName name="instrument_4_rpmt_holiday">#REF!</definedName>
    <definedName name="instrument_4_term" localSheetId="55">#REF!</definedName>
    <definedName name="instrument_4_term">#REF!</definedName>
    <definedName name="instrument_5" localSheetId="55">#REF!</definedName>
    <definedName name="instrument_5">#REF!</definedName>
    <definedName name="instrument_5_amount" localSheetId="55">#REF!</definedName>
    <definedName name="instrument_5_amount">#REF!</definedName>
    <definedName name="instrument_5_bf" localSheetId="55">#REF!</definedName>
    <definedName name="instrument_5_bf">#REF!</definedName>
    <definedName name="instrument_5_cf" localSheetId="55">#REF!</definedName>
    <definedName name="instrument_5_cf">#REF!</definedName>
    <definedName name="instrument_5_custom_pmt" localSheetId="55">#REF!</definedName>
    <definedName name="instrument_5_custom_pmt">#REF!</definedName>
    <definedName name="instrument_5_int_accrual" localSheetId="55">#REF!</definedName>
    <definedName name="instrument_5_int_accrual">#REF!</definedName>
    <definedName name="instrument_5_int_pmt" localSheetId="55">#REF!</definedName>
    <definedName name="instrument_5_int_pmt">#REF!</definedName>
    <definedName name="instrument_5_int_rate" localSheetId="55">#REF!</definedName>
    <definedName name="instrument_5_int_rate">#REF!</definedName>
    <definedName name="instrument_5_rollup" localSheetId="55">#REF!</definedName>
    <definedName name="instrument_5_rollup">#REF!</definedName>
    <definedName name="instrument_5_rollup_percent" localSheetId="55">#REF!</definedName>
    <definedName name="instrument_5_rollup_percent">#REF!</definedName>
    <definedName name="instrument_5_rpmt" localSheetId="55">#REF!</definedName>
    <definedName name="instrument_5_rpmt">#REF!</definedName>
    <definedName name="instrument_5_rpmt_holiday" localSheetId="55">#REF!</definedName>
    <definedName name="instrument_5_rpmt_holiday">#REF!</definedName>
    <definedName name="instrument_5_term" localSheetId="55">#REF!</definedName>
    <definedName name="instrument_5_term">#REF!</definedName>
    <definedName name="instrument_6" localSheetId="55">#REF!</definedName>
    <definedName name="instrument_6">#REF!</definedName>
    <definedName name="instrument_6_amount" localSheetId="55">#REF!</definedName>
    <definedName name="instrument_6_amount">#REF!</definedName>
    <definedName name="instrument_6_bf" localSheetId="55">#REF!</definedName>
    <definedName name="instrument_6_bf">#REF!</definedName>
    <definedName name="instrument_6_cf" localSheetId="55">#REF!</definedName>
    <definedName name="instrument_6_cf">#REF!</definedName>
    <definedName name="instrument_6_custom_pmt" localSheetId="55">#REF!</definedName>
    <definedName name="instrument_6_custom_pmt">#REF!</definedName>
    <definedName name="instrument_6_int_accrual" localSheetId="55">#REF!</definedName>
    <definedName name="instrument_6_int_accrual">#REF!</definedName>
    <definedName name="instrument_6_int_pmt" localSheetId="55">#REF!</definedName>
    <definedName name="instrument_6_int_pmt">#REF!</definedName>
    <definedName name="instrument_6_int_rate" localSheetId="55">#REF!</definedName>
    <definedName name="instrument_6_int_rate">#REF!</definedName>
    <definedName name="instrument_6_rollup" localSheetId="55">#REF!</definedName>
    <definedName name="instrument_6_rollup">#REF!</definedName>
    <definedName name="instrument_6_rollup_percent" localSheetId="55">#REF!</definedName>
    <definedName name="instrument_6_rollup_percent">#REF!</definedName>
    <definedName name="instrument_6_rpmt" localSheetId="55">#REF!</definedName>
    <definedName name="instrument_6_rpmt">#REF!</definedName>
    <definedName name="instrument_6_rpmt_holiday" localSheetId="55">#REF!</definedName>
    <definedName name="instrument_6_rpmt_holiday">#REF!</definedName>
    <definedName name="instrument_6_term" localSheetId="55">#REF!</definedName>
    <definedName name="instrument_6_term">#REF!</definedName>
    <definedName name="instrument_7" localSheetId="55">#REF!</definedName>
    <definedName name="instrument_7">#REF!</definedName>
    <definedName name="instrument_7_amount" localSheetId="55">#REF!</definedName>
    <definedName name="instrument_7_amount">#REF!</definedName>
    <definedName name="instrument_7_bf" localSheetId="55">#REF!</definedName>
    <definedName name="instrument_7_bf">#REF!</definedName>
    <definedName name="instrument_7_cf" localSheetId="55">#REF!</definedName>
    <definedName name="instrument_7_cf">#REF!</definedName>
    <definedName name="instrument_7_custom_pmt" localSheetId="55">#REF!</definedName>
    <definedName name="instrument_7_custom_pmt">#REF!</definedName>
    <definedName name="instrument_7_int_accrual" localSheetId="55">#REF!</definedName>
    <definedName name="instrument_7_int_accrual">#REF!</definedName>
    <definedName name="instrument_7_int_pmt" localSheetId="55">#REF!</definedName>
    <definedName name="instrument_7_int_pmt">#REF!</definedName>
    <definedName name="instrument_7_int_rate" localSheetId="55">#REF!</definedName>
    <definedName name="instrument_7_int_rate">#REF!</definedName>
    <definedName name="instrument_7_rollup" localSheetId="55">#REF!</definedName>
    <definedName name="instrument_7_rollup">#REF!</definedName>
    <definedName name="instrument_7_rollup_percent" localSheetId="55">#REF!</definedName>
    <definedName name="instrument_7_rollup_percent">#REF!</definedName>
    <definedName name="instrument_7_rpmt" localSheetId="55">#REF!</definedName>
    <definedName name="instrument_7_rpmt">#REF!</definedName>
    <definedName name="instrument_7_rpmt_holiday" localSheetId="55">#REF!</definedName>
    <definedName name="instrument_7_rpmt_holiday">#REF!</definedName>
    <definedName name="instrument_7_term" localSheetId="55">#REF!</definedName>
    <definedName name="instrument_7_term">#REF!</definedName>
    <definedName name="instrument_8" localSheetId="55">#REF!</definedName>
    <definedName name="instrument_8">#REF!</definedName>
    <definedName name="instrument_8_amount" localSheetId="55">#REF!</definedName>
    <definedName name="instrument_8_amount">#REF!</definedName>
    <definedName name="instrument_8_bf" localSheetId="55">#REF!</definedName>
    <definedName name="instrument_8_bf">#REF!</definedName>
    <definedName name="instrument_8_cf" localSheetId="55">#REF!</definedName>
    <definedName name="instrument_8_cf">#REF!</definedName>
    <definedName name="instrument_8_custom_pmt" localSheetId="55">#REF!</definedName>
    <definedName name="instrument_8_custom_pmt">#REF!</definedName>
    <definedName name="instrument_8_int_accrual" localSheetId="55">#REF!</definedName>
    <definedName name="instrument_8_int_accrual">#REF!</definedName>
    <definedName name="instrument_8_int_pmt" localSheetId="55">#REF!</definedName>
    <definedName name="instrument_8_int_pmt">#REF!</definedName>
    <definedName name="instrument_8_int_rate" localSheetId="55">#REF!</definedName>
    <definedName name="instrument_8_int_rate">#REF!</definedName>
    <definedName name="instrument_8_months_term" localSheetId="55">#REF!</definedName>
    <definedName name="instrument_8_months_term">#REF!</definedName>
    <definedName name="instrument_8_rollup" localSheetId="55">#REF!</definedName>
    <definedName name="instrument_8_rollup">#REF!</definedName>
    <definedName name="instrument_8_rollup_percent" localSheetId="55">#REF!</definedName>
    <definedName name="instrument_8_rollup_percent">#REF!</definedName>
    <definedName name="instrument_8_rpmt" localSheetId="55">#REF!</definedName>
    <definedName name="instrument_8_rpmt">#REF!</definedName>
    <definedName name="instrument_8_rpmt_holiday" localSheetId="55">#REF!</definedName>
    <definedName name="instrument_8_rpmt_holiday">#REF!</definedName>
    <definedName name="instrument_8_term" localSheetId="55">#REF!</definedName>
    <definedName name="instrument_8_term">#REF!</definedName>
    <definedName name="instrument_9" localSheetId="55">#REF!</definedName>
    <definedName name="instrument_9">#REF!</definedName>
    <definedName name="instrument_9_amount" localSheetId="55">#REF!</definedName>
    <definedName name="instrument_9_amount">#REF!</definedName>
    <definedName name="instrument_9_bf" localSheetId="55">#REF!</definedName>
    <definedName name="instrument_9_bf">#REF!</definedName>
    <definedName name="instrument_9_cf" localSheetId="55">#REF!</definedName>
    <definedName name="instrument_9_cf">#REF!</definedName>
    <definedName name="instrument_9_int_accrual" localSheetId="55">#REF!</definedName>
    <definedName name="instrument_9_int_accrual">#REF!</definedName>
    <definedName name="instrument_9_int_pmt" localSheetId="55">#REF!</definedName>
    <definedName name="instrument_9_int_pmt">#REF!</definedName>
    <definedName name="instrument_9_int_rate" localSheetId="55">#REF!</definedName>
    <definedName name="instrument_9_int_rate">#REF!</definedName>
    <definedName name="instrument_9_rollup" localSheetId="55">#REF!</definedName>
    <definedName name="instrument_9_rollup">#REF!</definedName>
    <definedName name="instrument_9_rollup_percent" localSheetId="55">#REF!</definedName>
    <definedName name="instrument_9_rollup_percent">#REF!</definedName>
    <definedName name="instrument_9_romt_holiday" localSheetId="55">#REF!</definedName>
    <definedName name="instrument_9_romt_holiday">#REF!</definedName>
    <definedName name="instrument_9_rpmt" localSheetId="55">#REF!</definedName>
    <definedName name="instrument_9_rpmt">#REF!</definedName>
    <definedName name="instrument_9_rpmt_holiday" localSheetId="55">#REF!</definedName>
    <definedName name="instrument_9_rpmt_holiday">#REF!</definedName>
    <definedName name="instrument_9_term" localSheetId="55">#REF!</definedName>
    <definedName name="instrument_9_term">#REF!</definedName>
    <definedName name="int_ext_sel" hidden="1">1</definedName>
    <definedName name="int_tax_deductible" localSheetId="55">#REF!</definedName>
    <definedName name="int_tax_deductible">#REF!</definedName>
    <definedName name="INTANGIBLES_NET" hidden="1">"INTANGIBLES_NET"</definedName>
    <definedName name="INTEREST_EXP_NET" hidden="1">"INTEREST_EXP_NET"</definedName>
    <definedName name="INTEREST_EXP_NON" hidden="1">"INTEREST_EXP_NON"</definedName>
    <definedName name="INTEREST_EXP_SUPPL" hidden="1">"INTEREST_EXP_SUPPL"</definedName>
    <definedName name="INTEREST_INC" hidden="1">"INTEREST_INC"</definedName>
    <definedName name="INTEREST_INC_10K" hidden="1">"INTEREST_INC_10K"</definedName>
    <definedName name="INTEREST_INC_10Q" hidden="1">"INTEREST_INC_10Q"</definedName>
    <definedName name="INTEREST_INC_10Q1" hidden="1">"INTEREST_INC_10Q1"</definedName>
    <definedName name="INTEREST_INC_NON" hidden="1">"INTEREST_INC_NON"</definedName>
    <definedName name="InterimHeading" hidden="1">16777215</definedName>
    <definedName name="IntroPrintArea" hidden="1">#REF!</definedName>
    <definedName name="invcap" hidden="1">#REF!</definedName>
    <definedName name="invcap2" hidden="1">#REF!</definedName>
    <definedName name="INVENTORY_TURNS" hidden="1">"INVENTORY_TURNS"</definedName>
    <definedName name="investmentz" hidden="1">{#N/A,#N/A,FALSE,"Cover";#N/A,#N/A,FALSE,"Assumptions";#N/A,#N/A,FALSE,"Volumes";#N/A,#N/A,FALSE,"Pricing";#N/A,#N/A,FALSE,"TFLE Walk";#N/A,#N/A,FALSE,"Variable Cost";#N/A,#N/A,FALSE,"Sensitivity";#N/A,#N/A,FALSE,"Investment";#N/A,#N/A,FALSE,"Profitability"}</definedName>
    <definedName name="io"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öioö" hidden="1">{#N/A,#N/A,FALSE,"Layout Cash Flow"}</definedName>
    <definedName name="iop" hidden="1">{#N/A,"PURCHM",FALSE,"Business Analysis";#N/A,"SPADD",FALSE,"Business Analysis"}</definedName>
    <definedName name="iophipohgipp" hidden="1">{#N/A,#N/A,FALSE,"summary"}</definedName>
    <definedName name="iopi"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iopy" hidden="1">{"targetdcf",#N/A,FALSE,"Merger consequences";"TARGETASSU",#N/A,FALSE,"Merger consequences";"TERMINAL VALUE",#N/A,FALSE,"Merger consequences"}</definedName>
    <definedName name="iopzpuio" hidden="1">{#N/A,#N/A,FALSE,"Layout Cash Flow"}</definedName>
    <definedName name="iouöiioö" hidden="1">{#N/A,#N/A,FALSE,"Finanzbedarfsrechnung"}</definedName>
    <definedName name="iouu" hidden="1">{"Total",#N/A,FALSE,"Total Proved + Probable";"PDP",#N/A,FALSE,"Total Proved + Probable";"PNP",#N/A,FALSE,"Total Proved + Probable";"PUD",#N/A,FALSE,"Total Proved + Probable";"Prob",#N/A,FALSE,"Total Proved + Probable"}</definedName>
    <definedName name="ip" hidden="1">{"sbhko",#N/A,FALSE,"A";"sbhko2",#N/A,FALSE,"A";"sbhko3",#N/A,FALSE,"A"}</definedName>
    <definedName name="ipöoi"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IPRD_mites" hidden="1">{"bs",#N/A,FALSE,"SCF"}</definedName>
    <definedName name="IPRD_Pollen" hidden="1">{"bs",#N/A,FALSE,"SCF"}</definedName>
    <definedName name="IQ" hidden="1">"c3460"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"c413"</definedName>
    <definedName name="IQ_ACCOUNT_CHANGE2" hidden="1">"c413"</definedName>
    <definedName name="IQ_ACCOUNTS_PAY" hidden="1">"c32"</definedName>
    <definedName name="IQ_ACCOUNTS_PAY2"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EXP2" hidden="1">"c8"</definedName>
    <definedName name="IQ_ACCUM_DEP" hidden="1">"c7"</definedName>
    <definedName name="IQ_ACCUM_DEP2" hidden="1">"c7"</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"c39"</definedName>
    <definedName name="IQ_ADD_PAIN_IN2" hidden="1">"c39"</definedName>
    <definedName name="IQ_ADDIN" hidden="1">"AUTO"</definedName>
    <definedName name="IQ_ADDITIONAL_NON_INT_INC_FDIC" hidden="1">"c6574"</definedName>
    <definedName name="IQ_ADDITIONS_NON_ACCRUAL_ASSET_DURING_QTR_FFIEC" hidden="1">"c15349"</definedName>
    <definedName name="IQ_ADJUSTABLE_RATE_LOANS_FDIC" hidden="1">"c6375"</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_OTHER_DEPOSITS_FOREIGN_DEP_FFIEC" hidden="1">"c15347"</definedName>
    <definedName name="IQ_ALL_OTHER_INVEST_UNCONSOL_SUBS_FFIEC" hidden="1">"c15275"</definedName>
    <definedName name="IQ_ALLOW_BORROW_CONST" hidden="1">"c15"</definedName>
    <definedName name="IQ_ALLOW_CONST" hidden="1">"c16"</definedName>
    <definedName name="IQ_ALLOW_CONST2"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"c1471"</definedName>
    <definedName name="IQ_AMORTIZATION2" hidden="1">"c1471"</definedName>
    <definedName name="IQ_AMORTIZED_COST_FDIC" hidden="1">"c6426"</definedName>
    <definedName name="IQ_ANALYST_DET_EST_REUT" hidden="1">"c12135"</definedName>
    <definedName name="IQ_ANALYST_NON_PER_DET_EST_REUT" hidden="1">"c12758"</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AVG_VOLUME2" hidden="1">"c65"</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ETA2" hidden="1">"c88"</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PRIMARY_GIC" hidden="1">"c15584"</definedName>
    <definedName name="IQ_BUS_SEG_PRIMARY_GIC_ABS" hidden="1">"c15572"</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"c100"</definedName>
    <definedName name="IQ_BV_OVER_SHARES2" hidden="1">"c100"</definedName>
    <definedName name="IQ_BV_SHARE" hidden="1">"c100"</definedName>
    <definedName name="IQ_BV_SHARE_ACT_OR_EST_REUT" hidden="1">"c5477"</definedName>
    <definedName name="IQ_BV_SHARE_DET_EST_CURRENCY_REUT" hidden="1">"c12524"</definedName>
    <definedName name="IQ_BV_SHARE_DET_EST_DATE_REUT" hidden="1">"c12281"</definedName>
    <definedName name="IQ_BV_SHARE_DET_EST_INCL_REUT" hidden="1">"c12407"</definedName>
    <definedName name="IQ_BV_SHARE_DET_EST_ORIGIN_REUT" hidden="1">"c12649"</definedName>
    <definedName name="IQ_BV_SHARE_DET_EST_REUT" hidden="1">"c12139"</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L_Q" hidden="1">"c101"</definedName>
    <definedName name="IQ_CAL_Q_EST_REUT" hidden="1">"c6800"</definedName>
    <definedName name="IQ_CAL_Y" hidden="1">"c102"</definedName>
    <definedName name="IQ_CAL_Y_EST_REUT" hidden="1">"c6801"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ACT_OR_EST_REUT" hidden="1">"c5474"</definedName>
    <definedName name="IQ_CAPEX_BNK" hidden="1">"c110"</definedName>
    <definedName name="IQ_CAPEX_BR" hidden="1">"c111"</definedName>
    <definedName name="IQ_CAPEX_DET_EST_CURRENCY_REUT" hidden="1">"c12525"</definedName>
    <definedName name="IQ_CAPEX_DET_EST_DATE_REUT" hidden="1">"c12282"</definedName>
    <definedName name="IQ_CAPEX_DET_EST_INCL_REUT" hidden="1">"c12408"</definedName>
    <definedName name="IQ_CAPEX_DET_EST_ORIGIN_REUT" hidden="1">"c12768"</definedName>
    <definedName name="IQ_CAPEX_DET_EST_REUT" hidden="1">"c12140"</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ALLOCATION_ADJUSTMENT_FOREIGN_FFIEC" hidden="1">"c15389"</definedName>
    <definedName name="IQ_CAPITAL_LEASE" hidden="1">"c115"</definedName>
    <definedName name="IQ_CAPITAL_LEASE2" hidden="1">"c115"</definedName>
    <definedName name="IQ_CAPITAL_LEASES" hidden="1">"c115"</definedName>
    <definedName name="IQ_CAPITALIZED_INTEREST2" hidden="1">"c2076"</definedName>
    <definedName name="IQ_CASH" hidden="1">"c118"</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"c118"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T" hidden="1">"c124"</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ASH2" hidden="1">"c118"</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O_ID" hidden="1">"c15210"</definedName>
    <definedName name="IQ_CEO_NAME" hidden="1">"c15209"</definedName>
    <definedName name="IQ_CERTIFIED_OFFICIAL_CHECKS_TRANS_ACCTS_FFIEC" hidden="1">"c15320"</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O_ID" hidden="1">"c15212"</definedName>
    <definedName name="IQ_CFO_NAME" hidden="1">"c15211"</definedName>
    <definedName name="IQ_CFPS_ACT_OR_EST_REUT" hidden="1">"c5463"</definedName>
    <definedName name="IQ_CFPS_DET_EST_DATE_REUT" hidden="1">"c12283"</definedName>
    <definedName name="IQ_CFPS_DET_EST_INCL_REUT" hidden="1">"c12409"</definedName>
    <definedName name="IQ_CFPS_DET_EST_ORIGIN_REUT" hidden="1">"c12651"</definedName>
    <definedName name="IQ_CFPS_DET_EST_REUT" hidden="1">"c12141"</definedName>
    <definedName name="IQ_CFPS_DET_EST_REUT_CURRENCY_CURRENCY_REUT" hidden="1">"c12526"</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TICKER_NO_EXCH" hidden="1">"c15490"</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TRIB_ID_DET_EST_REUT" hidden="1">"c12137"</definedName>
    <definedName name="IQ_CONTRIB_ID_NON_PER_DET_EST_REUT" hidden="1">"c13827"</definedName>
    <definedName name="IQ_CONTRIB_NAME_DET_EST_REUT" hidden="1">"c12138"</definedName>
    <definedName name="IQ_CONTRIB_NAME_NON_PER_DET_EST_REUT" hidden="1">"c12763"</definedName>
    <definedName name="IQ_CONTRIB_REC_DET_EST_DATE_REUT" hidden="1">"c12285"</definedName>
    <definedName name="IQ_CONTRIB_REC_DET_EST_ORIGIN_REUT" hidden="1">"c12653"</definedName>
    <definedName name="IQ_CONTRIB_REC_DET_EST_REUT" hidden="1">"c12143"</definedName>
    <definedName name="IQ_CONV_RATE" hidden="1">"c2192"</definedName>
    <definedName name="IQ_CONVERT_DEBT" hidden="1">"c224"</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S" hidden="1">"c225"</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500000</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"c322"</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RECT_INDIRECT_RE_VENTURES_FFIEC" hidden="1">"c15266"</definedName>
    <definedName name="IQ_DIRECT_INDIRECT_RE_VENTURES_UNCONSOL_FFIEC" hidden="1">"c15274"</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_REUT" hidden="1">"c5464"</definedName>
    <definedName name="IQ_DPS_DET_EST_CURRENCY_REUT" hidden="1">"c12527"</definedName>
    <definedName name="IQ_DPS_DET_EST_DATE_REUT" hidden="1">"c12286"</definedName>
    <definedName name="IQ_DPS_DET_EST_INCL_REUT" hidden="1">"c12410"</definedName>
    <definedName name="IQ_DPS_DET_EST_ORIGIN_REUT" hidden="1">"c12654"</definedName>
    <definedName name="IQ_DPS_DET_EST_REUT" hidden="1">"c12144"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_REUT" hidden="1">"c5314"</definedName>
    <definedName name="IQ_EARNINGS_COVERAGE_NET_CHARGE_OFFS_FDIC" hidden="1">"c6735"</definedName>
    <definedName name="IQ_EBIT" hidden="1">"c352"</definedName>
    <definedName name="IQ_EBIT_10K" hidden="1">"EBIT_10K"</definedName>
    <definedName name="IQ_EBIT_10Q" hidden="1">"EBIT_10Q"</definedName>
    <definedName name="IQ_EBIT_10Q1" hidden="1">"EBIT_10Q1"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_REUT" hidden="1">"c5465"</definedName>
    <definedName name="IQ_EBIT_DET_EST_CURRENCY_REUT" hidden="1">"c12528"</definedName>
    <definedName name="IQ_EBIT_DET_EST_DATE_REUT" hidden="1">"c12287"</definedName>
    <definedName name="IQ_EBIT_DET_EST_INCL_REUT" hidden="1">"c12411"</definedName>
    <definedName name="IQ_EBIT_DET_EST_ORIGIN_REUT" hidden="1">"c12655"</definedName>
    <definedName name="IQ_EBIT_DET_EST_REUT" hidden="1">"c12145"</definedName>
    <definedName name="IQ_EBIT_EST_REUT" hidden="1">"c5333"</definedName>
    <definedName name="IQ_EBIT_GROWTH_1" hidden="1">"IQ_EBIT_GROWTH_1"</definedName>
    <definedName name="IQ_EBIT_GROWTH_2" hidden="1">"IQ_EBIT_GROWTH_2"</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"c360"</definedName>
    <definedName name="IQ_EBIT_STDDEV_EST_REUT" hidden="1">"c5338"</definedName>
    <definedName name="IQ_EBITDA" hidden="1">"c361"</definedName>
    <definedName name="IQ_EBITDA_10K" hidden="1">"EBITDA_10K"</definedName>
    <definedName name="IQ_EBITDA_10Q" hidden="1">"EBITDA_10Q"</definedName>
    <definedName name="IQ_EBITDA_10Q1" hidden="1">"EBITDA_10Q1"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_REUT" hidden="1">"c5462"</definedName>
    <definedName name="IQ_EBITDA_CAPEX_INT" hidden="1">"c368"</definedName>
    <definedName name="IQ_EBITDA_CAPEX_OVER_TOTAL_IE" hidden="1">"c368"</definedName>
    <definedName name="IQ_EBITDA_DET_EST_DATE_REUT" hidden="1">"c12288"</definedName>
    <definedName name="IQ_EBITDA_DET_EST_INCL_REUT" hidden="1">"c12412"</definedName>
    <definedName name="IQ_EBITDA_DET_EST_ORIGIN_REUT" hidden="1">"c12656"</definedName>
    <definedName name="IQ_EBITDA_DET_EST_REUT" hidden="1">"c12146"</definedName>
    <definedName name="IQ_EBITDA_DET_EST_REUT_CURRENCY_CURRENCY_REUT" hidden="1">"c12529"</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_REUT" hidden="1">"c3641"</definedName>
    <definedName name="IQ_EBITDA_NO_EST" hidden="1">"c267"</definedName>
    <definedName name="IQ_EBITDA_NUM_EST" hidden="1">"c374"</definedName>
    <definedName name="IQ_EBITDA_NUM_EST_REUT" hidden="1">"c3644"</definedName>
    <definedName name="IQ_EBITDA_OVER_TOTAL_IE" hidden="1">"c373"</definedName>
    <definedName name="IQ_EBITDA_STDDEV_EST" hidden="1">"c375"</definedName>
    <definedName name="IQ_EBITDA_STDDEV_EST_REUT" hidden="1">"c3645"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FFECT_SPECIAL_CHARGE" hidden="1">"c1595"</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"c84"</definedName>
    <definedName name="IQ_ENTITLEMENT_DET_EST_REUT" hidden="1">"c12136"</definedName>
    <definedName name="IQ_EPS" hidden="1">"IQ_EPS"</definedName>
    <definedName name="IQ_EPS_10K" hidden="1">"EPS_10K"</definedName>
    <definedName name="IQ_EPS_10Q" hidden="1">"EPS_10Q"</definedName>
    <definedName name="IQ_EPS_10Q1" hidden="1">"EPS_10Q1"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_REUT" hidden="1">"c5460"</definedName>
    <definedName name="IQ_EPS_DET_EST_CURRENCY_REUT" hidden="1">"c13584"</definedName>
    <definedName name="IQ_EPS_DET_EST_DATE_REUT" hidden="1">"c13576"</definedName>
    <definedName name="IQ_EPS_DET_EST_INCL_REUT" hidden="1">"c13588"</definedName>
    <definedName name="IQ_EPS_DET_EST_ORIGIN_REUT" hidden="1">"c13580"</definedName>
    <definedName name="IQ_EPS_DET_EST_REUT" hidden="1">"c13572"</definedName>
    <definedName name="IQ_EPS_EST" hidden="1">"c399"</definedName>
    <definedName name="IQ_EPS_EST_1" hidden="1">"IQ_EPS_EST_1"</definedName>
    <definedName name="IQ_EPS_EST_BOTTOM_UP_REUT" hidden="1">"c5497"</definedName>
    <definedName name="IQ_EPS_EST_REUT" hidden="1">"c5453"</definedName>
    <definedName name="IQ_EPS_GW_ACT_OR_EST_REUT" hidden="1">"c5469"</definedName>
    <definedName name="IQ_EPS_GW_DET_EST_DATE_REUT" hidden="1">"c12292"</definedName>
    <definedName name="IQ_EPS_GW_DET_EST_INCL_REUT" hidden="1">"c12416"</definedName>
    <definedName name="IQ_EPS_GW_DET_EST_ORIGIN_REUT" hidden="1">"c12660"</definedName>
    <definedName name="IQ_EPS_GW_DET_EST_REUT" hidden="1">"c12150"</definedName>
    <definedName name="IQ_EPS_GW_DET_EST_REUT_CURRENCY_CURRENCY_REUT" hidden="1">"c12533"</definedName>
    <definedName name="IQ_EPS_GW_EST_BOTTOM_UP_REUT" hidden="1">"c5499"</definedName>
    <definedName name="IQ_EPS_GW_EST_REUT" hidden="1">"c5389"</definedName>
    <definedName name="IQ_EPS_GW_HIGH_EST_REUT" hidden="1">"c5391"</definedName>
    <definedName name="IQ_EPS_GW_LOW_EST_REUT" hidden="1">"c5392"</definedName>
    <definedName name="IQ_EPS_GW_MEDIAN_EST_REUT" hidden="1">"c5390"</definedName>
    <definedName name="IQ_EPS_GW_NUM_EST_REUT" hidden="1">"c5393"</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_REUT" hidden="1">"c5456"</definedName>
    <definedName name="IQ_EPS_NO_EST" hidden="1">"c271"</definedName>
    <definedName name="IQ_EPS_NORM_DET_EST_CURRENCY_REUT" hidden="1">"c12535"</definedName>
    <definedName name="IQ_EPS_NORM_DET_EST_DATE_REUT" hidden="1">"c12294"</definedName>
    <definedName name="IQ_EPS_NORM_DET_EST_INCL_REUT" hidden="1">"c12418"</definedName>
    <definedName name="IQ_EPS_NORM_DET_EST_ORIGIN_REUT" hidden="1">"c12662"</definedName>
    <definedName name="IQ_EPS_NORM_DET_EST_REUT" hidden="1">"c12152"</definedName>
    <definedName name="IQ_EPS_NORM_EST_BOTTOM_UP_REUT" hidden="1">"c5498"</definedName>
    <definedName name="IQ_EPS_NORM_EST_REUT" hidden="1">"c5326"</definedName>
    <definedName name="IQ_EPS_NORM_HIGH_EST_REUT" hidden="1">"c5328"</definedName>
    <definedName name="IQ_EPS_NORM_LOW_EST_REUT" hidden="1">"c5329"</definedName>
    <definedName name="IQ_EPS_NORM_MEDIAN_EST_REUT" hidden="1">"c5327"</definedName>
    <definedName name="IQ_EPS_NORM_NUM_EST_REUT" hidden="1">"c5330"</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DET_EST_CURRENCY_REUT" hidden="1">"c12534"</definedName>
    <definedName name="IQ_EPS_REPORTED_DET_EST_DATE_REUT" hidden="1">"c12293"</definedName>
    <definedName name="IQ_EPS_REPORTED_DET_EST_INCL_REUT" hidden="1">"c12417"</definedName>
    <definedName name="IQ_EPS_REPORTED_DET_EST_ORIGIN_REUT" hidden="1">"c12661"</definedName>
    <definedName name="IQ_EPS_REPORTED_DET_EST_REUT" hidden="1">"c12151"</definedName>
    <definedName name="IQ_EPS_REPORTED_EST_BOTTOM_UP_REUT" hidden="1">"c5500"</definedName>
    <definedName name="IQ_EPS_REPORTED_EST_REUT" hidden="1">"c5396"</definedName>
    <definedName name="IQ_EPS_REPORTED_HIGH_EST_REUT" hidden="1">"c5398"</definedName>
    <definedName name="IQ_EPS_REPORTED_LOW_EST_REUT" hidden="1">"c5399"</definedName>
    <definedName name="IQ_EPS_REPORTED_MEDIAN_EST_REUT" hidden="1">"c5397"</definedName>
    <definedName name="IQ_EPS_REPORTED_NUM_EST_REUT" hidden="1">"c5400"</definedName>
    <definedName name="IQ_EPS_REPORTED_STDDEV_EST_REUT" hidden="1">"c5401"</definedName>
    <definedName name="IQ_EPS_STDDEV_EST" hidden="1">"c403"</definedName>
    <definedName name="IQ_EPS_STDDEV_EST_REUT" hidden="1">"c5452"</definedName>
    <definedName name="IQ_EQUITY_AFFIL" hidden="1">"c552"</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"c739"</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 hidden="1">"c1648"</definedName>
    <definedName name="IQ_EST_ACT_EPS_GW_REUT" hidden="1">"c5395"</definedName>
    <definedName name="IQ_EST_ACT_EPS_NORM_REUT" hidden="1">"c5332"</definedName>
    <definedName name="IQ_EST_ACT_EPS_PRIMARY" hidden="1">"c2232"</definedName>
    <definedName name="IQ_EST_ACT_EPS_REPORTED_REUT" hidden="1">"c5402"</definedName>
    <definedName name="IQ_EST_ACT_EPS_REUT" hidden="1">"c5457"</definedName>
    <definedName name="IQ_EST_ACT_FFO_REUT" hidden="1">"c3843"</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CIQ" hidden="1">"c4765"</definedName>
    <definedName name="IQ_EST_BV_DIFF_REUT" hidden="1">"c5433"</definedName>
    <definedName name="IQ_EST_BV_DIFF_THOM" hidden="1">"c5204"</definedName>
    <definedName name="IQ_EST_BV_SURPRISE_PERCENT_CIQ" hidden="1">"c4766"</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_REUT" hidden="1">"c5429"</definedName>
    <definedName name="IQ_EST_EPS_GW_SURPRISE_PERCENT_REUT" hidden="1">"c5430"</definedName>
    <definedName name="IQ_EST_EPS_NORM_DIFF_REUT" hidden="1">"c5411"</definedName>
    <definedName name="IQ_EST_EPS_NORM_SURPRISE_PERCENT_REUT" hidden="1">"c5412"</definedName>
    <definedName name="IQ_EST_EPS_REPORT_DIFF_REUT" hidden="1">"c5431"</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DIFF_THOM" hidden="1">"c5186"</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HARE_DIFF_REUT" hidden="1">"c3890"</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_REUT" hidden="1">"c3891"</definedName>
    <definedName name="IQ_EST_FFO_SURPRISE_PERCENT_REUT" hidden="1">"c3891"</definedName>
    <definedName name="IQ_EST_FFO_SURPRISE_PERCENT_THOM" hidden="1">"c5187"</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IGH_REC_REUT" hidden="1">"c3870"</definedName>
    <definedName name="IQ_EST_NUM_HIGHEST_REC_REUT" hidden="1">"c3869"</definedName>
    <definedName name="IQ_EST_NUM_HOLD_CIQ" hidden="1">"c3702"</definedName>
    <definedName name="IQ_EST_NUM_HOLD_REUT" hidden="1">"c3871"</definedName>
    <definedName name="IQ_EST_NUM_HOLD_THOM" hidden="1">"c5167"</definedName>
    <definedName name="IQ_EST_NUM_LOW_REC_REUT" hidden="1">"c3872"</definedName>
    <definedName name="IQ_EST_NUM_LOWEST_REC_REUT" hidden="1">"c3873"</definedName>
    <definedName name="IQ_EST_NUM_NEUTRAL_REC_REUT" hidden="1">"c3871"</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_REUT" hidden="1">"c3863"</definedName>
    <definedName name="IQ_EST_REV_SURPRISE_PERCENT_REUT" hidden="1">"c3887"</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ES_OTHER_INCOME" hidden="1">"c15257"</definedName>
    <definedName name="IQ_FFO" hidden="1">"c1574"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DET_EST" hidden="1">"c12059"</definedName>
    <definedName name="IQ_FFO_EST_DET_EST_CIQ" hidden="1">"c12121"</definedName>
    <definedName name="IQ_FFO_EST_DET_EST_CURRENCY" hidden="1">"c12466"</definedName>
    <definedName name="IQ_FFO_EST_DET_EST_CURRENCY_CIQ" hidden="1">"c12512"</definedName>
    <definedName name="IQ_FFO_EST_DET_EST_CURRENCY_REUT" hidden="1">"c12536"</definedName>
    <definedName name="IQ_FFO_EST_DET_EST_CURRENCY_THOM" hidden="1">"c12487"</definedName>
    <definedName name="IQ_FFO_EST_DET_EST_DATE" hidden="1">"c12212"</definedName>
    <definedName name="IQ_FFO_EST_DET_EST_DATE_CIQ" hidden="1">"c12267"</definedName>
    <definedName name="IQ_FFO_EST_DET_EST_DATE_REUT" hidden="1">"c12295"</definedName>
    <definedName name="IQ_FFO_EST_DET_EST_DATE_THOM" hidden="1">"c12238"</definedName>
    <definedName name="IQ_FFO_EST_DET_EST_INCL" hidden="1">"c12349"</definedName>
    <definedName name="IQ_FFO_EST_DET_EST_INCL_CIQ" hidden="1">"c12395"</definedName>
    <definedName name="IQ_FFO_EST_DET_EST_INCL_REUT" hidden="1">"c12419"</definedName>
    <definedName name="IQ_FFO_EST_DET_EST_INCL_THOM" hidden="1">"c12370"</definedName>
    <definedName name="IQ_FFO_EST_DET_EST_ORIGIN" hidden="1">"c12722"</definedName>
    <definedName name="IQ_FFO_EST_DET_EST_ORIGIN_CIQ" hidden="1">"c12720"</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REUT" hidden="1">"c3841"</definedName>
    <definedName name="IQ_FFO_NUM_EST_THOM" hidden="1">"c4003"</definedName>
    <definedName name="IQ_FFO_SHARE_EST_DET_EST_CURRENCY_REUT" hidden="1">"c12536"</definedName>
    <definedName name="IQ_FFO_SHARE_EST_DET_EST_DATE_REUT" hidden="1">"c12295"</definedName>
    <definedName name="IQ_FFO_SHARE_EST_DET_EST_INCL_REUT" hidden="1">"c12419"</definedName>
    <definedName name="IQ_FFO_SHARE_EST_DET_EST_ORIGIN_REUT" hidden="1">"c12724"</definedName>
    <definedName name="IQ_FFO_SHARE_EST_DET_EST_REUT" hidden="1">"c12153"</definedName>
    <definedName name="IQ_FFO_SHARE_EST_REUT" hidden="1">"c3837"</definedName>
    <definedName name="IQ_FFO_SHARE_HIGH_EST_REUT" hidden="1">"c3839"</definedName>
    <definedName name="IQ_FFO_SHARE_LOW_EST_REUT" hidden="1">"c3840"</definedName>
    <definedName name="IQ_FFO_SHARE_MEDIAN_EST_REUT" hidden="1">"c3838"</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_REUT" hidden="1">"c3842"</definedName>
    <definedName name="IQ_FFO_STDDEV_EST" hidden="1">"c422"</definedName>
    <definedName name="IQ_FFO_STDDEV_EST_CIQ" hidden="1">"c4981"</definedName>
    <definedName name="IQ_FFO_STDDEV_EST_REUT" hidden="1">"c3842"</definedName>
    <definedName name="IQ_FFO_STDDEV_EST_THOM" hidden="1">"c4004"</definedName>
    <definedName name="IQ_FH">100000</definedName>
    <definedName name="IQ_FHLB_ADVANCES_FDIC" hidden="1">"c6366"</definedName>
    <definedName name="IQ_FHLB_DEBT" hidden="1">"c423"</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Q_EST_REUT" hidden="1">"c6798"</definedName>
    <definedName name="IQ_FISCAL_Y" hidden="1">"c441"</definedName>
    <definedName name="IQ_FISCAL_Y_EST_REUT" hidden="1">"c6799"</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500</definedName>
    <definedName name="IQ_FREE_OPERATING_CASH_FLOW_DEBT_CSD" hidden="1">"c27718"</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00_INVEST_INS" hidden="1">"c1466"</definedName>
    <definedName name="IQ_GAAP_EST_CIQ" hidden="1">"c13924"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GW" hidden="1">"c519"</definedName>
    <definedName name="IQ_GROSS_INTAN" hidden="1">"c520"</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AMORT_BR" hidden="1">"c532"</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G_REV_OTHER_HOTEL_MOTEL" hidden="1">"c8731"</definedName>
    <definedName name="IQ_HG_REV_TOTAL_CASINO_GAMING" hidden="1">"c8723"</definedName>
    <definedName name="IQ_HG_REV_TOTAL_HOTEL_MOTEL" hidden="1">"c8732"</definedName>
    <definedName name="IQ_HIGH_TARGET_PRICE_REUT" hidden="1">"c5317"</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PROVIDED_DIVIDEND" hidden="1">"c19252"</definedName>
    <definedName name="IQ_INDEX_TYPE" hidden="1">"c15223"</definedName>
    <definedName name="IQ_INDEXCONSTITUENT_CLOSEPRICE" hidden="1">"c19241"</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"c907"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"INTEREST_INC_10K"</definedName>
    <definedName name="IQ_INTEREST_INC_10Q" hidden="1">"INTEREST_INC_10Q"</definedName>
    <definedName name="IQ_INTEREST_INC_10Q1" hidden="1">"INTEREST_INC_10Q1"</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"c751"</definedName>
    <definedName name="IQ_ISS_STOCK_NET" hidden="1">"c1601"</definedName>
    <definedName name="IQ_ISSUED_GUARANTEED_US_FDIC" hidden="1">"c6404"</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SALEPRICE" hidden="1">"c646"</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E_INSURANCE_ASSETS_FDIC" hidden="1">"c6372"</definedName>
    <definedName name="IQ_LIFOR" hidden="1">"c655"</definedName>
    <definedName name="IQ_LISTING_CURRENCY" hidden="1">"c2127"</definedName>
    <definedName name="IQ_LL" hidden="1">"c656"</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LOSS_EXP" hidden="1">"c672"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GROWTH_DET_EST_DATE_REUT" hidden="1">"c12296"</definedName>
    <definedName name="IQ_LT_GROWTH_DET_EST_INCL_REUT" hidden="1">"c12420"</definedName>
    <definedName name="IQ_LT_GROWTH_DET_EST_ORIGIN_REUT" hidden="1">"c12728"</definedName>
    <definedName name="IQ_LT_GROWTH_DET_EST_REUT" hidden="1">"c12154"</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"c1304"</definedName>
    <definedName name="IQ_LTMMONTH" hidden="1">120000</definedName>
    <definedName name="IQ_MACHINERY" hidden="1">"c711"</definedName>
    <definedName name="IQ_MACRO_SURVEY_CONSUMER_SENTIMENT" hidden="1">"c20808"</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RKETCAP" hidden="1">"c712"</definedName>
    <definedName name="IQ_MARKTCAP" hidden="1">"c258"</definedName>
    <definedName name="IQ_MATURITY_ONE_YEAR_LESS_FDIC" hidden="1">"c6425"</definedName>
    <definedName name="IQ_MBS_QUARTERLY_AVG_FFIEC" hidden="1">"c15471"</definedName>
    <definedName name="IQ_MC_GA_MARGIN" hidden="1">"c9930"</definedName>
    <definedName name="IQ_MC_GA_OPERATING_REV" hidden="1">"c9929"</definedName>
    <definedName name="IQ_MC_MEDICAL_EXPENSE_RATIO" hidden="1">"c9927"</definedName>
    <definedName name="IQ_MC_SGA_MARGIN" hidden="1">"c9932"</definedName>
    <definedName name="IQ_MC_SGA_OPERATING_REV" hidden="1">"c9931"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DA_NON_TRANS_ACCTS_FFIEC" hidden="1">"c15330"</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localSheetId="47" hidden="1">45973.399525463</definedName>
    <definedName name="IQ_NAMES_REVISION_DATE_" localSheetId="50" hidden="1">45973.399525463</definedName>
    <definedName name="IQ_NAMES_REVISION_DATE_" hidden="1">45973.399525463</definedName>
    <definedName name="IQ_NAMES_REVISION_DATE__1" hidden="1">41379.6758680556</definedName>
    <definedName name="IQ_NAMES_REVISION_DATE__1_1" hidden="1">41449.4017592593</definedName>
    <definedName name="IQ_NAMES_REVISION_DATE__2" hidden="1">41449.4017592593</definedName>
    <definedName name="IQ_NAV_ACT_OR_EST" hidden="1">"c2225"</definedName>
    <definedName name="IQ_NAV_SHARE_ACT_OR_EST_REUT" hidden="1">"c5623"</definedName>
    <definedName name="IQ_NAV_SHARE_DET_EST_CURRENCY_REUT" hidden="1">"c12538"</definedName>
    <definedName name="IQ_NAV_SHARE_DET_EST_DATE_REUT" hidden="1">"c12297"</definedName>
    <definedName name="IQ_NAV_SHARE_DET_EST_INCL_REUT" hidden="1">"c12421"</definedName>
    <definedName name="IQ_NAV_SHARE_DET_EST_ORIGIN_REUT" hidden="1">"c12665"</definedName>
    <definedName name="IQ_NAV_SHARE_DET_EST_REUT" hidden="1">"c12155"</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DEBT" hidden="1">"c1584"</definedName>
    <definedName name="IQ_NET_DEBT_ACT_OR_EST_REUT" hidden="1">"c5473"</definedName>
    <definedName name="IQ_NET_DEBT_DET_EST_CURRENCY_REUT" hidden="1">"c12539"</definedName>
    <definedName name="IQ_NET_DEBT_DET_EST_DATE_REUT" hidden="1">"c12298"</definedName>
    <definedName name="IQ_NET_DEBT_DET_EST_INCL_REUT" hidden="1">"c12422"</definedName>
    <definedName name="IQ_NET_DEBT_DET_EST_ORIGIN_REUT" hidden="1">"c12666"</definedName>
    <definedName name="IQ_NET_DEBT_DET_EST_REUT" hidden="1">"c12156"</definedName>
    <definedName name="IQ_NET_DEBT_EBITDA" hidden="1">"c750"</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"c781"</definedName>
    <definedName name="IQ_NET_INC_10K" hidden="1">"NET_INC_10K"</definedName>
    <definedName name="IQ_NET_INC_10Q" hidden="1">"NET_INC_10Q"</definedName>
    <definedName name="IQ_NET_INC_10Q1" hidden="1">"NET_INC_10Q1"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INC_INTERNATIONAL_OPS_FFIEC" hidden="1">"c15375"</definedName>
    <definedName name="IQ_NET_INTEREST_MARGIN_FDIC" hidden="1">"c6726"</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DET_EST_CURRENCY_REUT" hidden="1">"c12540"</definedName>
    <definedName name="IQ_NI_DET_EST_DATE_REUT" hidden="1">"c12299"</definedName>
    <definedName name="IQ_NI_DET_EST_INCL_REUT" hidden="1">"c12423"</definedName>
    <definedName name="IQ_NI_DET_EST_ORIGIN_REUT" hidden="1">"c12667"</definedName>
    <definedName name="IQ_NI_DET_EST_REUT" hidden="1">"c12157"</definedName>
    <definedName name="IQ_NI_EST_REUT" hidden="1">"c5368"</definedName>
    <definedName name="IQ_NI_GW_DET_EST_CURRENCY_REUT" hidden="1">"c12541"</definedName>
    <definedName name="IQ_NI_GW_DET_EST_DATE_REUT" hidden="1">"c12300"</definedName>
    <definedName name="IQ_NI_GW_DET_EST_INCL_REUT" hidden="1">"c12424"</definedName>
    <definedName name="IQ_NI_GW_DET_EST_ORIGIN_REUT" hidden="1">"c12668"</definedName>
    <definedName name="IQ_NI_GW_DET_EST_REUT" hidden="1">"c12158"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N_CONTROLLING_INTERESTS_FFIEC" hidden="1">"c15366"</definedName>
    <definedName name="IQ_NI_NUM_EST_REUT" hidden="1">"c5372"</definedName>
    <definedName name="IQ_NI_REPORTED_DET_EST_CURRENCY_REUT" hidden="1">"c12542"</definedName>
    <definedName name="IQ_NI_REPORTED_DET_EST_DATE_REUT" hidden="1">"c12301"</definedName>
    <definedName name="IQ_NI_REPORTED_DET_EST_INCL_REUT" hidden="1">"c12425"</definedName>
    <definedName name="IQ_NI_REPORTED_DET_EST_ORIGIN_REUT" hidden="1">"c12669"</definedName>
    <definedName name="IQ_NI_REPORTED_DET_EST_REUT" hidden="1">"c12159"</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FAS" hidden="1">"c795"</definedName>
    <definedName name="IQ_NI_STDDEV_EST_REUT" hidden="1">"c5373"</definedName>
    <definedName name="IQ_NON_ACCRUAL_ASSET_SOLD_DURING_QTR_FFIEC" hidden="1">"c15350"</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G_OTHER_ADJ" hidden="1">"c1999"</definedName>
    <definedName name="IQ_OG_TOTAL_OIL_PRODUCTON" hidden="1">"c2059"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DET_EST_CURRENCY_REUT" hidden="1">"c12543"</definedName>
    <definedName name="IQ_OPER_INC_DET_EST_DATE_REUT" hidden="1">"c12302"</definedName>
    <definedName name="IQ_OPER_INC_DET_EST_INCL_REUT" hidden="1">"c12426"</definedName>
    <definedName name="IQ_OPER_INC_DET_EST_ORIGIN_REUT" hidden="1">"c12670"</definedName>
    <definedName name="IQ_OPER_INC_DET_EST_REUT" hidden="1">"c12160"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"c362"</definedName>
    <definedName name="IQ_OPER_INC_MEDIAN_EST_REUT" hidden="1">"c5341"</definedName>
    <definedName name="IQ_OPER_INC_NUM_EST_REUT" hidden="1">"c5344"</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ISSUED" hidden="1">"c857"</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_BR" hidden="1">"c5566"</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"c868"</definedName>
    <definedName name="IQ_OTHER_CURRENT_LIAB" hidden="1">"c877"</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MINING_REVENUE_COAL" hidden="1">"c15931"</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"c8"</definedName>
    <definedName name="IQ_PBV" hidden="1">"c1025"</definedName>
    <definedName name="IQ_PBV_AVG" hidden="1">"c1026"</definedName>
    <definedName name="IQ_PBV_FWD" hidden="1">"c15235"</definedName>
    <definedName name="IQ_PBV_FWD_CIQ" hidden="1">"c15236"</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RATIO" hidden="1">"c1610"</definedName>
    <definedName name="IQ_PEG_FWD_REUT" hidden="1">"c4052"</definedName>
    <definedName name="IQ_PENSION" hidden="1">"c1031"</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_REUT" hidden="1">"c3938"</definedName>
    <definedName name="IQ_PERCENT_CHANGE_EST_FFO_SHARE_18MONTHS_REUT" hidden="1">"c3939"</definedName>
    <definedName name="IQ_PERCENT_CHANGE_EST_FFO_SHARE_3MONTHS_REUT" hidden="1">"c3935"</definedName>
    <definedName name="IQ_PERCENT_CHANGE_EST_FFO_SHARE_6MONTHS_REUT" hidden="1">"c3936"</definedName>
    <definedName name="IQ_PERCENT_CHANGE_EST_FFO_SHARE_9MONTHS_REUT" hidden="1">"c3937"</definedName>
    <definedName name="IQ_PERCENT_CHANGE_EST_FFO_SHARE_DAY_REUT" hidden="1">"c3933"</definedName>
    <definedName name="IQ_PERCENT_CHANGE_EST_FFO_SHARE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"c3966"</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 hidden="1">"c1034"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EXP" hidden="1">"c1068"</definedName>
    <definedName name="IQ_PREPAID_EXPEN" hidden="1">"c1068"</definedName>
    <definedName name="IQ_PRESIDENT_ID" hidden="1">"c15216"</definedName>
    <definedName name="IQ_PRESIDENT_NAME" hidden="1">"c15215"</definedName>
    <definedName name="IQ_PRETAX_GW_INC_DET_EST_CURRENCY_REUT" hidden="1">"c12531"</definedName>
    <definedName name="IQ_PRETAX_GW_INC_DET_EST_DATE_REUT" hidden="1">"c12290"</definedName>
    <definedName name="IQ_PRETAX_GW_INC_DET_EST_INCL_REUT" hidden="1">"c12414"</definedName>
    <definedName name="IQ_PRETAX_GW_INC_DET_EST_ORIGIN_REUT" hidden="1">"c12658"</definedName>
    <definedName name="IQ_PRETAX_GW_INC_DET_EST_REUT" hidden="1">"c12148"</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"IQ_PRETAX_INC"</definedName>
    <definedName name="IQ_PRETAX_INC_10K" hidden="1">"PRETAX_INC_10K"</definedName>
    <definedName name="IQ_PRETAX_INC_10Q" hidden="1">"PRETAX_INC_10Q"</definedName>
    <definedName name="IQ_PRETAX_INC_10Q1" hidden="1">"PRETAX_INC_10Q1"</definedName>
    <definedName name="IQ_PRETAX_INC_AFTER_CAP_ALLOCATION_FOREIGN_FFIEC" hidden="1">"c15390"</definedName>
    <definedName name="IQ_PRETAX_INC_BEFORE_CAP_ALLOCATION_FOREIGN_FFIEC" hidden="1">"c15388"</definedName>
    <definedName name="IQ_PRETAX_INC_DET_EST_CURRENCY_REUT" hidden="1">"c12530"</definedName>
    <definedName name="IQ_PRETAX_INC_DET_EST_DATE_REUT" hidden="1">"c12289"</definedName>
    <definedName name="IQ_PRETAX_INC_DET_EST_INCL_REUT" hidden="1">"c12413"</definedName>
    <definedName name="IQ_PRETAX_INC_DET_EST_ORIGIN_REUT" hidden="1">"c12657"</definedName>
    <definedName name="IQ_PRETAX_INC_DET_EST_REUT" hidden="1">"c12147"</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DET_EST_CURRENCY_REUT" hidden="1">"c12532"</definedName>
    <definedName name="IQ_PRETAX_REPORT_INC_DET_EST_DATE_REUT" hidden="1">"c12291"</definedName>
    <definedName name="IQ_PRETAX_REPORT_INC_DET_EST_INCL_REUT" hidden="1">"c12415"</definedName>
    <definedName name="IQ_PRETAX_REPORT_INC_DET_EST_ORIGIN_REUT" hidden="1">"c12769"</definedName>
    <definedName name="IQ_PRETAX_REPORT_INC_DET_EST_REUT" hidden="1">"c12149"</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 hidden="1">"c1092"</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DET_EST_DATE_REUT" hidden="1">"c12304"</definedName>
    <definedName name="IQ_RETURN_ASSETS_DET_EST_INCL_REUT" hidden="1">"c12428"</definedName>
    <definedName name="IQ_RETURN_ASSETS_DET_EST_ORIGIN_REUT" hidden="1">"c12672"</definedName>
    <definedName name="IQ_RETURN_ASSETS_DET_EST_REUT" hidden="1">"c12162"</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DET_EST_DATE_REUT" hidden="1">"c12305"</definedName>
    <definedName name="IQ_RETURN_EQUITY_DET_EST_INCL_REUT" hidden="1">"c12429"</definedName>
    <definedName name="IQ_RETURN_EQUITY_DET_EST_ORIGIN_REUT" hidden="1">"c12673"</definedName>
    <definedName name="IQ_RETURN_EQUITY_DET_EST_REUT" hidden="1">"c12163"</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"c1117"</definedName>
    <definedName name="IQ_REV" hidden="1">"c1122"</definedName>
    <definedName name="IQ_REV_BEFORE_LL" hidden="1">"c1123"</definedName>
    <definedName name="IQ_REV_BEFORE_LOAN_LOSS_FOREIGN_FFIEC" hidden="1">"c15381"</definedName>
    <definedName name="IQ_REV_DATE_" hidden="1">39482.3981597222</definedName>
    <definedName name="IQ_REV_DET_EST_CURRENCY_REUT" hidden="1">"c12544"</definedName>
    <definedName name="IQ_REV_DET_EST_DATE_REUT" hidden="1">"c12303"</definedName>
    <definedName name="IQ_REV_DET_EST_INCL_REUT" hidden="1">"c12427"</definedName>
    <definedName name="IQ_REV_DET_EST_ORIGIN_REUT" hidden="1">"c12671"</definedName>
    <definedName name="IQ_REV_DET_EST_REUT" hidden="1">"c12161"</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"c1122"</definedName>
    <definedName name="IQ_REVENUE_10K" hidden="1">"REVENUE_10K"</definedName>
    <definedName name="IQ_REVENUE_10Q" hidden="1">"REVENUE_10Q"</definedName>
    <definedName name="IQ_REVENUE_10Q1" hidden="1">"REVENUE_10Q1"</definedName>
    <definedName name="IQ_REVENUE_ACT_OR_EST_REUT" hidden="1">"c5461"</definedName>
    <definedName name="IQ_REVENUE_EST" hidden="1">"c1126"</definedName>
    <definedName name="IQ_REVENUE_EST_1" hidden="1">"IQ_REVENUE_EST_1"</definedName>
    <definedName name="IQ_REVENUE_EST_BOTTOM_UP_REUT" hidden="1">"c5496"</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O_EST" hidden="1">"c263"</definedName>
    <definedName name="IQ_REVENUE_NUM_EST" hidden="1">"c1129"</definedName>
    <definedName name="IQ_REVENUE_NUM_EST_REUT" hidden="1">"c3638"</definedName>
    <definedName name="IQ_REVISION_DATE__" hidden="1">40139.9083217593</definedName>
    <definedName name="IQ_REVISION_DATE_2" hidden="1">39624.5825925926</definedName>
    <definedName name="IQ_REVISION_DATE_3" hidden="1">39624.5825925926</definedName>
    <definedName name="IQ_REVISION_DATE_4" hidden="1">39624.5825925926</definedName>
    <definedName name="IQ_REVISION_DATE_FM" hidden="1">39492.863587963</definedName>
    <definedName name="IQ_REVISION_DATE_v2" hidden="1">"17/02/2006 15:13:32"</definedName>
    <definedName name="IQ_REVOLVING_SECURED_1_4_NON_ACCRUAL_FFIEC" hidden="1">"c13314"</definedName>
    <definedName name="IQ_REVOLVING_SECURED_1_–4_NON_ACCRUAL_FFIEC" hidden="1">"c13314"</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NAME" hidden="1">"c15159"</definedName>
    <definedName name="IQ_SECURITY_OWN" hidden="1">"c1153"</definedName>
    <definedName name="IQ_SECURITY_RESELL" hidden="1">"c1154"</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"c1197"</definedName>
    <definedName name="IQ_SMALL_INT_BEAR_CD" hidden="1">"c1166"</definedName>
    <definedName name="IQ_SOFTWARE" hidden="1">"c1167"</definedName>
    <definedName name="IQ_SOURCE" hidden="1">"c1168"</definedName>
    <definedName name="IQ_SP_ISSUE_LC_ACTION" hidden="1">"c2644"</definedName>
    <definedName name="IQ_SP_ISSUE_LC_DATE" hidden="1">"c2643"</definedName>
    <definedName name="IQ_SP_ISSUE_LC_LT" hidden="1">"c2645"</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FIC_ALLOWANCE" hidden="1">"c15247"</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ND_REC_DET_EST_DATE_REUT" hidden="1">"c12307"</definedName>
    <definedName name="IQ_STAND_REC_DET_EST_ORIGIN_REUT" hidden="1">"c12675"</definedName>
    <definedName name="IQ_STAND_REC_DET_EST_REUT" hidden="1">"c12165"</definedName>
    <definedName name="IQ_STAND_REC_NUM_DET_EST_DATE_REUT" hidden="1">"c12306"</definedName>
    <definedName name="IQ_STAND_REC_NUM_DET_EST_ORIGIN_REUT" hidden="1">"c12674"</definedName>
    <definedName name="IQ_STAND_REC_NUM_DET_EST_REUT" hidden="1">"c12164"</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CF" hidden="1">"c1203"</definedName>
    <definedName name="IQ_STOCK_BASED_COGS_FIN" hidden="1">"c2998"</definedName>
    <definedName name="IQ_STOCK_BASED_COGS_UTIL" hidden="1">"c2997"</definedName>
    <definedName name="IQ_STRIKE_PRICE_ISSUED" hidden="1">"c1645"</definedName>
    <definedName name="IQ_STRIKE_PRICE_OS" hidden="1">"c1646"</definedName>
    <definedName name="IQ_SUB_DEBT_FDIC" hidden="1">"c6346"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DET_EST_CURRENCY_REUT" hidden="1">"c12547"</definedName>
    <definedName name="IQ_TARGET_PRICE_DET_EST_DATE_REUT" hidden="1">"c12308"</definedName>
    <definedName name="IQ_TARGET_PRICE_DET_EST_INCL_REUT" hidden="1">"c12430"</definedName>
    <definedName name="IQ_TARGET_PRICE_DET_EST_ORIGIN_REUT" hidden="1">"c12731"</definedName>
    <definedName name="IQ_TARGET_PRICE_DET_EST_REUT" hidden="1">"c12166"</definedName>
    <definedName name="IQ_TARGET_PRICE_LASTCLOSE" hidden="1">"c1855"</definedName>
    <definedName name="IQ_TARGET_PRICE_NUM_REUT" hidden="1">"c5319"</definedName>
    <definedName name="IQ_TARGET_PRICE_STDDEV_REUT" hidden="1">"c5320"</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ONE_RATIO" hidden="1">"c1229"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"c1266"</definedName>
    <definedName name="IQ_TOTAL_CASH_DUE_DEPOSITORY_INSTIT_DOM_FFIEC" hidden="1">"c15291"</definedName>
    <definedName name="IQ_TOTAL_CASH_DUE_DEPOSITORY_INSTIT_FFIEC" hidden="1">"c15285"</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DUE" hidden="1">"c2509"</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"c591"</definedName>
    <definedName name="IQ_TOTAL_INTEREST_EXP_FOREIGN_FFIEC" hidden="1">"c15374"</definedName>
    <definedName name="IQ_TOTAL_INTEREST_INC_FOREIGN_FFIEC" hidden="1">"c15373"</definedName>
    <definedName name="IQ_TOTAL_INVENTORY" hidden="1">"c622"</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NG_DEBT" hidden="1">"c1617"</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"c1177"</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R" hidden="1">"c5517"</definedName>
    <definedName name="IQ_TR_BUY_ADVISORS" hidden="1">"c2387"</definedName>
    <definedName name="IQ_TR_SELL_ADVISORS" hidden="1">"c2388"</definedName>
    <definedName name="IQ_TR_SUBDEBT" hidden="1">"c2370"</definedName>
    <definedName name="IQ_TR_TARGET_ADVISORS" hidden="1">"c2386"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WELVE_MONTHS_FIXED_AND_FLOATING_FDIC" hidden="1">"c6420"</definedName>
    <definedName name="IQ_TWELVE_MONTHS_MORTGAGE_PASS_THROUGHS_FDIC" hidden="1">"c6412"</definedName>
    <definedName name="IQ_UNDIVIDED_PROFITS_FDIC" hidden="1">"c6352"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PAID_CLAIMS" hidden="1">"c1330"</definedName>
    <definedName name="IQ_UNPROFITABLE_INSTITUTIONS_FDIC" hidden="1">"c6722"</definedName>
    <definedName name="IQ_UNREALIZED_GAIN" hidden="1">"c1619"</definedName>
    <definedName name="IQ_UNUSED_LOAN_COMMITMENTS_FDIC" hidden="1">"c6368"</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EEK">50000</definedName>
    <definedName name="IQ_WEIGHTED_AVG_PRICE" hidden="1">"c1334"</definedName>
    <definedName name="IQ_WIP_INV" hidden="1">"c1335"</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1" hidden="1">"c2104"</definedName>
    <definedName name="IQ_YEARHIGH" hidden="1">"c1337"</definedName>
    <definedName name="IQ_YEARLOW" hidden="1">"c1338"</definedName>
    <definedName name="IQ_YTD">3000</definedName>
    <definedName name="IQ_YTDMONTH" hidden="1">130000</definedName>
    <definedName name="IQ_Z_SCORE" hidden="1">"c1339"</definedName>
    <definedName name="IQB_BOOKMARK_COUNT" hidden="1">1</definedName>
    <definedName name="IQB_BOOKMARK_LOCATION_0" hidden="1">#REF!</definedName>
    <definedName name="IQB_BOOKMARK_LOCATION_1" hidden="1">#REF!</definedName>
    <definedName name="IQB_BOOKMARK_LOCATION_2" hidden="1">#REF!</definedName>
    <definedName name="IQB_BOOKMARK_LOCATION_3" hidden="1">#REF!</definedName>
    <definedName name="IQB_BOOKMARK_LOCATION_4" hidden="1">#REF!</definedName>
    <definedName name="IQB_CURRENT_BOOKMARK" hidden="1">0</definedName>
    <definedName name="IQNAMA" hidden="1">39972.4171759259</definedName>
    <definedName name="IQR2019CZ38" hidden="1">#REF!</definedName>
    <definedName name="IQR2021M39" hidden="1">#REF!</definedName>
    <definedName name="IQR2021M4" hidden="1">#REF!</definedName>
    <definedName name="IQRA1" hidden="1">"$A$2:$A$211"</definedName>
    <definedName name="IQRA10" hidden="1">"$A$11:$A$263"</definedName>
    <definedName name="IQRA108" hidden="1">"$A$109:$A$129"</definedName>
    <definedName name="IQRA109" hidden="1">"$A$110:$A$130"</definedName>
    <definedName name="IQRA110" hidden="1">"$A$111:$A$131"</definedName>
    <definedName name="IQRA112" hidden="1">"$A$113:$A$130"</definedName>
    <definedName name="IQRA12" hidden="1">"$A$13:$A$265"</definedName>
    <definedName name="IQRA134" hidden="1">"$A$135:$A$385"</definedName>
    <definedName name="IQRA2" hidden="1">"$A$3:$A$217"</definedName>
    <definedName name="IQRA22" hidden="1">"$A$23:$A$777"</definedName>
    <definedName name="IQRA3" hidden="1">"$A$4:$A$1179"</definedName>
    <definedName name="IQRA38" hidden="1">"$A$39:$A$48"</definedName>
    <definedName name="IQRA39" hidden="1">"$A$40:$A$75"</definedName>
    <definedName name="IQRA4" hidden="1">"$A$5:$A$15"</definedName>
    <definedName name="IQRA5" hidden="1">"$A$6:$A$20"</definedName>
    <definedName name="IQRA6" hidden="1">"$A$7:$A$21"</definedName>
    <definedName name="IQRA60" hidden="1">"$A$61:$A$75"</definedName>
    <definedName name="IQRA7" hidden="1">"$A$8:$A$1281"</definedName>
    <definedName name="IQRA8" hidden="1">"$A$9:$A$132"</definedName>
    <definedName name="IQRA9" hidden="1">"$A$10:$A$19"</definedName>
    <definedName name="IQRA97" hidden="1">"$A$98:$A$118"</definedName>
    <definedName name="IQRA98" hidden="1">"$A$99:$A$116"</definedName>
    <definedName name="IQRAA24" hidden="1">"$AA$25"</definedName>
    <definedName name="IQRAA28" hidden="1">"$AA$29:$AA$48"</definedName>
    <definedName name="IQRAA3" hidden="1">"$AA$4:$AA$253"</definedName>
    <definedName name="IQRAA4" hidden="1">"$AA$5:$AA$254"</definedName>
    <definedName name="IQRAA5" hidden="1">"$AA$6:$AA$255"</definedName>
    <definedName name="IQRAA6" hidden="1">"$AA$7:$AA$256"</definedName>
    <definedName name="IQRAA7" hidden="1">"$AA$8"</definedName>
    <definedName name="IQRAA81" hidden="1">"$AA$82"</definedName>
    <definedName name="IQRAB24" hidden="1">"$AB$25:$AB$27"</definedName>
    <definedName name="IQRAB28" hidden="1">"$AB$29:$AB$48"</definedName>
    <definedName name="IQRAB3" hidden="1">"$AB$4:$AB$253"</definedName>
    <definedName name="IQRAB7" hidden="1">"$AB$8:$AB$10"</definedName>
    <definedName name="IQRAB8" hidden="1">#REF!</definedName>
    <definedName name="IQRAB81" hidden="1">"$AB$82"</definedName>
    <definedName name="IQRAB9" hidden="1">"$AB$10:$AB$71"</definedName>
    <definedName name="IQRABBVH20" hidden="1">#REF!</definedName>
    <definedName name="IQRABTH20" hidden="1">#REF!</definedName>
    <definedName name="IQRAC24" hidden="1">"$AC$25:$AC$26"</definedName>
    <definedName name="IQRAC28" hidden="1">"$AC$29:$AC$48"</definedName>
    <definedName name="IQRAC3" hidden="1">"$AC$4:$AC$253"</definedName>
    <definedName name="IQRAC7" hidden="1">"$AC$8:$AC$9"</definedName>
    <definedName name="IQRAC81" hidden="1">"$AC$82"</definedName>
    <definedName name="IQRACETH20" hidden="1">#REF!</definedName>
    <definedName name="IQRAD28" hidden="1">"$AD$29:$AD$48"</definedName>
    <definedName name="IQRAD3" hidden="1">"$AD$4:$AD$253"</definedName>
    <definedName name="IQRAD4" hidden="1">"$AD$5:$AD$254"</definedName>
    <definedName name="IQRAD5" hidden="1">"$AD$6:$AD$255"</definedName>
    <definedName name="IQRAD53" hidden="1">"$AD$54:$AD$63"</definedName>
    <definedName name="IQRAD54" hidden="1">"$AE$54:$AG$54"</definedName>
    <definedName name="IQRAD55" hidden="1">"$AE$55:$AH$55"</definedName>
    <definedName name="IQRAD56" hidden="1">"$AE$56:$AO$56"</definedName>
    <definedName name="IQRAD57" hidden="1">"$AE$57:$AH$57"</definedName>
    <definedName name="IQRAD6" hidden="1">"$AD$7:$AD$256"</definedName>
    <definedName name="IQRAD81" hidden="1">"$AD$82"</definedName>
    <definedName name="IQRAE28" hidden="1">"$AE$29:$AE$48"</definedName>
    <definedName name="IQRAE3" hidden="1">"$AE$4:$AE$253"</definedName>
    <definedName name="IQRAE4" hidden="1">"$AE$5:$AE$254"</definedName>
    <definedName name="IQRAE5" hidden="1">"$AE$6:$AE$255"</definedName>
    <definedName name="IQRAE53" hidden="1">"$AE$54:$AE$56"</definedName>
    <definedName name="IQRAE6" hidden="1">"$AE$7:$AE$256"</definedName>
    <definedName name="IQRAE81" hidden="1">"$AE$82"</definedName>
    <definedName name="IQRAF17" hidden="1">"$AF$18:$AF$269"</definedName>
    <definedName name="IQRAF28" hidden="1">"$AF$29:$AF$48"</definedName>
    <definedName name="IQRAF3" hidden="1">"$AF$4"</definedName>
    <definedName name="IQRAF53" hidden="1">"$AF$54:$AF$57"</definedName>
    <definedName name="IQRAF6" hidden="1">"$AF$7:$AF$256"</definedName>
    <definedName name="IQRAF7" hidden="1">"$AF$8:$AF$257"</definedName>
    <definedName name="IQRAF8" hidden="1">#REF!</definedName>
    <definedName name="IQRAF81" hidden="1">"$AF$82"</definedName>
    <definedName name="IQRAG2" hidden="1">"$AG$3:$AG$26"</definedName>
    <definedName name="IQRAG28" hidden="1">"$AG$29:$AG$48"</definedName>
    <definedName name="IQRAG3" hidden="1">"$AG$4:$AG$256"</definedName>
    <definedName name="IQRAG53" hidden="1">"$AG$54:$AG$64"</definedName>
    <definedName name="IQRAG81" hidden="1">"$AG$82"</definedName>
    <definedName name="IQRAH2" hidden="1">"$AH$3:$AH$26"</definedName>
    <definedName name="IQRAH28" hidden="1">"$AH$29:$AH$48"</definedName>
    <definedName name="IQRAH3" hidden="1">"$AH$4:$AH$253"</definedName>
    <definedName name="IQRAH4" hidden="1">"$AH$5:$AH$254"</definedName>
    <definedName name="IQRAH5" hidden="1">"$AH$6:$AH$255"</definedName>
    <definedName name="IQRAH53" hidden="1">"$AH$54:$AH$56"</definedName>
    <definedName name="IQRAH6" hidden="1">"$AH$7:$AH$256"</definedName>
    <definedName name="IQRAH81" hidden="1">"$AH$82"</definedName>
    <definedName name="IQRAI11" hidden="1">"$AI$12:$AI$23"</definedName>
    <definedName name="IQRAI2" hidden="1">"$AI$3:$AI$26"</definedName>
    <definedName name="IQRAI28" hidden="1">"$AI$29:$AI$48"</definedName>
    <definedName name="IQRAI3" hidden="1">"$AI$4:$AI$253"</definedName>
    <definedName name="IQRAI4" hidden="1">"$AI$5:$AI$254"</definedName>
    <definedName name="IQRAI5" hidden="1">"$AI$6:$AI$255"</definedName>
    <definedName name="IQRAI6" hidden="1">"$AI$7:$AI$256"</definedName>
    <definedName name="IQRAI81" hidden="1">"$AI$82"</definedName>
    <definedName name="IQRAJ2" hidden="1">"$AJ$3:$AJ$26"</definedName>
    <definedName name="IQRAJ28" hidden="1">"$AJ$29:$AJ$48"</definedName>
    <definedName name="IQRAJ3" hidden="1">"$AJ$4:$AJ$253"</definedName>
    <definedName name="IQRAJ53" hidden="1">"$AJ$54:$AJ$61"</definedName>
    <definedName name="IQRAJ8" hidden="1">#REF!</definedName>
    <definedName name="IQRAJ81" hidden="1">"$AJ$82"</definedName>
    <definedName name="IQRAK2" hidden="1">"$AK$3:$AK$26"</definedName>
    <definedName name="IQRAK28" hidden="1">"$AK$29:$AK$48"</definedName>
    <definedName name="IQRAK3" hidden="1">"$AK$4:$AK$253"</definedName>
    <definedName name="IQRAK53" hidden="1">"$AK$54:$AK$57"</definedName>
    <definedName name="IQRAK6" hidden="1">"$AK$7:$AK$256"</definedName>
    <definedName name="IQRAK7" hidden="1">"$AK$8:$AK$257"</definedName>
    <definedName name="IQRAK81" hidden="1">"$AK$82"</definedName>
    <definedName name="IQRAL11" hidden="1">"$AL$12"</definedName>
    <definedName name="IQRAL12" hidden="1">"$AL$13"</definedName>
    <definedName name="IQRAL13" hidden="1">"$AL$14"</definedName>
    <definedName name="IQRAL14" hidden="1">"$AL$15"</definedName>
    <definedName name="IQRAL15" hidden="1">"$AL$16"</definedName>
    <definedName name="IQRAL16" hidden="1">"$AL$17"</definedName>
    <definedName name="IQRAL17" hidden="1">"$AL$18"</definedName>
    <definedName name="IQRAL18" hidden="1">"$AL$19"</definedName>
    <definedName name="IQRAL19" hidden="1">"$AL$20"</definedName>
    <definedName name="IQRAL2" hidden="1">"$AL$3:$AL$26"</definedName>
    <definedName name="IQRAL20" hidden="1">"$AL$21"</definedName>
    <definedName name="IQRAL21" hidden="1">"$AL$22"</definedName>
    <definedName name="IQRAL22" hidden="1">"$AL$23"</definedName>
    <definedName name="IQRAL24" hidden="1">"$AL$25"</definedName>
    <definedName name="IQRAL25" hidden="1">"$AL$26"</definedName>
    <definedName name="IQRAL26" hidden="1">"$AL$27"</definedName>
    <definedName name="IQRAL27" hidden="1">"$AL$28"</definedName>
    <definedName name="IQRAL28" hidden="1">"$AL$29:$AL$48"</definedName>
    <definedName name="IQRAL29" hidden="1">"$AL$30"</definedName>
    <definedName name="IQRAL3" hidden="1">"$AL$4:$AL$253"</definedName>
    <definedName name="IQRAL30" hidden="1">"$AL$31"</definedName>
    <definedName name="IQRAL31" hidden="1">"$AL$32"</definedName>
    <definedName name="IQRAL32" hidden="1">"$AL$33"</definedName>
    <definedName name="IQRAL33" hidden="1">"$AL$34"</definedName>
    <definedName name="IQRAL34" hidden="1">"$AL$35"</definedName>
    <definedName name="IQRAL35" hidden="1">"$AL$36"</definedName>
    <definedName name="IQRAL36" hidden="1">"$AL$37"</definedName>
    <definedName name="IQRAL37" hidden="1">"$AL$38"</definedName>
    <definedName name="IQRAL4" hidden="1">"$AL$5:$AL$254"</definedName>
    <definedName name="IQRAL5" hidden="1">"$AL$6:$AL$255"</definedName>
    <definedName name="IQRAL53" hidden="1">"$AL$54:$AL$64"</definedName>
    <definedName name="IQRAL6" hidden="1">"$AL$7:$AL$256"</definedName>
    <definedName name="IQRAL7" hidden="1">"$AL$8"</definedName>
    <definedName name="IQRAL8" hidden="1">"$AL$9"</definedName>
    <definedName name="IQRAL81" hidden="1">"$AL$82"</definedName>
    <definedName name="IQRAL9" hidden="1">"$AL$10"</definedName>
    <definedName name="IQRAllCorpA8" hidden="1">#REF!</definedName>
    <definedName name="IQRAllCorpAF8" hidden="1">#REF!</definedName>
    <definedName name="IQRAllCorpAG8" hidden="1">#REF!</definedName>
    <definedName name="IQRAllCorpAS8" hidden="1">#REF!</definedName>
    <definedName name="IQRAllCorpAT8" hidden="1">#REF!</definedName>
    <definedName name="IQRAllCorpB8" hidden="1">#REF!</definedName>
    <definedName name="IQRAllCorpBF8" hidden="1">#REF!</definedName>
    <definedName name="IQRAllCorpBG8" hidden="1">#REF!</definedName>
    <definedName name="IQRAllCorpBH8" hidden="1">#REF!</definedName>
    <definedName name="IQRAllCorpBI8" hidden="1">#REF!</definedName>
    <definedName name="IQRAllCorpBJ8" hidden="1">#REF!</definedName>
    <definedName name="IQRAllCorpBK8" hidden="1">#REF!</definedName>
    <definedName name="IQRAllCorpBL8" hidden="1">#REF!</definedName>
    <definedName name="IQRAllCorpBM8" hidden="1">#REF!</definedName>
    <definedName name="IQRAllCorpBN8" hidden="1">#REF!</definedName>
    <definedName name="IQRAllCorpBO8" hidden="1">#REF!</definedName>
    <definedName name="IQRAllCorpBP8" hidden="1">#REF!</definedName>
    <definedName name="IQRAllCorpBQ8" hidden="1">#REF!</definedName>
    <definedName name="IQRAllCorpBR8" hidden="1">#REF!</definedName>
    <definedName name="IQRAllCorpBS8" hidden="1">#REF!</definedName>
    <definedName name="IQRAllCorpBT8" hidden="1">#REF!</definedName>
    <definedName name="IQRAllCorpBU8" hidden="1">#REF!</definedName>
    <definedName name="IQRAllCorpBV8" hidden="1">#REF!</definedName>
    <definedName name="IQRAllCorpBW8" hidden="1">#REF!</definedName>
    <definedName name="IQRAllCorpBX8" hidden="1">#REF!</definedName>
    <definedName name="IQRAllCorpBY8" hidden="1">#REF!</definedName>
    <definedName name="IQRAllCorpBZ8" hidden="1">#REF!</definedName>
    <definedName name="IQRAllCorpC8" hidden="1">#REF!</definedName>
    <definedName name="IQRAllCorpCA8" hidden="1">#REF!</definedName>
    <definedName name="IQRAllCorpCB8" hidden="1">#REF!</definedName>
    <definedName name="IQRAllCorpCC8" hidden="1">#REF!</definedName>
    <definedName name="IQRAllCorpCD8" hidden="1">#REF!</definedName>
    <definedName name="IQRAllCorpCE8" hidden="1">#REF!</definedName>
    <definedName name="IQRAllCorpCF8" hidden="1">#REF!</definedName>
    <definedName name="IQRAllCorpCG8" hidden="1">#REF!</definedName>
    <definedName name="IQRAllCorpCH8" hidden="1">#REF!</definedName>
    <definedName name="IQRAllCorpCI8" hidden="1">#REF!</definedName>
    <definedName name="IQRAllCorpCJ8" hidden="1">#REF!</definedName>
    <definedName name="IQRAllCorpCK8" hidden="1">#REF!</definedName>
    <definedName name="IQRAllCorpCL8" hidden="1">#REF!</definedName>
    <definedName name="IQRAllCorpCM8" hidden="1">#REF!</definedName>
    <definedName name="IQRAllCorpCN8" hidden="1">#REF!</definedName>
    <definedName name="IQRAllCorpCO8" hidden="1">#REF!</definedName>
    <definedName name="IQRAllCorpCP8" hidden="1">#REF!</definedName>
    <definedName name="IQRAllCorpCQ8" hidden="1">#REF!</definedName>
    <definedName name="IQRAllCorpCR8" hidden="1">#REF!</definedName>
    <definedName name="IQRAllCorpCS8" hidden="1">#REF!</definedName>
    <definedName name="IQRAllCorpCT8" hidden="1">#REF!</definedName>
    <definedName name="IQRAllCorpCU8" hidden="1">#REF!</definedName>
    <definedName name="IQRAllCorpCV8" hidden="1">#REF!</definedName>
    <definedName name="IQRAllCorpCW8" hidden="1">#REF!</definedName>
    <definedName name="IQRAllCorpCX8" hidden="1">#REF!</definedName>
    <definedName name="IQRAllCorpCY8" hidden="1">#REF!</definedName>
    <definedName name="IQRAllCorpCZ8" hidden="1">#REF!</definedName>
    <definedName name="IQRAllCorpD8" hidden="1">#REF!</definedName>
    <definedName name="IQRAllCorpDA8" hidden="1">#REF!</definedName>
    <definedName name="IQRAllCorpDB8" hidden="1">#REF!</definedName>
    <definedName name="IQRAllCorpDC8" hidden="1">#REF!</definedName>
    <definedName name="IQRAllCorpDD8" hidden="1">#REF!</definedName>
    <definedName name="IQRAllCorpDE8" hidden="1">#REF!</definedName>
    <definedName name="IQRAllCorpDF8" hidden="1">#REF!</definedName>
    <definedName name="IQRAllCorpDG8" hidden="1">#REF!</definedName>
    <definedName name="IQRAllCorpDH42" hidden="1">#REF!</definedName>
    <definedName name="IQRAllCorpDH53" hidden="1">#REF!</definedName>
    <definedName name="IQRAllCorpDH67" hidden="1">#REF!</definedName>
    <definedName name="IQRAllCorpDH77" hidden="1">#REF!</definedName>
    <definedName name="IQRAllCorpDH78" hidden="1">#REF!</definedName>
    <definedName name="IQRAllCorpDH8" hidden="1">#REF!</definedName>
    <definedName name="IQRAllCorpDI42" hidden="1">#REF!</definedName>
    <definedName name="IQRAllCorpDI53" hidden="1">#REF!</definedName>
    <definedName name="IQRAllCorpDI67" hidden="1">#REF!</definedName>
    <definedName name="IQRAllCorpDI77" hidden="1">#REF!</definedName>
    <definedName name="IQRAllCorpDI78" hidden="1">#REF!</definedName>
    <definedName name="IQRAllCorpDI8" hidden="1">#REF!</definedName>
    <definedName name="IQRAllCorpDJ42" hidden="1">#REF!</definedName>
    <definedName name="IQRAllCorpDJ53" hidden="1">#REF!</definedName>
    <definedName name="IQRAllCorpDJ67" hidden="1">#REF!</definedName>
    <definedName name="IQRAllCorpDJ77" hidden="1">#REF!</definedName>
    <definedName name="IQRAllCorpDJ78" hidden="1">#REF!</definedName>
    <definedName name="IQRAllCorpDJ8" hidden="1">#REF!</definedName>
    <definedName name="IQRAllCorpDK42" hidden="1">#REF!</definedName>
    <definedName name="IQRAllCorpDK53" hidden="1">#REF!</definedName>
    <definedName name="IQRAllCorpDK67" hidden="1">#REF!</definedName>
    <definedName name="IQRAllCorpDK77" hidden="1">#REF!</definedName>
    <definedName name="IQRAllCorpDK78" hidden="1">#REF!</definedName>
    <definedName name="IQRAllCorpDK8" hidden="1">#REF!</definedName>
    <definedName name="IQRAllCorpDL42" hidden="1">#REF!</definedName>
    <definedName name="IQRAllCorpDL53" hidden="1">#REF!</definedName>
    <definedName name="IQRAllCorpDL67" hidden="1">#REF!</definedName>
    <definedName name="IQRAllCorpDL77" hidden="1">#REF!</definedName>
    <definedName name="IQRAllCorpDL78" hidden="1">#REF!</definedName>
    <definedName name="IQRAllCorpDL8" hidden="1">#REF!</definedName>
    <definedName name="IQRAllCorpDM42" hidden="1">#REF!</definedName>
    <definedName name="IQRAllCorpDM53" hidden="1">#REF!</definedName>
    <definedName name="IQRAllCorpDM67" hidden="1">#REF!</definedName>
    <definedName name="IQRAllCorpDM77" hidden="1">#REF!</definedName>
    <definedName name="IQRAllCorpDM78" hidden="1">#REF!</definedName>
    <definedName name="IQRAllCorpDM8" hidden="1">#REF!</definedName>
    <definedName name="IQRAllCorpDN42" hidden="1">#REF!</definedName>
    <definedName name="IQRAllCorpDN53" hidden="1">#REF!</definedName>
    <definedName name="IQRAllCorpDN67" hidden="1">#REF!</definedName>
    <definedName name="IQRAllCorpDN77" hidden="1">#REF!</definedName>
    <definedName name="IQRAllCorpDN78" hidden="1">#REF!</definedName>
    <definedName name="IQRAllCorpDN8" hidden="1">#REF!</definedName>
    <definedName name="IQRAllCorpDO42" hidden="1">#REF!</definedName>
    <definedName name="IQRAllCorpDO53" hidden="1">#REF!</definedName>
    <definedName name="IQRAllCorpDO67" hidden="1">#REF!</definedName>
    <definedName name="IQRAllCorpDO77" hidden="1">#REF!</definedName>
    <definedName name="IQRAllCorpDO78" hidden="1">#REF!</definedName>
    <definedName name="IQRAllCorpDO8" hidden="1">#REF!</definedName>
    <definedName name="IQRAllCorpDP42" hidden="1">#REF!</definedName>
    <definedName name="IQRAllCorpDP53" hidden="1">#REF!</definedName>
    <definedName name="IQRAllCorpDP67" hidden="1">#REF!</definedName>
    <definedName name="IQRAllCorpDP77" hidden="1">#REF!</definedName>
    <definedName name="IQRAllCorpDP78" hidden="1">#REF!</definedName>
    <definedName name="IQRAllCorpDP8" hidden="1">#REF!</definedName>
    <definedName name="IQRAllCorpDQ42" hidden="1">#REF!</definedName>
    <definedName name="IQRAllCorpDQ53" hidden="1">#REF!</definedName>
    <definedName name="IQRAllCorpDQ67" hidden="1">#REF!</definedName>
    <definedName name="IQRAllCorpDQ77" hidden="1">#REF!</definedName>
    <definedName name="IQRAllCorpDQ78" hidden="1">#REF!</definedName>
    <definedName name="IQRAllCorpDQ8" hidden="1">#REF!</definedName>
    <definedName name="IQRAllCorpDR42" hidden="1">#REF!</definedName>
    <definedName name="IQRAllCorpDR53" hidden="1">#REF!</definedName>
    <definedName name="IQRAllCorpDR67" hidden="1">#REF!</definedName>
    <definedName name="IQRAllCorpDR77" hidden="1">#REF!</definedName>
    <definedName name="IQRAllCorpDR78" hidden="1">#REF!</definedName>
    <definedName name="IQRAllCorpDR8" hidden="1">#REF!</definedName>
    <definedName name="IQRAllCorpDS8" hidden="1">#REF!</definedName>
    <definedName name="IQRAllCorpDT8" hidden="1">#REF!</definedName>
    <definedName name="IQRAllCorpDU42" hidden="1">#REF!</definedName>
    <definedName name="IQRAllCorpDU53" hidden="1">#REF!</definedName>
    <definedName name="IQRAllCorpDU67" hidden="1">#REF!</definedName>
    <definedName name="IQRAllCorpDU77" hidden="1">#REF!</definedName>
    <definedName name="IQRAllCorpDU78" hidden="1">#REF!</definedName>
    <definedName name="IQRAllCorpDU8" hidden="1">#REF!</definedName>
    <definedName name="IQRAllCorpDV42" hidden="1">#REF!</definedName>
    <definedName name="IQRAllCorpDV53" hidden="1">#REF!</definedName>
    <definedName name="IQRAllCorpDV67" hidden="1">#REF!</definedName>
    <definedName name="IQRAllCorpDV77" hidden="1">#REF!</definedName>
    <definedName name="IQRAllCorpDV78" hidden="1">#REF!</definedName>
    <definedName name="IQRAllCorpDV8" hidden="1">#REF!</definedName>
    <definedName name="IQRAllCorpDW42" hidden="1">#REF!</definedName>
    <definedName name="IQRAllCorpDW53" hidden="1">#REF!</definedName>
    <definedName name="IQRAllCorpDW67" hidden="1">#REF!</definedName>
    <definedName name="IQRAllCorpDW77" hidden="1">#REF!</definedName>
    <definedName name="IQRAllCorpDW78" hidden="1">#REF!</definedName>
    <definedName name="IQRAllCorpDW8" hidden="1">#REF!</definedName>
    <definedName name="IQRAllCorpDX42" hidden="1">#REF!</definedName>
    <definedName name="IQRAllCorpDX53" hidden="1">#REF!</definedName>
    <definedName name="IQRAllCorpDX67" hidden="1">#REF!</definedName>
    <definedName name="IQRAllCorpDX77" hidden="1">#REF!</definedName>
    <definedName name="IQRAllCorpDX78" hidden="1">#REF!</definedName>
    <definedName name="IQRAllCorpDX8" hidden="1">#REF!</definedName>
    <definedName name="IQRAllCorpDY42" hidden="1">#REF!</definedName>
    <definedName name="IQRAllCorpDY53" hidden="1">#REF!</definedName>
    <definedName name="IQRAllCorpDY67" hidden="1">#REF!</definedName>
    <definedName name="IQRAllCorpDY77" hidden="1">#REF!</definedName>
    <definedName name="IQRAllCorpDY78" hidden="1">#REF!</definedName>
    <definedName name="IQRAllCorpDY8" hidden="1">#REF!</definedName>
    <definedName name="IQRAllCorpDZ42" hidden="1">#REF!</definedName>
    <definedName name="IQRAllCorpDZ53" hidden="1">#REF!</definedName>
    <definedName name="IQRAllCorpDZ67" hidden="1">#REF!</definedName>
    <definedName name="IQRAllCorpDZ77" hidden="1">#REF!</definedName>
    <definedName name="IQRAllCorpDZ78" hidden="1">#REF!</definedName>
    <definedName name="IQRAllCorpDZ8" hidden="1">#REF!</definedName>
    <definedName name="IQRAllCorpE8" hidden="1">#REF!</definedName>
    <definedName name="IQRAllCorpEA42" hidden="1">#REF!</definedName>
    <definedName name="IQRAllCorpEA53" hidden="1">#REF!</definedName>
    <definedName name="IQRAllCorpEA67" hidden="1">#REF!</definedName>
    <definedName name="IQRAllCorpEA77" hidden="1">#REF!</definedName>
    <definedName name="IQRAllCorpEA78" hidden="1">#REF!</definedName>
    <definedName name="IQRAllCorpEA8" hidden="1">#REF!</definedName>
    <definedName name="IQRAllCorpEB42" hidden="1">#REF!</definedName>
    <definedName name="IQRAllCorpEB53" hidden="1">#REF!</definedName>
    <definedName name="IQRAllCorpEB67" hidden="1">#REF!</definedName>
    <definedName name="IQRAllCorpEB77" hidden="1">#REF!</definedName>
    <definedName name="IQRAllCorpEB78" hidden="1">#REF!</definedName>
    <definedName name="IQRAllCorpEB8" hidden="1">#REF!</definedName>
    <definedName name="IQRAllCorpEC42" hidden="1">#REF!</definedName>
    <definedName name="IQRAllCorpEC53" hidden="1">#REF!</definedName>
    <definedName name="IQRAllCorpEC67" hidden="1">#REF!</definedName>
    <definedName name="IQRAllCorpEC77" hidden="1">#REF!</definedName>
    <definedName name="IQRAllCorpEC78" hidden="1">#REF!</definedName>
    <definedName name="IQRAllCorpEC8" hidden="1">#REF!</definedName>
    <definedName name="IQRAllCorpED42" hidden="1">#REF!</definedName>
    <definedName name="IQRAllCorpED53" hidden="1">#REF!</definedName>
    <definedName name="IQRAllCorpED67" hidden="1">#REF!</definedName>
    <definedName name="IQRAllCorpED77" hidden="1">#REF!</definedName>
    <definedName name="IQRAllCorpED78" hidden="1">#REF!</definedName>
    <definedName name="IQRAllCorpED8" hidden="1">#REF!</definedName>
    <definedName name="IQRAllCorpEE42" hidden="1">#REF!</definedName>
    <definedName name="IQRAllCorpEE53" hidden="1">#REF!</definedName>
    <definedName name="IQRAllCorpEE67" hidden="1">#REF!</definedName>
    <definedName name="IQRAllCorpEE77" hidden="1">#REF!</definedName>
    <definedName name="IQRAllCorpEE78" hidden="1">#REF!</definedName>
    <definedName name="IQRAllCorpEE8" hidden="1">#REF!</definedName>
    <definedName name="IQRAllCorpEF8" hidden="1">#REF!</definedName>
    <definedName name="IQRAllCorpEG8" hidden="1">#REF!</definedName>
    <definedName name="IQRAllCorpEH42" hidden="1">#REF!</definedName>
    <definedName name="IQRAllCorpEH53" hidden="1">#REF!</definedName>
    <definedName name="IQRAllCorpEH67" hidden="1">#REF!</definedName>
    <definedName name="IQRAllCorpEH77" hidden="1">#REF!</definedName>
    <definedName name="IQRAllCorpEH78" hidden="1">#REF!</definedName>
    <definedName name="IQRAllCorpEH8" hidden="1">#REF!</definedName>
    <definedName name="IQRAllCorpEI42" hidden="1">#REF!</definedName>
    <definedName name="IQRAllCorpEI53" hidden="1">#REF!</definedName>
    <definedName name="IQRAllCorpEI67" hidden="1">#REF!</definedName>
    <definedName name="IQRAllCorpEI77" hidden="1">#REF!</definedName>
    <definedName name="IQRAllCorpEI78" hidden="1">#REF!</definedName>
    <definedName name="IQRAllCorpEI8" hidden="1">#REF!</definedName>
    <definedName name="IQRAllCorpEJ42" hidden="1">#REF!</definedName>
    <definedName name="IQRAllCorpEJ53" hidden="1">#REF!</definedName>
    <definedName name="IQRAllCorpEJ67" hidden="1">#REF!</definedName>
    <definedName name="IQRAllCorpEJ77" hidden="1">#REF!</definedName>
    <definedName name="IQRAllCorpEJ78" hidden="1">#REF!</definedName>
    <definedName name="IQRAllCorpEJ8" hidden="1">#REF!</definedName>
    <definedName name="IQRAllCorpEK42" hidden="1">#REF!</definedName>
    <definedName name="IQRAllCorpEK53" hidden="1">#REF!</definedName>
    <definedName name="IQRAllCorpEK67" hidden="1">#REF!</definedName>
    <definedName name="IQRAllCorpEK77" hidden="1">#REF!</definedName>
    <definedName name="IQRAllCorpEK78" hidden="1">#REF!</definedName>
    <definedName name="IQRAllCorpEK8" hidden="1">#REF!</definedName>
    <definedName name="IQRAllCorpEL42" hidden="1">#REF!</definedName>
    <definedName name="IQRAllCorpEL53" hidden="1">#REF!</definedName>
    <definedName name="IQRAllCorpEL67" hidden="1">#REF!</definedName>
    <definedName name="IQRAllCorpEL77" hidden="1">#REF!</definedName>
    <definedName name="IQRAllCorpEL78" hidden="1">#REF!</definedName>
    <definedName name="IQRAllCorpEL8" hidden="1">#REF!</definedName>
    <definedName name="IQRAllCorpEM42" hidden="1">#REF!</definedName>
    <definedName name="IQRAllCorpEM53" hidden="1">#REF!</definedName>
    <definedName name="IQRAllCorpEM67" hidden="1">#REF!</definedName>
    <definedName name="IQRAllCorpEM77" hidden="1">#REF!</definedName>
    <definedName name="IQRAllCorpEM78" hidden="1">#REF!</definedName>
    <definedName name="IQRAllCorpEM8" hidden="1">#REF!</definedName>
    <definedName name="IQRAllCorpEN42" hidden="1">#REF!</definedName>
    <definedName name="IQRAllCorpEN53" hidden="1">#REF!</definedName>
    <definedName name="IQRAllCorpEN67" hidden="1">#REF!</definedName>
    <definedName name="IQRAllCorpEN77" hidden="1">#REF!</definedName>
    <definedName name="IQRAllCorpEN78" hidden="1">#REF!</definedName>
    <definedName name="IQRAllCorpEN8" hidden="1">#REF!</definedName>
    <definedName name="IQRAllCorpEO42" hidden="1">#REF!</definedName>
    <definedName name="IQRAllCorpEO53" hidden="1">#REF!</definedName>
    <definedName name="IQRAllCorpEO67" hidden="1">#REF!</definedName>
    <definedName name="IQRAllCorpEO77" hidden="1">#REF!</definedName>
    <definedName name="IQRAllCorpEO78" hidden="1">#REF!</definedName>
    <definedName name="IQRAllCorpEO8" hidden="1">#REF!</definedName>
    <definedName name="IQRAllCorpEP42" hidden="1">#REF!</definedName>
    <definedName name="IQRAllCorpEP53" hidden="1">#REF!</definedName>
    <definedName name="IQRAllCorpEP67" hidden="1">#REF!</definedName>
    <definedName name="IQRAllCorpEP77" hidden="1">#REF!</definedName>
    <definedName name="IQRAllCorpEP78" hidden="1">#REF!</definedName>
    <definedName name="IQRAllCorpEP8" hidden="1">#REF!</definedName>
    <definedName name="IQRAllCorpEQ42" hidden="1">#REF!</definedName>
    <definedName name="IQRAllCorpEQ53" hidden="1">#REF!</definedName>
    <definedName name="IQRAllCorpEQ67" hidden="1">#REF!</definedName>
    <definedName name="IQRAllCorpEQ77" hidden="1">#REF!</definedName>
    <definedName name="IQRAllCorpEQ78" hidden="1">#REF!</definedName>
    <definedName name="IQRAllCorpEQ8" hidden="1">#REF!</definedName>
    <definedName name="IQRAllCorpER42" hidden="1">#REF!</definedName>
    <definedName name="IQRAllCorpER53" hidden="1">#REF!</definedName>
    <definedName name="IQRAllCorpER67" hidden="1">#REF!</definedName>
    <definedName name="IQRAllCorpER77" hidden="1">#REF!</definedName>
    <definedName name="IQRAllCorpER78" hidden="1">#REF!</definedName>
    <definedName name="IQRAllCorpER8" hidden="1">#REF!</definedName>
    <definedName name="IQRAllCorpES8" hidden="1">#REF!</definedName>
    <definedName name="IQRAllCorpET8" hidden="1">#REF!</definedName>
    <definedName name="IQRAllCorpEU42" hidden="1">#REF!</definedName>
    <definedName name="IQRAllCorpEU53" hidden="1">#REF!</definedName>
    <definedName name="IQRAllCorpEU67" hidden="1">#REF!</definedName>
    <definedName name="IQRAllCorpEU77" hidden="1">#REF!</definedName>
    <definedName name="IQRAllCorpEU78" hidden="1">#REF!</definedName>
    <definedName name="IQRAllCorpEU8" hidden="1">#REF!</definedName>
    <definedName name="IQRAllCorpEV42" hidden="1">#REF!</definedName>
    <definedName name="IQRAllCorpEV53" hidden="1">#REF!</definedName>
    <definedName name="IQRAllCorpEV67" hidden="1">#REF!</definedName>
    <definedName name="IQRAllCorpEV77" hidden="1">#REF!</definedName>
    <definedName name="IQRAllCorpEV78" hidden="1">#REF!</definedName>
    <definedName name="IQRAllCorpEV8" hidden="1">#REF!</definedName>
    <definedName name="IQRAllCorpEW42" hidden="1">#REF!</definedName>
    <definedName name="IQRAllCorpEW53" hidden="1">#REF!</definedName>
    <definedName name="IQRAllCorpEW67" hidden="1">#REF!</definedName>
    <definedName name="IQRAllCorpEW77" hidden="1">#REF!</definedName>
    <definedName name="IQRAllCorpEW78" hidden="1">#REF!</definedName>
    <definedName name="IQRAllCorpEW8" hidden="1">#REF!</definedName>
    <definedName name="IQRAllCorpEX42" hidden="1">#REF!</definedName>
    <definedName name="IQRAllCorpEX53" hidden="1">#REF!</definedName>
    <definedName name="IQRAllCorpEX67" hidden="1">#REF!</definedName>
    <definedName name="IQRAllCorpEX77" hidden="1">#REF!</definedName>
    <definedName name="IQRAllCorpEX78" hidden="1">#REF!</definedName>
    <definedName name="IQRAllCorpEX8" hidden="1">#REF!</definedName>
    <definedName name="IQRAllCorpEY42" hidden="1">#REF!</definedName>
    <definedName name="IQRAllCorpEY53" hidden="1">#REF!</definedName>
    <definedName name="IQRAllCorpEY67" hidden="1">#REF!</definedName>
    <definedName name="IQRAllCorpEY77" hidden="1">#REF!</definedName>
    <definedName name="IQRAllCorpEY78" hidden="1">#REF!</definedName>
    <definedName name="IQRAllCorpEY8" hidden="1">#REF!</definedName>
    <definedName name="IQRAllCorpEZ42" hidden="1">#REF!</definedName>
    <definedName name="IQRAllCorpEZ53" hidden="1">#REF!</definedName>
    <definedName name="IQRAllCorpEZ67" hidden="1">#REF!</definedName>
    <definedName name="IQRAllCorpEZ77" hidden="1">#REF!</definedName>
    <definedName name="IQRAllCorpEZ78" hidden="1">#REF!</definedName>
    <definedName name="IQRAllCorpEZ8" hidden="1">#REF!</definedName>
    <definedName name="IQRAllCorpF8" hidden="1">#REF!</definedName>
    <definedName name="IQRAllCorpFA42" hidden="1">#REF!</definedName>
    <definedName name="IQRAllCorpFA53" hidden="1">#REF!</definedName>
    <definedName name="IQRAllCorpFA67" hidden="1">#REF!</definedName>
    <definedName name="IQRAllCorpFA77" hidden="1">#REF!</definedName>
    <definedName name="IQRAllCorpFA78" hidden="1">#REF!</definedName>
    <definedName name="IQRAllCorpFA8" hidden="1">#REF!</definedName>
    <definedName name="IQRAllCorpFB42" hidden="1">#REF!</definedName>
    <definedName name="IQRAllCorpFB53" hidden="1">#REF!</definedName>
    <definedName name="IQRAllCorpFB67" hidden="1">#REF!</definedName>
    <definedName name="IQRAllCorpFB77" hidden="1">#REF!</definedName>
    <definedName name="IQRAllCorpFB78" hidden="1">#REF!</definedName>
    <definedName name="IQRAllCorpFB8" hidden="1">#REF!</definedName>
    <definedName name="IQRAllCorpFC42" hidden="1">#REF!</definedName>
    <definedName name="IQRAllCorpFC53" hidden="1">#REF!</definedName>
    <definedName name="IQRAllCorpFC67" hidden="1">#REF!</definedName>
    <definedName name="IQRAllCorpFC77" hidden="1">#REF!</definedName>
    <definedName name="IQRAllCorpFC78" hidden="1">#REF!</definedName>
    <definedName name="IQRAllCorpFC8" hidden="1">#REF!</definedName>
    <definedName name="IQRAllCorpFD42" hidden="1">#REF!</definedName>
    <definedName name="IQRAllCorpFD53" hidden="1">#REF!</definedName>
    <definedName name="IQRAllCorpFD67" hidden="1">#REF!</definedName>
    <definedName name="IQRAllCorpFD77" hidden="1">#REF!</definedName>
    <definedName name="IQRAllCorpFD78" hidden="1">#REF!</definedName>
    <definedName name="IQRAllCorpFD8" hidden="1">#REF!</definedName>
    <definedName name="IQRAllCorpFE42" hidden="1">#REF!</definedName>
    <definedName name="IQRAllCorpFE53" hidden="1">#REF!</definedName>
    <definedName name="IQRAllCorpFE67" hidden="1">#REF!</definedName>
    <definedName name="IQRAllCorpFE77" hidden="1">#REF!</definedName>
    <definedName name="IQRAllCorpFE78" hidden="1">#REF!</definedName>
    <definedName name="IQRAllCorpFE8" hidden="1">#REF!</definedName>
    <definedName name="IQRAllCorpG8" hidden="1">#REF!</definedName>
    <definedName name="IQRAllCorpS8" hidden="1">#REF!</definedName>
    <definedName name="IQRAllCorpT8" hidden="1">#REF!</definedName>
    <definedName name="IQRAM2" hidden="1">"$AM$3:$AM$26"</definedName>
    <definedName name="IQRAM3" hidden="1">"$AM$4:$AM$253"</definedName>
    <definedName name="IQRAM4" hidden="1">"$AM$5:$AM$254"</definedName>
    <definedName name="IQRAM5" hidden="1">"$AM$6:$AM$255"</definedName>
    <definedName name="IQRAM53" hidden="1">"$AM$54:$AM$61"</definedName>
    <definedName name="IQRAM6" hidden="1">"$AM$7:$AM$256"</definedName>
    <definedName name="IQRAM81" hidden="1">"$AM$82"</definedName>
    <definedName name="IQRAN2" hidden="1">"$AN$3"</definedName>
    <definedName name="IQRAN3" hidden="1">"$AN$4:$AN$253"</definedName>
    <definedName name="IQRAN53" hidden="1">"$AN$54:$AN$64"</definedName>
    <definedName name="IQRAN8" hidden="1">#REF!</definedName>
    <definedName name="IQRAN81" hidden="1">"$AN$82"</definedName>
    <definedName name="IQRAO2" hidden="1">"$AO$3"</definedName>
    <definedName name="IQRAO3" hidden="1">"$AO$4:$AO$253"</definedName>
    <definedName name="IQRAO81" hidden="1">"$AO$82"</definedName>
    <definedName name="IQRAP2" hidden="1">"$AP$3"</definedName>
    <definedName name="IQRAP49" hidden="1">"$AP$50:$AP$302"</definedName>
    <definedName name="IQRAP5" hidden="1">"$AP$6:$AP$255"</definedName>
    <definedName name="IQRAP53" hidden="1">"$AP$54:$AP$61"</definedName>
    <definedName name="IQRAP6" hidden="1">"$AP$7:$AP$256"</definedName>
    <definedName name="IQRAP7" hidden="1">"$AP$8:$AP$257"</definedName>
    <definedName name="IQRAP81" hidden="1">"$AP$82"</definedName>
    <definedName name="IQRAQ2" hidden="1">"$AQ$3"</definedName>
    <definedName name="IQRAQ53" hidden="1">"$AQ$54:$AQ$57"</definedName>
    <definedName name="IQRAQ6" hidden="1">"$AQ$7:$AQ$256"</definedName>
    <definedName name="IQRAQ81" hidden="1">"$AQ$82"</definedName>
    <definedName name="IQRAR8" hidden="1">#REF!</definedName>
    <definedName name="IQRAR81" hidden="1">"$AR$82"</definedName>
    <definedName name="IQRAS53" hidden="1">"$AS$54:$AS$61"</definedName>
    <definedName name="IQRAS81" hidden="1">"$AS$82"</definedName>
    <definedName name="IQRAT81" hidden="1">"$AT$82"</definedName>
    <definedName name="IQRAU120" hidden="1">"$AU$121:$AU$138"</definedName>
    <definedName name="IQRAU121" hidden="1">"$AU$122:$AU$156"</definedName>
    <definedName name="IQRAU122" hidden="1">"$AU$123:$AU$153"</definedName>
    <definedName name="IQRAU123" hidden="1">"$AU$124:$AU$154"</definedName>
    <definedName name="IQRAU124" hidden="1">"$AU$125:$AU$152"</definedName>
    <definedName name="IQRAU125" hidden="1">"$AU$126:$AU$151"</definedName>
    <definedName name="IQRAU126" hidden="1">"$AU$127:$AU$152"</definedName>
    <definedName name="IQRAU28" hidden="1">"$AU$29:$AU$48"</definedName>
    <definedName name="IQRAU6" hidden="1">"$AU$7:$AU$256"</definedName>
    <definedName name="IQRAU7" hidden="1">"$AU$8:$AU$267"</definedName>
    <definedName name="IQRAU81" hidden="1">"$AU$82"</definedName>
    <definedName name="IQRAV124" hidden="1">"$AV$125:$AV$149"</definedName>
    <definedName name="IQRAV27" hidden="1">"$AV$28:$AV$89"</definedName>
    <definedName name="IQRAV28" hidden="1">"$AV$29:$AV$90"</definedName>
    <definedName name="IQRAV53" hidden="1">"$AV$54:$AV$118"</definedName>
    <definedName name="IQRAV8" hidden="1">#REF!</definedName>
    <definedName name="IQRAV81" hidden="1">"$AV$82"</definedName>
    <definedName name="IQRAW128" hidden="1">"$AW$129:$AW$141"</definedName>
    <definedName name="IQRAW129" hidden="1">"$AW$130:$AW$153"</definedName>
    <definedName name="IQRAW130" hidden="1">"$AW$131:$AW$156"</definedName>
    <definedName name="IQRAW53" hidden="1">"$AW$54:$AW$66"</definedName>
    <definedName name="IQRAW81" hidden="1">"$AW$82"</definedName>
    <definedName name="IQRAX53" hidden="1">"$AX$54:$AX$182"</definedName>
    <definedName name="IQRAX81" hidden="1">"$AX$82"</definedName>
    <definedName name="IQRAY81" hidden="1">"$AY$82"</definedName>
    <definedName name="IQRAZ28" hidden="1">"$AZ$29:$AZ$90"</definedName>
    <definedName name="IQRAZ6" hidden="1">"$AZ$7:$AZ$256"</definedName>
    <definedName name="IQRAZ7" hidden="1">"$AZ$8:$AZ$257"</definedName>
    <definedName name="IQRAZ81" hidden="1">"$AZ$82"</definedName>
    <definedName name="IQRAZNH20" hidden="1">#REF!</definedName>
    <definedName name="IQRB10" hidden="1">"$B$11:$B$269"</definedName>
    <definedName name="IQRB11" hidden="1">#REF!</definedName>
    <definedName name="IQRB12" hidden="1">"$B$13:$B$33"</definedName>
    <definedName name="IQRB1273" hidden="1">"$B$1274"</definedName>
    <definedName name="IQRB13" hidden="1">#REF!</definedName>
    <definedName name="IQRB14" hidden="1">#REF!</definedName>
    <definedName name="IQRB15" hidden="1">"$B$16:$B$17"</definedName>
    <definedName name="IQRB16" hidden="1">#REF!</definedName>
    <definedName name="IQRB17" hidden="1">"$B$18:$B$22"</definedName>
    <definedName name="IQRB18" hidden="1">"$B$19:$B$23"</definedName>
    <definedName name="IQRB19" hidden="1">"$B$20:$B$24"</definedName>
    <definedName name="IQRB2" hidden="1">"$B$3:$B$118"</definedName>
    <definedName name="IQRB20" hidden="1">"$B$21:$B$25"</definedName>
    <definedName name="IQRB21" hidden="1">"$B$22:$B$26"</definedName>
    <definedName name="IQRB22" hidden="1">"$B$23:$B$27"</definedName>
    <definedName name="IQRB23" hidden="1">"$B$24:$B$28"</definedName>
    <definedName name="IQRB24" hidden="1">"$B$25:$B$29"</definedName>
    <definedName name="IQRB25" hidden="1">#REF!</definedName>
    <definedName name="IQRB26" hidden="1">#REF!</definedName>
    <definedName name="IQRB27" hidden="1">#REF!</definedName>
    <definedName name="IQRB28" hidden="1">#REF!</definedName>
    <definedName name="IQRB29" hidden="1">#REF!</definedName>
    <definedName name="IQRB3" hidden="1">"$B$4:$B$119"</definedName>
    <definedName name="IQRB30" hidden="1">#REF!</definedName>
    <definedName name="IQRB31" hidden="1">#REF!</definedName>
    <definedName name="IQRB32" hidden="1">"$B$33:$B$37"</definedName>
    <definedName name="IQRB33" hidden="1">"$B$34:$B$38"</definedName>
    <definedName name="IQRB34" hidden="1">"$B$35:$B$39"</definedName>
    <definedName name="IQRB35" hidden="1">#REF!</definedName>
    <definedName name="IQRB36" hidden="1">#REF!</definedName>
    <definedName name="IQRB38" hidden="1">"$B$39:$B$48"</definedName>
    <definedName name="IQRB39" hidden="1">"$B$40:$B$61"</definedName>
    <definedName name="IQRB4" hidden="1">"$B$5:$B$254"</definedName>
    <definedName name="IQRB400" hidden="1">"$B$401:$B$652"</definedName>
    <definedName name="IQRB402" hidden="1">"$B$403:$B$654"</definedName>
    <definedName name="IQRB403" hidden="1">"$B$404:$B$656"</definedName>
    <definedName name="IQRB405" hidden="1">"$B$406:$B$658"</definedName>
    <definedName name="IQRB406" hidden="1">"$B$407:$B$659"</definedName>
    <definedName name="IQRB413" hidden="1">"$B$414:$B$666"</definedName>
    <definedName name="IQRB415" hidden="1">"$B$416:$B$668"</definedName>
    <definedName name="IQRB417" hidden="1">"$B$418:$B$670"</definedName>
    <definedName name="IQRB419" hidden="1">"$B$420:$B$672"</definedName>
    <definedName name="IQRB434" hidden="1">"$B$435:$B$687"</definedName>
    <definedName name="IQRB439" hidden="1">"$B$440:$B$692"</definedName>
    <definedName name="IQRB441" hidden="1">"$B$442:$B$694"</definedName>
    <definedName name="IQRB442" hidden="1">"$B$443:$B$695"</definedName>
    <definedName name="IQRB443" hidden="1">"$B$444:$B$696"</definedName>
    <definedName name="IQRB444" hidden="1">"$B$445:$B$697"</definedName>
    <definedName name="IQRB448" hidden="1">"$B$449:$B$701"</definedName>
    <definedName name="IQRB449" hidden="1">"$B$450:$B$702"</definedName>
    <definedName name="IQRB450" hidden="1">"$B$451:$B$703"</definedName>
    <definedName name="IQRB48" hidden="1">#REF!</definedName>
    <definedName name="IQRB49" hidden="1">#REF!</definedName>
    <definedName name="IQRB5" hidden="1">"$B$6:$B$255"</definedName>
    <definedName name="IQRB50" hidden="1">#REF!</definedName>
    <definedName name="IQRB581" hidden="1">"$B$582:$B$834"</definedName>
    <definedName name="IQRB582" hidden="1">"$B$583:$B$835"</definedName>
    <definedName name="IQRB583" hidden="1">"$B$584:$B$836"</definedName>
    <definedName name="IQRB6" hidden="1">"$B$7:$B$2204"</definedName>
    <definedName name="IQRB7" hidden="1">"$B$8:$B$257"</definedName>
    <definedName name="IQRB8" hidden="1">#REF!</definedName>
    <definedName name="IQRB9" hidden="1">"$B$10"</definedName>
    <definedName name="IQRBA28" hidden="1">"$BA$29:$BA$90"</definedName>
    <definedName name="IQRBA4" hidden="1">"$BA$5:$BA$9"</definedName>
    <definedName name="IQRBA81" hidden="1">"$BA$82"</definedName>
    <definedName name="IQRBasicCAUsageB16" hidden="1">#REF!</definedName>
    <definedName name="IQRBasicCAUsageB63" hidden="1">#REF!</definedName>
    <definedName name="IQRBasicCAUsageC16" hidden="1">#REF!</definedName>
    <definedName name="IQRBasicCAUsageE16" hidden="1">#REF!</definedName>
    <definedName name="IQRBasicCAUsageE63" hidden="1">#REF!</definedName>
    <definedName name="IQRBasicCAUsageG63" hidden="1">#REF!</definedName>
    <definedName name="IQRBasicCAUsageH16" hidden="1">#REF!</definedName>
    <definedName name="IQRBasicCAUsageH63" hidden="1">#REF!</definedName>
    <definedName name="IQRBB28" hidden="1">"$BB$29:$BB$90"</definedName>
    <definedName name="IQRBB4" hidden="1">"$BB$5:$BB$9"</definedName>
    <definedName name="IQRBB81" hidden="1">"$BB$82"</definedName>
    <definedName name="IQRBC28" hidden="1">"$BC$29:$BC$90"</definedName>
    <definedName name="IQRBC81" hidden="1">"$BC$82"</definedName>
    <definedName name="IQRBD28" hidden="1">"$BD$29:$BD$90"</definedName>
    <definedName name="IQRBD81" hidden="1">"$BD$82"</definedName>
    <definedName name="IQRBE81" hidden="1">"$BE$82"</definedName>
    <definedName name="IQRBetaCalculation5ymonthlyAF11" hidden="1">#REF!</definedName>
    <definedName name="IQRBetaCalculation5ymonthlyAP11" hidden="1">#REF!</definedName>
    <definedName name="IQRBetaCalculation5ymonthlyAZ11" hidden="1">#REF!</definedName>
    <definedName name="IQRBetaCalculation5ymonthlyBJ11" hidden="1">#REF!</definedName>
    <definedName name="IQRBetaCalculation5ymonthlyL11" hidden="1">#REF!</definedName>
    <definedName name="IQRBetaCalculation5ymonthlyV11" hidden="1">#REF!</definedName>
    <definedName name="IQRBetaCalculation5yweeklyAF11" hidden="1">#REF!</definedName>
    <definedName name="IQRBetaCalculation5yweeklyAP11" hidden="1">#REF!</definedName>
    <definedName name="IQRBetaCalculation5yweeklyAZ11" hidden="1">#REF!</definedName>
    <definedName name="IQRBetaCalculation5yweeklyBJ11" hidden="1">#REF!</definedName>
    <definedName name="IQRBetaCalculation5yweeklyL11" hidden="1">#REF!</definedName>
    <definedName name="IQRBetaCalculation5yweeklyV11" hidden="1">#REF!</definedName>
    <definedName name="IQRBetaCalculationAH20" hidden="1">#REF!</definedName>
    <definedName name="IQRBetaCalculationAP20" hidden="1">#REF!</definedName>
    <definedName name="IQRBetaCalculationAX20" hidden="1">#REF!</definedName>
    <definedName name="IQRBetaCalculationBF20" hidden="1">#REF!</definedName>
    <definedName name="IQRBetaCalculationZ20" hidden="1">#REF!</definedName>
    <definedName name="IQRBetaDATASHEETB17" hidden="1">#REF!</definedName>
    <definedName name="IQRBF49" hidden="1">"$BF$50:$BF$302"</definedName>
    <definedName name="IQRBF81" hidden="1">"$BF$82"</definedName>
    <definedName name="IQRBG81" hidden="1">"$BG$82"</definedName>
    <definedName name="IQRBH81" hidden="1">"$BH$82"</definedName>
    <definedName name="IQRBI81" hidden="1">"$BI$82"</definedName>
    <definedName name="IQRBJ81" hidden="1">"$BJ$82"</definedName>
    <definedName name="IQRBK81" hidden="1">"$BK$82"</definedName>
    <definedName name="IQRBL81" hidden="1">"$BL$82"</definedName>
    <definedName name="IQRBM81" hidden="1">"$BM$82"</definedName>
    <definedName name="IQRBMYH20" hidden="1">#REF!</definedName>
    <definedName name="IQRBN81" hidden="1">"$BN$82"</definedName>
    <definedName name="IQRBO81" hidden="1">"$BO$82"</definedName>
    <definedName name="IQRBoardB6" hidden="1">#REF!</definedName>
    <definedName name="IQRBP81" hidden="1">"$BP$82"</definedName>
    <definedName name="IQRC10" hidden="1">"$C$11:$C$863"</definedName>
    <definedName name="IQRC11" hidden="1">"$C$12:$C$864"</definedName>
    <definedName name="IQRC12" hidden="1">"$C$13:$C$865"</definedName>
    <definedName name="IQRC13" hidden="1">"$C$14:$C$866"</definedName>
    <definedName name="IQRC14" hidden="1">"$C$15:$C$867"</definedName>
    <definedName name="IQRC15" hidden="1">"$C$16:$C$20"</definedName>
    <definedName name="IQRC16" hidden="1">"$C$17:$C$869"</definedName>
    <definedName name="IQRC17" hidden="1">"$C$18:$C$870"</definedName>
    <definedName name="IQRC18" hidden="1">"$C$19:$C$871"</definedName>
    <definedName name="IQRC19" hidden="1">"$C$20:$C$872"</definedName>
    <definedName name="IQRC2" hidden="1">"$C$3:$C$13"</definedName>
    <definedName name="IQRC20" hidden="1">"$C$21:$C$873"</definedName>
    <definedName name="IQRC21" hidden="1">"$C$22:$C$874"</definedName>
    <definedName name="IQRC22" hidden="1">"$C$23:$C$875"</definedName>
    <definedName name="IQRC23" hidden="1">"$C$24:$C$876"</definedName>
    <definedName name="IQRC24" hidden="1">"$C$25:$C$29"</definedName>
    <definedName name="IQRC25" hidden="1">"$C$26:$C$878"</definedName>
    <definedName name="IQRC26" hidden="1">"$C$27:$C$879"</definedName>
    <definedName name="IQRC27" hidden="1">"$C$28:$C$880"</definedName>
    <definedName name="IQRC28" hidden="1">"$C$29:$C$881"</definedName>
    <definedName name="IQRC29" hidden="1">"$C$30:$C$882"</definedName>
    <definedName name="IQRC3" hidden="1">"$C$4:$C$253"</definedName>
    <definedName name="IQRC30" hidden="1">"$C$31:$C$883"</definedName>
    <definedName name="IQRC31" hidden="1">"$C$32:$C$884"</definedName>
    <definedName name="IQRC32" hidden="1">"$C$33:$C$885"</definedName>
    <definedName name="IQRC33" hidden="1">"$C$34:$C$886"</definedName>
    <definedName name="IQRC34" hidden="1">"$C$35:$C$887"</definedName>
    <definedName name="IQRC35" hidden="1">"$C$36:$C$888"</definedName>
    <definedName name="IQRC36" hidden="1">"$C$37:$C$889"</definedName>
    <definedName name="IQRC37" hidden="1">"$C$38:$C$890"</definedName>
    <definedName name="IQRC38" hidden="1">"$C$39:$C$891"</definedName>
    <definedName name="IQRC39" hidden="1">"$C$40:$C$83"</definedName>
    <definedName name="IQRC4" hidden="1">"$C$5:$C$254"</definedName>
    <definedName name="IQRC40" hidden="1">"$C$41:$C$893"</definedName>
    <definedName name="IQRC42" hidden="1">"$C$43:$C$895"</definedName>
    <definedName name="IQRC44" hidden="1">"$C$45:$C$897"</definedName>
    <definedName name="IQRC5" hidden="1">"$C$6:$C$255"</definedName>
    <definedName name="IQRC50" hidden="1">#REF!</definedName>
    <definedName name="IQRC6" hidden="1">"$C$7:$C$21"</definedName>
    <definedName name="IQRC7" hidden="1">"$C$8:$C$860"</definedName>
    <definedName name="IQRC8" hidden="1">"$C$9:$C$19"</definedName>
    <definedName name="IQRC9" hidden="1">"$C$10:$C$862"</definedName>
    <definedName name="IQRCDS2A9" hidden="1">#REF!</definedName>
    <definedName name="IQRChartsAG53" hidden="1">#REF!</definedName>
    <definedName name="IQRChartsAJ53" hidden="1">#REF!</definedName>
    <definedName name="IQRChartsAM53" hidden="1">#REF!</definedName>
    <definedName name="IQRChartsAX53" hidden="1">#REF!</definedName>
    <definedName name="IQRCIQPricedataHF29" hidden="1">#REF!</definedName>
    <definedName name="IQRCIQPricedataHS29" hidden="1">#REF!</definedName>
    <definedName name="IQRCompany_Tear_SheetG19" hidden="1">#REF!</definedName>
    <definedName name="IQRCompany_Tear_SheetG20" hidden="1">#REF!</definedName>
    <definedName name="IQRCompany_Tear_SheetG21" hidden="1">#REF!</definedName>
    <definedName name="IQRCompany_Tear_SheetH20" hidden="1">#REF!</definedName>
    <definedName name="IQRCompsAC5" hidden="1">#REF!</definedName>
    <definedName name="IQRContractsD4" hidden="1">#REF!</definedName>
    <definedName name="IQRContractsT39" hidden="1">#REF!</definedName>
    <definedName name="IQRCorporateYieldCurvesAS73" hidden="1">#REF!</definedName>
    <definedName name="IQRCreditAnalyticsScoringAA34" hidden="1">#REF!</definedName>
    <definedName name="IQRCreditAnalyticsScoringAB34" hidden="1">#REF!</definedName>
    <definedName name="IQRCreditAnalyticsScoringAI34" hidden="1">#REF!</definedName>
    <definedName name="IQRCreditAnalyticsScoringAL34" hidden="1">#REF!</definedName>
    <definedName name="IQRCreditAnalyticsScoringAN34" hidden="1">#REF!</definedName>
    <definedName name="IQRCreditAnalyticsScoringAO34" hidden="1">#REF!</definedName>
    <definedName name="IQRCreditAnalyticsScoringAQ34" hidden="1">#REF!</definedName>
    <definedName name="IQRCreditAnalyticsScoringAV34" hidden="1">#REF!</definedName>
    <definedName name="IQRCreditAnalyticsScoringBC34" hidden="1">#REF!</definedName>
    <definedName name="IQRCreditAnalyticsScoringBF33" hidden="1">#REF!</definedName>
    <definedName name="IQRCreditAnalyticsScoringBG33" hidden="1">#REF!</definedName>
    <definedName name="IQRCreditAnalyticsScoringBW34" hidden="1">#REF!</definedName>
    <definedName name="IQRCreditAnalyticsScoringBX34" hidden="1">#REF!</definedName>
    <definedName name="IQRCreditAnalyticsScoringCK34" hidden="1">#REF!</definedName>
    <definedName name="IQRCreditAnalyticsScoringCL34" hidden="1">#REF!</definedName>
    <definedName name="IQRCreditspreadAA23" hidden="1">#REF!</definedName>
    <definedName name="IQRCreditspreadAB23" hidden="1">#REF!</definedName>
    <definedName name="IQRCreditspreadAC23" hidden="1">#REF!</definedName>
    <definedName name="IQRCreditspreadAD23" hidden="1">#REF!</definedName>
    <definedName name="IQRCreditspreadAE23" hidden="1">#REF!</definedName>
    <definedName name="IQRCreditspreadAF23" hidden="1">#REF!</definedName>
    <definedName name="IQRCreditspreadAG23" hidden="1">#REF!</definedName>
    <definedName name="IQRCreditspreadAW23" hidden="1">#REF!</definedName>
    <definedName name="IQRCreditspreadAX23" hidden="1">#REF!</definedName>
    <definedName name="IQRCreditspreadAY23" hidden="1">#REF!</definedName>
    <definedName name="IQRCreditspreadAZ23" hidden="1">#REF!</definedName>
    <definedName name="IQRCreditspreadBA23" hidden="1">#REF!</definedName>
    <definedName name="IQRCreditspreadBB23" hidden="1">#REF!</definedName>
    <definedName name="IQRCreditspreadBC23" hidden="1">#REF!</definedName>
    <definedName name="IQRCreditspreadBD23" hidden="1">#REF!</definedName>
    <definedName name="IQRCreditspreadBE23" hidden="1">#REF!</definedName>
    <definedName name="IQRCreditspreadBetaAA23" hidden="1">#REF!</definedName>
    <definedName name="IQRCreditspreadBetaAB23" hidden="1">#REF!</definedName>
    <definedName name="IQRCreditspreadBetaAC23" hidden="1">#REF!</definedName>
    <definedName name="IQRCreditspreadBetaAD23" hidden="1">#REF!</definedName>
    <definedName name="IQRCreditspreadBetaAE23" hidden="1">#REF!</definedName>
    <definedName name="IQRCreditspreadBetaAF23" hidden="1">#REF!</definedName>
    <definedName name="IQRCreditspreadBetaAG23" hidden="1">#REF!</definedName>
    <definedName name="IQRCreditspreadBetaAH23" hidden="1">#REF!</definedName>
    <definedName name="IQRCreditspreadBetaAW23" hidden="1">#REF!</definedName>
    <definedName name="IQRCreditspreadBetaAX23" hidden="1">#REF!</definedName>
    <definedName name="IQRCreditspreadBetaAY23" hidden="1">#REF!</definedName>
    <definedName name="IQRCreditspreadBetaAZ23" hidden="1">#REF!</definedName>
    <definedName name="IQRCreditspreadBetaBA23" hidden="1">#REF!</definedName>
    <definedName name="IQRCreditspreadBetaBB23" hidden="1">#REF!</definedName>
    <definedName name="IQRCreditspreadBetaBC23" hidden="1">#REF!</definedName>
    <definedName name="IQRCreditspreadBetaBD23" hidden="1">#REF!</definedName>
    <definedName name="IQRCreditspreadBetaBE23" hidden="1">#REF!</definedName>
    <definedName name="IQRCreditspreadBetaBF23" hidden="1">#REF!</definedName>
    <definedName name="IQRCreditspreadBetaBG23" hidden="1">#REF!</definedName>
    <definedName name="IQRCreditspreadBetaBH23" hidden="1">#REF!</definedName>
    <definedName name="IQRCreditspreadBetaBI23" hidden="1">#REF!</definedName>
    <definedName name="IQRCreditspreadBetaBJ23" hidden="1">#REF!</definedName>
    <definedName name="IQRCreditspreadBetaBK23" hidden="1">#REF!</definedName>
    <definedName name="IQRCreditspreadBetaBL23" hidden="1">#REF!</definedName>
    <definedName name="IQRCreditspreadBetaBM23" hidden="1">#REF!</definedName>
    <definedName name="IQRCreditspreadBetaBN23" hidden="1">#REF!</definedName>
    <definedName name="IQRCreditspreadBetaBO23" hidden="1">#REF!</definedName>
    <definedName name="IQRCreditspreadBetaBP23" hidden="1">#REF!</definedName>
    <definedName name="IQRCreditspreadBetaBQ23" hidden="1">#REF!</definedName>
    <definedName name="IQRCreditspreadBetaCF23" hidden="1">#REF!</definedName>
    <definedName name="IQRCreditspreadBetaCG23" hidden="1">#REF!</definedName>
    <definedName name="IQRCreditspreadBetaCH23" hidden="1">#REF!</definedName>
    <definedName name="IQRCreditspreadBetaCI23" hidden="1">#REF!</definedName>
    <definedName name="IQRCreditspreadBetaCJ23" hidden="1">#REF!</definedName>
    <definedName name="IQRCreditspreadBetaCK23" hidden="1">#REF!</definedName>
    <definedName name="IQRCreditspreadBetaCL23" hidden="1">#REF!</definedName>
    <definedName name="IQRCreditspreadBetaCM23" hidden="1">#REF!</definedName>
    <definedName name="IQRCreditspreadBetaCN23" hidden="1">#REF!</definedName>
    <definedName name="IQRCreditspreadBetaCO23" hidden="1">#REF!</definedName>
    <definedName name="IQRCreditspreadBetaCP23" hidden="1">#REF!</definedName>
    <definedName name="IQRCreditspreadBetaCQ23" hidden="1">#REF!</definedName>
    <definedName name="IQRCreditspreadBetaCR23" hidden="1">#REF!</definedName>
    <definedName name="IQRCreditspreadBetaCS23" hidden="1">#REF!</definedName>
    <definedName name="IQRCreditspreadBetaCT23" hidden="1">#REF!</definedName>
    <definedName name="IQRCreditspreadBetaCU23" hidden="1">#REF!</definedName>
    <definedName name="IQRCreditspreadBetaCV23" hidden="1">#REF!</definedName>
    <definedName name="IQRCreditspreadBetaCW23" hidden="1">#REF!</definedName>
    <definedName name="IQRCreditspreadBetaCX23" hidden="1">#REF!</definedName>
    <definedName name="IQRCreditspreadBetaCY23" hidden="1">#REF!</definedName>
    <definedName name="IQRCreditspreadBetaCZ23" hidden="1">#REF!</definedName>
    <definedName name="IQRCreditspreadBetaDO23" hidden="1">#REF!</definedName>
    <definedName name="IQRCreditspreadBetaDP23" hidden="1">#REF!</definedName>
    <definedName name="IQRCreditspreadBetaDQ23" hidden="1">#REF!</definedName>
    <definedName name="IQRCreditspreadBetaDR23" hidden="1">#REF!</definedName>
    <definedName name="IQRCreditspreadBetaDS23" hidden="1">#REF!</definedName>
    <definedName name="IQRCreditspreadBetaDT23" hidden="1">#REF!</definedName>
    <definedName name="IQRCreditspreadBetaDU23" hidden="1">#REF!</definedName>
    <definedName name="IQRCreditspreadBetaDV23" hidden="1">#REF!</definedName>
    <definedName name="IQRCreditspreadBetaDW23" hidden="1">#REF!</definedName>
    <definedName name="IQRCreditspreadBetaDX23" hidden="1">#REF!</definedName>
    <definedName name="IQRCreditspreadBetaDY23" hidden="1">#REF!</definedName>
    <definedName name="IQRCreditspreadBetaDZ23" hidden="1">#REF!</definedName>
    <definedName name="IQRCreditspreadBetaEA23" hidden="1">#REF!</definedName>
    <definedName name="IQRCreditspreadBetaEB23" hidden="1">#REF!</definedName>
    <definedName name="IQRCreditspreadBetaEC23" hidden="1">#REF!</definedName>
    <definedName name="IQRCreditspreadBetaED23" hidden="1">#REF!</definedName>
    <definedName name="IQRCreditspreadBetaEE23" hidden="1">#REF!</definedName>
    <definedName name="IQRCreditspreadBetaEF23" hidden="1">#REF!</definedName>
    <definedName name="IQRCreditspreadBetaEG23" hidden="1">#REF!</definedName>
    <definedName name="IQRCreditspreadBetaEH23" hidden="1">#REF!</definedName>
    <definedName name="IQRCreditspreadBetaEI23" hidden="1">#REF!</definedName>
    <definedName name="IQRCreditspreadBetaEX23" hidden="1">#REF!</definedName>
    <definedName name="IQRCreditspreadBetaEY23" hidden="1">#REF!</definedName>
    <definedName name="IQRCreditspreadBetaEZ23" hidden="1">#REF!</definedName>
    <definedName name="IQRCreditspreadBetaFA23" hidden="1">#REF!</definedName>
    <definedName name="IQRCreditspreadBetaFB23" hidden="1">#REF!</definedName>
    <definedName name="IQRCreditspreadBetaFC23" hidden="1">#REF!</definedName>
    <definedName name="IQRCreditspreadBetaFD23" hidden="1">#REF!</definedName>
    <definedName name="IQRCreditspreadBetaFE23" hidden="1">#REF!</definedName>
    <definedName name="IQRCreditspreadBetaFF23" hidden="1">#REF!</definedName>
    <definedName name="IQRCreditspreadBetaFG23" hidden="1">#REF!</definedName>
    <definedName name="IQRCreditspreadBetaFH23" hidden="1">#REF!</definedName>
    <definedName name="IQRCreditspreadBetaFI23" hidden="1">#REF!</definedName>
    <definedName name="IQRCreditspreadBetaFJ23" hidden="1">#REF!</definedName>
    <definedName name="IQRCreditspreadBetaFK23" hidden="1">#REF!</definedName>
    <definedName name="IQRCreditspreadBetaFL23" hidden="1">#REF!</definedName>
    <definedName name="IQRCreditspreadBetaFM23" hidden="1">#REF!</definedName>
    <definedName name="IQRCreditspreadBetaFN23" hidden="1">#REF!</definedName>
    <definedName name="IQRCreditspreadBetaFO23" hidden="1">#REF!</definedName>
    <definedName name="IQRCreditspreadBetaFP23" hidden="1">#REF!</definedName>
    <definedName name="IQRCreditspreadBetaFQ23" hidden="1">#REF!</definedName>
    <definedName name="IQRCreditspreadBetaFR23" hidden="1">#REF!</definedName>
    <definedName name="IQRCreditspreadBetaGG23" hidden="1">#REF!</definedName>
    <definedName name="IQRCreditspreadBetaGH23" hidden="1">#REF!</definedName>
    <definedName name="IQRCreditspreadBetaGI23" hidden="1">#REF!</definedName>
    <definedName name="IQRCreditspreadBetaGJ23" hidden="1">#REF!</definedName>
    <definedName name="IQRCreditspreadBetaGK23" hidden="1">#REF!</definedName>
    <definedName name="IQRCreditspreadBetaGL23" hidden="1">#REF!</definedName>
    <definedName name="IQRCreditspreadBetaGM23" hidden="1">#REF!</definedName>
    <definedName name="IQRCreditspreadBetaGN23" hidden="1">#REF!</definedName>
    <definedName name="IQRCreditspreadBetaGO23" hidden="1">#REF!</definedName>
    <definedName name="IQRCreditspreadBetaGP23" hidden="1">#REF!</definedName>
    <definedName name="IQRCreditspreadBetaGQ23" hidden="1">#REF!</definedName>
    <definedName name="IQRCreditspreadBetaGR23" hidden="1">#REF!</definedName>
    <definedName name="IQRCreditspreadBetaGS23" hidden="1">#REF!</definedName>
    <definedName name="IQRCreditspreadBetaGT23" hidden="1">#REF!</definedName>
    <definedName name="IQRCreditspreadBetaGU23" hidden="1">#REF!</definedName>
    <definedName name="IQRCreditspreadBetaGV23" hidden="1">#REF!</definedName>
    <definedName name="IQRCreditspreadBetaGW23" hidden="1">#REF!</definedName>
    <definedName name="IQRCreditspreadBetaGX23" hidden="1">#REF!</definedName>
    <definedName name="IQRCreditspreadBetaGY23" hidden="1">#REF!</definedName>
    <definedName name="IQRCreditspreadBetaGZ23" hidden="1">#REF!</definedName>
    <definedName name="IQRCreditspreadBetaHA23" hidden="1">#REF!</definedName>
    <definedName name="IQRCreditspreadBetaHP23" hidden="1">#REF!</definedName>
    <definedName name="IQRCreditspreadBetaHQ23" hidden="1">#REF!</definedName>
    <definedName name="IQRCreditspreadBetaHR23" hidden="1">#REF!</definedName>
    <definedName name="IQRCreditspreadBetaHS23" hidden="1">#REF!</definedName>
    <definedName name="IQRCreditspreadBetaHT23" hidden="1">#REF!</definedName>
    <definedName name="IQRCreditspreadBetaHU23" hidden="1">#REF!</definedName>
    <definedName name="IQRCreditspreadBetaHV23" hidden="1">#REF!</definedName>
    <definedName name="IQRCreditspreadBetaHW23" hidden="1">#REF!</definedName>
    <definedName name="IQRCreditspreadBetaHX23" hidden="1">#REF!</definedName>
    <definedName name="IQRCreditspreadBetaHY23" hidden="1">#REF!</definedName>
    <definedName name="IQRCreditspreadBetaHZ23" hidden="1">#REF!</definedName>
    <definedName name="IQRCreditspreadBetaIA23" hidden="1">#REF!</definedName>
    <definedName name="IQRCreditspreadBetaIB23" hidden="1">#REF!</definedName>
    <definedName name="IQRCreditspreadBetaIC23" hidden="1">#REF!</definedName>
    <definedName name="IQRCreditspreadBetaID23" hidden="1">#REF!</definedName>
    <definedName name="IQRCreditspreadBetaIE23" hidden="1">#REF!</definedName>
    <definedName name="IQRCreditspreadBetaIF23" hidden="1">#REF!</definedName>
    <definedName name="IQRCreditspreadBetaIG23" hidden="1">#REF!</definedName>
    <definedName name="IQRCreditspreadBetaIH23" hidden="1">#REF!</definedName>
    <definedName name="IQRCreditspreadBetaII23" hidden="1">#REF!</definedName>
    <definedName name="IQRCreditspreadBetaIJ23" hidden="1">#REF!</definedName>
    <definedName name="IQRCreditspreadBetaIR43" hidden="1">#REF!</definedName>
    <definedName name="IQRCreditspreadBetaIY23" hidden="1">#REF!</definedName>
    <definedName name="IQRCreditspreadBetaIZ23" hidden="1">#REF!</definedName>
    <definedName name="IQRCreditspreadBetaJA23" hidden="1">#REF!</definedName>
    <definedName name="IQRCreditspreadBetaJB23" hidden="1">#REF!</definedName>
    <definedName name="IQRCreditspreadBetaJC23" hidden="1">#REF!</definedName>
    <definedName name="IQRCreditspreadBetaJD23" hidden="1">#REF!</definedName>
    <definedName name="IQRCreditspreadBetaJE23" hidden="1">#REF!</definedName>
    <definedName name="IQRCreditspreadBetaJF23" hidden="1">#REF!</definedName>
    <definedName name="IQRCreditspreadBetaJG23" hidden="1">#REF!</definedName>
    <definedName name="IQRCreditspreadBetaJH23" hidden="1">#REF!</definedName>
    <definedName name="IQRCreditspreadBetaJI23" hidden="1">#REF!</definedName>
    <definedName name="IQRCreditspreadBetaJJ23" hidden="1">#REF!</definedName>
    <definedName name="IQRCreditspreadBetaJK23" hidden="1">#REF!</definedName>
    <definedName name="IQRCreditspreadBetaJL23" hidden="1">#REF!</definedName>
    <definedName name="IQRCreditspreadBetaJM23" hidden="1">#REF!</definedName>
    <definedName name="IQRCreditspreadBetaJN23" hidden="1">#REF!</definedName>
    <definedName name="IQRCreditspreadBetaJO23" hidden="1">#REF!</definedName>
    <definedName name="IQRCreditspreadBetaJP23" hidden="1">#REF!</definedName>
    <definedName name="IQRCreditspreadBetaJQ23" hidden="1">#REF!</definedName>
    <definedName name="IQRCreditspreadBetaJR23" hidden="1">#REF!</definedName>
    <definedName name="IQRCreditspreadBetaJS23" hidden="1">#REF!</definedName>
    <definedName name="IQRCreditspreadBetaKH23" hidden="1">#REF!</definedName>
    <definedName name="IQRCreditspreadBetaKI23" hidden="1">#REF!</definedName>
    <definedName name="IQRCreditspreadBetaKJ23" hidden="1">#REF!</definedName>
    <definedName name="IQRCreditspreadBetaKK23" hidden="1">#REF!</definedName>
    <definedName name="IQRCreditspreadBetaKL23" hidden="1">#REF!</definedName>
    <definedName name="IQRCreditspreadBetaKM23" hidden="1">#REF!</definedName>
    <definedName name="IQRCreditspreadBetaKN23" hidden="1">#REF!</definedName>
    <definedName name="IQRCreditspreadBetaKO23" hidden="1">#REF!</definedName>
    <definedName name="IQRCreditspreadBetaKP23" hidden="1">#REF!</definedName>
    <definedName name="IQRCreditspreadBetaKQ23" hidden="1">#REF!</definedName>
    <definedName name="IQRCreditspreadBetaKR23" hidden="1">#REF!</definedName>
    <definedName name="IQRCreditspreadBetaKS23" hidden="1">#REF!</definedName>
    <definedName name="IQRCreditspreadBetaKT23" hidden="1">#REF!</definedName>
    <definedName name="IQRCreditspreadBetaKU23" hidden="1">#REF!</definedName>
    <definedName name="IQRCreditspreadBetaKV23" hidden="1">#REF!</definedName>
    <definedName name="IQRCreditspreadBetaKW23" hidden="1">#REF!</definedName>
    <definedName name="IQRCreditspreadBetaKX23" hidden="1">#REF!</definedName>
    <definedName name="IQRCreditspreadBetaKY23" hidden="1">#REF!</definedName>
    <definedName name="IQRCreditspreadBetaKZ23" hidden="1">#REF!</definedName>
    <definedName name="IQRCreditspreadBetaLA23" hidden="1">#REF!</definedName>
    <definedName name="IQRCreditspreadBetaLB23" hidden="1">#REF!</definedName>
    <definedName name="IQRCreditspreadBetaLQ23" hidden="1">#REF!</definedName>
    <definedName name="IQRCreditspreadBetaLR23" hidden="1">#REF!</definedName>
    <definedName name="IQRCreditspreadBetaLS23" hidden="1">#REF!</definedName>
    <definedName name="IQRCreditspreadBetaLT23" hidden="1">#REF!</definedName>
    <definedName name="IQRCreditspreadBetaLU23" hidden="1">#REF!</definedName>
    <definedName name="IQRCreditspreadBetaLV23" hidden="1">#REF!</definedName>
    <definedName name="IQRCreditspreadBetaLW23" hidden="1">#REF!</definedName>
    <definedName name="IQRCreditspreadBetaLX23" hidden="1">#REF!</definedName>
    <definedName name="IQRCreditspreadBetaLY23" hidden="1">#REF!</definedName>
    <definedName name="IQRCreditspreadBetaLZ23" hidden="1">#REF!</definedName>
    <definedName name="IQRCreditspreadBetaMA23" hidden="1">#REF!</definedName>
    <definedName name="IQRCreditspreadBetaMB23" hidden="1">#REF!</definedName>
    <definedName name="IQRCreditspreadBetaMC23" hidden="1">#REF!</definedName>
    <definedName name="IQRCreditspreadBetaMD23" hidden="1">#REF!</definedName>
    <definedName name="IQRCreditspreadBetaME23" hidden="1">#REF!</definedName>
    <definedName name="IQRCreditspreadBetaMF23" hidden="1">#REF!</definedName>
    <definedName name="IQRCreditspreadBetaMG23" hidden="1">#REF!</definedName>
    <definedName name="IQRCreditspreadBetaMH23" hidden="1">#REF!</definedName>
    <definedName name="IQRCreditspreadBetaMI23" hidden="1">#REF!</definedName>
    <definedName name="IQRCreditspreadBetaMJ23" hidden="1">#REF!</definedName>
    <definedName name="IQRCreditspreadBetaMK23" hidden="1">#REF!</definedName>
    <definedName name="IQRCreditspreadBetaMZ23" hidden="1">#REF!</definedName>
    <definedName name="IQRCreditspreadBetaN23" hidden="1">#REF!</definedName>
    <definedName name="IQRCreditspreadBetaNA23" hidden="1">#REF!</definedName>
    <definedName name="IQRCreditspreadBetaNB23" hidden="1">#REF!</definedName>
    <definedName name="IQRCreditspreadBetaNC23" hidden="1">#REF!</definedName>
    <definedName name="IQRCreditspreadBetaND23" hidden="1">#REF!</definedName>
    <definedName name="IQRCreditspreadBetaNE23" hidden="1">#REF!</definedName>
    <definedName name="IQRCreditspreadBetaNF23" hidden="1">#REF!</definedName>
    <definedName name="IQRCreditspreadBetaNG23" hidden="1">#REF!</definedName>
    <definedName name="IQRCreditspreadBetaNH23" hidden="1">#REF!</definedName>
    <definedName name="IQRCreditspreadBetaNI23" hidden="1">#REF!</definedName>
    <definedName name="IQRCreditspreadBetaNJ23" hidden="1">#REF!</definedName>
    <definedName name="IQRCreditspreadBetaNK23" hidden="1">#REF!</definedName>
    <definedName name="IQRCreditspreadBetaNL23" hidden="1">#REF!</definedName>
    <definedName name="IQRCreditspreadBetaNM23" hidden="1">#REF!</definedName>
    <definedName name="IQRCreditspreadBetaNN23" hidden="1">#REF!</definedName>
    <definedName name="IQRCreditspreadBetaNO23" hidden="1">#REF!</definedName>
    <definedName name="IQRCreditspreadBetaNP23" hidden="1">#REF!</definedName>
    <definedName name="IQRCreditspreadBetaNQ23" hidden="1">#REF!</definedName>
    <definedName name="IQRCreditspreadBetaNR23" hidden="1">#REF!</definedName>
    <definedName name="IQRCreditspreadBetaNS23" hidden="1">#REF!</definedName>
    <definedName name="IQRCreditspreadBetaNT23" hidden="1">#REF!</definedName>
    <definedName name="IQRCreditspreadBetaO23" hidden="1">#REF!</definedName>
    <definedName name="IQRCreditspreadBetaOI23" hidden="1">#REF!</definedName>
    <definedName name="IQRCreditspreadBetaOJ23" hidden="1">#REF!</definedName>
    <definedName name="IQRCreditspreadBetaOK23" hidden="1">#REF!</definedName>
    <definedName name="IQRCreditspreadBetaOL23" hidden="1">#REF!</definedName>
    <definedName name="IQRCreditspreadBetaOM23" hidden="1">#REF!</definedName>
    <definedName name="IQRCreditspreadBetaON23" hidden="1">#REF!</definedName>
    <definedName name="IQRCreditspreadBetaOO23" hidden="1">#REF!</definedName>
    <definedName name="IQRCreditspreadBetaOP23" hidden="1">#REF!</definedName>
    <definedName name="IQRCreditspreadBetaOQ23" hidden="1">#REF!</definedName>
    <definedName name="IQRCreditspreadBetaOR23" hidden="1">#REF!</definedName>
    <definedName name="IQRCreditspreadBetaOS23" hidden="1">#REF!</definedName>
    <definedName name="IQRCreditspreadBetaOT23" hidden="1">#REF!</definedName>
    <definedName name="IQRCreditspreadBetaOU23" hidden="1">#REF!</definedName>
    <definedName name="IQRCreditspreadBetaOV23" hidden="1">#REF!</definedName>
    <definedName name="IQRCreditspreadBetaOW23" hidden="1">#REF!</definedName>
    <definedName name="IQRCreditspreadBetaOX23" hidden="1">#REF!</definedName>
    <definedName name="IQRCreditspreadBetaOY23" hidden="1">#REF!</definedName>
    <definedName name="IQRCreditspreadBetaOZ23" hidden="1">#REF!</definedName>
    <definedName name="IQRCreditspreadBetaP23" hidden="1">#REF!</definedName>
    <definedName name="IQRCreditspreadBetaPA23" hidden="1">#REF!</definedName>
    <definedName name="IQRCreditspreadBetaPB23" hidden="1">#REF!</definedName>
    <definedName name="IQRCreditspreadBetaPC23" hidden="1">#REF!</definedName>
    <definedName name="IQRCreditspreadBetaPR23" hidden="1">#REF!</definedName>
    <definedName name="IQRCreditspreadBetaPS23" hidden="1">#REF!</definedName>
    <definedName name="IQRCreditspreadBetaPT23" hidden="1">#REF!</definedName>
    <definedName name="IQRCreditspreadBetaPU23" hidden="1">#REF!</definedName>
    <definedName name="IQRCreditspreadBetaPV23" hidden="1">#REF!</definedName>
    <definedName name="IQRCreditspreadBetaPW23" hidden="1">#REF!</definedName>
    <definedName name="IQRCreditspreadBetaPX23" hidden="1">#REF!</definedName>
    <definedName name="IQRCreditspreadBetaPY23" hidden="1">#REF!</definedName>
    <definedName name="IQRCreditspreadBetaPZ23" hidden="1">#REF!</definedName>
    <definedName name="IQRCreditspreadBetaQ23" hidden="1">#REF!</definedName>
    <definedName name="IQRCreditspreadBetaQA23" hidden="1">#REF!</definedName>
    <definedName name="IQRCreditspreadBetaQB23" hidden="1">#REF!</definedName>
    <definedName name="IQRCreditspreadBetaQC23" hidden="1">#REF!</definedName>
    <definedName name="IQRCreditspreadBetaQD23" hidden="1">#REF!</definedName>
    <definedName name="IQRCreditspreadBetaQE23" hidden="1">#REF!</definedName>
    <definedName name="IQRCreditspreadBetaQF23" hidden="1">#REF!</definedName>
    <definedName name="IQRCreditspreadBetaQG23" hidden="1">#REF!</definedName>
    <definedName name="IQRCreditspreadBetaQH23" hidden="1">#REF!</definedName>
    <definedName name="IQRCreditspreadBetaQI23" hidden="1">#REF!</definedName>
    <definedName name="IQRCreditspreadBetaQJ23" hidden="1">#REF!</definedName>
    <definedName name="IQRCreditspreadBetaQK23" hidden="1">#REF!</definedName>
    <definedName name="IQRCreditspreadBetaQL23" hidden="1">#REF!</definedName>
    <definedName name="IQRCreditspreadBetaR23" hidden="1">#REF!</definedName>
    <definedName name="IQRCreditspreadBetaRA23" hidden="1">#REF!</definedName>
    <definedName name="IQRCreditspreadBetaRB23" hidden="1">#REF!</definedName>
    <definedName name="IQRCreditspreadBetaRC23" hidden="1">#REF!</definedName>
    <definedName name="IQRCreditspreadBetaRD23" hidden="1">#REF!</definedName>
    <definedName name="IQRCreditspreadBetaRE23" hidden="1">#REF!</definedName>
    <definedName name="IQRCreditspreadBetaRF23" hidden="1">#REF!</definedName>
    <definedName name="IQRCreditspreadBetaRG23" hidden="1">#REF!</definedName>
    <definedName name="IQRCreditspreadBetaRH23" hidden="1">#REF!</definedName>
    <definedName name="IQRCreditspreadBetaRI23" hidden="1">#REF!</definedName>
    <definedName name="IQRCreditspreadBetaRJ23" hidden="1">#REF!</definedName>
    <definedName name="IQRCreditspreadBetaRK23" hidden="1">#REF!</definedName>
    <definedName name="IQRCreditspreadBetaRL23" hidden="1">#REF!</definedName>
    <definedName name="IQRCreditspreadBetaRM23" hidden="1">#REF!</definedName>
    <definedName name="IQRCreditspreadBetaRN23" hidden="1">#REF!</definedName>
    <definedName name="IQRCreditspreadBetaRO23" hidden="1">#REF!</definedName>
    <definedName name="IQRCreditspreadBetaRP23" hidden="1">#REF!</definedName>
    <definedName name="IQRCreditspreadBetaRQ23" hidden="1">#REF!</definedName>
    <definedName name="IQRCreditspreadBetaRR23" hidden="1">#REF!</definedName>
    <definedName name="IQRCreditspreadBetaRS23" hidden="1">#REF!</definedName>
    <definedName name="IQRCreditspreadBetaRT23" hidden="1">#REF!</definedName>
    <definedName name="IQRCreditspreadBetaRU23" hidden="1">#REF!</definedName>
    <definedName name="IQRCreditspreadBetaS23" hidden="1">#REF!</definedName>
    <definedName name="IQRCreditspreadBetaSJ23" hidden="1">#REF!</definedName>
    <definedName name="IQRCreditspreadBetaSK23" hidden="1">#REF!</definedName>
    <definedName name="IQRCreditspreadBetaSL23" hidden="1">#REF!</definedName>
    <definedName name="IQRCreditspreadBetaSM23" hidden="1">#REF!</definedName>
    <definedName name="IQRCreditspreadBetaSN23" hidden="1">#REF!</definedName>
    <definedName name="IQRCreditspreadBetaSO23" hidden="1">#REF!</definedName>
    <definedName name="IQRCreditspreadBetaSP23" hidden="1">#REF!</definedName>
    <definedName name="IQRCreditspreadBetaSQ23" hidden="1">#REF!</definedName>
    <definedName name="IQRCreditspreadBetaSR23" hidden="1">#REF!</definedName>
    <definedName name="IQRCreditspreadBetaSS23" hidden="1">#REF!</definedName>
    <definedName name="IQRCreditspreadBetaST23" hidden="1">#REF!</definedName>
    <definedName name="IQRCreditspreadBetaSU23" hidden="1">#REF!</definedName>
    <definedName name="IQRCreditspreadBetaSV23" hidden="1">#REF!</definedName>
    <definedName name="IQRCreditspreadBetaSW23" hidden="1">#REF!</definedName>
    <definedName name="IQRCreditspreadBetaSX23" hidden="1">#REF!</definedName>
    <definedName name="IQRCreditspreadBetaSY23" hidden="1">#REF!</definedName>
    <definedName name="IQRCreditspreadBetaSZ23" hidden="1">#REF!</definedName>
    <definedName name="IQRCreditspreadBetaT23" hidden="1">#REF!</definedName>
    <definedName name="IQRCreditspreadBetaTA23" hidden="1">#REF!</definedName>
    <definedName name="IQRCreditspreadBetaTB23" hidden="1">#REF!</definedName>
    <definedName name="IQRCreditspreadBetaTC23" hidden="1">#REF!</definedName>
    <definedName name="IQRCreditspreadBetaTD23" hidden="1">#REF!</definedName>
    <definedName name="IQRCreditspreadBetaTS23" hidden="1">#REF!</definedName>
    <definedName name="IQRCreditspreadBetaTT23" hidden="1">#REF!</definedName>
    <definedName name="IQRCreditspreadBetaTU23" hidden="1">#REF!</definedName>
    <definedName name="IQRCreditspreadBetaTV23" hidden="1">#REF!</definedName>
    <definedName name="IQRCreditspreadBetaTW23" hidden="1">#REF!</definedName>
    <definedName name="IQRCreditspreadBetaTX23" hidden="1">#REF!</definedName>
    <definedName name="IQRCreditspreadBetaTY23" hidden="1">#REF!</definedName>
    <definedName name="IQRCreditspreadBetaTZ23" hidden="1">#REF!</definedName>
    <definedName name="IQRCreditspreadBetaU23" hidden="1">#REF!</definedName>
    <definedName name="IQRCreditspreadBetaUA23" hidden="1">#REF!</definedName>
    <definedName name="IQRCreditspreadBetaUB23" hidden="1">#REF!</definedName>
    <definedName name="IQRCreditspreadBetaUC23" hidden="1">#REF!</definedName>
    <definedName name="IQRCreditspreadBetaUD23" hidden="1">#REF!</definedName>
    <definedName name="IQRCreditspreadBetaUE23" hidden="1">#REF!</definedName>
    <definedName name="IQRCreditspreadBetaUF23" hidden="1">#REF!</definedName>
    <definedName name="IQRCreditspreadBetaUG23" hidden="1">#REF!</definedName>
    <definedName name="IQRCreditspreadBetaUH23" hidden="1">#REF!</definedName>
    <definedName name="IQRCreditspreadBetaUI23" hidden="1">#REF!</definedName>
    <definedName name="IQRCreditspreadBetaUJ23" hidden="1">#REF!</definedName>
    <definedName name="IQRCreditspreadBetaUK23" hidden="1">#REF!</definedName>
    <definedName name="IQRCreditspreadBetaUL23" hidden="1">#REF!</definedName>
    <definedName name="IQRCreditspreadBetaUM23" hidden="1">#REF!</definedName>
    <definedName name="IQRCreditspreadBetaV23" hidden="1">#REF!</definedName>
    <definedName name="IQRCreditspreadBetaVB23" hidden="1">#REF!</definedName>
    <definedName name="IQRCreditspreadBetaVC23" hidden="1">#REF!</definedName>
    <definedName name="IQRCreditspreadBetaVD23" hidden="1">#REF!</definedName>
    <definedName name="IQRCreditspreadBetaVE23" hidden="1">#REF!</definedName>
    <definedName name="IQRCreditspreadBetaVF23" hidden="1">#REF!</definedName>
    <definedName name="IQRCreditspreadBetaVG23" hidden="1">#REF!</definedName>
    <definedName name="IQRCreditspreadBetaVH23" hidden="1">#REF!</definedName>
    <definedName name="IQRCreditspreadBetaVI23" hidden="1">#REF!</definedName>
    <definedName name="IQRCreditspreadBetaVJ23" hidden="1">#REF!</definedName>
    <definedName name="IQRCreditspreadBetaVK23" hidden="1">#REF!</definedName>
    <definedName name="IQRCreditspreadBetaVL23" hidden="1">#REF!</definedName>
    <definedName name="IQRCreditspreadBetaVM23" hidden="1">#REF!</definedName>
    <definedName name="IQRCreditspreadBetaVN23" hidden="1">#REF!</definedName>
    <definedName name="IQRCreditspreadBetaVO23" hidden="1">#REF!</definedName>
    <definedName name="IQRCreditspreadBetaVP23" hidden="1">#REF!</definedName>
    <definedName name="IQRCreditspreadBetaVQ23" hidden="1">#REF!</definedName>
    <definedName name="IQRCreditspreadBetaVR23" hidden="1">#REF!</definedName>
    <definedName name="IQRCreditspreadBetaVS23" hidden="1">#REF!</definedName>
    <definedName name="IQRCreditspreadBetaVT23" hidden="1">#REF!</definedName>
    <definedName name="IQRCreditspreadBetaVU23" hidden="1">#REF!</definedName>
    <definedName name="IQRCreditspreadBetaVV23" hidden="1">#REF!</definedName>
    <definedName name="IQRCreditspreadBetaW23" hidden="1">#REF!</definedName>
    <definedName name="IQRCreditspreadBetaWK23" hidden="1">#REF!</definedName>
    <definedName name="IQRCreditspreadBetaWL23" hidden="1">#REF!</definedName>
    <definedName name="IQRCreditspreadBetaWM23" hidden="1">#REF!</definedName>
    <definedName name="IQRCreditspreadBetaWN23" hidden="1">#REF!</definedName>
    <definedName name="IQRCreditspreadBetaWO23" hidden="1">#REF!</definedName>
    <definedName name="IQRCreditspreadBetaWP23" hidden="1">#REF!</definedName>
    <definedName name="IQRCreditspreadBetaWQ23" hidden="1">#REF!</definedName>
    <definedName name="IQRCreditspreadBetaWR23" hidden="1">#REF!</definedName>
    <definedName name="IQRCreditspreadBetaWS23" hidden="1">#REF!</definedName>
    <definedName name="IQRCreditspreadBetaWT23" hidden="1">#REF!</definedName>
    <definedName name="IQRCreditspreadBetaWU23" hidden="1">#REF!</definedName>
    <definedName name="IQRCreditspreadBetaWV23" hidden="1">#REF!</definedName>
    <definedName name="IQRCreditspreadBetaWW23" hidden="1">#REF!</definedName>
    <definedName name="IQRCreditspreadBetaWX23" hidden="1">#REF!</definedName>
    <definedName name="IQRCreditspreadBetaWY23" hidden="1">#REF!</definedName>
    <definedName name="IQRCreditspreadBetaWZ23" hidden="1">#REF!</definedName>
    <definedName name="IQRCreditspreadBetaX23" hidden="1">#REF!</definedName>
    <definedName name="IQRCreditspreadBetaXA23" hidden="1">#REF!</definedName>
    <definedName name="IQRCreditspreadBetaXB23" hidden="1">#REF!</definedName>
    <definedName name="IQRCreditspreadBetaXC23" hidden="1">#REF!</definedName>
    <definedName name="IQRCreditspreadBetaXD23" hidden="1">#REF!</definedName>
    <definedName name="IQRCreditspreadBetaXE23" hidden="1">#REF!</definedName>
    <definedName name="IQRCreditspreadBetaXT23" hidden="1">#REF!</definedName>
    <definedName name="IQRCreditspreadBetaXU23" hidden="1">#REF!</definedName>
    <definedName name="IQRCreditspreadBetaXV23" hidden="1">#REF!</definedName>
    <definedName name="IQRCreditspreadBetaXW23" hidden="1">#REF!</definedName>
    <definedName name="IQRCreditspreadBetaXX23" hidden="1">#REF!</definedName>
    <definedName name="IQRCreditspreadBetaXY23" hidden="1">#REF!</definedName>
    <definedName name="IQRCreditspreadBetaXZ23" hidden="1">#REF!</definedName>
    <definedName name="IQRCreditspreadBetaY23" hidden="1">#REF!</definedName>
    <definedName name="IQRCreditspreadBetaYA23" hidden="1">#REF!</definedName>
    <definedName name="IQRCreditspreadBetaYB23" hidden="1">#REF!</definedName>
    <definedName name="IQRCreditspreadBetaYC23" hidden="1">#REF!</definedName>
    <definedName name="IQRCreditspreadBetaYD23" hidden="1">#REF!</definedName>
    <definedName name="IQRCreditspreadBetaYE23" hidden="1">#REF!</definedName>
    <definedName name="IQRCreditspreadBetaYF23" hidden="1">#REF!</definedName>
    <definedName name="IQRCreditspreadBetaYG23" hidden="1">#REF!</definedName>
    <definedName name="IQRCreditspreadBetaYH23" hidden="1">#REF!</definedName>
    <definedName name="IQRCreditspreadBetaYI23" hidden="1">#REF!</definedName>
    <definedName name="IQRCreditspreadBetaYJ23" hidden="1">#REF!</definedName>
    <definedName name="IQRCreditspreadBetaYK23" hidden="1">#REF!</definedName>
    <definedName name="IQRCreditspreadBetaYL23" hidden="1">#REF!</definedName>
    <definedName name="IQRCreditspreadBetaYM23" hidden="1">#REF!</definedName>
    <definedName name="IQRCreditspreadBetaYN23" hidden="1">#REF!</definedName>
    <definedName name="IQRCreditspreadBetaZ23" hidden="1">#REF!</definedName>
    <definedName name="IQRCreditspreadBetaZC23" hidden="1">#REF!</definedName>
    <definedName name="IQRCreditspreadBetaZD23" hidden="1">#REF!</definedName>
    <definedName name="IQRCreditspreadBetaZE23" hidden="1">#REF!</definedName>
    <definedName name="IQRCreditspreadBetaZF23" hidden="1">#REF!</definedName>
    <definedName name="IQRCreditspreadBetaZG23" hidden="1">#REF!</definedName>
    <definedName name="IQRCreditspreadBetaZH23" hidden="1">#REF!</definedName>
    <definedName name="IQRCreditspreadBetaZI23" hidden="1">#REF!</definedName>
    <definedName name="IQRCreditspreadBetaZJ23" hidden="1">#REF!</definedName>
    <definedName name="IQRCreditspreadBetaZK23" hidden="1">#REF!</definedName>
    <definedName name="IQRCreditspreadBetaZL23" hidden="1">#REF!</definedName>
    <definedName name="IQRCreditspreadBetaZM23" hidden="1">#REF!</definedName>
    <definedName name="IQRCreditspreadBetaZN23" hidden="1">#REF!</definedName>
    <definedName name="IQRCreditspreadBetaZO23" hidden="1">#REF!</definedName>
    <definedName name="IQRCreditspreadBetaZP23" hidden="1">#REF!</definedName>
    <definedName name="IQRCreditspreadBetaZQ23" hidden="1">#REF!</definedName>
    <definedName name="IQRCreditspreadBetaZR23" hidden="1">#REF!</definedName>
    <definedName name="IQRCreditspreadBetaZS23" hidden="1">#REF!</definedName>
    <definedName name="IQRCreditspreadBetaZT23" hidden="1">#REF!</definedName>
    <definedName name="IQRCreditspreadBetaZU23" hidden="1">#REF!</definedName>
    <definedName name="IQRCreditspreadBetaZV23" hidden="1">#REF!</definedName>
    <definedName name="IQRCreditspreadBetaZW23" hidden="1">#REF!</definedName>
    <definedName name="IQRCreditspreadBF23" hidden="1">#REF!</definedName>
    <definedName name="IQRCreditspreadBG23" hidden="1">#REF!</definedName>
    <definedName name="IQRCreditspreadBH23" hidden="1">#REF!</definedName>
    <definedName name="IQRCreditspreadBI23" hidden="1">#REF!</definedName>
    <definedName name="IQRCreditspreadBJ23" hidden="1">#REF!</definedName>
    <definedName name="IQRCreditspreadBK23" hidden="1">#REF!</definedName>
    <definedName name="IQRCreditspreadBL23" hidden="1">#REF!</definedName>
    <definedName name="IQRCreditspreadBM23" hidden="1">#REF!</definedName>
    <definedName name="IQRCreditspreadBN23" hidden="1">#REF!</definedName>
    <definedName name="IQRCreditspreadBO23" hidden="1">#REF!</definedName>
    <definedName name="IQRCreditspreadBP23" hidden="1">#REF!</definedName>
    <definedName name="IQRCreditspreadCF23" hidden="1">#REF!</definedName>
    <definedName name="IQRCreditspreadCG23" hidden="1">#REF!</definedName>
    <definedName name="IQRCreditspreadCH23" hidden="1">#REF!</definedName>
    <definedName name="IQRCreditspreadCI23" hidden="1">#REF!</definedName>
    <definedName name="IQRCreditspreadCJ23" hidden="1">#REF!</definedName>
    <definedName name="IQRCreditspreadCK23" hidden="1">#REF!</definedName>
    <definedName name="IQRCreditspreadCL23" hidden="1">#REF!</definedName>
    <definedName name="IQRCreditspreadCM23" hidden="1">#REF!</definedName>
    <definedName name="IQRCreditspreadCN23" hidden="1">#REF!</definedName>
    <definedName name="IQRCreditspreadCO23" hidden="1">#REF!</definedName>
    <definedName name="IQRCreditspreadCP23" hidden="1">#REF!</definedName>
    <definedName name="IQRCreditspreadCQ23" hidden="1">#REF!</definedName>
    <definedName name="IQRCreditspreadCR23" hidden="1">#REF!</definedName>
    <definedName name="IQRCreditspreadCS23" hidden="1">#REF!</definedName>
    <definedName name="IQRCreditspreadCT23" hidden="1">#REF!</definedName>
    <definedName name="IQRCreditspreadCU23" hidden="1">#REF!</definedName>
    <definedName name="IQRCreditspreadCV23" hidden="1">#REF!</definedName>
    <definedName name="IQRCreditspreadCW23" hidden="1">#REF!</definedName>
    <definedName name="IQRCreditspreadCX23" hidden="1">#REF!</definedName>
    <definedName name="IQRCreditspreadCY23" hidden="1">#REF!</definedName>
    <definedName name="IQRCreditspreadDO23" hidden="1">#REF!</definedName>
    <definedName name="IQRCreditspreadDP23" hidden="1">#REF!</definedName>
    <definedName name="IQRCreditspreadDQ23" hidden="1">#REF!</definedName>
    <definedName name="IQRCreditspreadDR23" hidden="1">#REF!</definedName>
    <definedName name="IQRCreditspreadDS23" hidden="1">#REF!</definedName>
    <definedName name="IQRCreditspreadDT23" hidden="1">#REF!</definedName>
    <definedName name="IQRCreditspreadDU23" hidden="1">#REF!</definedName>
    <definedName name="IQRCreditspreadDV23" hidden="1">#REF!</definedName>
    <definedName name="IQRCreditspreadDW23" hidden="1">#REF!</definedName>
    <definedName name="IQRCreditspreadDX23" hidden="1">#REF!</definedName>
    <definedName name="IQRCreditspreadDY23" hidden="1">#REF!</definedName>
    <definedName name="IQRCreditspreadDZ23" hidden="1">#REF!</definedName>
    <definedName name="IQRCreditspreadEA23" hidden="1">#REF!</definedName>
    <definedName name="IQRCreditspreadEB23" hidden="1">#REF!</definedName>
    <definedName name="IQRCreditspreadEC23" hidden="1">#REF!</definedName>
    <definedName name="IQRCreditspreadED23" hidden="1">#REF!</definedName>
    <definedName name="IQRCreditspreadEE23" hidden="1">#REF!</definedName>
    <definedName name="IQRCreditspreadEF23" hidden="1">#REF!</definedName>
    <definedName name="IQRCreditspreadEG23" hidden="1">#REF!</definedName>
    <definedName name="IQRCreditspreadEH23" hidden="1">#REF!</definedName>
    <definedName name="IQRCreditspreadEX23" hidden="1">#REF!</definedName>
    <definedName name="IQRCreditspreadEY23" hidden="1">#REF!</definedName>
    <definedName name="IQRCreditspreadEZ23" hidden="1">#REF!</definedName>
    <definedName name="IQRCreditspreadFA23" hidden="1">#REF!</definedName>
    <definedName name="IQRCreditspreadFB23" hidden="1">#REF!</definedName>
    <definedName name="IQRCreditspreadFC23" hidden="1">#REF!</definedName>
    <definedName name="IQRCreditspreadFD23" hidden="1">#REF!</definedName>
    <definedName name="IQRCreditspreadFE23" hidden="1">#REF!</definedName>
    <definedName name="IQRCreditspreadFF23" hidden="1">#REF!</definedName>
    <definedName name="IQRCreditspreadFG23" hidden="1">#REF!</definedName>
    <definedName name="IQRCreditspreadFH23" hidden="1">#REF!</definedName>
    <definedName name="IQRCreditspreadFI23" hidden="1">#REF!</definedName>
    <definedName name="IQRCreditspreadFJ23" hidden="1">#REF!</definedName>
    <definedName name="IQRCreditspreadFK23" hidden="1">#REF!</definedName>
    <definedName name="IQRCreditspreadFL23" hidden="1">#REF!</definedName>
    <definedName name="IQRCreditspreadFM23" hidden="1">#REF!</definedName>
    <definedName name="IQRCreditspreadFN23" hidden="1">#REF!</definedName>
    <definedName name="IQRCreditspreadFO23" hidden="1">#REF!</definedName>
    <definedName name="IQRCreditspreadFP23" hidden="1">#REF!</definedName>
    <definedName name="IQRCreditspreadFQ23" hidden="1">#REF!</definedName>
    <definedName name="IQRCreditspreadGG23" hidden="1">#REF!</definedName>
    <definedName name="IQRCreditspreadGH23" hidden="1">#REF!</definedName>
    <definedName name="IQRCreditspreadGI23" hidden="1">#REF!</definedName>
    <definedName name="IQRCreditspreadGJ23" hidden="1">#REF!</definedName>
    <definedName name="IQRCreditspreadGK23" hidden="1">#REF!</definedName>
    <definedName name="IQRCreditspreadGL23" hidden="1">#REF!</definedName>
    <definedName name="IQRCreditspreadGM23" hidden="1">#REF!</definedName>
    <definedName name="IQRCreditspreadGN23" hidden="1">#REF!</definedName>
    <definedName name="IQRCreditspreadGO23" hidden="1">#REF!</definedName>
    <definedName name="IQRCreditspreadGP23" hidden="1">#REF!</definedName>
    <definedName name="IQRCreditspreadGQ23" hidden="1">#REF!</definedName>
    <definedName name="IQRCreditspreadGR23" hidden="1">#REF!</definedName>
    <definedName name="IQRCreditspreadGS23" hidden="1">#REF!</definedName>
    <definedName name="IQRCreditspreadGT23" hidden="1">#REF!</definedName>
    <definedName name="IQRCreditspreadGU23" hidden="1">#REF!</definedName>
    <definedName name="IQRCreditspreadGV23" hidden="1">#REF!</definedName>
    <definedName name="IQRCreditspreadGW23" hidden="1">#REF!</definedName>
    <definedName name="IQRCreditspreadGX23" hidden="1">#REF!</definedName>
    <definedName name="IQRCreditspreadGY23" hidden="1">#REF!</definedName>
    <definedName name="IQRCreditspreadGZ23" hidden="1">#REF!</definedName>
    <definedName name="IQRCreditspreadHP23" hidden="1">#REF!</definedName>
    <definedName name="IQRCreditspreadHQ23" hidden="1">#REF!</definedName>
    <definedName name="IQRCreditspreadHR23" hidden="1">#REF!</definedName>
    <definedName name="IQRCreditspreadHS23" hidden="1">#REF!</definedName>
    <definedName name="IQRCreditspreadHT23" hidden="1">#REF!</definedName>
    <definedName name="IQRCreditspreadHU23" hidden="1">#REF!</definedName>
    <definedName name="IQRCreditspreadHV23" hidden="1">#REF!</definedName>
    <definedName name="IQRCreditspreadHW23" hidden="1">#REF!</definedName>
    <definedName name="IQRCreditspreadHX23" hidden="1">#REF!</definedName>
    <definedName name="IQRCreditspreadHY23" hidden="1">#REF!</definedName>
    <definedName name="IQRCreditspreadHZ23" hidden="1">#REF!</definedName>
    <definedName name="IQRCreditspreadIA23" hidden="1">#REF!</definedName>
    <definedName name="IQRCreditspreadIB23" hidden="1">#REF!</definedName>
    <definedName name="IQRCreditspreadIC23" hidden="1">#REF!</definedName>
    <definedName name="IQRCreditspreadID23" hidden="1">#REF!</definedName>
    <definedName name="IQRCreditspreadIE23" hidden="1">#REF!</definedName>
    <definedName name="IQRCreditspreadIF23" hidden="1">#REF!</definedName>
    <definedName name="IQRCreditspreadIG23" hidden="1">#REF!</definedName>
    <definedName name="IQRCreditspreadIH23" hidden="1">#REF!</definedName>
    <definedName name="IQRCreditspreadII23" hidden="1">#REF!</definedName>
    <definedName name="IQRCreditspreadIY23" hidden="1">#REF!</definedName>
    <definedName name="IQRCreditspreadIZ23" hidden="1">#REF!</definedName>
    <definedName name="IQRCreditspreadJA23" hidden="1">#REF!</definedName>
    <definedName name="IQRCreditspreadJB23" hidden="1">#REF!</definedName>
    <definedName name="IQRCreditspreadJC23" hidden="1">#REF!</definedName>
    <definedName name="IQRCreditspreadJD23" hidden="1">#REF!</definedName>
    <definedName name="IQRCreditspreadJE23" hidden="1">#REF!</definedName>
    <definedName name="IQRCreditspreadJF23" hidden="1">#REF!</definedName>
    <definedName name="IQRCreditspreadJG23" hidden="1">#REF!</definedName>
    <definedName name="IQRCreditspreadJH23" hidden="1">#REF!</definedName>
    <definedName name="IQRCreditspreadJI23" hidden="1">#REF!</definedName>
    <definedName name="IQRCreditspreadJJ23" hidden="1">#REF!</definedName>
    <definedName name="IQRCreditspreadJK23" hidden="1">#REF!</definedName>
    <definedName name="IQRCreditspreadJL23" hidden="1">#REF!</definedName>
    <definedName name="IQRCreditspreadJM23" hidden="1">#REF!</definedName>
    <definedName name="IQRCreditspreadJN23" hidden="1">#REF!</definedName>
    <definedName name="IQRCreditspreadJO23" hidden="1">#REF!</definedName>
    <definedName name="IQRCreditspreadJP23" hidden="1">#REF!</definedName>
    <definedName name="IQRCreditspreadJQ23" hidden="1">#REF!</definedName>
    <definedName name="IQRCreditspreadJR23" hidden="1">#REF!</definedName>
    <definedName name="IQRCreditspreadKH23" hidden="1">#REF!</definedName>
    <definedName name="IQRCreditspreadKI23" hidden="1">#REF!</definedName>
    <definedName name="IQRCreditspreadKJ23" hidden="1">#REF!</definedName>
    <definedName name="IQRCreditspreadKK23" hidden="1">#REF!</definedName>
    <definedName name="IQRCreditspreadKL23" hidden="1">#REF!</definedName>
    <definedName name="IQRCreditspreadKM23" hidden="1">#REF!</definedName>
    <definedName name="IQRCreditspreadKN23" hidden="1">#REF!</definedName>
    <definedName name="IQRCreditspreadKO23" hidden="1">#REF!</definedName>
    <definedName name="IQRCreditspreadKP23" hidden="1">#REF!</definedName>
    <definedName name="IQRCreditspreadKQ23" hidden="1">#REF!</definedName>
    <definedName name="IQRCreditspreadKR23" hidden="1">#REF!</definedName>
    <definedName name="IQRCreditspreadKS23" hidden="1">#REF!</definedName>
    <definedName name="IQRCreditspreadKT23" hidden="1">#REF!</definedName>
    <definedName name="IQRCreditspreadKU23" hidden="1">#REF!</definedName>
    <definedName name="IQRCreditspreadKV23" hidden="1">#REF!</definedName>
    <definedName name="IQRCreditspreadKW23" hidden="1">#REF!</definedName>
    <definedName name="IQRCreditspreadKX23" hidden="1">#REF!</definedName>
    <definedName name="IQRCreditspreadKY23" hidden="1">#REF!</definedName>
    <definedName name="IQRCreditspreadKZ23" hidden="1">#REF!</definedName>
    <definedName name="IQRCreditspreadLA23" hidden="1">#REF!</definedName>
    <definedName name="IQRCreditspreadLQ23" hidden="1">#REF!</definedName>
    <definedName name="IQRCreditspreadLR23" hidden="1">#REF!</definedName>
    <definedName name="IQRCreditspreadLS23" hidden="1">#REF!</definedName>
    <definedName name="IQRCreditspreadLT23" hidden="1">#REF!</definedName>
    <definedName name="IQRCreditspreadLU23" hidden="1">#REF!</definedName>
    <definedName name="IQRCreditspreadLV23" hidden="1">#REF!</definedName>
    <definedName name="IQRCreditspreadLW23" hidden="1">#REF!</definedName>
    <definedName name="IQRCreditspreadLX23" hidden="1">#REF!</definedName>
    <definedName name="IQRCreditspreadLY23" hidden="1">#REF!</definedName>
    <definedName name="IQRCreditspreadLZ23" hidden="1">#REF!</definedName>
    <definedName name="IQRCreditspreadMA23" hidden="1">#REF!</definedName>
    <definedName name="IQRCreditspreadMB23" hidden="1">#REF!</definedName>
    <definedName name="IQRCreditspreadMC23" hidden="1">#REF!</definedName>
    <definedName name="IQRCreditspreadMD23" hidden="1">#REF!</definedName>
    <definedName name="IQRCreditspreadME23" hidden="1">#REF!</definedName>
    <definedName name="IQRCreditspreadMF23" hidden="1">#REF!</definedName>
    <definedName name="IQRCreditspreadMG23" hidden="1">#REF!</definedName>
    <definedName name="IQRCreditspreadMH23" hidden="1">#REF!</definedName>
    <definedName name="IQRCreditspreadMI23" hidden="1">#REF!</definedName>
    <definedName name="IQRCreditspreadMJ23" hidden="1">#REF!</definedName>
    <definedName name="IQRCreditspreadMZ23" hidden="1">#REF!</definedName>
    <definedName name="IQRCreditspreadN23" hidden="1">#REF!</definedName>
    <definedName name="IQRCreditspreadNA23" hidden="1">#REF!</definedName>
    <definedName name="IQRCreditspreadNB23" hidden="1">#REF!</definedName>
    <definedName name="IQRCreditspreadNC23" hidden="1">#REF!</definedName>
    <definedName name="IQRCreditspreadND23" hidden="1">#REF!</definedName>
    <definedName name="IQRCreditspreadNE23" hidden="1">#REF!</definedName>
    <definedName name="IQRCreditspreadNF23" hidden="1">#REF!</definedName>
    <definedName name="IQRCreditspreadNG23" hidden="1">#REF!</definedName>
    <definedName name="IQRCreditspreadNH23" hidden="1">#REF!</definedName>
    <definedName name="IQRCreditspreadNI23" hidden="1">#REF!</definedName>
    <definedName name="IQRCreditspreadNJ23" hidden="1">#REF!</definedName>
    <definedName name="IQRCreditspreadNK23" hidden="1">#REF!</definedName>
    <definedName name="IQRCreditspreadNL23" hidden="1">#REF!</definedName>
    <definedName name="IQRCreditspreadNM23" hidden="1">#REF!</definedName>
    <definedName name="IQRCreditspreadNN23" hidden="1">#REF!</definedName>
    <definedName name="IQRCreditspreadNO23" hidden="1">#REF!</definedName>
    <definedName name="IQRCreditspreadNP23" hidden="1">#REF!</definedName>
    <definedName name="IQRCreditspreadNQ23" hidden="1">#REF!</definedName>
    <definedName name="IQRCreditspreadNR23" hidden="1">#REF!</definedName>
    <definedName name="IQRCreditspreadNS23" hidden="1">#REF!</definedName>
    <definedName name="IQRCreditspreadO23" hidden="1">#REF!</definedName>
    <definedName name="IQRCreditspreadOI23" hidden="1">#REF!</definedName>
    <definedName name="IQRCreditspreadOJ23" hidden="1">#REF!</definedName>
    <definedName name="IQRCreditspreadOK23" hidden="1">#REF!</definedName>
    <definedName name="IQRCreditspreadOL23" hidden="1">#REF!</definedName>
    <definedName name="IQRCreditspreadOM23" hidden="1">#REF!</definedName>
    <definedName name="IQRCreditspreadON23" hidden="1">#REF!</definedName>
    <definedName name="IQRCreditspreadOO23" hidden="1">#REF!</definedName>
    <definedName name="IQRCreditspreadOP23" hidden="1">#REF!</definedName>
    <definedName name="IQRCreditspreadOQ23" hidden="1">#REF!</definedName>
    <definedName name="IQRCreditspreadOR23" hidden="1">#REF!</definedName>
    <definedName name="IQRCreditspreadOS23" hidden="1">#REF!</definedName>
    <definedName name="IQRCreditspreadOT23" hidden="1">#REF!</definedName>
    <definedName name="IQRCreditspreadOU23" hidden="1">#REF!</definedName>
    <definedName name="IQRCreditspreadOV23" hidden="1">#REF!</definedName>
    <definedName name="IQRCreditspreadOW23" hidden="1">#REF!</definedName>
    <definedName name="IQRCreditspreadOX23" hidden="1">#REF!</definedName>
    <definedName name="IQRCreditspreadOY23" hidden="1">#REF!</definedName>
    <definedName name="IQRCreditspreadOZ23" hidden="1">#REF!</definedName>
    <definedName name="IQRCreditspreadP23" hidden="1">#REF!</definedName>
    <definedName name="IQRCreditspreadPA23" hidden="1">#REF!</definedName>
    <definedName name="IQRCreditspreadPB23" hidden="1">#REF!</definedName>
    <definedName name="IQRCreditspreadPR23" hidden="1">#REF!</definedName>
    <definedName name="IQRCreditspreadPS23" hidden="1">#REF!</definedName>
    <definedName name="IQRCreditspreadPT23" hidden="1">#REF!</definedName>
    <definedName name="IQRCreditspreadPU23" hidden="1">#REF!</definedName>
    <definedName name="IQRCreditspreadPV23" hidden="1">#REF!</definedName>
    <definedName name="IQRCreditspreadPW23" hidden="1">#REF!</definedName>
    <definedName name="IQRCreditspreadPX23" hidden="1">#REF!</definedName>
    <definedName name="IQRCreditspreadPY23" hidden="1">#REF!</definedName>
    <definedName name="IQRCreditspreadPZ23" hidden="1">#REF!</definedName>
    <definedName name="IQRCreditspreadQ23" hidden="1">#REF!</definedName>
    <definedName name="IQRCreditspreadQA23" hidden="1">#REF!</definedName>
    <definedName name="IQRCreditspreadQB23" hidden="1">#REF!</definedName>
    <definedName name="IQRCreditspreadQC23" hidden="1">#REF!</definedName>
    <definedName name="IQRCreditspreadQD23" hidden="1">#REF!</definedName>
    <definedName name="IQRCreditspreadQE23" hidden="1">#REF!</definedName>
    <definedName name="IQRCreditspreadQF23" hidden="1">#REF!</definedName>
    <definedName name="IQRCreditspreadQG23" hidden="1">#REF!</definedName>
    <definedName name="IQRCreditspreadQH23" hidden="1">#REF!</definedName>
    <definedName name="IQRCreditspreadQI23" hidden="1">#REF!</definedName>
    <definedName name="IQRCreditspreadQJ23" hidden="1">#REF!</definedName>
    <definedName name="IQRCreditspreadQK23" hidden="1">#REF!</definedName>
    <definedName name="IQRCreditspreadR23" hidden="1">#REF!</definedName>
    <definedName name="IQRCreditspreadRA23" hidden="1">#REF!</definedName>
    <definedName name="IQRCreditspreadRB23" hidden="1">#REF!</definedName>
    <definedName name="IQRCreditspreadRC23" hidden="1">#REF!</definedName>
    <definedName name="IQRCreditspreadRD23" hidden="1">#REF!</definedName>
    <definedName name="IQRCreditspreadRE23" hidden="1">#REF!</definedName>
    <definedName name="IQRCreditspreadRF23" hidden="1">#REF!</definedName>
    <definedName name="IQRCreditspreadRG23" hidden="1">#REF!</definedName>
    <definedName name="IQRCreditspreadRH23" hidden="1">#REF!</definedName>
    <definedName name="IQRCreditspreadRI23" hidden="1">#REF!</definedName>
    <definedName name="IQRCreditspreadRJ23" hidden="1">#REF!</definedName>
    <definedName name="IQRCreditspreadRK23" hidden="1">#REF!</definedName>
    <definedName name="IQRCreditspreadRL23" hidden="1">#REF!</definedName>
    <definedName name="IQRCreditspreadRM23" hidden="1">#REF!</definedName>
    <definedName name="IQRCreditspreadRN23" hidden="1">#REF!</definedName>
    <definedName name="IQRCreditspreadRO23" hidden="1">#REF!</definedName>
    <definedName name="IQRCreditspreadRP23" hidden="1">#REF!</definedName>
    <definedName name="IQRCreditspreadRQ23" hidden="1">#REF!</definedName>
    <definedName name="IQRCreditspreadRR23" hidden="1">#REF!</definedName>
    <definedName name="IQRCreditspreadRS23" hidden="1">#REF!</definedName>
    <definedName name="IQRCreditspreadRT23" hidden="1">#REF!</definedName>
    <definedName name="IQRCreditspreadS23" hidden="1">#REF!</definedName>
    <definedName name="IQRCreditspreadSJ23" hidden="1">#REF!</definedName>
    <definedName name="IQRCreditspreadSK23" hidden="1">#REF!</definedName>
    <definedName name="IQRCreditspreadSL23" hidden="1">#REF!</definedName>
    <definedName name="IQRCreditspreadSM23" hidden="1">#REF!</definedName>
    <definedName name="IQRCreditspreadSN23" hidden="1">#REF!</definedName>
    <definedName name="IQRCreditspreadSO23" hidden="1">#REF!</definedName>
    <definedName name="IQRCreditspreadSP23" hidden="1">#REF!</definedName>
    <definedName name="IQRCreditspreadSQ23" hidden="1">#REF!</definedName>
    <definedName name="IQRCreditspreadSR23" hidden="1">#REF!</definedName>
    <definedName name="IQRCreditspreadSS23" hidden="1">#REF!</definedName>
    <definedName name="IQRCreditspreadST23" hidden="1">#REF!</definedName>
    <definedName name="IQRCreditspreadSU23" hidden="1">#REF!</definedName>
    <definedName name="IQRCreditspreadSV23" hidden="1">#REF!</definedName>
    <definedName name="IQRCreditspreadSW23" hidden="1">#REF!</definedName>
    <definedName name="IQRCreditspreadSX23" hidden="1">#REF!</definedName>
    <definedName name="IQRCreditspreadSY23" hidden="1">#REF!</definedName>
    <definedName name="IQRCreditspreadSZ23" hidden="1">#REF!</definedName>
    <definedName name="IQRCreditspreadT23" hidden="1">#REF!</definedName>
    <definedName name="IQRCreditspreadTA23" hidden="1">#REF!</definedName>
    <definedName name="IQRCreditspreadTB23" hidden="1">#REF!</definedName>
    <definedName name="IQRCreditspreadTC23" hidden="1">#REF!</definedName>
    <definedName name="IQRCreditspreadTS23" hidden="1">#REF!</definedName>
    <definedName name="IQRCreditspreadTT23" hidden="1">#REF!</definedName>
    <definedName name="IQRCreditspreadTU23" hidden="1">#REF!</definedName>
    <definedName name="IQRCreditspreadTV23" hidden="1">#REF!</definedName>
    <definedName name="IQRCreditspreadTW23" hidden="1">#REF!</definedName>
    <definedName name="IQRCreditspreadTX23" hidden="1">#REF!</definedName>
    <definedName name="IQRCreditspreadTY23" hidden="1">#REF!</definedName>
    <definedName name="IQRCreditspreadTZ23" hidden="1">#REF!</definedName>
    <definedName name="IQRCreditspreadU23" hidden="1">#REF!</definedName>
    <definedName name="IQRCreditspreadUA23" hidden="1">#REF!</definedName>
    <definedName name="IQRCreditspreadUB23" hidden="1">#REF!</definedName>
    <definedName name="IQRCreditspreadUC23" hidden="1">#REF!</definedName>
    <definedName name="IQRCreditspreadUD23" hidden="1">#REF!</definedName>
    <definedName name="IQRCreditspreadUE23" hidden="1">#REF!</definedName>
    <definedName name="IQRCreditspreadUF23" hidden="1">#REF!</definedName>
    <definedName name="IQRCreditspreadUG23" hidden="1">#REF!</definedName>
    <definedName name="IQRCreditspreadUH23" hidden="1">#REF!</definedName>
    <definedName name="IQRCreditspreadUI23" hidden="1">#REF!</definedName>
    <definedName name="IQRCreditspreadUJ23" hidden="1">#REF!</definedName>
    <definedName name="IQRCreditspreadUK23" hidden="1">#REF!</definedName>
    <definedName name="IQRCreditspreadUL23" hidden="1">#REF!</definedName>
    <definedName name="IQRCreditspreadV23" hidden="1">#REF!</definedName>
    <definedName name="IQRCreditspreadVB23" hidden="1">#REF!</definedName>
    <definedName name="IQRCreditspreadVC23" hidden="1">#REF!</definedName>
    <definedName name="IQRCreditspreadVD23" hidden="1">#REF!</definedName>
    <definedName name="IQRCreditspreadVE23" hidden="1">#REF!</definedName>
    <definedName name="IQRCreditspreadVF23" hidden="1">#REF!</definedName>
    <definedName name="IQRCreditspreadVG23" hidden="1">#REF!</definedName>
    <definedName name="IQRCreditspreadVH23" hidden="1">#REF!</definedName>
    <definedName name="IQRCreditspreadVI23" hidden="1">#REF!</definedName>
    <definedName name="IQRCreditspreadVJ23" hidden="1">#REF!</definedName>
    <definedName name="IQRCreditspreadVK23" hidden="1">#REF!</definedName>
    <definedName name="IQRCreditspreadVL23" hidden="1">#REF!</definedName>
    <definedName name="IQRCreditspreadVM23" hidden="1">#REF!</definedName>
    <definedName name="IQRCreditspreadVN23" hidden="1">#REF!</definedName>
    <definedName name="IQRCreditspreadVO23" hidden="1">#REF!</definedName>
    <definedName name="IQRCreditspreadVP23" hidden="1">#REF!</definedName>
    <definedName name="IQRCreditspreadVQ23" hidden="1">#REF!</definedName>
    <definedName name="IQRCreditspreadVR23" hidden="1">#REF!</definedName>
    <definedName name="IQRCreditspreadVS23" hidden="1">#REF!</definedName>
    <definedName name="IQRCreditspreadVT23" hidden="1">#REF!</definedName>
    <definedName name="IQRCreditspreadVU23" hidden="1">#REF!</definedName>
    <definedName name="IQRCreditspreadW23" hidden="1">#REF!</definedName>
    <definedName name="IQRCreditspreadWK23" hidden="1">#REF!</definedName>
    <definedName name="IQRCreditspreadWL23" hidden="1">#REF!</definedName>
    <definedName name="IQRCreditspreadWM23" hidden="1">#REF!</definedName>
    <definedName name="IQRCreditspreadWN23" hidden="1">#REF!</definedName>
    <definedName name="IQRCreditspreadWO23" hidden="1">#REF!</definedName>
    <definedName name="IQRCreditspreadWP23" hidden="1">#REF!</definedName>
    <definedName name="IQRCreditspreadWQ23" hidden="1">#REF!</definedName>
    <definedName name="IQRCreditspreadWR23" hidden="1">#REF!</definedName>
    <definedName name="IQRCreditspreadWS23" hidden="1">#REF!</definedName>
    <definedName name="IQRCreditspreadWT23" hidden="1">#REF!</definedName>
    <definedName name="IQRCreditspreadWU23" hidden="1">#REF!</definedName>
    <definedName name="IQRCreditspreadWV23" hidden="1">#REF!</definedName>
    <definedName name="IQRCreditspreadWW23" hidden="1">#REF!</definedName>
    <definedName name="IQRCreditspreadWX23" hidden="1">#REF!</definedName>
    <definedName name="IQRCreditspreadWY23" hidden="1">#REF!</definedName>
    <definedName name="IQRCreditspreadWZ23" hidden="1">#REF!</definedName>
    <definedName name="IQRCreditspreadX23" hidden="1">#REF!</definedName>
    <definedName name="IQRCreditspreadXA23" hidden="1">#REF!</definedName>
    <definedName name="IQRCreditspreadXB23" hidden="1">#REF!</definedName>
    <definedName name="IQRCreditspreadXC23" hidden="1">#REF!</definedName>
    <definedName name="IQRCreditspreadXD23" hidden="1">#REF!</definedName>
    <definedName name="IQRCreditspreadXT23" hidden="1">#REF!</definedName>
    <definedName name="IQRCreditspreadXU23" hidden="1">#REF!</definedName>
    <definedName name="IQRCreditspreadXV23" hidden="1">#REF!</definedName>
    <definedName name="IQRCreditspreadXW23" hidden="1">#REF!</definedName>
    <definedName name="IQRCreditspreadXX23" hidden="1">#REF!</definedName>
    <definedName name="IQRCreditspreadXY23" hidden="1">#REF!</definedName>
    <definedName name="IQRCreditspreadXZ23" hidden="1">#REF!</definedName>
    <definedName name="IQRCreditspreadY23" hidden="1">#REF!</definedName>
    <definedName name="IQRCreditspreadYA23" hidden="1">#REF!</definedName>
    <definedName name="IQRCreditspreadYB23" hidden="1">#REF!</definedName>
    <definedName name="IQRCreditspreadYC23" hidden="1">#REF!</definedName>
    <definedName name="IQRCreditspreadYD23" hidden="1">#REF!</definedName>
    <definedName name="IQRCreditspreadYE23" hidden="1">#REF!</definedName>
    <definedName name="IQRCreditspreadYF23" hidden="1">#REF!</definedName>
    <definedName name="IQRCreditspreadYG23" hidden="1">#REF!</definedName>
    <definedName name="IQRCreditspreadYH23" hidden="1">#REF!</definedName>
    <definedName name="IQRCreditspreadYI23" hidden="1">#REF!</definedName>
    <definedName name="IQRCreditspreadYJ23" hidden="1">#REF!</definedName>
    <definedName name="IQRCreditspreadYK23" hidden="1">#REF!</definedName>
    <definedName name="IQRCreditspreadYL23" hidden="1">#REF!</definedName>
    <definedName name="IQRCreditspreadYM23" hidden="1">#REF!</definedName>
    <definedName name="IQRCreditspreadZ23" hidden="1">#REF!</definedName>
    <definedName name="IQRCreditspreadZC23" hidden="1">#REF!</definedName>
    <definedName name="IQRCreditspreadZD23" hidden="1">#REF!</definedName>
    <definedName name="IQRCreditspreadZE23" hidden="1">#REF!</definedName>
    <definedName name="IQRCreditspreadZF23" hidden="1">#REF!</definedName>
    <definedName name="IQRCreditspreadZG23" hidden="1">#REF!</definedName>
    <definedName name="IQRCreditspreadZH23" hidden="1">#REF!</definedName>
    <definedName name="IQRCreditspreadZI23" hidden="1">#REF!</definedName>
    <definedName name="IQRCreditspreadZJ23" hidden="1">#REF!</definedName>
    <definedName name="IQRCreditspreadZK23" hidden="1">#REF!</definedName>
    <definedName name="IQRCreditspreadZL23" hidden="1">#REF!</definedName>
    <definedName name="IQRCreditspreadZM23" hidden="1">#REF!</definedName>
    <definedName name="IQRCreditspreadZN23" hidden="1">#REF!</definedName>
    <definedName name="IQRCreditspreadZO23" hidden="1">#REF!</definedName>
    <definedName name="IQRCreditspreadZP23" hidden="1">#REF!</definedName>
    <definedName name="IQRCreditspreadZQ23" hidden="1">#REF!</definedName>
    <definedName name="IQRCreditspreadZR23" hidden="1">#REF!</definedName>
    <definedName name="IQRCreditspreadZS23" hidden="1">#REF!</definedName>
    <definedName name="IQRCreditspreadZT23" hidden="1">#REF!</definedName>
    <definedName name="IQRCreditspreadZU23" hidden="1">#REF!</definedName>
    <definedName name="IQRCreditspreadZV23" hidden="1">#REF!</definedName>
    <definedName name="IQRCurrencyRatingAS41" hidden="1">#REF!</definedName>
    <definedName name="IQRCurrencyRatingAX41" hidden="1">#REF!</definedName>
    <definedName name="IQRCurrencyRatingAX42" hidden="1">#REF!</definedName>
    <definedName name="IQRCurrencyRatingBN41" hidden="1">#REF!</definedName>
    <definedName name="IQRCurrencyRatingBS41" hidden="1">#REF!</definedName>
    <definedName name="IQRCurrencyRatingBS42" hidden="1">#REF!</definedName>
    <definedName name="IQRCurrentCompsO6" hidden="1">#REF!</definedName>
    <definedName name="IQRCurrRatingAS41" hidden="1">#REF!</definedName>
    <definedName name="IQRCurrRatingBN41" hidden="1">#REF!</definedName>
    <definedName name="IQRD10" hidden="1">#REF!</definedName>
    <definedName name="IQRD11" hidden="1">#REF!</definedName>
    <definedName name="IQRD12" hidden="1">#REF!</definedName>
    <definedName name="IQRD13" hidden="1">#REF!</definedName>
    <definedName name="IQRD14" hidden="1">#REF!</definedName>
    <definedName name="IQRD15" hidden="1">"$D$16:$D$17"</definedName>
    <definedName name="IQRD16" hidden="1">#REF!</definedName>
    <definedName name="IQRD17" hidden="1">#REF!</definedName>
    <definedName name="IQRD18" hidden="1">#REF!</definedName>
    <definedName name="IQRD19" hidden="1">#REF!</definedName>
    <definedName name="IQRD2" hidden="1">"$D$3:$D$62"</definedName>
    <definedName name="IQRD20" hidden="1">#REF!</definedName>
    <definedName name="IQRD21" hidden="1">#REF!</definedName>
    <definedName name="IQRD22" hidden="1">#REF!</definedName>
    <definedName name="IQRD23" hidden="1">#REF!</definedName>
    <definedName name="IQRD24" hidden="1">"$D$25"</definedName>
    <definedName name="IQRD25" hidden="1">#REF!</definedName>
    <definedName name="IQRD26" hidden="1">#REF!</definedName>
    <definedName name="IQRD27" hidden="1">#REF!</definedName>
    <definedName name="IQRD28" hidden="1">#REF!</definedName>
    <definedName name="IQRD29" hidden="1">#REF!</definedName>
    <definedName name="IQRD3" hidden="1">"$D$4:$D$253"</definedName>
    <definedName name="IQRD30" hidden="1">#REF!</definedName>
    <definedName name="IQRD31" hidden="1">#REF!</definedName>
    <definedName name="IQRD32" hidden="1">#REF!</definedName>
    <definedName name="IQRD33" hidden="1">#REF!</definedName>
    <definedName name="IQRD34" hidden="1">#REF!</definedName>
    <definedName name="IQRD35" hidden="1">#REF!</definedName>
    <definedName name="IQRD36" hidden="1">#REF!</definedName>
    <definedName name="IQRD37" hidden="1">#REF!</definedName>
    <definedName name="IQRD38" hidden="1">#REF!</definedName>
    <definedName name="IQRD39" hidden="1">"$D$40:$D$83"</definedName>
    <definedName name="IQRD4" hidden="1">"$D$5:$D$1262"</definedName>
    <definedName name="IQRD405" hidden="1">"$D$406:$D$658"</definedName>
    <definedName name="IQRD406" hidden="1">"$D$407:$D$659"</definedName>
    <definedName name="IQRD413" hidden="1">"$D$414:$D$666"</definedName>
    <definedName name="IQRD415" hidden="1">"$D$416:$D$668"</definedName>
    <definedName name="IQRD417" hidden="1">"$D$418:$D$670"</definedName>
    <definedName name="IQRD419" hidden="1">"$D$420:$D$672"</definedName>
    <definedName name="IQRD434" hidden="1">"$D$435:$D$687"</definedName>
    <definedName name="IQRD439" hidden="1">"$D$440:$D$692"</definedName>
    <definedName name="IQRD441" hidden="1">"$D$442:$D$694"</definedName>
    <definedName name="IQRD442" hidden="1">"$D$443:$D$695"</definedName>
    <definedName name="IQRD443" hidden="1">"$D$444:$D$696"</definedName>
    <definedName name="IQRD444" hidden="1">"$D$445:$D$697"</definedName>
    <definedName name="IQRD448" hidden="1">"$D$449:$D$701"</definedName>
    <definedName name="IQRD449" hidden="1">"$D$450:$D$702"</definedName>
    <definedName name="IQRD450" hidden="1">"$D$451:$D$703"</definedName>
    <definedName name="IQRD5" hidden="1">"$D$6:$D$259"</definedName>
    <definedName name="IQRD581" hidden="1">"$D$582:$D$834"</definedName>
    <definedName name="IQRD582" hidden="1">"$D$583:$D$835"</definedName>
    <definedName name="IQRD583" hidden="1">"$D$584:$D$836"</definedName>
    <definedName name="IQRD6" hidden="1">"$D$7:$D$258"</definedName>
    <definedName name="IQRD7" hidden="1">"$D$8"</definedName>
    <definedName name="IQRD8" hidden="1">#REF!</definedName>
    <definedName name="IQRD9" hidden="1">#REF!</definedName>
    <definedName name="IQRDebtbetaAA23" hidden="1">#REF!</definedName>
    <definedName name="IQRDebtbetaAB23" hidden="1">#REF!</definedName>
    <definedName name="IQRDebtbetaAC23" hidden="1">#REF!</definedName>
    <definedName name="IQRDebtbetaAD23" hidden="1">#REF!</definedName>
    <definedName name="IQRDebtbetaAE23" hidden="1">#REF!</definedName>
    <definedName name="IQRDebtbetaAF23" hidden="1">#REF!</definedName>
    <definedName name="IQRDebtbetaAG23" hidden="1">#REF!</definedName>
    <definedName name="IQRDebtbetaN22" hidden="1">#REF!</definedName>
    <definedName name="IQRDebtbetaN23" hidden="1">#REF!</definedName>
    <definedName name="IQRDebtbetaO22" hidden="1">#REF!</definedName>
    <definedName name="IQRDebtbetaO23" hidden="1">#REF!</definedName>
    <definedName name="IQRDebtbetaP22" hidden="1">#REF!</definedName>
    <definedName name="IQRDebtbetaP23" hidden="1">#REF!</definedName>
    <definedName name="IQRDebtbetaQ22" hidden="1">#REF!</definedName>
    <definedName name="IQRDebtbetaQ23" hidden="1">#REF!</definedName>
    <definedName name="IQRDebtbetaR23" hidden="1">#REF!</definedName>
    <definedName name="IQRDebtbetaS22" hidden="1">#REF!</definedName>
    <definedName name="IQRDebtbetaS23" hidden="1">#REF!</definedName>
    <definedName name="IQRDebtbetaT22" hidden="1">#REF!</definedName>
    <definedName name="IQRDebtbetaT23" hidden="1">#REF!</definedName>
    <definedName name="IQRDebtbetaU22" hidden="1">#REF!</definedName>
    <definedName name="IQRDebtbetaU23" hidden="1">#REF!</definedName>
    <definedName name="IQRDebtbetaV23" hidden="1">#REF!</definedName>
    <definedName name="IQRDebtbetaW23" hidden="1">#REF!</definedName>
    <definedName name="IQRDebtbetaX23" hidden="1">#REF!</definedName>
    <definedName name="IQRDebtbetaY23" hidden="1">#REF!</definedName>
    <definedName name="IQRDebtbetaZ23" hidden="1">#REF!</definedName>
    <definedName name="IQRDEratioQ16" hidden="1">#REF!</definedName>
    <definedName name="IQRDEratioQ17" hidden="1">#REF!</definedName>
    <definedName name="IQRE16" hidden="1">#REF!</definedName>
    <definedName name="IQRE18" hidden="1">"$E$19:$E$80"</definedName>
    <definedName name="IQRE19" hidden="1">"$E$20:$E$80"</definedName>
    <definedName name="IQRE24" hidden="1">"$E$25"</definedName>
    <definedName name="IQRE45" hidden="1">#REF!</definedName>
    <definedName name="IQRE49" hidden="1">"$E$50:$E$302"</definedName>
    <definedName name="IQRE6" hidden="1">"$E$7:$E$258"</definedName>
    <definedName name="IQRE7" hidden="1">"$E$8"</definedName>
    <definedName name="IQRE8" hidden="1">#REF!</definedName>
    <definedName name="IQRE81" hidden="1">"$E$82:$E$86"</definedName>
    <definedName name="IQRE88" hidden="1">"$E$89:$E$93"</definedName>
    <definedName name="IQRE9" hidden="1">"$E$10:$E$70"</definedName>
    <definedName name="IQrevisiondate" hidden="1">40877.5011458333</definedName>
    <definedName name="IQRExampleTearSheetH20" hidden="1">#REF!</definedName>
    <definedName name="IQRF24" hidden="1">"$F$25"</definedName>
    <definedName name="IQRF3" hidden="1">"$F$4:$F$253"</definedName>
    <definedName name="IQRF39" hidden="1">"$F$40:$F$61"</definedName>
    <definedName name="IQRF4" hidden="1">"$F$5:$F$254"</definedName>
    <definedName name="IQRF405" hidden="1">"$F$406:$F$658"</definedName>
    <definedName name="IQRF406" hidden="1">"$F$407:$F$659"</definedName>
    <definedName name="IQRF413" hidden="1">"$F$414:$F$666"</definedName>
    <definedName name="IQRF415" hidden="1">"$F$416:$F$668"</definedName>
    <definedName name="IQRF417" hidden="1">"$F$418:$F$670"</definedName>
    <definedName name="IQRF419" hidden="1">"$F$420:$F$672"</definedName>
    <definedName name="IQRF434" hidden="1">"$F$435:$F$687"</definedName>
    <definedName name="IQRF439" hidden="1">"$F$440:$F$692"</definedName>
    <definedName name="IQRF441" hidden="1">"$F$442:$F$694"</definedName>
    <definedName name="IQRF442" hidden="1">"$F$443:$F$695"</definedName>
    <definedName name="IQRF443" hidden="1">"$F$444:$F$696"</definedName>
    <definedName name="IQRF444" hidden="1">"$F$445:$F$697"</definedName>
    <definedName name="IQRF448" hidden="1">"$F$449:$F$701"</definedName>
    <definedName name="IQRF449" hidden="1">"$F$450:$F$702"</definedName>
    <definedName name="IQRF450" hidden="1">"$F$451:$F$703"</definedName>
    <definedName name="IQRF5" hidden="1">"$F$6:$F$255"</definedName>
    <definedName name="IQRF581" hidden="1">"$F$582:$F$834"</definedName>
    <definedName name="IQRF582" hidden="1">"$F$583:$F$835"</definedName>
    <definedName name="IQRF583" hidden="1">"$F$584:$F$836"</definedName>
    <definedName name="IQRF6" hidden="1">"$F$7:$F$256"</definedName>
    <definedName name="IQRF7" hidden="1">"$F$8"</definedName>
    <definedName name="IQRF81" hidden="1">"$F$82:$F$86"</definedName>
    <definedName name="IQRFinancialCollectionP15" hidden="1">#REF!</definedName>
    <definedName name="IQRFinancialCollectionQ15" hidden="1">#REF!</definedName>
    <definedName name="IQRFinancialCollectionTemplateAH5" hidden="1">#REF!</definedName>
    <definedName name="IQRFinancialCollectionTemplateP15" hidden="1">#REF!</definedName>
    <definedName name="IQRFinancialCollectionTemplateQ15" hidden="1">#REF!</definedName>
    <definedName name="IQRFinancialCollectionTemplateV15" hidden="1">#REF!</definedName>
    <definedName name="IQRFinancialCollectionTemplateV5" hidden="1">#REF!</definedName>
    <definedName name="IQRFullCurveTransparencyAA32" hidden="1">#REF!</definedName>
    <definedName name="IQRFullCurveTransparencyAZ77" hidden="1">#REF!</definedName>
    <definedName name="IQRFullCurveTransparencyBC77" hidden="1">#REF!</definedName>
    <definedName name="IQRFullCurveTransparencyBD77" hidden="1">#REF!</definedName>
    <definedName name="IQRFullCurveTransparencyBE77" hidden="1">#REF!</definedName>
    <definedName name="IQRFullCurveTransparencyBF77" hidden="1">#REF!</definedName>
    <definedName name="IQRFullCurveTransparencyC32" hidden="1">#REF!</definedName>
    <definedName name="IQRFullCurveTransparencyC38" hidden="1">#REF!</definedName>
    <definedName name="IQRFullCurveTransparencyD32" hidden="1">#REF!</definedName>
    <definedName name="IQRFullCurveTransparencyD38" hidden="1">#REF!</definedName>
    <definedName name="IQRFullCurveTransparencyE32" hidden="1">#REF!</definedName>
    <definedName name="IQRFullCurveTransparencyE38" hidden="1">#REF!</definedName>
    <definedName name="IQRFullCurveTransparencyF32" hidden="1">#REF!</definedName>
    <definedName name="IQRFullCurveTransparencyF38" hidden="1">#REF!</definedName>
    <definedName name="IQRFundamentaldatenB121" hidden="1">#REF!</definedName>
    <definedName name="IQRFundamentaldatenB149" hidden="1">#REF!</definedName>
    <definedName name="IQRFundamentaldatenB177" hidden="1">#REF!</definedName>
    <definedName name="IQRFundamentaldatenB205" hidden="1">#REF!</definedName>
    <definedName name="IQRFundamentaldatenB233" hidden="1">#REF!</definedName>
    <definedName name="IQRFundamentaldatenB261" hidden="1">#REF!</definedName>
    <definedName name="IQRFundamentaldatenB289" hidden="1">#REF!</definedName>
    <definedName name="IQRFundamentaldatenB317" hidden="1">#REF!</definedName>
    <definedName name="IQRFundamentaldatenB345" hidden="1">#REF!</definedName>
    <definedName name="IQRFundamentaldatenB37" hidden="1">#REF!</definedName>
    <definedName name="IQRFundamentaldatenB65" hidden="1">#REF!</definedName>
    <definedName name="IQRFundamentaldatenB9" hidden="1">#REF!</definedName>
    <definedName name="IQRFundamentaldatenB93" hidden="1">#REF!</definedName>
    <definedName name="IQRFundamentaldatenJ121" hidden="1">#REF!</definedName>
    <definedName name="IQRFundamentaldatenJ149" hidden="1">#REF!</definedName>
    <definedName name="IQRFundamentaldatenJ177" hidden="1">#REF!</definedName>
    <definedName name="IQRFundamentaldatenJ205" hidden="1">#REF!</definedName>
    <definedName name="IQRFundamentaldatenJ233" hidden="1">#REF!</definedName>
    <definedName name="IQRFundamentaldatenJ261" hidden="1">#REF!</definedName>
    <definedName name="IQRFundamentaldatenJ289" hidden="1">#REF!</definedName>
    <definedName name="IQRFundamentaldatenJ317" hidden="1">#REF!</definedName>
    <definedName name="IQRFundamentaldatenJ345" hidden="1">#REF!</definedName>
    <definedName name="IQRFundamentaldatenJ37" hidden="1">#REF!</definedName>
    <definedName name="IQRFundamentaldatenJ65" hidden="1">#REF!</definedName>
    <definedName name="IQRFundamentaldatenJ9" hidden="1">#REF!</definedName>
    <definedName name="IQRFundamentaldatenJ93" hidden="1">#REF!</definedName>
    <definedName name="IQRFundamentaldatenR121" hidden="1">#REF!</definedName>
    <definedName name="IQRFundamentaldatenR149" hidden="1">#REF!</definedName>
    <definedName name="IQRFundamentaldatenR177" hidden="1">#REF!</definedName>
    <definedName name="IQRFundamentaldatenR205" hidden="1">#REF!</definedName>
    <definedName name="IQRFundamentaldatenR233" hidden="1">#REF!</definedName>
    <definedName name="IQRFundamentaldatenR261" hidden="1">#REF!</definedName>
    <definedName name="IQRFundamentaldatenR289" hidden="1">#REF!</definedName>
    <definedName name="IQRFundamentaldatenR317" hidden="1">#REF!</definedName>
    <definedName name="IQRFundamentaldatenR345" hidden="1">#REF!</definedName>
    <definedName name="IQRFundamentaldatenR37" hidden="1">#REF!</definedName>
    <definedName name="IQRFundamentaldatenR373" hidden="1">#REF!</definedName>
    <definedName name="IQRFundamentaldatenR65" hidden="1">#REF!</definedName>
    <definedName name="IQRFundamentaldatenR9" hidden="1">#REF!</definedName>
    <definedName name="IQRFundamentaldatenR93" hidden="1">#REF!</definedName>
    <definedName name="IQRFuturesDataA10" hidden="1">#REF!</definedName>
    <definedName name="IQRFuturesTrendsAG3" hidden="1">#REF!</definedName>
    <definedName name="IQRFuturesTrendsT1" hidden="1">#REF!</definedName>
    <definedName name="IQRFXFuturesSummaryP164" hidden="1">#REF!</definedName>
    <definedName name="IQRG24" hidden="1">"$G$25"</definedName>
    <definedName name="IQRG3" hidden="1">"$G$4:$G$253"</definedName>
    <definedName name="IQRG4" hidden="1">"$G$5:$G$254"</definedName>
    <definedName name="IQRG5" hidden="1">"$G$6:$G$511"</definedName>
    <definedName name="IQRG6" hidden="1">"$G$7:$G$256"</definedName>
    <definedName name="IQRG7" hidden="1">"$G$8"</definedName>
    <definedName name="IQRG81" hidden="1">"$G$82:$G$86"</definedName>
    <definedName name="IQRGSKH20" hidden="1">#REF!</definedName>
    <definedName name="IQRH12" hidden="1">"$H$13:$H$36"</definedName>
    <definedName name="IQRH13" hidden="1">"$H$14:$H$264"</definedName>
    <definedName name="IQRH21" hidden="1">"$H$22"</definedName>
    <definedName name="IQRH24" hidden="1">"$H$25"</definedName>
    <definedName name="IQRH3" hidden="1">"$H$4:$H$253"</definedName>
    <definedName name="IQRH405" hidden="1">"$H$406:$H$658"</definedName>
    <definedName name="IQRH406" hidden="1">"$H$407:$H$659"</definedName>
    <definedName name="IQRH41" hidden="1">"$H$42"</definedName>
    <definedName name="IQRH413" hidden="1">"$H$414:$H$666"</definedName>
    <definedName name="IQRH415" hidden="1">"$H$416:$H$668"</definedName>
    <definedName name="IQRH417" hidden="1">"$H$418:$H$670"</definedName>
    <definedName name="IQRH419" hidden="1">"$H$420:$H$672"</definedName>
    <definedName name="IQRH434" hidden="1">"$H$435:$H$687"</definedName>
    <definedName name="IQRH439" hidden="1">"$H$440:$H$692"</definedName>
    <definedName name="IQRH441" hidden="1">"$H$442:$H$694"</definedName>
    <definedName name="IQRH442" hidden="1">"$H$443:$H$695"</definedName>
    <definedName name="IQRH443" hidden="1">"$H$444:$H$696"</definedName>
    <definedName name="IQRH444" hidden="1">"$H$445:$H$697"</definedName>
    <definedName name="IQRH448" hidden="1">"$H$449:$H$701"</definedName>
    <definedName name="IQRH449" hidden="1">"$H$450:$H$702"</definedName>
    <definedName name="IQRH450" hidden="1">"$H$451:$H$703"</definedName>
    <definedName name="IQRH5" hidden="1">"$H$6:$H$256"</definedName>
    <definedName name="IQRH581" hidden="1">"$H$582:$H$834"</definedName>
    <definedName name="IQRH582" hidden="1">"$H$583:$H$835"</definedName>
    <definedName name="IQRH583" hidden="1">"$H$584:$H$836"</definedName>
    <definedName name="IQRH59" hidden="1">"$H$60"</definedName>
    <definedName name="IQRH6" hidden="1">"$H$7:$H$112"</definedName>
    <definedName name="IQRH7" hidden="1">"$H$8"</definedName>
    <definedName name="IQRH8" hidden="1">#REF!</definedName>
    <definedName name="IQRH81" hidden="1">"$H$82:$H$86"</definedName>
    <definedName name="IQRH9" hidden="1">#REF!</definedName>
    <definedName name="IQRHandelsdatenO13" hidden="1">#REF!</definedName>
    <definedName name="IQRHandelsdatenP13" hidden="1">#REF!</definedName>
    <definedName name="IQRHistoricalOwnershipA14" hidden="1">#REF!</definedName>
    <definedName name="IQRHistoricalOwnershipAA14" hidden="1">#REF!</definedName>
    <definedName name="IQRHistoricalOwnershipB14" hidden="1">#REF!</definedName>
    <definedName name="IQRHistoricalOwnershipE14" hidden="1">#REF!</definedName>
    <definedName name="IQRHistoricalOwnershipG14" hidden="1">#REF!</definedName>
    <definedName name="IQRHistoricalOwnershipI14" hidden="1">#REF!</definedName>
    <definedName name="IQRHistoricalOwnershipK14" hidden="1">#REF!</definedName>
    <definedName name="IQRHistoricalOwnershipM14" hidden="1">#REF!</definedName>
    <definedName name="IQRHistoricalOwnershipO14" hidden="1">#REF!</definedName>
    <definedName name="IQRHistoricalOwnershipQ14" hidden="1">#REF!</definedName>
    <definedName name="IQRHistoricalOwnershipS14" hidden="1">#REF!</definedName>
    <definedName name="IQRHistoricalOwnershipU14" hidden="1">#REF!</definedName>
    <definedName name="IQRHistoricalOwnershipW14" hidden="1">#REF!</definedName>
    <definedName name="IQRHistoricalOwnershipY14" hidden="1">#REF!</definedName>
    <definedName name="IQRI12" hidden="1">"$I$13:$I$36"</definedName>
    <definedName name="IQRI2" hidden="1">"$I$3:$I$66"</definedName>
    <definedName name="IQRI21" hidden="1">"$I$22"</definedName>
    <definedName name="IQRI24" hidden="1">"$I$25"</definedName>
    <definedName name="IQRI39" hidden="1">"$I$40:$I$61"</definedName>
    <definedName name="IQRI5" hidden="1">"$I$6:$I$511"</definedName>
    <definedName name="IQRI6" hidden="1">"$I$7:$I$112"</definedName>
    <definedName name="IQRI7" hidden="1">"$I$8"</definedName>
    <definedName name="IQRI81" hidden="1">"$I$82:$I$86"</definedName>
    <definedName name="IQRIdentifierLookupI13" hidden="1">#REF!</definedName>
    <definedName name="IQRIdentifierLookupJ13" hidden="1">#REF!</definedName>
    <definedName name="IQRIdentifiersA7" hidden="1">#REF!</definedName>
    <definedName name="IQRIdentifiersH10" hidden="1">#REF!</definedName>
    <definedName name="IQRIdentifiersH100" hidden="1">#REF!</definedName>
    <definedName name="IQRIdentifiersH101" hidden="1">#REF!</definedName>
    <definedName name="IQRIdentifiersH102" hidden="1">#REF!</definedName>
    <definedName name="IQRIdentifiersH103" hidden="1">#REF!</definedName>
    <definedName name="IQRIdentifiersH104" hidden="1">#REF!</definedName>
    <definedName name="IQRIdentifiersH105" hidden="1">#REF!</definedName>
    <definedName name="IQRIdentifiersH106" hidden="1">#REF!</definedName>
    <definedName name="IQRIdentifiersH107" hidden="1">#REF!</definedName>
    <definedName name="IQRIdentifiersH108" hidden="1">#REF!</definedName>
    <definedName name="IQRIdentifiersH109" hidden="1">#REF!</definedName>
    <definedName name="IQRIdentifiersH11" hidden="1">#REF!</definedName>
    <definedName name="IQRIdentifiersH110" hidden="1">#REF!</definedName>
    <definedName name="IQRIdentifiersH111" hidden="1">#REF!</definedName>
    <definedName name="IQRIdentifiersH112" hidden="1">#REF!</definedName>
    <definedName name="IQRIdentifiersH113" hidden="1">#REF!</definedName>
    <definedName name="IQRIdentifiersH114" hidden="1">#REF!</definedName>
    <definedName name="IQRIdentifiersH115" hidden="1">#REF!</definedName>
    <definedName name="IQRIdentifiersH116" hidden="1">#REF!</definedName>
    <definedName name="IQRIdentifiersH117" hidden="1">#REF!</definedName>
    <definedName name="IQRIdentifiersH118" hidden="1">#REF!</definedName>
    <definedName name="IQRIdentifiersH119" hidden="1">#REF!</definedName>
    <definedName name="IQRIdentifiersH12" hidden="1">#REF!</definedName>
    <definedName name="IQRIdentifiersH120" hidden="1">#REF!</definedName>
    <definedName name="IQRIdentifiersH121" hidden="1">#REF!</definedName>
    <definedName name="IQRIdentifiersH122" hidden="1">#REF!</definedName>
    <definedName name="IQRIdentifiersH123" hidden="1">#REF!</definedName>
    <definedName name="IQRIdentifiersH124" hidden="1">#REF!</definedName>
    <definedName name="IQRIdentifiersH125" hidden="1">#REF!</definedName>
    <definedName name="IQRIdentifiersH126" hidden="1">#REF!</definedName>
    <definedName name="IQRIdentifiersH127" hidden="1">#REF!</definedName>
    <definedName name="IQRIdentifiersH128" hidden="1">#REF!</definedName>
    <definedName name="IQRIdentifiersH129" hidden="1">#REF!</definedName>
    <definedName name="IQRIdentifiersH13" hidden="1">#REF!</definedName>
    <definedName name="IQRIdentifiersH130" hidden="1">#REF!</definedName>
    <definedName name="IQRIdentifiersH131" hidden="1">#REF!</definedName>
    <definedName name="IQRIdentifiersH132" hidden="1">#REF!</definedName>
    <definedName name="IQRIdentifiersH133" hidden="1">#REF!</definedName>
    <definedName name="IQRIdentifiersH134" hidden="1">#REF!</definedName>
    <definedName name="IQRIdentifiersH135" hidden="1">#REF!</definedName>
    <definedName name="IQRIdentifiersH136" hidden="1">#REF!</definedName>
    <definedName name="IQRIdentifiersH137" hidden="1">#REF!</definedName>
    <definedName name="IQRIdentifiersH138" hidden="1">#REF!</definedName>
    <definedName name="IQRIdentifiersH139" hidden="1">#REF!</definedName>
    <definedName name="IQRIdentifiersH14" hidden="1">#REF!</definedName>
    <definedName name="IQRIdentifiersH140" hidden="1">#REF!</definedName>
    <definedName name="IQRIdentifiersH141" hidden="1">#REF!</definedName>
    <definedName name="IQRIdentifiersH142" hidden="1">#REF!</definedName>
    <definedName name="IQRIdentifiersH143" hidden="1">#REF!</definedName>
    <definedName name="IQRIdentifiersH144" hidden="1">#REF!</definedName>
    <definedName name="IQRIdentifiersH145" hidden="1">#REF!</definedName>
    <definedName name="IQRIdentifiersH146" hidden="1">#REF!</definedName>
    <definedName name="IQRIdentifiersH147" hidden="1">#REF!</definedName>
    <definedName name="IQRIdentifiersH148" hidden="1">#REF!</definedName>
    <definedName name="IQRIdentifiersH149" hidden="1">#REF!</definedName>
    <definedName name="IQRIdentifiersH15" hidden="1">#REF!</definedName>
    <definedName name="IQRIdentifiersH150" hidden="1">#REF!</definedName>
    <definedName name="IQRIdentifiersH151" hidden="1">#REF!</definedName>
    <definedName name="IQRIdentifiersH152" hidden="1">#REF!</definedName>
    <definedName name="IQRIdentifiersH153" hidden="1">#REF!</definedName>
    <definedName name="IQRIdentifiersH154" hidden="1">#REF!</definedName>
    <definedName name="IQRIdentifiersH155" hidden="1">#REF!</definedName>
    <definedName name="IQRIdentifiersH156" hidden="1">#REF!</definedName>
    <definedName name="IQRIdentifiersH157" hidden="1">#REF!</definedName>
    <definedName name="IQRIdentifiersH158" hidden="1">#REF!</definedName>
    <definedName name="IQRIdentifiersH159" hidden="1">#REF!</definedName>
    <definedName name="IQRIdentifiersH16" hidden="1">#REF!</definedName>
    <definedName name="IQRIdentifiersH160" hidden="1">#REF!</definedName>
    <definedName name="IQRIdentifiersH161" hidden="1">#REF!</definedName>
    <definedName name="IQRIdentifiersH162" hidden="1">#REF!</definedName>
    <definedName name="IQRIdentifiersH163" hidden="1">#REF!</definedName>
    <definedName name="IQRIdentifiersH164" hidden="1">#REF!</definedName>
    <definedName name="IQRIdentifiersH165" hidden="1">#REF!</definedName>
    <definedName name="IQRIdentifiersH166" hidden="1">#REF!</definedName>
    <definedName name="IQRIdentifiersH167" hidden="1">#REF!</definedName>
    <definedName name="IQRIdentifiersH168" hidden="1">#REF!</definedName>
    <definedName name="IQRIdentifiersH169" hidden="1">#REF!</definedName>
    <definedName name="IQRIdentifiersH17" hidden="1">#REF!</definedName>
    <definedName name="IQRIdentifiersH170" hidden="1">#REF!</definedName>
    <definedName name="IQRIdentifiersH171" hidden="1">#REF!</definedName>
    <definedName name="IQRIdentifiersH172" hidden="1">#REF!</definedName>
    <definedName name="IQRIdentifiersH173" hidden="1">#REF!</definedName>
    <definedName name="IQRIdentifiersH174" hidden="1">#REF!</definedName>
    <definedName name="IQRIdentifiersH175" hidden="1">#REF!</definedName>
    <definedName name="IQRIdentifiersH176" hidden="1">#REF!</definedName>
    <definedName name="IQRIdentifiersH177" hidden="1">#REF!</definedName>
    <definedName name="IQRIdentifiersH178" hidden="1">#REF!</definedName>
    <definedName name="IQRIdentifiersH179" hidden="1">#REF!</definedName>
    <definedName name="IQRIdentifiersH18" hidden="1">#REF!</definedName>
    <definedName name="IQRIdentifiersH180" hidden="1">#REF!</definedName>
    <definedName name="IQRIdentifiersH181" hidden="1">#REF!</definedName>
    <definedName name="IQRIdentifiersH182" hidden="1">#REF!</definedName>
    <definedName name="IQRIdentifiersH183" hidden="1">#REF!</definedName>
    <definedName name="IQRIdentifiersH184" hidden="1">#REF!</definedName>
    <definedName name="IQRIdentifiersH185" hidden="1">#REF!</definedName>
    <definedName name="IQRIdentifiersH186" hidden="1">#REF!</definedName>
    <definedName name="IQRIdentifiersH187" hidden="1">#REF!</definedName>
    <definedName name="IQRIdentifiersH188" hidden="1">#REF!</definedName>
    <definedName name="IQRIdentifiersH189" hidden="1">#REF!</definedName>
    <definedName name="IQRIdentifiersH19" hidden="1">#REF!</definedName>
    <definedName name="IQRIdentifiersH190" hidden="1">#REF!</definedName>
    <definedName name="IQRIdentifiersH191" hidden="1">#REF!</definedName>
    <definedName name="IQRIdentifiersH192" hidden="1">#REF!</definedName>
    <definedName name="IQRIdentifiersH193" hidden="1">#REF!</definedName>
    <definedName name="IQRIdentifiersH194" hidden="1">#REF!</definedName>
    <definedName name="IQRIdentifiersH195" hidden="1">#REF!</definedName>
    <definedName name="IQRIdentifiersH196" hidden="1">#REF!</definedName>
    <definedName name="IQRIdentifiersH197" hidden="1">#REF!</definedName>
    <definedName name="IQRIdentifiersH198" hidden="1">#REF!</definedName>
    <definedName name="IQRIdentifiersH199" hidden="1">#REF!</definedName>
    <definedName name="IQRIdentifiersH20" hidden="1">#REF!</definedName>
    <definedName name="IQRIdentifiersH200" hidden="1">#REF!</definedName>
    <definedName name="IQRIdentifiersH201" hidden="1">#REF!</definedName>
    <definedName name="IQRIdentifiersH202" hidden="1">#REF!</definedName>
    <definedName name="IQRIdentifiersH203" hidden="1">#REF!</definedName>
    <definedName name="IQRIdentifiersH204" hidden="1">#REF!</definedName>
    <definedName name="IQRIdentifiersH205" hidden="1">#REF!</definedName>
    <definedName name="IQRIdentifiersH206" hidden="1">#REF!</definedName>
    <definedName name="IQRIdentifiersH207" hidden="1">#REF!</definedName>
    <definedName name="IQRIdentifiersH208" hidden="1">#REF!</definedName>
    <definedName name="IQRIdentifiersH209" hidden="1">#REF!</definedName>
    <definedName name="IQRIdentifiersH21" hidden="1">#REF!</definedName>
    <definedName name="IQRIdentifiersH210" hidden="1">#REF!</definedName>
    <definedName name="IQRIdentifiersH211" hidden="1">#REF!</definedName>
    <definedName name="IQRIdentifiersH212" hidden="1">#REF!</definedName>
    <definedName name="IQRIdentifiersH213" hidden="1">#REF!</definedName>
    <definedName name="IQRIdentifiersH214" hidden="1">#REF!</definedName>
    <definedName name="IQRIdentifiersH215" hidden="1">#REF!</definedName>
    <definedName name="IQRIdentifiersH216" hidden="1">#REF!</definedName>
    <definedName name="IQRIdentifiersH217" hidden="1">#REF!</definedName>
    <definedName name="IQRIdentifiersH218" hidden="1">#REF!</definedName>
    <definedName name="IQRIdentifiersH219" hidden="1">#REF!</definedName>
    <definedName name="IQRIdentifiersH22" hidden="1">#REF!</definedName>
    <definedName name="IQRIdentifiersH220" hidden="1">#REF!</definedName>
    <definedName name="IQRIdentifiersH221" hidden="1">#REF!</definedName>
    <definedName name="IQRIdentifiersH222" hidden="1">#REF!</definedName>
    <definedName name="IQRIdentifiersH223" hidden="1">#REF!</definedName>
    <definedName name="IQRIdentifiersH224" hidden="1">#REF!</definedName>
    <definedName name="IQRIdentifiersH225" hidden="1">#REF!</definedName>
    <definedName name="IQRIdentifiersH226" hidden="1">#REF!</definedName>
    <definedName name="IQRIdentifiersH227" hidden="1">#REF!</definedName>
    <definedName name="IQRIdentifiersH228" hidden="1">#REF!</definedName>
    <definedName name="IQRIdentifiersH229" hidden="1">#REF!</definedName>
    <definedName name="IQRIdentifiersH23" hidden="1">#REF!</definedName>
    <definedName name="IQRIdentifiersH230" hidden="1">#REF!</definedName>
    <definedName name="IQRIdentifiersH231" hidden="1">#REF!</definedName>
    <definedName name="IQRIdentifiersH232" hidden="1">#REF!</definedName>
    <definedName name="IQRIdentifiersH233" hidden="1">#REF!</definedName>
    <definedName name="IQRIdentifiersH234" hidden="1">#REF!</definedName>
    <definedName name="IQRIdentifiersH235" hidden="1">#REF!</definedName>
    <definedName name="IQRIdentifiersH236" hidden="1">#REF!</definedName>
    <definedName name="IQRIdentifiersH237" hidden="1">#REF!</definedName>
    <definedName name="IQRIdentifiersH238" hidden="1">#REF!</definedName>
    <definedName name="IQRIdentifiersH239" hidden="1">#REF!</definedName>
    <definedName name="IQRIdentifiersH24" hidden="1">#REF!</definedName>
    <definedName name="IQRIdentifiersH240" hidden="1">#REF!</definedName>
    <definedName name="IQRIdentifiersH241" hidden="1">#REF!</definedName>
    <definedName name="IQRIdentifiersH242" hidden="1">#REF!</definedName>
    <definedName name="IQRIdentifiersH243" hidden="1">#REF!</definedName>
    <definedName name="IQRIdentifiersH244" hidden="1">#REF!</definedName>
    <definedName name="IQRIdentifiersH245" hidden="1">#REF!</definedName>
    <definedName name="IQRIdentifiersH246" hidden="1">#REF!</definedName>
    <definedName name="IQRIdentifiersH247" hidden="1">#REF!</definedName>
    <definedName name="IQRIdentifiersH248" hidden="1">#REF!</definedName>
    <definedName name="IQRIdentifiersH249" hidden="1">#REF!</definedName>
    <definedName name="IQRIdentifiersH25" hidden="1">#REF!</definedName>
    <definedName name="IQRIdentifiersH250" hidden="1">#REF!</definedName>
    <definedName name="IQRIdentifiersH251" hidden="1">#REF!</definedName>
    <definedName name="IQRIdentifiersH252" hidden="1">#REF!</definedName>
    <definedName name="IQRIdentifiersH253" hidden="1">#REF!</definedName>
    <definedName name="IQRIdentifiersH254" hidden="1">#REF!</definedName>
    <definedName name="IQRIdentifiersH255" hidden="1">#REF!</definedName>
    <definedName name="IQRIdentifiersH256" hidden="1">#REF!</definedName>
    <definedName name="IQRIdentifiersH257" hidden="1">#REF!</definedName>
    <definedName name="IQRIdentifiersH258" hidden="1">#REF!</definedName>
    <definedName name="IQRIdentifiersH259" hidden="1">#REF!</definedName>
    <definedName name="IQRIdentifiersH26" hidden="1">#REF!</definedName>
    <definedName name="IQRIdentifiersH260" hidden="1">#REF!</definedName>
    <definedName name="IQRIdentifiersH261" hidden="1">#REF!</definedName>
    <definedName name="IQRIdentifiersH262" hidden="1">#REF!</definedName>
    <definedName name="IQRIdentifiersH263" hidden="1">#REF!</definedName>
    <definedName name="IQRIdentifiersH264" hidden="1">#REF!</definedName>
    <definedName name="IQRIdentifiersH265" hidden="1">#REF!</definedName>
    <definedName name="IQRIdentifiersH266" hidden="1">#REF!</definedName>
    <definedName name="IQRIdentifiersH267" hidden="1">#REF!</definedName>
    <definedName name="IQRIdentifiersH268" hidden="1">#REF!</definedName>
    <definedName name="IQRIdentifiersH269" hidden="1">#REF!</definedName>
    <definedName name="IQRIdentifiersH27" hidden="1">#REF!</definedName>
    <definedName name="IQRIdentifiersH270" hidden="1">#REF!</definedName>
    <definedName name="IQRIdentifiersH271" hidden="1">#REF!</definedName>
    <definedName name="IQRIdentifiersH272" hidden="1">#REF!</definedName>
    <definedName name="IQRIdentifiersH273" hidden="1">#REF!</definedName>
    <definedName name="IQRIdentifiersH274" hidden="1">#REF!</definedName>
    <definedName name="IQRIdentifiersH275" hidden="1">#REF!</definedName>
    <definedName name="IQRIdentifiersH276" hidden="1">#REF!</definedName>
    <definedName name="IQRIdentifiersH277" hidden="1">#REF!</definedName>
    <definedName name="IQRIdentifiersH278" hidden="1">#REF!</definedName>
    <definedName name="IQRIdentifiersH279" hidden="1">#REF!</definedName>
    <definedName name="IQRIdentifiersH28" hidden="1">#REF!</definedName>
    <definedName name="IQRIdentifiersH280" hidden="1">#REF!</definedName>
    <definedName name="IQRIdentifiersH281" hidden="1">#REF!</definedName>
    <definedName name="IQRIdentifiersH282" hidden="1">#REF!</definedName>
    <definedName name="IQRIdentifiersH283" hidden="1">#REF!</definedName>
    <definedName name="IQRIdentifiersH284" hidden="1">#REF!</definedName>
    <definedName name="IQRIdentifiersH285" hidden="1">#REF!</definedName>
    <definedName name="IQRIdentifiersH286" hidden="1">#REF!</definedName>
    <definedName name="IQRIdentifiersH287" hidden="1">#REF!</definedName>
    <definedName name="IQRIdentifiersH288" hidden="1">#REF!</definedName>
    <definedName name="IQRIdentifiersH289" hidden="1">#REF!</definedName>
    <definedName name="IQRIdentifiersH29" hidden="1">#REF!</definedName>
    <definedName name="IQRIdentifiersH290" hidden="1">#REF!</definedName>
    <definedName name="IQRIdentifiersH291" hidden="1">#REF!</definedName>
    <definedName name="IQRIdentifiersH292" hidden="1">#REF!</definedName>
    <definedName name="IQRIdentifiersH293" hidden="1">#REF!</definedName>
    <definedName name="IQRIdentifiersH294" hidden="1">#REF!</definedName>
    <definedName name="IQRIdentifiersH295" hidden="1">#REF!</definedName>
    <definedName name="IQRIdentifiersH296" hidden="1">#REF!</definedName>
    <definedName name="IQRIdentifiersH297" hidden="1">#REF!</definedName>
    <definedName name="IQRIdentifiersH298" hidden="1">#REF!</definedName>
    <definedName name="IQRIdentifiersH299" hidden="1">#REF!</definedName>
    <definedName name="IQRIdentifiersH30" hidden="1">#REF!</definedName>
    <definedName name="IQRIdentifiersH300" hidden="1">#REF!</definedName>
    <definedName name="IQRIdentifiersH301" hidden="1">#REF!</definedName>
    <definedName name="IQRIdentifiersH302" hidden="1">#REF!</definedName>
    <definedName name="IQRIdentifiersH303" hidden="1">#REF!</definedName>
    <definedName name="IQRIdentifiersH304" hidden="1">#REF!</definedName>
    <definedName name="IQRIdentifiersH305" hidden="1">#REF!</definedName>
    <definedName name="IQRIdentifiersH306" hidden="1">#REF!</definedName>
    <definedName name="IQRIdentifiersH307" hidden="1">#REF!</definedName>
    <definedName name="IQRIdentifiersH308" hidden="1">#REF!</definedName>
    <definedName name="IQRIdentifiersH309" hidden="1">#REF!</definedName>
    <definedName name="IQRIdentifiersH31" hidden="1">#REF!</definedName>
    <definedName name="IQRIdentifiersH310" hidden="1">#REF!</definedName>
    <definedName name="IQRIdentifiersH311" hidden="1">#REF!</definedName>
    <definedName name="IQRIdentifiersH312" hidden="1">#REF!</definedName>
    <definedName name="IQRIdentifiersH313" hidden="1">#REF!</definedName>
    <definedName name="IQRIdentifiersH314" hidden="1">#REF!</definedName>
    <definedName name="IQRIdentifiersH315" hidden="1">#REF!</definedName>
    <definedName name="IQRIdentifiersH316" hidden="1">#REF!</definedName>
    <definedName name="IQRIdentifiersH317" hidden="1">#REF!</definedName>
    <definedName name="IQRIdentifiersH318" hidden="1">#REF!</definedName>
    <definedName name="IQRIdentifiersH319" hidden="1">#REF!</definedName>
    <definedName name="IQRIdentifiersH32" hidden="1">#REF!</definedName>
    <definedName name="IQRIdentifiersH320" hidden="1">#REF!</definedName>
    <definedName name="IQRIdentifiersH321" hidden="1">#REF!</definedName>
    <definedName name="IQRIdentifiersH322" hidden="1">#REF!</definedName>
    <definedName name="IQRIdentifiersH323" hidden="1">#REF!</definedName>
    <definedName name="IQRIdentifiersH324" hidden="1">#REF!</definedName>
    <definedName name="IQRIdentifiersH325" hidden="1">#REF!</definedName>
    <definedName name="IQRIdentifiersH326" hidden="1">#REF!</definedName>
    <definedName name="IQRIdentifiersH327" hidden="1">#REF!</definedName>
    <definedName name="IQRIdentifiersH328" hidden="1">#REF!</definedName>
    <definedName name="IQRIdentifiersH329" hidden="1">#REF!</definedName>
    <definedName name="IQRIdentifiersH33" hidden="1">#REF!</definedName>
    <definedName name="IQRIdentifiersH330" hidden="1">#REF!</definedName>
    <definedName name="IQRIdentifiersH331" hidden="1">#REF!</definedName>
    <definedName name="IQRIdentifiersH332" hidden="1">#REF!</definedName>
    <definedName name="IQRIdentifiersH333" hidden="1">#REF!</definedName>
    <definedName name="IQRIdentifiersH334" hidden="1">#REF!</definedName>
    <definedName name="IQRIdentifiersH335" hidden="1">#REF!</definedName>
    <definedName name="IQRIdentifiersH336" hidden="1">#REF!</definedName>
    <definedName name="IQRIdentifiersH337" hidden="1">#REF!</definedName>
    <definedName name="IQRIdentifiersH338" hidden="1">#REF!</definedName>
    <definedName name="IQRIdentifiersH339" hidden="1">#REF!</definedName>
    <definedName name="IQRIdentifiersH34" hidden="1">#REF!</definedName>
    <definedName name="IQRIdentifiersH340" hidden="1">#REF!</definedName>
    <definedName name="IQRIdentifiersH341" hidden="1">#REF!</definedName>
    <definedName name="IQRIdentifiersH342" hidden="1">#REF!</definedName>
    <definedName name="IQRIdentifiersH343" hidden="1">#REF!</definedName>
    <definedName name="IQRIdentifiersH344" hidden="1">#REF!</definedName>
    <definedName name="IQRIdentifiersH345" hidden="1">#REF!</definedName>
    <definedName name="IQRIdentifiersH346" hidden="1">#REF!</definedName>
    <definedName name="IQRIdentifiersH347" hidden="1">#REF!</definedName>
    <definedName name="IQRIdentifiersH348" hidden="1">#REF!</definedName>
    <definedName name="IQRIdentifiersH349" hidden="1">#REF!</definedName>
    <definedName name="IQRIdentifiersH35" hidden="1">#REF!</definedName>
    <definedName name="IQRIdentifiersH350" hidden="1">#REF!</definedName>
    <definedName name="IQRIdentifiersH351" hidden="1">#REF!</definedName>
    <definedName name="IQRIdentifiersH352" hidden="1">#REF!</definedName>
    <definedName name="IQRIdentifiersH353" hidden="1">#REF!</definedName>
    <definedName name="IQRIdentifiersH354" hidden="1">#REF!</definedName>
    <definedName name="IQRIdentifiersH355" hidden="1">#REF!</definedName>
    <definedName name="IQRIdentifiersH356" hidden="1">#REF!</definedName>
    <definedName name="IQRIdentifiersH357" hidden="1">#REF!</definedName>
    <definedName name="IQRIdentifiersH358" hidden="1">#REF!</definedName>
    <definedName name="IQRIdentifiersH359" hidden="1">#REF!</definedName>
    <definedName name="IQRIdentifiersH36" hidden="1">#REF!</definedName>
    <definedName name="IQRIdentifiersH360" hidden="1">#REF!</definedName>
    <definedName name="IQRIdentifiersH361" hidden="1">#REF!</definedName>
    <definedName name="IQRIdentifiersH362" hidden="1">#REF!</definedName>
    <definedName name="IQRIdentifiersH363" hidden="1">#REF!</definedName>
    <definedName name="IQRIdentifiersH364" hidden="1">#REF!</definedName>
    <definedName name="IQRIdentifiersH365" hidden="1">#REF!</definedName>
    <definedName name="IQRIdentifiersH366" hidden="1">#REF!</definedName>
    <definedName name="IQRIdentifiersH367" hidden="1">#REF!</definedName>
    <definedName name="IQRIdentifiersH368" hidden="1">#REF!</definedName>
    <definedName name="IQRIdentifiersH369" hidden="1">#REF!</definedName>
    <definedName name="IQRIdentifiersH37" hidden="1">#REF!</definedName>
    <definedName name="IQRIdentifiersH370" hidden="1">#REF!</definedName>
    <definedName name="IQRIdentifiersH371" hidden="1">#REF!</definedName>
    <definedName name="IQRIdentifiersH372" hidden="1">#REF!</definedName>
    <definedName name="IQRIdentifiersH373" hidden="1">#REF!</definedName>
    <definedName name="IQRIdentifiersH374" hidden="1">#REF!</definedName>
    <definedName name="IQRIdentifiersH375" hidden="1">#REF!</definedName>
    <definedName name="IQRIdentifiersH376" hidden="1">#REF!</definedName>
    <definedName name="IQRIdentifiersH377" hidden="1">#REF!</definedName>
    <definedName name="IQRIdentifiersH378" hidden="1">#REF!</definedName>
    <definedName name="IQRIdentifiersH379" hidden="1">#REF!</definedName>
    <definedName name="IQRIdentifiersH38" hidden="1">#REF!</definedName>
    <definedName name="IQRIdentifiersH380" hidden="1">#REF!</definedName>
    <definedName name="IQRIdentifiersH381" hidden="1">#REF!</definedName>
    <definedName name="IQRIdentifiersH382" hidden="1">#REF!</definedName>
    <definedName name="IQRIdentifiersH383" hidden="1">#REF!</definedName>
    <definedName name="IQRIdentifiersH384" hidden="1">#REF!</definedName>
    <definedName name="IQRIdentifiersH385" hidden="1">#REF!</definedName>
    <definedName name="IQRIdentifiersH386" hidden="1">#REF!</definedName>
    <definedName name="IQRIdentifiersH387" hidden="1">#REF!</definedName>
    <definedName name="IQRIdentifiersH388" hidden="1">#REF!</definedName>
    <definedName name="IQRIdentifiersH389" hidden="1">#REF!</definedName>
    <definedName name="IQRIdentifiersH39" hidden="1">#REF!</definedName>
    <definedName name="IQRIdentifiersH390" hidden="1">#REF!</definedName>
    <definedName name="IQRIdentifiersH391" hidden="1">#REF!</definedName>
    <definedName name="IQRIdentifiersH392" hidden="1">#REF!</definedName>
    <definedName name="IQRIdentifiersH393" hidden="1">#REF!</definedName>
    <definedName name="IQRIdentifiersH394" hidden="1">#REF!</definedName>
    <definedName name="IQRIdentifiersH395" hidden="1">#REF!</definedName>
    <definedName name="IQRIdentifiersH396" hidden="1">#REF!</definedName>
    <definedName name="IQRIdentifiersH397" hidden="1">#REF!</definedName>
    <definedName name="IQRIdentifiersH398" hidden="1">#REF!</definedName>
    <definedName name="IQRIdentifiersH399" hidden="1">#REF!</definedName>
    <definedName name="IQRIdentifiersH40" hidden="1">#REF!</definedName>
    <definedName name="IQRIdentifiersH400" hidden="1">#REF!</definedName>
    <definedName name="IQRIdentifiersH401" hidden="1">#REF!</definedName>
    <definedName name="IQRIdentifiersH402" hidden="1">#REF!</definedName>
    <definedName name="IQRIdentifiersH403" hidden="1">#REF!</definedName>
    <definedName name="IQRIdentifiersH404" hidden="1">#REF!</definedName>
    <definedName name="IQRIdentifiersH405" hidden="1">#REF!</definedName>
    <definedName name="IQRIdentifiersH406" hidden="1">#REF!</definedName>
    <definedName name="IQRIdentifiersH407" hidden="1">#REF!</definedName>
    <definedName name="IQRIdentifiersH408" hidden="1">#REF!</definedName>
    <definedName name="IQRIdentifiersH409" hidden="1">#REF!</definedName>
    <definedName name="IQRIdentifiersH41" hidden="1">#REF!</definedName>
    <definedName name="IQRIdentifiersH410" hidden="1">#REF!</definedName>
    <definedName name="IQRIdentifiersH411" hidden="1">#REF!</definedName>
    <definedName name="IQRIdentifiersH412" hidden="1">#REF!</definedName>
    <definedName name="IQRIdentifiersH413" hidden="1">#REF!</definedName>
    <definedName name="IQRIdentifiersH414" hidden="1">#REF!</definedName>
    <definedName name="IQRIdentifiersH415" hidden="1">#REF!</definedName>
    <definedName name="IQRIdentifiersH416" hidden="1">#REF!</definedName>
    <definedName name="IQRIdentifiersH417" hidden="1">#REF!</definedName>
    <definedName name="IQRIdentifiersH418" hidden="1">#REF!</definedName>
    <definedName name="IQRIdentifiersH419" hidden="1">#REF!</definedName>
    <definedName name="IQRIdentifiersH42" hidden="1">#REF!</definedName>
    <definedName name="IQRIdentifiersH420" hidden="1">#REF!</definedName>
    <definedName name="IQRIdentifiersH421" hidden="1">#REF!</definedName>
    <definedName name="IQRIdentifiersH422" hidden="1">#REF!</definedName>
    <definedName name="IQRIdentifiersH423" hidden="1">#REF!</definedName>
    <definedName name="IQRIdentifiersH424" hidden="1">#REF!</definedName>
    <definedName name="IQRIdentifiersH425" hidden="1">#REF!</definedName>
    <definedName name="IQRIdentifiersH426" hidden="1">#REF!</definedName>
    <definedName name="IQRIdentifiersH427" hidden="1">#REF!</definedName>
    <definedName name="IQRIdentifiersH428" hidden="1">#REF!</definedName>
    <definedName name="IQRIdentifiersH429" hidden="1">#REF!</definedName>
    <definedName name="IQRIdentifiersH43" hidden="1">#REF!</definedName>
    <definedName name="IQRIdentifiersH430" hidden="1">#REF!</definedName>
    <definedName name="IQRIdentifiersH431" hidden="1">#REF!</definedName>
    <definedName name="IQRIdentifiersH432" hidden="1">#REF!</definedName>
    <definedName name="IQRIdentifiersH433" hidden="1">#REF!</definedName>
    <definedName name="IQRIdentifiersH434" hidden="1">#REF!</definedName>
    <definedName name="IQRIdentifiersH435" hidden="1">#REF!</definedName>
    <definedName name="IQRIdentifiersH436" hidden="1">#REF!</definedName>
    <definedName name="IQRIdentifiersH437" hidden="1">#REF!</definedName>
    <definedName name="IQRIdentifiersH438" hidden="1">#REF!</definedName>
    <definedName name="IQRIdentifiersH439" hidden="1">#REF!</definedName>
    <definedName name="IQRIdentifiersH44" hidden="1">#REF!</definedName>
    <definedName name="IQRIdentifiersH440" hidden="1">#REF!</definedName>
    <definedName name="IQRIdentifiersH441" hidden="1">#REF!</definedName>
    <definedName name="IQRIdentifiersH442" hidden="1">#REF!</definedName>
    <definedName name="IQRIdentifiersH443" hidden="1">#REF!</definedName>
    <definedName name="IQRIdentifiersH444" hidden="1">#REF!</definedName>
    <definedName name="IQRIdentifiersH445" hidden="1">#REF!</definedName>
    <definedName name="IQRIdentifiersH446" hidden="1">#REF!</definedName>
    <definedName name="IQRIdentifiersH447" hidden="1">#REF!</definedName>
    <definedName name="IQRIdentifiersH448" hidden="1">#REF!</definedName>
    <definedName name="IQRIdentifiersH449" hidden="1">#REF!</definedName>
    <definedName name="IQRIdentifiersH45" hidden="1">#REF!</definedName>
    <definedName name="IQRIdentifiersH450" hidden="1">#REF!</definedName>
    <definedName name="IQRIdentifiersH451" hidden="1">#REF!</definedName>
    <definedName name="IQRIdentifiersH452" hidden="1">#REF!</definedName>
    <definedName name="IQRIdentifiersH453" hidden="1">#REF!</definedName>
    <definedName name="IQRIdentifiersH454" hidden="1">#REF!</definedName>
    <definedName name="IQRIdentifiersH455" hidden="1">#REF!</definedName>
    <definedName name="IQRIdentifiersH456" hidden="1">#REF!</definedName>
    <definedName name="IQRIdentifiersH457" hidden="1">#REF!</definedName>
    <definedName name="IQRIdentifiersH458" hidden="1">#REF!</definedName>
    <definedName name="IQRIdentifiersH459" hidden="1">#REF!</definedName>
    <definedName name="IQRIdentifiersH46" hidden="1">#REF!</definedName>
    <definedName name="IQRIdentifiersH460" hidden="1">#REF!</definedName>
    <definedName name="IQRIdentifiersH461" hidden="1">#REF!</definedName>
    <definedName name="IQRIdentifiersH462" hidden="1">#REF!</definedName>
    <definedName name="IQRIdentifiersH463" hidden="1">#REF!</definedName>
    <definedName name="IQRIdentifiersH464" hidden="1">#REF!</definedName>
    <definedName name="IQRIdentifiersH465" hidden="1">#REF!</definedName>
    <definedName name="IQRIdentifiersH466" hidden="1">#REF!</definedName>
    <definedName name="IQRIdentifiersH467" hidden="1">#REF!</definedName>
    <definedName name="IQRIdentifiersH468" hidden="1">#REF!</definedName>
    <definedName name="IQRIdentifiersH469" hidden="1">#REF!</definedName>
    <definedName name="IQRIdentifiersH47" hidden="1">#REF!</definedName>
    <definedName name="IQRIdentifiersH470" hidden="1">#REF!</definedName>
    <definedName name="IQRIdentifiersH471" hidden="1">#REF!</definedName>
    <definedName name="IQRIdentifiersH472" hidden="1">#REF!</definedName>
    <definedName name="IQRIdentifiersH473" hidden="1">#REF!</definedName>
    <definedName name="IQRIdentifiersH474" hidden="1">#REF!</definedName>
    <definedName name="IQRIdentifiersH475" hidden="1">#REF!</definedName>
    <definedName name="IQRIdentifiersH476" hidden="1">#REF!</definedName>
    <definedName name="IQRIdentifiersH477" hidden="1">#REF!</definedName>
    <definedName name="IQRIdentifiersH478" hidden="1">#REF!</definedName>
    <definedName name="IQRIdentifiersH479" hidden="1">#REF!</definedName>
    <definedName name="IQRIdentifiersH48" hidden="1">#REF!</definedName>
    <definedName name="IQRIdentifiersH480" hidden="1">#REF!</definedName>
    <definedName name="IQRIdentifiersH481" hidden="1">#REF!</definedName>
    <definedName name="IQRIdentifiersH482" hidden="1">#REF!</definedName>
    <definedName name="IQRIdentifiersH483" hidden="1">#REF!</definedName>
    <definedName name="IQRIdentifiersH484" hidden="1">#REF!</definedName>
    <definedName name="IQRIdentifiersH485" hidden="1">#REF!</definedName>
    <definedName name="IQRIdentifiersH486" hidden="1">#REF!</definedName>
    <definedName name="IQRIdentifiersH487" hidden="1">#REF!</definedName>
    <definedName name="IQRIdentifiersH488" hidden="1">#REF!</definedName>
    <definedName name="IQRIdentifiersH489" hidden="1">#REF!</definedName>
    <definedName name="IQRIdentifiersH49" hidden="1">#REF!</definedName>
    <definedName name="IQRIdentifiersH490" hidden="1">#REF!</definedName>
    <definedName name="IQRIdentifiersH491" hidden="1">#REF!</definedName>
    <definedName name="IQRIdentifiersH492" hidden="1">#REF!</definedName>
    <definedName name="IQRIdentifiersH493" hidden="1">#REF!</definedName>
    <definedName name="IQRIdentifiersH494" hidden="1">#REF!</definedName>
    <definedName name="IQRIdentifiersH495" hidden="1">#REF!</definedName>
    <definedName name="IQRIdentifiersH496" hidden="1">#REF!</definedName>
    <definedName name="IQRIdentifiersH497" hidden="1">#REF!</definedName>
    <definedName name="IQRIdentifiersH498" hidden="1">#REF!</definedName>
    <definedName name="IQRIdentifiersH499" hidden="1">#REF!</definedName>
    <definedName name="IQRIdentifiersH50" hidden="1">#REF!</definedName>
    <definedName name="IQRIdentifiersH500" hidden="1">#REF!</definedName>
    <definedName name="IQRIdentifiersH501" hidden="1">#REF!</definedName>
    <definedName name="IQRIdentifiersH502" hidden="1">#REF!</definedName>
    <definedName name="IQRIdentifiersH503" hidden="1">#REF!</definedName>
    <definedName name="IQRIdentifiersH504" hidden="1">#REF!</definedName>
    <definedName name="IQRIdentifiersH505" hidden="1">#REF!</definedName>
    <definedName name="IQRIdentifiersH506" hidden="1">#REF!</definedName>
    <definedName name="IQRIdentifiersH507" hidden="1">#REF!</definedName>
    <definedName name="IQRIdentifiersH51" hidden="1">#REF!</definedName>
    <definedName name="IQRIdentifiersH52" hidden="1">#REF!</definedName>
    <definedName name="IQRIdentifiersH53" hidden="1">#REF!</definedName>
    <definedName name="IQRIdentifiersH54" hidden="1">#REF!</definedName>
    <definedName name="IQRIdentifiersH55" hidden="1">#REF!</definedName>
    <definedName name="IQRIdentifiersH56" hidden="1">#REF!</definedName>
    <definedName name="IQRIdentifiersH57" hidden="1">#REF!</definedName>
    <definedName name="IQRIdentifiersH58" hidden="1">#REF!</definedName>
    <definedName name="IQRIdentifiersH59" hidden="1">#REF!</definedName>
    <definedName name="IQRIdentifiersH60" hidden="1">#REF!</definedName>
    <definedName name="IQRIdentifiersH61" hidden="1">#REF!</definedName>
    <definedName name="IQRIdentifiersH62" hidden="1">#REF!</definedName>
    <definedName name="IQRIdentifiersH63" hidden="1">#REF!</definedName>
    <definedName name="IQRIdentifiersH64" hidden="1">#REF!</definedName>
    <definedName name="IQRIdentifiersH65" hidden="1">#REF!</definedName>
    <definedName name="IQRIdentifiersH66" hidden="1">#REF!</definedName>
    <definedName name="IQRIdentifiersH67" hidden="1">#REF!</definedName>
    <definedName name="IQRIdentifiersH68" hidden="1">#REF!</definedName>
    <definedName name="IQRIdentifiersH69" hidden="1">#REF!</definedName>
    <definedName name="IQRIdentifiersH70" hidden="1">#REF!</definedName>
    <definedName name="IQRIdentifiersH71" hidden="1">#REF!</definedName>
    <definedName name="IQRIdentifiersH72" hidden="1">#REF!</definedName>
    <definedName name="IQRIdentifiersH73" hidden="1">#REF!</definedName>
    <definedName name="IQRIdentifiersH74" hidden="1">#REF!</definedName>
    <definedName name="IQRIdentifiersH75" hidden="1">#REF!</definedName>
    <definedName name="IQRIdentifiersH76" hidden="1">#REF!</definedName>
    <definedName name="IQRIdentifiersH77" hidden="1">#REF!</definedName>
    <definedName name="IQRIdentifiersH78" hidden="1">#REF!</definedName>
    <definedName name="IQRIdentifiersH79" hidden="1">#REF!</definedName>
    <definedName name="IQRIdentifiersH8" hidden="1">#REF!</definedName>
    <definedName name="IQRIdentifiersH80" hidden="1">#REF!</definedName>
    <definedName name="IQRIdentifiersH81" hidden="1">#REF!</definedName>
    <definedName name="IQRIdentifiersH82" hidden="1">#REF!</definedName>
    <definedName name="IQRIdentifiersH83" hidden="1">#REF!</definedName>
    <definedName name="IQRIdentifiersH84" hidden="1">#REF!</definedName>
    <definedName name="IQRIdentifiersH85" hidden="1">#REF!</definedName>
    <definedName name="IQRIdentifiersH86" hidden="1">#REF!</definedName>
    <definedName name="IQRIdentifiersH87" hidden="1">#REF!</definedName>
    <definedName name="IQRIdentifiersH88" hidden="1">#REF!</definedName>
    <definedName name="IQRIdentifiersH89" hidden="1">#REF!</definedName>
    <definedName name="IQRIdentifiersH9" hidden="1">#REF!</definedName>
    <definedName name="IQRIdentifiersH90" hidden="1">#REF!</definedName>
    <definedName name="IQRIdentifiersH91" hidden="1">#REF!</definedName>
    <definedName name="IQRIdentifiersH92" hidden="1">#REF!</definedName>
    <definedName name="IQRIdentifiersH93" hidden="1">#REF!</definedName>
    <definedName name="IQRIdentifiersH94" hidden="1">#REF!</definedName>
    <definedName name="IQRIdentifiersH95" hidden="1">#REF!</definedName>
    <definedName name="IQRIdentifiersH96" hidden="1">#REF!</definedName>
    <definedName name="IQRIdentifiersH97" hidden="1">#REF!</definedName>
    <definedName name="IQRIdentifiersH98" hidden="1">#REF!</definedName>
    <definedName name="IQRIdentifiersH99" hidden="1">#REF!</definedName>
    <definedName name="IQRIdentifiersI8" hidden="1">#REF!</definedName>
    <definedName name="IQRIdentifiersJ14" hidden="1">#REF!</definedName>
    <definedName name="IQRIdentifiersK8" hidden="1">#REF!</definedName>
    <definedName name="IQRIndexDataA8" hidden="1">#REF!</definedName>
    <definedName name="IQRInputH15" hidden="1">#REF!</definedName>
    <definedName name="IQRInputsC1" hidden="1">#REF!</definedName>
    <definedName name="IQRInputTabC14" hidden="1">#REF!</definedName>
    <definedName name="IQRInterestRateDataA4" hidden="1">#REF!</definedName>
    <definedName name="IQRIQ_YieldCurvesAQ76" hidden="1">#REF!</definedName>
    <definedName name="IQRIssuerTransparencyAX3" hidden="1">#REF!</definedName>
    <definedName name="IQRIssuerTransparencyAX4" hidden="1">#REF!</definedName>
    <definedName name="IQRIssuerTransparencyBV3" hidden="1">#REF!</definedName>
    <definedName name="IQRIssuerTransparencyT3" hidden="1">#REF!</definedName>
    <definedName name="IQRIssuerTransparencyU3" hidden="1">#REF!</definedName>
    <definedName name="IQRIssuerTransparencyV3" hidden="1">#REF!</definedName>
    <definedName name="IQRIssuesD1" hidden="1">#REF!</definedName>
    <definedName name="IQRIssuesD10" hidden="1">#REF!</definedName>
    <definedName name="IQRIssuesD11" hidden="1">#REF!</definedName>
    <definedName name="IQRIssuesD12" hidden="1">#REF!</definedName>
    <definedName name="IQRIssuesD13" hidden="1">#REF!</definedName>
    <definedName name="IQRIssuesD14" hidden="1">#REF!</definedName>
    <definedName name="IQRIssuesD15" hidden="1">#REF!</definedName>
    <definedName name="IQRIssuesD16" hidden="1">#REF!</definedName>
    <definedName name="IQRIssuesD17" hidden="1">#REF!</definedName>
    <definedName name="IQRIssuesD18" hidden="1">#REF!</definedName>
    <definedName name="IQRIssuesD19" hidden="1">#REF!</definedName>
    <definedName name="IQRIssuesD2" hidden="1">#REF!</definedName>
    <definedName name="IQRIssuesD20" hidden="1">#REF!</definedName>
    <definedName name="IQRIssuesD21" hidden="1">#REF!</definedName>
    <definedName name="IQRIssuesD24" hidden="1">#REF!</definedName>
    <definedName name="IQRIssuesD25" hidden="1">#REF!</definedName>
    <definedName name="IQRIssuesD26" hidden="1">#REF!</definedName>
    <definedName name="IQRIssuesD28" hidden="1">#REF!</definedName>
    <definedName name="IQRIssuesD29" hidden="1">#REF!</definedName>
    <definedName name="IQRIssuesD3" hidden="1">#REF!</definedName>
    <definedName name="IQRIssuesD30" hidden="1">#REF!</definedName>
    <definedName name="IQRIssuesD31" hidden="1">#REF!</definedName>
    <definedName name="IQRIssuesD32" hidden="1">#REF!</definedName>
    <definedName name="IQRIssuesD33" hidden="1">#REF!</definedName>
    <definedName name="IQRIssuesD34" hidden="1">#REF!</definedName>
    <definedName name="IQRIssuesD35" hidden="1">#REF!</definedName>
    <definedName name="IQRIssuesD36" hidden="1">#REF!</definedName>
    <definedName name="IQRIssuesD37" hidden="1">#REF!</definedName>
    <definedName name="IQRIssuesD38" hidden="1">#REF!</definedName>
    <definedName name="IQRIssuesD39" hidden="1">#REF!</definedName>
    <definedName name="IQRIssuesD4" hidden="1">#REF!</definedName>
    <definedName name="IQRIssuesD40" hidden="1">#REF!</definedName>
    <definedName name="IQRIssuesD41" hidden="1">#REF!</definedName>
    <definedName name="IQRIssuesD42" hidden="1">#REF!</definedName>
    <definedName name="IQRIssuesD43" hidden="1">#REF!</definedName>
    <definedName name="IQRIssuesD44" hidden="1">#REF!</definedName>
    <definedName name="IQRIssuesD45" hidden="1">#REF!</definedName>
    <definedName name="IQRIssuesD46" hidden="1">#REF!</definedName>
    <definedName name="IQRIssuesD47" hidden="1">#REF!</definedName>
    <definedName name="IQRIssuesD48" hidden="1">#REF!</definedName>
    <definedName name="IQRIssuesD5" hidden="1">#REF!</definedName>
    <definedName name="IQRIssuesD6" hidden="1">#REF!</definedName>
    <definedName name="IQRIssuesD7" hidden="1">#REF!</definedName>
    <definedName name="IQRIssuesD8" hidden="1">#REF!</definedName>
    <definedName name="IQRIssuesD9" hidden="1">#REF!</definedName>
    <definedName name="IQRJ24" hidden="1">"$J$25:$J$26"</definedName>
    <definedName name="IQRJ3" hidden="1">"$J$4:$J$253"</definedName>
    <definedName name="IQRJ4" hidden="1">"$J$5:$J$254"</definedName>
    <definedName name="IQRJ405" hidden="1">"$J$406:$J$658"</definedName>
    <definedName name="IQRJ406" hidden="1">"$J$407:$J$659"</definedName>
    <definedName name="IQRJ413" hidden="1">"$J$414:$J$666"</definedName>
    <definedName name="IQRJ415" hidden="1">"$J$416:$J$668"</definedName>
    <definedName name="IQRJ417" hidden="1">"$J$418:$J$670"</definedName>
    <definedName name="IQRJ419" hidden="1">"$J$420:$J$672"</definedName>
    <definedName name="IQRJ434" hidden="1">"$J$435:$J$687"</definedName>
    <definedName name="IQRJ439" hidden="1">"$J$440:$J$692"</definedName>
    <definedName name="IQRJ441" hidden="1">"$J$442:$J$694"</definedName>
    <definedName name="IQRJ442" hidden="1">"$J$443:$J$695"</definedName>
    <definedName name="IQRJ443" hidden="1">"$J$444:$J$696"</definedName>
    <definedName name="IQRJ444" hidden="1">"$J$445:$J$697"</definedName>
    <definedName name="IQRJ448" hidden="1">"$J$449:$J$701"</definedName>
    <definedName name="IQRJ449" hidden="1">"$J$450:$J$702"</definedName>
    <definedName name="IQRJ450" hidden="1">"$J$451:$J$703"</definedName>
    <definedName name="IQRJ5" hidden="1">"$J$6:$J$255"</definedName>
    <definedName name="IQRJ581" hidden="1">"$J$582:$J$834"</definedName>
    <definedName name="IQRJ582" hidden="1">"$J$583:$J$835"</definedName>
    <definedName name="IQRJ583" hidden="1">"$J$584:$J$836"</definedName>
    <definedName name="IQRJ59" hidden="1">"$J$60"</definedName>
    <definedName name="IQRJ6" hidden="1">"$J$7:$J$256"</definedName>
    <definedName name="IQRJ7" hidden="1">"$J$8:$J$9"</definedName>
    <definedName name="IQRJ8" hidden="1">"$J$9:$J$13"</definedName>
    <definedName name="IQRJ81" hidden="1">"$J$82:$J$86"</definedName>
    <definedName name="IQRK102" hidden="1">"$K$103:$K$352"</definedName>
    <definedName name="IQRK13" hidden="1">"$K$14"</definedName>
    <definedName name="IQRK24" hidden="1">"$K$25:$K$27"</definedName>
    <definedName name="IQRK3" hidden="1">"$K$4:$K$253"</definedName>
    <definedName name="IQRK4" hidden="1">"$K$5:$K$254"</definedName>
    <definedName name="IQRK5" hidden="1">"$K$6:$K$443"</definedName>
    <definedName name="IQRK6" hidden="1">"$K$7:$K$256"</definedName>
    <definedName name="IQRK7" hidden="1">"$K$8:$K$10"</definedName>
    <definedName name="IQRK71" hidden="1">"$K$72:$K$321"</definedName>
    <definedName name="IQRK73" hidden="1">"$K$74:$K$323"</definedName>
    <definedName name="IQRK74" hidden="1">"$K$75"</definedName>
    <definedName name="IQRK75" hidden="1">"$K$76"</definedName>
    <definedName name="IQRK77" hidden="1">"$K$78:$K$85"</definedName>
    <definedName name="IQRK78" hidden="1">"$K$79:$K$88"</definedName>
    <definedName name="IQRK81" hidden="1">"$K$82:$K$86"</definedName>
    <definedName name="IQRK91" hidden="1">"$K$92:$K$94"</definedName>
    <definedName name="IQRK92" hidden="1">"$K$93:$K$95"</definedName>
    <definedName name="IQRKeyDevsNewsEventsO5" hidden="1">#REF!</definedName>
    <definedName name="IQRL13" hidden="1">"$L$14"</definedName>
    <definedName name="IQRL14" hidden="1">"$L$15:$L$1962"</definedName>
    <definedName name="IQRL16" hidden="1">"$L$17:$L$21"</definedName>
    <definedName name="IQRL21" hidden="1">"$L$22"</definedName>
    <definedName name="IQRL24" hidden="1">"$L$25"</definedName>
    <definedName name="IQRL3" hidden="1">"$L$4:$L$253"</definedName>
    <definedName name="IQRL34" hidden="1">"$L$35:$L$921"</definedName>
    <definedName name="IQRL39" hidden="1">"$L$40:$L$61"</definedName>
    <definedName name="IQRL405" hidden="1">"$L$406:$L$658"</definedName>
    <definedName name="IQRL406" hidden="1">"$L$407:$L$659"</definedName>
    <definedName name="IQRL413" hidden="1">"$L$414:$L$666"</definedName>
    <definedName name="IQRL415" hidden="1">"$L$416:$L$668"</definedName>
    <definedName name="IQRL417" hidden="1">"$L$418:$L$670"</definedName>
    <definedName name="IQRL419" hidden="1">"$L$420:$L$672"</definedName>
    <definedName name="IQRL434" hidden="1">"$L$435:$L$687"</definedName>
    <definedName name="IQRL439" hidden="1">"$L$440:$L$692"</definedName>
    <definedName name="IQRL441" hidden="1">"$L$442:$L$694"</definedName>
    <definedName name="IQRL442" hidden="1">"$L$443:$L$695"</definedName>
    <definedName name="IQRL443" hidden="1">"$L$444:$L$696"</definedName>
    <definedName name="IQRL444" hidden="1">"$L$445:$L$697"</definedName>
    <definedName name="IQRL448" hidden="1">"$L$449:$L$701"</definedName>
    <definedName name="IQRL449" hidden="1">"$L$450:$L$702"</definedName>
    <definedName name="IQRL450" hidden="1">"$L$451:$L$703"</definedName>
    <definedName name="IQRL581" hidden="1">"$L$582:$L$834"</definedName>
    <definedName name="IQRL582" hidden="1">"$L$583:$L$835"</definedName>
    <definedName name="IQRL583" hidden="1">"$L$584:$L$836"</definedName>
    <definedName name="IQRL59" hidden="1">"$L$60"</definedName>
    <definedName name="IQRL6" hidden="1">"$L$7:$L$256"</definedName>
    <definedName name="IQRL7" hidden="1">"$L$8"</definedName>
    <definedName name="IQRL8" hidden="1">#REF!</definedName>
    <definedName name="IQRL81" hidden="1">"$L$82:$L$86"</definedName>
    <definedName name="IQRLiquidityAA14" hidden="1">#REF!</definedName>
    <definedName name="IQRLiquidityAC14" hidden="1">#REF!</definedName>
    <definedName name="IQRLiquidityAD14" hidden="1">#REF!</definedName>
    <definedName name="IQRLiquidityAE14" hidden="1">#REF!</definedName>
    <definedName name="IQRLiquidityAF14" hidden="1">#REF!</definedName>
    <definedName name="IQRLiquidityAG14" hidden="1">#REF!</definedName>
    <definedName name="IQRLiquidityAG18" hidden="1">#REF!</definedName>
    <definedName name="IQRLiquidityAI14" hidden="1">#REF!</definedName>
    <definedName name="IQRLiquidityAJ14" hidden="1">#REF!</definedName>
    <definedName name="IQRLiquidityAJ18" hidden="1">#REF!</definedName>
    <definedName name="IQRLiquidityAK14" hidden="1">#REF!</definedName>
    <definedName name="IQRLiquidityAK18" hidden="1">#REF!</definedName>
    <definedName name="IQRLiquidityAL14" hidden="1">#REF!</definedName>
    <definedName name="IQRLiquidityAM14" hidden="1">#REF!</definedName>
    <definedName name="IQRLiquidityAO14" hidden="1">#REF!</definedName>
    <definedName name="IQRLiquidityAP14" hidden="1">#REF!</definedName>
    <definedName name="IQRLiquidityAQ14" hidden="1">#REF!</definedName>
    <definedName name="IQRLiquidityAR14" hidden="1">#REF!</definedName>
    <definedName name="IQRLiquidityAS14" hidden="1">#REF!</definedName>
    <definedName name="IQRLiquidityAU14" hidden="1">#REF!</definedName>
    <definedName name="IQRLiquidityAV14" hidden="1">#REF!</definedName>
    <definedName name="IQRLiquidityAV18" hidden="1">#REF!</definedName>
    <definedName name="IQRLiquidityAW14" hidden="1">#REF!</definedName>
    <definedName name="IQRLiquidityAX14" hidden="1">#REF!</definedName>
    <definedName name="IQRLiquidityAY14" hidden="1">#REF!</definedName>
    <definedName name="IQRLiquidityAZ18" hidden="1">#REF!</definedName>
    <definedName name="IQRLiquidityBY14" hidden="1">#REF!</definedName>
    <definedName name="IQRLiquidityBZ14" hidden="1">#REF!</definedName>
    <definedName name="IQRLiquidityCA14" hidden="1">#REF!</definedName>
    <definedName name="IQRLiquidityCB14" hidden="1">#REF!</definedName>
    <definedName name="IQRLiquidityCC14" hidden="1">#REF!</definedName>
    <definedName name="IQRLiquidityCC18" hidden="1">#REF!</definedName>
    <definedName name="IQRLiquidityCR18" hidden="1">#REF!</definedName>
    <definedName name="IQRLiquidityCS18" hidden="1">#REF!</definedName>
    <definedName name="IQRLiquidityDD18" hidden="1">#REF!</definedName>
    <definedName name="IQRLiquidityDG18" hidden="1">#REF!</definedName>
    <definedName name="IQRLiquidityDH18" hidden="1">#REF!</definedName>
    <definedName name="IQRLiquidityDW18" hidden="1">#REF!</definedName>
    <definedName name="IQRLiquidityE14" hidden="1">#REF!</definedName>
    <definedName name="IQRLiquidityEH18" hidden="1">#REF!</definedName>
    <definedName name="IQRLiquidityEZ18" hidden="1">#REF!</definedName>
    <definedName name="IQRLiquidityF14" hidden="1">#REF!</definedName>
    <definedName name="IQRLiquidityFL18" hidden="1">#REF!</definedName>
    <definedName name="IQRLiquidityFP18" hidden="1">#REF!</definedName>
    <definedName name="IQRLiquidityG14" hidden="1">#REF!</definedName>
    <definedName name="IQRLiquidityGT18" hidden="1">#REF!</definedName>
    <definedName name="IQRLiquidityH14" hidden="1">#REF!</definedName>
    <definedName name="IQRLiquidityHE18" hidden="1">#REF!</definedName>
    <definedName name="IQRLiquidityHH18" hidden="1">#REF!</definedName>
    <definedName name="IQRLiquidityHX18" hidden="1">#REF!</definedName>
    <definedName name="IQRLiquidityI14" hidden="1">#REF!</definedName>
    <definedName name="IQRLiquidityK14" hidden="1">#REF!</definedName>
    <definedName name="IQRLiquidityL14" hidden="1">#REF!</definedName>
    <definedName name="IQRLiquidityM14" hidden="1">#REF!</definedName>
    <definedName name="IQRLiquidityN14" hidden="1">#REF!</definedName>
    <definedName name="IQRLiquidityO14" hidden="1">#REF!</definedName>
    <definedName name="IQRLiquidityQ14" hidden="1">#REF!</definedName>
    <definedName name="IQRLiquidityR14" hidden="1">#REF!</definedName>
    <definedName name="IQRLiquidityS14" hidden="1">#REF!</definedName>
    <definedName name="IQRLiquidityT14" hidden="1">#REF!</definedName>
    <definedName name="IQRLiquidityU14" hidden="1">#REF!</definedName>
    <definedName name="IQRLiquidityU18" hidden="1">#REF!</definedName>
    <definedName name="IQRLiquidityW14" hidden="1">#REF!</definedName>
    <definedName name="IQRLiquidityX14" hidden="1">#REF!</definedName>
    <definedName name="IQRLiquidityY14" hidden="1">#REF!</definedName>
    <definedName name="IQRLiquidityZ14" hidden="1">#REF!</definedName>
    <definedName name="IQRLLYH20" hidden="1">#REF!</definedName>
    <definedName name="IQRLSESNH20" hidden="1">#REF!</definedName>
    <definedName name="IQRM101" hidden="1">"$M$102:$M$351"</definedName>
    <definedName name="IQRM102" hidden="1">"$M$103:$M$352"</definedName>
    <definedName name="IQRM103" hidden="1">"$M$104:$M$353"</definedName>
    <definedName name="IQRM104" hidden="1">"$M$105:$M$354"</definedName>
    <definedName name="IQRM105" hidden="1">"$M$106:$M$355"</definedName>
    <definedName name="IQRM13" hidden="1">"$M$14"</definedName>
    <definedName name="IQRM15" hidden="1">"$M$16"</definedName>
    <definedName name="IQRM16" hidden="1">"$N$16"</definedName>
    <definedName name="IQRM17" hidden="1">"$M$18:$M$22"</definedName>
    <definedName name="IQRM21" hidden="1">"$M$22"</definedName>
    <definedName name="IQRM22" hidden="1">"$M$23:$M$387"</definedName>
    <definedName name="IQRM24" hidden="1">"$M$25"</definedName>
    <definedName name="IQRM3" hidden="1">"$M$4:$M$253"</definedName>
    <definedName name="IQRM34" hidden="1">"$M$35:$M$921"</definedName>
    <definedName name="IQRM39" hidden="1">"$M$40:$M$61"</definedName>
    <definedName name="IQRM5" hidden="1">"$M$6:$M$373"</definedName>
    <definedName name="IQRM7" hidden="1">"$M$8"</definedName>
    <definedName name="IQRM97" hidden="1">"$M$98:$M$347"</definedName>
    <definedName name="IQRModelSpecificSingleScoreAA15" hidden="1">#REF!</definedName>
    <definedName name="IQRModelSpecificSingleScoreAB15" hidden="1">#REF!</definedName>
    <definedName name="IQRModelSpecificSingleScoreAH5" hidden="1">#REF!</definedName>
    <definedName name="IQRModelSpecificSingleScoreAI5" hidden="1">#REF!</definedName>
    <definedName name="IQRModelSpecificSingleScoreAJ5" hidden="1">#REF!</definedName>
    <definedName name="IQRModelSpecificSingleScoreAR37" hidden="1">#REF!</definedName>
    <definedName name="IQRModelSpecificSingleScoreAT37" hidden="1">#REF!</definedName>
    <definedName name="IQRModelSpecificSingleScoreAU37" hidden="1">#REF!</definedName>
    <definedName name="IQRModelSpecificSingleScoreAW37" hidden="1">#REF!</definedName>
    <definedName name="IQRModelSpecificSingleScoreP15" hidden="1">#REF!</definedName>
    <definedName name="IQRModelSpecificSingleScoreP37" hidden="1">#REF!</definedName>
    <definedName name="IQRModelSpecificSingleScoreQ15" hidden="1">#REF!</definedName>
    <definedName name="IQRModelSpecificSingleScoreQ37" hidden="1">#REF!</definedName>
    <definedName name="IQRModelSpecificSingleScoreR15" hidden="1">#REF!</definedName>
    <definedName name="IQRModelSpecificSingleScoreR37" hidden="1">#REF!</definedName>
    <definedName name="IQRModelSpecificSingleScoreS15" hidden="1">#REF!</definedName>
    <definedName name="IQRModelSpecificSingleScoreS37" hidden="1">#REF!</definedName>
    <definedName name="IQRModelSpecificSingleScoreT37" hidden="1">#REF!</definedName>
    <definedName name="IQRModelSpecificSingleScoreU37" hidden="1">#REF!</definedName>
    <definedName name="IQRModelSpecificSingleScoreV15" hidden="1">#REF!</definedName>
    <definedName name="IQRModelSpecificSingleScoreV37" hidden="1">#REF!</definedName>
    <definedName name="IQRModelSpecificSingleScoreV5" hidden="1">#REF!</definedName>
    <definedName name="IQRModelSpecificSingleScoreW15" hidden="1">#REF!</definedName>
    <definedName name="IQRModelSpecificSingleScoreW5" hidden="1">#REF!</definedName>
    <definedName name="IQRModelSpecificSingleScoreX15" hidden="1">#REF!</definedName>
    <definedName name="IQRModelSpecificSingleScoreX5" hidden="1">#REF!</definedName>
    <definedName name="IQRModelSpecificSingleScoreY15" hidden="1">#REF!</definedName>
    <definedName name="IQRModelSpecificSingleScoreZ15" hidden="1">#REF!</definedName>
    <definedName name="IQRMRKH20" hidden="1">#REF!</definedName>
    <definedName name="IQRMultiCompanyCIQBasedSco2AB18" hidden="1">#REF!</definedName>
    <definedName name="IQRMultiCompanyCIQBasedSco2AB40" hidden="1">#REF!</definedName>
    <definedName name="IQRMultiCompanyCIQBasedSco2AB53" hidden="1">#REF!</definedName>
    <definedName name="IQRMultiCompanyCIQBasedSco2AB71" hidden="1">#REF!</definedName>
    <definedName name="IQRMultiCompanyCIQBasedSco2AB9" hidden="1">#REF!</definedName>
    <definedName name="IQRMultiCompanyCIQBasedSco2AC18" hidden="1">#REF!</definedName>
    <definedName name="IQRMultiCompanyCIQBasedSco2AC40" hidden="1">#REF!</definedName>
    <definedName name="IQRMultiCompanyCIQBasedSco2AC53" hidden="1">#REF!</definedName>
    <definedName name="IQRMultiCompanyCIQBasedSco2AC71" hidden="1">#REF!</definedName>
    <definedName name="IQRMultiCompanyCIQBasedSco2AC9" hidden="1">#REF!</definedName>
    <definedName name="IQRMultiCompanyCIQBasedSco2AE18" hidden="1">#REF!</definedName>
    <definedName name="IQRMultiCompanyCIQBasedSco2AE40" hidden="1">#REF!</definedName>
    <definedName name="IQRMultiCompanyCIQBasedSco2AE53" hidden="1">#REF!</definedName>
    <definedName name="IQRMultiCompanyCIQBasedSco2AE71" hidden="1">#REF!</definedName>
    <definedName name="IQRMultiCompanyCIQBasedSco2AE9" hidden="1">#REF!</definedName>
    <definedName name="IQRMultiCompanyCIQBasedSco2AF18" hidden="1">#REF!</definedName>
    <definedName name="IQRMultiCompanyCIQBasedSco2AF40" hidden="1">#REF!</definedName>
    <definedName name="IQRMultiCompanyCIQBasedSco2AF53" hidden="1">#REF!</definedName>
    <definedName name="IQRMultiCompanyCIQBasedSco2AF71" hidden="1">#REF!</definedName>
    <definedName name="IQRMultiCompanyCIQBasedSco2AF9" hidden="1">#REF!</definedName>
    <definedName name="IQRMultiCompanyCIQBasedSco2S18" hidden="1">#REF!</definedName>
    <definedName name="IQRMultiCompanyCIQBasedSco2S40" hidden="1">#REF!</definedName>
    <definedName name="IQRMultiCompanyCIQBasedSco2S53" hidden="1">#REF!</definedName>
    <definedName name="IQRMultiCompanyCIQBasedSco2S71" hidden="1">#REF!</definedName>
    <definedName name="IQRMultiCompanyCIQBasedSco2S9" hidden="1">#REF!</definedName>
    <definedName name="IQRMultiCompanyCIQBasedSco2T18" hidden="1">#REF!</definedName>
    <definedName name="IQRMultiCompanyCIQBasedSco2T40" hidden="1">#REF!</definedName>
    <definedName name="IQRMultiCompanyCIQBasedSco2T53" hidden="1">#REF!</definedName>
    <definedName name="IQRMultiCompanyCIQBasedSco2T71" hidden="1">#REF!</definedName>
    <definedName name="IQRMultiCompanyCIQBasedSco2T9" hidden="1">#REF!</definedName>
    <definedName name="IQRMultiCompanyCIQBasedSco2V18" hidden="1">#REF!</definedName>
    <definedName name="IQRMultiCompanyCIQBasedSco2V40" hidden="1">#REF!</definedName>
    <definedName name="IQRMultiCompanyCIQBasedSco2V53" hidden="1">#REF!</definedName>
    <definedName name="IQRMultiCompanyCIQBasedSco2V71" hidden="1">#REF!</definedName>
    <definedName name="IQRMultiCompanyCIQBasedSco2V9" hidden="1">#REF!</definedName>
    <definedName name="IQRMultiCompanyCIQBasedSco2W18" hidden="1">#REF!</definedName>
    <definedName name="IQRMultiCompanyCIQBasedSco2W40" hidden="1">#REF!</definedName>
    <definedName name="IQRMultiCompanyCIQBasedSco2W53" hidden="1">#REF!</definedName>
    <definedName name="IQRMultiCompanyCIQBasedSco2W71" hidden="1">#REF!</definedName>
    <definedName name="IQRMultiCompanyCIQBasedSco2W9" hidden="1">#REF!</definedName>
    <definedName name="IQRMultiCompanyCIQBasedSco2Y18" hidden="1">#REF!</definedName>
    <definedName name="IQRMultiCompanyCIQBasedSco2Y40" hidden="1">#REF!</definedName>
    <definedName name="IQRMultiCompanyCIQBasedSco2Y53" hidden="1">#REF!</definedName>
    <definedName name="IQRMultiCompanyCIQBasedSco2Y71" hidden="1">#REF!</definedName>
    <definedName name="IQRMultiCompanyCIQBasedSco2Y9" hidden="1">#REF!</definedName>
    <definedName name="IQRMultiCompanyCIQBasedSco2Z18" hidden="1">#REF!</definedName>
    <definedName name="IQRMultiCompanyCIQBasedSco2Z40" hidden="1">#REF!</definedName>
    <definedName name="IQRMultiCompanyCIQBasedSco2Z53" hidden="1">#REF!</definedName>
    <definedName name="IQRMultiCompanyCIQBasedSco2Z71" hidden="1">#REF!</definedName>
    <definedName name="IQRMultiCompanyCIQBasedSco2Z9" hidden="1">#REF!</definedName>
    <definedName name="IQRMultiCompanyCIQBasedScoreAA17" hidden="1">#REF!</definedName>
    <definedName name="IQRMultiCompanyCIQBasedScoreAA29" hidden="1">#REF!</definedName>
    <definedName name="IQRMultiCompanyCIQBasedScoreAA51" hidden="1">#REF!</definedName>
    <definedName name="IQRMultiCompanyCIQBasedScoreAA69" hidden="1">#REF!</definedName>
    <definedName name="IQRMultiCompanyCIQBasedScoreAB17" hidden="1">#REF!</definedName>
    <definedName name="IQRMultiCompanyCIQBasedScoreAB18" hidden="1">#REF!</definedName>
    <definedName name="IQRMultiCompanyCIQBasedScoreAB29" hidden="1">#REF!</definedName>
    <definedName name="IQRMultiCompanyCIQBasedScoreAB30" hidden="1">#REF!</definedName>
    <definedName name="IQRMultiCompanyCIQBasedScoreAB31" hidden="1">#REF!</definedName>
    <definedName name="IQRMultiCompanyCIQBasedScoreAB38" hidden="1">#REF!</definedName>
    <definedName name="IQRMultiCompanyCIQBasedScoreAB39" hidden="1">#REF!</definedName>
    <definedName name="IQRMultiCompanyCIQBasedScoreAB40" hidden="1">#REF!</definedName>
    <definedName name="IQRMultiCompanyCIQBasedScoreAB51" hidden="1">#REF!</definedName>
    <definedName name="IQRMultiCompanyCIQBasedScoreAB52" hidden="1">#REF!</definedName>
    <definedName name="IQRMultiCompanyCIQBasedScoreAB53" hidden="1">#REF!</definedName>
    <definedName name="IQRMultiCompanyCIQBasedScoreAB65" hidden="1">#REF!</definedName>
    <definedName name="IQRMultiCompanyCIQBasedScoreAB66" hidden="1">#REF!</definedName>
    <definedName name="IQRMultiCompanyCIQBasedScoreAB69" hidden="1">#REF!</definedName>
    <definedName name="IQRMultiCompanyCIQBasedScoreAB70" hidden="1">#REF!</definedName>
    <definedName name="IQRMultiCompanyCIQBasedScoreAB71" hidden="1">#REF!</definedName>
    <definedName name="IQRMultiCompanyCIQBasedScoreAB73" hidden="1">#REF!</definedName>
    <definedName name="IQRMultiCompanyCIQBasedScoreAB83" hidden="1">#REF!</definedName>
    <definedName name="IQRMultiCompanyCIQBasedScoreAB84" hidden="1">#REF!</definedName>
    <definedName name="IQRMultiCompanyCIQBasedScoreAB9" hidden="1">#REF!</definedName>
    <definedName name="IQRMultiCompanyCIQBasedScoreAB91" hidden="1">#REF!</definedName>
    <definedName name="IQRMultiCompanyCIQBasedScoreAC17" hidden="1">#REF!</definedName>
    <definedName name="IQRMultiCompanyCIQBasedScoreAC18" hidden="1">#REF!</definedName>
    <definedName name="IQRMultiCompanyCIQBasedScoreAC29" hidden="1">#REF!</definedName>
    <definedName name="IQRMultiCompanyCIQBasedScoreAC30" hidden="1">#REF!</definedName>
    <definedName name="IQRMultiCompanyCIQBasedScoreAC31" hidden="1">#REF!</definedName>
    <definedName name="IQRMultiCompanyCIQBasedScoreAC38" hidden="1">#REF!</definedName>
    <definedName name="IQRMultiCompanyCIQBasedScoreAC39" hidden="1">#REF!</definedName>
    <definedName name="IQRMultiCompanyCIQBasedScoreAC40" hidden="1">#REF!</definedName>
    <definedName name="IQRMultiCompanyCIQBasedScoreAC51" hidden="1">#REF!</definedName>
    <definedName name="IQRMultiCompanyCIQBasedScoreAC52" hidden="1">#REF!</definedName>
    <definedName name="IQRMultiCompanyCIQBasedScoreAC53" hidden="1">#REF!</definedName>
    <definedName name="IQRMultiCompanyCIQBasedScoreAC65" hidden="1">#REF!</definedName>
    <definedName name="IQRMultiCompanyCIQBasedScoreAC66" hidden="1">#REF!</definedName>
    <definedName name="IQRMultiCompanyCIQBasedScoreAC69" hidden="1">#REF!</definedName>
    <definedName name="IQRMultiCompanyCIQBasedScoreAC70" hidden="1">#REF!</definedName>
    <definedName name="IQRMultiCompanyCIQBasedScoreAC71" hidden="1">#REF!</definedName>
    <definedName name="IQRMultiCompanyCIQBasedScoreAC73" hidden="1">#REF!</definedName>
    <definedName name="IQRMultiCompanyCIQBasedScoreAC83" hidden="1">#REF!</definedName>
    <definedName name="IQRMultiCompanyCIQBasedScoreAC84" hidden="1">#REF!</definedName>
    <definedName name="IQRMultiCompanyCIQBasedScoreAC9" hidden="1">#REF!</definedName>
    <definedName name="IQRMultiCompanyCIQBasedScoreAC91" hidden="1">#REF!</definedName>
    <definedName name="IQRMultiCompanyCIQBasedScoreAD17" hidden="1">#REF!</definedName>
    <definedName name="IQRMultiCompanyCIQBasedScoreAD29" hidden="1">#REF!</definedName>
    <definedName name="IQRMultiCompanyCIQBasedScoreAD51" hidden="1">#REF!</definedName>
    <definedName name="IQRMultiCompanyCIQBasedScoreAD69" hidden="1">#REF!</definedName>
    <definedName name="IQRMultiCompanyCIQBasedScoreAE17" hidden="1">#REF!</definedName>
    <definedName name="IQRMultiCompanyCIQBasedScoreAE18" hidden="1">#REF!</definedName>
    <definedName name="IQRMultiCompanyCIQBasedScoreAE29" hidden="1">#REF!</definedName>
    <definedName name="IQRMultiCompanyCIQBasedScoreAE30" hidden="1">#REF!</definedName>
    <definedName name="IQRMultiCompanyCIQBasedScoreAE31" hidden="1">#REF!</definedName>
    <definedName name="IQRMultiCompanyCIQBasedScoreAE38" hidden="1">#REF!</definedName>
    <definedName name="IQRMultiCompanyCIQBasedScoreAE39" hidden="1">#REF!</definedName>
    <definedName name="IQRMultiCompanyCIQBasedScoreAE40" hidden="1">#REF!</definedName>
    <definedName name="IQRMultiCompanyCIQBasedScoreAE51" hidden="1">#REF!</definedName>
    <definedName name="IQRMultiCompanyCIQBasedScoreAE52" hidden="1">#REF!</definedName>
    <definedName name="IQRMultiCompanyCIQBasedScoreAE53" hidden="1">#REF!</definedName>
    <definedName name="IQRMultiCompanyCIQBasedScoreAE65" hidden="1">#REF!</definedName>
    <definedName name="IQRMultiCompanyCIQBasedScoreAE66" hidden="1">#REF!</definedName>
    <definedName name="IQRMultiCompanyCIQBasedScoreAE69" hidden="1">#REF!</definedName>
    <definedName name="IQRMultiCompanyCIQBasedScoreAE70" hidden="1">#REF!</definedName>
    <definedName name="IQRMultiCompanyCIQBasedScoreAE71" hidden="1">#REF!</definedName>
    <definedName name="IQRMultiCompanyCIQBasedScoreAE73" hidden="1">#REF!</definedName>
    <definedName name="IQRMultiCompanyCIQBasedScoreAE83" hidden="1">#REF!</definedName>
    <definedName name="IQRMultiCompanyCIQBasedScoreAE84" hidden="1">#REF!</definedName>
    <definedName name="IQRMultiCompanyCIQBasedScoreAE9" hidden="1">#REF!</definedName>
    <definedName name="IQRMultiCompanyCIQBasedScoreAE91" hidden="1">#REF!</definedName>
    <definedName name="IQRMultiCompanyCIQBasedScoreAF17" hidden="1">#REF!</definedName>
    <definedName name="IQRMultiCompanyCIQBasedScoreAF18" hidden="1">#REF!</definedName>
    <definedName name="IQRMultiCompanyCIQBasedScoreAF29" hidden="1">#REF!</definedName>
    <definedName name="IQRMultiCompanyCIQBasedScoreAF30" hidden="1">#REF!</definedName>
    <definedName name="IQRMultiCompanyCIQBasedScoreAF31" hidden="1">#REF!</definedName>
    <definedName name="IQRMultiCompanyCIQBasedScoreAF38" hidden="1">#REF!</definedName>
    <definedName name="IQRMultiCompanyCIQBasedScoreAF39" hidden="1">#REF!</definedName>
    <definedName name="IQRMultiCompanyCIQBasedScoreAF40" hidden="1">#REF!</definedName>
    <definedName name="IQRMultiCompanyCIQBasedScoreAF51" hidden="1">#REF!</definedName>
    <definedName name="IQRMultiCompanyCIQBasedScoreAF52" hidden="1">#REF!</definedName>
    <definedName name="IQRMultiCompanyCIQBasedScoreAF53" hidden="1">#REF!</definedName>
    <definedName name="IQRMultiCompanyCIQBasedScoreAF69" hidden="1">#REF!</definedName>
    <definedName name="IQRMultiCompanyCIQBasedScoreAF70" hidden="1">#REF!</definedName>
    <definedName name="IQRMultiCompanyCIQBasedScoreAF71" hidden="1">#REF!</definedName>
    <definedName name="IQRMultiCompanyCIQBasedScoreAF9" hidden="1">#REF!</definedName>
    <definedName name="IQRMultiCompanyCIQBasedScoreAG17" hidden="1">#REF!</definedName>
    <definedName name="IQRMultiCompanyCIQBasedScoreAG29" hidden="1">#REF!</definedName>
    <definedName name="IQRMultiCompanyCIQBasedScoreAG51" hidden="1">#REF!</definedName>
    <definedName name="IQRMultiCompanyCIQBasedScoreAG69" hidden="1">#REF!</definedName>
    <definedName name="IQRMultiCompanyCIQBasedScoreAH17" hidden="1">#REF!</definedName>
    <definedName name="IQRMultiCompanyCIQBasedScoreAH29" hidden="1">#REF!</definedName>
    <definedName name="IQRMultiCompanyCIQBasedScoreAH51" hidden="1">#REF!</definedName>
    <definedName name="IQRMultiCompanyCIQBasedScoreAH69" hidden="1">#REF!</definedName>
    <definedName name="IQRMultiCompanyCIQBasedScoreS17" hidden="1">#REF!</definedName>
    <definedName name="IQRMultiCompanyCIQBasedScoreS18" hidden="1">#REF!</definedName>
    <definedName name="IQRMultiCompanyCIQBasedScoreS38" hidden="1">#REF!</definedName>
    <definedName name="IQRMultiCompanyCIQBasedScoreS39" hidden="1">#REF!</definedName>
    <definedName name="IQRMultiCompanyCIQBasedScoreS40" hidden="1">#REF!</definedName>
    <definedName name="IQRMultiCompanyCIQBasedScoreS52" hidden="1">#REF!</definedName>
    <definedName name="IQRMultiCompanyCIQBasedScoreS53" hidden="1">#REF!</definedName>
    <definedName name="IQRMultiCompanyCIQBasedScoreS70" hidden="1">#REF!</definedName>
    <definedName name="IQRMultiCompanyCIQBasedScoreS71" hidden="1">#REF!</definedName>
    <definedName name="IQRMultiCompanyCIQBasedScoreS9" hidden="1">#REF!</definedName>
    <definedName name="IQRMultiCompanyCIQBasedScoreT17" hidden="1">#REF!</definedName>
    <definedName name="IQRMultiCompanyCIQBasedScoreT18" hidden="1">#REF!</definedName>
    <definedName name="IQRMultiCompanyCIQBasedScoreT29" hidden="1">#REF!</definedName>
    <definedName name="IQRMultiCompanyCIQBasedScoreT38" hidden="1">#REF!</definedName>
    <definedName name="IQRMultiCompanyCIQBasedScoreT39" hidden="1">#REF!</definedName>
    <definedName name="IQRMultiCompanyCIQBasedScoreT40" hidden="1">#REF!</definedName>
    <definedName name="IQRMultiCompanyCIQBasedScoreT51" hidden="1">#REF!</definedName>
    <definedName name="IQRMultiCompanyCIQBasedScoreT52" hidden="1">#REF!</definedName>
    <definedName name="IQRMultiCompanyCIQBasedScoreT53" hidden="1">#REF!</definedName>
    <definedName name="IQRMultiCompanyCIQBasedScoreT69" hidden="1">#REF!</definedName>
    <definedName name="IQRMultiCompanyCIQBasedScoreT70" hidden="1">#REF!</definedName>
    <definedName name="IQRMultiCompanyCIQBasedScoreT71" hidden="1">#REF!</definedName>
    <definedName name="IQRMultiCompanyCIQBasedScoreT9" hidden="1">#REF!</definedName>
    <definedName name="IQRMultiCompanyCIQBasedScoreU17" hidden="1">#REF!</definedName>
    <definedName name="IQRMultiCompanyCIQBasedScoreU29" hidden="1">#REF!</definedName>
    <definedName name="IQRMultiCompanyCIQBasedScoreU38" hidden="1">#REF!</definedName>
    <definedName name="IQRMultiCompanyCIQBasedScoreU50" hidden="1">#REF!</definedName>
    <definedName name="IQRMultiCompanyCIQBasedScoreU51" hidden="1">#REF!</definedName>
    <definedName name="IQRMultiCompanyCIQBasedScoreU69" hidden="1">#REF!</definedName>
    <definedName name="IQRMultiCompanyCIQBasedScoreU7" hidden="1">#REF!</definedName>
    <definedName name="IQRMultiCompanyCIQBasedScoreU8" hidden="1">#REF!</definedName>
    <definedName name="IQRMultiCompanyCIQBasedScoreU9" hidden="1">#REF!</definedName>
    <definedName name="IQRMultiCompanyCIQBasedScoreV17" hidden="1">#REF!</definedName>
    <definedName name="IQRMultiCompanyCIQBasedScoreV18" hidden="1">#REF!</definedName>
    <definedName name="IQRMultiCompanyCIQBasedScoreV29" hidden="1">#REF!</definedName>
    <definedName name="IQRMultiCompanyCIQBasedScoreV30" hidden="1">#REF!</definedName>
    <definedName name="IQRMultiCompanyCIQBasedScoreV31" hidden="1">#REF!</definedName>
    <definedName name="IQRMultiCompanyCIQBasedScoreV38" hidden="1">#REF!</definedName>
    <definedName name="IQRMultiCompanyCIQBasedScoreV39" hidden="1">#REF!</definedName>
    <definedName name="IQRMultiCompanyCIQBasedScoreV40" hidden="1">#REF!</definedName>
    <definedName name="IQRMultiCompanyCIQBasedScoreV51" hidden="1">#REF!</definedName>
    <definedName name="IQRMultiCompanyCIQBasedScoreV52" hidden="1">#REF!</definedName>
    <definedName name="IQRMultiCompanyCIQBasedScoreV53" hidden="1">#REF!</definedName>
    <definedName name="IQRMultiCompanyCIQBasedScoreV65" hidden="1">#REF!</definedName>
    <definedName name="IQRMultiCompanyCIQBasedScoreV66" hidden="1">#REF!</definedName>
    <definedName name="IQRMultiCompanyCIQBasedScoreV69" hidden="1">#REF!</definedName>
    <definedName name="IQRMultiCompanyCIQBasedScoreV70" hidden="1">#REF!</definedName>
    <definedName name="IQRMultiCompanyCIQBasedScoreV71" hidden="1">#REF!</definedName>
    <definedName name="IQRMultiCompanyCIQBasedScoreV73" hidden="1">#REF!</definedName>
    <definedName name="IQRMultiCompanyCIQBasedScoreV83" hidden="1">#REF!</definedName>
    <definedName name="IQRMultiCompanyCIQBasedScoreV84" hidden="1">#REF!</definedName>
    <definedName name="IQRMultiCompanyCIQBasedScoreV9" hidden="1">#REF!</definedName>
    <definedName name="IQRMultiCompanyCIQBasedScoreV91" hidden="1">#REF!</definedName>
    <definedName name="IQRMultiCompanyCIQBasedScoreW17" hidden="1">#REF!</definedName>
    <definedName name="IQRMultiCompanyCIQBasedScoreW18" hidden="1">#REF!</definedName>
    <definedName name="IQRMultiCompanyCIQBasedScoreW29" hidden="1">#REF!</definedName>
    <definedName name="IQRMultiCompanyCIQBasedScoreW30" hidden="1">#REF!</definedName>
    <definedName name="IQRMultiCompanyCIQBasedScoreW31" hidden="1">#REF!</definedName>
    <definedName name="IQRMultiCompanyCIQBasedScoreW38" hidden="1">#REF!</definedName>
    <definedName name="IQRMultiCompanyCIQBasedScoreW39" hidden="1">#REF!</definedName>
    <definedName name="IQRMultiCompanyCIQBasedScoreW40" hidden="1">#REF!</definedName>
    <definedName name="IQRMultiCompanyCIQBasedScoreW51" hidden="1">#REF!</definedName>
    <definedName name="IQRMultiCompanyCIQBasedScoreW52" hidden="1">#REF!</definedName>
    <definedName name="IQRMultiCompanyCIQBasedScoreW53" hidden="1">#REF!</definedName>
    <definedName name="IQRMultiCompanyCIQBasedScoreW65" hidden="1">#REF!</definedName>
    <definedName name="IQRMultiCompanyCIQBasedScoreW66" hidden="1">#REF!</definedName>
    <definedName name="IQRMultiCompanyCIQBasedScoreW69" hidden="1">#REF!</definedName>
    <definedName name="IQRMultiCompanyCIQBasedScoreW70" hidden="1">#REF!</definedName>
    <definedName name="IQRMultiCompanyCIQBasedScoreW71" hidden="1">#REF!</definedName>
    <definedName name="IQRMultiCompanyCIQBasedScoreW73" hidden="1">#REF!</definedName>
    <definedName name="IQRMultiCompanyCIQBasedScoreW83" hidden="1">#REF!</definedName>
    <definedName name="IQRMultiCompanyCIQBasedScoreW84" hidden="1">#REF!</definedName>
    <definedName name="IQRMultiCompanyCIQBasedScoreW9" hidden="1">#REF!</definedName>
    <definedName name="IQRMultiCompanyCIQBasedScoreW91" hidden="1">#REF!</definedName>
    <definedName name="IQRMultiCompanyCIQBasedScoreX17" hidden="1">#REF!</definedName>
    <definedName name="IQRMultiCompanyCIQBasedScoreX29" hidden="1">#REF!</definedName>
    <definedName name="IQRMultiCompanyCIQBasedScoreX51" hidden="1">#REF!</definedName>
    <definedName name="IQRMultiCompanyCIQBasedScoreX69" hidden="1">#REF!</definedName>
    <definedName name="IQRMultiCompanyCIQBasedScoreX7" hidden="1">#REF!</definedName>
    <definedName name="IQRMultiCompanyCIQBasedScoreX9" hidden="1">#REF!</definedName>
    <definedName name="IQRMultiCompanyCIQBasedScoreY17" hidden="1">#REF!</definedName>
    <definedName name="IQRMultiCompanyCIQBasedScoreY18" hidden="1">#REF!</definedName>
    <definedName name="IQRMultiCompanyCIQBasedScoreY29" hidden="1">#REF!</definedName>
    <definedName name="IQRMultiCompanyCIQBasedScoreY30" hidden="1">#REF!</definedName>
    <definedName name="IQRMultiCompanyCIQBasedScoreY31" hidden="1">#REF!</definedName>
    <definedName name="IQRMultiCompanyCIQBasedScoreY38" hidden="1">#REF!</definedName>
    <definedName name="IQRMultiCompanyCIQBasedScoreY39" hidden="1">#REF!</definedName>
    <definedName name="IQRMultiCompanyCIQBasedScoreY40" hidden="1">#REF!</definedName>
    <definedName name="IQRMultiCompanyCIQBasedScoreY51" hidden="1">#REF!</definedName>
    <definedName name="IQRMultiCompanyCIQBasedScoreY52" hidden="1">#REF!</definedName>
    <definedName name="IQRMultiCompanyCIQBasedScoreY53" hidden="1">#REF!</definedName>
    <definedName name="IQRMultiCompanyCIQBasedScoreY65" hidden="1">#REF!</definedName>
    <definedName name="IQRMultiCompanyCIQBasedScoreY66" hidden="1">#REF!</definedName>
    <definedName name="IQRMultiCompanyCIQBasedScoreY69" hidden="1">#REF!</definedName>
    <definedName name="IQRMultiCompanyCIQBasedScoreY70" hidden="1">#REF!</definedName>
    <definedName name="IQRMultiCompanyCIQBasedScoreY71" hidden="1">#REF!</definedName>
    <definedName name="IQRMultiCompanyCIQBasedScoreY73" hidden="1">#REF!</definedName>
    <definedName name="IQRMultiCompanyCIQBasedScoreY83" hidden="1">#REF!</definedName>
    <definedName name="IQRMultiCompanyCIQBasedScoreY84" hidden="1">#REF!</definedName>
    <definedName name="IQRMultiCompanyCIQBasedScoreY9" hidden="1">#REF!</definedName>
    <definedName name="IQRMultiCompanyCIQBasedScoreY91" hidden="1">#REF!</definedName>
    <definedName name="IQRMultiCompanyCIQBasedScoreZ17" hidden="1">#REF!</definedName>
    <definedName name="IQRMultiCompanyCIQBasedScoreZ18" hidden="1">#REF!</definedName>
    <definedName name="IQRMultiCompanyCIQBasedScoreZ29" hidden="1">#REF!</definedName>
    <definedName name="IQRMultiCompanyCIQBasedScoreZ30" hidden="1">#REF!</definedName>
    <definedName name="IQRMultiCompanyCIQBasedScoreZ31" hidden="1">#REF!</definedName>
    <definedName name="IQRMultiCompanyCIQBasedScoreZ38" hidden="1">#REF!</definedName>
    <definedName name="IQRMultiCompanyCIQBasedScoreZ39" hidden="1">#REF!</definedName>
    <definedName name="IQRMultiCompanyCIQBasedScoreZ40" hidden="1">#REF!</definedName>
    <definedName name="IQRMultiCompanyCIQBasedScoreZ51" hidden="1">#REF!</definedName>
    <definedName name="IQRMultiCompanyCIQBasedScoreZ52" hidden="1">#REF!</definedName>
    <definedName name="IQRMultiCompanyCIQBasedScoreZ53" hidden="1">#REF!</definedName>
    <definedName name="IQRMultiCompanyCIQBasedScoreZ65" hidden="1">#REF!</definedName>
    <definedName name="IQRMultiCompanyCIQBasedScoreZ66" hidden="1">#REF!</definedName>
    <definedName name="IQRMultiCompanyCIQBasedScoreZ69" hidden="1">#REF!</definedName>
    <definedName name="IQRMultiCompanyCIQBasedScoreZ70" hidden="1">#REF!</definedName>
    <definedName name="IQRMultiCompanyCIQBasedScoreZ71" hidden="1">#REF!</definedName>
    <definedName name="IQRMultiCompanyCIQBasedScoreZ73" hidden="1">#REF!</definedName>
    <definedName name="IQRMultiCompanyCIQBasedScoreZ83" hidden="1">#REF!</definedName>
    <definedName name="IQRMultiCompanyCIQBasedScoreZ84" hidden="1">#REF!</definedName>
    <definedName name="IQRMultiCompanyCIQBasedScoreZ9" hidden="1">#REF!</definedName>
    <definedName name="IQRMultiCompanyCIQBasedScoreZ91" hidden="1">#REF!</definedName>
    <definedName name="IQRMultiplesAM5" hidden="1">#REF!</definedName>
    <definedName name="IQRMultiplesL8" hidden="1">#REF!</definedName>
    <definedName name="IQRN13" hidden="1">"$N$14"</definedName>
    <definedName name="IQRN24" hidden="1">"$N$25:$N$37"</definedName>
    <definedName name="IQRN3" hidden="1">"$N$4:$N$253"</definedName>
    <definedName name="IQRN39" hidden="1">"$N$40:$N$83"</definedName>
    <definedName name="IQRN4" hidden="1">"$N$5:$N$254"</definedName>
    <definedName name="IQRN40" hidden="1">"$N$41:$N$84"</definedName>
    <definedName name="IQRN406" hidden="1">"$N$407:$N$659"</definedName>
    <definedName name="IQRN5" hidden="1">"$N$6:$N$255"</definedName>
    <definedName name="IQRN6" hidden="1">"$N$7:$N$256"</definedName>
    <definedName name="IQRN7" hidden="1">"$N$8:$N$20"</definedName>
    <definedName name="IQRN81" hidden="1">"$N$82:$N$86"</definedName>
    <definedName name="IQRN97" hidden="1">"$N$98:$N$347"</definedName>
    <definedName name="IQRNasdaqGSHOLXH20" hidden="1">#REF!</definedName>
    <definedName name="IQRNasdaqGSISRGH20" hidden="1">#REF!</definedName>
    <definedName name="IQRNVGNH20" hidden="1">#REF!</definedName>
    <definedName name="IQRNYSEBAXH20" hidden="1">#REF!</definedName>
    <definedName name="IQRNYSEBCRH20" hidden="1">#REF!</definedName>
    <definedName name="IQRNYSEBDXH20" hidden="1">#REF!</definedName>
    <definedName name="IQRNYSEBSXH20" hidden="1">#REF!</definedName>
    <definedName name="IQRNYSECFNH20" hidden="1">#REF!</definedName>
    <definedName name="IQRNYSECOOH20" hidden="1">#REF!</definedName>
    <definedName name="IQRNYSECOVH20" hidden="1">#REF!</definedName>
    <definedName name="IQRNYSEEWH20" hidden="1">#REF!</definedName>
    <definedName name="IQRNYSEMDTH20" hidden="1">#REF!</definedName>
    <definedName name="IQRNYSESTJH20" hidden="1">#REF!</definedName>
    <definedName name="IQRNYSESYKH20" hidden="1">#REF!</definedName>
    <definedName name="IQRNYSEVARH20" hidden="1">#REF!</definedName>
    <definedName name="IQRNYSEZMHH20" hidden="1">#REF!</definedName>
    <definedName name="IQRO13" hidden="1">"$O$14"</definedName>
    <definedName name="IQRO14" hidden="1">"$O$15:$O$27"</definedName>
    <definedName name="IQRO24" hidden="1">"$O$25:$O$28"</definedName>
    <definedName name="IQRO3" hidden="1">"$O$4:$O$253"</definedName>
    <definedName name="IQRO39" hidden="1">"$O$40:$O$61"</definedName>
    <definedName name="IQRO4" hidden="1">"$O$5:$O$254"</definedName>
    <definedName name="IQRO40" hidden="1">"$O$41:$O$84"</definedName>
    <definedName name="IQRO405" hidden="1">"$O$406:$O$658"</definedName>
    <definedName name="IQRO406" hidden="1">"$O$407:$O$659"</definedName>
    <definedName name="IQRO413" hidden="1">"$O$414:$O$666"</definedName>
    <definedName name="IQRO415" hidden="1">"$O$416:$O$668"</definedName>
    <definedName name="IQRO417" hidden="1">"$O$418:$O$670"</definedName>
    <definedName name="IQRO419" hidden="1">"$O$420:$O$672"</definedName>
    <definedName name="IQRO434" hidden="1">"$O$435:$O$687"</definedName>
    <definedName name="IQRO439" hidden="1">"$O$440:$O$692"</definedName>
    <definedName name="IQRO441" hidden="1">"$O$442:$O$694"</definedName>
    <definedName name="IQRO442" hidden="1">"$O$443:$O$695"</definedName>
    <definedName name="IQRO443" hidden="1">"$O$444:$O$696"</definedName>
    <definedName name="IQRO444" hidden="1">"$O$445:$O$697"</definedName>
    <definedName name="IQRO448" hidden="1">"$O$449:$O$701"</definedName>
    <definedName name="IQRO449" hidden="1">"$O$450:$O$702"</definedName>
    <definedName name="IQRO450" hidden="1">"$O$451:$O$703"</definedName>
    <definedName name="IQRO5" hidden="1">"$O$6:$O$506"</definedName>
    <definedName name="IQRO581" hidden="1">"$O$582:$O$834"</definedName>
    <definedName name="IQRO582" hidden="1">"$O$583:$O$835"</definedName>
    <definedName name="IQRO583" hidden="1">"$O$584:$O$836"</definedName>
    <definedName name="IQRO6" hidden="1">"$O$7:$O$256"</definedName>
    <definedName name="IQRO7" hidden="1">"$O$8:$O$11"</definedName>
    <definedName name="IQRO74" hidden="1">"$O$75"</definedName>
    <definedName name="IQRO75" hidden="1">"$O$76"</definedName>
    <definedName name="IQRO77" hidden="1">"$O$78:$O$87"</definedName>
    <definedName name="IQRO78" hidden="1">"$O$79:$O$88"</definedName>
    <definedName name="IQRO81" hidden="1">"$O$82:$O$86"</definedName>
    <definedName name="IQRO91" hidden="1">"$O$92:$O$101"</definedName>
    <definedName name="IQRO92" hidden="1">"$O$93:$O$95"</definedName>
    <definedName name="IQRO97" hidden="1">"$O$98:$O$347"</definedName>
    <definedName name="IQROnePagerAF17" hidden="1">#REF!</definedName>
    <definedName name="IQROnePagerAP89" hidden="1">#REF!</definedName>
    <definedName name="IQROnePagerAR89" hidden="1">#REF!</definedName>
    <definedName name="IQROnePagerAT89" hidden="1">#REF!</definedName>
    <definedName name="IQROnePagerAV89" hidden="1">#REF!</definedName>
    <definedName name="IQROnePagerAX89" hidden="1">#REF!</definedName>
    <definedName name="IQROnePagerAZ17" hidden="1">#REF!</definedName>
    <definedName name="IQROptions2C24" hidden="1">#REF!</definedName>
    <definedName name="IQROptions2C7" hidden="1">#REF!</definedName>
    <definedName name="IQROptions2H24" hidden="1">#REF!</definedName>
    <definedName name="IQROptions2H7" hidden="1">#REF!</definedName>
    <definedName name="IQROptions2J24" hidden="1">#REF!</definedName>
    <definedName name="IQROptions2J7" hidden="1">#REF!</definedName>
    <definedName name="IQROptions2M24" hidden="1">#REF!</definedName>
    <definedName name="IQROptions2M7" hidden="1">#REF!</definedName>
    <definedName name="IQROptions2N24" hidden="1">#REF!</definedName>
    <definedName name="IQROptions2N7" hidden="1">#REF!</definedName>
    <definedName name="IQROptionsB24" hidden="1">#REF!</definedName>
    <definedName name="IQROptionsB7" hidden="1">#REF!</definedName>
    <definedName name="IQROptionsC24" hidden="1">#REF!</definedName>
    <definedName name="IQROptionsC7" hidden="1">#REF!</definedName>
    <definedName name="IQROptionsD24" hidden="1">#REF!</definedName>
    <definedName name="IQROptionsD7" hidden="1">#REF!</definedName>
    <definedName name="IQROptionsE24" hidden="1">#REF!</definedName>
    <definedName name="IQROptionsE7" hidden="1">#REF!</definedName>
    <definedName name="IQROptionsF24" hidden="1">#REF!</definedName>
    <definedName name="IQROptionsF7" hidden="1">#REF!</definedName>
    <definedName name="IQROptionsG24" hidden="1">#REF!</definedName>
    <definedName name="IQROptionsG7" hidden="1">#REF!</definedName>
    <definedName name="IQROptionsK24" hidden="1">#REF!</definedName>
    <definedName name="IQROptionsK7" hidden="1">#REF!</definedName>
    <definedName name="IQROptionsL24" hidden="1">#REF!</definedName>
    <definedName name="IQROptionsL7" hidden="1">#REF!</definedName>
    <definedName name="IQROptionsM24" hidden="1">#REF!</definedName>
    <definedName name="IQROptionsM7" hidden="1">#REF!</definedName>
    <definedName name="IQROptionsN24" hidden="1">#REF!</definedName>
    <definedName name="IQROptionsN7" hidden="1">#REF!</definedName>
    <definedName name="IQROptionsO24" hidden="1">#REF!</definedName>
    <definedName name="IQROptionsO7" hidden="1">#REF!</definedName>
    <definedName name="IQROptionsP24" hidden="1">#REF!</definedName>
    <definedName name="IQROptionsP7" hidden="1">#REF!</definedName>
    <definedName name="IQROptionsQ24" hidden="1">#REF!</definedName>
    <definedName name="IQROptionsQ7" hidden="1">#REF!</definedName>
    <definedName name="IQROptionsR24" hidden="1">#REF!</definedName>
    <definedName name="IQROptionsR7" hidden="1">#REF!</definedName>
    <definedName name="IQROptionsT24" hidden="1">#REF!</definedName>
    <definedName name="IQROptionsT7" hidden="1">#REF!</definedName>
    <definedName name="IQROptionsU24" hidden="1">#REF!</definedName>
    <definedName name="IQROptionsU7" hidden="1">#REF!</definedName>
    <definedName name="IQROptionsV24" hidden="1">#REF!</definedName>
    <definedName name="IQROptionsV7" hidden="1">#REF!</definedName>
    <definedName name="IQROptionsW24" hidden="1">#REF!</definedName>
    <definedName name="IQROptionsW7" hidden="1">#REF!</definedName>
    <definedName name="IQROptionsX24" hidden="1">#REF!</definedName>
    <definedName name="IQROptionsX7" hidden="1">#REF!</definedName>
    <definedName name="IQROptionsY24" hidden="1">#REF!</definedName>
    <definedName name="IQROptionsY7" hidden="1">#REF!</definedName>
    <definedName name="IQROwnershipB12" hidden="1">#REF!</definedName>
    <definedName name="IQROwnershipB6" hidden="1">#REF!</definedName>
    <definedName name="IQROwnershipCA11" hidden="1">#REF!</definedName>
    <definedName name="IQROwnershipEA8" hidden="1">#REF!</definedName>
    <definedName name="IQROwnershipO12" hidden="1">#REF!</definedName>
    <definedName name="IQROwnershipO6" hidden="1">#REF!</definedName>
    <definedName name="IQROwnershipX8" hidden="1">#REF!</definedName>
    <definedName name="IQRP10" hidden="1">#REF!</definedName>
    <definedName name="IQRP11" hidden="1">#REF!</definedName>
    <definedName name="IQRP119" hidden="1">"$P$120:$P$369"</definedName>
    <definedName name="IQRP12" hidden="1">#REF!</definedName>
    <definedName name="IQRP120" hidden="1">"$P$121:$P$370"</definedName>
    <definedName name="IQRP129" hidden="1">"$P$130:$P$379"</definedName>
    <definedName name="IQRP13" hidden="1">#REF!</definedName>
    <definedName name="IQRP14" hidden="1">#REF!</definedName>
    <definedName name="IQRP15" hidden="1">#REF!</definedName>
    <definedName name="IQRP16" hidden="1">#REF!</definedName>
    <definedName name="IQRP17" hidden="1">#REF!</definedName>
    <definedName name="IQRP18" hidden="1">#REF!</definedName>
    <definedName name="IQRP19" hidden="1">#REF!</definedName>
    <definedName name="IQRP20" hidden="1">#REF!</definedName>
    <definedName name="IQRP21" hidden="1">#REF!</definedName>
    <definedName name="IQRP22" hidden="1">#REF!</definedName>
    <definedName name="IQRP23" hidden="1">#REF!</definedName>
    <definedName name="IQRP24" hidden="1">"$P$25"</definedName>
    <definedName name="IQRP25" hidden="1">#REF!</definedName>
    <definedName name="IQRP26" hidden="1">#REF!</definedName>
    <definedName name="IQRP27" hidden="1">#REF!</definedName>
    <definedName name="IQRP28" hidden="1">#REF!</definedName>
    <definedName name="IQRP29" hidden="1">#REF!</definedName>
    <definedName name="IQRP3" hidden="1">"$P$4:$P$253"</definedName>
    <definedName name="IQRP30" hidden="1">"$P$31:$P$281"</definedName>
    <definedName name="IQRP31" hidden="1">#REF!</definedName>
    <definedName name="IQRP32" hidden="1">#REF!</definedName>
    <definedName name="IQRP33" hidden="1">#REF!</definedName>
    <definedName name="IQRP34" hidden="1">#REF!</definedName>
    <definedName name="IQRP35" hidden="1">#REF!</definedName>
    <definedName name="IQRP36" hidden="1">#REF!</definedName>
    <definedName name="IQRP37" hidden="1">#REF!</definedName>
    <definedName name="IQRP38" hidden="1">#REF!</definedName>
    <definedName name="IQRP39" hidden="1">"$P$40:$P$61"</definedName>
    <definedName name="IQRP7" hidden="1">"$P$8"</definedName>
    <definedName name="IQRP77" hidden="1">"$P$78:$P$85"</definedName>
    <definedName name="IQRP78" hidden="1">"$P$79:$P$88"</definedName>
    <definedName name="IQRP8" hidden="1">#REF!</definedName>
    <definedName name="IQRP81" hidden="1">"$P$82:$P$86"</definedName>
    <definedName name="IQRP9" hidden="1">"$P$10:$P$129"</definedName>
    <definedName name="IQRP91" hidden="1">"$P$92:$P$94"</definedName>
    <definedName name="IQRPFEH20" hidden="1">#REF!</definedName>
    <definedName name="IQRPreScoresAA37" hidden="1">#REF!</definedName>
    <definedName name="IQRPreScoresAE63" hidden="1">#REF!</definedName>
    <definedName name="IQRPreScoresAJ77" hidden="1">#REF!</definedName>
    <definedName name="IQRPreScoresAJ78" hidden="1">#REF!</definedName>
    <definedName name="IQRPreScoresAL77" hidden="1">#REF!</definedName>
    <definedName name="IQRPreScoresAL78" hidden="1">#REF!</definedName>
    <definedName name="IQRPreScoresAM77" hidden="1">#REF!</definedName>
    <definedName name="IQRPreScoresAM78" hidden="1">#REF!</definedName>
    <definedName name="IQRPreScoresAX19" hidden="1">#REF!</definedName>
    <definedName name="IQRPreScoresBQ19" hidden="1">#REF!</definedName>
    <definedName name="IQRPreScoresBV19" hidden="1">#REF!</definedName>
    <definedName name="IQRPreScoresCA19" hidden="1">#REF!</definedName>
    <definedName name="IQRPreScoresCB19" hidden="1">#REF!</definedName>
    <definedName name="IQRPreScoresCC19" hidden="1">#REF!</definedName>
    <definedName name="IQRPreScoresZ83" hidden="1">#REF!</definedName>
    <definedName name="IQRProprietaryDataUploadW57" hidden="1">#REF!</definedName>
    <definedName name="IQRPublicComp1WACC2BF9" hidden="1">#REF!</definedName>
    <definedName name="IQRPublicComp1WACC2BN9" hidden="1">#REF!</definedName>
    <definedName name="IQRPublicComp1WACCBF10" hidden="1">#REF!</definedName>
    <definedName name="IQRPublicComp1WACCBF9" hidden="1">#REF!</definedName>
    <definedName name="IQRPublicComp1WACCBN10" hidden="1">#REF!</definedName>
    <definedName name="IQRPublicComp4WACCBF9" hidden="1">#REF!</definedName>
    <definedName name="IQRPublicComp4WACCBN9" hidden="1">#REF!</definedName>
    <definedName name="IQRPublicComp6WACCBN9" hidden="1">#REF!</definedName>
    <definedName name="IQRPublicComp7WACCBN9" hidden="1">#REF!</definedName>
    <definedName name="IQRPublicTradingMultiplesC10" hidden="1">#REF!</definedName>
    <definedName name="IQRPublicTradingMultiplesC12" hidden="1">#REF!</definedName>
    <definedName name="IQRPublicTradingMultiplesC24" hidden="1">#REF!</definedName>
    <definedName name="IQRQ102" hidden="1">"$Q$103:$Q$352"</definedName>
    <definedName name="IQRQ129" hidden="1">"$Q$130:$Q$379"</definedName>
    <definedName name="IQRQ21" hidden="1">"$Q$22"</definedName>
    <definedName name="IQRQ24" hidden="1">"$Q$25"</definedName>
    <definedName name="IQRQ3" hidden="1">"$Q$4:$Q$253"</definedName>
    <definedName name="IQRQ40" hidden="1">"$Q$41:$Q$65"</definedName>
    <definedName name="IQRQ5" hidden="1">"$Q$6:$Q$512"</definedName>
    <definedName name="IQRQ6" hidden="1">"$Q$7:$Q$256"</definedName>
    <definedName name="IQRQ7" hidden="1">"$Q$8"</definedName>
    <definedName name="IQRQ73" hidden="1">"$Q$74:$Q$323"</definedName>
    <definedName name="IQRQ74" hidden="1">"$Q$75:$Q$324"</definedName>
    <definedName name="IQRQ77" hidden="1">"$Q$78:$Q$327"</definedName>
    <definedName name="IQRQ81" hidden="1">"$Q$82:$Q$86"</definedName>
    <definedName name="IQRQ94" hidden="1">"$Q$95:$Q$344"</definedName>
    <definedName name="IQRQ95" hidden="1">"$Q$96:$Q$345"</definedName>
    <definedName name="IQRR102" hidden="1">"$R$103:$R$352"</definedName>
    <definedName name="IQRR13" hidden="1">"$R$14"</definedName>
    <definedName name="IQRR192" hidden="1">"$R$193:$R$443"</definedName>
    <definedName name="IQRR207" hidden="1">"$R$208:$R$458"</definedName>
    <definedName name="IQRR24" hidden="1">"$R$25"</definedName>
    <definedName name="IQRR3" hidden="1">"$R$4:$R$253"</definedName>
    <definedName name="IQRR36" hidden="1">"$R$37:$R$58"</definedName>
    <definedName name="IQRR4" hidden="1">"$R$5:$R$254"</definedName>
    <definedName name="IQRR5" hidden="1">"$R$6:$R$257"</definedName>
    <definedName name="IQRR6" hidden="1">"$R$7:$R$256"</definedName>
    <definedName name="IQRR7" hidden="1">"$R$8"</definedName>
    <definedName name="IQRR81" hidden="1">"$R$82:$R$86"</definedName>
    <definedName name="IQRREAConsensusAM40" hidden="1">#REF!</definedName>
    <definedName name="IQRREAConsensusAT40" hidden="1">#REF!</definedName>
    <definedName name="IQRREAConsensusAU40" hidden="1">#REF!</definedName>
    <definedName name="IQRREAConsensusAV40" hidden="1">#REF!</definedName>
    <definedName name="IQRREAConsensusC39" hidden="1">#REF!</definedName>
    <definedName name="IQRREAConsensusD33" hidden="1">#REF!</definedName>
    <definedName name="IQRREAConsensusD34" hidden="1">#REF!</definedName>
    <definedName name="IQRREAConsensusD39" hidden="1">#REF!</definedName>
    <definedName name="IQRREAConsensusD41" hidden="1">#REF!</definedName>
    <definedName name="IQRREAConsensusE33" hidden="1">#REF!</definedName>
    <definedName name="IQRREAConsensusE34" hidden="1">#REF!</definedName>
    <definedName name="IQRREAConsensusE40" hidden="1">#REF!</definedName>
    <definedName name="IQRREAConsensusE41" hidden="1">#REF!</definedName>
    <definedName name="IQRREAConsensusF33" hidden="1">#REF!</definedName>
    <definedName name="IQRREAConsensusF34" hidden="1">#REF!</definedName>
    <definedName name="IQRREAConsensusF39" hidden="1">#REF!</definedName>
    <definedName name="IQRREAConsensusF40" hidden="1">#REF!</definedName>
    <definedName name="IQRREAConsensusF41" hidden="1">#REF!</definedName>
    <definedName name="IQRREAConsensusF66" hidden="1">#REF!</definedName>
    <definedName name="IQRREAConsensusG40" hidden="1">#REF!</definedName>
    <definedName name="IQRREAConsensusG41" hidden="1">#REF!</definedName>
    <definedName name="IQRREAConsensusG66" hidden="1">#REF!</definedName>
    <definedName name="IQRREAConsensusH39" hidden="1">#REF!</definedName>
    <definedName name="IQRREAConsensusI39" hidden="1">#REF!</definedName>
    <definedName name="IQRREAConsensusI40" hidden="1">#REF!</definedName>
    <definedName name="IQRREAConsensusJ39" hidden="1">#REF!</definedName>
    <definedName name="IQRREAConsensusJ40" hidden="1">#REF!</definedName>
    <definedName name="IQRREAConsensusK39" hidden="1">#REF!</definedName>
    <definedName name="IQRREAConsensusK40" hidden="1">#REF!</definedName>
    <definedName name="IQRREAConsensusL39" hidden="1">#REF!</definedName>
    <definedName name="IQRREAConsensusL40" hidden="1">#REF!</definedName>
    <definedName name="IQRREAConsensusM40" hidden="1">#REF!</definedName>
    <definedName name="IQRREAConsensusN40" hidden="1">#REF!</definedName>
    <definedName name="IQRREAConsensusO40" hidden="1">#REF!</definedName>
    <definedName name="IQRREAConsensusU40" hidden="1">#REF!</definedName>
    <definedName name="IQRREAConsensusV40" hidden="1">#REF!</definedName>
    <definedName name="IQRREAConsensusW40" hidden="1">#REF!</definedName>
    <definedName name="IQRReportAA10" hidden="1">#REF!</definedName>
    <definedName name="IQRReportAA100" hidden="1">#REF!</definedName>
    <definedName name="IQRReportAA101" hidden="1">#REF!</definedName>
    <definedName name="IQRReportAA102" hidden="1">#REF!</definedName>
    <definedName name="IQRReportAA103" hidden="1">#REF!</definedName>
    <definedName name="IQRReportAA104" hidden="1">#REF!</definedName>
    <definedName name="IQRReportAA105" hidden="1">#REF!</definedName>
    <definedName name="IQRReportAA106" hidden="1">#REF!</definedName>
    <definedName name="IQRReportAA107" hidden="1">#REF!</definedName>
    <definedName name="IQRReportAA108" hidden="1">#REF!</definedName>
    <definedName name="IQRReportAA109" hidden="1">#REF!</definedName>
    <definedName name="IQRReportAA11" hidden="1">#REF!</definedName>
    <definedName name="IQRReportAA110" hidden="1">#REF!</definedName>
    <definedName name="IQRReportAA111" hidden="1">#REF!</definedName>
    <definedName name="IQRReportAA112" hidden="1">#REF!</definedName>
    <definedName name="IQRReportAA113" hidden="1">#REF!</definedName>
    <definedName name="IQRReportAA114" hidden="1">#REF!</definedName>
    <definedName name="IQRReportAA115" hidden="1">#REF!</definedName>
    <definedName name="IQRReportAA116" hidden="1">#REF!</definedName>
    <definedName name="IQRReportAA117" hidden="1">#REF!</definedName>
    <definedName name="IQRReportAA118" hidden="1">#REF!</definedName>
    <definedName name="IQRReportAA119" hidden="1">#REF!</definedName>
    <definedName name="IQRReportAA12" hidden="1">#REF!</definedName>
    <definedName name="IQRReportAA120" hidden="1">#REF!</definedName>
    <definedName name="IQRReportAA121" hidden="1">#REF!</definedName>
    <definedName name="IQRReportAA122" hidden="1">#REF!</definedName>
    <definedName name="IQRReportAA123" hidden="1">#REF!</definedName>
    <definedName name="IQRReportAA124" hidden="1">#REF!</definedName>
    <definedName name="IQRReportAA125" hidden="1">#REF!</definedName>
    <definedName name="IQRReportAA126" hidden="1">#REF!</definedName>
    <definedName name="IQRReportAA127" hidden="1">#REF!</definedName>
    <definedName name="IQRReportAA128" hidden="1">#REF!</definedName>
    <definedName name="IQRReportAA129" hidden="1">#REF!</definedName>
    <definedName name="IQRReportAA13" hidden="1">#REF!</definedName>
    <definedName name="IQRReportAA130" hidden="1">#REF!</definedName>
    <definedName name="IQRReportAA131" hidden="1">#REF!</definedName>
    <definedName name="IQRReportAA132" hidden="1">#REF!</definedName>
    <definedName name="IQRReportAA133" hidden="1">#REF!</definedName>
    <definedName name="IQRReportAA134" hidden="1">#REF!</definedName>
    <definedName name="IQRReportAA135" hidden="1">#REF!</definedName>
    <definedName name="IQRReportAA136" hidden="1">#REF!</definedName>
    <definedName name="IQRReportAA137" hidden="1">#REF!</definedName>
    <definedName name="IQRReportAA138" hidden="1">#REF!</definedName>
    <definedName name="IQRReportAA139" hidden="1">#REF!</definedName>
    <definedName name="IQRReportAA14" hidden="1">#REF!</definedName>
    <definedName name="IQRReportAA140" hidden="1">#REF!</definedName>
    <definedName name="IQRReportAA141" hidden="1">#REF!</definedName>
    <definedName name="IQRReportAA142" hidden="1">#REF!</definedName>
    <definedName name="IQRReportAA143" hidden="1">#REF!</definedName>
    <definedName name="IQRReportAA144" hidden="1">#REF!</definedName>
    <definedName name="IQRReportAA145" hidden="1">#REF!</definedName>
    <definedName name="IQRReportAA146" hidden="1">#REF!</definedName>
    <definedName name="IQRReportAA147" hidden="1">#REF!</definedName>
    <definedName name="IQRReportAA148" hidden="1">#REF!</definedName>
    <definedName name="IQRReportAA149" hidden="1">#REF!</definedName>
    <definedName name="IQRReportAA15" hidden="1">#REF!</definedName>
    <definedName name="IQRReportAA150" hidden="1">#REF!</definedName>
    <definedName name="IQRReportAA151" hidden="1">#REF!</definedName>
    <definedName name="IQRReportAA152" hidden="1">#REF!</definedName>
    <definedName name="IQRReportAA153" hidden="1">#REF!</definedName>
    <definedName name="IQRReportAA154" hidden="1">#REF!</definedName>
    <definedName name="IQRReportAA155" hidden="1">#REF!</definedName>
    <definedName name="IQRReportAA156" hidden="1">#REF!</definedName>
    <definedName name="IQRReportAA157" hidden="1">#REF!</definedName>
    <definedName name="IQRReportAA158" hidden="1">#REF!</definedName>
    <definedName name="IQRReportAA159" hidden="1">#REF!</definedName>
    <definedName name="IQRReportAA16" hidden="1">#REF!</definedName>
    <definedName name="IQRReportAA160" hidden="1">#REF!</definedName>
    <definedName name="IQRReportAA161" hidden="1">#REF!</definedName>
    <definedName name="IQRReportAA162" hidden="1">#REF!</definedName>
    <definedName name="IQRReportAA163" hidden="1">#REF!</definedName>
    <definedName name="IQRReportAA164" hidden="1">#REF!</definedName>
    <definedName name="IQRReportAA165" hidden="1">#REF!</definedName>
    <definedName name="IQRReportAA166" hidden="1">#REF!</definedName>
    <definedName name="IQRReportAA167" hidden="1">#REF!</definedName>
    <definedName name="IQRReportAA168" hidden="1">#REF!</definedName>
    <definedName name="IQRReportAA169" hidden="1">#REF!</definedName>
    <definedName name="IQRReportAA17" hidden="1">#REF!</definedName>
    <definedName name="IQRReportAA170" hidden="1">#REF!</definedName>
    <definedName name="IQRReportAA171" hidden="1">#REF!</definedName>
    <definedName name="IQRReportAA172" hidden="1">#REF!</definedName>
    <definedName name="IQRReportAA173" hidden="1">#REF!</definedName>
    <definedName name="IQRReportAA174" hidden="1">#REF!</definedName>
    <definedName name="IQRReportAA175" hidden="1">#REF!</definedName>
    <definedName name="IQRReportAA176" hidden="1">#REF!</definedName>
    <definedName name="IQRReportAA177" hidden="1">#REF!</definedName>
    <definedName name="IQRReportAA178" hidden="1">#REF!</definedName>
    <definedName name="IQRReportAA179" hidden="1">#REF!</definedName>
    <definedName name="IQRReportAA18" hidden="1">#REF!</definedName>
    <definedName name="IQRReportAA180" hidden="1">#REF!</definedName>
    <definedName name="IQRReportAA181" hidden="1">#REF!</definedName>
    <definedName name="IQRReportAA182" hidden="1">#REF!</definedName>
    <definedName name="IQRReportAA183" hidden="1">#REF!</definedName>
    <definedName name="IQRReportAA184" hidden="1">#REF!</definedName>
    <definedName name="IQRReportAA185" hidden="1">#REF!</definedName>
    <definedName name="IQRReportAA186" hidden="1">#REF!</definedName>
    <definedName name="IQRReportAA187" hidden="1">#REF!</definedName>
    <definedName name="IQRReportAA188" hidden="1">#REF!</definedName>
    <definedName name="IQRReportAA189" hidden="1">#REF!</definedName>
    <definedName name="IQRReportAA19" hidden="1">#REF!</definedName>
    <definedName name="IQRReportAA190" hidden="1">#REF!</definedName>
    <definedName name="IQRReportAA191" hidden="1">#REF!</definedName>
    <definedName name="IQRReportAA192" hidden="1">#REF!</definedName>
    <definedName name="IQRReportAA193" hidden="1">#REF!</definedName>
    <definedName name="IQRReportAA194" hidden="1">#REF!</definedName>
    <definedName name="IQRReportAA195" hidden="1">#REF!</definedName>
    <definedName name="IQRReportAA196" hidden="1">#REF!</definedName>
    <definedName name="IQRReportAA197" hidden="1">#REF!</definedName>
    <definedName name="IQRReportAA198" hidden="1">#REF!</definedName>
    <definedName name="IQRReportAA199" hidden="1">#REF!</definedName>
    <definedName name="IQRReportAA20" hidden="1">#REF!</definedName>
    <definedName name="IQRReportAA200" hidden="1">#REF!</definedName>
    <definedName name="IQRReportAA201" hidden="1">#REF!</definedName>
    <definedName name="IQRReportAA202" hidden="1">#REF!</definedName>
    <definedName name="IQRReportAA203" hidden="1">#REF!</definedName>
    <definedName name="IQRReportAA204" hidden="1">#REF!</definedName>
    <definedName name="IQRReportAA205" hidden="1">#REF!</definedName>
    <definedName name="IQRReportAA206" hidden="1">#REF!</definedName>
    <definedName name="IQRReportAA207" hidden="1">#REF!</definedName>
    <definedName name="IQRReportAA208" hidden="1">#REF!</definedName>
    <definedName name="IQRReportAA209" hidden="1">#REF!</definedName>
    <definedName name="IQRReportAA21" hidden="1">#REF!</definedName>
    <definedName name="IQRReportAA210" hidden="1">#REF!</definedName>
    <definedName name="IQRReportAA211" hidden="1">#REF!</definedName>
    <definedName name="IQRReportAA212" hidden="1">#REF!</definedName>
    <definedName name="IQRReportAA213" hidden="1">#REF!</definedName>
    <definedName name="IQRReportAA214" hidden="1">#REF!</definedName>
    <definedName name="IQRReportAA215" hidden="1">#REF!</definedName>
    <definedName name="IQRReportAA216" hidden="1">#REF!</definedName>
    <definedName name="IQRReportAA217" hidden="1">#REF!</definedName>
    <definedName name="IQRReportAA218" hidden="1">#REF!</definedName>
    <definedName name="IQRReportAA219" hidden="1">#REF!</definedName>
    <definedName name="IQRReportAA22" hidden="1">#REF!</definedName>
    <definedName name="IQRReportAA220" hidden="1">#REF!</definedName>
    <definedName name="IQRReportAA221" hidden="1">#REF!</definedName>
    <definedName name="IQRReportAA222" hidden="1">#REF!</definedName>
    <definedName name="IQRReportAA223" hidden="1">#REF!</definedName>
    <definedName name="IQRReportAA225" hidden="1">#REF!</definedName>
    <definedName name="IQRReportAA226" hidden="1">#REF!</definedName>
    <definedName name="IQRReportAA227" hidden="1">#REF!</definedName>
    <definedName name="IQRReportAA228" hidden="1">#REF!</definedName>
    <definedName name="IQRReportAA229" hidden="1">#REF!</definedName>
    <definedName name="IQRReportAA23" hidden="1">#REF!</definedName>
    <definedName name="IQRReportAA230" hidden="1">#REF!</definedName>
    <definedName name="IQRReportAA231" hidden="1">#REF!</definedName>
    <definedName name="IQRReportAA232" hidden="1">#REF!</definedName>
    <definedName name="IQRReportAA233" hidden="1">#REF!</definedName>
    <definedName name="IQRReportAA234" hidden="1">#REF!</definedName>
    <definedName name="IQRReportAA235" hidden="1">#REF!</definedName>
    <definedName name="IQRReportAA236" hidden="1">#REF!</definedName>
    <definedName name="IQRReportAA237" hidden="1">#REF!</definedName>
    <definedName name="IQRReportAA238" hidden="1">#REF!</definedName>
    <definedName name="IQRReportAA239" hidden="1">#REF!</definedName>
    <definedName name="IQRReportAA24" hidden="1">#REF!</definedName>
    <definedName name="IQRReportAA240" hidden="1">#REF!</definedName>
    <definedName name="IQRReportAA241" hidden="1">#REF!</definedName>
    <definedName name="IQRReportAA242" hidden="1">#REF!</definedName>
    <definedName name="IQRReportAA243" hidden="1">#REF!</definedName>
    <definedName name="IQRReportAA244" hidden="1">#REF!</definedName>
    <definedName name="IQRReportAA245" hidden="1">#REF!</definedName>
    <definedName name="IQRReportAA246" hidden="1">#REF!</definedName>
    <definedName name="IQRReportAA248" hidden="1">#REF!</definedName>
    <definedName name="IQRReportAA249" hidden="1">#REF!</definedName>
    <definedName name="IQRReportAA25" hidden="1">#REF!</definedName>
    <definedName name="IQRReportAA250" hidden="1">#REF!</definedName>
    <definedName name="IQRReportAA251" hidden="1">#REF!</definedName>
    <definedName name="IQRReportAA253" hidden="1">#REF!</definedName>
    <definedName name="IQRReportAA254" hidden="1">#REF!</definedName>
    <definedName name="IQRReportAA255" hidden="1">#REF!</definedName>
    <definedName name="IQRReportAA256" hidden="1">#REF!</definedName>
    <definedName name="IQRReportAA257" hidden="1">#REF!</definedName>
    <definedName name="IQRReportAA26" hidden="1">#REF!</definedName>
    <definedName name="IQRReportAA27" hidden="1">#REF!</definedName>
    <definedName name="IQRReportAA28" hidden="1">#REF!</definedName>
    <definedName name="IQRReportAA29" hidden="1">#REF!</definedName>
    <definedName name="IQRReportAA30" hidden="1">#REF!</definedName>
    <definedName name="IQRReportAA31" hidden="1">#REF!</definedName>
    <definedName name="IQRReportAA32" hidden="1">#REF!</definedName>
    <definedName name="IQRReportAA33" hidden="1">#REF!</definedName>
    <definedName name="IQRReportAA34" hidden="1">#REF!</definedName>
    <definedName name="IQRReportAA35" hidden="1">#REF!</definedName>
    <definedName name="IQRReportAA36" hidden="1">#REF!</definedName>
    <definedName name="IQRReportAA37" hidden="1">#REF!</definedName>
    <definedName name="IQRReportAA38" hidden="1">#REF!</definedName>
    <definedName name="IQRReportAA39" hidden="1">#REF!</definedName>
    <definedName name="IQRReportAA40" hidden="1">#REF!</definedName>
    <definedName name="IQRReportAA41" hidden="1">#REF!</definedName>
    <definedName name="IQRReportAA42" hidden="1">#REF!</definedName>
    <definedName name="IQRReportAA43" hidden="1">#REF!</definedName>
    <definedName name="IQRReportAA44" hidden="1">#REF!</definedName>
    <definedName name="IQRReportAA45" hidden="1">#REF!</definedName>
    <definedName name="IQRReportAA46" hidden="1">#REF!</definedName>
    <definedName name="IQRReportAA47" hidden="1">#REF!</definedName>
    <definedName name="IQRReportAA48" hidden="1">#REF!</definedName>
    <definedName name="IQRReportAA49" hidden="1">#REF!</definedName>
    <definedName name="IQRReportAA50" hidden="1">#REF!</definedName>
    <definedName name="IQRReportAA51" hidden="1">#REF!</definedName>
    <definedName name="IQRReportAA52" hidden="1">#REF!</definedName>
    <definedName name="IQRReportAA53" hidden="1">#REF!</definedName>
    <definedName name="IQRReportAA54" hidden="1">#REF!</definedName>
    <definedName name="IQRReportAA55" hidden="1">#REF!</definedName>
    <definedName name="IQRReportAA56" hidden="1">#REF!</definedName>
    <definedName name="IQRReportAA57" hidden="1">#REF!</definedName>
    <definedName name="IQRReportAA58" hidden="1">#REF!</definedName>
    <definedName name="IQRReportAA59" hidden="1">#REF!</definedName>
    <definedName name="IQRReportAA60" hidden="1">#REF!</definedName>
    <definedName name="IQRReportAA61" hidden="1">#REF!</definedName>
    <definedName name="IQRReportAA62" hidden="1">#REF!</definedName>
    <definedName name="IQRReportAA63" hidden="1">#REF!</definedName>
    <definedName name="IQRReportAA64" hidden="1">#REF!</definedName>
    <definedName name="IQRReportAA65" hidden="1">#REF!</definedName>
    <definedName name="IQRReportAA66" hidden="1">#REF!</definedName>
    <definedName name="IQRReportAA67" hidden="1">#REF!</definedName>
    <definedName name="IQRReportAA68" hidden="1">#REF!</definedName>
    <definedName name="IQRReportAA69" hidden="1">#REF!</definedName>
    <definedName name="IQRReportAA7" hidden="1">#REF!</definedName>
    <definedName name="IQRReportAA70" hidden="1">#REF!</definedName>
    <definedName name="IQRReportAA71" hidden="1">#REF!</definedName>
    <definedName name="IQRReportAA72" hidden="1">#REF!</definedName>
    <definedName name="IQRReportAA73" hidden="1">#REF!</definedName>
    <definedName name="IQRReportAA74" hidden="1">#REF!</definedName>
    <definedName name="IQRReportAA75" hidden="1">#REF!</definedName>
    <definedName name="IQRReportAA76" hidden="1">#REF!</definedName>
    <definedName name="IQRReportAA77" hidden="1">#REF!</definedName>
    <definedName name="IQRReportAA78" hidden="1">#REF!</definedName>
    <definedName name="IQRReportAA79" hidden="1">#REF!</definedName>
    <definedName name="IQRReportAA8" hidden="1">#REF!</definedName>
    <definedName name="IQRReportAA80" hidden="1">#REF!</definedName>
    <definedName name="IQRReportAA81" hidden="1">#REF!</definedName>
    <definedName name="IQRReportAA82" hidden="1">#REF!</definedName>
    <definedName name="IQRReportAA83" hidden="1">#REF!</definedName>
    <definedName name="IQRReportAA84" hidden="1">#REF!</definedName>
    <definedName name="IQRReportAA85" hidden="1">#REF!</definedName>
    <definedName name="IQRReportAA86" hidden="1">#REF!</definedName>
    <definedName name="IQRReportAA87" hidden="1">#REF!</definedName>
    <definedName name="IQRReportAA88" hidden="1">#REF!</definedName>
    <definedName name="IQRReportAA89" hidden="1">#REF!</definedName>
    <definedName name="IQRReportAA9" hidden="1">#REF!</definedName>
    <definedName name="IQRReportAA90" hidden="1">#REF!</definedName>
    <definedName name="IQRReportAA91" hidden="1">#REF!</definedName>
    <definedName name="IQRReportAA92" hidden="1">#REF!</definedName>
    <definedName name="IQRReportAA93" hidden="1">#REF!</definedName>
    <definedName name="IQRReportAA94" hidden="1">#REF!</definedName>
    <definedName name="IQRReportAA95" hidden="1">#REF!</definedName>
    <definedName name="IQRReportAA96" hidden="1">#REF!</definedName>
    <definedName name="IQRReportAA97" hidden="1">#REF!</definedName>
    <definedName name="IQRReportAA98" hidden="1">#REF!</definedName>
    <definedName name="IQRReportAA99" hidden="1">#REF!</definedName>
    <definedName name="IQRReportAC10" hidden="1">#REF!</definedName>
    <definedName name="IQRReportAC104" hidden="1">#REF!</definedName>
    <definedName name="IQRReportAC105" hidden="1">#REF!</definedName>
    <definedName name="IQRReportAC13" hidden="1">#REF!</definedName>
    <definedName name="IQRReportAC14" hidden="1">#REF!</definedName>
    <definedName name="IQRReportAC15" hidden="1">#REF!</definedName>
    <definedName name="IQRReportAC18" hidden="1">#REF!</definedName>
    <definedName name="IQRReportAC19" hidden="1">#REF!</definedName>
    <definedName name="IQRReportAC20" hidden="1">#REF!</definedName>
    <definedName name="IQRReportAC23" hidden="1">#REF!</definedName>
    <definedName name="IQRReportAC24" hidden="1">#REF!</definedName>
    <definedName name="IQRReportAC26" hidden="1">#REF!</definedName>
    <definedName name="IQRReportAC27" hidden="1">#REF!</definedName>
    <definedName name="IQRReportAC28" hidden="1">#REF!</definedName>
    <definedName name="IQRReportAC37" hidden="1">#REF!</definedName>
    <definedName name="IQRReportAC39" hidden="1">#REF!</definedName>
    <definedName name="IQRReportAC40" hidden="1">#REF!</definedName>
    <definedName name="IQRReportAC42" hidden="1">#REF!</definedName>
    <definedName name="IQRReportAC45" hidden="1">#REF!</definedName>
    <definedName name="IQRReportAC50" hidden="1">#REF!</definedName>
    <definedName name="IQRReportAC51" hidden="1">#REF!</definedName>
    <definedName name="IQRReportAC52" hidden="1">#REF!</definedName>
    <definedName name="IQRReportAC53" hidden="1">#REF!</definedName>
    <definedName name="IQRReportAC54" hidden="1">#REF!</definedName>
    <definedName name="IQRReportAC55" hidden="1">#REF!</definedName>
    <definedName name="IQRReportAC56" hidden="1">#REF!</definedName>
    <definedName name="IQRReportAC58" hidden="1">#REF!</definedName>
    <definedName name="IQRReportAC66" hidden="1">#REF!</definedName>
    <definedName name="IQRReportAC68" hidden="1">#REF!</definedName>
    <definedName name="IQRReportAC69" hidden="1">#REF!</definedName>
    <definedName name="IQRReportAC71" hidden="1">#REF!</definedName>
    <definedName name="IQRReportAC72" hidden="1">#REF!</definedName>
    <definedName name="IQRReportAC74" hidden="1">#REF!</definedName>
    <definedName name="IQRReportAC75" hidden="1">#REF!</definedName>
    <definedName name="IQRReportAC77" hidden="1">#REF!</definedName>
    <definedName name="IQRReportAC8" hidden="1">#REF!</definedName>
    <definedName name="IQRReportAC80" hidden="1">#REF!</definedName>
    <definedName name="IQRReportAC83" hidden="1">#REF!</definedName>
    <definedName name="IQRReportAC85" hidden="1">#REF!</definedName>
    <definedName name="IQRReportAC86" hidden="1">#REF!</definedName>
    <definedName name="IQRReportAC87" hidden="1">#REF!</definedName>
    <definedName name="IQRReportAC88" hidden="1">#REF!</definedName>
    <definedName name="IQRReportAC90" hidden="1">#REF!</definedName>
    <definedName name="IQRReportAC92" hidden="1">#REF!</definedName>
    <definedName name="IQRReportAC98" hidden="1">#REF!</definedName>
    <definedName name="IQRReportAC99" hidden="1">#REF!</definedName>
    <definedName name="IQRReportAD10" hidden="1">#REF!</definedName>
    <definedName name="IQRReportAD8" hidden="1">#REF!</definedName>
    <definedName name="IQRReportAD9" hidden="1">#REF!</definedName>
    <definedName name="IQRReportAG10" hidden="1">#REF!</definedName>
    <definedName name="IQRReportAG104" hidden="1">#REF!</definedName>
    <definedName name="IQRReportAG105" hidden="1">#REF!</definedName>
    <definedName name="IQRReportAG13" hidden="1">#REF!</definedName>
    <definedName name="IQRReportAG14" hidden="1">#REF!</definedName>
    <definedName name="IQRReportAG15" hidden="1">#REF!</definedName>
    <definedName name="IQRReportAG18" hidden="1">#REF!</definedName>
    <definedName name="IQRReportAG19" hidden="1">#REF!</definedName>
    <definedName name="IQRReportAG20" hidden="1">#REF!</definedName>
    <definedName name="IQRReportAG23" hidden="1">#REF!</definedName>
    <definedName name="IQRReportAG24" hidden="1">#REF!</definedName>
    <definedName name="IQRReportAG26" hidden="1">#REF!</definedName>
    <definedName name="IQRReportAG27" hidden="1">#REF!</definedName>
    <definedName name="IQRReportAG28" hidden="1">#REF!</definedName>
    <definedName name="IQRReportAG37" hidden="1">#REF!</definedName>
    <definedName name="IQRReportAG39" hidden="1">#REF!</definedName>
    <definedName name="IQRReportAG40" hidden="1">#REF!</definedName>
    <definedName name="IQRReportAG42" hidden="1">#REF!</definedName>
    <definedName name="IQRReportAG45" hidden="1">#REF!</definedName>
    <definedName name="IQRReportAG50" hidden="1">#REF!</definedName>
    <definedName name="IQRReportAG51" hidden="1">#REF!</definedName>
    <definedName name="IQRReportAG52" hidden="1">#REF!</definedName>
    <definedName name="IQRReportAG53" hidden="1">#REF!</definedName>
    <definedName name="IQRReportAG54" hidden="1">#REF!</definedName>
    <definedName name="IQRReportAG55" hidden="1">#REF!</definedName>
    <definedName name="IQRReportAG56" hidden="1">#REF!</definedName>
    <definedName name="IQRReportAG58" hidden="1">#REF!</definedName>
    <definedName name="IQRReportAG66" hidden="1">#REF!</definedName>
    <definedName name="IQRReportAG68" hidden="1">#REF!</definedName>
    <definedName name="IQRReportAG69" hidden="1">#REF!</definedName>
    <definedName name="IQRReportAG71" hidden="1">#REF!</definedName>
    <definedName name="IQRReportAG72" hidden="1">#REF!</definedName>
    <definedName name="IQRReportAG74" hidden="1">#REF!</definedName>
    <definedName name="IQRReportAG75" hidden="1">#REF!</definedName>
    <definedName name="IQRReportAG77" hidden="1">#REF!</definedName>
    <definedName name="IQRReportAG8" hidden="1">#REF!</definedName>
    <definedName name="IQRReportAG80" hidden="1">#REF!</definedName>
    <definedName name="IQRReportAG83" hidden="1">#REF!</definedName>
    <definedName name="IQRReportAG85" hidden="1">#REF!</definedName>
    <definedName name="IQRReportAG86" hidden="1">#REF!</definedName>
    <definedName name="IQRReportAG87" hidden="1">#REF!</definedName>
    <definedName name="IQRReportAG88" hidden="1">#REF!</definedName>
    <definedName name="IQRReportAG90" hidden="1">#REF!</definedName>
    <definedName name="IQRReportAG92" hidden="1">#REF!</definedName>
    <definedName name="IQRReportAG98" hidden="1">#REF!</definedName>
    <definedName name="IQRReportAG99" hidden="1">#REF!</definedName>
    <definedName name="IQRReportAH10" hidden="1">#REF!</definedName>
    <definedName name="IQRReportAH8" hidden="1">#REF!</definedName>
    <definedName name="IQRReportAH9" hidden="1">#REF!</definedName>
    <definedName name="IQRReportAI10" hidden="1">#REF!</definedName>
    <definedName name="IQRReportAI14" hidden="1">#REF!</definedName>
    <definedName name="IQRReportAI7" hidden="1">#REF!</definedName>
    <definedName name="IQRReportAI8" hidden="1">#REF!</definedName>
    <definedName name="IQRReportAI9" hidden="1">#REF!</definedName>
    <definedName name="IQRReportAJ7" hidden="1">#REF!</definedName>
    <definedName name="IQRReportAJ8" hidden="1">#REF!</definedName>
    <definedName name="IQRReportAJ9" hidden="1">#REF!</definedName>
    <definedName name="IQRReportAM13" hidden="1">#REF!</definedName>
    <definedName name="IQRReportAM14" hidden="1">#REF!</definedName>
    <definedName name="IQRReportAM4" hidden="1">#REF!</definedName>
    <definedName name="IQRReportAM5" hidden="1">#REF!</definedName>
    <definedName name="IQRReportAM6" hidden="1">#REF!</definedName>
    <definedName name="IQRReportAM7" hidden="1">#REF!</definedName>
    <definedName name="IQRReportAM8" hidden="1">#REF!</definedName>
    <definedName name="IQRReportAM9" hidden="1">#REF!</definedName>
    <definedName name="IQRReportAW8" hidden="1">#REF!</definedName>
    <definedName name="IQRReportAX10" hidden="1">#REF!</definedName>
    <definedName name="IQRReportAX104" hidden="1">#REF!</definedName>
    <definedName name="IQRReportAX105" hidden="1">#REF!</definedName>
    <definedName name="IQRReportAX11" hidden="1">#REF!</definedName>
    <definedName name="IQRReportAX13" hidden="1">#REF!</definedName>
    <definedName name="IQRReportAX14" hidden="1">#REF!</definedName>
    <definedName name="IQRReportAX15" hidden="1">#REF!</definedName>
    <definedName name="IQRReportAX17" hidden="1">#REF!</definedName>
    <definedName name="IQRReportAX18" hidden="1">#REF!</definedName>
    <definedName name="IQRReportAX19" hidden="1">#REF!</definedName>
    <definedName name="IQRReportAX20" hidden="1">#REF!</definedName>
    <definedName name="IQRReportAX23" hidden="1">#REF!</definedName>
    <definedName name="IQRReportAX24" hidden="1">#REF!</definedName>
    <definedName name="IQRReportAX26" hidden="1">#REF!</definedName>
    <definedName name="IQRReportAX27" hidden="1">#REF!</definedName>
    <definedName name="IQRReportAX28" hidden="1">#REF!</definedName>
    <definedName name="IQRReportAX37" hidden="1">#REF!</definedName>
    <definedName name="IQRReportAX39" hidden="1">#REF!</definedName>
    <definedName name="IQRReportAX40" hidden="1">#REF!</definedName>
    <definedName name="IQRReportAX42" hidden="1">#REF!</definedName>
    <definedName name="IQRReportAX45" hidden="1">#REF!</definedName>
    <definedName name="IQRReportAX50" hidden="1">#REF!</definedName>
    <definedName name="IQRReportAX51" hidden="1">#REF!</definedName>
    <definedName name="IQRReportAX52" hidden="1">#REF!</definedName>
    <definedName name="IQRReportAX53" hidden="1">#REF!</definedName>
    <definedName name="IQRReportAX54" hidden="1">#REF!</definedName>
    <definedName name="IQRReportAX55" hidden="1">#REF!</definedName>
    <definedName name="IQRReportAX56" hidden="1">#REF!</definedName>
    <definedName name="IQRReportAX58" hidden="1">#REF!</definedName>
    <definedName name="IQRReportAX66" hidden="1">#REF!</definedName>
    <definedName name="IQRReportAX68" hidden="1">#REF!</definedName>
    <definedName name="IQRReportAX69" hidden="1">#REF!</definedName>
    <definedName name="IQRReportAX71" hidden="1">#REF!</definedName>
    <definedName name="IQRReportAX72" hidden="1">#REF!</definedName>
    <definedName name="IQRReportAX74" hidden="1">#REF!</definedName>
    <definedName name="IQRReportAX75" hidden="1">#REF!</definedName>
    <definedName name="IQRReportAX77" hidden="1">#REF!</definedName>
    <definedName name="IQRReportAX8" hidden="1">#REF!</definedName>
    <definedName name="IQRReportAX80" hidden="1">#REF!</definedName>
    <definedName name="IQRReportAX83" hidden="1">#REF!</definedName>
    <definedName name="IQRReportAX85" hidden="1">#REF!</definedName>
    <definedName name="IQRReportAX86" hidden="1">#REF!</definedName>
    <definedName name="IQRReportAX87" hidden="1">#REF!</definedName>
    <definedName name="IQRReportAX88" hidden="1">#REF!</definedName>
    <definedName name="IQRReportAX9" hidden="1">#REF!</definedName>
    <definedName name="IQRReportAX90" hidden="1">#REF!</definedName>
    <definedName name="IQRReportAX92" hidden="1">#REF!</definedName>
    <definedName name="IQRReportAX98" hidden="1">#REF!</definedName>
    <definedName name="IQRReportAX99" hidden="1">#REF!</definedName>
    <definedName name="IQRReportAY8" hidden="1">#REF!</definedName>
    <definedName name="IQRReportE3" hidden="1">#REF!</definedName>
    <definedName name="IQRReportE4" hidden="1">#REF!</definedName>
    <definedName name="IQRReportF10" hidden="1">#REF!</definedName>
    <definedName name="IQRReportF101" hidden="1">#REF!</definedName>
    <definedName name="IQRReportF102" hidden="1">#REF!</definedName>
    <definedName name="IQRReportF104" hidden="1">#REF!</definedName>
    <definedName name="IQRReportF105" hidden="1">#REF!</definedName>
    <definedName name="IQRReportF107" hidden="1">#REF!</definedName>
    <definedName name="IQRReportF108" hidden="1">#REF!</definedName>
    <definedName name="IQRReportF109" hidden="1">#REF!</definedName>
    <definedName name="IQRReportF11" hidden="1">#REF!</definedName>
    <definedName name="IQRReportF110" hidden="1">#REF!</definedName>
    <definedName name="IQRReportF111" hidden="1">#REF!</definedName>
    <definedName name="IQRReportF112" hidden="1">#REF!</definedName>
    <definedName name="IQRReportF114" hidden="1">#REF!</definedName>
    <definedName name="IQRReportF115" hidden="1">#REF!</definedName>
    <definedName name="IQRReportF116" hidden="1">#REF!</definedName>
    <definedName name="IQRReportF117" hidden="1">#REF!</definedName>
    <definedName name="IQRReportF118" hidden="1">#REF!</definedName>
    <definedName name="IQRReportF119" hidden="1">#REF!</definedName>
    <definedName name="IQRReportF12" hidden="1">#REF!</definedName>
    <definedName name="IQRReportF120" hidden="1">#REF!</definedName>
    <definedName name="IQRReportF121" hidden="1">#REF!</definedName>
    <definedName name="IQRReportF123" hidden="1">#REF!</definedName>
    <definedName name="IQRReportF124" hidden="1">#REF!</definedName>
    <definedName name="IQRReportF125" hidden="1">#REF!</definedName>
    <definedName name="IQRReportF126" hidden="1">#REF!</definedName>
    <definedName name="IQRReportF127" hidden="1">#REF!</definedName>
    <definedName name="IQRReportF128" hidden="1">#REF!</definedName>
    <definedName name="IQRReportF129" hidden="1">#REF!</definedName>
    <definedName name="IQRReportF13" hidden="1">#REF!</definedName>
    <definedName name="IQRReportF130" hidden="1">#REF!</definedName>
    <definedName name="IQRReportF131" hidden="1">#REF!</definedName>
    <definedName name="IQRReportF132" hidden="1">#REF!</definedName>
    <definedName name="IQRReportF134" hidden="1">#REF!</definedName>
    <definedName name="IQRReportF135" hidden="1">#REF!</definedName>
    <definedName name="IQRReportF136" hidden="1">#REF!</definedName>
    <definedName name="IQRReportF137" hidden="1">#REF!</definedName>
    <definedName name="IQRReportF138" hidden="1">#REF!</definedName>
    <definedName name="IQRReportF14" hidden="1">#REF!</definedName>
    <definedName name="IQRReportF140" hidden="1">#REF!</definedName>
    <definedName name="IQRReportF141" hidden="1">#REF!</definedName>
    <definedName name="IQRReportF142" hidden="1">#REF!</definedName>
    <definedName name="IQRReportF143" hidden="1">#REF!</definedName>
    <definedName name="IQRReportF144" hidden="1">#REF!</definedName>
    <definedName name="IQRReportF145" hidden="1">#REF!</definedName>
    <definedName name="IQRReportF146" hidden="1">#REF!</definedName>
    <definedName name="IQRReportF147" hidden="1">#REF!</definedName>
    <definedName name="IQRReportF148" hidden="1">#REF!</definedName>
    <definedName name="IQRReportF149" hidden="1">#REF!</definedName>
    <definedName name="IQRReportF15" hidden="1">#REF!</definedName>
    <definedName name="IQRReportF151" hidden="1">#REF!</definedName>
    <definedName name="IQRReportF152" hidden="1">#REF!</definedName>
    <definedName name="IQRReportF153" hidden="1">#REF!</definedName>
    <definedName name="IQRReportF154" hidden="1">#REF!</definedName>
    <definedName name="IQRReportF155" hidden="1">#REF!</definedName>
    <definedName name="IQRReportF156" hidden="1">#REF!</definedName>
    <definedName name="IQRReportF157" hidden="1">#REF!</definedName>
    <definedName name="IQRReportF158" hidden="1">#REF!</definedName>
    <definedName name="IQRReportF159" hidden="1">#REF!</definedName>
    <definedName name="IQRReportF16" hidden="1">#REF!</definedName>
    <definedName name="IQRReportF160" hidden="1">#REF!</definedName>
    <definedName name="IQRReportF161" hidden="1">#REF!</definedName>
    <definedName name="IQRReportF162" hidden="1">#REF!</definedName>
    <definedName name="IQRReportF163" hidden="1">#REF!</definedName>
    <definedName name="IQRReportF164" hidden="1">#REF!</definedName>
    <definedName name="IQRReportF165" hidden="1">#REF!</definedName>
    <definedName name="IQRReportF166" hidden="1">#REF!</definedName>
    <definedName name="IQRReportF167" hidden="1">#REF!</definedName>
    <definedName name="IQRReportF168" hidden="1">#REF!</definedName>
    <definedName name="IQRReportF169" hidden="1">#REF!</definedName>
    <definedName name="IQRReportF17" hidden="1">#REF!</definedName>
    <definedName name="IQRReportF170" hidden="1">#REF!</definedName>
    <definedName name="IQRReportF171" hidden="1">#REF!</definedName>
    <definedName name="IQRReportF172" hidden="1">#REF!</definedName>
    <definedName name="IQRReportF173" hidden="1">#REF!</definedName>
    <definedName name="IQRReportF174" hidden="1">#REF!</definedName>
    <definedName name="IQRReportF175" hidden="1">#REF!</definedName>
    <definedName name="IQRReportF176" hidden="1">#REF!</definedName>
    <definedName name="IQRReportF177" hidden="1">#REF!</definedName>
    <definedName name="IQRReportF178" hidden="1">#REF!</definedName>
    <definedName name="IQRReportF18" hidden="1">#REF!</definedName>
    <definedName name="IQRReportF181" hidden="1">#REF!</definedName>
    <definedName name="IQRReportF182" hidden="1">#REF!</definedName>
    <definedName name="IQRReportF183" hidden="1">#REF!</definedName>
    <definedName name="IQRReportF184" hidden="1">#REF!</definedName>
    <definedName name="IQRReportF185" hidden="1">#REF!</definedName>
    <definedName name="IQRReportF186" hidden="1">#REF!</definedName>
    <definedName name="IQRReportF187" hidden="1">#REF!</definedName>
    <definedName name="IQRReportF188" hidden="1">#REF!</definedName>
    <definedName name="IQRReportF19" hidden="1">#REF!</definedName>
    <definedName name="IQRReportF190" hidden="1">#REF!</definedName>
    <definedName name="IQRReportF192" hidden="1">#REF!</definedName>
    <definedName name="IQRReportF193" hidden="1">#REF!</definedName>
    <definedName name="IQRReportF194" hidden="1">#REF!</definedName>
    <definedName name="IQRReportF195" hidden="1">#REF!</definedName>
    <definedName name="IQRReportF196" hidden="1">#REF!</definedName>
    <definedName name="IQRReportF197" hidden="1">#REF!</definedName>
    <definedName name="IQRReportF198" hidden="1">#REF!</definedName>
    <definedName name="IQRReportF199" hidden="1">#REF!</definedName>
    <definedName name="IQRReportF20" hidden="1">#REF!</definedName>
    <definedName name="IQRReportF200" hidden="1">#REF!</definedName>
    <definedName name="IQRReportF201" hidden="1">#REF!</definedName>
    <definedName name="IQRReportF202" hidden="1">#REF!</definedName>
    <definedName name="IQRReportF204" hidden="1">#REF!</definedName>
    <definedName name="IQRReportF205" hidden="1">#REF!</definedName>
    <definedName name="IQRReportF206" hidden="1">#REF!</definedName>
    <definedName name="IQRReportF207" hidden="1">#REF!</definedName>
    <definedName name="IQRReportF21" hidden="1">#REF!</definedName>
    <definedName name="IQRReportF211" hidden="1">#REF!</definedName>
    <definedName name="IQRReportF212" hidden="1">#REF!</definedName>
    <definedName name="IQRReportF219" hidden="1">#REF!</definedName>
    <definedName name="IQRReportF22" hidden="1">#REF!</definedName>
    <definedName name="IQRReportF23" hidden="1">#REF!</definedName>
    <definedName name="IQRReportF233" hidden="1">#REF!</definedName>
    <definedName name="IQRReportF238" hidden="1">#REF!</definedName>
    <definedName name="IQRReportF24" hidden="1">#REF!</definedName>
    <definedName name="IQRReportF242" hidden="1">#REF!</definedName>
    <definedName name="IQRReportF244" hidden="1">#REF!</definedName>
    <definedName name="IQRReportF246" hidden="1">#REF!</definedName>
    <definedName name="IQRReportF248" hidden="1">#REF!</definedName>
    <definedName name="IQRReportF25" hidden="1">#REF!</definedName>
    <definedName name="IQRReportF253" hidden="1">#REF!</definedName>
    <definedName name="IQRReportF26" hidden="1">#REF!</definedName>
    <definedName name="IQRReportF27" hidden="1">#REF!</definedName>
    <definedName name="IQRReportF28" hidden="1">#REF!</definedName>
    <definedName name="IQRReportF29" hidden="1">#REF!</definedName>
    <definedName name="IQRReportF3" hidden="1">#REF!</definedName>
    <definedName name="IQRReportF30" hidden="1">#REF!</definedName>
    <definedName name="IQRReportF31" hidden="1">#REF!</definedName>
    <definedName name="IQRReportF32" hidden="1">#REF!</definedName>
    <definedName name="IQRReportF35" hidden="1">#REF!</definedName>
    <definedName name="IQRReportF37" hidden="1">#REF!</definedName>
    <definedName name="IQRReportF38" hidden="1">#REF!</definedName>
    <definedName name="IQRReportF39" hidden="1">#REF!</definedName>
    <definedName name="IQRReportF4" hidden="1">#REF!</definedName>
    <definedName name="IQRReportF40" hidden="1">#REF!</definedName>
    <definedName name="IQRReportF41" hidden="1">#REF!</definedName>
    <definedName name="IQRReportF42" hidden="1">#REF!</definedName>
    <definedName name="IQRReportF44" hidden="1">#REF!</definedName>
    <definedName name="IQRReportF45" hidden="1">#REF!</definedName>
    <definedName name="IQRReportF46" hidden="1">#REF!</definedName>
    <definedName name="IQRReportF47" hidden="1">#REF!</definedName>
    <definedName name="IQRReportF48" hidden="1">#REF!</definedName>
    <definedName name="IQRReportF5" hidden="1">#REF!</definedName>
    <definedName name="IQRReportF50" hidden="1">#REF!</definedName>
    <definedName name="IQRReportF51" hidden="1">#REF!</definedName>
    <definedName name="IQRReportF52" hidden="1">#REF!</definedName>
    <definedName name="IQRReportF53" hidden="1">#REF!</definedName>
    <definedName name="IQRReportF54" hidden="1">#REF!</definedName>
    <definedName name="IQRReportF55" hidden="1">#REF!</definedName>
    <definedName name="IQRReportF56" hidden="1">#REF!</definedName>
    <definedName name="IQRReportF57" hidden="1">#REF!</definedName>
    <definedName name="IQRReportF58" hidden="1">#REF!</definedName>
    <definedName name="IQRReportF59" hidden="1">#REF!</definedName>
    <definedName name="IQRReportF6" hidden="1">#REF!</definedName>
    <definedName name="IQRReportF61" hidden="1">#REF!</definedName>
    <definedName name="IQRReportF63" hidden="1">#REF!</definedName>
    <definedName name="IQRReportF64" hidden="1">#REF!</definedName>
    <definedName name="IQRReportF65" hidden="1">#REF!</definedName>
    <definedName name="IQRReportF66" hidden="1">#REF!</definedName>
    <definedName name="IQRReportF68" hidden="1">#REF!</definedName>
    <definedName name="IQRReportF69" hidden="1">#REF!</definedName>
    <definedName name="IQRReportF7" hidden="1">#REF!</definedName>
    <definedName name="IQRReportF71" hidden="1">#REF!</definedName>
    <definedName name="IQRReportF72" hidden="1">#REF!</definedName>
    <definedName name="IQRReportF73" hidden="1">#REF!</definedName>
    <definedName name="IQRReportF74" hidden="1">#REF!</definedName>
    <definedName name="IQRReportF75" hidden="1">#REF!</definedName>
    <definedName name="IQRReportF76" hidden="1">#REF!</definedName>
    <definedName name="IQRReportF77" hidden="1">#REF!</definedName>
    <definedName name="IQRReportF78" hidden="1">#REF!</definedName>
    <definedName name="IQRReportF79" hidden="1">#REF!</definedName>
    <definedName name="IQRReportF8" hidden="1">#REF!</definedName>
    <definedName name="IQRReportF80" hidden="1">#REF!</definedName>
    <definedName name="IQRReportF81" hidden="1">#REF!</definedName>
    <definedName name="IQRReportF83" hidden="1">#REF!</definedName>
    <definedName name="IQRReportF84" hidden="1">#REF!</definedName>
    <definedName name="IQRReportF85" hidden="1">#REF!</definedName>
    <definedName name="IQRReportF86" hidden="1">#REF!</definedName>
    <definedName name="IQRReportF87" hidden="1">#REF!</definedName>
    <definedName name="IQRReportF88" hidden="1">#REF!</definedName>
    <definedName name="IQRReportF89" hidden="1">#REF!</definedName>
    <definedName name="IQRReportF9" hidden="1">#REF!</definedName>
    <definedName name="IQRReportF90" hidden="1">#REF!</definedName>
    <definedName name="IQRReportF91" hidden="1">#REF!</definedName>
    <definedName name="IQRReportF92" hidden="1">#REF!</definedName>
    <definedName name="IQRReportF93" hidden="1">#REF!</definedName>
    <definedName name="IQRReportF94" hidden="1">#REF!</definedName>
    <definedName name="IQRReportF95" hidden="1">#REF!</definedName>
    <definedName name="IQRReportF96" hidden="1">#REF!</definedName>
    <definedName name="IQRReportF97" hidden="1">#REF!</definedName>
    <definedName name="IQRReportF98" hidden="1">#REF!</definedName>
    <definedName name="IQRReportF99" hidden="1">#REF!</definedName>
    <definedName name="IQRReportG10" hidden="1">#REF!</definedName>
    <definedName name="IQRReportG17" hidden="1">#REF!</definedName>
    <definedName name="IQRReportG6" hidden="1">#REF!</definedName>
    <definedName name="IQRReportG7" hidden="1">#REF!</definedName>
    <definedName name="IQRReportG8" hidden="1">#REF!</definedName>
    <definedName name="IQRReportG9" hidden="1">#REF!</definedName>
    <definedName name="IQRReportH10" hidden="1">#REF!</definedName>
    <definedName name="IQRReportH8" hidden="1">#REF!</definedName>
    <definedName name="IQRReportH9" hidden="1">#REF!</definedName>
    <definedName name="IQRReportR12" hidden="1">#REF!</definedName>
    <definedName name="IQRReportR13" hidden="1">#REF!</definedName>
    <definedName name="IQRReportR14" hidden="1">#REF!</definedName>
    <definedName name="IQRReportR3" hidden="1">#REF!</definedName>
    <definedName name="IQRReportR4" hidden="1">#REF!</definedName>
    <definedName name="IQRReportR5" hidden="1">#REF!</definedName>
    <definedName name="IQRReportR6" hidden="1">#REF!</definedName>
    <definedName name="IQRReportR7" hidden="1">#REF!</definedName>
    <definedName name="IQRReportR8" hidden="1">#REF!</definedName>
    <definedName name="IQRReportR9" hidden="1">#REF!</definedName>
    <definedName name="IQRReportW10" hidden="1">#REF!</definedName>
    <definedName name="IQRReportW7" hidden="1">#REF!</definedName>
    <definedName name="IQRReportW8" hidden="1">#REF!</definedName>
    <definedName name="IQRReportW9" hidden="1">#REF!</definedName>
    <definedName name="IQRReportZ10" hidden="1">#REF!</definedName>
    <definedName name="IQRReportZ108" hidden="1">#REF!</definedName>
    <definedName name="IQRReportZ116" hidden="1">#REF!</definedName>
    <definedName name="IQRReportZ8" hidden="1">#REF!</definedName>
    <definedName name="IQRReportZ9" hidden="1">#REF!</definedName>
    <definedName name="IQRS13" hidden="1">"$S$14"</definedName>
    <definedName name="IQRS24" hidden="1">"$S$25"</definedName>
    <definedName name="IQRS3" hidden="1">"$S$4:$S$253"</definedName>
    <definedName name="IQRS39" hidden="1">"$S$40:$S$56"</definedName>
    <definedName name="IQRS4" hidden="1">"$S$5:$S$254"</definedName>
    <definedName name="IQRS5" hidden="1">"$S$6:$S$511"</definedName>
    <definedName name="IQRS6" hidden="1">"$S$7:$S$256"</definedName>
    <definedName name="IQRS7" hidden="1">"$S$8"</definedName>
    <definedName name="IQRS71" hidden="1">"$S$72:$S$321"</definedName>
    <definedName name="IQRS74" hidden="1">"$S$75:$S$324"</definedName>
    <definedName name="IQRS81" hidden="1">"$S$82:$S$86"</definedName>
    <definedName name="IQRScatterI53" hidden="1">#REF!</definedName>
    <definedName name="IQRScoreResultsAA113" hidden="1">#REF!</definedName>
    <definedName name="IQRScoreResultsAA114" hidden="1">#REF!</definedName>
    <definedName name="IQRScoreResultsAA117" hidden="1">#REF!</definedName>
    <definedName name="IQRScoreResultsAA48" hidden="1">#REF!</definedName>
    <definedName name="IQRScoreResultsAA49" hidden="1">#REF!</definedName>
    <definedName name="IQRScoreResultsCodeC117" hidden="1">#REF!</definedName>
    <definedName name="IQRScoreResultsCodeC118" hidden="1">#REF!</definedName>
    <definedName name="IQRScoreResultsCodeC119" hidden="1">#REF!</definedName>
    <definedName name="IQRScoreResultsCodeC120" hidden="1">#REF!</definedName>
    <definedName name="IQRScoreResultsCodeC121" hidden="1">#REF!</definedName>
    <definedName name="IQRScoreResultsCodeC122" hidden="1">#REF!</definedName>
    <definedName name="IQRScoreResultsCodeC13" hidden="1">#REF!</definedName>
    <definedName name="IQRScoreResultsCodeC14" hidden="1">#REF!</definedName>
    <definedName name="IQRScoreResultsCodeC15" hidden="1">#REF!</definedName>
    <definedName name="IQRScoreResultsCodeC16" hidden="1">#REF!</definedName>
    <definedName name="IQRScoreResultsCodeC17" hidden="1">#REF!</definedName>
    <definedName name="IQRScoreResultsCodeC18" hidden="1">#REF!</definedName>
    <definedName name="IQRScoreResultsCodeC21" hidden="1">#REF!</definedName>
    <definedName name="IQRScoreResultsCodeC22" hidden="1">#REF!</definedName>
    <definedName name="IQRScoreResultsCodeC25" hidden="1">#REF!</definedName>
    <definedName name="IQRScoreResultsCodeC26" hidden="1">#REF!</definedName>
    <definedName name="IQRScoreResultsCodeC27" hidden="1">#REF!</definedName>
    <definedName name="IQRScoreResultsCodeC28" hidden="1">#REF!</definedName>
    <definedName name="IQRScoreResultsCodeC29" hidden="1">#REF!</definedName>
    <definedName name="IQRScoreResultsCodeC30" hidden="1">#REF!</definedName>
    <definedName name="IQRScoreResultsCodeC48" hidden="1">#REF!</definedName>
    <definedName name="IQRScoreResultsCodeC49" hidden="1">#REF!</definedName>
    <definedName name="IQRScoreResultsCodeC50" hidden="1">#REF!</definedName>
    <definedName name="IQRScoreResultsCodeC51" hidden="1">#REF!</definedName>
    <definedName name="IQRScoreResultsCodeC52" hidden="1">#REF!</definedName>
    <definedName name="IQRScoreResultsCodeC53" hidden="1">#REF!</definedName>
    <definedName name="IQRScoreResultsCodeC67" hidden="1">#REF!</definedName>
    <definedName name="IQRScoreResultsCodeC68" hidden="1">#REF!</definedName>
    <definedName name="IQRScoreResultsCodeC69" hidden="1">#REF!</definedName>
    <definedName name="IQRScoreResultsCodeC70" hidden="1">#REF!</definedName>
    <definedName name="IQRScoreResultsCodeC71" hidden="1">#REF!</definedName>
    <definedName name="IQRScoreResultsCodeC72" hidden="1">#REF!</definedName>
    <definedName name="IQRScoreResultsCodeC87" hidden="1">#REF!</definedName>
    <definedName name="IQRScoreResultsCodeC88" hidden="1">#REF!</definedName>
    <definedName name="IQRScoreResultsCodeC89" hidden="1">#REF!</definedName>
    <definedName name="IQRScoreResultsCodeC90" hidden="1">#REF!</definedName>
    <definedName name="IQRScoreResultsCodeC91" hidden="1">#REF!</definedName>
    <definedName name="IQRScoreResultsCodeC92" hidden="1">#REF!</definedName>
    <definedName name="IQRScoreResultsCodeD10" hidden="1">#REF!</definedName>
    <definedName name="IQRScoreResultsCodeD100" hidden="1">#REF!</definedName>
    <definedName name="IQRScoreResultsCodeD101" hidden="1">#REF!</definedName>
    <definedName name="IQRScoreResultsCodeD106" hidden="1">#REF!</definedName>
    <definedName name="IQRScoreResultsCodeD107" hidden="1">#REF!</definedName>
    <definedName name="IQRScoreResultsCodeD11" hidden="1">#REF!</definedName>
    <definedName name="IQRScoreResultsCodeD117" hidden="1">#REF!</definedName>
    <definedName name="IQRScoreResultsCodeD12" hidden="1">#REF!</definedName>
    <definedName name="IQRScoreResultsCodeD121" hidden="1">#REF!</definedName>
    <definedName name="IQRScoreResultsCodeD122" hidden="1">#REF!</definedName>
    <definedName name="IQRScoreResultsCodeD123" hidden="1">#REF!</definedName>
    <definedName name="IQRScoreResultsCodeD124" hidden="1">#REF!</definedName>
    <definedName name="IQRScoreResultsCodeD126" hidden="1">#REF!</definedName>
    <definedName name="IQRScoreResultsCodeD128" hidden="1">#REF!</definedName>
    <definedName name="IQRScoreResultsCodeD13" hidden="1">#REF!</definedName>
    <definedName name="IQRScoreResultsCodeD14" hidden="1">#REF!</definedName>
    <definedName name="IQRScoreResultsCodeD148" hidden="1">#REF!</definedName>
    <definedName name="IQRScoreResultsCodeD15" hidden="1">#REF!</definedName>
    <definedName name="IQRScoreResultsCodeD152" hidden="1">#REF!</definedName>
    <definedName name="IQRScoreResultsCodeD153" hidden="1">#REF!</definedName>
    <definedName name="IQRScoreResultsCodeD159" hidden="1">#REF!</definedName>
    <definedName name="IQRScoreResultsCodeD16" hidden="1">#REF!</definedName>
    <definedName name="IQRScoreResultsCodeD17" hidden="1">#REF!</definedName>
    <definedName name="IQRScoreResultsCodeD18" hidden="1">#REF!</definedName>
    <definedName name="IQRScoreResultsCodeD19" hidden="1">#REF!</definedName>
    <definedName name="IQRScoreResultsCodeD20" hidden="1">#REF!</definedName>
    <definedName name="IQRScoreResultsCodeD22" hidden="1">#REF!</definedName>
    <definedName name="IQRScoreResultsCodeD25" hidden="1">#REF!</definedName>
    <definedName name="IQRScoreResultsCodeD26" hidden="1">#REF!</definedName>
    <definedName name="IQRScoreResultsCodeD27" hidden="1">#REF!</definedName>
    <definedName name="IQRScoreResultsCodeD28" hidden="1">#REF!</definedName>
    <definedName name="IQRScoreResultsCodeD29" hidden="1">#REF!</definedName>
    <definedName name="IQRScoreResultsCodeD30" hidden="1">#REF!</definedName>
    <definedName name="IQRScoreResultsCodeD31" hidden="1">#REF!</definedName>
    <definedName name="IQRScoreResultsCodeD32" hidden="1">#REF!</definedName>
    <definedName name="IQRScoreResultsCodeD34" hidden="1">#REF!</definedName>
    <definedName name="IQRScoreResultsCodeD37" hidden="1">#REF!</definedName>
    <definedName name="IQRScoreResultsCodeD41" hidden="1">#REF!</definedName>
    <definedName name="IQRScoreResultsCodeD42" hidden="1">#REF!</definedName>
    <definedName name="IQRScoreResultsCodeD48" hidden="1">#REF!</definedName>
    <definedName name="IQRScoreResultsCodeD49" hidden="1">#REF!</definedName>
    <definedName name="IQRScoreResultsCodeD50" hidden="1">#REF!</definedName>
    <definedName name="IQRScoreResultsCodeD53" hidden="1">#REF!</definedName>
    <definedName name="IQRScoreResultsCodeD54" hidden="1">#REF!</definedName>
    <definedName name="IQRScoreResultsCodeD55" hidden="1">#REF!</definedName>
    <definedName name="IQRScoreResultsCodeD57" hidden="1">#REF!</definedName>
    <definedName name="IQRScoreResultsCodeD6" hidden="1">#REF!</definedName>
    <definedName name="IQRScoreResultsCodeD61" hidden="1">#REF!</definedName>
    <definedName name="IQRScoreResultsCodeD67" hidden="1">#REF!</definedName>
    <definedName name="IQRScoreResultsCodeD68" hidden="1">#REF!</definedName>
    <definedName name="IQRScoreResultsCodeD69" hidden="1">#REF!</definedName>
    <definedName name="IQRScoreResultsCodeD7" hidden="1">#REF!</definedName>
    <definedName name="IQRScoreResultsCodeD70" hidden="1">#REF!</definedName>
    <definedName name="IQRScoreResultsCodeD71" hidden="1">#REF!</definedName>
    <definedName name="IQRScoreResultsCodeD72" hidden="1">#REF!</definedName>
    <definedName name="IQRScoreResultsCodeD73" hidden="1">#REF!</definedName>
    <definedName name="IQRScoreResultsCodeD74" hidden="1">#REF!</definedName>
    <definedName name="IQRScoreResultsCodeD76" hidden="1">#REF!</definedName>
    <definedName name="IQRScoreResultsCodeD78" hidden="1">#REF!</definedName>
    <definedName name="IQRScoreResultsCodeD79" hidden="1">#REF!</definedName>
    <definedName name="IQRScoreResultsCodeD8" hidden="1">#REF!</definedName>
    <definedName name="IQRScoreResultsCodeD85" hidden="1">#REF!</definedName>
    <definedName name="IQRScoreResultsCodeD87" hidden="1">#REF!</definedName>
    <definedName name="IQRScoreResultsCodeD88" hidden="1">#REF!</definedName>
    <definedName name="IQRScoreResultsCodeD89" hidden="1">#REF!</definedName>
    <definedName name="IQRScoreResultsCodeD9" hidden="1">#REF!</definedName>
    <definedName name="IQRScoreResultsCodeD90" hidden="1">#REF!</definedName>
    <definedName name="IQRScoreResultsCodeD91" hidden="1">#REF!</definedName>
    <definedName name="IQRScoreResultsCodeD92" hidden="1">#REF!</definedName>
    <definedName name="IQRScoreResultsCodeD93" hidden="1">#REF!</definedName>
    <definedName name="IQRScoreResultsCodeD94" hidden="1">#REF!</definedName>
    <definedName name="IQRScoreResultsCodeD96" hidden="1">#REF!</definedName>
    <definedName name="IQRScoreResultsCodeE101" hidden="1">#REF!</definedName>
    <definedName name="IQRScoreResultsCodeE102" hidden="1">#REF!</definedName>
    <definedName name="IQRScoreResultsCodeE105" hidden="1">#REF!</definedName>
    <definedName name="IQRScoreResultsCodeE11" hidden="1">#REF!</definedName>
    <definedName name="IQRScoreResultsCodeE112" hidden="1">#REF!</definedName>
    <definedName name="IQRScoreResultsCodeE117" hidden="1">#REF!</definedName>
    <definedName name="IQRScoreResultsCodeE12" hidden="1">#REF!</definedName>
    <definedName name="IQRScoreResultsCodeE122" hidden="1">#REF!</definedName>
    <definedName name="IQRScoreResultsCodeE126" hidden="1">#REF!</definedName>
    <definedName name="IQRScoreResultsCodeE127" hidden="1">#REF!</definedName>
    <definedName name="IQRScoreResultsCodeE128" hidden="1">#REF!</definedName>
    <definedName name="IQRScoreResultsCodeE129" hidden="1">#REF!</definedName>
    <definedName name="IQRScoreResultsCodeE13" hidden="1">#REF!</definedName>
    <definedName name="IQRScoreResultsCodeE131" hidden="1">#REF!</definedName>
    <definedName name="IQRScoreResultsCodeE135" hidden="1">#REF!</definedName>
    <definedName name="IQRScoreResultsCodeE14" hidden="1">#REF!</definedName>
    <definedName name="IQRScoreResultsCodeE142" hidden="1">#REF!</definedName>
    <definedName name="IQRScoreResultsCodeE15" hidden="1">#REF!</definedName>
    <definedName name="IQRScoreResultsCodeE152" hidden="1">#REF!</definedName>
    <definedName name="IQRScoreResultsCodeE16" hidden="1">#REF!</definedName>
    <definedName name="IQRScoreResultsCodeE17" hidden="1">#REF!</definedName>
    <definedName name="IQRScoreResultsCodeE18" hidden="1">#REF!</definedName>
    <definedName name="IQRScoreResultsCodeE19" hidden="1">#REF!</definedName>
    <definedName name="IQRScoreResultsCodeE20" hidden="1">#REF!</definedName>
    <definedName name="IQRScoreResultsCodeE22" hidden="1">#REF!</definedName>
    <definedName name="IQRScoreResultsCodeE23" hidden="1">#REF!</definedName>
    <definedName name="IQRScoreResultsCodeE24" hidden="1">#REF!</definedName>
    <definedName name="IQRScoreResultsCodeE25" hidden="1">#REF!</definedName>
    <definedName name="IQRScoreResultsCodeE27" hidden="1">#REF!</definedName>
    <definedName name="IQRScoreResultsCodeE30" hidden="1">#REF!</definedName>
    <definedName name="IQRScoreResultsCodeE31" hidden="1">#REF!</definedName>
    <definedName name="IQRScoreResultsCodeE32" hidden="1">#REF!</definedName>
    <definedName name="IQRScoreResultsCodeE34" hidden="1">#REF!</definedName>
    <definedName name="IQRScoreResultsCodeE35" hidden="1">#REF!</definedName>
    <definedName name="IQRScoreResultsCodeE36" hidden="1">#REF!</definedName>
    <definedName name="IQRScoreResultsCodeE37" hidden="1">#REF!</definedName>
    <definedName name="IQRScoreResultsCodeE38" hidden="1">#REF!</definedName>
    <definedName name="IQRScoreResultsCodeE39" hidden="1">#REF!</definedName>
    <definedName name="IQRScoreResultsCodeE43" hidden="1">#REF!</definedName>
    <definedName name="IQRScoreResultsCodeE48" hidden="1">#REF!</definedName>
    <definedName name="IQRScoreResultsCodeE49" hidden="1">#REF!</definedName>
    <definedName name="IQRScoreResultsCodeE50" hidden="1">#REF!</definedName>
    <definedName name="IQRScoreResultsCodeE51" hidden="1">#REF!</definedName>
    <definedName name="IQRScoreResultsCodeE52" hidden="1">#REF!</definedName>
    <definedName name="IQRScoreResultsCodeE53" hidden="1">#REF!</definedName>
    <definedName name="IQRScoreResultsCodeE57" hidden="1">#REF!</definedName>
    <definedName name="IQRScoreResultsCodeE58" hidden="1">#REF!</definedName>
    <definedName name="IQRScoreResultsCodeE59" hidden="1">#REF!</definedName>
    <definedName name="IQRScoreResultsCodeE60" hidden="1">#REF!</definedName>
    <definedName name="IQRScoreResultsCodeE62" hidden="1">#REF!</definedName>
    <definedName name="IQRScoreResultsCodeE66" hidden="1">#REF!</definedName>
    <definedName name="IQRScoreResultsCodeE67" hidden="1">#REF!</definedName>
    <definedName name="IQRScoreResultsCodeE72" hidden="1">#REF!</definedName>
    <definedName name="IQRScoreResultsCodeE73" hidden="1">#REF!</definedName>
    <definedName name="IQRScoreResultsCodeE74" hidden="1">#REF!</definedName>
    <definedName name="IQRScoreResultsCodeE76" hidden="1">#REF!</definedName>
    <definedName name="IQRScoreResultsCodeE77" hidden="1">#REF!</definedName>
    <definedName name="IQRScoreResultsCodeE78" hidden="1">#REF!</definedName>
    <definedName name="IQRScoreResultsCodeE79" hidden="1">#REF!</definedName>
    <definedName name="IQRScoreResultsCodeE81" hidden="1">#REF!</definedName>
    <definedName name="IQRScoreResultsCodeE83" hidden="1">#REF!</definedName>
    <definedName name="IQRScoreResultsCodeE85" hidden="1">#REF!</definedName>
    <definedName name="IQRScoreResultsCodeE87" hidden="1">#REF!</definedName>
    <definedName name="IQRScoreResultsCodeE92" hidden="1">#REF!</definedName>
    <definedName name="IQRScoreResultsCodeE93" hidden="1">#REF!</definedName>
    <definedName name="IQRScoreResultsCodeE94" hidden="1">#REF!</definedName>
    <definedName name="IQRScoreResultsCodeE96" hidden="1">#REF!</definedName>
    <definedName name="IQRScoreResultsCodeE97" hidden="1">#REF!</definedName>
    <definedName name="IQRScoreResultsCodeE98" hidden="1">#REF!</definedName>
    <definedName name="IQRScoreResultsCodeE99" hidden="1">#REF!</definedName>
    <definedName name="IQRScoreResultsCodeF101" hidden="1">#REF!</definedName>
    <definedName name="IQRScoreResultsCodeF102" hidden="1">#REF!</definedName>
    <definedName name="IQRScoreResultsCodeF105" hidden="1">#REF!</definedName>
    <definedName name="IQRScoreResultsCodeF112" hidden="1">#REF!</definedName>
    <definedName name="IQRScoreResultsCodeF122" hidden="1">#REF!</definedName>
    <definedName name="IQRScoreResultsCodeF15" hidden="1">#REF!</definedName>
    <definedName name="IQRScoreResultsCodeF152" hidden="1">#REF!</definedName>
    <definedName name="IQRScoreResultsCodeF16" hidden="1">#REF!</definedName>
    <definedName name="IQRScoreResultsCodeF17" hidden="1">#REF!</definedName>
    <definedName name="IQRScoreResultsCodeF18" hidden="1">#REF!</definedName>
    <definedName name="IQRScoreResultsCodeF19" hidden="1">#REF!</definedName>
    <definedName name="IQRScoreResultsCodeF20" hidden="1">#REF!</definedName>
    <definedName name="IQRScoreResultsCodeF22" hidden="1">#REF!</definedName>
    <definedName name="IQRScoreResultsCodeF23" hidden="1">#REF!</definedName>
    <definedName name="IQRScoreResultsCodeF24" hidden="1">#REF!</definedName>
    <definedName name="IQRScoreResultsCodeF25" hidden="1">#REF!</definedName>
    <definedName name="IQRScoreResultsCodeF27" hidden="1">#REF!</definedName>
    <definedName name="IQRScoreResultsCodeF31" hidden="1">#REF!</definedName>
    <definedName name="IQRScoreResultsCodeF34" hidden="1">#REF!</definedName>
    <definedName name="IQRScoreResultsCodeF35" hidden="1">#REF!</definedName>
    <definedName name="IQRScoreResultsCodeF36" hidden="1">#REF!</definedName>
    <definedName name="IQRScoreResultsCodeF37" hidden="1">#REF!</definedName>
    <definedName name="IQRScoreResultsCodeF38" hidden="1">#REF!</definedName>
    <definedName name="IQRScoreResultsCodeF39" hidden="1">#REF!</definedName>
    <definedName name="IQRScoreResultsCodeF43" hidden="1">#REF!</definedName>
    <definedName name="IQRScoreResultsCodeF48" hidden="1">#REF!</definedName>
    <definedName name="IQRScoreResultsCodeF50" hidden="1">#REF!</definedName>
    <definedName name="IQRScoreResultsCodeF53" hidden="1">#REF!</definedName>
    <definedName name="IQRScoreResultsCodeF54" hidden="1">#REF!</definedName>
    <definedName name="IQRScoreResultsCodeF55" hidden="1">#REF!</definedName>
    <definedName name="IQRScoreResultsCodeF57" hidden="1">#REF!</definedName>
    <definedName name="IQRScoreResultsCodeF60" hidden="1">#REF!</definedName>
    <definedName name="IQRScoreResultsCodeF76" hidden="1">#REF!</definedName>
    <definedName name="IQRScoreResultsCodeF77" hidden="1">#REF!</definedName>
    <definedName name="IQRScoreResultsCodeF78" hidden="1">#REF!</definedName>
    <definedName name="IQRScoreResultsCodeF79" hidden="1">#REF!</definedName>
    <definedName name="IQRScoreResultsCodeF81" hidden="1">#REF!</definedName>
    <definedName name="IQRScoreResultsCodeF83" hidden="1">#REF!</definedName>
    <definedName name="IQRScoreResultsCodeF85" hidden="1">#REF!</definedName>
    <definedName name="IQRScoreResultsCodeF92" hidden="1">#REF!</definedName>
    <definedName name="IQRScoreResultsCodeF96" hidden="1">#REF!</definedName>
    <definedName name="IQRScoreResultsCodeF97" hidden="1">#REF!</definedName>
    <definedName name="IQRScoreResultsCodeF98" hidden="1">#REF!</definedName>
    <definedName name="IQRScoreResultsCodeF99" hidden="1">#REF!</definedName>
    <definedName name="IQRScoreResultsCodeG102" hidden="1">#REF!</definedName>
    <definedName name="IQRScoreResultsCodeG103" hidden="1">#REF!</definedName>
    <definedName name="IQRScoreResultsCodeG104" hidden="1">#REF!</definedName>
    <definedName name="IQRScoreResultsCodeG105" hidden="1">#REF!</definedName>
    <definedName name="IQRScoreResultsCodeG117" hidden="1">#REF!</definedName>
    <definedName name="IQRScoreResultsCodeG121" hidden="1">#REF!</definedName>
    <definedName name="IQRScoreResultsCodeG122" hidden="1">#REF!</definedName>
    <definedName name="IQRScoreResultsCodeG123" hidden="1">#REF!</definedName>
    <definedName name="IQRScoreResultsCodeG124" hidden="1">#REF!</definedName>
    <definedName name="IQRScoreResultsCodeG125" hidden="1">#REF!</definedName>
    <definedName name="IQRScoreResultsCodeG126" hidden="1">#REF!</definedName>
    <definedName name="IQRScoreResultsCodeG127" hidden="1">#REF!</definedName>
    <definedName name="IQRScoreResultsCodeG128" hidden="1">#REF!</definedName>
    <definedName name="IQRScoreResultsCodeG15" hidden="1">#REF!</definedName>
    <definedName name="IQRScoreResultsCodeG152" hidden="1">#REF!</definedName>
    <definedName name="IQRScoreResultsCodeG153" hidden="1">#REF!</definedName>
    <definedName name="IQRScoreResultsCodeG154" hidden="1">#REF!</definedName>
    <definedName name="IQRScoreResultsCodeG155" hidden="1">#REF!</definedName>
    <definedName name="IQRScoreResultsCodeG156" hidden="1">#REF!</definedName>
    <definedName name="IQRScoreResultsCodeG157" hidden="1">#REF!</definedName>
    <definedName name="IQRScoreResultsCodeG158" hidden="1">#REF!</definedName>
    <definedName name="IQRScoreResultsCodeG159" hidden="1">#REF!</definedName>
    <definedName name="IQRScoreResultsCodeG16" hidden="1">#REF!</definedName>
    <definedName name="IQRScoreResultsCodeG18" hidden="1">#REF!</definedName>
    <definedName name="IQRScoreResultsCodeG22" hidden="1">#REF!</definedName>
    <definedName name="IQRScoreResultsCodeG23" hidden="1">#REF!</definedName>
    <definedName name="IQRScoreResultsCodeG24" hidden="1">#REF!</definedName>
    <definedName name="IQRScoreResultsCodeG25" hidden="1">#REF!</definedName>
    <definedName name="IQRScoreResultsCodeG27" hidden="1">#REF!</definedName>
    <definedName name="IQRScoreResultsCodeG31" hidden="1">#REF!</definedName>
    <definedName name="IQRScoreResultsCodeG48" hidden="1">#REF!</definedName>
    <definedName name="IQRScoreResultsCodeG49" hidden="1">#REF!</definedName>
    <definedName name="IQRScoreResultsCodeG50" hidden="1">#REF!</definedName>
    <definedName name="IQRScoreResultsCodeG51" hidden="1">#REF!</definedName>
    <definedName name="IQRScoreResultsCodeG52" hidden="1">#REF!</definedName>
    <definedName name="IQRScoreResultsCodeG53" hidden="1">#REF!</definedName>
    <definedName name="IQRScoreResultsCodeG57" hidden="1">#REF!</definedName>
    <definedName name="IQRScoreResultsCodeG58" hidden="1">#REF!</definedName>
    <definedName name="IQRScoreResultsCodeG59" hidden="1">#REF!</definedName>
    <definedName name="IQRScoreResultsCodeG60" hidden="1">#REF!</definedName>
    <definedName name="IQRScoreResultsCodeG61" hidden="1">#REF!</definedName>
    <definedName name="IQRScoreResultsCodeG62" hidden="1">#REF!</definedName>
    <definedName name="IQRScoreResultsCodeG66" hidden="1">#REF!</definedName>
    <definedName name="IQRScoreResultsCodeG83" hidden="1">#REF!</definedName>
    <definedName name="IQRScoreResultsCodeG84" hidden="1">#REF!</definedName>
    <definedName name="IQRScoreResultsCodeG85" hidden="1">#REF!</definedName>
    <definedName name="IQRScoreResultsCodeH100" hidden="1">#REF!</definedName>
    <definedName name="IQRScoreResultsCodeH101" hidden="1">#REF!</definedName>
    <definedName name="IQRScoreResultsCodeH102" hidden="1">#REF!</definedName>
    <definedName name="IQRScoreResultsCodeH103" hidden="1">#REF!</definedName>
    <definedName name="IQRScoreResultsCodeH104" hidden="1">#REF!</definedName>
    <definedName name="IQRScoreResultsCodeH105" hidden="1">#REF!</definedName>
    <definedName name="IQRScoreResultsCodeH106" hidden="1">#REF!</definedName>
    <definedName name="IQRScoreResultsCodeH107" hidden="1">#REF!</definedName>
    <definedName name="IQRScoreResultsCodeH122" hidden="1">#REF!</definedName>
    <definedName name="IQRScoreResultsCodeH123" hidden="1">#REF!</definedName>
    <definedName name="IQRScoreResultsCodeH124" hidden="1">#REF!</definedName>
    <definedName name="IQRScoreResultsCodeH125" hidden="1">#REF!</definedName>
    <definedName name="IQRScoreResultsCodeH126" hidden="1">#REF!</definedName>
    <definedName name="IQRScoreResultsCodeH127" hidden="1">#REF!</definedName>
    <definedName name="IQRScoreResultsCodeH128" hidden="1">#REF!</definedName>
    <definedName name="IQRScoreResultsCodeH152" hidden="1">#REF!</definedName>
    <definedName name="IQRScoreResultsCodeH37" hidden="1">#REF!</definedName>
    <definedName name="IQRScoreResultsCodeH41" hidden="1">#REF!</definedName>
    <definedName name="IQRScoreResultsCodeH42" hidden="1">#REF!</definedName>
    <definedName name="IQRScoreResultsCodeH48" hidden="1">#REF!</definedName>
    <definedName name="IQRScoreResultsCodeH49" hidden="1">#REF!</definedName>
    <definedName name="IQRScoreResultsCodeH50" hidden="1">#REF!</definedName>
    <definedName name="IQRScoreResultsCodeH53" hidden="1">#REF!</definedName>
    <definedName name="IQRScoreResultsCodeH54" hidden="1">#REF!</definedName>
    <definedName name="IQRScoreResultsCodeH55" hidden="1">#REF!</definedName>
    <definedName name="IQRScoreResultsCodeH57" hidden="1">#REF!</definedName>
    <definedName name="IQRScoreResultsCodeH60" hidden="1">#REF!</definedName>
    <definedName name="IQRScoreResultsCodeH61" hidden="1">#REF!</definedName>
    <definedName name="IQRScoreResultsCodeH74" hidden="1">#REF!</definedName>
    <definedName name="IQRScoreResultsCodeH78" hidden="1">#REF!</definedName>
    <definedName name="IQRScoreResultsCodeH79" hidden="1">#REF!</definedName>
    <definedName name="IQRScoreResultsCodeH83" hidden="1">#REF!</definedName>
    <definedName name="IQRScoreResultsCodeH85" hidden="1">#REF!</definedName>
    <definedName name="IQRScoreResultsCodeH96" hidden="1">#REF!</definedName>
    <definedName name="IQRScoreResultsCodeI102" hidden="1">#REF!</definedName>
    <definedName name="IQRScoreResultsCodeI122" hidden="1">#REF!</definedName>
    <definedName name="IQRScoreResultsCodeI148" hidden="1">#REF!</definedName>
    <definedName name="IQRScoreResultsCodeI37" hidden="1">#REF!</definedName>
    <definedName name="IQRScoreResultsCodeI41" hidden="1">#REF!</definedName>
    <definedName name="IQRScoreResultsCodeI42" hidden="1">#REF!</definedName>
    <definedName name="IQRScoreResultsCodeI48" hidden="1">#REF!</definedName>
    <definedName name="IQRScoreResultsCodeI49" hidden="1">#REF!</definedName>
    <definedName name="IQRScoreResultsCodeI50" hidden="1">#REF!</definedName>
    <definedName name="IQRScoreResultsCodeI57" hidden="1">#REF!</definedName>
    <definedName name="IQRScoreResultsCodeI58" hidden="1">#REF!</definedName>
    <definedName name="IQRScoreResultsCodeI59" hidden="1">#REF!</definedName>
    <definedName name="IQRScoreResultsCodeI60" hidden="1">#REF!</definedName>
    <definedName name="IQRScoreResultsCodeI62" hidden="1">#REF!</definedName>
    <definedName name="IQRScoreResultsCodeI66" hidden="1">#REF!</definedName>
    <definedName name="IQRScoreResultsCodeI74" hidden="1">#REF!</definedName>
    <definedName name="IQRScoreResultsCodeI78" hidden="1">#REF!</definedName>
    <definedName name="IQRScoreResultsCodeI79" hidden="1">#REF!</definedName>
    <definedName name="IQRScoreResultsCodeI83" hidden="1">#REF!</definedName>
    <definedName name="IQRScoreResultsCodeI84" hidden="1">#REF!</definedName>
    <definedName name="IQRScoreResultsCodeI85" hidden="1">#REF!</definedName>
    <definedName name="IQRScoreResultsCodeI96" hidden="1">#REF!</definedName>
    <definedName name="IQRScoreResultsCodeJ117" hidden="1">#REF!</definedName>
    <definedName name="IQRScoreResultsCodeJ118" hidden="1">#REF!</definedName>
    <definedName name="IQRScoreResultsCodeJ119" hidden="1">#REF!</definedName>
    <definedName name="IQRScoreResultsCodeJ120" hidden="1">#REF!</definedName>
    <definedName name="IQRScoreResultsCodeJ121" hidden="1">#REF!</definedName>
    <definedName name="IQRScoreResultsCodeJ122" hidden="1">#REF!</definedName>
    <definedName name="IQRScoreResultsCodeJ13" hidden="1">#REF!</definedName>
    <definedName name="IQRScoreResultsCodeJ14" hidden="1">#REF!</definedName>
    <definedName name="IQRScoreResultsCodeJ148" hidden="1">#REF!</definedName>
    <definedName name="IQRScoreResultsCodeJ15" hidden="1">#REF!</definedName>
    <definedName name="IQRScoreResultsCodeJ16" hidden="1">#REF!</definedName>
    <definedName name="IQRScoreResultsCodeJ17" hidden="1">#REF!</definedName>
    <definedName name="IQRScoreResultsCodeJ18" hidden="1">#REF!</definedName>
    <definedName name="IQRScoreResultsCodeJ25" hidden="1">#REF!</definedName>
    <definedName name="IQRScoreResultsCodeJ26" hidden="1">#REF!</definedName>
    <definedName name="IQRScoreResultsCodeJ27" hidden="1">#REF!</definedName>
    <definedName name="IQRScoreResultsCodeJ28" hidden="1">#REF!</definedName>
    <definedName name="IQRScoreResultsCodeJ29" hidden="1">#REF!</definedName>
    <definedName name="IQRScoreResultsCodeJ30" hidden="1">#REF!</definedName>
    <definedName name="IQRScoreResultsCodeJ37" hidden="1">#REF!</definedName>
    <definedName name="IQRScoreResultsCodeJ48" hidden="1">#REF!</definedName>
    <definedName name="IQRScoreResultsCodeJ49" hidden="1">#REF!</definedName>
    <definedName name="IQRScoreResultsCodeJ50" hidden="1">#REF!</definedName>
    <definedName name="IQRScoreResultsCodeJ51" hidden="1">#REF!</definedName>
    <definedName name="IQRScoreResultsCodeJ52" hidden="1">#REF!</definedName>
    <definedName name="IQRScoreResultsCodeJ53" hidden="1">#REF!</definedName>
    <definedName name="IQRScoreResultsCodeJ67" hidden="1">#REF!</definedName>
    <definedName name="IQRScoreResultsCodeJ68" hidden="1">#REF!</definedName>
    <definedName name="IQRScoreResultsCodeJ69" hidden="1">#REF!</definedName>
    <definedName name="IQRScoreResultsCodeJ70" hidden="1">#REF!</definedName>
    <definedName name="IQRScoreResultsCodeJ71" hidden="1">#REF!</definedName>
    <definedName name="IQRScoreResultsCodeJ72" hidden="1">#REF!</definedName>
    <definedName name="IQRScoreResultsCodeJ74" hidden="1">#REF!</definedName>
    <definedName name="IQRScoreResultsCodeJ83" hidden="1">#REF!</definedName>
    <definedName name="IQRScoreResultsCodeJ87" hidden="1">#REF!</definedName>
    <definedName name="IQRScoreResultsCodeJ88" hidden="1">#REF!</definedName>
    <definedName name="IQRScoreResultsCodeJ89" hidden="1">#REF!</definedName>
    <definedName name="IQRScoreResultsCodeJ90" hidden="1">#REF!</definedName>
    <definedName name="IQRScoreResultsCodeJ91" hidden="1">#REF!</definedName>
    <definedName name="IQRScoreResultsCodeJ92" hidden="1">#REF!</definedName>
    <definedName name="IQRScoreResultsCodeJ96" hidden="1">#REF!</definedName>
    <definedName name="IQRScoreResultsCodeK122" hidden="1">#REF!</definedName>
    <definedName name="IQRScoreResultsCodeK123" hidden="1">#REF!</definedName>
    <definedName name="IQRScoreResultsCodeK124" hidden="1">#REF!</definedName>
    <definedName name="IQRScoreResultsCodeK126" hidden="1">#REF!</definedName>
    <definedName name="IQRScoreResultsCodeK13" hidden="1">#REF!</definedName>
    <definedName name="IQRScoreResultsCodeK14" hidden="1">#REF!</definedName>
    <definedName name="IQRScoreResultsCodeK148" hidden="1">#REF!</definedName>
    <definedName name="IQRScoreResultsCodeK15" hidden="1">#REF!</definedName>
    <definedName name="IQRScoreResultsCodeK16" hidden="1">#REF!</definedName>
    <definedName name="IQRScoreResultsCodeK17" hidden="1">#REF!</definedName>
    <definedName name="IQRScoreResultsCodeK18" hidden="1">#REF!</definedName>
    <definedName name="IQRScoreResultsCodeK19" hidden="1">#REF!</definedName>
    <definedName name="IQRScoreResultsCodeK20" hidden="1">#REF!</definedName>
    <definedName name="IQRScoreResultsCodeK22" hidden="1">#REF!</definedName>
    <definedName name="IQRScoreResultsCodeK25" hidden="1">#REF!</definedName>
    <definedName name="IQRScoreResultsCodeK26" hidden="1">#REF!</definedName>
    <definedName name="IQRScoreResultsCodeK27" hidden="1">#REF!</definedName>
    <definedName name="IQRScoreResultsCodeK28" hidden="1">#REF!</definedName>
    <definedName name="IQRScoreResultsCodeK29" hidden="1">#REF!</definedName>
    <definedName name="IQRScoreResultsCodeK30" hidden="1">#REF!</definedName>
    <definedName name="IQRScoreResultsCodeK31" hidden="1">#REF!</definedName>
    <definedName name="IQRScoreResultsCodeK32" hidden="1">#REF!</definedName>
    <definedName name="IQRScoreResultsCodeK34" hidden="1">#REF!</definedName>
    <definedName name="IQRScoreResultsCodeK53" hidden="1">#REF!</definedName>
    <definedName name="IQRScoreResultsCodeK54" hidden="1">#REF!</definedName>
    <definedName name="IQRScoreResultsCodeK55" hidden="1">#REF!</definedName>
    <definedName name="IQRScoreResultsCodeK57" hidden="1">#REF!</definedName>
    <definedName name="IQRScoreResultsCodeK67" hidden="1">#REF!</definedName>
    <definedName name="IQRScoreResultsCodeK68" hidden="1">#REF!</definedName>
    <definedName name="IQRScoreResultsCodeK69" hidden="1">#REF!</definedName>
    <definedName name="IQRScoreResultsCodeK70" hidden="1">#REF!</definedName>
    <definedName name="IQRScoreResultsCodeK71" hidden="1">#REF!</definedName>
    <definedName name="IQRScoreResultsCodeK72" hidden="1">#REF!</definedName>
    <definedName name="IQRScoreResultsCodeK73" hidden="1">#REF!</definedName>
    <definedName name="IQRScoreResultsCodeK74" hidden="1">#REF!</definedName>
    <definedName name="IQRScoreResultsCodeK76" hidden="1">#REF!</definedName>
    <definedName name="IQRScoreResultsCodeK83" hidden="1">#REF!</definedName>
    <definedName name="IQRScoreResultsCodeK84" hidden="1">#REF!</definedName>
    <definedName name="IQRScoreResultsCodeK85" hidden="1">#REF!</definedName>
    <definedName name="IQRScoreResultsCodeK87" hidden="1">#REF!</definedName>
    <definedName name="IQRScoreResultsCodeK88" hidden="1">#REF!</definedName>
    <definedName name="IQRScoreResultsCodeK89" hidden="1">#REF!</definedName>
    <definedName name="IQRScoreResultsCodeK90" hidden="1">#REF!</definedName>
    <definedName name="IQRScoreResultsCodeK91" hidden="1">#REF!</definedName>
    <definedName name="IQRScoreResultsCodeK92" hidden="1">#REF!</definedName>
    <definedName name="IQRScoreResultsCodeK93" hidden="1">#REF!</definedName>
    <definedName name="IQRScoreResultsCodeK94" hidden="1">#REF!</definedName>
    <definedName name="IQRScoreResultsCodeK96" hidden="1">#REF!</definedName>
    <definedName name="IQRScoreResultsCodeL101" hidden="1">#REF!</definedName>
    <definedName name="IQRScoreResultsCodeL102" hidden="1">#REF!</definedName>
    <definedName name="IQRScoreResultsCodeL105" hidden="1">#REF!</definedName>
    <definedName name="IQRScoreResultsCodeL112" hidden="1">#REF!</definedName>
    <definedName name="IQRScoreResultsCodeL117" hidden="1">#REF!</definedName>
    <definedName name="IQRScoreResultsCodeL122" hidden="1">#REF!</definedName>
    <definedName name="IQRScoreResultsCodeL126" hidden="1">#REF!</definedName>
    <definedName name="IQRScoreResultsCodeL127" hidden="1">#REF!</definedName>
    <definedName name="IQRScoreResultsCodeL128" hidden="1">#REF!</definedName>
    <definedName name="IQRScoreResultsCodeL129" hidden="1">#REF!</definedName>
    <definedName name="IQRScoreResultsCodeL13" hidden="1">#REF!</definedName>
    <definedName name="IQRScoreResultsCodeL131" hidden="1">#REF!</definedName>
    <definedName name="IQRScoreResultsCodeL135" hidden="1">#REF!</definedName>
    <definedName name="IQRScoreResultsCodeL14" hidden="1">#REF!</definedName>
    <definedName name="IQRScoreResultsCodeL142" hidden="1">#REF!</definedName>
    <definedName name="IQRScoreResultsCodeL15" hidden="1">#REF!</definedName>
    <definedName name="IQRScoreResultsCodeL152" hidden="1">#REF!</definedName>
    <definedName name="IQRScoreResultsCodeL16" hidden="1">#REF!</definedName>
    <definedName name="IQRScoreResultsCodeL17" hidden="1">#REF!</definedName>
    <definedName name="IQRScoreResultsCodeL18" hidden="1">#REF!</definedName>
    <definedName name="IQRScoreResultsCodeL19" hidden="1">#REF!</definedName>
    <definedName name="IQRScoreResultsCodeL20" hidden="1">#REF!</definedName>
    <definedName name="IQRScoreResultsCodeL22" hidden="1">#REF!</definedName>
    <definedName name="IQRScoreResultsCodeL23" hidden="1">#REF!</definedName>
    <definedName name="IQRScoreResultsCodeL24" hidden="1">#REF!</definedName>
    <definedName name="IQRScoreResultsCodeL25" hidden="1">#REF!</definedName>
    <definedName name="IQRScoreResultsCodeL27" hidden="1">#REF!</definedName>
    <definedName name="IQRScoreResultsCodeL30" hidden="1">#REF!</definedName>
    <definedName name="IQRScoreResultsCodeL31" hidden="1">#REF!</definedName>
    <definedName name="IQRScoreResultsCodeL32" hidden="1">#REF!</definedName>
    <definedName name="IQRScoreResultsCodeL34" hidden="1">#REF!</definedName>
    <definedName name="IQRScoreResultsCodeL35" hidden="1">#REF!</definedName>
    <definedName name="IQRScoreResultsCodeL36" hidden="1">#REF!</definedName>
    <definedName name="IQRScoreResultsCodeL37" hidden="1">#REF!</definedName>
    <definedName name="IQRScoreResultsCodeL38" hidden="1">#REF!</definedName>
    <definedName name="IQRScoreResultsCodeL39" hidden="1">#REF!</definedName>
    <definedName name="IQRScoreResultsCodeL43" hidden="1">#REF!</definedName>
    <definedName name="IQRScoreResultsCodeL48" hidden="1">#REF!</definedName>
    <definedName name="IQRScoreResultsCodeL49" hidden="1">#REF!</definedName>
    <definedName name="IQRScoreResultsCodeL50" hidden="1">#REF!</definedName>
    <definedName name="IQRScoreResultsCodeL51" hidden="1">#REF!</definedName>
    <definedName name="IQRScoreResultsCodeL52" hidden="1">#REF!</definedName>
    <definedName name="IQRScoreResultsCodeL53" hidden="1">#REF!</definedName>
    <definedName name="IQRScoreResultsCodeL57" hidden="1">#REF!</definedName>
    <definedName name="IQRScoreResultsCodeL58" hidden="1">#REF!</definedName>
    <definedName name="IQRScoreResultsCodeL59" hidden="1">#REF!</definedName>
    <definedName name="IQRScoreResultsCodeL60" hidden="1">#REF!</definedName>
    <definedName name="IQRScoreResultsCodeL62" hidden="1">#REF!</definedName>
    <definedName name="IQRScoreResultsCodeL66" hidden="1">#REF!</definedName>
    <definedName name="IQRScoreResultsCodeL67" hidden="1">#REF!</definedName>
    <definedName name="IQRScoreResultsCodeL72" hidden="1">#REF!</definedName>
    <definedName name="IQRScoreResultsCodeL73" hidden="1">#REF!</definedName>
    <definedName name="IQRScoreResultsCodeL74" hidden="1">#REF!</definedName>
    <definedName name="IQRScoreResultsCodeL76" hidden="1">#REF!</definedName>
    <definedName name="IQRScoreResultsCodeL77" hidden="1">#REF!</definedName>
    <definedName name="IQRScoreResultsCodeL78" hidden="1">#REF!</definedName>
    <definedName name="IQRScoreResultsCodeL79" hidden="1">#REF!</definedName>
    <definedName name="IQRScoreResultsCodeL81" hidden="1">#REF!</definedName>
    <definedName name="IQRScoreResultsCodeL83" hidden="1">#REF!</definedName>
    <definedName name="IQRScoreResultsCodeL85" hidden="1">#REF!</definedName>
    <definedName name="IQRScoreResultsCodeL87" hidden="1">#REF!</definedName>
    <definedName name="IQRScoreResultsCodeL88" hidden="1">#REF!</definedName>
    <definedName name="IQRScoreResultsCodeL89" hidden="1">#REF!</definedName>
    <definedName name="IQRScoreResultsCodeL90" hidden="1">#REF!</definedName>
    <definedName name="IQRScoreResultsCodeL91" hidden="1">#REF!</definedName>
    <definedName name="IQRScoreResultsCodeL92" hidden="1">#REF!</definedName>
    <definedName name="IQRScoreResultsCodeL93" hidden="1">#REF!</definedName>
    <definedName name="IQRScoreResultsCodeL94" hidden="1">#REF!</definedName>
    <definedName name="IQRScoreResultsCodeL96" hidden="1">#REF!</definedName>
    <definedName name="IQRScoreResultsCodeL97" hidden="1">#REF!</definedName>
    <definedName name="IQRScoreResultsCodeL98" hidden="1">#REF!</definedName>
    <definedName name="IQRScoreResultsCodeL99" hidden="1">#REF!</definedName>
    <definedName name="IQRScoreResultsCodeM101" hidden="1">#REF!</definedName>
    <definedName name="IQRScoreResultsCodeM102" hidden="1">#REF!</definedName>
    <definedName name="IQRScoreResultsCodeM105" hidden="1">#REF!</definedName>
    <definedName name="IQRScoreResultsCodeM112" hidden="1">#REF!</definedName>
    <definedName name="IQRScoreResultsCodeM122" hidden="1">#REF!</definedName>
    <definedName name="IQRScoreResultsCodeM152" hidden="1">#REF!</definedName>
    <definedName name="IQRScoreResultsCodeM18" hidden="1">#REF!</definedName>
    <definedName name="IQRScoreResultsCodeM19" hidden="1">#REF!</definedName>
    <definedName name="IQRScoreResultsCodeM20" hidden="1">#REF!</definedName>
    <definedName name="IQRScoreResultsCodeM22" hidden="1">#REF!</definedName>
    <definedName name="IQRScoreResultsCodeM23" hidden="1">#REF!</definedName>
    <definedName name="IQRScoreResultsCodeM24" hidden="1">#REF!</definedName>
    <definedName name="IQRScoreResultsCodeM25" hidden="1">#REF!</definedName>
    <definedName name="IQRScoreResultsCodeM27" hidden="1">#REF!</definedName>
    <definedName name="IQRScoreResultsCodeM31" hidden="1">#REF!</definedName>
    <definedName name="IQRScoreResultsCodeM34" hidden="1">#REF!</definedName>
    <definedName name="IQRScoreResultsCodeM35" hidden="1">#REF!</definedName>
    <definedName name="IQRScoreResultsCodeM36" hidden="1">#REF!</definedName>
    <definedName name="IQRScoreResultsCodeM37" hidden="1">#REF!</definedName>
    <definedName name="IQRScoreResultsCodeM38" hidden="1">#REF!</definedName>
    <definedName name="IQRScoreResultsCodeM39" hidden="1">#REF!</definedName>
    <definedName name="IQRScoreResultsCodeM43" hidden="1">#REF!</definedName>
    <definedName name="IQRScoreResultsCodeM48" hidden="1">#REF!</definedName>
    <definedName name="IQRScoreResultsCodeM50" hidden="1">#REF!</definedName>
    <definedName name="IQRScoreResultsCodeM53" hidden="1">#REF!</definedName>
    <definedName name="IQRScoreResultsCodeM54" hidden="1">#REF!</definedName>
    <definedName name="IQRScoreResultsCodeM55" hidden="1">#REF!</definedName>
    <definedName name="IQRScoreResultsCodeM57" hidden="1">#REF!</definedName>
    <definedName name="IQRScoreResultsCodeM60" hidden="1">#REF!</definedName>
    <definedName name="IQRScoreResultsCodeM76" hidden="1">#REF!</definedName>
    <definedName name="IQRScoreResultsCodeM77" hidden="1">#REF!</definedName>
    <definedName name="IQRScoreResultsCodeM78" hidden="1">#REF!</definedName>
    <definedName name="IQRScoreResultsCodeM79" hidden="1">#REF!</definedName>
    <definedName name="IQRScoreResultsCodeM81" hidden="1">#REF!</definedName>
    <definedName name="IQRScoreResultsCodeM83" hidden="1">#REF!</definedName>
    <definedName name="IQRScoreResultsCodeM85" hidden="1">#REF!</definedName>
    <definedName name="IQRScoreResultsCodeM92" hidden="1">#REF!</definedName>
    <definedName name="IQRScoreResultsCodeM93" hidden="1">#REF!</definedName>
    <definedName name="IQRScoreResultsCodeM94" hidden="1">#REF!</definedName>
    <definedName name="IQRScoreResultsCodeM96" hidden="1">#REF!</definedName>
    <definedName name="IQRScoreResultsCodeM97" hidden="1">#REF!</definedName>
    <definedName name="IQRScoreResultsCodeM98" hidden="1">#REF!</definedName>
    <definedName name="IQRScoreResultsCodeM99" hidden="1">#REF!</definedName>
    <definedName name="IQRScoreResultsCodeN100" hidden="1">#REF!</definedName>
    <definedName name="IQRScoreResultsCodeN101" hidden="1">#REF!</definedName>
    <definedName name="IQRScoreResultsCodeN102" hidden="1">#REF!</definedName>
    <definedName name="IQRScoreResultsCodeN103" hidden="1">#REF!</definedName>
    <definedName name="IQRScoreResultsCodeN104" hidden="1">#REF!</definedName>
    <definedName name="IQRScoreResultsCodeN105" hidden="1">#REF!</definedName>
    <definedName name="IQRScoreResultsCodeN106" hidden="1">#REF!</definedName>
    <definedName name="IQRScoreResultsCodeN107" hidden="1">#REF!</definedName>
    <definedName name="IQRScoreResultsCodeN112" hidden="1">#REF!</definedName>
    <definedName name="IQRScoreResultsCodeN117" hidden="1">#REF!</definedName>
    <definedName name="IQRScoreResultsCodeN121" hidden="1">#REF!</definedName>
    <definedName name="IQRScoreResultsCodeN122" hidden="1">#REF!</definedName>
    <definedName name="IQRScoreResultsCodeN123" hidden="1">#REF!</definedName>
    <definedName name="IQRScoreResultsCodeN124" hidden="1">#REF!</definedName>
    <definedName name="IQRScoreResultsCodeN125" hidden="1">#REF!</definedName>
    <definedName name="IQRScoreResultsCodeN126" hidden="1">#REF!</definedName>
    <definedName name="IQRScoreResultsCodeN127" hidden="1">#REF!</definedName>
    <definedName name="IQRScoreResultsCodeN128" hidden="1">#REF!</definedName>
    <definedName name="IQRScoreResultsCodeN148" hidden="1">#REF!</definedName>
    <definedName name="IQRScoreResultsCodeN152" hidden="1">#REF!</definedName>
    <definedName name="IQRScoreResultsCodeN153" hidden="1">#REF!</definedName>
    <definedName name="IQRScoreResultsCodeN154" hidden="1">#REF!</definedName>
    <definedName name="IQRScoreResultsCodeN155" hidden="1">#REF!</definedName>
    <definedName name="IQRScoreResultsCodeN156" hidden="1">#REF!</definedName>
    <definedName name="IQRScoreResultsCodeN157" hidden="1">#REF!</definedName>
    <definedName name="IQRScoreResultsCodeN158" hidden="1">#REF!</definedName>
    <definedName name="IQRScoreResultsCodeN159" hidden="1">#REF!</definedName>
    <definedName name="IQRScoreResultsCodeN22" hidden="1">#REF!</definedName>
    <definedName name="IQRScoreResultsCodeN23" hidden="1">#REF!</definedName>
    <definedName name="IQRScoreResultsCodeN24" hidden="1">#REF!</definedName>
    <definedName name="IQRScoreResultsCodeN25" hidden="1">#REF!</definedName>
    <definedName name="IQRScoreResultsCodeN27" hidden="1">#REF!</definedName>
    <definedName name="IQRScoreResultsCodeN31" hidden="1">#REF!</definedName>
    <definedName name="IQRScoreResultsCodeN37" hidden="1">#REF!</definedName>
    <definedName name="IQRScoreResultsCodeN41" hidden="1">#REF!</definedName>
    <definedName name="IQRScoreResultsCodeN42" hidden="1">#REF!</definedName>
    <definedName name="IQRScoreResultsCodeN48" hidden="1">#REF!</definedName>
    <definedName name="IQRScoreResultsCodeN49" hidden="1">#REF!</definedName>
    <definedName name="IQRScoreResultsCodeN50" hidden="1">#REF!</definedName>
    <definedName name="IQRScoreResultsCodeN51" hidden="1">#REF!</definedName>
    <definedName name="IQRScoreResultsCodeN52" hidden="1">#REF!</definedName>
    <definedName name="IQRScoreResultsCodeN53" hidden="1">#REF!</definedName>
    <definedName name="IQRScoreResultsCodeN54" hidden="1">#REF!</definedName>
    <definedName name="IQRScoreResultsCodeN55" hidden="1">#REF!</definedName>
    <definedName name="IQRScoreResultsCodeN57" hidden="1">#REF!</definedName>
    <definedName name="IQRScoreResultsCodeN58" hidden="1">#REF!</definedName>
    <definedName name="IQRScoreResultsCodeN59" hidden="1">#REF!</definedName>
    <definedName name="IQRScoreResultsCodeN60" hidden="1">#REF!</definedName>
    <definedName name="IQRScoreResultsCodeN61" hidden="1">#REF!</definedName>
    <definedName name="IQRScoreResultsCodeN62" hidden="1">#REF!</definedName>
    <definedName name="IQRScoreResultsCodeN66" hidden="1">#REF!</definedName>
    <definedName name="IQRScoreResultsCodeN74" hidden="1">#REF!</definedName>
    <definedName name="IQRScoreResultsCodeN78" hidden="1">#REF!</definedName>
    <definedName name="IQRScoreResultsCodeN79" hidden="1">#REF!</definedName>
    <definedName name="IQRScoreResultsCodeN83" hidden="1">#REF!</definedName>
    <definedName name="IQRScoreResultsCodeN84" hidden="1">#REF!</definedName>
    <definedName name="IQRScoreResultsCodeN85" hidden="1">#REF!</definedName>
    <definedName name="IQRScoreResultsCodeN96" hidden="1">#REF!</definedName>
    <definedName name="IQRScoreResultsCodeN97" hidden="1">#REF!</definedName>
    <definedName name="IQRScoreResultsCodeN98" hidden="1">#REF!</definedName>
    <definedName name="IQRScoreResultsCodeN99" hidden="1">#REF!</definedName>
    <definedName name="IQRScoreResultsCodeO102" hidden="1">#REF!</definedName>
    <definedName name="IQRScoreResultsCodeO103" hidden="1">#REF!</definedName>
    <definedName name="IQRScoreResultsCodeO104" hidden="1">#REF!</definedName>
    <definedName name="IQRScoreResultsCodeO105" hidden="1">#REF!</definedName>
    <definedName name="IQRScoreResultsCodeO106" hidden="1">#REF!</definedName>
    <definedName name="IQRScoreResultsCodeO107" hidden="1">#REF!</definedName>
    <definedName name="IQRScoreResultsCodeO117" hidden="1">#REF!</definedName>
    <definedName name="IQRScoreResultsCodeO122" hidden="1">#REF!</definedName>
    <definedName name="IQRScoreResultsCodeO123" hidden="1">#REF!</definedName>
    <definedName name="IQRScoreResultsCodeO124" hidden="1">#REF!</definedName>
    <definedName name="IQRScoreResultsCodeO125" hidden="1">#REF!</definedName>
    <definedName name="IQRScoreResultsCodeO126" hidden="1">#REF!</definedName>
    <definedName name="IQRScoreResultsCodeO127" hidden="1">#REF!</definedName>
    <definedName name="IQRScoreResultsCodeO128" hidden="1">#REF!</definedName>
    <definedName name="IQRScoreResultsCodeO148" hidden="1">#REF!</definedName>
    <definedName name="IQRScoreResultsCodeO15" hidden="1">#REF!</definedName>
    <definedName name="IQRScoreResultsCodeO152" hidden="1">#REF!</definedName>
    <definedName name="IQRScoreResultsCodeO16" hidden="1">#REF!</definedName>
    <definedName name="IQRScoreResultsCodeO22" hidden="1">#REF!</definedName>
    <definedName name="IQRScoreResultsCodeO37" hidden="1">#REF!</definedName>
    <definedName name="IQRScoreResultsCodeO48" hidden="1">#REF!</definedName>
    <definedName name="IQRScoreResultsCodeO49" hidden="1">#REF!</definedName>
    <definedName name="IQRScoreResultsCodeO50" hidden="1">#REF!</definedName>
    <definedName name="IQRScoreResultsCodeO53" hidden="1">#REF!</definedName>
    <definedName name="IQRScoreResultsCodeO54" hidden="1">#REF!</definedName>
    <definedName name="IQRScoreResultsCodeO55" hidden="1">#REF!</definedName>
    <definedName name="IQRScoreResultsCodeO57" hidden="1">#REF!</definedName>
    <definedName name="IQRScoreResultsCodeO60" hidden="1">#REF!</definedName>
    <definedName name="IQRScoreResultsCodeO61" hidden="1">#REF!</definedName>
    <definedName name="IQRScoreResultsCodeO74" hidden="1">#REF!</definedName>
    <definedName name="IQRScoreResultsCodeO83" hidden="1">#REF!</definedName>
    <definedName name="IQRScoreResultsCodeO96" hidden="1">#REF!</definedName>
    <definedName name="IQRScoreResultsCodeP102" hidden="1">#REF!</definedName>
    <definedName name="IQRScoreResultsCodeP122" hidden="1">#REF!</definedName>
    <definedName name="IQRScoreResultsCodeP123" hidden="1">#REF!</definedName>
    <definedName name="IQRScoreResultsCodeP124" hidden="1">#REF!</definedName>
    <definedName name="IQRScoreResultsCodeP125" hidden="1">#REF!</definedName>
    <definedName name="IQRScoreResultsCodeP126" hidden="1">#REF!</definedName>
    <definedName name="IQRScoreResultsCodeP127" hidden="1">#REF!</definedName>
    <definedName name="IQRScoreResultsCodeP128" hidden="1">#REF!</definedName>
    <definedName name="IQRScoreResultsCodeP16" hidden="1">#REF!</definedName>
    <definedName name="IQRScoreResultsCodeP22" hidden="1">#REF!</definedName>
    <definedName name="IQRScoreResultsCodeP48" hidden="1">#REF!</definedName>
    <definedName name="IQRScoreResultsCodeP49" hidden="1">#REF!</definedName>
    <definedName name="IQRScoreResultsCodeP57" hidden="1">#REF!</definedName>
    <definedName name="IQRScoreResultsCodeP58" hidden="1">#REF!</definedName>
    <definedName name="IQRScoreResultsCodeP59" hidden="1">#REF!</definedName>
    <definedName name="IQRScoreResultsCodeP60" hidden="1">#REF!</definedName>
    <definedName name="IQRScoreResultsCodeP62" hidden="1">#REF!</definedName>
    <definedName name="IQRScoreResultsCodeP66" hidden="1">#REF!</definedName>
    <definedName name="IQRScoreResultsCodeP83" hidden="1">#REF!</definedName>
    <definedName name="IQRScoreResultsCodeP84" hidden="1">#REF!</definedName>
    <definedName name="IQRScoreResultsCodeP85" hidden="1">#REF!</definedName>
    <definedName name="IQRScoreResultsCodeQ117" hidden="1">#REF!</definedName>
    <definedName name="IQRScoreResultsCodeQ121" hidden="1">#REF!</definedName>
    <definedName name="IQRScoreResultsCodeQ122" hidden="1">#REF!</definedName>
    <definedName name="IQRScoreResultsCodeQ128" hidden="1">#REF!</definedName>
    <definedName name="IQRScoreResultsCodeQ48" hidden="1">#REF!</definedName>
    <definedName name="IQRScoreResultsCodeQ83" hidden="1">#REF!</definedName>
    <definedName name="IQRScoreResultsCodeR100" hidden="1">#REF!</definedName>
    <definedName name="IQRScoreResultsCodeR101" hidden="1">#REF!</definedName>
    <definedName name="IQRScoreResultsCodeR107" hidden="1">#REF!</definedName>
    <definedName name="IQRScoreResultsCodeR117" hidden="1">#REF!</definedName>
    <definedName name="IQRScoreResultsCodeR37" hidden="1">#REF!</definedName>
    <definedName name="IQRScoreResultsCodeR41" hidden="1">#REF!</definedName>
    <definedName name="IQRScoreResultsCodeR42" hidden="1">#REF!</definedName>
    <definedName name="IQRScoreResultsCodeR48" hidden="1">#REF!</definedName>
    <definedName name="IQRScoreResultsCodeR50" hidden="1">#REF!</definedName>
    <definedName name="IQRScoreResultsCodeR54" hidden="1">#REF!</definedName>
    <definedName name="IQRScoreResultsCodeR55" hidden="1">#REF!</definedName>
    <definedName name="IQRScoreResultsCodeR61" hidden="1">#REF!</definedName>
    <definedName name="IQRScoreResultsCodeR74" hidden="1">#REF!</definedName>
    <definedName name="IQRScoreResultsCodeR78" hidden="1">#REF!</definedName>
    <definedName name="IQRScoreResultsCodeR79" hidden="1">#REF!</definedName>
    <definedName name="IQRScoreResultsCodeR83" hidden="1">#REF!</definedName>
    <definedName name="IQRScoreResultsCodeR84" hidden="1">#REF!</definedName>
    <definedName name="IQRScoreResultsCodeR85" hidden="1">#REF!</definedName>
    <definedName name="IQRScoreResultsCodeR96" hidden="1">#REF!</definedName>
    <definedName name="IQRScoreResultsCodeS148" hidden="1">#REF!</definedName>
    <definedName name="IQRScoreResultsCodeS37" hidden="1">#REF!</definedName>
    <definedName name="IQRScoreResultsCodeS41" hidden="1">#REF!</definedName>
    <definedName name="IQRScoreResultsCodeS42" hidden="1">#REF!</definedName>
    <definedName name="IQRScoreResultsCodeS48" hidden="1">#REF!</definedName>
    <definedName name="IQRScoreResultsCodeS50" hidden="1">#REF!</definedName>
    <definedName name="IQRScoreResultsCodeS74" hidden="1">#REF!</definedName>
    <definedName name="IQRScoreResultsCodeS78" hidden="1">#REF!</definedName>
    <definedName name="IQRScoreResultsCodeS79" hidden="1">#REF!</definedName>
    <definedName name="IQRScoreResultsCodeS83" hidden="1">#REF!</definedName>
    <definedName name="IQRScoreResultsCodeS85" hidden="1">#REF!</definedName>
    <definedName name="IQRScoreResultsCodeS96" hidden="1">#REF!</definedName>
    <definedName name="IQRScoreResultsCodeT148" hidden="1">#REF!</definedName>
    <definedName name="IQRScoreResultsCodeT35" hidden="1">#REF!</definedName>
    <definedName name="IQRScoreResultsCodeT37" hidden="1">#REF!</definedName>
    <definedName name="IQRScoreResultsCodeT74" hidden="1">#REF!</definedName>
    <definedName name="IQRScoreResultsCodeT96" hidden="1">#REF!</definedName>
    <definedName name="IQRScoreResultsCodeU148" hidden="1">#REF!</definedName>
    <definedName name="IQRScoreResultsCodeU74" hidden="1">#REF!</definedName>
    <definedName name="IQRScoreResultsCodeW148" hidden="1">#REF!</definedName>
    <definedName name="IQRScoreResultsCodeW37" hidden="1">#REF!</definedName>
    <definedName name="IQRScoreResultsCodeW48" hidden="1">#REF!</definedName>
    <definedName name="IQRScoreResultsCodeW96" hidden="1">#REF!</definedName>
    <definedName name="IQRScoreResultsCodeY37" hidden="1">#REF!</definedName>
    <definedName name="IQRScoreResultsCodeY96" hidden="1">#REF!</definedName>
    <definedName name="IQRScoreResultsP113" hidden="1">#REF!</definedName>
    <definedName name="IQRScoreResultsP114" hidden="1">#REF!</definedName>
    <definedName name="IQRScoreResultsP117" hidden="1">#REF!</definedName>
    <definedName name="IQRScoreResultsP13" hidden="1">#REF!</definedName>
    <definedName name="IQRScoreResultsP25" hidden="1">#REF!</definedName>
    <definedName name="IQRScoreResultsP26" hidden="1">#REF!</definedName>
    <definedName name="IQRScoreResultsP27" hidden="1">#REF!</definedName>
    <definedName name="IQRScoreResultsP47" hidden="1">#REF!</definedName>
    <definedName name="IQRScoreResultsP48" hidden="1">#REF!</definedName>
    <definedName name="IQRScoreResultsP49" hidden="1">#REF!</definedName>
    <definedName name="IQRScoreResultsP64" hidden="1">#REF!</definedName>
    <definedName name="IQRScoreResultsP67" hidden="1">#REF!</definedName>
    <definedName name="IQRScoreResultsP87" hidden="1">#REF!</definedName>
    <definedName name="IQRScoreResultsQ13" hidden="1">#REF!</definedName>
    <definedName name="IQRScoreResultsQ25" hidden="1">#REF!</definedName>
    <definedName name="IQRScoreResultsQ26" hidden="1">#REF!</definedName>
    <definedName name="IQRScoreResultsQ27" hidden="1">#REF!</definedName>
    <definedName name="IQRScoreResultsQ5" hidden="1">#REF!</definedName>
    <definedName name="IQRScoreResultsQ6" hidden="1">#REF!</definedName>
    <definedName name="IQRScoreResultsQ67" hidden="1">#REF!</definedName>
    <definedName name="IQRScoreResultsQ7" hidden="1">#REF!</definedName>
    <definedName name="IQRScoreResultsQ8" hidden="1">#REF!</definedName>
    <definedName name="IQRScoreResultsQ87" hidden="1">#REF!</definedName>
    <definedName name="IQRScoreResultsQ9" hidden="1">#REF!</definedName>
    <definedName name="IQRScoreResultsR113" hidden="1">#REF!</definedName>
    <definedName name="IQRScoreResultsR114" hidden="1">#REF!</definedName>
    <definedName name="IQRScoreResultsR117" hidden="1">#REF!</definedName>
    <definedName name="IQRScoreResultsR13" hidden="1">#REF!</definedName>
    <definedName name="IQRScoreResultsR47" hidden="1">#REF!</definedName>
    <definedName name="IQRScoreResultsR48" hidden="1">#REF!</definedName>
    <definedName name="IQRScoreResultsR49" hidden="1">#REF!</definedName>
    <definedName name="IQRScoreResultsR5" hidden="1">#REF!</definedName>
    <definedName name="IQRScoreResultsR6" hidden="1">#REF!</definedName>
    <definedName name="IQRScoreResultsR67" hidden="1">#REF!</definedName>
    <definedName name="IQRScoreResultsR87" hidden="1">#REF!</definedName>
    <definedName name="IQRScoreResultsS47" hidden="1">#REF!</definedName>
    <definedName name="IQRScoreResultsS48" hidden="1">#REF!</definedName>
    <definedName name="IQRScoreResultsS49" hidden="1">#REF!</definedName>
    <definedName name="IQRScoreResultsT113" hidden="1">#REF!</definedName>
    <definedName name="IQRScoreResultsT114" hidden="1">#REF!</definedName>
    <definedName name="IQRScoreResultsT117" hidden="1">#REF!</definedName>
    <definedName name="IQRScoreResultsT48" hidden="1">#REF!</definedName>
    <definedName name="IQRScoreResultsT49" hidden="1">#REF!</definedName>
    <definedName name="IQRScoreResultsW113" hidden="1">#REF!</definedName>
    <definedName name="IQRScoreResultsW117" hidden="1">#REF!</definedName>
    <definedName name="IQRScoreResultsW13" hidden="1">#REF!</definedName>
    <definedName name="IQRScoreResultsW25" hidden="1">#REF!</definedName>
    <definedName name="IQRScoreResultsW26" hidden="1">#REF!</definedName>
    <definedName name="IQRScoreResultsW27" hidden="1">#REF!</definedName>
    <definedName name="IQRScoreResultsW47" hidden="1">#REF!</definedName>
    <definedName name="IQRScoreResultsW48" hidden="1">#REF!</definedName>
    <definedName name="IQRScoreResultsW49" hidden="1">#REF!</definedName>
    <definedName name="IQRScoreResultsW67" hidden="1">#REF!</definedName>
    <definedName name="IQRScoreResultsW87" hidden="1">#REF!</definedName>
    <definedName name="IQRScoreResultsX13" hidden="1">#REF!</definedName>
    <definedName name="IQRScoreResultsX25" hidden="1">#REF!</definedName>
    <definedName name="IQRScoreResultsX26" hidden="1">#REF!</definedName>
    <definedName name="IQRScoreResultsX27" hidden="1">#REF!</definedName>
    <definedName name="IQRScoreResultsX67" hidden="1">#REF!</definedName>
    <definedName name="IQRScoreResultsX87" hidden="1">#REF!</definedName>
    <definedName name="IQRScoreResultsY113" hidden="1">#REF!</definedName>
    <definedName name="IQRScoreResultsY117" hidden="1">#REF!</definedName>
    <definedName name="IQRScoreResultsY13" hidden="1">#REF!</definedName>
    <definedName name="IQRScoreResultsY47" hidden="1">#REF!</definedName>
    <definedName name="IQRScoreResultsY48" hidden="1">#REF!</definedName>
    <definedName name="IQRScoreResultsY49" hidden="1">#REF!</definedName>
    <definedName name="IQRScoreResultsY67" hidden="1">#REF!</definedName>
    <definedName name="IQRScoreResultsY87" hidden="1">#REF!</definedName>
    <definedName name="IQRScoreResultsZ47" hidden="1">#REF!</definedName>
    <definedName name="IQRScoreResultsZ48" hidden="1">#REF!</definedName>
    <definedName name="IQRScoreResultsZ49" hidden="1">#REF!</definedName>
    <definedName name="IQRScoreSetupCodeA4" hidden="1">#REF!</definedName>
    <definedName name="IQRScoreSetupCodeAA35" hidden="1">#REF!</definedName>
    <definedName name="IQRScoreSetupCodeAA4" hidden="1">#REF!</definedName>
    <definedName name="IQRScoreSetupCodeAB35" hidden="1">#REF!</definedName>
    <definedName name="IQRScoreSetupCodeAB4" hidden="1">#REF!</definedName>
    <definedName name="IQRScoreSetupCodeAC35" hidden="1">#REF!</definedName>
    <definedName name="IQRScoreSetupCodeAC4" hidden="1">#REF!</definedName>
    <definedName name="IQRScoreSetupCodeAD35" hidden="1">#REF!</definedName>
    <definedName name="IQRScoreSetupCodeAD4" hidden="1">#REF!</definedName>
    <definedName name="IQRScoreSetupCodeAE35" hidden="1">#REF!</definedName>
    <definedName name="IQRScoreSetupCodeAE4" hidden="1">#REF!</definedName>
    <definedName name="IQRScoreSetupCodeAF35" hidden="1">#REF!</definedName>
    <definedName name="IQRScoreSetupCodeAF4" hidden="1">#REF!</definedName>
    <definedName name="IQRScoreSetupCodeAG35" hidden="1">#REF!</definedName>
    <definedName name="IQRScoreSetupCodeAG4" hidden="1">#REF!</definedName>
    <definedName name="IQRScoreSetupCodeAH35" hidden="1">#REF!</definedName>
    <definedName name="IQRScoreSetupCodeAH36" hidden="1">#REF!</definedName>
    <definedName name="IQRScoreSetupCodeAH4" hidden="1">#REF!</definedName>
    <definedName name="IQRScoreSetupCodeAI35" hidden="1">#REF!</definedName>
    <definedName name="IQRScoreSetupCodeAI36" hidden="1">#REF!</definedName>
    <definedName name="IQRScoreSetupCodeAI4" hidden="1">#REF!</definedName>
    <definedName name="IQRScoreSetupCodeAJ35" hidden="1">#REF!</definedName>
    <definedName name="IQRScoreSetupCodeAJ36" hidden="1">#REF!</definedName>
    <definedName name="IQRScoreSetupCodeAJ4" hidden="1">#REF!</definedName>
    <definedName name="IQRScoreSetupCodeAK35" hidden="1">#REF!</definedName>
    <definedName name="IQRScoreSetupCodeAK36" hidden="1">#REF!</definedName>
    <definedName name="IQRScoreSetupCodeAK4" hidden="1">#REF!</definedName>
    <definedName name="IQRScoreSetupCodeAL35" hidden="1">#REF!</definedName>
    <definedName name="IQRScoreSetupCodeAL4" hidden="1">#REF!</definedName>
    <definedName name="IQRScoreSetupCodeAM35" hidden="1">#REF!</definedName>
    <definedName name="IQRScoreSetupCodeAM4" hidden="1">#REF!</definedName>
    <definedName name="IQRScoreSetupCodeAN35" hidden="1">#REF!</definedName>
    <definedName name="IQRScoreSetupCodeAN4" hidden="1">#REF!</definedName>
    <definedName name="IQRScoreSetupCodeAO35" hidden="1">#REF!</definedName>
    <definedName name="IQRScoreSetupCodeAO4" hidden="1">#REF!</definedName>
    <definedName name="IQRScoreSetupCodeAP35" hidden="1">#REF!</definedName>
    <definedName name="IQRScoreSetupCodeAP4" hidden="1">#REF!</definedName>
    <definedName name="IQRScoreSetupCodeAQ35" hidden="1">#REF!</definedName>
    <definedName name="IQRScoreSetupCodeAQ4" hidden="1">#REF!</definedName>
    <definedName name="IQRScoreSetupCodeAR35" hidden="1">#REF!</definedName>
    <definedName name="IQRScoreSetupCodeAR4" hidden="1">#REF!</definedName>
    <definedName name="IQRScoreSetupCodeAS35" hidden="1">#REF!</definedName>
    <definedName name="IQRScoreSetupCodeAS4" hidden="1">#REF!</definedName>
    <definedName name="IQRScoreSetupCodeAT35" hidden="1">#REF!</definedName>
    <definedName name="IQRScoreSetupCodeAT4" hidden="1">#REF!</definedName>
    <definedName name="IQRScoreSetupCodeAU35" hidden="1">#REF!</definedName>
    <definedName name="IQRScoreSetupCodeAU4" hidden="1">#REF!</definedName>
    <definedName name="IQRScoreSetupCodeAV35" hidden="1">#REF!</definedName>
    <definedName name="IQRScoreSetupCodeAV4" hidden="1">#REF!</definedName>
    <definedName name="IQRScoreSetupCodeAW35" hidden="1">#REF!</definedName>
    <definedName name="IQRScoreSetupCodeJ34" hidden="1">#REF!</definedName>
    <definedName name="IQRScoreSetupCodeL24" hidden="1">#REF!</definedName>
    <definedName name="IQRScoreSetupCodeL25" hidden="1">#REF!</definedName>
    <definedName name="IQRScoreSetupCodeL3" hidden="1">#REF!</definedName>
    <definedName name="IQRScoreSetupCodeL31" hidden="1">#REF!</definedName>
    <definedName name="IQRScoreSetupCodeL32" hidden="1">#REF!</definedName>
    <definedName name="IQRScoreSetupCodeL33" hidden="1">#REF!</definedName>
    <definedName name="IQRScoreSetupCodeL4" hidden="1">#REF!</definedName>
    <definedName name="IQRScoreSetupCodeM33" hidden="1">#REF!</definedName>
    <definedName name="IQRScoreSetupCodeM34" hidden="1">#REF!</definedName>
    <definedName name="IQRScoreSetupCodeM4" hidden="1">#REF!</definedName>
    <definedName name="IQRScoreSetupCodeN24" hidden="1">#REF!</definedName>
    <definedName name="IQRScoreSetupCodeN25" hidden="1">#REF!</definedName>
    <definedName name="IQRScoreSetupCodeN3" hidden="1">#REF!</definedName>
    <definedName name="IQRScoreSetupCodeN31" hidden="1">#REF!</definedName>
    <definedName name="IQRScoreSetupCodeN32" hidden="1">#REF!</definedName>
    <definedName name="IQRScoreSetupCodeN33" hidden="1">#REF!</definedName>
    <definedName name="IQRScoreSetupCodeN4" hidden="1">#REF!</definedName>
    <definedName name="IQRScoreSetupCodeP33" hidden="1">#REF!</definedName>
    <definedName name="IQRScoreSetupCodeP4" hidden="1">#REF!</definedName>
    <definedName name="IQRScoreSetupCodeQ33" hidden="1">#REF!</definedName>
    <definedName name="IQRScoreSetupCodeQ4" hidden="1">#REF!</definedName>
    <definedName name="IQRScoreSetupCodeR33" hidden="1">#REF!</definedName>
    <definedName name="IQRScoreSetupCodeR34" hidden="1">#REF!</definedName>
    <definedName name="IQRScoreSetupCodeR4" hidden="1">#REF!</definedName>
    <definedName name="IQRScoreSetupCodeS28" hidden="1">#REF!</definedName>
    <definedName name="IQRScoreSetupCodeU20" hidden="1">#REF!</definedName>
    <definedName name="IQRScoreSetupCodeU23" hidden="1">#REF!</definedName>
    <definedName name="IQRScoreSetupCodeU28" hidden="1">#REF!</definedName>
    <definedName name="IQRScoreSetupCodeU34" hidden="1">#REF!</definedName>
    <definedName name="IQRScoreSetupCodeU36" hidden="1">#REF!</definedName>
    <definedName name="IQRScoreSetupCodeU4" hidden="1">#REF!</definedName>
    <definedName name="IQRScoreSetupCodeU63" hidden="1">#REF!</definedName>
    <definedName name="IQRScoreSetupCodeV20" hidden="1">#REF!</definedName>
    <definedName name="IQRScoreSetupCodeV23" hidden="1">#REF!</definedName>
    <definedName name="IQRScoreSetupCodeV34" hidden="1">#REF!</definedName>
    <definedName name="IQRScoreSetupCodeV36" hidden="1">#REF!</definedName>
    <definedName name="IQRScoreSetupCodeV4" hidden="1">#REF!</definedName>
    <definedName name="IQRScoreSetupCodeV63" hidden="1">#REF!</definedName>
    <definedName name="IQRScoreSetupCodeW63" hidden="1">#REF!</definedName>
    <definedName name="IQRScoreSetupCodeX20" hidden="1">#REF!</definedName>
    <definedName name="IQRScoreSetupCodeX35" hidden="1">#REF!</definedName>
    <definedName name="IQRScoreSetupCodeX4" hidden="1">#REF!</definedName>
    <definedName name="IQRScoreSetupCodeY20" hidden="1">#REF!</definedName>
    <definedName name="IQRScoreSetupCodeY35" hidden="1">#REF!</definedName>
    <definedName name="IQRScoreSetupCodeY4" hidden="1">#REF!</definedName>
    <definedName name="IQRScoreSetupCodeZ35" hidden="1">#REF!</definedName>
    <definedName name="IQRScoreSetupCodeZ4" hidden="1">#REF!</definedName>
    <definedName name="IQRScoreSetupV25" hidden="1">#REF!</definedName>
    <definedName name="IQRScoreSetupV4" hidden="1">#REF!</definedName>
    <definedName name="IQRScoreSetupW25" hidden="1">#REF!</definedName>
    <definedName name="IQRScoreSetupW4" hidden="1">#REF!</definedName>
    <definedName name="IQRScoreSetupX25" hidden="1">#REF!</definedName>
    <definedName name="IQRScoreSetupX4" hidden="1">#REF!</definedName>
    <definedName name="IQRScoreSetupY25" hidden="1">#REF!</definedName>
    <definedName name="IQRScoreSetupY4" hidden="1">#REF!</definedName>
    <definedName name="IQRSectorHistorical2AS41" hidden="1">#REF!</definedName>
    <definedName name="IQRSectorHistorical2BN41" hidden="1">#REF!</definedName>
    <definedName name="IQRSectorHistoricalAS41" hidden="1">#REF!</definedName>
    <definedName name="IQRSectorHistoricalAT41" hidden="1">#REF!</definedName>
    <definedName name="IQRSectorHistoricalAX41" hidden="1">#REF!</definedName>
    <definedName name="IQRSectorHistoricalBN41" hidden="1">#REF!</definedName>
    <definedName name="IQRSectorHistoricalBS41" hidden="1">#REF!</definedName>
    <definedName name="IQRSheet10H12" hidden="1">#REF!</definedName>
    <definedName name="IQRSheet10N12" hidden="1">#REF!</definedName>
    <definedName name="IQRSheet1B10" hidden="1">#REF!</definedName>
    <definedName name="IQRSheet1B5" hidden="1">#REF!</definedName>
    <definedName name="IQRSheet1B8" hidden="1">#REF!</definedName>
    <definedName name="IQRSheet1B9" hidden="1">#REF!</definedName>
    <definedName name="IQRSheet1C10" hidden="1">#REF!</definedName>
    <definedName name="IQRSheet1E2646" hidden="1">#REF!</definedName>
    <definedName name="IQRSheet1H11" hidden="1">#REF!</definedName>
    <definedName name="IQRSheet1K13" hidden="1">#REF!</definedName>
    <definedName name="IQRSheet1L13" hidden="1">#REF!</definedName>
    <definedName name="IQRSheet1M13" hidden="1">#REF!</definedName>
    <definedName name="IQRSheet1N13" hidden="1">#REF!</definedName>
    <definedName name="IQRSheet1O13" hidden="1">#REF!</definedName>
    <definedName name="IQRSheet1P13" hidden="1">#REF!</definedName>
    <definedName name="IQRSheet1P15" hidden="1">#REF!</definedName>
    <definedName name="IQRSheet1Q15" hidden="1">#REF!</definedName>
    <definedName name="IQRSheet1R13" hidden="1">#REF!</definedName>
    <definedName name="IQRSheet1S13" hidden="1">#REF!</definedName>
    <definedName name="IQRSheet1T13" hidden="1">#REF!</definedName>
    <definedName name="IQRSheet2I11" hidden="1">#REF!</definedName>
    <definedName name="IQRSheet2I12" hidden="1">#REF!</definedName>
    <definedName name="IQRSheet2I13" hidden="1">#REF!</definedName>
    <definedName name="IQRSheet2J11" hidden="1">#REF!</definedName>
    <definedName name="IQRSheet2J12" hidden="1">#REF!</definedName>
    <definedName name="IQRSheet2J13" hidden="1">#REF!</definedName>
    <definedName name="IQRSheet3D1" hidden="1">#REF!</definedName>
    <definedName name="IQRSheet3D10" hidden="1">#REF!</definedName>
    <definedName name="IQRSheet3D11" hidden="1">#REF!</definedName>
    <definedName name="IQRSheet3D12" hidden="1">#REF!</definedName>
    <definedName name="IQRSheet3D13" hidden="1">#REF!</definedName>
    <definedName name="IQRSheet3D14" hidden="1">#REF!</definedName>
    <definedName name="IQRSheet3D15" hidden="1">#REF!</definedName>
    <definedName name="IQRSheet3D16" hidden="1">#REF!</definedName>
    <definedName name="IQRSheet3D17" hidden="1">#REF!</definedName>
    <definedName name="IQRSheet3D18" hidden="1">#REF!</definedName>
    <definedName name="IQRSheet3D19" hidden="1">#REF!</definedName>
    <definedName name="IQRSheet3D2" hidden="1">#REF!</definedName>
    <definedName name="IQRSheet3D20" hidden="1">#REF!</definedName>
    <definedName name="IQRSheet3D21" hidden="1">#REF!</definedName>
    <definedName name="IQRSheet3D24" hidden="1">#REF!</definedName>
    <definedName name="IQRSheet3D25" hidden="1">#REF!</definedName>
    <definedName name="IQRSheet3D26" hidden="1">#REF!</definedName>
    <definedName name="IQRSheet3D28" hidden="1">#REF!</definedName>
    <definedName name="IQRSheet3D29" hidden="1">#REF!</definedName>
    <definedName name="IQRSheet3D3" hidden="1">#REF!</definedName>
    <definedName name="IQRSheet3D30" hidden="1">#REF!</definedName>
    <definedName name="IQRSheet3D31" hidden="1">#REF!</definedName>
    <definedName name="IQRSheet3D32" hidden="1">#REF!</definedName>
    <definedName name="IQRSheet3D33" hidden="1">#REF!</definedName>
    <definedName name="IQRSheet3D34" hidden="1">#REF!</definedName>
    <definedName name="IQRSheet3D35" hidden="1">#REF!</definedName>
    <definedName name="IQRSheet3D36" hidden="1">#REF!</definedName>
    <definedName name="IQRSheet3D37" hidden="1">#REF!</definedName>
    <definedName name="IQRSheet3D38" hidden="1">#REF!</definedName>
    <definedName name="IQRSheet3D39" hidden="1">#REF!</definedName>
    <definedName name="IQRSheet3D4" hidden="1">#REF!</definedName>
    <definedName name="IQRSheet3D40" hidden="1">#REF!</definedName>
    <definedName name="IQRSheet3D41" hidden="1">#REF!</definedName>
    <definedName name="IQRSheet3D42" hidden="1">#REF!</definedName>
    <definedName name="IQRSheet3D43" hidden="1">#REF!</definedName>
    <definedName name="IQRSheet3D44" hidden="1">#REF!</definedName>
    <definedName name="IQRSheet3D45" hidden="1">#REF!</definedName>
    <definedName name="IQRSheet3D46" hidden="1">#REF!</definedName>
    <definedName name="IQRSheet3D47" hidden="1">#REF!</definedName>
    <definedName name="IQRSheet3D48" hidden="1">#REF!</definedName>
    <definedName name="IQRSheet3D5" hidden="1">#REF!</definedName>
    <definedName name="IQRSheet3D6" hidden="1">#REF!</definedName>
    <definedName name="IQRSheet3D7" hidden="1">#REF!</definedName>
    <definedName name="IQRSheet3D8" hidden="1">#REF!</definedName>
    <definedName name="IQRSheet3D9" hidden="1">#REF!</definedName>
    <definedName name="IQRSheet4G10" hidden="1">#REF!</definedName>
    <definedName name="IQRSheet4G8" hidden="1">#REF!</definedName>
    <definedName name="IQRSheet4G9" hidden="1">#REF!</definedName>
    <definedName name="IQRSheet4H10" hidden="1">#REF!</definedName>
    <definedName name="IQRSheet4H8" hidden="1">#REF!</definedName>
    <definedName name="IQRSheet4H9" hidden="1">#REF!</definedName>
    <definedName name="IQRSheet4J10" hidden="1">#REF!</definedName>
    <definedName name="IQRSheet4J8" hidden="1">#REF!</definedName>
    <definedName name="IQRSheet4J9" hidden="1">#REF!</definedName>
    <definedName name="IQRSheet6BF9" hidden="1">#REF!</definedName>
    <definedName name="IQRSheet6BN9" hidden="1">#REF!</definedName>
    <definedName name="IQRSHPGH20" hidden="1">#REF!</definedName>
    <definedName name="IQRSingleScore2AH5" hidden="1">#REF!</definedName>
    <definedName name="IQRSingleScore2P15" hidden="1">#REF!</definedName>
    <definedName name="IQRSingleScore2P37" hidden="1">#REF!</definedName>
    <definedName name="IQRSingleScore2Q15" hidden="1">#REF!</definedName>
    <definedName name="IQRSingleScore2R37" hidden="1">#REF!</definedName>
    <definedName name="IQRSingleScore2S37" hidden="1">#REF!</definedName>
    <definedName name="IQRSingleScore2U37" hidden="1">#REF!</definedName>
    <definedName name="IQRSingleScore2V15" hidden="1">#REF!</definedName>
    <definedName name="IQRSingleScore2V5" hidden="1">#REF!</definedName>
    <definedName name="IQRSingleScore2X15" hidden="1">#REF!</definedName>
    <definedName name="IQRSingleScore2Z15" hidden="1">#REF!</definedName>
    <definedName name="IQRSingleScoreAB15" hidden="1">#REF!</definedName>
    <definedName name="IQRSingleScoreAC15" hidden="1">#REF!</definedName>
    <definedName name="IQRSingleScoreAC5" hidden="1">#REF!</definedName>
    <definedName name="IQRSingleScoreAD15" hidden="1">#REF!</definedName>
    <definedName name="IQRSingleScoreAD37" hidden="1">#REF!</definedName>
    <definedName name="IQRSingleScoreAD5" hidden="1">#REF!</definedName>
    <definedName name="IQRSingleScoreAE37" hidden="1">#REF!</definedName>
    <definedName name="IQRSingleScoreAF37" hidden="1">#REF!</definedName>
    <definedName name="IQRSingleScoreAG15" hidden="1">#REF!</definedName>
    <definedName name="IQRSingleScoreAG5" hidden="1">#REF!</definedName>
    <definedName name="IQRSingleScoreAH15" hidden="1">#REF!</definedName>
    <definedName name="IQRSingleScoreAH4" hidden="1">#REF!</definedName>
    <definedName name="IQRSingleScoreAH5" hidden="1">#REF!</definedName>
    <definedName name="IQRSingleScoreAI2003" hidden="1">#REF!</definedName>
    <definedName name="IQRSingleScoreAI4" hidden="1">#REF!</definedName>
    <definedName name="IQRSingleScoreAL16" hidden="1">#REF!</definedName>
    <definedName name="IQRSingleScoreAL5" hidden="1">#REF!</definedName>
    <definedName name="IQRSingleScoreAL7" hidden="1">#REF!</definedName>
    <definedName name="IQRSingleScoreAO5" hidden="1">#REF!</definedName>
    <definedName name="IQRSingleScoreAP5" hidden="1">#REF!</definedName>
    <definedName name="IQRSingleScoreAS5" hidden="1">#REF!</definedName>
    <definedName name="IQRSingleScoreH10" hidden="1">#REF!</definedName>
    <definedName name="IQRSingleScoreH11" hidden="1">#REF!</definedName>
    <definedName name="IQRSingleScoreH5" hidden="1">#REF!</definedName>
    <definedName name="IQRSingleScoreH8" hidden="1">#REF!</definedName>
    <definedName name="IQRSingleScoreH9" hidden="1">#REF!</definedName>
    <definedName name="IQRSingleScoreI5" hidden="1">#REF!</definedName>
    <definedName name="IQRSingleScoreJ11" hidden="1">#REF!</definedName>
    <definedName name="IQRSingleScoreJ12" hidden="1">#REF!</definedName>
    <definedName name="IQRSingleScoreJ5" hidden="1">#REF!</definedName>
    <definedName name="IQRSingleScoreK12" hidden="1">#REF!</definedName>
    <definedName name="IQRSingleScoreK5" hidden="1">#REF!</definedName>
    <definedName name="IQRSingleScoreL12" hidden="1">#REF!</definedName>
    <definedName name="IQRSingleScoreL13" hidden="1">#REF!</definedName>
    <definedName name="IQRSingleScoreL14" hidden="1">#REF!</definedName>
    <definedName name="IQRSingleScoreL15" hidden="1">#REF!</definedName>
    <definedName name="IQRSingleScoreL35" hidden="1">#REF!</definedName>
    <definedName name="IQRSingleScoreL36" hidden="1">#REF!</definedName>
    <definedName name="IQRSingleScoreL37" hidden="1">#REF!</definedName>
    <definedName name="IQRSingleScoreL38" hidden="1">#REF!</definedName>
    <definedName name="IQRSingleScoreL5" hidden="1">#REF!</definedName>
    <definedName name="IQRSingleScoreL6" hidden="1">#REF!</definedName>
    <definedName name="IQRSingleScoreM11" hidden="1">#REF!</definedName>
    <definedName name="IQRSingleScoreM12" hidden="1">#REF!</definedName>
    <definedName name="IQRSingleScoreM37" hidden="1">#REF!</definedName>
    <definedName name="IQRSingleScoreN11" hidden="1">#REF!</definedName>
    <definedName name="IQRSingleScoreN12" hidden="1">#REF!</definedName>
    <definedName name="IQRSingleScoreN37" hidden="1">#REF!</definedName>
    <definedName name="IQRSingleScoreO11" hidden="1">#REF!</definedName>
    <definedName name="IQRSingleScoreO12" hidden="1">#REF!</definedName>
    <definedName name="IQRSingleScoreO13" hidden="1">#REF!</definedName>
    <definedName name="IQRSingleScoreO14" hidden="1">#REF!</definedName>
    <definedName name="IQRSingleScoreO15" hidden="1">#REF!</definedName>
    <definedName name="IQRSingleScoreO37" hidden="1">#REF!</definedName>
    <definedName name="IQRSingleScoreP12" hidden="1">#REF!</definedName>
    <definedName name="IQRSingleScoreP13" hidden="1">#REF!</definedName>
    <definedName name="IQRSingleScoreP14" hidden="1">#REF!</definedName>
    <definedName name="IQRSingleScoreP15" hidden="1">#REF!</definedName>
    <definedName name="IQRSingleScoreP37" hidden="1">#REF!</definedName>
    <definedName name="IQRSingleScoreQ15" hidden="1">#REF!</definedName>
    <definedName name="IQRSingleScoreQ37" hidden="1">#REF!</definedName>
    <definedName name="IQRSingleScoreR37" hidden="1">#REF!</definedName>
    <definedName name="IQRSingleScoreS37" hidden="1">#REF!</definedName>
    <definedName name="IQRSingleScoreT37" hidden="1">#REF!</definedName>
    <definedName name="IQRSingleScoreU13" hidden="1">#REF!</definedName>
    <definedName name="IQRSingleScoreU14" hidden="1">#REF!</definedName>
    <definedName name="IQRSingleScoreU15" hidden="1">#REF!</definedName>
    <definedName name="IQRSingleScoreU37" hidden="1">#REF!</definedName>
    <definedName name="IQRSingleScoreU5" hidden="1">#REF!</definedName>
    <definedName name="IQRSingleScoreV15" hidden="1">#REF!</definedName>
    <definedName name="IQRSingleScoreV5" hidden="1">#REF!</definedName>
    <definedName name="IQRSingleScoreW13" hidden="1">#REF!</definedName>
    <definedName name="IQRSingleScoreW14" hidden="1">#REF!</definedName>
    <definedName name="IQRSingleScoreW15" hidden="1">#REF!</definedName>
    <definedName name="IQRSingleScoreX13" hidden="1">#REF!</definedName>
    <definedName name="IQRSingleScoreX14" hidden="1">#REF!</definedName>
    <definedName name="IQRSingleScoreX15" hidden="1">#REF!</definedName>
    <definedName name="IQRSingleScoreY15" hidden="1">#REF!</definedName>
    <definedName name="IQRSingleScoreZ15" hidden="1">#REF!</definedName>
    <definedName name="IQRSingleScoreZ37" hidden="1">#REF!</definedName>
    <definedName name="IQRSummaryTransparencyAZ77" hidden="1">#REF!</definedName>
    <definedName name="IQRSummaryTransparencyBC77" hidden="1">#REF!</definedName>
    <definedName name="IQRSummaryTransparencyBD77" hidden="1">#REF!</definedName>
    <definedName name="IQRSummaryTransparencyBE77" hidden="1">#REF!</definedName>
    <definedName name="IQRSummaryTransparencyBF77" hidden="1">#REF!</definedName>
    <definedName name="IQRSummaryTransparencyCR77" hidden="1">#REF!</definedName>
    <definedName name="IQRSummaryTransparencyCS77" hidden="1">#REF!</definedName>
    <definedName name="IQRSummaryTransparencyDH77" hidden="1">#REF!</definedName>
    <definedName name="IQRSummaryTransparencyDI77" hidden="1">#REF!</definedName>
    <definedName name="IQRSummaryTransparencyDJ77" hidden="1">#REF!</definedName>
    <definedName name="IQRSummaryTransparencyDK77" hidden="1">#REF!</definedName>
    <definedName name="IQRSummaryTransparencyDL77" hidden="1">#REF!</definedName>
    <definedName name="IQRSummaryTransparencyDM77" hidden="1">#REF!</definedName>
    <definedName name="IQRSummaryTransparencyDN77" hidden="1">#REF!</definedName>
    <definedName name="IQRSummaryTransparencyDO77" hidden="1">#REF!</definedName>
    <definedName name="IQRSummaryTransparencyDP77" hidden="1">#REF!</definedName>
    <definedName name="IQRSummaryTransparencyDQ77" hidden="1">#REF!</definedName>
    <definedName name="IQRSummaryTransparencyDR77" hidden="1">#REF!</definedName>
    <definedName name="IQRSummaryTransparencyDS77" hidden="1">#REF!</definedName>
    <definedName name="IQRSummaryTransparencyDT77" hidden="1">#REF!</definedName>
    <definedName name="IQRSummaryTransparencyDU77" hidden="1">#REF!</definedName>
    <definedName name="IQRSummaryTransparencyDV77" hidden="1">#REF!</definedName>
    <definedName name="IQRSummaryTransparencyDW77" hidden="1">#REF!</definedName>
    <definedName name="IQRSummaryTransparencyDX77" hidden="1">#REF!</definedName>
    <definedName name="IQRSummaryTransparencyDY77" hidden="1">#REF!</definedName>
    <definedName name="IQRSummaryTransparencyDZ77" hidden="1">#REF!</definedName>
    <definedName name="IQRSummaryTransparencyEA77" hidden="1">#REF!</definedName>
    <definedName name="IQRSummaryTransparencyEB77" hidden="1">#REF!</definedName>
    <definedName name="IQRSummaryTransparencyEC77" hidden="1">#REF!</definedName>
    <definedName name="IQRSummaryTransparencyED77" hidden="1">#REF!</definedName>
    <definedName name="IQRSummaryTransparencyEE77" hidden="1">#REF!</definedName>
    <definedName name="IQRSummaryTransparencyEF77" hidden="1">#REF!</definedName>
    <definedName name="IQRSummaryTransparencyEG77" hidden="1">#REF!</definedName>
    <definedName name="IQRSummaryTransparencyEH77" hidden="1">#REF!</definedName>
    <definedName name="IQRSummaryTransparencyEI77" hidden="1">#REF!</definedName>
    <definedName name="IQRSummaryTransparencyEJ77" hidden="1">#REF!</definedName>
    <definedName name="IQRSummaryTransparencyEK77" hidden="1">#REF!</definedName>
    <definedName name="IQRSummaryTransparencyEL77" hidden="1">#REF!</definedName>
    <definedName name="IQRSummaryTransparencyEM77" hidden="1">#REF!</definedName>
    <definedName name="IQRSummaryTransparencyEN77" hidden="1">#REF!</definedName>
    <definedName name="IQRSummaryTransparencyEO77" hidden="1">#REF!</definedName>
    <definedName name="IQRSummaryTransparencyEP77" hidden="1">#REF!</definedName>
    <definedName name="IQRSummaryTransparencyEQ77" hidden="1">#REF!</definedName>
    <definedName name="IQRSummaryTransparencyER77" hidden="1">#REF!</definedName>
    <definedName name="IQRSummaryTransparencyES77" hidden="1">#REF!</definedName>
    <definedName name="IQRSummaryTransparencyET77" hidden="1">#REF!</definedName>
    <definedName name="IQRSummaryTransparencyEU77" hidden="1">#REF!</definedName>
    <definedName name="IQRSummaryTransparencyEV77" hidden="1">#REF!</definedName>
    <definedName name="IQRSummaryTransparencyEW77" hidden="1">#REF!</definedName>
    <definedName name="IQRSummaryTransparencyEX77" hidden="1">#REF!</definedName>
    <definedName name="IQRSummaryTransparencyEY77" hidden="1">#REF!</definedName>
    <definedName name="IQRSummaryTransparencyEZ77" hidden="1">#REF!</definedName>
    <definedName name="IQRSummaryTransparencyFA77" hidden="1">#REF!</definedName>
    <definedName name="IQRSummaryTransparencyFB77" hidden="1">#REF!</definedName>
    <definedName name="IQRSummaryTransparencyFC77" hidden="1">#REF!</definedName>
    <definedName name="IQRSummaryTransparencyFD77" hidden="1">#REF!</definedName>
    <definedName name="IQRSummaryTransparencyFE77" hidden="1">#REF!</definedName>
    <definedName name="IQRSummaryTransparencyFF77" hidden="1">#REF!</definedName>
    <definedName name="IQRT1" hidden="1">"$T$2:$T$23"</definedName>
    <definedName name="IQRT10" hidden="1">"$T$11:$T$81"</definedName>
    <definedName name="IQRT13" hidden="1">"$T$14:$T$84"</definedName>
    <definedName name="IQRT14" hidden="1">"$T$15"</definedName>
    <definedName name="IQRT21" hidden="1">"$T$22"</definedName>
    <definedName name="IQRT23" hidden="1">"$T$24:$T$43"</definedName>
    <definedName name="IQRT24" hidden="1">"$T$25"</definedName>
    <definedName name="IQRT3" hidden="1">"$T$4:$T$253"</definedName>
    <definedName name="IQRT39" hidden="1">"$T$40:$T$56"</definedName>
    <definedName name="IQRT57" hidden="1">"$T$58:$T$127"</definedName>
    <definedName name="IQRT7" hidden="1">"$T$8"</definedName>
    <definedName name="IQRT8" hidden="1">#REF!</definedName>
    <definedName name="IQRT81" hidden="1">"$T$82"</definedName>
    <definedName name="IQRTabelle16AB8" hidden="1">#REF!</definedName>
    <definedName name="IQRTabelle16AF8" hidden="1">#REF!</definedName>
    <definedName name="IQRTabelle16AJ8" hidden="1">#REF!</definedName>
    <definedName name="IQRTabelle16AN8" hidden="1">#REF!</definedName>
    <definedName name="IQRTabelle16AR8" hidden="1">#REF!</definedName>
    <definedName name="IQRTabelle16AV8" hidden="1">#REF!</definedName>
    <definedName name="IQRTabelle16B50" hidden="1">#REF!</definedName>
    <definedName name="IQRTabelle16C50" hidden="1">#REF!</definedName>
    <definedName name="IQRTabelle16D8" hidden="1">#REF!</definedName>
    <definedName name="IQRTabelle16H8" hidden="1">#REF!</definedName>
    <definedName name="IQRTabelle16L8" hidden="1">#REF!</definedName>
    <definedName name="IQRTabelle16P8" hidden="1">#REF!</definedName>
    <definedName name="IQRTabelle16T8" hidden="1">#REF!</definedName>
    <definedName name="IQRTabelle16X8" hidden="1">#REF!</definedName>
    <definedName name="IQRTabelle17AB8" hidden="1">#REF!</definedName>
    <definedName name="IQRTabelle17AF8" hidden="1">#REF!</definedName>
    <definedName name="IQRTabelle17AJ8" hidden="1">#REF!</definedName>
    <definedName name="IQRTabelle17AN8" hidden="1">#REF!</definedName>
    <definedName name="IQRTabelle17AR8" hidden="1">#REF!</definedName>
    <definedName name="IQRTabelle17AV8" hidden="1">#REF!</definedName>
    <definedName name="IQRTabelle17B50" hidden="1">#REF!</definedName>
    <definedName name="IQRTabelle17C50" hidden="1">#REF!</definedName>
    <definedName name="IQRTabelle17D8" hidden="1">#REF!</definedName>
    <definedName name="IQRTabelle17H8" hidden="1">#REF!</definedName>
    <definedName name="IQRTabelle17L8" hidden="1">#REF!</definedName>
    <definedName name="IQRTabelle17P8" hidden="1">#REF!</definedName>
    <definedName name="IQRTabelle17T8" hidden="1">#REF!</definedName>
    <definedName name="IQRTabelle17X8" hidden="1">#REF!</definedName>
    <definedName name="IQRTabelle5C3" hidden="1">#REF!</definedName>
    <definedName name="IQRTabelle5D3" hidden="1">#REF!</definedName>
    <definedName name="IQRTabelle8C42" hidden="1">#REF!</definedName>
    <definedName name="IQRTabelle8M4" hidden="1">#REF!</definedName>
    <definedName name="IQRTabelle8P4" hidden="1">#REF!</definedName>
    <definedName name="IQRTabelle8R4" hidden="1">#REF!</definedName>
    <definedName name="IQRTD2AZ77" hidden="1">#REF!</definedName>
    <definedName name="IQRTD2BC77" hidden="1">#REF!</definedName>
    <definedName name="IQRTD2BD77" hidden="1">#REF!</definedName>
    <definedName name="IQRTD2BE77" hidden="1">#REF!</definedName>
    <definedName name="IQRTD2BF77" hidden="1">#REF!</definedName>
    <definedName name="IQRTDAT75" hidden="1">#REF!</definedName>
    <definedName name="IQRTDAT76" hidden="1">#REF!</definedName>
    <definedName name="IQRTDAT77" hidden="1">#REF!</definedName>
    <definedName name="IQRTDAW75" hidden="1">#REF!</definedName>
    <definedName name="IQRTDAW76" hidden="1">#REF!</definedName>
    <definedName name="IQRTDAW77" hidden="1">#REF!</definedName>
    <definedName name="IQRTDAW78" hidden="1">#REF!</definedName>
    <definedName name="IQRTDAW79" hidden="1">#REF!</definedName>
    <definedName name="IQRTDAW80" hidden="1">#REF!</definedName>
    <definedName name="IQRTDAX75" hidden="1">#REF!</definedName>
    <definedName name="IQRTDAX76" hidden="1">#REF!</definedName>
    <definedName name="IQRTDAX77" hidden="1">#REF!</definedName>
    <definedName name="IQRTDAX78" hidden="1">#REF!</definedName>
    <definedName name="IQRTDAX79" hidden="1">#REF!</definedName>
    <definedName name="IQRTDAX80" hidden="1">#REF!</definedName>
    <definedName name="IQRTDAY75" hidden="1">#REF!</definedName>
    <definedName name="IQRTDAY76" hidden="1">#REF!</definedName>
    <definedName name="IQRTDAY77" hidden="1">#REF!</definedName>
    <definedName name="IQRTDAY78" hidden="1">#REF!</definedName>
    <definedName name="IQRTDAY79" hidden="1">#REF!</definedName>
    <definedName name="IQRTDAY80" hidden="1">#REF!</definedName>
    <definedName name="IQRTDAZ75" hidden="1">#REF!</definedName>
    <definedName name="IQRTDAZ76" hidden="1">#REF!</definedName>
    <definedName name="IQRTDAZ77" hidden="1">#REF!</definedName>
    <definedName name="IQRTDAZ78" hidden="1">#REF!</definedName>
    <definedName name="IQRTDAZ79" hidden="1">#REF!</definedName>
    <definedName name="IQRTDAZ80" hidden="1">#REF!</definedName>
    <definedName name="IQRTDBA75" hidden="1">#REF!</definedName>
    <definedName name="IQRTDBA77" hidden="1">#REF!</definedName>
    <definedName name="IQRTDBB77" hidden="1">#REF!</definedName>
    <definedName name="IQRTDBC77" hidden="1">#REF!</definedName>
    <definedName name="IQRTDBD77" hidden="1">#REF!</definedName>
    <definedName name="IQRTDBE77" hidden="1">#REF!</definedName>
    <definedName name="IQRTDBF77" hidden="1">#REF!</definedName>
    <definedName name="IQRTDCR77" hidden="1">#REF!</definedName>
    <definedName name="IQRTDCS77" hidden="1">#REF!</definedName>
    <definedName name="IQRTearsheetAG15" hidden="1">#REF!</definedName>
    <definedName name="IQRTearsheetAH15" hidden="1">#REF!</definedName>
    <definedName name="IQRTearsheetAI15" hidden="1">#REF!</definedName>
    <definedName name="IQRTreasurymethod2AB24" hidden="1">#REF!</definedName>
    <definedName name="IQRTreasurymethod2AB7" hidden="1">#REF!</definedName>
    <definedName name="IQRTreasurymethod2AC24" hidden="1">#REF!</definedName>
    <definedName name="IQRTreasurymethod2AC7" hidden="1">#REF!</definedName>
    <definedName name="IQRTreasurymethodAB24" hidden="1">#REF!</definedName>
    <definedName name="IQRTreasurymethodAB7" hidden="1">#REF!</definedName>
    <definedName name="IQRTreasurymethodAC24" hidden="1">#REF!</definedName>
    <definedName name="IQRTreasurymethodAC7" hidden="1">#REF!</definedName>
    <definedName name="IQRTreasurymethodAD23" hidden="1">#REF!</definedName>
    <definedName name="IQRTreasurymethodAD24" hidden="1">#REF!</definedName>
    <definedName name="IQRTreasurymethodAD6" hidden="1">#REF!</definedName>
    <definedName name="IQRTreasurymethodAD7" hidden="1">#REF!</definedName>
    <definedName name="IQRTreasurymethodAE23" hidden="1">#REF!</definedName>
    <definedName name="IQRTreasurymethodAE24" hidden="1">#REF!</definedName>
    <definedName name="IQRTreasurymethodAE6" hidden="1">#REF!</definedName>
    <definedName name="IQRTreasurymethodAE7" hidden="1">#REF!</definedName>
    <definedName name="IQRTreasurymethodOptionsAC24" hidden="1">#REF!</definedName>
    <definedName name="IQRTreasurymethodOptionsAC7" hidden="1">#REF!</definedName>
    <definedName name="IQRU11" hidden="1">"$U$12:$U$264"</definedName>
    <definedName name="IQRU21" hidden="1">"$U$22"</definedName>
    <definedName name="IQRU24" hidden="1">"$U$25:$U$29"</definedName>
    <definedName name="IQRU28" hidden="1">"$U$29:$U$48"</definedName>
    <definedName name="IQRU3" hidden="1">"$U$4:$U$253"</definedName>
    <definedName name="IQRU36" hidden="1">"$U$37:$U$290"</definedName>
    <definedName name="IQRU39" hidden="1">"$U$40:$U$291"</definedName>
    <definedName name="IQRU40" hidden="1">"$U$41:$U$286"</definedName>
    <definedName name="IQRU5" hidden="1">"$U$6:$U$512"</definedName>
    <definedName name="IQRU7" hidden="1">"$U$8:$U$12"</definedName>
    <definedName name="IQRU81" hidden="1">"$U$82"</definedName>
    <definedName name="IQRUploadCAOnlyFinancialsR15" hidden="1">#REF!</definedName>
    <definedName name="IQRUploadCAOnlyFinancialsR16" hidden="1">#REF!</definedName>
    <definedName name="IQRUploadCAOnlyFinancialsR17" hidden="1">#REF!</definedName>
    <definedName name="IQRUploadCAOnlyFinancialsR5" hidden="1">#REF!</definedName>
    <definedName name="IQRUploadCAOnlyFinancialsS15" hidden="1">#REF!</definedName>
    <definedName name="IQRUploadCAOnlyFinancialsS16" hidden="1">#REF!</definedName>
    <definedName name="IQRUploadCAOnlyFinancialsS17" hidden="1">#REF!</definedName>
    <definedName name="IQRUploadCAOnlyFinancialsY15" hidden="1">#REF!</definedName>
    <definedName name="IQRUploadCAOnlyFinancialsY16" hidden="1">#REF!</definedName>
    <definedName name="IQRUploadCAOnlyFinancialsY17" hidden="1">#REF!</definedName>
    <definedName name="IQRUploadCAOnlyFinancialsY5" hidden="1">#REF!</definedName>
    <definedName name="IQRUploadCAOnlyFinancialsZ15" hidden="1">#REF!</definedName>
    <definedName name="IQRUploadCAOnlyFinancialsZ16" hidden="1">#REF!</definedName>
    <definedName name="IQRUploadCAOnlyFinancialsZ17" hidden="1">#REF!</definedName>
    <definedName name="IQRUploadSummaryFinancialsAA15" hidden="1">#REF!</definedName>
    <definedName name="IQRUploadSummaryFinancialsAA53" hidden="1">#REF!</definedName>
    <definedName name="IQRUploadSummaryFinancialsAA71" hidden="1">#REF!</definedName>
    <definedName name="IQRUploadSummaryFinancialsAH5" hidden="1">#REF!</definedName>
    <definedName name="IQRUploadSummaryFinancialsP15" hidden="1">#REF!</definedName>
    <definedName name="IQRUploadSummaryFinancialsP37" hidden="1">#REF!</definedName>
    <definedName name="IQRUploadSummaryFinancialsQ15" hidden="1">#REF!</definedName>
    <definedName name="IQRUploadSummaryFinancialsR15" hidden="1">#REF!</definedName>
    <definedName name="IQRUploadSummaryFinancialsR16" hidden="1">#REF!</definedName>
    <definedName name="IQRUploadSummaryFinancialsR31" hidden="1">#REF!</definedName>
    <definedName name="IQRUploadSummaryFinancialsR37" hidden="1">#REF!</definedName>
    <definedName name="IQRUploadSummaryFinancialsR38" hidden="1">#REF!</definedName>
    <definedName name="IQRUploadSummaryFinancialsR5" hidden="1">#REF!</definedName>
    <definedName name="IQRUploadSummaryFinancialsR53" hidden="1">#REF!</definedName>
    <definedName name="IQRUploadSummaryFinancialsR56" hidden="1">#REF!</definedName>
    <definedName name="IQRUploadSummaryFinancialsR71" hidden="1">#REF!</definedName>
    <definedName name="IQRUploadSummaryFinancialsS15" hidden="1">#REF!</definedName>
    <definedName name="IQRUploadSummaryFinancialsS16" hidden="1">#REF!</definedName>
    <definedName name="IQRUploadSummaryFinancialsS31" hidden="1">#REF!</definedName>
    <definedName name="IQRUploadSummaryFinancialsS37" hidden="1">#REF!</definedName>
    <definedName name="IQRUploadSummaryFinancialsT15" hidden="1">#REF!</definedName>
    <definedName name="IQRUploadSummaryFinancialsT53" hidden="1">#REF!</definedName>
    <definedName name="IQRUploadSummaryFinancialsT71" hidden="1">#REF!</definedName>
    <definedName name="IQRUploadSummaryFinancialsU37" hidden="1">#REF!</definedName>
    <definedName name="IQRUploadSummaryFinancialsV15" hidden="1">#REF!</definedName>
    <definedName name="IQRUploadSummaryFinancialsV5" hidden="1">#REF!</definedName>
    <definedName name="IQRUploadSummaryFinancialsX15" hidden="1">#REF!</definedName>
    <definedName name="IQRUploadSummaryFinancialsY15" hidden="1">#REF!</definedName>
    <definedName name="IQRUploadSummaryFinancialsY16" hidden="1">#REF!</definedName>
    <definedName name="IQRUploadSummaryFinancialsY31" hidden="1">#REF!</definedName>
    <definedName name="IQRUploadSummaryFinancialsY38" hidden="1">#REF!</definedName>
    <definedName name="IQRUploadSummaryFinancialsY5" hidden="1">#REF!</definedName>
    <definedName name="IQRUploadSummaryFinancialsY53" hidden="1">#REF!</definedName>
    <definedName name="IQRUploadSummaryFinancialsY56" hidden="1">#REF!</definedName>
    <definedName name="IQRUploadSummaryFinancialsY71" hidden="1">#REF!</definedName>
    <definedName name="IQRUploadSummaryFinancialsZ15" hidden="1">#REF!</definedName>
    <definedName name="IQRUploadSummaryFinancialsZ16" hidden="1">#REF!</definedName>
    <definedName name="IQRUploadSummaryFinancialsZ31" hidden="1">#REF!</definedName>
    <definedName name="IQRV11" hidden="1">"$V$12:$V$264"</definedName>
    <definedName name="IQRV125" hidden="1">"$V$126:$V$375"</definedName>
    <definedName name="IQRV126" hidden="1">"$V$127:$V$376"</definedName>
    <definedName name="IQRV127" hidden="1">"$V$128:$V$377"</definedName>
    <definedName name="IQRV128" hidden="1">"$V$129:$V$378"</definedName>
    <definedName name="IQRV129" hidden="1">"$V$130:$V$379"</definedName>
    <definedName name="IQRV20" hidden="1">"$V$21:$V$23"</definedName>
    <definedName name="IQRV24" hidden="1">"$V$25:$V$28"</definedName>
    <definedName name="IQRV28" hidden="1">"$V$29:$V$48"</definedName>
    <definedName name="IQRV3" hidden="1">"$V$4:$V$253"</definedName>
    <definedName name="IQRV39" hidden="1">"$V$40:$V$292"</definedName>
    <definedName name="IQRV4" hidden="1">"$V$5:$V$254"</definedName>
    <definedName name="IQRV40" hidden="1">"$V$41:$V$286"</definedName>
    <definedName name="IQRV5" hidden="1">"$V$6:$V$255"</definedName>
    <definedName name="IQRV6" hidden="1">"$V$7:$V$256"</definedName>
    <definedName name="IQRV7" hidden="1">"$V$8:$V$11"</definedName>
    <definedName name="IQRV81" hidden="1">"$V$82"</definedName>
    <definedName name="IQRV97" hidden="1">"$V$98:$V$347"</definedName>
    <definedName name="IQRValuationA53" hidden="1">#REF!</definedName>
    <definedName name="IQRW23" hidden="1">"$W$24:$W$275"</definedName>
    <definedName name="IQRW24" hidden="1">"$W$25:$W$26"</definedName>
    <definedName name="IQRW28" hidden="1">"$W$29:$W$48"</definedName>
    <definedName name="IQRW3" hidden="1">"$W$4:$W$253"</definedName>
    <definedName name="IQRW4" hidden="1">"$W$5:$W$254"</definedName>
    <definedName name="IQRW5" hidden="1">"$W$6:$W$393"</definedName>
    <definedName name="IQRW6" hidden="1">"$W$7:$W$256"</definedName>
    <definedName name="IQRW7" hidden="1">"$W$8:$W$9"</definedName>
    <definedName name="IQRW81" hidden="1">"$W$82"</definedName>
    <definedName name="IQRWACC_Comp5BN9" hidden="1">#REF!</definedName>
    <definedName name="IQRWACC_Comp6BF9" hidden="1">#REF!</definedName>
    <definedName name="IQRWACC_Comp7BN9" hidden="1">#REF!</definedName>
    <definedName name="IQRWACC_Comp8BF9" hidden="1">#REF!</definedName>
    <definedName name="IQRWACC_Comp8BN9" hidden="1">#REF!</definedName>
    <definedName name="IQRWACC_Comp9BF9" hidden="1">#REF!</definedName>
    <definedName name="IQRWACC_Comp9BN9" hidden="1">#REF!</definedName>
    <definedName name="IQRWACCAnalysisBV10" hidden="1">#REF!</definedName>
    <definedName name="IQRWarrantsAM24" hidden="1">#REF!</definedName>
    <definedName name="IQRWarrantsAM7" hidden="1">#REF!</definedName>
    <definedName name="IQRWarrantsC24" hidden="1">#REF!</definedName>
    <definedName name="IQRWarrantsC7" hidden="1">#REF!</definedName>
    <definedName name="IQRX10" hidden="1">"$X$11:$X$114"</definedName>
    <definedName name="IQRX24" hidden="1">"$X$25"</definedName>
    <definedName name="IQRX28" hidden="1">"$X$29:$X$48"</definedName>
    <definedName name="IQRX3" hidden="1">"$X$4:$X$253"</definedName>
    <definedName name="IQRX49" hidden="1">"$X$50:$X$302"</definedName>
    <definedName name="IQRX51" hidden="1">"$X$52"</definedName>
    <definedName name="IQRX7" hidden="1">"$X$8"</definedName>
    <definedName name="IQRX8" hidden="1">#REF!</definedName>
    <definedName name="IQRX81" hidden="1">"$X$82"</definedName>
    <definedName name="IQRY18" hidden="1">"$Y$19:$Y$81"</definedName>
    <definedName name="IQRY19" hidden="1">"$Y$20:$Y$81"</definedName>
    <definedName name="IQRY21" hidden="1">"$Y$22"</definedName>
    <definedName name="IQRY24" hidden="1">"$Y$25"</definedName>
    <definedName name="IQRY28" hidden="1">"$Y$29:$Y$48"</definedName>
    <definedName name="IQRY3" hidden="1">"$Y$4:$Y$253"</definedName>
    <definedName name="IQRY5" hidden="1">"$Y$6:$Y$512"</definedName>
    <definedName name="IQRY51" hidden="1">"$Y$52:$Y$310"</definedName>
    <definedName name="IQRY7" hidden="1">"$Y$8"</definedName>
    <definedName name="IQRY81" hidden="1">"$Y$82"</definedName>
    <definedName name="IQRYieldCurveAveragesN100" hidden="1">#REF!</definedName>
    <definedName name="IQRYieldCurveAveragesN101" hidden="1">#REF!</definedName>
    <definedName name="IQRYieldCurveAveragesN102" hidden="1">#REF!</definedName>
    <definedName name="IQRYieldCurveAveragesN103" hidden="1">#REF!</definedName>
    <definedName name="IQRYieldCurveAveragesN104" hidden="1">#REF!</definedName>
    <definedName name="IQRYieldCurveAveragesN30" hidden="1">#REF!</definedName>
    <definedName name="IQRYieldCurveAveragesN31" hidden="1">#REF!</definedName>
    <definedName name="IQRYieldCurveAveragesN32" hidden="1">#REF!</definedName>
    <definedName name="IQRYieldCurveAveragesN33" hidden="1">#REF!</definedName>
    <definedName name="IQRYieldCurveAveragesN34" hidden="1">#REF!</definedName>
    <definedName name="IQRYieldCurveAveragesN35" hidden="1">#REF!</definedName>
    <definedName name="IQRYieldCurveAveragesN36" hidden="1">#REF!</definedName>
    <definedName name="IQRYieldCurveAveragesN37" hidden="1">#REF!</definedName>
    <definedName name="IQRYieldCurveAveragesN38" hidden="1">#REF!</definedName>
    <definedName name="IQRYieldCurveAveragesN39" hidden="1">#REF!</definedName>
    <definedName name="IQRYieldCurveAveragesN40" hidden="1">#REF!</definedName>
    <definedName name="IQRYieldCurveAveragesN41" hidden="1">#REF!</definedName>
    <definedName name="IQRYieldCurveAveragesN42" hidden="1">#REF!</definedName>
    <definedName name="IQRYieldCurveAveragesN43" hidden="1">#REF!</definedName>
    <definedName name="IQRYieldCurveAveragesN44" hidden="1">#REF!</definedName>
    <definedName name="IQRYieldCurveAveragesN45" hidden="1">#REF!</definedName>
    <definedName name="IQRYieldCurveAveragesN46" hidden="1">#REF!</definedName>
    <definedName name="IQRYieldCurveAveragesN47" hidden="1">#REF!</definedName>
    <definedName name="IQRYieldCurveAveragesN48" hidden="1">#REF!</definedName>
    <definedName name="IQRYieldCurveAveragesN49" hidden="1">#REF!</definedName>
    <definedName name="IQRYieldCurveAveragesN50" hidden="1">#REF!</definedName>
    <definedName name="IQRYieldCurveAveragesN51" hidden="1">#REF!</definedName>
    <definedName name="IQRYieldCurveAveragesN52" hidden="1">#REF!</definedName>
    <definedName name="IQRYieldCurveAveragesN53" hidden="1">#REF!</definedName>
    <definedName name="IQRYieldCurveAveragesN54" hidden="1">#REF!</definedName>
    <definedName name="IQRYieldCurveAveragesN55" hidden="1">#REF!</definedName>
    <definedName name="IQRYieldCurveAveragesN56" hidden="1">#REF!</definedName>
    <definedName name="IQRYieldCurveAveragesN57" hidden="1">#REF!</definedName>
    <definedName name="IQRYieldCurveAveragesN58" hidden="1">#REF!</definedName>
    <definedName name="IQRYieldCurveAveragesN59" hidden="1">#REF!</definedName>
    <definedName name="IQRYieldCurveAveragesN60" hidden="1">#REF!</definedName>
    <definedName name="IQRYieldCurveAveragesN61" hidden="1">#REF!</definedName>
    <definedName name="IQRYieldCurveAveragesN62" hidden="1">#REF!</definedName>
    <definedName name="IQRYieldCurveAveragesN63" hidden="1">#REF!</definedName>
    <definedName name="IQRYieldCurveAveragesN71" hidden="1">#REF!</definedName>
    <definedName name="IQRYieldCurveAveragesN72" hidden="1">#REF!</definedName>
    <definedName name="IQRYieldCurveAveragesN73" hidden="1">#REF!</definedName>
    <definedName name="IQRYieldCurveAveragesN74" hidden="1">#REF!</definedName>
    <definedName name="IQRYieldCurveAveragesN75" hidden="1">#REF!</definedName>
    <definedName name="IQRYieldCurveAveragesN76" hidden="1">#REF!</definedName>
    <definedName name="IQRYieldCurveAveragesN77" hidden="1">#REF!</definedName>
    <definedName name="IQRYieldCurveAveragesN78" hidden="1">#REF!</definedName>
    <definedName name="IQRYieldCurveAveragesN79" hidden="1">#REF!</definedName>
    <definedName name="IQRYieldCurveAveragesN80" hidden="1">#REF!</definedName>
    <definedName name="IQRYieldCurveAveragesN81" hidden="1">#REF!</definedName>
    <definedName name="IQRYieldCurveAveragesN82" hidden="1">#REF!</definedName>
    <definedName name="IQRYieldCurveAveragesN83" hidden="1">#REF!</definedName>
    <definedName name="IQRYieldCurveAveragesN84" hidden="1">#REF!</definedName>
    <definedName name="IQRYieldCurveAveragesN85" hidden="1">#REF!</definedName>
    <definedName name="IQRYieldCurveAveragesN86" hidden="1">#REF!</definedName>
    <definedName name="IQRYieldCurveAveragesN87" hidden="1">#REF!</definedName>
    <definedName name="IQRYieldCurveAveragesN88" hidden="1">#REF!</definedName>
    <definedName name="IQRYieldCurveAveragesN89" hidden="1">#REF!</definedName>
    <definedName name="IQRYieldCurveAveragesN90" hidden="1">#REF!</definedName>
    <definedName name="IQRYieldCurveAveragesN91" hidden="1">#REF!</definedName>
    <definedName name="IQRYieldCurveAveragesN92" hidden="1">#REF!</definedName>
    <definedName name="IQRYieldCurveAveragesN93" hidden="1">#REF!</definedName>
    <definedName name="IQRYieldCurveAveragesN94" hidden="1">#REF!</definedName>
    <definedName name="IQRYieldCurveAveragesN95" hidden="1">#REF!</definedName>
    <definedName name="IQRYieldCurveAveragesN96" hidden="1">#REF!</definedName>
    <definedName name="IQRYieldCurveAveragesN97" hidden="1">#REF!</definedName>
    <definedName name="IQRYieldCurveAveragesN98" hidden="1">#REF!</definedName>
    <definedName name="IQRYieldCurveAveragesN99" hidden="1">#REF!</definedName>
    <definedName name="IQRYieldCurveAveragesO100" hidden="1">#REF!</definedName>
    <definedName name="IQRYieldCurveAveragesO101" hidden="1">#REF!</definedName>
    <definedName name="IQRYieldCurveAveragesO102" hidden="1">#REF!</definedName>
    <definedName name="IQRYieldCurveAveragesO103" hidden="1">#REF!</definedName>
    <definedName name="IQRYieldCurveAveragesO104" hidden="1">#REF!</definedName>
    <definedName name="IQRYieldCurveAveragesO30" hidden="1">#REF!</definedName>
    <definedName name="IQRYieldCurveAveragesO31" hidden="1">#REF!</definedName>
    <definedName name="IQRYieldCurveAveragesO32" hidden="1">#REF!</definedName>
    <definedName name="IQRYieldCurveAveragesO33" hidden="1">#REF!</definedName>
    <definedName name="IQRYieldCurveAveragesO34" hidden="1">#REF!</definedName>
    <definedName name="IQRYieldCurveAveragesO35" hidden="1">#REF!</definedName>
    <definedName name="IQRYieldCurveAveragesO36" hidden="1">#REF!</definedName>
    <definedName name="IQRYieldCurveAveragesO37" hidden="1">#REF!</definedName>
    <definedName name="IQRYieldCurveAveragesO38" hidden="1">#REF!</definedName>
    <definedName name="IQRYieldCurveAveragesO39" hidden="1">#REF!</definedName>
    <definedName name="IQRYieldCurveAveragesO40" hidden="1">#REF!</definedName>
    <definedName name="IQRYieldCurveAveragesO41" hidden="1">#REF!</definedName>
    <definedName name="IQRYieldCurveAveragesO42" hidden="1">#REF!</definedName>
    <definedName name="IQRYieldCurveAveragesO43" hidden="1">#REF!</definedName>
    <definedName name="IQRYieldCurveAveragesO44" hidden="1">#REF!</definedName>
    <definedName name="IQRYieldCurveAveragesO45" hidden="1">#REF!</definedName>
    <definedName name="IQRYieldCurveAveragesO46" hidden="1">#REF!</definedName>
    <definedName name="IQRYieldCurveAveragesO47" hidden="1">#REF!</definedName>
    <definedName name="IQRYieldCurveAveragesO48" hidden="1">#REF!</definedName>
    <definedName name="IQRYieldCurveAveragesO49" hidden="1">#REF!</definedName>
    <definedName name="IQRYieldCurveAveragesO50" hidden="1">#REF!</definedName>
    <definedName name="IQRYieldCurveAveragesO51" hidden="1">#REF!</definedName>
    <definedName name="IQRYieldCurveAveragesO52" hidden="1">#REF!</definedName>
    <definedName name="IQRYieldCurveAveragesO53" hidden="1">#REF!</definedName>
    <definedName name="IQRYieldCurveAveragesO54" hidden="1">#REF!</definedName>
    <definedName name="IQRYieldCurveAveragesO55" hidden="1">#REF!</definedName>
    <definedName name="IQRYieldCurveAveragesO56" hidden="1">#REF!</definedName>
    <definedName name="IQRYieldCurveAveragesO57" hidden="1">#REF!</definedName>
    <definedName name="IQRYieldCurveAveragesO58" hidden="1">#REF!</definedName>
    <definedName name="IQRYieldCurveAveragesO59" hidden="1">#REF!</definedName>
    <definedName name="IQRYieldCurveAveragesO60" hidden="1">#REF!</definedName>
    <definedName name="IQRYieldCurveAveragesO61" hidden="1">#REF!</definedName>
    <definedName name="IQRYieldCurveAveragesO62" hidden="1">#REF!</definedName>
    <definedName name="IQRYieldCurveAveragesO63" hidden="1">#REF!</definedName>
    <definedName name="IQRYieldCurveAveragesO71" hidden="1">#REF!</definedName>
    <definedName name="IQRYieldCurveAveragesO72" hidden="1">#REF!</definedName>
    <definedName name="IQRYieldCurveAveragesO73" hidden="1">#REF!</definedName>
    <definedName name="IQRYieldCurveAveragesO74" hidden="1">#REF!</definedName>
    <definedName name="IQRYieldCurveAveragesO75" hidden="1">#REF!</definedName>
    <definedName name="IQRYieldCurveAveragesO76" hidden="1">#REF!</definedName>
    <definedName name="IQRYieldCurveAveragesO77" hidden="1">#REF!</definedName>
    <definedName name="IQRYieldCurveAveragesO78" hidden="1">#REF!</definedName>
    <definedName name="IQRYieldCurveAveragesO79" hidden="1">#REF!</definedName>
    <definedName name="IQRYieldCurveAveragesO80" hidden="1">#REF!</definedName>
    <definedName name="IQRYieldCurveAveragesO81" hidden="1">#REF!</definedName>
    <definedName name="IQRYieldCurveAveragesO82" hidden="1">#REF!</definedName>
    <definedName name="IQRYieldCurveAveragesO83" hidden="1">#REF!</definedName>
    <definedName name="IQRYieldCurveAveragesO84" hidden="1">#REF!</definedName>
    <definedName name="IQRYieldCurveAveragesO85" hidden="1">#REF!</definedName>
    <definedName name="IQRYieldCurveAveragesO86" hidden="1">#REF!</definedName>
    <definedName name="IQRYieldCurveAveragesO87" hidden="1">#REF!</definedName>
    <definedName name="IQRYieldCurveAveragesO88" hidden="1">#REF!</definedName>
    <definedName name="IQRYieldCurveAveragesO89" hidden="1">#REF!</definedName>
    <definedName name="IQRYieldCurveAveragesO90" hidden="1">#REF!</definedName>
    <definedName name="IQRYieldCurveAveragesO91" hidden="1">#REF!</definedName>
    <definedName name="IQRYieldCurveAveragesO92" hidden="1">#REF!</definedName>
    <definedName name="IQRYieldCurveAveragesO93" hidden="1">#REF!</definedName>
    <definedName name="IQRYieldCurveAveragesO94" hidden="1">#REF!</definedName>
    <definedName name="IQRYieldCurveAveragesO95" hidden="1">#REF!</definedName>
    <definedName name="IQRYieldCurveAveragesO96" hidden="1">#REF!</definedName>
    <definedName name="IQRYieldCurveAveragesO97" hidden="1">#REF!</definedName>
    <definedName name="IQRYieldCurveAveragesO98" hidden="1">#REF!</definedName>
    <definedName name="IQRYieldCurveAveragesO99" hidden="1">#REF!</definedName>
    <definedName name="IQRYieldCurveComparisonv12AE15" hidden="1">#REF!</definedName>
    <definedName name="IQRYieldCurveComparisonv12AG15" hidden="1">#REF!</definedName>
    <definedName name="IQRYieldCurveComparisonv12AH15" hidden="1">#REF!</definedName>
    <definedName name="IQRYieldCurveComparisonv12AJ15" hidden="1">#REF!</definedName>
    <definedName name="IQRYieldCurveComparisonv12AK15" hidden="1">#REF!</definedName>
    <definedName name="IQRYieldCurveComparisonv12AL15" hidden="1">#REF!</definedName>
    <definedName name="IQRYieldCurveComparisonv12AT15" hidden="1">#REF!</definedName>
    <definedName name="IQRYieldCurveComparisonv1AE15" hidden="1">#REF!</definedName>
    <definedName name="IQRYieldCurveComparisonv1AE37" hidden="1">#REF!</definedName>
    <definedName name="IQRYieldCurveComparisonv1AE40" hidden="1">#REF!</definedName>
    <definedName name="IQRYieldCurveComparisonv1AE41" hidden="1">#REF!</definedName>
    <definedName name="IQRYieldCurveComparisonv1AH41" hidden="1">#REF!</definedName>
    <definedName name="IQRYieldCurveComparisonv1AR41" hidden="1">#REF!</definedName>
    <definedName name="IQRYieldCurveComparisonv1AS41" hidden="1">#REF!</definedName>
    <definedName name="IQRYieldCurveComparisonv1AT15" hidden="1">#REF!</definedName>
    <definedName name="IQRYieldCurveComparisonv1AT37" hidden="1">#REF!</definedName>
    <definedName name="IQRYieldCurveComparisonv1AT40" hidden="1">#REF!</definedName>
    <definedName name="IQRYieldCurveComparisonv1AT41" hidden="1">#REF!</definedName>
    <definedName name="IQRYieldCurveComparisonv1AV41" hidden="1">#REF!</definedName>
    <definedName name="IQRYieldCurveComparisonv1AW41" hidden="1">#REF!</definedName>
    <definedName name="IQRYieldCurveComparisonv1AZ41" hidden="1">#REF!</definedName>
    <definedName name="IQRYieldCurveComparisonv1BG41" hidden="1">#REF!</definedName>
    <definedName name="IQRYieldCurveComparisonv1BJ41" hidden="1">#REF!</definedName>
    <definedName name="IQRYieldCurveComparisonv1BM41" hidden="1">#REF!</definedName>
    <definedName name="IQRYieldCurveComparisonv1BN41" hidden="1">#REF!</definedName>
    <definedName name="IQRYieldCurveComparisonv2AL15" hidden="1">#REF!</definedName>
    <definedName name="IQRYieldCurves2AR75" hidden="1">#REF!</definedName>
    <definedName name="IQRYieldCurves2AS75" hidden="1">#REF!</definedName>
    <definedName name="IQRYieldCurves2AT75" hidden="1">#REF!</definedName>
    <definedName name="IQRYieldCurves2AU75" hidden="1">#REF!</definedName>
    <definedName name="IQRYieldCurves2AV75" hidden="1">#REF!</definedName>
    <definedName name="IQRYieldCurves2AW75" hidden="1">#REF!</definedName>
    <definedName name="IQRYieldCurves2AX75" hidden="1">#REF!</definedName>
    <definedName name="IQRYieldCurves2AY75" hidden="1">#REF!</definedName>
    <definedName name="IQRYieldCurves2AZ75" hidden="1">#REF!</definedName>
    <definedName name="IQRYieldCurvesAA15" hidden="1">#REF!</definedName>
    <definedName name="IQRYieldCurvesAI5" hidden="1">#REF!</definedName>
    <definedName name="IQRYieldCurvesAR37" hidden="1">#REF!</definedName>
    <definedName name="IQRYieldCurvesAS73" hidden="1">#REF!</definedName>
    <definedName name="IQRYieldCurvesAT37" hidden="1">#REF!</definedName>
    <definedName name="IQRYieldCurvesAU37" hidden="1">#REF!</definedName>
    <definedName name="IQRYieldCurvesAW37" hidden="1">#REF!</definedName>
    <definedName name="IQRYieldCurvesQ15" hidden="1">#REF!</definedName>
    <definedName name="IQRYieldCurvesR15" hidden="1">#REF!</definedName>
    <definedName name="IQRYieldCurvesW15" hidden="1">#REF!</definedName>
    <definedName name="IQRYieldCurvesW5" hidden="1">#REF!</definedName>
    <definedName name="IQRYieldCurvesY15" hidden="1">#REF!</definedName>
    <definedName name="IQRZ10" hidden="1">"$Z$11:$Z$263"</definedName>
    <definedName name="IQRZ21" hidden="1">"$Z$22"</definedName>
    <definedName name="IQRZ24" hidden="1">"$Z$25"</definedName>
    <definedName name="IQRZ28" hidden="1">"$Z$29:$Z$48"</definedName>
    <definedName name="IQRZ3" hidden="1">"$Z$4:$Z$253"</definedName>
    <definedName name="IQRZ4" hidden="1">"$Z$5:$Z$254"</definedName>
    <definedName name="IQRZ5" hidden="1">"$Z$6:$Z$255"</definedName>
    <definedName name="IQRZ6" hidden="1">"$Z$7:$Z$256"</definedName>
    <definedName name="IQRZ7" hidden="1">"$Z$8"</definedName>
    <definedName name="IQRZ8" hidden="1">"$Z$9:$Z$72"</definedName>
    <definedName name="IQRZ81" hidden="1">"$Z$82"</definedName>
    <definedName name="IQRZTSH20" hidden="1">#REF!</definedName>
    <definedName name="IQSCapIQDownloadA1" hidden="1">"$A$2:$A$56"</definedName>
    <definedName name="iQShowHideColumns" hidden="1">"iQShowAnnual"</definedName>
    <definedName name="IQSInputD4" hidden="1">#REF!</definedName>
    <definedName name="IQSTabelle5C4" hidden="1">#REF!</definedName>
    <definedName name="Irbe" hidden="1">{#N/A,#N/A,FALSE,"Pharm";#N/A,#N/A,FALSE,"WWCM"}</definedName>
    <definedName name="IRE" hidden="1">{#N/A,#N/A,FALSE,"단축1";#N/A,#N/A,FALSE,"단축2";#N/A,#N/A,FALSE,"단축3";#N/A,#N/A,FALSE,"장축";#N/A,#N/A,FALSE,"4WD"}</definedName>
    <definedName name="Irene" hidden="1">1/EUReXToPTE</definedName>
    <definedName name="IRI_WorkspaceId" hidden="1">"de30bb9444bc4d639e94ada41672e49b"</definedName>
    <definedName name="iris" hidden="1">{#N/A,#N/A,FALSE,"Report-Generator";#N/A,#N/A,FALSE,"S.1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name="IsColHidden" hidden="1">FALSE</definedName>
    <definedName name="ISFOXAutomaticLabelingDisabled" hidden="1">"True"</definedName>
    <definedName name="ISFOXClassificationHistory_0" hidden="1">"EMEA\muellerpet;d4c75f49-f1ee-485c-aa75-2c54e2ab5223;Intern;2017-07-04T10:40:55;;Lorange|"</definedName>
    <definedName name="ISFOXClassificationId" hidden="1">"d4c75f49-f1ee-485c-aa75-2c54e2ab5223"</definedName>
    <definedName name="ISFOXClassificationName" hidden="1">"Intern"</definedName>
    <definedName name="ISFOXDocumentClassificationVersion" hidden="1">3</definedName>
    <definedName name="ISFOXOldClassificationId" hidden="1">"d4c75f49-f1ee-485c-aa75-2c54e2ab5223"</definedName>
    <definedName name="ISFOXPrefix" hidden="1">"Lorange"</definedName>
    <definedName name="ISFOXPreviousClassificationId" hidden="1">"d4c75f49-f1ee-485c-aa75-2c54e2ab5223"</definedName>
    <definedName name="ISFOXShowClassificationRequestWindow" hidden="1">"False"</definedName>
    <definedName name="ISFOXVersionHistoryCount" hidden="1">1</definedName>
    <definedName name="ISFOXWorkbookInitialized" hidden="1">"False"</definedName>
    <definedName name="ishideend" hidden="1">#REF!</definedName>
    <definedName name="ishidestart" hidden="1">#REF!</definedName>
    <definedName name="IsLTMColHidden" hidden="1">FALSE</definedName>
    <definedName name="ISS_DEBT_NET" hidden="1">"ISS_DEBT_NET"</definedName>
    <definedName name="ISS_STOCK_NET" hidden="1">"ISS_STOCK_NET"</definedName>
    <definedName name="IsSecureSenior1" hidden="1">#REF!</definedName>
    <definedName name="IsSecureSenior2" hidden="1">#REF!</definedName>
    <definedName name="IsSecureSenior3" hidden="1">#REF!</definedName>
    <definedName name="IsSecureSenior4" hidden="1">#REF!</definedName>
    <definedName name="IsSecureSenior5" hidden="1">#REF!</definedName>
    <definedName name="IsSecureSenior6" hidden="1">#REF!</definedName>
    <definedName name="IsSecureSenior7" hidden="1">#REF!</definedName>
    <definedName name="Issue" hidden="1">"BL7FKFTY6NDALOTZZF8PFRAS6"</definedName>
    <definedName name="it" hidden="1">{"";TRUE;TRUE;TRUE;TRUE;TRUE;TRUE;"R1C1:R32C11";FALSE;FALSE;FALSE;FALSE;FALSE;FALSE;FALSE;61;FALSE;FALSE;FALSE;FALSE;FALSE;"";FALSE;FALSE}</definedName>
    <definedName name="ITE"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ITLeXToEUR" hidden="1">1/EUReXToITL</definedName>
    <definedName name="itre" hidden="1">{"HEADCOUNT",#N/A,FALSE,"labor"}</definedName>
    <definedName name="ityiu" hidden="1">{#N/A,#N/A,TRUE,"Historicals";#N/A,#N/A,TRUE,"Charts";#N/A,#N/A,TRUE,"Forecasts"}</definedName>
    <definedName name="iu" hidden="1">{#N/A,#N/A,TRUE,"Staffnos &amp; cost"}</definedName>
    <definedName name="iü" hidden="1">{"sbfk2",#N/A,FALSE,"A";"sbkf3",#N/A,FALSE,"A";"sbkf4",#N/A,FALSE,"A";"sbkf1",#N/A,FALSE,"A"}</definedName>
    <definedName name="iüip" hidden="1">{#N/A,#N/A,FALSE,"DK1VER";#N/A,#N/A,FALSE,"DK1VER"}</definedName>
    <definedName name="IUJ" hidden="1">{"'Demand Units'!$X$11:$AD$45"}</definedName>
    <definedName name="iungds" hidden="1">{"detail",#N/A,FALSE,"mfg";"summary",#N/A,FALSE,"mfg"}</definedName>
    <definedName name="iuou"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iuoui" hidden="1">#REF!</definedName>
    <definedName name="IUYIYH" hidden="1">{"'Demand Units'!$X$11:$AD$45"}</definedName>
    <definedName name="iuyt" hidden="1">{"AS REP",#N/A,FALSE,"EEFSNAP2";"PROP",#N/A,FALSE,"EEFSNAP2";"RISKS",#N/A,FALSE,"EEFSNAP2";"VIEW ALL",#N/A,FALSE,"EEFSNAP2"}</definedName>
    <definedName name="iwonder" hidden="1">{"PA1",#N/A,FALSE,"BORDMW";"pa2",#N/A,FALSE,"BORDMW";"PA3",#N/A,FALSE,"BORDMW";"PA4",#N/A,FALSE,"BORDMW"}</definedName>
    <definedName name="iwonder2" hidden="1">{#N/A,#N/A,TRUE,"Main assumptions";#N/A,#N/A,TRUE,"Subscriber projections";#N/A,#N/A,TRUE,"Revenues";#N/A,#N/A,TRUE,"Opex";#N/A,#N/A,TRUE,"Capex";#N/A,#N/A,TRUE,"Working capital";#N/A,#N/A,TRUE,"P&amp;L";#N/A,#N/A,TRUE,"Cash";#N/A,#N/A,TRUE,"Balance";#N/A,#N/A,TRUE,"Valuation";#N/A,#N/A,TRUE,"Bench"}</definedName>
    <definedName name="iy" hidden="1">{"AS REP",#N/A,FALSE,"EEFSNAP2";"PROP",#N/A,FALSE,"EEFSNAP2";"RISKS",#N/A,FALSE,"EEFSNAP2";"VIEW ALL",#N/A,FALSE,"EEFSNAP2"}</definedName>
    <definedName name="j" hidden="1">{"LEVEL1","UKCONSGAAP",TRUE,"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name="janice" hidden="1">{"'FXRates AUD'!$AH$586"}</definedName>
    <definedName name="janis" hidden="1">{#N/A,#N/A,TRUE,"0 Deckbl.";#N/A,#N/A,TRUE,"S 1 Komm";#N/A,#N/A,TRUE,"S 1a Komm";#N/A,#N/A,TRUE,"S 1b Komm";#N/A,#N/A,TRUE,"S  2 DBR";#N/A,#N/A,TRUE,"S  3 Sparten";#N/A,#N/A,TRUE,"S 4  Betr. K.";#N/A,#N/A,TRUE,"6 Bilanz";#N/A,#N/A,TRUE,"6a Bilanz ";#N/A,#N/A,TRUE,"6b Bilanz ";#N/A,#N/A,TRUE,"7 GS I";#N/A,#N/A,TRUE,"S 8 EQ-GuV"}</definedName>
    <definedName name="JAR" hidden="1">{"'Data'!$A$1:$D$17"}</definedName>
    <definedName name="Jarudo" hidden="1">{"Burden (burden)",#N/A,FALSE,"burden"}</definedName>
    <definedName name="jason" hidden="1">{#N/A,#N/A,FALSE,"TS";#N/A,#N/A,FALSE,"Combo";#N/A,#N/A,FALSE,"FAIR";#N/A,#N/A,FALSE,"RBC";#N/A,#N/A,FALSE,"xxxx";#N/A,#N/A,FALSE,"A_D";#N/A,#N/A,FALSE,"WACC";#N/A,#N/A,FALSE,"DCF";#N/A,#N/A,FALSE,"LBO";#N/A,#N/A,FALSE,"AcqMults";#N/A,#N/A,FALSE,"CompMults"}</definedName>
    <definedName name="jazz"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 hidden="1">{"Tages_D",#N/A,FALSE,"Tagesbericht";"Tages_PL",#N/A,FALSE,"Tagesbericht"}</definedName>
    <definedName name="jbujbj" hidden="1">{"REVISED",#N/A,FALSE,"Sheet1"}</definedName>
    <definedName name="jdghgfh" hidden="1">{#N/A,#N/A,FALSE,"V3 Stab-Geb Index";#N/A,#N/A,FALSE,"Vertrieb";#N/A,#N/A,FALSE,"V Daten";#N/A,#N/A,FALSE,"V-Z-Index";#N/A,#N/A,FALSE,"V-1 Daten";#N/A,#N/A,FALSE,"V-1 Index";#N/A,#N/A,FALSE,"V-2 Index";#N/A,#N/A,FALSE,"V-3 Daten";#N/A,#N/A,FALSE,"V3 Stab-Geb Index";#N/A,#N/A,FALSE,"V-3 VG's Index";#N/A,#N/A,FALSE,"V-4 Index";#N/A,#N/A,FALSE,"V-5 Index"}</definedName>
    <definedName name="jdghgfh2" hidden="1">{#N/A,#N/A,FALSE,"V3 Stab-Geb Index";#N/A,#N/A,FALSE,"Vertrieb";#N/A,#N/A,FALSE,"V Daten";#N/A,#N/A,FALSE,"V-Z-Index";#N/A,#N/A,FALSE,"V-1 Daten";#N/A,#N/A,FALSE,"V-1 Index";#N/A,#N/A,FALSE,"V-2 Index";#N/A,#N/A,FALSE,"V-3 Daten";#N/A,#N/A,FALSE,"V3 Stab-Geb Index";#N/A,#N/A,FALSE,"V-3 VG's Index";#N/A,#N/A,FALSE,"V-4 Index";#N/A,#N/A,FALSE,"V-5 Index"}</definedName>
    <definedName name="JDJBNG5" hidden="1">{"'Title Transfer Units6,7,&amp;8'!$A$1:$B$4","'Title Transfer Units6,7,&amp;8'!$C$6"}</definedName>
    <definedName name="je" hidden="1">{#N/A,#N/A,FALSE,"Aging Summary";#N/A,#N/A,FALSE,"Ratio Analysis";#N/A,#N/A,FALSE,"Test 120 Day Accts";#N/A,#N/A,FALSE,"Tickmarks"}</definedName>
    <definedName name="jedf" hidden="1">{#N/A,#N/A,TRUE,"Historicals";#N/A,#N/A,TRUE,"Charts";#N/A,#N/A,TRUE,"Forecasts"}</definedName>
    <definedName name="jeine" hidden="1">{"Tages_D",#N/A,FALSE,"Tagesbericht";"Tages_PL",#N/A,FALSE,"Tagesbericht"}</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enni" hidden="1">{"A_Vorstand",#N/A,TRUE,"PK Szenario ";"B_Nord",#N/A,TRUE,"PK Szenario ";"C_Nordwest",#N/A,TRUE,"PK Szenario ";"D_West",#N/A,TRUE,"PK Szenario ";"E_Südwest",#N/A,TRUE,"PK Szenario ";"F_Süd",#N/A,TRUE,"PK Szenario ";"G_Ost",#N/A,TRUE,"PK Szenario ";"H_Gesamt",#N/A,TRUE,"PK Szenario "}</definedName>
    <definedName name="jfdsir" hidden="1">{"YTD",#N/A,FALSE,"SUM"}</definedName>
    <definedName name="jffhd" hidden="1">{#N/A,#N/A,TRUE,"Staffnos &amp; cost"}</definedName>
    <definedName name="jfhk" hidden="1">{#N/A,#N/A,TRUE,"Historicals";#N/A,#N/A,TRUE,"Charts";#N/A,#N/A,TRUE,"Forecasts"}</definedName>
    <definedName name="JFMEWOP" hidden="1">{"'Demand Units'!$X$11:$AD$45"}</definedName>
    <definedName name="jg" hidden="1">{#N/A,#N/A,TRUE,"RIDE";#N/A,#N/A,TRUE,"STEERING";#N/A,#N/A,TRUE,"HANDLING";#N/A,#N/A,TRUE,"BRAKING"}</definedName>
    <definedName name="JGFKJG" hidden="1">{"'Demand Units'!$X$11:$AD$45"}</definedName>
    <definedName name="JGHJ" hidden="1">{#N/A,#N/A,FALSE,"단축1";#N/A,#N/A,FALSE,"단축2";#N/A,#N/A,FALSE,"단축3";#N/A,#N/A,FALSE,"장축";#N/A,#N/A,FALSE,"4WD"}</definedName>
    <definedName name="jghjg" hidden="1">{#N/A,#N/A,FALSE,"Produkte Erw.";#N/A,#N/A,FALSE,"Produkte Plan";#N/A,#N/A,FALSE,"Leistungen Erw.";#N/A,#N/A,FALSE,"Leistungen Plan";#N/A,#N/A,FALSE,"KA Allg.Kosten (2)";#N/A,#N/A,FALSE,"KA All.Kosten"}</definedName>
    <definedName name="jghjghjg" hidden="1">{#N/A,#N/A,FALSE,"Layout Aktiva";#N/A,#N/A,FALSE,"Layout Passiva";#N/A,#N/A,FALSE,"Layout GuV";#N/A,#N/A,FALSE,"Layout Cash Flow";#N/A,#N/A,FALSE,"Mittelherkunft";#N/A,#N/A,FALSE,"Mittelverwendung";#N/A,#N/A,FALSE,"Finanzbedarfsrechnung"}</definedName>
    <definedName name="jghjhlldc" hidden="1">{#N/A,#N/A,FALSE,"Umsatz CH";#N/A,#N/A,FALSE,"ER CH";#N/A,#N/A,FALSE,"EA CH (2) ";#N/A,#N/A,FALSE,"EA CH";#N/A,#N/A,FALSE,"EA CH (3) ";#N/A,#N/A,FALSE,"EA CH (4)";#N/A,#N/A,FALSE,"KA CH";#N/A,#N/A,FALSE,"KA CH  (2)";#N/A,#N/A,FALSE,"KA CH  (3)";#N/A,#N/A,FALSE,"KA CH (4)"}</definedName>
    <definedName name="jgji"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jhgf" hidden="1">{"Commentary",#N/A,FALSE,"May"}</definedName>
    <definedName name="jhgjhgjghj" hidden="1">{"mgmt forecast",#N/A,FALSE,"Mgmt Forecast";"dcf table",#N/A,FALSE,"Mgmt Forecast";"sensitivity",#N/A,FALSE,"Mgmt Forecast";"table inputs",#N/A,FALSE,"Mgmt Forecast";"calculations",#N/A,FALSE,"Mgmt Forecast"}</definedName>
    <definedName name="jhh" hidden="1">{"EVA",#N/A,FALSE,"EVA";"WACC",#N/A,FALSE,"WACC"}</definedName>
    <definedName name="jhhgjh" hidden="1">{#N/A,#N/A,FALSE,"KA CH  (2)"}</definedName>
    <definedName name="jhhjgj" hidden="1">{#N/A,#N/A,TRUE,"Historicals";#N/A,#N/A,TRUE,"Charts";#N/A,#N/A,TRUE,"Forecasts"}</definedName>
    <definedName name="jhj" hidden="1">#REF!</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k" hidden="1">{"print 1",#N/A,FALSE,"PrimeCo PCS";"print 2",#N/A,FALSE,"PrimeCo PCS";"valuation",#N/A,FALSE,"PrimeCo PCS"}</definedName>
    <definedName name="jhkgh" hidden="1">{#N/A,#N/A,TRUE,"Historicals";#N/A,#N/A,TRUE,"Charts";#N/A,#N/A,TRUE,"Forecasts"}</definedName>
    <definedName name="jhkjliij" hidden="1">{"res_travail",#N/A,FALSE,"Résultats"}</definedName>
    <definedName name="jhkkjk" hidden="1">{"mgmt forecast",#N/A,FALSE,"Mgmt Forecast";"dcf table",#N/A,FALSE,"Mgmt Forecast";"sensitivity",#N/A,FALSE,"Mgmt Forecast";"table inputs",#N/A,FALSE,"Mgmt Forecast";"calculations",#N/A,FALSE,"Mgmt Forecast"}</definedName>
    <definedName name="jhll" hidden="1">{#N/A,#N/A,FALSE,"PMW Gruppe 99_98";#N/A,#N/A,FALSE,"PMW KG 98_99";#N/A,#N/A,FALSE,"PMW Inc. 99_98";#N/A,#N/A,FALSE,"PMW VTECH 99_98";#N/A,#N/A,FALSE,"PMW Thail. 99_98";#N/A,#N/A,FALSE,"PMW Canada 99_98";#N/A,#N/A,FALSE,"Währungsabw. 99_98"}</definedName>
    <definedName name="jhmnfhgvnb" hidden="1">{#N/A,#N/A,TRUE,"Historicals";#N/A,#N/A,TRUE,"Charts";#N/A,#N/A,TRUE,"Forecasts"}</definedName>
    <definedName name="jhu" hidden="1">{#N/A,"PURADD",FALSE,"Business Analysis";#N/A,"PURSPP",FALSE,"Business Analysis";#N/A,"CTGIND",FALSE,"Business Analysis";#N/A,"PURCHM",FALSE,"Business Analysis";#N/A,"SPADD",FALSE,"Business Analysis";#N/A,"EPOXY",FALSE,"Business Analysis";#N/A,"PURPER",FALSE,"Business Analysis"}</definedName>
    <definedName name="ji" hidden="1">{"'Highlights'!$A$1:$M$123"}</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 hidden="1">{#N/A,#N/A,TRUE,"PSG Total Contacts";#N/A,#N/A,TRUE,"PSG Rep Total";#N/A,#N/A,TRUE,"Core Rep Detail";#N/A,#N/A,TRUE,"BC Rep Detail";#N/A,#N/A,TRUE,"Marlboro";#N/A,#N/A,TRUE,"Covington";#N/A,#N/A,TRUE,"Dallas";#N/A,#N/A,TRUE,"VRS Stats";#N/A,#N/A,TRUE,"Internet";#N/A,#N/A,TRUE,"NCO and Call Mix";#N/A,#N/A,TRUE,"VRS &amp; Rep Calls"}</definedName>
    <definedName name="jimm" hidden="1">{"'Directory'!$A$72:$E$91"}</definedName>
    <definedName name="jip" hidden="1">{"'Highlights'!$A$1:$M$123"}</definedName>
    <definedName name="jj" hidden="1">#REF!</definedName>
    <definedName name="jj.l" hidden="1">{#N/A,#N/A,FALSE,"Umsatz EO BP";#N/A,#N/A,FALSE,"Umsatz EO OP";#N/A,#N/A,FALSE,"ER EO BP";#N/A,#N/A,FALSE,"ER EO OP";#N/A,#N/A,FALSE,"EA EO (2)";#N/A,#N/A,FALSE,"EA EO";#N/A,#N/A,FALSE,"EA EO (3)";#N/A,#N/A,FALSE,"EA EO (4)";#N/A,#N/A,FALSE,"KA EO  (2)";#N/A,#N/A,FALSE,"KA EO";#N/A,#N/A,FALSE,"KA EO  (3)";#N/A,#N/A,FALSE,"KA EO (4)"}</definedName>
    <definedName name="jjhg.lllll" hidden="1">{#N/A,#N/A,FALSE,"Umsatz HM";#N/A,#N/A,FALSE,"ER HM";#N/A,#N/A,FALSE,"EA HM  (2)";#N/A,#N/A,FALSE,"EA HM ";#N/A,#N/A,FALSE,"EA HM  (4)";#N/A,#N/A,FALSE,"EA HM  (3)";#N/A,#N/A,FALSE,"KA HM  (2)";#N/A,#N/A,FALSE,"KA HM";#N/A,#N/A,FALSE,"KA HM  (3)";#N/A,#N/A,FALSE,"KA HM (4)"}</definedName>
    <definedName name="jjj" hidden="1">{#N/A,#N/A,FALSE,"REPORT"}</definedName>
    <definedName name="jjjj" hidden="1">{#N/A,#N/A,FALSE,"Staffnos &amp; cost"}</definedName>
    <definedName name="jjjjj" hidden="1">{"fleisch",#N/A,FALSE,"WG HK";"food",#N/A,FALSE,"WG HK";"hartwaren",#N/A,FALSE,"WG HK";"weichwaren",#N/A,FALSE,"WG HK"}</definedName>
    <definedName name="jjjklll" hidden="1">{"fleisch",#N/A,FALSE,"WG HK";"food",#N/A,FALSE,"WG HK";"hartwaren",#N/A,FALSE,"WG HK";"weichwaren",#N/A,FALSE,"WG HK"}</definedName>
    <definedName name="jk" hidden="1">{#N/A,#N/A,FALSE,"FY97";#N/A,#N/A,FALSE,"FY98";#N/A,#N/A,FALSE,"FY99";#N/A,#N/A,FALSE,"FY00";#N/A,#N/A,FALSE,"FY01"}</definedName>
    <definedName name="jkhklj" hidden="1">{#N/A,#N/A,FALSE,"Index";#N/A,#N/A,FALSE,"1.1";#N/A,#N/A,FALSE,"Scenario Summary"}</definedName>
    <definedName name="jkiu" hidden="1">{#N/A,"PURCHM",FALSE,"Business Analysis";#N/A,"SPADD",FALSE,"Business Analysis"}</definedName>
    <definedName name="jkj" hidden="1">{"rep1",#N/A,FALSE,"ריכוז";"REP7",#N/A,FALSE,"מפורט_אזורים_ער""ז";"REP2",#N/A,FALSE,"מפורט1";"REP3",#N/A,FALSE,"מפורט1";"REP4",#N/A,FALSE,"מפורט2";"REP5",#N/A,FALSE,"מפורט2";"REP6",#N/A,FALSE,"מפורט2"}</definedName>
    <definedName name="jkjhk" hidden="1">{#N/A,#N/A,FALSE,"Produkte Erw.";#N/A,#N/A,FALSE,"Produkte Plan";#N/A,#N/A,FALSE,"Leistungen Erw.";#N/A,#N/A,FALSE,"Leistungen Plan";#N/A,#N/A,FALSE,"KA Allg.Kosten (2)";#N/A,#N/A,FALSE,"KA All.Kosten"}</definedName>
    <definedName name="jkj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kjk" hidden="1">{"GuVGmbH",#N/A,FALSE,"ratios";"BilanzGmbH",#N/A,FALSE,"ratios";"BilanzKG",#N/A,FALSE,"ratios";"GuVKG",#N/A,FALSE,"ratios"}</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 hidden="1">{#N/A,#N/A,FALSE,"REPORT"}</definedName>
    <definedName name="jklk" hidden="1">{#N/A,#N/A,FALSE,"Umsatz OK";#N/A,#N/A,FALSE,"ER OK ";#N/A,#N/A,FALSE,"EA OK (2)";#N/A,#N/A,FALSE,"EA OK";#N/A,#N/A,FALSE,"EA OK (3)";#N/A,#N/A,FALSE,"EA OK (4)";#N/A,#N/A,FALSE,"KA OK  (2)";#N/A,#N/A,FALSE,"KA OK";#N/A,#N/A,FALSE,"KA OK  (3)";#N/A,#N/A,FALSE,"KA OK (4)"}</definedName>
    <definedName name="jklkj" hidden="1">{"Sum1",#N/A,FALSE,"Reserve Report";"Sum2",#N/A,FALSE,"Reserve Report";"Sum3",#N/A,FALSE,"Reserve Report";"Sum4",#N/A,FALSE,"Reserve Report"}</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ö" hidden="1">{#N/A,#N/A,FALSE,"Mittelherkunft";#N/A,#N/A,FALSE,"Mittelverwendung"}</definedName>
    <definedName name="jkwsd" hidden="1">{"detail",#N/A,FALSE,"mfg";"summary",#N/A,FALSE,"mfg"}</definedName>
    <definedName name="jl" hidden="1">{#N/A,#N/A,FALSE,"INPUTS";#N/A,#N/A,FALSE,"PROFORMA BSHEET";#N/A,#N/A,FALSE,"COMBINED";#N/A,#N/A,FALSE,"HIGH YIELD";#N/A,#N/A,FALSE,"COMB_GRAPHS"}</definedName>
    <definedName name="jn" hidden="1">{"'Demand Units'!$Z$2:$AF$53"}</definedName>
    <definedName name="jnbid" hidden="1">{"detail",#N/A,FALSE,"mfg";"summary",#N/A,FALSE,"mfg"}</definedName>
    <definedName name="jo" hidden="1">{"TAG1AGMS",#N/A,FALSE,"TAG 1A"}</definedName>
    <definedName name="joe" hidden="1">{"PrintView",#N/A,FALSE,"Cash &amp; Equiv";"PrintView",#N/A,FALSE,"Investments";"Other Assets Print View",#N/A,FALSE,"Other Assets"}</definedName>
    <definedName name="joj" hidden="1">{"fleisch",#N/A,FALSE,"WG HK";"food",#N/A,FALSE,"WG HK";"hartwaren",#N/A,FALSE,"WG HK";"weichwaren",#N/A,FALSE,"WG HK"}</definedName>
    <definedName name="jok" hidden="1">IF(COUNTA(#REF!)=0,0,INDEX(#REF!,MATCH(ROW(#REF!),#REF!,TRUE)))+1</definedName>
    <definedName name="jomn" hidden="1">{"pro_view",#N/A,FALSE,"EEFSNAP2";"rep_view",#N/A,FALSE,"EEFSNAP2"}</definedName>
    <definedName name="joo" hidden="1">{"fleisch",#N/A,FALSE,"WG HK";"food",#N/A,FALSE,"WG HK";"hartwaren",#N/A,FALSE,"WG HK";"weichwaren",#N/A,FALSE,"WG HK"}</definedName>
    <definedName name="Jose" hidden="1">{"vi1",#N/A,FALSE,"Financial Statements";"vi2",#N/A,FALSE,"Financial Statements";#N/A,#N/A,FALSE,"DCF"}</definedName>
    <definedName name="jöuiuiuzi" hidden="1">{#N/A,#N/A,FALSE,"Umsatz 99";#N/A,#N/A,FALSE,"ER 99 "}</definedName>
    <definedName name="JP" hidden="1">{"'SIVA Pricing Model'!$A$1:$F$39"}</definedName>
    <definedName name="jpb" hidden="1">{"fleisch",#N/A,FALSE,"WG HK";"food",#N/A,FALSE,"WG HK";"hartwaren",#N/A,FALSE,"WG HK";"weichwaren",#N/A,FALSE,"WG HK"}</definedName>
    <definedName name="jrfghfg" hidden="1">{#N/A,#N/A,TRUE,"Historicals";#N/A,#N/A,TRUE,"Charts";#N/A,#N/A,TRUE,"Forecasts"}</definedName>
    <definedName name="jrjhgjhjty" hidden="1">{#N/A,#N/A,TRUE,"Historicals";#N/A,#N/A,TRUE,"Charts";#N/A,#N/A,TRUE,"Forecasts"}</definedName>
    <definedName name="js" hidden="1">{"DCF1",#N/A,FALSE,"SIERRA DCF";"MATRIX1",#N/A,FALSE,"SIERRA DCF"}</definedName>
    <definedName name="jsgjghk" hidden="1">{"qchm_dcf",#N/A,FALSE,"QCHMDCF2";"qchm_terminal",#N/A,FALSE,"QCHMDCF2"}</definedName>
    <definedName name="jsx" hidden="1">{"DCF","UPSIDE CASE",FALSE,"Sheet1";"DCF","BASE CASE",FALSE,"Sheet1";"DCF","DOWNSIDE CASE",FALSE,"Sheet1"}</definedName>
    <definedName name="jtygh" hidden="1">{#N/A,#N/A,TRUE,"Historicals";#N/A,#N/A,TRUE,"Charts";#N/A,#N/A,TRUE,"Forecasts"}</definedName>
    <definedName name="ju" hidden="1">{"detail",#N/A,FALSE,"mfg";"summary",#N/A,FALSE,"mfg"}</definedName>
    <definedName name="judy" hidden="1">{#N/A,#N/A,FALSE,"Pharm";#N/A,#N/A,FALSE,"WWCM"}</definedName>
    <definedName name="judy1" hidden="1">{#N/A,#N/A,FALSE,"Pharm";#N/A,#N/A,FALSE,"WWCM"}</definedName>
    <definedName name="jughngh" hidden="1">{#N/A,#N/A,TRUE,"Historicals";#N/A,#N/A,TRUE,"Charts";#N/A,#N/A,TRUE,"Forecasts"}</definedName>
    <definedName name="jui" hidden="1">{"YD OTHER",#N/A,FALSE,"YTD"}</definedName>
    <definedName name="juio" hidden="1">{"Page 1",#N/A,FALSE,"OpExJanVsPY";"Page 2",#N/A,FALSE,"OpExJanVsPY"}</definedName>
    <definedName name="July2014">#REF!</definedName>
    <definedName name="July2014_1">#REF!</definedName>
    <definedName name="jun"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junk2" hidden="1">{"BS",#N/A,FALSE,"USA"}</definedName>
    <definedName name="junk3" hidden="1">{"BS",#N/A,FALSE,"USA"}</definedName>
    <definedName name="junkme" hidden="1">{#N/A,#N/A,TRUE,"Status Report";#N/A,#N/A,TRUE,"Current Forecast";#N/A,#N/A,TRUE,"Last Forecast";#N/A,#N/A,TRUE,"BP";#N/A,#N/A,TRUE,"LY"}</definedName>
    <definedName name="juoü" hidden="1">{"Tages_D",#N/A,FALSE,"Tagesbericht";"Tages_PL",#N/A,FALSE,"Tagesbericht"}</definedName>
    <definedName name="jurhfds" hidden="1">{#N/A,#N/A,TRUE,"Historicals";#N/A,#N/A,TRUE,"Charts";#N/A,#N/A,TRUE,"Forecasts"}</definedName>
    <definedName name="juyjrtds" hidden="1">{#N/A,#N/A,TRUE,"Historicals";#N/A,#N/A,TRUE,"Charts";#N/A,#N/A,TRUE,"Forecasts"}</definedName>
    <definedName name="juyjtg" hidden="1">{#N/A,#N/A,TRUE,"Historicals";#N/A,#N/A,TRUE,"Charts";#N/A,#N/A,TRUE,"Forecasts"}</definedName>
    <definedName name="JWG" hidden="1">{#N/A,#N/A,FALSE,"단축1";#N/A,#N/A,FALSE,"단축2";#N/A,#N/A,FALSE,"단축3";#N/A,#N/A,FALSE,"장축";#N/A,#N/A,FALSE,"4WD"}</definedName>
    <definedName name="jyrjfgh" hidden="1">{#N/A,#N/A,TRUE,"Historicals";#N/A,#N/A,TRUE,"Charts";#N/A,#N/A,TRUE,"Forecasts"}</definedName>
    <definedName name="jytjkjuyk" hidden="1">{#N/A,#N/A,TRUE,"Historicals";#N/A,#N/A,TRUE,"Charts";#N/A,#N/A,TRUE,"Forecasts"}</definedName>
    <definedName name="k" hidden="1">{"budget95",#N/A,TRUE,"Tabelle1";"Tab1",#N/A,TRUE,"Tabelle2"}</definedName>
    <definedName name="K2__EVCOMOPTS__" hidden="1">14</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0</definedName>
    <definedName name="Kalle" hidden="1">{#N/A,#N/A,FALSE,"PrintS"}</definedName>
    <definedName name="kalle01" hidden="1">{#N/A,#N/A,FALSE,"PrintS"}</definedName>
    <definedName name="Kalle1" hidden="1">{#N/A,#N/A,FALSE,"PrintS"}</definedName>
    <definedName name="Kalle2" hidden="1">{#N/A,#N/A,FALSE,"PrintS"}</definedName>
    <definedName name="Kamimura" hidden="1">{#VALUE!,#N/A,FALSE,0;#N/A,#N/A,FALSE,0;#N/A,#N/A,FALSE,0;#N/A,#N/A,FALSE,0}</definedName>
    <definedName name="kapex" hidden="1">{"'Process Flow'!$A$1:$F$1","'Process Flow'!$A$2:$F$2"}</definedName>
    <definedName name="Kappahl" hidden="1">#REF!</definedName>
    <definedName name="kararaer" hidden="1">{#VALUE!,#N/A,FALSE,0;#N/A,#N/A,FALSE,0;#N/A,#N/A,FALSE,0;#N/A,#N/A,FALSE,0}</definedName>
    <definedName name="kas" hidden="1">{"TOTAL",#N/A,FALSE,"A";"FISCAL94",#N/A,FALSE,"A";"FISCAL95",#N/A,FALSE,"A";"FISCAL96",#N/A,FALSE,"A";"misc page",#N/A,FALSE,"A"}</definedName>
    <definedName name="katkg" hidden="1">{#N/A,#N/A,FALSE,"ACQ_GRAPHS";#N/A,#N/A,FALSE,"T_1 GRAPHS";#N/A,#N/A,FALSE,"T_2 GRAPHS";#N/A,#N/A,FALSE,"COMB_GRAPHS"}</definedName>
    <definedName name="Kaufleasing" hidden="1">#REF!</definedName>
    <definedName name="Kaufleasing_" hidden="1">#REF!</definedName>
    <definedName name="KaufleasingK" hidden="1">#REF!</definedName>
    <definedName name="KaufleasingM" hidden="1">#REF!</definedName>
    <definedName name="KaufleasingZ" hidden="1">#REF!</definedName>
    <definedName name="KC" hidden="1">{#N/A,#N/A,FALSE,"을지 (4)";#N/A,#N/A,FALSE,"을지 (5)";#N/A,#N/A,FALSE,"을지 (6)"}</definedName>
    <definedName name="kcuf" hidden="1">{"SUMMARY",#N/A,TRUE,"SUMMARY";"compare",#N/A,TRUE,"Vs. Bus Plan";"ratios",#N/A,TRUE,"Ratios";"REVENUE",#N/A,TRUE,"Revenue";"expenses",#N/A,TRUE,"1996 budget";"payroll",#N/A,TRUE,"Payroll"}</definedName>
    <definedName name="keine" hidden="1">{"Tages_D",#N/A,FALSE,"Tagesbericht";"Tages_PL",#N/A,FALSE,"Tagesbericht"}</definedName>
    <definedName name="Kele" hidden="1">"c1359"</definedName>
    <definedName name="kenn" hidden="1">{"sbhko",#N/A,FALSE,"A";"sbhko2",#N/A,FALSE,"A";"sbhko3",#N/A,FALSE,"A"}</definedName>
    <definedName name="kennz" hidden="1">#N/A</definedName>
    <definedName name="Kennzahl" hidden="1">{#N/A,#N/A,FALSE,"WOB_1.XLS";#N/A,#N/A,FALSE,"WOB_2.XLS";#N/A,#N/A,FALSE,"WOB_3.XLS";#N/A,#N/A,FALSE,"WOB_4.XLS";#N/A,#N/A,FALSE,"WOB_5.XLS"}</definedName>
    <definedName name="keren" hidden="1">{"REP1",#N/A,FALSE,"ריכוז";"REP2",#N/A,FALSE,"מפורט1";"REP3",#N/A,FALSE,"מפורט1";"REP4",#N/A,FALSE,"מפורט2";"REP5",#N/A,FALSE,"מפורט2";"REP6",#N/A,FALSE,"מפורט2"}</definedName>
    <definedName name="key" hidden="1">#N/A</definedName>
    <definedName name="Key1V2" hidden="1">#REF!</definedName>
    <definedName name="KeyAnaly_Header" hidden="1">#REF!</definedName>
    <definedName name="keybookltm" hidden="1">#REF!</definedName>
    <definedName name="keybookty" hidden="1">#REF!</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earnltm" hidden="1">#REF!</definedName>
    <definedName name="keyearnty" hidden="1">#REF!</definedName>
    <definedName name="keyebitdaty" hidden="1">#REF!</definedName>
    <definedName name="keyebitltm" hidden="1">#REF!</definedName>
    <definedName name="keyebitty" hidden="1">#REF!</definedName>
    <definedName name="keyfin2" hidden="1">{#N/A,#N/A,TRUE,"Cover sheet";#N/A,#N/A,TRUE,"DCF analysis";#N/A,#N/A,TRUE,"WACC calculation"}</definedName>
    <definedName name="keyformrow" hidden="1">#REF!</definedName>
    <definedName name="keyformrow2" hidden="1">#REF!</definedName>
    <definedName name="keypebitdaltm" hidden="1">#REF!</definedName>
    <definedName name="keypebitdaty" hidden="1">#REF!</definedName>
    <definedName name="keyprefeqtyty" hidden="1">#REF!</definedName>
    <definedName name="keyrevty" hidden="1">#REF!</definedName>
    <definedName name="keyshareoutty" hidden="1">#REF!</definedName>
    <definedName name="keysharepricety" hidden="1">#REF!</definedName>
    <definedName name="keytotdebtty" hidden="1">#REF!</definedName>
    <definedName name="keytyrange" hidden="1">#REF!</definedName>
    <definedName name="keytyrangeone" hidden="1">#REF!</definedName>
    <definedName name="KFR" hidden="1">{#N/A,#N/A,FALSE,"Aktiva";#N/A,#N/A,FALSE,"Passiva";#N/A,#N/A,FALSE,"guv";#N/A,#N/A,FALSE,"Anl-1";#N/A,#N/A,FALSE,"Anl-2";#N/A,#N/A,FALSE,"Anl-III";#N/A,#N/A,FALSE,"Ta-1-Anh";#N/A,#N/A,FALSE,"Ta-2-Anh";#N/A,#N/A,FALSE,"Ta-3-Anh";#N/A,#N/A,FALSE,"Kontroll-Blatt"}</definedName>
    <definedName name="kh" hidden="1">{"fleisch",#N/A,FALSE,"WG HK";"food",#N/A,FALSE,"WG HK";"hartwaren",#N/A,FALSE,"WG HK";"weichwaren",#N/A,FALSE,"WG HK"}</definedName>
    <definedName name="khjk" hidden="1">{#N/A,#N/A,FALSE,"Layout Aktiva";#N/A,#N/A,FALSE,"Layout Passiva";#N/A,#N/A,FALSE,"Layout GuV";#N/A,#N/A,FALSE,"Layout Cash Flow";#N/A,#N/A,FALSE,"Mittelherkunft";#N/A,#N/A,FALSE,"Mittelverwendung";#N/A,#N/A,FALSE,"Finanzbedarfsrechnung"}</definedName>
    <definedName name="ki" hidden="1">{#N/A,#N/A,TRUE,"Cover sheet";#N/A,#N/A,TRUE,"Summary";#N/A,#N/A,TRUE,"Key Assumptions";#N/A,#N/A,TRUE,"Profit &amp; Loss";#N/A,#N/A,TRUE,"Balance Sheet";#N/A,#N/A,TRUE,"Cashflow";#N/A,#N/A,TRUE,"IRR";#N/A,#N/A,TRUE,"Ratios";#N/A,#N/A,TRUE,"Debt analysis"}</definedName>
    <definedName name="KIA" hidden="1">{#N/A,#N/A,FALSE,"단축1";#N/A,#N/A,FALSE,"단축2";#N/A,#N/A,FALSE,"단축3";#N/A,#N/A,FALSE,"장축";#N/A,#N/A,FALSE,"4WD"}</definedName>
    <definedName name="kid" hidden="1">{#N/A,#N/A,FALSE,"Title Page";#N/A,#N/A,FALSE,"Summary Sheet"}</definedName>
    <definedName name="kinji" hidden="1">#N/A</definedName>
    <definedName name="kinjs" hidden="1">{"detail",#N/A,FALSE,"mfg";"summary",#N/A,FALSE,"mfg"}</definedName>
    <definedName name="kip" hidden="1">{"detail",#N/A,FALSE,"mfg";"summary",#N/A,FALSE,"mfg"}</definedName>
    <definedName name="KIT" hidden="1">{"equity comps",#N/A,FALSE,"CS Comps";"equity comps",#N/A,FALSE,"PS Comps";"equity comps",#N/A,FALSE,"GIC_Comps";"equity comps",#N/A,FALSE,"GIC2_Comps"}</definedName>
    <definedName name="kj"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kjas" hidden="1">{#N/A,#N/A,FALSE,"Cover Page";#N/A,#N/A,FALSE,"Facing Page";#N/A,#N/A,FALSE,"Main Page";#N/A,#N/A,FALSE,"Risk-Adjusted";#N/A,#N/A,FALSE,"Profit Improvement"}</definedName>
    <definedName name="kjbkj" hidden="1">{"LEVEL1","UKCONSGAAP",TRUE,"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name="KJDHLJKGSF" hidden="1">{"'Title Transfer Units6,7,&amp;8'!$A$1:$B$4","'Title Transfer Units6,7,&amp;8'!$C$6"}</definedName>
    <definedName name="kjdslf" hidden="1">{#N/A,#N/A,FALSE,"Sheet1"}</definedName>
    <definedName name="kjfukf" hidden="1">{#N/A,#N/A,TRUE,"Historicals";#N/A,#N/A,TRUE,"Charts";#N/A,#N/A,TRUE,"Forecasts"}</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kjgk" hidden="1">{#N/A,#N/A,TRUE,"Historicals";#N/A,#N/A,TRUE,"Charts";#N/A,#N/A,TRUE,"Forecasts"}</definedName>
    <definedName name="kjhg" hidden="1">{"ICD Details",#N/A,FALSE,"Current Yr";"ICD Details",#N/A,FALSE,"Budget";"ICD Details",#N/A,FALSE,"Prior Year"}</definedName>
    <definedName name="kjhkhkmnb" hidden="1">{#N/A,#N/A,TRUE,"Historicals";#N/A,#N/A,TRUE,"Charts";#N/A,#N/A,TRUE,"Forecasts"}</definedName>
    <definedName name="kjhkj" hidden="1">{#N/A,#N/A,FALSE,"Z3 1,8i";#N/A,#N/A,FALSE,"Z3 1,9iS";#N/A,#N/A,FALSE,"Z3 2,8i";#N/A,#N/A,FALSE,"Z3 2,8i Coupé"}</definedName>
    <definedName name="kjhl" hidden="1">{"'Analysis'!$A$1:$B$4,$A$6:$N$129"}</definedName>
    <definedName name="kjip" hidden="1">{"detail",#N/A,FALSE,"mfg";"summary",#N/A,FALSE,"mfg"}</definedName>
    <definedName name="kjk.l" hidden="1">{#N/A,#N/A,FALSE,"Produkte Erw.";#N/A,#N/A,FALSE,"Produkte Plan";#N/A,#N/A,FALSE,"Leistungen Erw.";#N/A,#N/A,FALSE,"Leistungen Plan";#N/A,#N/A,FALSE,"KA Allg.Kosten (2)";#N/A,#N/A,FALSE,"KA All.Kosten"}</definedName>
    <definedName name="kjkj" hidden="1">{#N/A,#N/A,FALSE,"Cover";#N/A,#N/A,FALSE,"Contents-Pg1";#N/A,#N/A,FALSE,"High-Com-pg2";#N/A,#N/A,FALSE,"1 Full";#N/A,#N/A,FALSE,"1chts";#N/A,#N/A,FALSE,"Table 2";#N/A,#N/A,FALSE,"3New Iss";#N/A,#N/A,FALSE,"4Money raised";#N/A,#N/A,FALSE,"5Aim";#N/A,#N/A,FALSE,"AiM charts";#N/A,#N/A,FALSE,"6FT Smll";#N/A,#N/A,FALSE,"11SEATS";#N/A,#N/A,FALSE,"12Notes"}</definedName>
    <definedName name="KJKJKJ" hidden="1">{"'Demand Units'!$X$11:$AD$45"}</definedName>
    <definedName name="kjkk" hidden="1">{"Sum1",#N/A,FALSE,"Reserve Report";"Sum2",#N/A,FALSE,"Reserve Report";"Sum3",#N/A,FALSE,"Reserve Report";"Sum4",#N/A,FALSE,"Reserve Report"}</definedName>
    <definedName name="kjlj" hidden="1">{"EVA",#N/A,FALSE,"EVA";"WACC",#N/A,FALSE,"WACC"}</definedName>
    <definedName name="kjljkölhklh" hidden="1">{#N/A,#N/A,FALSE,"Produkte Erw.";#N/A,#N/A,FALSE,"Produkte Plan";#N/A,#N/A,FALSE,"Leistungen Erw.";#N/A,#N/A,FALSE,"Leistungen Plan";#N/A,#N/A,FALSE,"KA Allg.Kosten (2)";#N/A,#N/A,FALSE,"KA All.Kosten"}</definedName>
    <definedName name="kjlö" hidden="1">{#N/A,#N/A,FALSE,"Mittelherkunft";#N/A,#N/A,FALSE,"Mittelverwendung"}</definedName>
    <definedName name="kjlui" hidden="1">{#N/A,#N/A,FALSE,"Layout Aktiva";#N/A,#N/A,FALSE,"Layout Passiva"}</definedName>
    <definedName name="kjo" hidden="1">{#N/A,#N/A,FALSE,"SUMMARY";#N/A,#N/A,FALSE,"mcsh";#N/A,#N/A,FALSE,"vol&amp;rev";#N/A,#N/A,FALSE,"wkgcap";#N/A,#N/A,FALSE,"DEPR&amp;DT";#N/A,#N/A,FALSE,"ASSETS";#N/A,#N/A,FALSE,"NI&amp;OTH&amp;DIV";#N/A,#N/A,FALSE,"CASHFLOW";#N/A,#N/A,FALSE,"CAPEMPL";#N/A,#N/A,FALSE,"ROCE"}</definedName>
    <definedName name="kk" hidden="1">{#N/A,#N/A,TRUE,"Inc. St.";#N/A,#N/A,TRUE,"SalesLabor";#N/A,#N/A,TRUE,"Labor";#N/A,#N/A,TRUE,"TEMP.";#N/A,#N/A,TRUE,"Manuf.";#N/A,#N/A,TRUE,"Repairs";#N/A,#N/A,TRUE,"G&amp;A";#N/A,#N/A,TRUE,"Inv.";#N/A,#N/A,TRUE,"Cap.X";#N/A,#N/A,TRUE,"Leases"}</definedName>
    <definedName name="kk.l" hidden="1">{#N/A,#N/A,FALSE,"Produkte Erw.";#N/A,#N/A,FALSE,"Produkte Plan";#N/A,#N/A,FALSE,"Leistungen Erw.";#N/A,#N/A,FALSE,"Leistungen Plan";#N/A,#N/A,FALSE,"KA Allg.Kosten (2)";#N/A,#N/A,FALSE,"KA All.Kosten"}</definedName>
    <definedName name="kkj"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k" hidden="1">{#N/A,#N/A,FALSE,"Pharm";#N/A,#N/A,FALSE,"WWCM"}</definedName>
    <definedName name="kkk.llll" hidden="1">{#N/A,#N/A,FALSE,"Umsatz CH";#N/A,#N/A,FALSE,"ER CH";#N/A,#N/A,FALSE,"EA CH (2) ";#N/A,#N/A,FALSE,"EA CH";#N/A,#N/A,FALSE,"EA CH (3) ";#N/A,#N/A,FALSE,"EA CH (4)";#N/A,#N/A,FALSE,"KA CH";#N/A,#N/A,FALSE,"KA CH  (2)";#N/A,#N/A,FALSE,"KA CH  (3)";#N/A,#N/A,FALSE,"KA CH (4)"}</definedName>
    <definedName name="kkkk" hidden="1">#N/A</definedName>
    <definedName name="kkkk.llll" hidden="1">{#N/A,#N/A,FALSE,"Umsatz 99";#N/A,#N/A,FALSE,"ER 99 "}</definedName>
    <definedName name="kkkkk" hidden="1">{#VALUE!,#N/A,FALSE,0;#N/A,#N/A,FALSE,0;#N/A,#N/A,FALSE,0;#N/A,#N/A,FALSE,0}</definedName>
    <definedName name="kkkkkkkkkkk" hidden="1">#REF!</definedName>
    <definedName name="kkkkkkkkkkkkk" hidden="1">{"London cttee condensed",#N/A,FALSE,"Dev Panel Cut Report";"South East cttee condensed",#N/A,FALSE,"Dev Panel Cut Report"}</definedName>
    <definedName name="KKKKKKKKKKKKKKK" hidden="1">{#N/A,#N/A,FALSE,"Cover";#N/A,#N/A,FALSE,"Profits";#N/A,#N/A,FALSE,"ABS";#N/A,#N/A,FALSE,"TFLE Detail";#N/A,#N/A,FALSE,"TFLE Walk";#N/A,#N/A,FALSE,"Variable Cost";#N/A,#N/A,FALSE,"V.C. Walk"}</definedName>
    <definedName name="KKKKKKKKKKKKKKKKK" hidden="1">{"London cttee condensed",#N/A,FALSE,"Dev Panel Cut Report";"South East cttee condensed",#N/A,FALSE,"Dev Panel Cut Report"}</definedName>
    <definedName name="kklleinene" hidden="1">{"Tages_D",#N/A,FALSE,"Tagesbericht";"Tages_PL",#N/A,FALSE,"Tagesbericht"}</definedName>
    <definedName name="kkuykt" hidden="1">{#N/A,#N/A,TRUE,"Historicals";#N/A,#N/A,TRUE,"Charts";#N/A,#N/A,TRUE,"Forecasts"}</definedName>
    <definedName name="kl" hidden="1">{#N/A,#N/A,FALSE,"FY97";#N/A,#N/A,FALSE,"FY98";#N/A,#N/A,FALSE,"FY99";#N/A,#N/A,FALSE,"FY00";#N/A,#N/A,FALSE,"FY01"}</definedName>
    <definedName name="kläop"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Klaus" hidden="1">#N/A</definedName>
    <definedName name="klei2" hidden="1">{"weichwaren",#N/A,FALSE,"Liste 1";"hartwaren",#N/A,FALSE,"Liste 1";"food",#N/A,FALSE,"Liste 1";"fleisch",#N/A,FALSE,"Liste 1"}</definedName>
    <definedName name="klein1" hidden="1">{"weichwaren",#N/A,FALSE,"Liste 1";"hartwaren",#N/A,FALSE,"Liste 1";"food",#N/A,FALSE,"Liste 1";"fleisch",#N/A,FALSE,"Liste 1"}</definedName>
    <definedName name="kleine" hidden="1">{"TAG1AGMS",#N/A,FALSE,"TAG 1A"}</definedName>
    <definedName name="klene" hidden="1">{"TAG1AGMS",#N/A,FALSE,"TAG 1A"}</definedName>
    <definedName name="kli" hidden="1">{"Total",#N/A,FALSE,"Total Proved";"PDP",#N/A,FALSE,"Total Proved";"PNP",#N/A,FALSE,"Total Proved";"PUD",#N/A,FALSE,"Total Proved"}</definedName>
    <definedName name="klinsi" hidden="1">{#N/A,#N/A,FALSE,"Mittelherkunft";#N/A,#N/A,FALSE,"Mittelverwendung"}</definedName>
    <definedName name="klj" hidden="1">{#N/A,#N/A,TRUE,"Cover sheet";#N/A,#N/A,TRUE,"DCF analysis";#N/A,#N/A,TRUE,"WACC calculation"}</definedName>
    <definedName name="KLJDHSFLKH" hidden="1">{"'Title Transfer Units6,7,&amp;8'!$A$1:$B$4","'Title Transfer Units6,7,&amp;8'!$C$6"}</definedName>
    <definedName name="kljk" hidden="1">{#N/A,#N/A,FALSE,"Umsatz CH";#N/A,#N/A,FALSE,"ER CH";#N/A,#N/A,FALSE,"EA CH (2) ";#N/A,#N/A,FALSE,"EA CH";#N/A,#N/A,FALSE,"EA CH (3) ";#N/A,#N/A,FALSE,"EA CH (4)";#N/A,#N/A,FALSE,"KA CH";#N/A,#N/A,FALSE,"KA CH  (2)";#N/A,#N/A,FALSE,"KA CH  (3)";#N/A,#N/A,FALSE,"KA CH (4)"}</definedName>
    <definedName name="kljkjkjljjjjökl" hidden="1">1/EUReXToDEM</definedName>
    <definedName name="kljklkj" hidden="1">{#N/A,#N/A,FALSE,"KA CH  (2)"}</definedName>
    <definedName name="klk" hidden="1">{#N/A,#N/A,FALSE,"Umsatz CH";#N/A,#N/A,FALSE,"ER CH";#N/A,#N/A,FALSE,"EA CH (2) ";#N/A,#N/A,FALSE,"EA CH";#N/A,#N/A,FALSE,"EA CH (3) ";#N/A,#N/A,FALSE,"EA CH (4)";#N/A,#N/A,FALSE,"KA CH";#N/A,#N/A,FALSE,"KA CH  (2)";#N/A,#N/A,FALSE,"KA CH  (3)";#N/A,#N/A,FALSE,"KA CH (4)"}</definedName>
    <definedName name="klki" hidden="1">{#N/A,#N/A,FALSE,"Layout Cash Flow"}</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hidden="1">{"fleisch",#N/A,FALSE,"WG HK";"food",#N/A,FALSE,"WG HK";"hartwaren",#N/A,FALSE,"WG HK";"weichwaren",#N/A,FALSE,"WG HK"}</definedName>
    <definedName name="klklkl" hidden="1">{#N/A,#N/A,FALSE,"Umsatz 99";#N/A,#N/A,FALSE,"ER 99 "}</definedName>
    <definedName name="klko"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klñ" hidden="1">{"AS REP",#N/A,FALSE,"EEFSNAP2";"PROP",#N/A,FALSE,"EEFSNAP2";"RISKS",#N/A,FALSE,"EEFSNAP2";"VIEW ALL",#N/A,FALSE,"EEFSNAP2"}</definedName>
    <definedName name="klöiioui" hidden="1">{#N/A,#N/A,FALSE,"Mittelherkunft";#N/A,#N/A,FALSE,"Mittelverwendung"}</definedName>
    <definedName name="klöö" hidden="1">{#N/A,#N/A,FALSE,"Mittelherkunft";#N/A,#N/A,FALSE,"Mittelverwendung"}</definedName>
    <definedName name="klu" hidden="1">{#N/A,#N/A,FALSE,"WOB_1.XLS";#N/A,#N/A,FALSE,"WOB_2.XLS";#N/A,#N/A,FALSE,"WOB_3.XLS";#N/A,#N/A,FALSE,"WOB_4.XLS";#N/A,#N/A,FALSE,"WOB_5.XLS"}</definedName>
    <definedName name="km" hidden="1">{"fleisch",#N/A,FALSE,"WG HK";"food",#N/A,FALSE,"WG HK";"hartwaren",#N/A,FALSE,"WG HK";"weichwaren",#N/A,FALSE,"WG HK"}</definedName>
    <definedName name="kmh" hidden="1">{#N/A,#N/A,TRUE,"Cover sheet";#N/A,#N/A,TRUE,"DCF analysis";#N/A,#N/A,TRUE,"WACC calculation"}</definedName>
    <definedName name="KN" hidden="1">{#N/A,#N/A,FALSE,"Valuation Assumptions";#N/A,#N/A,FALSE,"Summary";#N/A,#N/A,FALSE,"DCF";#N/A,#N/A,FALSE,"Valuation";#N/A,#N/A,FALSE,"WACC";#N/A,#N/A,FALSE,"UBVH";#N/A,#N/A,FALSE,"Free Cash Flow"}</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belt" hidden="1">{#N/A,#N/A,TRUE,"Deckblatt PMS";#N/A,#N/A,TRUE,"Ergebnis und Cash-flow PMS";#N/A,#N/A,TRUE,"Kennzahlen PMS"}</definedName>
    <definedName name="Kol" hidden="1">{#N/A,#N/A,FALSE,"Staffnos &amp; cost"}</definedName>
    <definedName name="Kontrolle" hidden="1">{#N/A,#N/A,FALSE,"Mittelherkunft";#N/A,#N/A,FALSE,"Mittelverwendung"}</definedName>
    <definedName name="Konzern" hidden="1">{#N/A,#N/A,FALSE,"Aktiva";#N/A,#N/A,FALSE,"Passiva";#N/A,#N/A,FALSE,"guv";#N/A,#N/A,FALSE,"Anl-1";#N/A,#N/A,FALSE,"Anl-2";#N/A,#N/A,FALSE,"Anl-III";#N/A,#N/A,FALSE,"Ta-1-Anh";#N/A,#N/A,FALSE,"Ta-2-Anh";#N/A,#N/A,FALSE,"Ta-3-Anh";#N/A,#N/A,FALSE,"Kontroll-Blatt"}</definedName>
    <definedName name="kostas" hidden="1">{#N/A,#N/A,FALSE,"Summary";#N/A,#N/A,FALSE,"CF";#N/A,#N/A,FALSE,"P&amp;L";#N/A,#N/A,FALSE,"BS";#N/A,#N/A,FALSE,"Returns";#N/A,#N/A,FALSE,"Assumptions";#N/A,#N/A,FALSE,"Analysis"}</definedName>
    <definedName name="kou" hidden="1">{"detail",#N/A,FALSE,"mfg";"summary",#N/A,FALSE,"mfg"}</definedName>
    <definedName name="KP" hidden="1">{"pep204a",#N/A,FALSE,"tpepsum4a";"pep205a",#N/A,FALSE,"tpepsum4a";"wpep204a",#N/A,FALSE,"tpepsum4a";"wpep205a",#N/A,FALSE,"tpepsum4a"}</definedName>
    <definedName name="kpmg12" hidden="1">#REF!</definedName>
    <definedName name="kpmg7" hidden="1">#REF!</definedName>
    <definedName name="kpmg9" hidden="1">#REF!</definedName>
    <definedName name="KPOWFPKFPW" hidden="1">{"'Demand Units'!$X$11:$AD$45"}</definedName>
    <definedName name="kris" hidden="1">{"budget95",#N/A,TRUE,"Tabelle1";"Tab1",#N/A,TRUE,"Tabelle2"}</definedName>
    <definedName name="Kronach_eng" hidden="1">#REF!</definedName>
    <definedName name="KRPROZ80K" hidden="1">#REF!</definedName>
    <definedName name="KRPROZ80K_" hidden="1">#REF!</definedName>
    <definedName name="KRPROZ80L" hidden="1">#REF!</definedName>
    <definedName name="KRPROZ80L_" hidden="1">#REF!</definedName>
    <definedName name="KRTAGE" hidden="1">#REF!</definedName>
    <definedName name="KRTAGE_" hidden="1">#REF!</definedName>
    <definedName name="KRTIMEAK" hidden="1">#REF!</definedName>
    <definedName name="KRTIMEAPK" hidden="1">#REF!</definedName>
    <definedName name="KRTIMEPK" hidden="1">#REF!</definedName>
    <definedName name="KRTIMEPKJ" hidden="1">#REF!</definedName>
    <definedName name="KRTIMEVK" hidden="1">#REF!</definedName>
    <definedName name="KRTIMEVKJ" hidden="1">#REF!</definedName>
    <definedName name="KRTOPK0" hidden="1">#REF!</definedName>
    <definedName name="KRTOPK0_" hidden="1">#REF!</definedName>
    <definedName name="KRTOPK0N" hidden="1">#REF!</definedName>
    <definedName name="KRTOPK1" hidden="1">#REF!</definedName>
    <definedName name="KRTOPK1_" hidden="1">#REF!</definedName>
    <definedName name="KRTOPK1N" hidden="1">#REF!</definedName>
    <definedName name="KRTOPK2" hidden="1">#REF!</definedName>
    <definedName name="KRTOPK2_" hidden="1">[4]DATENHALTUNG!$AK$90</definedName>
    <definedName name="KRTOPK2N" hidden="1">#REF!</definedName>
    <definedName name="KRTOPK3" hidden="1">#REF!</definedName>
    <definedName name="KRTOPK3_" hidden="1">#REF!</definedName>
    <definedName name="KRTOPK3N" hidden="1">#REF!</definedName>
    <definedName name="KRTOPK4" hidden="1">#REF!</definedName>
    <definedName name="KRTOPK4_" hidden="1">#REF!</definedName>
    <definedName name="KRTOPK4N" hidden="1">#REF!</definedName>
    <definedName name="KRTOPK5" hidden="1">#REF!</definedName>
    <definedName name="KRTOPK5_" hidden="1">#REF!</definedName>
    <definedName name="KRTOPK5N" hidden="1">#REF!</definedName>
    <definedName name="KRTOPK6" hidden="1">#REF!</definedName>
    <definedName name="KRTOPK6_" hidden="1">#REF!</definedName>
    <definedName name="KRTOPK6N" hidden="1">#REF!</definedName>
    <definedName name="KRTOPK7" hidden="1">#REF!</definedName>
    <definedName name="KRTOPK7_" hidden="1">#REF!</definedName>
    <definedName name="KRTOPK7N" hidden="1">#REF!</definedName>
    <definedName name="KRTOPK8" hidden="1">#REF!</definedName>
    <definedName name="KRTOPK8_" hidden="1">#REF!</definedName>
    <definedName name="KRTOPK8N" hidden="1">#REF!</definedName>
    <definedName name="KRTOPK9" hidden="1">#REF!</definedName>
    <definedName name="KRTOPK9_" hidden="1">#REF!</definedName>
    <definedName name="KRTOPK9N" hidden="1">#REF!</definedName>
    <definedName name="KRTOPL0" hidden="1">#REF!</definedName>
    <definedName name="KRTOPL0_" hidden="1">#REF!</definedName>
    <definedName name="KRTOPL0N" hidden="1">#REF!</definedName>
    <definedName name="KRTOPL1" hidden="1">#REF!</definedName>
    <definedName name="KRTOPL1_" hidden="1">#REF!</definedName>
    <definedName name="KRTOPL1N" hidden="1">#REF!</definedName>
    <definedName name="KRTOPL2" hidden="1">#REF!</definedName>
    <definedName name="KRTOPL2_" hidden="1">#REF!</definedName>
    <definedName name="KRTOPL2N" hidden="1">#REF!</definedName>
    <definedName name="KRTOPL3" hidden="1">#REF!</definedName>
    <definedName name="KRTOPL3_" hidden="1">#REF!</definedName>
    <definedName name="KRTOPL3N" hidden="1">#REF!</definedName>
    <definedName name="KRTOPL4" hidden="1">#REF!</definedName>
    <definedName name="KRTOPL4_" hidden="1">#REF!</definedName>
    <definedName name="KRTOPL4N" hidden="1">#REF!</definedName>
    <definedName name="KRTOPL5" hidden="1">#REF!</definedName>
    <definedName name="KRTOPL5_" hidden="1">#REF!</definedName>
    <definedName name="KRTOPL5N" hidden="1">#REF!</definedName>
    <definedName name="KRTOPL6" hidden="1">#REF!</definedName>
    <definedName name="KRTOPL6_" hidden="1">#REF!</definedName>
    <definedName name="KRTOPL6N" hidden="1">#REF!</definedName>
    <definedName name="KRTOPL7" hidden="1">#REF!</definedName>
    <definedName name="KRTOPL7_" hidden="1">#REF!</definedName>
    <definedName name="KRTOPL7N" hidden="1">#REF!</definedName>
    <definedName name="KRTOPL8" hidden="1">#REF!</definedName>
    <definedName name="KRTOPL8_" hidden="1">#REF!</definedName>
    <definedName name="KRTOPL8N" hidden="1">#REF!</definedName>
    <definedName name="KRTOPL9" hidden="1">#REF!</definedName>
    <definedName name="KRTOPL9_" hidden="1">#REF!</definedName>
    <definedName name="KRTOPL9N" hidden="1">#REF!</definedName>
    <definedName name="KSJ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kslkjkjlkjd" hidden="1">{#N/A,#N/A,FALSE,"REPORT"}</definedName>
    <definedName name="KST" hidden="1">{"K Bilanz o. Kommentar",#N/A,FALSE,"Kaufhof"}</definedName>
    <definedName name="KTY" hidden="1">{#N/A,#N/A,FALSE,"단축1";#N/A,#N/A,FALSE,"단축2";#N/A,#N/A,FALSE,"단축3";#N/A,#N/A,FALSE,"장축";#N/A,#N/A,FALSE,"4WD"}</definedName>
    <definedName name="ktykjghk" hidden="1">{#N/A,#N/A,TRUE,"Historicals";#N/A,#N/A,TRUE,"Charts";#N/A,#N/A,TRUE,"Forecasts"}</definedName>
    <definedName name="ktzuk" hidden="1">{#N/A,#N/A,FALSE,"Aging Summary";#N/A,#N/A,FALSE,"Ratio Analysis";#N/A,#N/A,FALSE,"Test 120 Day Accts";#N/A,#N/A,FALSE,"Tickmarks"}</definedName>
    <definedName name="kui" hidden="1">{#N/A,#N/A,FALSE,"Aging Summary";#N/A,#N/A,FALSE,"Ratio Analysis";#N/A,#N/A,FALSE,"Test 120 Day Accts";#N/A,#N/A,FALSE,"Tickmarks"}</definedName>
    <definedName name="kuiuk" hidden="1">{#N/A,#N/A,TRUE,"Historicals";#N/A,#N/A,TRUE,"Charts";#N/A,#N/A,TRUE,"Forecasts"}</definedName>
    <definedName name="kului" hidden="1">{"'Other IPS'!$A$5","'Other IPS'!$A$4:$K$38"}</definedName>
    <definedName name="kuykgkg" hidden="1">{#N/A,#N/A,TRUE,"Historicals";#N/A,#N/A,TRUE,"Charts";#N/A,#N/A,TRUE,"Forecasts"}</definedName>
    <definedName name="kuyy" hidden="1">{"'Other IPS'!$A$5","'Other IPS'!$A$4:$K$38"}</definedName>
    <definedName name="kw" hidden="1">{1;"Konsol_Eingabe";2;"Konsol_Ausgabe";"Yellow";"No value";TRUE}</definedName>
    <definedName name="kyd.ChngCell.01." hidden="1">#REF!</definedName>
    <definedName name="kyd.ChngCell.02." hidden="1">#REF!</definedName>
    <definedName name="kyd.CounterLimitCell.01." hidden="1">"x"</definedName>
    <definedName name="kyd.CounterLimitCell.02." hidden="1">"x"</definedName>
    <definedName name="kyd.Dim.01." hidden="1">"chandept"</definedName>
    <definedName name="kyd.Dim.02." hidden="1">"chandep#"</definedName>
    <definedName name="kyd.ElementList.01." hidden="1">"x"</definedName>
    <definedName name="kyd.ElementList.02." hidden="1">#REF!</definedName>
    <definedName name="kyd.ElementType.01." hidden="1">1</definedName>
    <definedName name="kyd.ElementType.02." hidden="1">1</definedName>
    <definedName name="kyd.ItemType.01." hidden="1">1</definedName>
    <definedName name="kyd.ItemType.02." hidden="1">2</definedName>
    <definedName name="kyd.MemoSortHide." hidden="1">FALSE</definedName>
    <definedName name="kyd.NumLevels.01." hidden="1">999</definedName>
    <definedName name="kyd.NumLevels.02." hidden="1">999</definedName>
    <definedName name="kyd.ParentName.01." hidden="1">"TOTAL PRODUCTION"</definedName>
    <definedName name="kyd.ParentName.02." hidden="1">""</definedName>
    <definedName name="kyd.PreScreenData." hidden="1">FALSE</definedName>
    <definedName name="kyd.PrintMemo." hidden="1">FALSE</definedName>
    <definedName name="kyd.PrintParent.01." hidden="1">FALSE</definedName>
    <definedName name="kyd.PrintParent.02." hidden="1">TRUE</definedName>
    <definedName name="kyd.PrintStdWhen." hidden="1">3</definedName>
    <definedName name="kyd.SaveAsFile." hidden="1">FALSE</definedName>
    <definedName name="kyd.SaveMemo." hidden="1">FALSE</definedName>
    <definedName name="kyd.SelectString.01." hidden="1">"*"</definedName>
    <definedName name="kyd.SelectString.02." hidden="1">"*"</definedName>
    <definedName name="kyd.StdSortHide." hidden="1">FALSE</definedName>
    <definedName name="kyd.StopRow." hidden="1">16384</definedName>
    <definedName name="kyd.WriteMemWhenOptn." hidden="1">3</definedName>
    <definedName name="l" localSheetId="54" hidden="1">'[1]Piper Heidsieck'!#REF!</definedName>
    <definedName name="l" localSheetId="55" hidden="1">'[1]Piper Heidsieck'!#REF!</definedName>
    <definedName name="l" hidden="1">{"budget95",#N/A,TRUE,"Tabelle1";"Tab1",#N/A,TRUE,"Tabelle2"}</definedName>
    <definedName name="l.l." hidden="1">{#N/A,#N/A,FALSE,"Layout Cash Flow"}</definedName>
    <definedName name="L_COVER" hidden="1">{#N/A,#N/A,FALSE,"단축1";#N/A,#N/A,FALSE,"단축2";#N/A,#N/A,FALSE,"단축3";#N/A,#N/A,FALSE,"장축";#N/A,#N/A,FALSE,"4WD"}</definedName>
    <definedName name="ladro" hidden="1">{"FY97Q1",#N/A,FALSE,"FY97 - Q1";"FY97Q2",#N/A,FALSE,"FY97 - Q2";"FY97Q3",#N/A,FALSE,"FY97 - Q3";"FY97Q4",#N/A,FALSE,"FY97 - Q4"}</definedName>
    <definedName name="lala" hidden="1">{#N/A,#N/A,TRUE,"Cover sheet";#N/A,#N/A,TRUE,"DCF analysis";#N/A,#N/A,TRUE,"WACC calculation"}</definedName>
    <definedName name="LARM문제대책" hidden="1">{#N/A,#N/A,FALSE,"단축1";#N/A,#N/A,FALSE,"단축2";#N/A,#N/A,FALSE,"단축3";#N/A,#N/A,FALSE,"장축";#N/A,#N/A,FALSE,"4WD"}</definedName>
    <definedName name="LAST_EBIT_MARGIN" hidden="1">"LAST_EBIT_MARGIN"</definedName>
    <definedName name="LAST_EBITDA_MARGIN" hidden="1">"LAST_EBITDA_MARGIN"</definedName>
    <definedName name="LAST_GROSS_MARGIN" hidden="1">"LAST_GROSS_MARGIN"</definedName>
    <definedName name="LAST_NET_INC_MARGIN" hidden="1">"LAST_NET_INC_MARGIN"</definedName>
    <definedName name="LASTSALEPRICE" hidden="1">"LASTSALEPRICE"</definedName>
    <definedName name="LATESTK" hidden="1">1000</definedName>
    <definedName name="LATESTKFR" hidden="1">50</definedName>
    <definedName name="LATESTKNONPRESS" hidden="1">50</definedName>
    <definedName name="LATESTQ" hidden="1">500</definedName>
    <definedName name="LATESTQFR" hidden="1">100</definedName>
    <definedName name="LATESTQNONPRESS" hidden="1">100</definedName>
    <definedName name="lbo" hidden="1">{"a",#N/A,FALSE,"LBO - 100%, Sell C,CT 98......";"aa",#N/A,FALSE,"LBO - 100%, Sell C,CT 98......";"aaa",#N/A,FALSE,"LBO - 100%, Sell C,CT 98......";"aaaa",#N/A,FALSE,"LBO - 100%, Sell C,CT 98......";"aaaaa",#N/A,FALSE,"LBO - 100%, Sell C,CT 98......";"aaaaaa",#N/A,FALSE,"LBO - 100%, Sell C,CT 98......"}</definedName>
    <definedName name="ldkeir" hidden="1">{#N/A,"PURCHM",FALSE,"Business Analysis";#N/A,"SPADD",FALSE,"Business Analysis"}</definedName>
    <definedName name="ldsjglsgls" hidden="1">{#N/A,#N/A,FALSE,"Performance Flash Report"}</definedName>
    <definedName name="lease" hidden="1">{#N/A,#N/A,FALSE,"HMF";#N/A,#N/A,FALSE,"FACIL";#N/A,#N/A,FALSE,"HMFINANCE";#N/A,#N/A,FALSE,"HMEUROPE";#N/A,#N/A,FALSE,"HHAB CONSO";#N/A,#N/A,FALSE,"PAB";#N/A,#N/A,FALSE,"MMC";#N/A,#N/A,FALSE,"THAI";#N/A,#N/A,FALSE,"SINPA";#N/A,#N/A,FALSE,"POLAND"}</definedName>
    <definedName name="lee" hidden="1">{#N/A,#N/A,FALSE,"Pharm";#N/A,#N/A,FALSE,"WWCM"}</definedName>
    <definedName name="leien" hidden="1">{"fleisch",#N/A,FALSE,"WG HK";"food",#N/A,FALSE,"WG HK";"hartwaren",#N/A,FALSE,"WG HK";"weichwaren",#N/A,FALSE,"WG HK"}</definedName>
    <definedName name="Leo" hidden="1">{"'Future Reviews'!$A$1:$D$58"}</definedName>
    <definedName name="lg" hidden="1">{"Avorstand",#N/A,TRUE,"Abf. Szenario ";"Bnord",#N/A,TRUE,"Abf. Szenario ";"Cnordwest",#N/A,TRUE,"Abf. Szenario ";"Dwest",#N/A,TRUE,"Abf. Szenario ";"Esüdwest",#N/A,TRUE,"Abf. Szenario ";"Fsüd",#N/A,TRUE,"Abf. Szenario ";"Host",#N/A,TRUE,"Abf. Szenario ";"Gesamt",#N/A,TRUE,"Abf. Szenario "}</definedName>
    <definedName name="lgm" hidden="1">{"'Sample Status'!$A$1:$J$21"}</definedName>
    <definedName name="lgui" hidden="1">{"CLEARING",#N/A,FALSE,"clearing"}</definedName>
    <definedName name="lh"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lhglkjhglkjlkjg" hidden="1">#REF!</definedName>
    <definedName name="lhjlkjlhklhljl" hidden="1">{#N/A,#N/A,FALSE,"PMW Gruppe 99_98";#N/A,#N/A,FALSE,"PMW KG 98_99";#N/A,#N/A,FALSE,"PMW Inc. 99_98";#N/A,#N/A,FALSE,"PMW VTECH 99_98";#N/A,#N/A,FALSE,"PMW Thail. 99_98";#N/A,#N/A,FALSE,"PMW Canada 99_98";#N/A,#N/A,FALSE,"Währungsabw. 99_98"}</definedName>
    <definedName name="li" hidden="1">{"en FRF",#N/A,FALSE,"mars99";"en €uros",#N/A,FALSE,"mars99"}</definedName>
    <definedName name="lim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limcount" hidden="1">1</definedName>
    <definedName name="limey" hidden="1">{#N/A,#N/A,FALSE,"Calc";#N/A,#N/A,FALSE,"Sensitivity";#N/A,#N/A,FALSE,"LT Earn.Dil.";#N/A,#N/A,FALSE,"Dil. AVP"}</definedName>
    <definedName name="limone" hidden="1">{"FY97Q1 var",#N/A,FALSE,"FY97 - Q1";"FY97Q2 var",#N/A,FALSE,"FY97 - Q2";"FY97Q3 var",#N/A,FALSE,"FY97 - Q3";"FY97Q4 var",#N/A,FALSE,"FY97 - Q4"}</definedName>
    <definedName name="Linda" hidden="1">{#N/A,#N/A,FALSE,"Sheet2"}</definedName>
    <definedName name="LINE검토2" hidden="1">{#N/A,#N/A,TRUE,"Y생산";#N/A,#N/A,TRUE,"Y판매";#N/A,#N/A,TRUE,"Y총물량";#N/A,#N/A,TRUE,"Y능력";#N/A,#N/A,TRUE,"YKD"}</definedName>
    <definedName name="Liste"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istOffset" hidden="1">1</definedName>
    <definedName name="liulkjm" hidden="1">{#N/A,#N/A,TRUE,"Historicals";#N/A,#N/A,TRUE,"Charts";#N/A,#N/A,TRUE,"Forecasts"}</definedName>
    <definedName name="liyh" hidden="1">{#N/A,#N/A,TRUE,"RIDE";#N/A,#N/A,TRUE,"STEERING";#N/A,#N/A,TRUE,"HANDLING";#N/A,#N/A,TRUE,"BRAKING"}</definedName>
    <definedName name="liyljk" hidden="1">{#N/A,#N/A,TRUE,"Historicals";#N/A,#N/A,TRUE,"Charts";#N/A,#N/A,TRUE,"Forecasts"}</definedName>
    <definedName name="lj" hidden="1">{#N/A,#N/A,TRUE,"Staffnos &amp; cost"}</definedName>
    <definedName name="ljiljj" hidden="1">{#N/A,#N/A,TRUE,"Historicals";#N/A,#N/A,TRUE,"Charts";#N/A,#N/A,TRUE,"Forecasts"}</definedName>
    <definedName name="ljkl" hidden="1">{#N/A,#N/A,FALSE,"Umsatz HM";#N/A,#N/A,FALSE,"ER HM";#N/A,#N/A,FALSE,"EA HM  (2)";#N/A,#N/A,FALSE,"EA HM ";#N/A,#N/A,FALSE,"EA HM  (4)";#N/A,#N/A,FALSE,"EA HM  (3)";#N/A,#N/A,FALSE,"KA HM  (2)";#N/A,#N/A,FALSE,"KA HM";#N/A,#N/A,FALSE,"KA HM  (3)";#N/A,#N/A,FALSE,"KA HM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sdff" hidden="1">{"Burden (burden)",#N/A,FALSE,"burden"}</definedName>
    <definedName name="lk" hidden="1">{#N/A,#N/A,FALSE,"Deals in month";#N/A,#N/A,FALSE,"Order Tracking";#N/A,#N/A,FALSE,"Major Sales Top 20";#N/A,#N/A,FALSE,"OS Rev Track";#N/A,#N/A,FALSE,"HPS Rev Track";#N/A,#N/A,FALSE,"Lost Bids"}</definedName>
    <definedName name="lkajsdl" hidden="1">{0,0,0,0;0,0,0,0;0,0,0,0}</definedName>
    <definedName name="lkalsdkhvfjjf" hidden="1">{"'Title Transfer Units6,7,&amp;8'!$A$1:$B$4","'Title Transfer Units6,7,&amp;8'!$C$6"}</definedName>
    <definedName name="lkhlh" hidden="1">{#N/A,#N/A,TRUE,"Historicals";#N/A,#N/A,TRUE,"Charts";#N/A,#N/A,TRUE,"Forecasts"}</definedName>
    <definedName name="lkj"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ｌｋｊ" hidden="1">#REF!</definedName>
    <definedName name="LKJD" hidden="1">{"'Demand Units'!$X$11:$AD$45"}</definedName>
    <definedName name="lkjlk" hidden="1">{#N/A,#N/A,FALSE,"Bl. 1";#N/A,#N/A,FALSE,"Bl. 2";#N/A,#N/A,FALSE,"Bl. 3";#N/A,#N/A,FALSE,"Bl. 4";#N/A,#N/A,FALSE,"Bl. 6";#N/A,#N/A,FALSE,"Bl. 7";#N/A,#N/A,FALSE,"BL. 8";#N/A,#N/A,FALSE,"Bl. 9";#N/A,#N/A,FALSE,"Bl. 10";#N/A,#N/A,FALSE,"Bl. 12"}</definedName>
    <definedName name="lkjlkj" hidden="1">{"Final",#N/A,FALSE,"Feb-96"}</definedName>
    <definedName name="lkjlklkjlkjlkj" hidden="1">{"page1",#N/A,TRUE,"CSC";"page2",#N/A,TRUE,"CSC"}</definedName>
    <definedName name="lkl" hidden="1">{#N/A,#N/A,FALSE,"Umsatz EO BP";#N/A,#N/A,FALSE,"Umsatz EO OP";#N/A,#N/A,FALSE,"ER EO BP";#N/A,#N/A,FALSE,"ER EO OP";#N/A,#N/A,FALSE,"EA EO (2)";#N/A,#N/A,FALSE,"EA EO";#N/A,#N/A,FALSE,"EA EO (3)";#N/A,#N/A,FALSE,"EA EO (4)";#N/A,#N/A,FALSE,"KA EO  (2)";#N/A,#N/A,FALSE,"KA EO";#N/A,#N/A,FALSE,"KA EO  (3)";#N/A,#N/A,FALSE,"KA EO (4)"}</definedName>
    <definedName name="lklk" hidden="1">{#N/A,"PURADD",FALSE,"Business Analysis";#N/A,"PURSPP",FALSE,"Business Analysis";#N/A,"CTGIND",FALSE,"Business Analysis";#N/A,"PURCHM",FALSE,"Business Analysis";#N/A,"SPADD",FALSE,"Business Analysis";#N/A,"EPOXY",FALSE,"Business Analysis";#N/A,"PURPER",FALSE,"Business Analysis"}</definedName>
    <definedName name="lklkl" hidden="1">{"consolidated",#N/A,FALSE,"Sheet1";"cms",#N/A,FALSE,"Sheet1";"fse",#N/A,FALSE,"Sheet1"}</definedName>
    <definedName name="lklklklk" hidden="1">{"Presentation",#N/A,FALSE,"Feb96 - ALL"}</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hidden="1">{#N/A,#N/A,FALSE,"PMW Gruppe 99_98";#N/A,#N/A,FALSE,"PMW KG 98_99";#N/A,#N/A,FALSE,"PMW Inc. 99_98";#N/A,#N/A,FALSE,"PMW VTECH 99_98";#N/A,#N/A,FALSE,"PMW Thail. 99_98";#N/A,#N/A,FALSE,"PMW Canada 99_98";#N/A,#N/A,FALSE,"Währungsabw. 99_98"}</definedName>
    <definedName name="ll" hidden="1">{"Bilanz grob",#N/A,TRUE,"Planbilanz";"Erfolgsrechnung grob",#N/A,TRUE,"Plan-ER";#N/A,#N/A,TRUE,"Geldfluss";"Bilanz fein",#N/A,TRUE,"Planbilanz";"Erfolgsrechnung fein",#N/A,TRUE,"Plan-ER";#N/A,#N/A,TRUE,"Absatzplan";#N/A,#N/A,TRUE,"Einkaufsplan";#N/A,#N/A,TRUE,"Investitionsplan";#N/A,#N/A,TRUE,"KK Aktionäre"}</definedName>
    <definedName name="ll.l" hidden="1">{#N/A,#N/A,FALSE,"Produkte Erw.";#N/A,#N/A,FALSE,"Produkte Plan";#N/A,#N/A,FALSE,"Leistungen Erw.";#N/A,#N/A,FALSE,"Leistungen Plan";#N/A,#N/A,FALSE,"KA Allg.Kosten (2)";#N/A,#N/A,FALSE,"KA All.Kosten"}</definedName>
    <definedName name="LL0" hidden="1">{"Bilanz grob",#N/A,FALSE,"Planbilanz";"Erfolgsrechnung grob",#N/A,FALSE,"Plan-ER";#N/A,#N/A,FALSE,"Geldfluss"}</definedName>
    <definedName name="llb" hidden="1">{"Bilanz grob",#N/A,FALSE,"Planbilanz";"Erfolgsrechnung grob",#N/A,FALSE,"Plan-ER";#N/A,#N/A,FALSE,"Geldfluss"}</definedName>
    <definedName name="LLG" hidden="1">{"Bilanz grob",#N/A,TRUE,"Planbilanz";"Erfolgsrechnung grob",#N/A,TRUE,"Plan-ER";#N/A,#N/A,TRUE,"Geldfluss";"Bilanz fein",#N/A,TRUE,"Planbilanz";"Erfolgsrechnung fein",#N/A,TRUE,"Plan-ER";#N/A,#N/A,TRUE,"Absatzplan";#N/A,#N/A,TRUE,"Einkaufsplan";#N/A,#N/A,TRUE,"Investitionsplan";#N/A,#N/A,TRUE,"KK Aktionäre"}</definedName>
    <definedName name="llk" hidden="1">{"pro_view",#N/A,FALSE,"EEFSNAP2";"rep_view",#N/A,FALSE,"EEFSNAP2"}</definedName>
    <definedName name="lll" hidden="1">{#N/A,#N/A,FALSE,"Bezirk SW";#N/A,#N/A,FALSE,"Dir S (GK)";#N/A,#N/A,FALSE,"Dir FR (PK)"}</definedName>
    <definedName name="llll" hidden="1">{#N/A,#N/A,FALSE,"invpln"}</definedName>
    <definedName name="LLLLL" hidden="1">{#N/A,#N/A,FALSE,"단축1";#N/A,#N/A,FALSE,"단축2";#N/A,#N/A,FALSE,"단축3";#N/A,#N/A,FALSE,"장축";#N/A,#N/A,FALSE,"4WD"}</definedName>
    <definedName name="llllll" hidden="1">{"detail",#N/A,FALSE,"mfg";"summary",#N/A,FALSE,"mfg"}</definedName>
    <definedName name="lllllllllllllllllllllllllllllllllllllllllllllllllllllllllllllllllllllllllllllllllllllllllllllllllllllllllllllllllll" hidden="1">{"Summary",#N/A,FALSE,"Summary";"A&amp;A's",#N/A,FALSE,"Aids &amp; A's";"MajorWorks",#N/A,FALSE,"Major Works";"EstateImps",#N/A,FALSE,"Estate Imps";"CatC",#N/A,FALSE,"Cat C Voids";"CycProg",#N/A,FALSE,"Cyclical Prog inc MR"}</definedName>
    <definedName name="llp" hidden="1">{"YD LPH2",#N/A,FALSE,"YTD"}</definedName>
    <definedName name="llpk" hidden="1">{"MATERIAL",#N/A,FALSE,"material"}</definedName>
    <definedName name="lñ" hidden="1">{"sales growth",#N/A,FALSE,"summary";"oper income",#N/A,FALSE,"summary";"oros rank",#N/A,FALSE,"summary";"net assets",#N/A,FALSE,"summary";"asset turnover",#N/A,FALSE,"summary";"orona",#N/A,FALSE,"summary"}</definedName>
    <definedName name="lö" hidden="1">"c5584"</definedName>
    <definedName name="LOAHC" hidden="1">{#N/A,#N/A,TRUE,"PSG Total Contacts";#N/A,#N/A,TRUE,"PSG Rep Total";#N/A,#N/A,TRUE,"Core Rep Detail";#N/A,#N/A,TRUE,"BC Rep Detail";#N/A,#N/A,TRUE,"Marlboro";#N/A,#N/A,TRUE,"Covington";#N/A,#N/A,TRUE,"Dallas";#N/A,#N/A,TRUE,"VRS Stats";#N/A,#N/A,TRUE,"Internet";#N/A,#N/A,TRUE,"NCO and Call Mix";#N/A,#N/A,TRUE,"VRS &amp; Rep Calls"}</definedName>
    <definedName name="LOAN_LOSS" hidden="1">"LOAN_LOSS"</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g" hidden="1">{"Avorstand",#N/A,TRUE,"Abf. Szenario ";"Bnord",#N/A,TRUE,"Abf. Szenario ";"Cnordwest",#N/A,TRUE,"Abf. Szenario ";"Dwest",#N/A,TRUE,"Abf. Szenario ";"Esüdwest",#N/A,TRUE,"Abf. Szenario ";"Fsüd",#N/A,TRUE,"Abf. Szenario ";"Host",#N/A,TRUE,"Abf. Szenario ";"Gesamt",#N/A,TRUE,"Abf. Szenario "}</definedName>
    <definedName name="logh" hidden="1">{"Tages_D",#N/A,FALSE,"Tagesbericht";"Tages_PL",#N/A,FALSE,"Tagesbericht"}</definedName>
    <definedName name="logistik" hidden="1">{#N/A,#N/A,TRUE,"Sensonic";#N/A,#N/A,TRUE,"Combimeter";#N/A,#N/A,TRUE,"HKV";#N/A,#N/A,TRUE,"TV";#N/A,#N/A,TRUE,"WZ";#N/A,#N/A,TRUE,"PrepHeatCon";#N/A,#N/A,TRUE,"Sonstiges";#N/A,#N/A,TRUE,"Abrechnung";#N/A,#N/A,TRUE,"Investitionen";#N/A,#N/A,TRUE,"Personal";#N/A,#N/A,TRUE,"sonstige Kosten u. Erträge";#N/A,#N/A,TRUE,"BER";#N/A,#N/A,TRUE,"Monatsaufteilung Budget 1997"}</definedName>
    <definedName name="loiuj" hidden="1">{"'Other IPS'!$A$5","'Other IPS'!$A$4:$K$38"}</definedName>
    <definedName name="loki" hidden="1">{#N/A,#N/A,TRUE,"CF brut";#N/A,#N/A,TRUE,"CashFlow";#N/A,#N/A,TRUE,"RCE";#N/A,#N/A,TRUE,"amort"}</definedName>
    <definedName name="lökj" hidden="1">{#N/A,#N/A,FALSE,"Bl. 1";#N/A,#N/A,FALSE,"Bl. 2";#N/A,#N/A,FALSE,"Bl. 3";#N/A,#N/A,FALSE,"Bl. 4";#N/A,#N/A,FALSE,"Bl. 6";#N/A,#N/A,FALSE,"Bl. 7";#N/A,#N/A,FALSE,"BL. 8";#N/A,#N/A,FALSE,"Bl. 9";#N/A,#N/A,FALSE,"Bl. 10";#N/A,#N/A,FALSE,"Bl. 12"}</definedName>
    <definedName name="loklk" hidden="1">{#N/A,#N/A,TRUE,"Historicals";#N/A,#N/A,TRUE,"Charts";#N/A,#N/A,TRUE,"Forecasts"}</definedName>
    <definedName name="lol" hidden="1">{"fleisch",#N/A,FALSE,"WG HK";"food",#N/A,FALSE,"WG HK";"hartwaren",#N/A,FALSE,"WG HK";"weichwaren",#N/A,FALSE,"WG HK"}</definedName>
    <definedName name="lolo" hidden="1">{"scrap",#N/A,FALSE,"scrap"}</definedName>
    <definedName name="LONG_TERM_GROWTH" hidden="1">"LONG_TERM_GROWTH"</definedName>
    <definedName name="LONG_TERM_INV" hidden="1">"LONG_TERM_INV"</definedName>
    <definedName name="longh" hidden="1">{"GTI monthly IS",#N/A,FALSE,"gti";#N/A,#N/A,FALSE,"gti"}</definedName>
    <definedName name="lop" hidden="1">{"fleisch",#N/A,FALSE,"WG HK";"food",#N/A,FALSE,"WG HK";"hartwaren",#N/A,FALSE,"WG HK";"weichwaren",#N/A,FALSE,"WG HK"}</definedName>
    <definedName name="Lorena" hidden="1">{"'Data'!$A$1:$D$17"}</definedName>
    <definedName name="lost" hidden="1">{"'comite'!$A$9:$G$44","'comite'!$A$1:$G$6"}</definedName>
    <definedName name="LostTimeJAR" hidden="1">{"'Data'!$A$1:$D$17"}</definedName>
    <definedName name="LotusGraphChart1" hidden="1">#REF!</definedName>
    <definedName name="lotusgraphchart1b" hidden="1">#REF!</definedName>
    <definedName name="lotusgraphchart1x" hidden="1">#REF!</definedName>
    <definedName name="LowPrice" hidden="1">#REF!</definedName>
    <definedName name="lp" hidden="1">#N/A</definedName>
    <definedName name="lplpl" hidden="1">{#N/A,#N/A,FALSE,"Index";#N/A,#N/A,FALSE,"1.1";#N/A,#N/A,FALSE,"Scenario Summary"}</definedName>
    <definedName name="lpok" hidden="1">{#N/A,"PURADD",FALSE,"Business Analysis";#N/A,"PURSPP",FALSE,"Business Analysis";#N/A,"CTGIND",FALSE,"Business Analysis";#N/A,"PURCHM",FALSE,"Business Analysis";#N/A,"SPADD",FALSE,"Business Analysis";#N/A,"EPOXY",FALSE,"Business Analysis";#N/A,"PURPER",FALSE,"Business Analysis"}</definedName>
    <definedName name="lps" hidden="1">{#N/A,#N/A,FALSE,"단축1";#N/A,#N/A,FALSE,"단축2";#N/A,#N/A,FALSE,"단축3";#N/A,#N/A,FALSE,"장축";#N/A,#N/A,FALSE,"4WD"}</definedName>
    <definedName name="ltm_BalanceSheet" hidden="1">#REF!</definedName>
    <definedName name="LTM_DATE" hidden="1">"LTM_DATE"</definedName>
    <definedName name="ltm_IncomeStatement" hidden="1">#REF!</definedName>
    <definedName name="LTM_REVENUE_OVER_EMPLOYEES" hidden="1">"LTM_REVENUE_OVER_EMPLOYEES"</definedName>
    <definedName name="ltmnonasset1" hidden="1">#REF!</definedName>
    <definedName name="ltmnonasset2" hidden="1">#REF!</definedName>
    <definedName name="ltmnonasset4" hidden="1">#REF!</definedName>
    <definedName name="ltmnonliab1" hidden="1">#REF!</definedName>
    <definedName name="ltmnonliab2" hidden="1">#REF!</definedName>
    <definedName name="ltmnonliab4" hidden="1">#REF!</definedName>
    <definedName name="LUFeXToEUR" hidden="1">1/EUReXToLUF</definedName>
    <definedName name="luiyuy" hidden="1">{"'Other IPS'!$A$5","'Other IPS'!$A$4:$K$38"}</definedName>
    <definedName name="LUP" hidden="1">#REF!</definedName>
    <definedName name="lut"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LUXURY" hidden="1">{"EXPORT",#N/A,FALSE,"A8CONTENT"}</definedName>
    <definedName name="luyit" hidden="1">{#N/A,#N/A,FALSE,"Staffnos &amp; cost"}</definedName>
    <definedName name="LV仕様" hidden="1">#REF!</definedName>
    <definedName name="lylyyy" hidden="1">{"'Other IPS'!$A$5","'Other IPS'!$A$4:$K$38"}</definedName>
    <definedName name="lzu" hidden="1">{#N/A,#N/A,FALSE,"V3 Stab-Geb Index";#N/A,#N/A,FALSE,"Vertrieb";#N/A,#N/A,FALSE,"V Daten";#N/A,#N/A,FALSE,"V-Z-Index";#N/A,#N/A,FALSE,"V-1 Daten";#N/A,#N/A,FALSE,"V-1 Index";#N/A,#N/A,FALSE,"V-2 Index";#N/A,#N/A,FALSE,"V-3 Daten";#N/A,#N/A,FALSE,"V3 Stab-Geb Index";#N/A,#N/A,FALSE,"V-3 VG's Index";#N/A,#N/A,FALSE,"V-4 Index";#N/A,#N/A,FALSE,"V-5 Index"}</definedName>
    <definedName name="m"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M_A" hidden="1">{#N/A,#N/A,FALSE,"Rev Grwth";#N/A,#N/A,FALSE,"Op Inc Grwth";#N/A,#N/A,FALSE,"Net Grwth";#N/A,#N/A,FALSE,"EPS Growth"}</definedName>
    <definedName name="M_PlaceofPath" hidden="1">"F:\JCLARK\AHC\ahc_vdf.xls"</definedName>
    <definedName name="MA" hidden="1">{#N/A,#N/A,FALSE,"Consol P&amp;L ";#N/A,#N/A,FALSE,"CP P&amp;L";#N/A,#N/A,FALSE,"ADS P&amp;L";#N/A,#N/A,FALSE,"Corp P&amp;L"}</definedName>
    <definedName name="MaD" hidden="1">{"BS",#N/A,FALSE,"USA"}</definedName>
    <definedName name="MAG" hidden="1">{"Avorstand",#N/A,TRUE,"Abf. Szenario ";"Bnord",#N/A,TRUE,"Abf. Szenario ";"Cnordwest",#N/A,TRUE,"Abf. Szenario ";"Dwest",#N/A,TRUE,"Abf. Szenario ";"Esüdwest",#N/A,TRUE,"Abf. Szenario ";"Fsüd",#N/A,TRUE,"Abf. Szenario ";"Host",#N/A,TRUE,"Abf. Szenario ";"Gesamt",#N/A,TRUE,"Abf. Szenario "}</definedName>
    <definedName name="Main" hidden="1">{"'ID(2)'!$E$1:$N$4"}</definedName>
    <definedName name="Maintenanc" hidden="1">{"'ID(2)'!$E$1:$N$4"}</definedName>
    <definedName name="maji" hidden="1">{"detail",#N/A,FALSE,"mfg";"summary",#N/A,FALSE,"mfg"}</definedName>
    <definedName name="MAL" hidden="1">#REF!</definedName>
    <definedName name="Mandantenname" hidden="1">#REF!</definedName>
    <definedName name="MANHRS" hidden="1">{"LCCOST",#N/A,FALSE,"FC-3 "}</definedName>
    <definedName name="mans" hidden="1">{"quarterly",#N/A,FALSE,"Income Statement";#N/A,#N/A,FALSE,"print segment";#N/A,#N/A,FALSE,"Balance Sheet";#N/A,#N/A,FALSE,"Annl Inc";#N/A,#N/A,FALSE,"Cash Flow"}</definedName>
    <definedName name="Mar00" hidden="1">{"Statement of Income",#N/A,TRUE,"Mar99";"Balance Sheet",#N/A,TRUE,"Mar99"}</definedName>
    <definedName name="Mar00TB" hidden="1">{"Statement of Income",#N/A,TRUE,"Mar99";"Balance Sheet",#N/A,TRUE,"Mar99"}</definedName>
    <definedName name="mar00tb1" hidden="1">{"Statement of Income",#N/A,TRUE,"Mar99";"Balance Sheet",#N/A,TRUE,"Mar99"}</definedName>
    <definedName name="marc" hidden="1">"MATRA - AUTOMOBILE"</definedName>
    <definedName name="marcapty" hidden="1">#REF!</definedName>
    <definedName name="marearntwo" hidden="1">#REF!</definedName>
    <definedName name="marebitdaty" hidden="1">#REF!</definedName>
    <definedName name="marebitty" hidden="1">#REF!</definedName>
    <definedName name="marformrow2" hidden="1">#REF!</definedName>
    <definedName name="Margen" hidden="1">"4WJPO5PFX073GKVK4BI986WG1"</definedName>
    <definedName name="margin" hidden="1">{#N/A,#N/A,FALSE,"Aging Summary";#N/A,#N/A,FALSE,"Ratio Analysis";#N/A,#N/A,FALSE,"Test 120 Day Accts";#N/A,#N/A,FALSE,"Tickmarks"}</definedName>
    <definedName name="margrossty" hidden="1">#REF!</definedName>
    <definedName name="Markenorientierung"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market" hidden="1">{#N/A,#N/A,TRUE,"0 Deckbl.";#N/A,#N/A,TRUE,"S 1 Komm";#N/A,#N/A,TRUE,"S 1a Komm";#N/A,#N/A,TRUE,"S 1b Komm";#N/A,#N/A,TRUE,"S  2 DBR";#N/A,#N/A,TRUE,"S  3 Sparten";#N/A,#N/A,TRUE,"S 4  Betr. K.";#N/A,#N/A,TRUE,"6 Bilanz";#N/A,#N/A,TRUE,"6a Bilanz ";#N/A,#N/A,TRUE,"6b Bilanz ";#N/A,#N/A,TRUE,"7 GS I";#N/A,#N/A,TRUE,"S 8 EQ-GuV"}</definedName>
    <definedName name="MARKETCAP" hidden="1">"MARKETCAP"</definedName>
    <definedName name="marnwcty" hidden="1">#REF!</definedName>
    <definedName name="marrevtwo" hidden="1">#REF!</definedName>
    <definedName name="martyrange" hidden="1">#REF!</definedName>
    <definedName name="martyrangeone" hidden="1">#REF!</definedName>
    <definedName name="MasterCheck" hidden="1">#REF!</definedName>
    <definedName name="MasterGM" hidden="1">{"'Future Reviews'!$A$1:$D$58"}</definedName>
    <definedName name="MasterS" hidden="1">{"'Future Reviews'!$A$1:$D$58"}</definedName>
    <definedName name="maur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Max" hidden="1">1/EUReXToBEF</definedName>
    <definedName name="May" hidden="1">{#N/A,#N/A,FALSE,"Cover";#N/A,#N/A,FALSE,"Cover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name="mb_inputLocation" hidden="1">#REF!</definedName>
    <definedName name="MBR" hidden="1">{#N/A,#N/A,FALSE,"단축1";#N/A,#N/A,FALSE,"단축2";#N/A,#N/A,FALSE,"단축3";#N/A,#N/A,FALSE,"장축";#N/A,#N/A,FALSE,"4WD"}</definedName>
    <definedName name="MBR문제점" hidden="1">{#N/A,#N/A,FALSE,"단축1";#N/A,#N/A,FALSE,"단축2";#N/A,#N/A,FALSE,"단축3";#N/A,#N/A,FALSE,"장축";#N/A,#N/A,FALSE,"4WD"}</definedName>
    <definedName name="mdfsd" hidden="1">Main.SAPF4Help()</definedName>
    <definedName name="MDI" hidden="1">{#N/A,#N/A,FALSE,"SUMMARY";#N/A,#N/A,FALSE,"mcsh";#N/A,#N/A,FALSE,"vol&amp;rev";#N/A,#N/A,FALSE,"wkgcap";#N/A,#N/A,FALSE,"DEPR&amp;DT";#N/A,#N/A,FALSE,"ASSETS";#N/A,#N/A,FALSE,"NI&amp;OTH&amp;DIV";#N/A,#N/A,FALSE,"CASHFLOW";#N/A,#N/A,FALSE,"CAPEMPL";#N/A,#N/A,FALSE,"ROCE"}</definedName>
    <definedName name="medmult" hidden="1">#REF!</definedName>
    <definedName name="Mehrjahresplanung" hidden="1">#REF!</definedName>
    <definedName name="mens" hidden="1">{"direct labor",#N/A,FALSE,"labor";"direct labor1",#N/A,FALSE,"labor"}</definedName>
    <definedName name="mensual" hidden="1">{"indirect labor",#N/A,FALSE,"labor"}</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rillPrintIt" hidden="1">#REF!</definedName>
    <definedName name="MEWarning" hidden="1">1</definedName>
    <definedName name="mfoew" hidden="1">{#N/A,"PURCHM",FALSE,"Business Analysis";#N/A,"SPADD",FALSE,"Business Analysis"}</definedName>
    <definedName name="mi" hidden="1">2</definedName>
    <definedName name="micio" hidden="1">{"FY98Q1",#N/A,FALSE,"FY98 - Q1";"FY98Q2",#N/A,FALSE,"FY98 - Q2";"FY98Q3",#N/A,FALSE,"FY98 - Q3";"FY98Q4",#N/A,FALSE,"FY98 - Q4"}</definedName>
    <definedName name="Midmarket" hidden="1">{#N/A,#N/A,TRUE,"Cont_Stell";#N/A,#N/A,TRUE,"BTG";#N/A,#N/A,TRUE,"SH";#N/A,#N/A,TRUE,"GUV";#N/A,#N/A,TRUE,"Bilanz";#N/A,#N/A,TRUE,"WC";#N/A,#N/A,TRUE,"Beweg_bil";#N/A,#N/A,TRUE,"Kap_fluß";#N/A,#N/A,TRUE,"KENNZ";#N/A,#N/A,TRUE,"ANALYSE"}</definedName>
    <definedName name="MietleasingMitKfz" hidden="1">#REF!</definedName>
    <definedName name="MietleasingMitKfz_" hidden="1">#REF!</definedName>
    <definedName name="MietleasingMitKfzK" hidden="1">#REF!</definedName>
    <definedName name="MietleasingMitKfzM" hidden="1">#REF!</definedName>
    <definedName name="MietleasingMitKfzN" hidden="1">#REF!</definedName>
    <definedName name="MietleasingMitKfzZ" hidden="1">#REF!</definedName>
    <definedName name="mike"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milner" hidden="1">{#N/A,#N/A,FALSE,"Aging Summary";#N/A,#N/A,FALSE,"Ratio Analysis";#N/A,#N/A,FALSE,"Test 120 Day Accts";#N/A,#N/A,FALSE,"Tickmarks"}</definedName>
    <definedName name="min" hidden="1">{#N/A,#N/A,FALSE,"REPORT"}</definedName>
    <definedName name="mina" hidden="1">{#N/A,#N/A,FALSE,"REPORT"}</definedName>
    <definedName name="minadj" hidden="1">#REF!</definedName>
    <definedName name="minadj2" hidden="1">#REF!</definedName>
    <definedName name="MINORITY_INTEREST" hidden="1">"MINORITY_INTEREST"</definedName>
    <definedName name="minorityintyes" hidden="1">#REF!</definedName>
    <definedName name="mirto" hidden="1">{"FY97Total var",#N/A,FALSE,"FY97 - Total";"FY98Total var",#N/A,FALSE,"FY98 - Total"}</definedName>
    <definedName name="MISC_EARN_ADJ" hidden="1">"MISC_EARN_ADJ"</definedName>
    <definedName name="Mittelbeantragung2" hidden="1">{#N/A,#N/A,FALSE,"1. PTI Ziele";#N/A,#N/A,FALSE,"2. Zielkatalog ";#N/A,#N/A,FALSE,"3. Masterterminplan"}</definedName>
    <definedName name="miwukls" hidden="1">{"detail",#N/A,FALSE,"mfg";"summary",#N/A,FALSE,"mfg"}</definedName>
    <definedName name="mj" hidden="1">{#N/A,#N/A,FALSE,"FY97";#N/A,#N/A,FALSE,"FY98";#N/A,#N/A,FALSE,"FY99";#N/A,#N/A,FALSE,"FY00";#N/A,#N/A,FALSE,"FY01"}</definedName>
    <definedName name="mJFJKFJHF25" hidden="1">{"'Title Transfer Units6,7,&amp;8'!$A$1:$B$4","'Title Transfer Units6,7,&amp;8'!$C$6"}</definedName>
    <definedName name="MJN" hidden="1">{"'Demand Units'!$X$11:$AD$45"}</definedName>
    <definedName name="MJP" hidden="1">#REF!</definedName>
    <definedName name="mk" hidden="1">{"fleisch",#N/A,FALSE,"WG HK";"food",#N/A,FALSE,"WG HK";"hartwaren",#N/A,FALSE,"WG HK";"weichwaren",#N/A,FALSE,"WG HK"}</definedName>
    <definedName name="MKK" hidden="1">{"'下期集計（10.27迄・速報値）'!$Q$16"}</definedName>
    <definedName name="mkl" hidden="1">{"pro_view",#N/A,FALSE,"EEFSNAP2";"rep_view",#N/A,FALSE,"EEFSNAP2"}</definedName>
    <definedName name="mktdisc" hidden="1">#REF!</definedName>
    <definedName name="mktdisc2" hidden="1">#REF!</definedName>
    <definedName name="mktformat" hidden="1">#REF!</definedName>
    <definedName name="mktformat2" hidden="1">#REF!</definedName>
    <definedName name="ml" hidden="1">"4DO9W1IBUQC8WGIYA1DM5Z571"</definedName>
    <definedName name="MLNK001a80ff05c14549b6968cbe46f7b9fe" hidden="1">#REF!</definedName>
    <definedName name="MLNK0029a2db3fcc4eecbadadd84ea97e13e" hidden="1">#REF!</definedName>
    <definedName name="MLNK0080f629ed1b41818e3b4168146b044c" hidden="1">#REF!</definedName>
    <definedName name="MLNK01c5ceaa10e24507adab41de59f80724" hidden="1">#REF!</definedName>
    <definedName name="MLNK01e74e1779f34329bdd3cef410ce912c" hidden="1">#REF!</definedName>
    <definedName name="MLNK022d45756e5e4e6b8964df9c378c7002" hidden="1">#REF!</definedName>
    <definedName name="MLNK024d4c9e6a1341b1b1119be6ccb6f648" hidden="1">#REF!</definedName>
    <definedName name="MLNK030ec4e17eb0487881db060d5a162257" hidden="1">#REF!</definedName>
    <definedName name="MLNK03de70ec765b4556904bb17cc6e17d76" hidden="1">#REF!</definedName>
    <definedName name="MLNK04229f2b76194fd28d202652a32f7fac" hidden="1">#REF!</definedName>
    <definedName name="MLNK046370ffb7484ea3942f5d15ebefe1bc" hidden="1">#REF!</definedName>
    <definedName name="MLNK04e8232b24f444d2a3653f138d1f593c" hidden="1">#REF!</definedName>
    <definedName name="MLNK05109aa1a4b2467aa894f159e7a35b92" hidden="1">#REF!</definedName>
    <definedName name="MLNK069e0db62d8f4d178f7b11015e2bb116" hidden="1">#REF!</definedName>
    <definedName name="MLNK0761816f6d124df585ee85ea9b345fa9" hidden="1">#REF!</definedName>
    <definedName name="MLNK078041be487045718b5f76501901082a" hidden="1">#REF!</definedName>
    <definedName name="MLNK0858ea2ce6934f10b4f2dbbc5e98b009" hidden="1">#REF!</definedName>
    <definedName name="MLNK094ae2cf73854f25be3daae2785ec707" hidden="1">#REF!</definedName>
    <definedName name="MLNK0954c33bf5ef4bdf9aba19fe5f904926" hidden="1">#REF!</definedName>
    <definedName name="MLNK09ee301443a24207a7888c268487f4fd" hidden="1">#REF!</definedName>
    <definedName name="MLNK0a90d0354dee49cfba38eb32d32466a9" hidden="1">#REF!</definedName>
    <definedName name="MLNK0b363239dd854af3baf9bb633a72f560" hidden="1">#REF!</definedName>
    <definedName name="MLNK0caa629f9f1f48779101cf8af00425e3" hidden="1">#REF!</definedName>
    <definedName name="MLNK0d196377627e48fbbb797f385521e7c9" hidden="1">#REF!</definedName>
    <definedName name="MLNK0da82c4bc2834e139e720997143fb0cb" hidden="1">#REF!</definedName>
    <definedName name="MLNK0dab32f843164184b6ee674d256a3c9e" hidden="1">#REF!</definedName>
    <definedName name="MLNK0dd155b2e6b341ccad931e7db3c33951" hidden="1">#REF!</definedName>
    <definedName name="MLNK0de49bfd9597493fb9147395aab54590" hidden="1">#REF!</definedName>
    <definedName name="MLNK0e40149d86134610bd9e0ab52d13718c" hidden="1">#REF!</definedName>
    <definedName name="MLNK0e7a1970c7c344b6a7e0895f9ab2aadd" hidden="1">#REF!</definedName>
    <definedName name="MLNK0ea8bc194f4241288f82d08c90be0821" hidden="1">#REF!</definedName>
    <definedName name="MLNK0f3c1287ebad467fb7341ce5261f30c6" hidden="1">#REF!</definedName>
    <definedName name="MLNK10341875af084525a3ca6890e4d310f3" hidden="1">#REF!</definedName>
    <definedName name="MLNK104aee804f734992af8beb0715d3b386" hidden="1">#REF!</definedName>
    <definedName name="MLNK1289e78ed9504efcabdc74a25eddbe70" hidden="1">#REF!</definedName>
    <definedName name="MLNK12dee047aa3f4beaafd3936e540ac18e" hidden="1">#REF!</definedName>
    <definedName name="MLNK13d9f7e3738248ce824895de9107feff" hidden="1">#REF!</definedName>
    <definedName name="MLNK14e36f743f6547fe964b1154c4ea46b6" hidden="1">#REF!</definedName>
    <definedName name="MLNK16e85f3eb0134fdeb7310375f53ac2b3" hidden="1">#REF!</definedName>
    <definedName name="MLNK187850a6f3894d11b89b4b356149b532" hidden="1">#REF!</definedName>
    <definedName name="MLNK1af1fd7f37c94571b7555035f20d920b" hidden="1">#REF!</definedName>
    <definedName name="MLNK1b86c43398924f9c951516a9c520c2e5" hidden="1">#REF!</definedName>
    <definedName name="MLNK1c00a9eb395d446e8bf018bc45475189" hidden="1">#REF!</definedName>
    <definedName name="MLNK1f53fbd0f82445d487d511a1688291b9" hidden="1">#REF!</definedName>
    <definedName name="MLNK1fd6f9b924584427b2f67c71605bf9d1" hidden="1">#REF!</definedName>
    <definedName name="MLNK20a14aca840b49c58c617e2257f3e40f" hidden="1">#REF!</definedName>
    <definedName name="MLNK20fac060f3db4f53bb3582eabeeb0e24" hidden="1">#REF!</definedName>
    <definedName name="MLNK21d78cce335a47e8ab27ec1350941ca7" hidden="1">#REF!</definedName>
    <definedName name="MLNK2411e5cb7bff402d889283397d34726d" hidden="1">#REF!</definedName>
    <definedName name="MLNK24382ac55747434cbe84f45dcfb87558" hidden="1">#REF!</definedName>
    <definedName name="MLNK244ce5eb9da14a188d20aa5ea094acba" hidden="1">#REF!</definedName>
    <definedName name="MLNK2789e4b38b7f46b69b9d4766b0bc429b" hidden="1">#REF!</definedName>
    <definedName name="MLNK27d320fefa4e405c95e425d38b1adc3e" hidden="1">#REF!</definedName>
    <definedName name="MLNK29b2bb1aa9bf45749e13e66d755fdd6b" hidden="1">#REF!</definedName>
    <definedName name="MLNK2a7da34465b3497c9cc27baaf7ba74a7" hidden="1">#REF!</definedName>
    <definedName name="MLNK2b22fd3110794f1c8d4757cfd586e683" hidden="1">#REF!</definedName>
    <definedName name="MLNK2b9149c4a06640ada2c37fb49eaca1a2" hidden="1">#REF!</definedName>
    <definedName name="MLNK2bfd0b75c2bf4f0bac45103f2dffc4db" hidden="1">#REF!</definedName>
    <definedName name="MLNK2de2a48b620b4e4fbac5812f62d83186" hidden="1">#REF!</definedName>
    <definedName name="MLNK2eaeed4539ad4f4b9cbbf43e4ed28afb" hidden="1">#REF!</definedName>
    <definedName name="MLNK2f0f016eefbb4db68c9e897c2e3499f8" hidden="1">#REF!</definedName>
    <definedName name="MLNK308c9e56529b4852a1df350f7283bb84" hidden="1">#REF!</definedName>
    <definedName name="MLNK30c53cb0e6fd46c39173cd882490e169" hidden="1">#REF!</definedName>
    <definedName name="MLNK33bab530a5194983bf4b4703f77206e6" hidden="1">#REF!</definedName>
    <definedName name="MLNK34446c0eda3740efa955cbb26f178486" hidden="1">#REF!</definedName>
    <definedName name="MLNK34e3e0364e7b455996c004eee5501acd" hidden="1">#REF!</definedName>
    <definedName name="MLNK35459868630e41c0a7cd4448fbf94924" hidden="1">#REF!</definedName>
    <definedName name="MLNK36ca01efc7864a408d74ad660c8067ff" hidden="1">#REF!</definedName>
    <definedName name="MLNK37160acaaf704b628bc0ad174ed738e4" hidden="1">#REF!</definedName>
    <definedName name="MLNK372abd0aff0e4ac8b0c9521d48bcc39c" hidden="1">#REF!</definedName>
    <definedName name="MLNK383e435ce9f444f9959820f25cd226a1" hidden="1">#REF!</definedName>
    <definedName name="MLNK384a12934a284d7a9c70760d85610f5e" hidden="1">#REF!</definedName>
    <definedName name="MLNK3b5cf33141fc47289bdf490a14302e8e" hidden="1">#REF!</definedName>
    <definedName name="MLNK3b9240663d244bc0967fefbea414b6a4" hidden="1">#REF!</definedName>
    <definedName name="MLNK3bbf463efb92434392c6d607f9e86527" hidden="1">#REF!</definedName>
    <definedName name="MLNK3bd7c0e5924841f2ad9ef2b0653da3d7" hidden="1">#REF!</definedName>
    <definedName name="MLNK3c594e3686c1417fa251abb6a654f583" hidden="1">#REF!</definedName>
    <definedName name="MLNK3d82fba1c532431c9f9d70f99e5fcdd4" hidden="1">#REF!</definedName>
    <definedName name="MLNK3e6f96ef26944aa7af6f072c8c7ed5e5" hidden="1">#REF!</definedName>
    <definedName name="MLNK40eaf1033aeb4c62b173a9c4fb3aaf25" hidden="1">#REF!</definedName>
    <definedName name="MLNK453a8aaa7aef4c16a9805aedc7fde307" hidden="1">#REF!</definedName>
    <definedName name="MLNK4658c580a224432eb80f943a7241bb05" hidden="1">#REF!</definedName>
    <definedName name="MLNK465ed50b393240f0bc895eb259a95267" hidden="1">#REF!</definedName>
    <definedName name="MLNK46ac712039c14ebabe61431bb9556b7e" hidden="1">#REF!</definedName>
    <definedName name="MLNK479bc61a53514e77810a2ac220305049" hidden="1">#REF!</definedName>
    <definedName name="MLNK47a3bd0c4d2e4bf0b38af6c9bbf898dc" hidden="1">#REF!</definedName>
    <definedName name="MLNK485607a3bca545f8b55cf9c97b2e9e62" hidden="1">#REF!</definedName>
    <definedName name="MLNK49d1217ec34a4979bba2efd528376dca" hidden="1">#REF!</definedName>
    <definedName name="MLNK49f5392899ef40cb85e53f1ea2c500a6" hidden="1">#REF!</definedName>
    <definedName name="MLNK4c5893de0c6b411dbecc625423767105" hidden="1">#REF!</definedName>
    <definedName name="MLNK4c92e2693961479ca9178be4bfea1401" hidden="1">#REF!</definedName>
    <definedName name="MLNK4d30c65824be4a41a633b26131c2b192" hidden="1">#REF!</definedName>
    <definedName name="MLNK4d4368c2fb29476d84b074219fca3645" hidden="1">#REF!</definedName>
    <definedName name="MLNK4ee2a1786efd49a0a4dc5e745731b145" hidden="1">#REF!</definedName>
    <definedName name="MLNK4f37261b9ecc4dbdb97cf6b3af08ff16" hidden="1">#REF!</definedName>
    <definedName name="MLNK4ff8572370fe4f15bb47aab28d8f8bd2" hidden="1">#REF!</definedName>
    <definedName name="MLNK5022e304572c46cd940c97fef362cf41" hidden="1">#REF!</definedName>
    <definedName name="MLNK5144749db37348199928f12213c7c66e" hidden="1">#REF!</definedName>
    <definedName name="MLNK5174d69f057849e4a042282e9e2296c0" hidden="1">#REF!</definedName>
    <definedName name="MLNK517e4b51d02947e3ba0594260ba0d45e" hidden="1">#REF!</definedName>
    <definedName name="MLNK519de93bf78f47a1891887d3e149a825" hidden="1">#REF!</definedName>
    <definedName name="MLNK52215100950345f7ac4fb1cf09422517" hidden="1">#REF!</definedName>
    <definedName name="MLNK523938909daa4113b5389f7f3367a70b" hidden="1">#REF!</definedName>
    <definedName name="MLNK52622e2fd25943f9b38cacc978394d03" hidden="1">#REF!</definedName>
    <definedName name="MLNK528af4a9e502414ea24e9bb0a0041200" hidden="1">#REF!</definedName>
    <definedName name="MLNK5396b3f096794ec392a4d747f245981f" hidden="1">#REF!</definedName>
    <definedName name="MLNK540009530c974479b128fdaaec98b51d" hidden="1">#REF!</definedName>
    <definedName name="MLNK5427b219985343eb844cf7ee5f64e601" hidden="1">#REF!</definedName>
    <definedName name="MLNK55ad1f9073064640b409adffd2cb8165" hidden="1">#REF!</definedName>
    <definedName name="MLNK596365a0066d4aeb967d6d36a6736762" hidden="1">#REF!</definedName>
    <definedName name="MLNK5a72b3eded524719b5746b0b14f3b6c4" hidden="1">#REF!</definedName>
    <definedName name="MLNK5b2f68d714724a7b9b02126821c61413" hidden="1">#REF!</definedName>
    <definedName name="MLNK5b5905e52d9e40b284e9ac9ffbaf90a0" hidden="1">#REF!</definedName>
    <definedName name="MLNK5c433bc2bff143cf971a50e9def7025b" hidden="1">#REF!</definedName>
    <definedName name="MLNK5df452a98d774da0b7a4c9ae5c37aa38" hidden="1">#REF!</definedName>
    <definedName name="MLNK5e3d26b9b9a84ddca7455fd7f7145399" hidden="1">#REF!</definedName>
    <definedName name="MLNK5e5fc4f1516345b6af18940a03d9cafe" hidden="1">#REF!</definedName>
    <definedName name="MLNK5e857408172044d287c568a5075ee9a5" hidden="1">#REF!</definedName>
    <definedName name="MLNK5ea02ac23f6d4fd383f5d5a7eecdd744" hidden="1">#REF!</definedName>
    <definedName name="MLNK5ea734fd650e44128a317394f222e324" hidden="1">#REF!</definedName>
    <definedName name="MLNK5f48a83efdae4ed8826196cf51d5bc9a" hidden="1">#REF!</definedName>
    <definedName name="MLNK5fd76e0369fb431e94268b472ef5af82" hidden="1">#REF!</definedName>
    <definedName name="MLNK6088f2d54aec4353bcefa5fc3169b2ef" hidden="1">#REF!</definedName>
    <definedName name="MLNK635bee11a1824ba4bd2db7c63bf33d14" hidden="1">#REF!</definedName>
    <definedName name="MLNK6429455a706741b99dcc3ad1ccb404c8" hidden="1">#REF!</definedName>
    <definedName name="MLNK644b676c85b449c6826a8dc93f8070df" hidden="1">#REF!</definedName>
    <definedName name="MLNK65c71766418d4694bd6032beb15991d8" hidden="1">#REF!</definedName>
    <definedName name="MLNK65d6fea9489d44759fe86a382828b089" hidden="1">#REF!</definedName>
    <definedName name="MLNK66d40a0f09914585ae88988f0cd8f2a8" hidden="1">#REF!</definedName>
    <definedName name="MLNK678b903b7eb04cf38383dc3e26fe2330" hidden="1">#REF!</definedName>
    <definedName name="MLNK678ca70bb7df4803ab1d660f38b700ae" hidden="1">#REF!</definedName>
    <definedName name="MLNK679e22ef6b334a10b30277f3c3dfb283" hidden="1">#REF!</definedName>
    <definedName name="MLNK688d691807224a78a76de9b4b3d81713" hidden="1">#REF!</definedName>
    <definedName name="MLNK6966108912cc465b865058aa1f369ef8" hidden="1">#REF!</definedName>
    <definedName name="MLNK69b5bac49e1b459a978447ebd6a321a7" hidden="1">#REF!</definedName>
    <definedName name="MLNK6a4023ae88d0498ab1e29c6ab049f63f" hidden="1">#REF!</definedName>
    <definedName name="MLNK6d4d614547a04ccc8d122cdf30f25a19" hidden="1">#REF!</definedName>
    <definedName name="MLNK6dafe59d938f4663a75ca0727877fad0" hidden="1">#REF!</definedName>
    <definedName name="MLNK6e3746900cb6466aa94ca76ecdfc0dbd" hidden="1">#REF!</definedName>
    <definedName name="MLNK6ea964c653f74013a6e9ae07ca782606" hidden="1">#REF!</definedName>
    <definedName name="MLNK6ff6768252744844943fc133d0bc9a91" hidden="1">#REF!</definedName>
    <definedName name="MLNK701bd67f9ee644ed820e48e4c6c51fd1" hidden="1">#REF!</definedName>
    <definedName name="MLNK7034f501682043b29d7d55ed3acf1bbb" hidden="1">#REF!</definedName>
    <definedName name="MLNK70377839452e4f538165fc304845a919" hidden="1">#REF!</definedName>
    <definedName name="MLNK7103eb4f64694ac089092067afa57978" hidden="1">#REF!</definedName>
    <definedName name="MLNK723b396db9da4b4d947b2e397736fbb5" hidden="1">#REF!</definedName>
    <definedName name="MLNK725819b8362d45c2838b428ce4903aeb" hidden="1">#REF!</definedName>
    <definedName name="MLNK72b7bc16f1dc494ab0fbd76959a4b7d0" hidden="1">#REF!</definedName>
    <definedName name="MLNK7355383a90b8412092281bae261d6baf" hidden="1">#REF!</definedName>
    <definedName name="MLNK736b06d8710a4fbf961591216781fd31" hidden="1">#REF!</definedName>
    <definedName name="MLNK73b5c7b3edcb4c10ab994a0d2374e79d" hidden="1">#REF!</definedName>
    <definedName name="MLNK744582e7439149c6a153946907e12d91" hidden="1">#REF!</definedName>
    <definedName name="MLNK755938f2d24046a6964c1d8e53acbba4" hidden="1">#REF!</definedName>
    <definedName name="MLNK76096c60638340928ee538819b82a413" hidden="1">#REF!</definedName>
    <definedName name="MLNK76bd1ee4a2d045ea9b58c42c3510f247" hidden="1">#REF!</definedName>
    <definedName name="MLNK76fab2f7fe074a458c3c06934b932af0" hidden="1">#REF!</definedName>
    <definedName name="MLNK7812aa6760374fdd9eca2e6083ce8682" hidden="1">#REF!</definedName>
    <definedName name="MLNK78beda1a73364725a75937e8205480c1" hidden="1">#REF!</definedName>
    <definedName name="MLNK794a7ff7f0d34a458ca2ba95fe41531a" hidden="1">#REF!</definedName>
    <definedName name="MLNK797abaf7d30047c28f549b9f33bd5558" hidden="1">#REF!</definedName>
    <definedName name="MLNK797fcebf443a497889da61883b87681b" hidden="1">#REF!</definedName>
    <definedName name="MLNK7af73d6e1a0944daa47edc5ee7861b7f" hidden="1">#REF!</definedName>
    <definedName name="MLNK7c59d6f17a3a44c281ec6c2c2c38459c" hidden="1">#REF!</definedName>
    <definedName name="MLNK7dee903e630649f9b1fc1a70a2b5a344" hidden="1">#REF!</definedName>
    <definedName name="MLNK7f6914a2a6874c84bca30dab787faeac" hidden="1">#REF!</definedName>
    <definedName name="MLNK7fa2602c78e74b62933d3e1484a131f5" hidden="1">#REF!</definedName>
    <definedName name="MLNK7faab2ed727b4d7e942bedb991e140ac" hidden="1">#REF!</definedName>
    <definedName name="MLNK80c4da403d774884b696f664c835d87e" hidden="1">#REF!</definedName>
    <definedName name="MLNK8119969ea85a4738913c6b5ffc4e5b47" hidden="1">#REF!</definedName>
    <definedName name="MLNK816e60b1b42d406cb83b5aea47e651e5" hidden="1">#REF!</definedName>
    <definedName name="MLNK817083a263fd4c02b817bba9652a03fc" hidden="1">#REF!</definedName>
    <definedName name="MLNK83997c3e11034e0497f855cee8017166" hidden="1">#REF!</definedName>
    <definedName name="MLNK83a10c488e524411a5d7255cf51329ff" hidden="1">#REF!</definedName>
    <definedName name="MLNK84490d06fc514eb4a2ba84d5143b01f2" hidden="1">#REF!</definedName>
    <definedName name="MLNK84aa17c5906c42dc82cfd45947152553" hidden="1">#REF!</definedName>
    <definedName name="MLNK84ceb3c0cad04fff8302b3f5397f62b1" hidden="1">#REF!</definedName>
    <definedName name="MLNK84f79b8c28c74229a67b3e38d724aaac" hidden="1">#REF!</definedName>
    <definedName name="MLNK856cf20f4ba04b0f8e48240f5c8283e2" hidden="1">#REF!</definedName>
    <definedName name="MLNK85860e6be238427781715dd6b3f99ceb" hidden="1">#REF!</definedName>
    <definedName name="MLNK863fed94d13e4e1384efe352bd5de863" hidden="1">#REF!</definedName>
    <definedName name="MLNK8670041e3f504b298273c7fb441cf04b" hidden="1">#REF!</definedName>
    <definedName name="MLNK86c8fa4eadc8448fbebef0fba5bbfaa2" hidden="1">#REF!</definedName>
    <definedName name="MLNK87c3859ed7c64f7a9cd37c1e51009512" hidden="1">#REF!</definedName>
    <definedName name="MLNK8888dbbf11db4aa4ac4f46ee6b3f6905" hidden="1">#REF!</definedName>
    <definedName name="MLNK89ad4112f55a43eab4125a53ea36c02e" hidden="1">#REF!</definedName>
    <definedName name="MLNK8a3c33f15cb0460899936a7cfeb71942" hidden="1">#REF!</definedName>
    <definedName name="MLNK8b1a85b14dad4186b7d4a9edb29e734e" hidden="1">#REF!</definedName>
    <definedName name="MLNK8bcb2c10f3ab48c5b9c8c0d7c6d76f5f" hidden="1">#REF!</definedName>
    <definedName name="MLNK8d53dd43989a48b4aa46a95c36e95c4b" hidden="1">#REF!</definedName>
    <definedName name="MLNK8e1d08524e9645799eca34b2c1a3676d" hidden="1">#REF!</definedName>
    <definedName name="MLNK8ebe2f2fa5844f40862558eb44269a1b" hidden="1">#REF!</definedName>
    <definedName name="MLNK8f2833a18d1442d79d9cad7416936b64" hidden="1">#REF!</definedName>
    <definedName name="MLNK8f6b7a3388644ac4a680a6ed038c530c" hidden="1">#REF!</definedName>
    <definedName name="MLNK8fa2458f8fc1409c9fc14049453e719f" hidden="1">#REF!</definedName>
    <definedName name="MLNK905d361164f64aa49bae69da49e71a02" hidden="1">#REF!</definedName>
    <definedName name="MLNK90a1892e6e314bc790fdce17fff28cd6" hidden="1">#REF!</definedName>
    <definedName name="MLNK91d6707331574eb9a27337eecfd6a166" hidden="1">#REF!</definedName>
    <definedName name="MLNK91ff59e1cb504e9cb9603c5801641617" hidden="1">#REF!</definedName>
    <definedName name="MLNK930992c9ff72469a886a317c78db1148" hidden="1">#REF!</definedName>
    <definedName name="MLNK941d7b51de6540e3bda2b0deab6122a2" hidden="1">#REF!</definedName>
    <definedName name="MLNK98115a3f25a94b8089b62605e1a5b9ae" hidden="1">#REF!</definedName>
    <definedName name="MLNK98b7c86d5f244f72833d95cd83a81686" hidden="1">#REF!</definedName>
    <definedName name="MLNK98f98db2133b4a40a1ad135fe286d3e6" hidden="1">#REF!</definedName>
    <definedName name="MLNK997d31598d1647c3820a3135f82fe9db" hidden="1">#REF!</definedName>
    <definedName name="MLNK998aa4e2cad641329c50826f69f20af3" hidden="1">#REF!</definedName>
    <definedName name="MLNK99d8485050b744b68dca90391c5b0b8c" hidden="1">#REF!</definedName>
    <definedName name="MLNK9a5dca0e000c4db184ef6f3e0137ed50" hidden="1">#REF!</definedName>
    <definedName name="MLNK9ac8c0852c29405ea552ad53346ea653" hidden="1">#REF!</definedName>
    <definedName name="MLNK9b6842c5461844be83497944c132feb7" hidden="1">#REF!</definedName>
    <definedName name="MLNK9b991932d17647aaa26719ff85bc3665" hidden="1">#REF!</definedName>
    <definedName name="MLNK9ceff0982f05451dadf9dbdfced4b4c9" hidden="1">#REF!</definedName>
    <definedName name="MLNK9dfd39fc179c428cbcac856bc6d93c7e" hidden="1">#REF!</definedName>
    <definedName name="MLNK9f1f0951ba784de9bc77a01b46bb665f" hidden="1">#REF!</definedName>
    <definedName name="MLNK9f29236c5f324f1799d3c222f2dd3c48" hidden="1">#REF!</definedName>
    <definedName name="MLNKa08bd6a42f9d418b928153f025ec4f16" hidden="1">#REF!</definedName>
    <definedName name="MLNKa2883d99854c4305802463d2970cd9fa" hidden="1">#REF!</definedName>
    <definedName name="MLNKa28b9dd67d9f41efab39da9ce80fc8ff" hidden="1">#REF!</definedName>
    <definedName name="MLNKa3a9e19603284ff183799f7033d0807f" hidden="1">#REF!</definedName>
    <definedName name="MLNKa3f64da458be4bb2bae54f6be6f5aef4" hidden="1">#REF!</definedName>
    <definedName name="MLNKa698b40a68bb400ead3314f6c5c1e48d" hidden="1">#REF!</definedName>
    <definedName name="MLNKa6a384ea77b44ca78c68befd575e7f3d" hidden="1">#REF!</definedName>
    <definedName name="MLNKa6fe67143b9640d795f95616f9e12da3" hidden="1">#REF!</definedName>
    <definedName name="MLNKa82e69ad7f994a6299e4e208b01e7d41" hidden="1">#REF!</definedName>
    <definedName name="MLNKa89aba8198604a8282aee6fb6bac6629" hidden="1">#REF!</definedName>
    <definedName name="MLNKa9d12f14bc064a12beda5eb29307e262" hidden="1">#REF!</definedName>
    <definedName name="MLNKaa126e3653fa4e4eab53a6f66c9651dc" hidden="1">#REF!</definedName>
    <definedName name="MLNKaa29980c452e4d358677bb1e580c1193" hidden="1">#REF!</definedName>
    <definedName name="MLNKab7636916cab4015a2544697742b41fa" hidden="1">#REF!</definedName>
    <definedName name="MLNKac55b2c50c4e4f0a99736144d3961e2e" hidden="1">#REF!</definedName>
    <definedName name="MLNKae2627f2f4fc48ccab41e7c8b27010c8" hidden="1">#REF!</definedName>
    <definedName name="MLNKae491f95828d4cdf8a41545d5829b3d4" hidden="1">#REF!</definedName>
    <definedName name="MLNKae5999c51bbb4a64b9344d35de61ee41" hidden="1">#REF!</definedName>
    <definedName name="MLNKae74a2606e5b4399b650dc6a8ca0db68" hidden="1">#REF!</definedName>
    <definedName name="MLNKaf806fd38a224e63b170505b779852b7" hidden="1">#REF!</definedName>
    <definedName name="MLNKb0dac471e373470a8123352482295ff0" hidden="1">#REF!</definedName>
    <definedName name="MLNKb17369c5ccfc40cca3be6bba00d691ca" hidden="1">#REF!</definedName>
    <definedName name="MLNKb1c7ddff5c4a4510a47e62c7d89fde0d" hidden="1">#REF!</definedName>
    <definedName name="MLNKb295d139e45442b885c0b2b32e8eb129" hidden="1">#REF!</definedName>
    <definedName name="MLNKb311cae9209542108710885411eddc83" hidden="1">#REF!</definedName>
    <definedName name="MLNKb345ff110a1641d683d1c3089278d440" hidden="1">#REF!</definedName>
    <definedName name="MLNKb346db5dc1134deb8f6d4da3fabf0cf2" hidden="1">#REF!</definedName>
    <definedName name="MLNKb434e258586142c4915e8489b226efb9" hidden="1">#REF!</definedName>
    <definedName name="MLNKb46f9cb2e28c4f49abaf45a18e5b218d" hidden="1">#REF!</definedName>
    <definedName name="MLNKb4a264961fd24bccbcdc50499ff26aad" hidden="1">#REF!</definedName>
    <definedName name="MLNKb5abeb83c63e48d1aa1cf2962ef3cdc4" hidden="1">#REF!</definedName>
    <definedName name="MLNKb5bba9e2157e4cab95fe027f047ebfae" hidden="1">#REF!</definedName>
    <definedName name="MLNKb6d6dd8844574d539b0bf3b983492e85" hidden="1">#REF!</definedName>
    <definedName name="MLNKb75d9366f3bd42278af280517ed8e049" hidden="1">#REF!</definedName>
    <definedName name="MLNKb81c88c55ca74dda9fbb12243eed3e20" hidden="1">#REF!</definedName>
    <definedName name="MLNKb84cf785ba454ce0bf291530d5446681" hidden="1">#REF!</definedName>
    <definedName name="MLNKb94a51c76e254601a2f178d46ed37eca" hidden="1">#REF!</definedName>
    <definedName name="MLNKb9ca99d7c9864621892fef5f033f278b" hidden="1">#REF!</definedName>
    <definedName name="MLNKb9f754aa51234997a4880324f84745bb" hidden="1">#REF!</definedName>
    <definedName name="MLNKbab8316fe2594d65a55caed63c1cdd4d" hidden="1">#REF!</definedName>
    <definedName name="MLNKbd3e8feecc1e43889a74c3f788cbf946" hidden="1">#REF!</definedName>
    <definedName name="MLNKbdb9fb7b1d42448bbf01e8474377d8d5" hidden="1">#REF!</definedName>
    <definedName name="MLNKbdd3cd11df9c436f96fd476e16ef670c" hidden="1">#REF!</definedName>
    <definedName name="MLNKbfc1818f65854692a07791d5581b7400" hidden="1">#REF!</definedName>
    <definedName name="MLNKc20401f235e04b6a82fdbe148afb2c4b" hidden="1">#REF!</definedName>
    <definedName name="MLNKc2e0434b8f2642e7a9f2b9bd5f8a29a8" hidden="1">#REF!</definedName>
    <definedName name="MLNKc4ee032cc5e54bf4bc875e689a03776f" hidden="1">#REF!</definedName>
    <definedName name="MLNKc51629cbed0648bfa17b3b188601aafe" hidden="1">#REF!</definedName>
    <definedName name="MLNKc52f12777b74490384881256335a7bb6" hidden="1">#REF!</definedName>
    <definedName name="MLNKc5f31f4d332541259549f5d3ff78b87b" hidden="1">#REF!</definedName>
    <definedName name="MLNKc6ac033e82464932b889cfcce3608557" hidden="1">#REF!</definedName>
    <definedName name="MLNKc6b6089dcd3e436882256ca318dd18ba" hidden="1">#REF!</definedName>
    <definedName name="MLNKc71a4975c7ab434d83b3383ee61e9225" hidden="1">#REF!</definedName>
    <definedName name="MLNKc82caa7e415c441593891b7b26cb36da" hidden="1">#REF!</definedName>
    <definedName name="MLNKcc4ace54fe3645dfb7903fc8fdede1c8" hidden="1">#REF!</definedName>
    <definedName name="MLNKcd9829540eec475e8599257d7af9f92c" hidden="1">#REF!</definedName>
    <definedName name="MLNKcdc923b50deb44a982c8d315e0c4120b" hidden="1">#REF!</definedName>
    <definedName name="MLNKcdd7963aeadc413babe72caaf824bb45" hidden="1">#REF!</definedName>
    <definedName name="MLNKcf0a377a468048658d11166831ab2043" hidden="1">#REF!</definedName>
    <definedName name="MLNKcf168e30e8ad4373b3219e1913320e27" hidden="1">#REF!</definedName>
    <definedName name="MLNKcf879a21ce7346cd8ec61d80d13225ac" hidden="1">#REF!</definedName>
    <definedName name="MLNKd05900f203364beda70dd2b009796af6" hidden="1">#REF!</definedName>
    <definedName name="MLNKd19114a1ce7c4b5ca5918b7b346f8858" hidden="1">#REF!</definedName>
    <definedName name="MLNKd1f8353484084f478cade8155bcc2a5b" hidden="1">#REF!</definedName>
    <definedName name="MLNKd214b0d5a54d48cd8c8d2b376c88a319" hidden="1">#REF!</definedName>
    <definedName name="MLNKd2274ca122b74f0b93ae2babfd443035" hidden="1">#REF!</definedName>
    <definedName name="MLNKd236c435973e4436a94a1e558f577cbd" hidden="1">#REF!</definedName>
    <definedName name="MLNKd2d7c772ab204b719dbd1b0e5df5790b" hidden="1">#REF!</definedName>
    <definedName name="MLNKd30f54fb61254cc4a643559986a71a22" hidden="1">#REF!</definedName>
    <definedName name="MLNKd3996deb64cc4b1aacbaf16886c67c74" hidden="1">#REF!</definedName>
    <definedName name="MLNKd4fddaf4390e48d5905bd6b43e9c175b" hidden="1">#REF!</definedName>
    <definedName name="MLNKd54ee578130e4ce593a1989537e0fab3" hidden="1">#REF!</definedName>
    <definedName name="MLNKd6459917d49a49769073cae59c25ac63" hidden="1">#REF!</definedName>
    <definedName name="MLNKd75a97d5eb9b493c95b15d73182dff50" hidden="1">#REF!</definedName>
    <definedName name="MLNKd80ec573312f48f3b04af354c7f22023" hidden="1">#REF!</definedName>
    <definedName name="MLNKd884042ad0894330992e5da81ec2cffd" hidden="1">#REF!</definedName>
    <definedName name="MLNKd95847544a7e4ccca32fd475760fc475" hidden="1">#REF!</definedName>
    <definedName name="MLNKd9dc13f2d3a340aa9c43dd0d78a04a4d" hidden="1">#REF!</definedName>
    <definedName name="MLNKd9e52f045da34df1a002e6da57db1b88" hidden="1">#REF!</definedName>
    <definedName name="MLNKda21786c186e4d87a69d38c92791c49d" hidden="1">#REF!</definedName>
    <definedName name="MLNKdaf4fd3f8c604159bbb081e2606ecff2" hidden="1">#REF!</definedName>
    <definedName name="MLNKdb3f8278ffb247fd94e1a79aac9a635d" hidden="1">#REF!</definedName>
    <definedName name="MLNKdc85d8c0e3fd4b2b9d1ced6e92c8967e" hidden="1">#REF!</definedName>
    <definedName name="MLNKdcdd9af4a86d41a5a3cf7c7fa583b5a3" hidden="1">#REF!</definedName>
    <definedName name="MLNKdcf49e99b17c4ca0a6b35a87994110a4" hidden="1">#REF!</definedName>
    <definedName name="MLNKde2590066e634cf6940e4229ebae8204" hidden="1">#REF!</definedName>
    <definedName name="MLNKde8b00841d2c4fd6905392590ae0496c" hidden="1">#REF!</definedName>
    <definedName name="MLNKdf29e1fc48674938992ca5f99261be73" hidden="1">#REF!</definedName>
    <definedName name="MLNKdf2c3b1573554ae989f7a974e53b719c" hidden="1">#REF!</definedName>
    <definedName name="MLNKe097aca64c5d468890b2a9b538c5eae1" hidden="1">#REF!</definedName>
    <definedName name="MLNKe18ba5d4c0214fb68e1fed427c2b8389" hidden="1">#REF!</definedName>
    <definedName name="MLNKe1b0f51d07c7441498e246c4b07a075a" hidden="1">#REF!</definedName>
    <definedName name="MLNKe268d983b74d4a328512940b826532c5" hidden="1">#REF!</definedName>
    <definedName name="MLNKe2ed17321bf14ac39821675da96cbb64" hidden="1">#REF!</definedName>
    <definedName name="MLNKe413ae76ac2842fd8c9f5692bba30418" hidden="1">#REF!</definedName>
    <definedName name="MLNKe4dbd13a8f664e26a623e7f24fd3b4b7" hidden="1">#REF!</definedName>
    <definedName name="MLNKe5e3b1913fce444b83cb1f567fa0f6ab" hidden="1">#REF!</definedName>
    <definedName name="MLNKe5ed8b85980d46fc844564088c5c9078" hidden="1">#REF!</definedName>
    <definedName name="MLNKe6068e0369c7470786d84aa6cc04702a" hidden="1">#REF!</definedName>
    <definedName name="MLNKe6577c5446e64e13926c4fed4340c717" hidden="1">#REF!</definedName>
    <definedName name="MLNKe762a070e43148d5b0cbdfc7e2f7643c" hidden="1">#REF!</definedName>
    <definedName name="MLNKe76d1c30b4eb4a0da8027774517610e8" hidden="1">#REF!</definedName>
    <definedName name="MLNKe79b3d09bf3c4683af4faf301a21f8af" hidden="1">#REF!</definedName>
    <definedName name="MLNKe83b3c61549d4f47b59e11acd5f83c34" hidden="1">#REF!</definedName>
    <definedName name="MLNKe9995d9c321243318f925ccbc206d07b" hidden="1">#REF!</definedName>
    <definedName name="MLNKea2c55a764514f12a9ebde99b5170901" hidden="1">#REF!</definedName>
    <definedName name="MLNKeb4b30284ee240a19381ed6b0ec7f275" hidden="1">#REF!</definedName>
    <definedName name="MLNKec10569efce84a13bda8f67f6d3ee18b" hidden="1">#REF!</definedName>
    <definedName name="MLNKec332e7fd23d499b8e4655d8952db79c" hidden="1">#REF!</definedName>
    <definedName name="MLNKeccd459f2e484acca574097f67043bff" hidden="1">#REF!</definedName>
    <definedName name="MLNKed2517cdc41444469905593e9834ea52" hidden="1">#REF!</definedName>
    <definedName name="MLNKed572b6599e3465cb118258854e40531" hidden="1">#REF!</definedName>
    <definedName name="MLNKedb5ce10b058453faa4fc97c53267f47" hidden="1">#REF!</definedName>
    <definedName name="MLNKee3f92f405114693806989f4e1157675" hidden="1">#REF!</definedName>
    <definedName name="MLNKee6009809ac8423dbe78d75c47656b17" hidden="1">#REF!</definedName>
    <definedName name="MLNKefb24792760f4103a52f98ff4de7561c" hidden="1">#REF!</definedName>
    <definedName name="MLNKf00f9967138b487c87729c51464a6c74" hidden="1">#REF!</definedName>
    <definedName name="MLNKf09238bdc5394acab42c7479b694e9cd" hidden="1">#REF!</definedName>
    <definedName name="MLNKf228051e3b254850b0e48e72a4047515" hidden="1">#REF!</definedName>
    <definedName name="MLNKf4743a4ee4cd411f91d538d32364806c" hidden="1">#REF!</definedName>
    <definedName name="MLNKf5b0ca48849c4406ae54c772bdaaaed1" hidden="1">#REF!</definedName>
    <definedName name="MLNKf6ac64467e9e484a8df8d1f2e261ab52" hidden="1">#REF!</definedName>
    <definedName name="MLNKf6ccc57de6e340aaa0594ee9597ee343" hidden="1">#REF!</definedName>
    <definedName name="MLNKf77df9d6d88c48518ad3db3cda454da3" hidden="1">#REF!</definedName>
    <definedName name="MLNKf7ff639c55f44a93a7b52b4923b84015" hidden="1">#REF!</definedName>
    <definedName name="MLNKf8a979ee68634d5f89a7d4f033ff7165" hidden="1">#REF!</definedName>
    <definedName name="MLNKf8c92c2e7e1e4736ab002eb619e9649c" hidden="1">#REF!</definedName>
    <definedName name="MLNKfb40683c10ee45dcb294f7c529134be8" hidden="1">#REF!</definedName>
    <definedName name="MLNKfbaf3bf9d6cc44fc8658f6aa65c601e1" hidden="1">#REF!</definedName>
    <definedName name="MLNKfbec82ccefb94f0ea6b772ec8c237d64" hidden="1">#REF!</definedName>
    <definedName name="MLNKfd0c738365244d4e9fd33906adb251a3" hidden="1">#REF!</definedName>
    <definedName name="MLNKfe91eb181d674acfb866254c1024b9f1" hidden="1">#REF!</definedName>
    <definedName name="MLNKfeceea57d9c041e8a1805740c1118e25" hidden="1">#REF!</definedName>
    <definedName name="mlw" hidden="1">{#N/A,#N/A,FALSE,"Pharm";#N/A,#N/A,FALSE,"WWCM"}</definedName>
    <definedName name="MM" hidden="1">"3SZIB3AZEUR09DXQ1IOMTIM15"</definedName>
    <definedName name="mmk" hidden="1">{"Pg1",#N/A,FALSE,"OpExYTDvsBud";"Pg2",#N/A,FALSE,"OpExYTDvsBud"}</definedName>
    <definedName name="mmm" hidden="1">{"'Form'!$A$2:$J$81"}</definedName>
    <definedName name="mmmm" hidden="1">{#N/A,#N/A,FALSE,"Hoja10";#N/A,#N/A,FALSE,"Hoja9";#N/A,#N/A,FALSE,"Hoja8";#N/A,#N/A,FALSE,"Hoja7";#N/A,#N/A,FALSE,"Hoja6";#N/A,#N/A,FALSE,"Hoja5";#N/A,#N/A,FALSE,"Hoja4";#N/A,#N/A,FALSE,"Hoja2";#N/A,#N/A,FALSE,"Hoja3";#N/A,#N/A,FALSE,"HOJA1";#N/A,#N/A,FALSE,"CashFlow";#N/A,#N/A,FALSE,"FinStmts"}</definedName>
    <definedName name="mmmmm" hidden="1">{#N/A,#N/A,FALSE,"Calc";#N/A,#N/A,FALSE,"Sensitivity";#N/A,#N/A,FALSE,"LT Earn.Dil.";#N/A,#N/A,FALSE,"Dil. AVP"}</definedName>
    <definedName name="mmmmmm" hidden="1">{#N/A,#N/A,FALSE,"Contribution Analysis"}</definedName>
    <definedName name="MMMMMMM" hidden="1">{#N/A,#N/A,FALSE,"Cover Sheet";#N/A,#N/A,FALSE,"Ave_Trans_Shp_Abs";#N/A,#N/A,FALSE,"Det_Shp_Abs";#N/A,#N/A,FALSE,"Ave_Trans_Inst_Abs";#N/A,#N/A,FALSE,"Det_Ins_Abs";#N/A,#N/A,FALSE,"Ave_Trans_Tot_ABS";#N/A,#N/A,FALSE,"Det_Total_ABS"}</definedName>
    <definedName name="mmmmmmmhm" hidden="1">{"mgmt forecast",#N/A,FALSE,"Mgmt Forecast";"dcf table",#N/A,FALSE,"Mgmt Forecast";"sensitivity",#N/A,FALSE,"Mgmt Forecast";"table inputs",#N/A,FALSE,"Mgmt Forecast";"calculations",#N/A,FALSE,"Mgmt Forecast"}</definedName>
    <definedName name="mmmmmmmm" hidden="1">{#N/A,#N/A,FALSE,"ORIX CSC"}</definedName>
    <definedName name="mmmmmmmmmmmmm" hidden="1">{#N/A,#N/A,TRUE,"CF brut";#N/A,#N/A,TRUE,"CashFlow";#N/A,#N/A,TRUE,"RCE";#N/A,#N/A,TRUE,"amort"}</definedName>
    <definedName name="mmmmmmmmmmmmmmmmmmmmmmmmmmmmmmm" hidden="1">{#N/A,#N/A,FALSE,"Staffnos &amp; cost"}</definedName>
    <definedName name="mmp" hidden="1">{"detail",#N/A,FALSE,"mfg";"summary",#N/A,FALSE,"mfg"}</definedName>
    <definedName name="mnbv" hidden="1">{"Month Summary",#N/A,FALSE,"Summary";"Total Details",#N/A,FALSE,"Current Yr";"Polymers Details",#N/A,FALSE,"Current Yr";"Performance Details",#N/A,FALSE,"Current Yr";"ICD Details",#N/A,FALSE,"Current Yr"}</definedName>
    <definedName name="mnbzu"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mnh" hidden="1">{#N/A,#N/A,FALSE,"Aging Summary";#N/A,#N/A,FALSE,"Ratio Analysis";#N/A,#N/A,FALSE,"Test 120 Day Accts";#N/A,#N/A,FALSE,"Tickmarks"}</definedName>
    <definedName name="mnmn" hidden="1">{"detail",#N/A,FALSE,"mfg";"summary",#N/A,FALSE,"mfg"}</definedName>
    <definedName name="mnnb" hidden="1">{#N/A,#N/A,FALSE,"PMW Gruppe 99_98";#N/A,#N/A,FALSE,"PMW KG 98_99";#N/A,#N/A,FALSE,"PMW Inc. 99_98";#N/A,#N/A,FALSE,"PMW VTECH 99_98";#N/A,#N/A,FALSE,"PMW Thail. 99_98";#N/A,#N/A,FALSE,"PMW Canada 99_98";#N/A,#N/A,FALSE,"Währungsabw. 99_98"}</definedName>
    <definedName name="model2" hidden="1">{#N/A,#N/A,FALSE,"Rev Grwth";#N/A,#N/A,FALSE,"Op Inc Grwth";#N/A,#N/A,FALSE,"Net Grwth";#N/A,#N/A,FALSE,"EPS Growth"}</definedName>
    <definedName name="MODER" hidden="1">{"'Data'!$A$1:$D$17"}</definedName>
    <definedName name="Modification.Time" hidden="1">"12/30/99 14:40:33"</definedName>
    <definedName name="mokp" hidden="1">{"QTD_LPO2N2",#N/A,FALSE,"QTD"}</definedName>
    <definedName name="mon" hidden="1">{"page 1",#N/A,FALSE,"A";"page 2",#N/A,FALSE,"A";"page 3",#N/A,FALSE,"A";"page 4",#N/A,FALSE,"A";"page 5",#N/A,FALSE,"A";"page 6",#N/A,FALSE,"A";"page 7",#N/A,FALSE,"A";"page 8",#N/A,FALSE,"A";"page 9",#N/A,FALSE,"A";"page 10",#N/A,FALSE,"A";"page 11",#N/A,FALSE,"A";"page 12",#N/A,FALSE,"A";"page 13",#N/A,FALSE,"A";"page 14",#N/A,FALSE,"A"}</definedName>
    <definedName name="Monat" hidden="1">#REF!</definedName>
    <definedName name="MoreThanOne" hidden="1">#REF!</definedName>
    <definedName name="MoreThanOneMember" hidden="1">#REF!</definedName>
    <definedName name="morto" hidden="1">{"FY98Q1 var",#N/A,FALSE,"FY98 - Q1";"FY98Q2 var",#N/A,FALSE,"FY98 - Q2";"FY98Q3 var",#N/A,FALSE,"FY98 - Q3";"FY98Q4 var",#N/A,FALSE,"FY98 - Q4"}</definedName>
    <definedName name="Motor" hidden="1">{#N/A,#N/A,FALSE,"Bl. 1";#N/A,#N/A,FALSE,"Bl. 2";#N/A,#N/A,FALSE,"Bl. 3";#N/A,#N/A,FALSE,"Bl. 4";#N/A,#N/A,FALSE,"Bl. 6";#N/A,#N/A,FALSE,"Bl. 7";#N/A,#N/A,FALSE,"BL. 8";#N/A,#N/A,FALSE,"Bl. 9";#N/A,#N/A,FALSE,"Bl. 10";#N/A,#N/A,FALSE,"Bl. 12"}</definedName>
    <definedName name="Motortransferpreise" hidden="1">{#N/A,#N/A,FALSE,"Bl. 1";#N/A,#N/A,FALSE,"Bl. 2";#N/A,#N/A,FALSE,"Bl. 3";#N/A,#N/A,FALSE,"Bl. 4";#N/A,#N/A,FALSE,"Bl. 6";#N/A,#N/A,FALSE,"Bl. 7";#N/A,#N/A,FALSE,"BL. 8";#N/A,#N/A,FALSE,"Bl. 9";#N/A,#N/A,FALSE,"Bl. 10";#N/A,#N/A,FALSE,"Bl. 12"}</definedName>
    <definedName name="MOVED" hidden="1">{"CHART",#N/A,FALSE,"Arch Communications"}</definedName>
    <definedName name="mr"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MRG" hidden="1">{"INCOME",#N/A,FALSE,"ProNet";"VALUE",#N/A,FALSE,"ProNet"}</definedName>
    <definedName name="MRL" hidden="1">{"REVISED",#N/A,FALSE,"Sheet1"}</definedName>
    <definedName name="MRLpresent" hidden="1">{#N/A,#N/A,FALSE,"Assumptions";#N/A,#N/A,FALSE,"Volumes";#N/A,#N/A,FALSE,"Pricing";#N/A,#N/A,FALSE,"Variable Cost";#N/A,#N/A,FALSE,"Investment";#N/A,#N/A,FALSE,"Profitability";#N/A,#N/A,FALSE,"Business Comparison"}</definedName>
    <definedName name="mrtry" hidden="1">{"'Server Configuration'!$A$1:$DB$281"}</definedName>
    <definedName name="MS.CreatedAt" hidden="1">"30.06.1998 11:53:43"</definedName>
    <definedName name="MS.CreatedBy" hidden="1">"JMA"</definedName>
    <definedName name="MS.ModifiedAt" hidden="1">"20.04.1999 10:43:12"</definedName>
    <definedName name="MS.ModifiedBy" hidden="1">"RL"</definedName>
    <definedName name="MS.Version" hidden="1">"1.0.2"</definedName>
    <definedName name="msgjsj"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msthkshkshk" hidden="1">{#N/A,#N/A,FALSE,"ACQ_GRAPHS";#N/A,#N/A,FALSE,"T_1 GRAPHS";#N/A,#N/A,FALSE,"T_2 GRAPHS";#N/A,#N/A,FALSE,"COMB_GRAPHS"}</definedName>
    <definedName name="mtr" hidden="1">{"'WS Sales by Rep'!$A$24:$L$46"}</definedName>
    <definedName name="MTUFN" hidden="1">{"mgmt forecast",#N/A,FALSE,"Mgmt Forecast";"dcf table",#N/A,FALSE,"Mgmt Forecast";"sensitivity",#N/A,FALSE,"Mgmt Forecast";"table inputs",#N/A,FALSE,"Mgmt Forecast";"calculations",#N/A,FALSE,"Mgmt Forecast"}</definedName>
    <definedName name="multcash1" hidden="1">#REF!</definedName>
    <definedName name="multcash2" hidden="1">#REF!</definedName>
    <definedName name="multcash4" hidden="1">#REF!</definedName>
    <definedName name="multformrow" hidden="1">#REF!</definedName>
    <definedName name="multformrow2" hidden="1">#REF!</definedName>
    <definedName name="multformrow4" hidden="1">#REF!</definedName>
    <definedName name="Multipli" hidden="1">{"'Sheet1'!$A$1:$H$96"}</definedName>
    <definedName name="multtable" hidden="1">#REF!</definedName>
    <definedName name="muroi" hidden="1">#N/A</definedName>
    <definedName name="mvicebit_col" hidden="1">#REF!</definedName>
    <definedName name="mvicebitda_col" hidden="1">#REF!</definedName>
    <definedName name="mvicprojebitda_col" hidden="1">#REF!</definedName>
    <definedName name="mvicrev_col" hidden="1">#REF!</definedName>
    <definedName name="mw" hidden="1">{#N/A,#N/A,FALSE,"Pharm";#N/A,#N/A,FALSE,"WWCM"}</definedName>
    <definedName name="mymyy" hidden="1">{"'Other IPS'!$A$5","'Other IPS'!$A$4:$K$38"}</definedName>
    <definedName name="myurr" hidden="1">{"'Other IPS'!$A$5","'Other IPS'!$A$4:$K$38"}</definedName>
    <definedName name="N" hidden="1">55</definedName>
    <definedName name="NA" hidden="1">{#N/A,#N/A,FALSE,"Consol P&amp;L ";#N/A,#N/A,FALSE,"CP P&amp;L";#N/A,#N/A,FALSE,"ADS P&amp;L";#N/A,#N/A,FALSE,"Corp P&amp;L"}</definedName>
    <definedName name="NAIRB"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am90ng" hidden="1">{"detail",#N/A,FALSE,"mfg";"summary",#N/A,FALSE,"mfg"}</definedName>
    <definedName name="nam9njk" hidden="1">{"detail",#N/A,FALSE,"mfg";"summary",#N/A,FALSE,"mfg"}</definedName>
    <definedName name="name10" hidden="1">{"detail",#N/A,FALSE,"mfg";"summary",#N/A,FALSE,"mfg"}</definedName>
    <definedName name="name101" hidden="1">{"detail",#N/A,FALSE,"mfg";"summary",#N/A,FALSE,"mfg"}</definedName>
    <definedName name="name102" hidden="1">{"detail",#N/A,FALSE,"mfg";"summary",#N/A,FALSE,"mfg"}</definedName>
    <definedName name="name11" hidden="1">{"detail",#N/A,FALSE,"mfg";"summary",#N/A,FALSE,"mfg"}</definedName>
    <definedName name="name12" hidden="1">{"detail",#N/A,FALSE,"mfg";"summary",#N/A,FALSE,"mfg"}</definedName>
    <definedName name="name202" hidden="1">{"detail",#N/A,FALSE,"mfg";"summary",#N/A,FALSE,"mfg"}</definedName>
    <definedName name="name203" hidden="1">{"detail",#N/A,FALSE,"mfg";"summary",#N/A,FALSE,"mfg"}</definedName>
    <definedName name="name212" hidden="1">{"detail",#N/A,FALSE,"mfg";"summary",#N/A,FALSE,"mfg"}</definedName>
    <definedName name="name213" hidden="1">{"detail",#N/A,FALSE,"mfg";"summary",#N/A,FALSE,"mfg"}</definedName>
    <definedName name="name3" hidden="1">{"Summary",#N/A,FALSE,"Covenants";"Detailed summary",#N/A,FALSE,"Covenants"}</definedName>
    <definedName name="name31" hidden="1">{"detail",#N/A,FALSE,"mfg";"summary",#N/A,FALSE,"mfg"}</definedName>
    <definedName name="name32" hidden="1">{"detail",#N/A,FALSE,"mfg";"summary",#N/A,FALSE,"mfg"}</definedName>
    <definedName name="name34" hidden="1">{"detail",#N/A,FALSE,"mfg";"summary",#N/A,FALSE,"mfg"}</definedName>
    <definedName name="name35" hidden="1">{"detail",#N/A,FALSE,"mfg";"summary",#N/A,FALSE,"mfg"}</definedName>
    <definedName name="NAME41" hidden="1">{"detail",#N/A,FALSE,"mfg";"summary",#N/A,FALSE,"mfg"}</definedName>
    <definedName name="name412" hidden="1">{"detail",#N/A,FALSE,"mfg";"summary",#N/A,FALSE,"mfg"}</definedName>
    <definedName name="name413" hidden="1">{"detail",#N/A,FALSE,"mfg";"summary",#N/A,FALSE,"mfg"}</definedName>
    <definedName name="name42" hidden="1">{"detail",#N/A,FALSE,"mfg";"summary",#N/A,FALSE,"mfg"}</definedName>
    <definedName name="name45" hidden="1">{"detail",#N/A,FALSE,"mfg";"summary",#N/A,FALSE,"mfg"}</definedName>
    <definedName name="name51" hidden="1">{"detail",#N/A,FALSE,"mfg";"summary",#N/A,FALSE,"mfg"}</definedName>
    <definedName name="name54ghs" hidden="1">{"detail",#N/A,FALSE,"mfg";"summary",#N/A,FALSE,"mfg"}</definedName>
    <definedName name="name56a" hidden="1">{"detail",#N/A,FALSE,"mfg";"summary",#N/A,FALSE,"mfg"}</definedName>
    <definedName name="name56a56" hidden="1">{"detail",#N/A,FALSE,"mfg";"summary",#N/A,FALSE,"mfg"}</definedName>
    <definedName name="name61" hidden="1">{"detail",#N/A,FALSE,"mfg";"summary",#N/A,FALSE,"mfg"}</definedName>
    <definedName name="name71" hidden="1">{"detail",#N/A,FALSE,"mfg";"summary",#N/A,FALSE,"mfg"}</definedName>
    <definedName name="name89shj" hidden="1">{"detail",#N/A,FALSE,"mfg";"summary",#N/A,FALSE,"mfg"}</definedName>
    <definedName name="namea101" hidden="1">{"detail",#N/A,FALSE,"mfg";"summary",#N/A,FALSE,"mfg"}</definedName>
    <definedName name="nameb45" hidden="1">{"detail",#N/A,FALSE,"mfg";"summary",#N/A,FALSE,"mfg"}</definedName>
    <definedName name="nameiges" hidden="1">{"detail",#N/A,FALSE,"mfg";"summary",#N/A,FALSE,"mfg"}</definedName>
    <definedName name="namenskonfl4" hidden="1">{"TeleKomplett",#N/A,TRUE,"Tele";"gfKomplett",#N/A,TRUE,"Gf";"MktKomplett",#N/A,TRUE,"Mkt";"RTLTextKomplett",#N/A,TRUE,"RTLText";"ATXITVKomplett",#N/A,TRUE,"ATXITV";"TechKomplett",#N/A,TRUE,"Tech";"Pufferkomplett",#N/A,TRUE,"Puffer"}</definedName>
    <definedName name="NameS" hidden="1">"10.1.0.2"</definedName>
    <definedName name="nanai" hidden="1">{"FY97Tot nvs",#N/A,FALSE,"FY97 - Total";"FY98Tot nvs",#N/A,FALSE,"FY98 - Total"}</definedName>
    <definedName name="NANAO" hidden="1">{"FY98Q1 var",#N/A,FALSE,"FY98 - Q1";"FY98Q2 var",#N/A,FALSE,"FY98 - Q2";"FY98Q3 var",#N/A,FALSE,"FY98 - Q3";"FY98Q4 var",#N/A,FALSE,"FY98 - Q4"}</definedName>
    <definedName name="nanda" hidden="1">{#N/A,#N/A,FALSE,"Staffnos &amp; cost"}</definedName>
    <definedName name="NATALE" hidden="1">{"FY98Q1 nvs",#N/A,FALSE,"FY98 - Q1";"FY98Q2 nvs",#N/A,FALSE,"FY98 - Q2";"FY98Q3 nvs",#N/A,FALSE,"FY98 - Q3";"FY98Q4 nvs",#N/A,FALSE,"FY98 - Q4"}</definedName>
    <definedName name="NatEssS" hidden="1">{"'WST RETAIL PRICE LIST Apr 9 (2)'!$B$1:$C$177"}</definedName>
    <definedName name="NatEssS2" hidden="1">{"'WST RETAIL PRICE LIST Apr 9 (2)'!$B$1:$C$177"}</definedName>
    <definedName name="nb" hidden="1">{"fleisch",#N/A,FALSE,"WG HK";"food",#N/A,FALSE,"WG HK";"hartwaren",#N/A,FALSE,"WG HK";"weichwaren",#N/A,FALSE,"WG HK"}</definedName>
    <definedName name="nbcngf" hidden="1">{#N/A,#N/A,TRUE,"Historicals";#N/A,#N/A,TRUE,"Charts";#N/A,#N/A,TRUE,"Forecasts"}</definedName>
    <definedName name="nbh" hidden="1">{#N/A,#N/A,FALSE,"Staffnos &amp; cost"}</definedName>
    <definedName name="nbhj" hidden="1">{"QTD_LPO2N2",#N/A,FALSE,"QTD";"QTD_HYCO",#N/A,FALSE,"QTD";"QTD_LOUISIANA",#N/A,FALSE,"QTD";"QTD_GENERALH2",#N/A,FALSE,"QTD";"QTD_PACKAGE",#N/A,FALSE,"QTD";"QTD_PRS",#N/A,FALSE,"QTD";"QTD_OTHER",#N/A,FALSE,"QTD"}</definedName>
    <definedName name="nbv" hidden="1">{"Polymers Details",#N/A,FALSE,"Current Yr";"Polymer Details",#N/A,FALSE,"Budget";"Polymer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jhgf" hidden="1">{#N/A,#N/A,TRUE,"Historicals";#N/A,#N/A,TRUE,"Charts";#N/A,#N/A,TRUE,"Forecasts"}</definedName>
    <definedName name="nbvncvj" hidden="1">{#N/A,#N/A,TRUE,"Historicals";#N/A,#N/A,TRUE,"Charts";#N/A,#N/A,TRUE,"Forecasts"}</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lientkey1" hidden="1">#REF!</definedName>
    <definedName name="nclientsort" hidden="1">#REF!</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mo" hidden="1">{"FY98Q1",#N/A,FALSE,"FY98 - Q1";"FY98Q2",#N/A,FALSE,"FY98 - Q2";"FY98Q3",#N/A,FALSE,"FY98 - Q3";"FY98Q4",#N/A,FALSE,"FY98 - Q4"}</definedName>
    <definedName name="NEON" hidden="1">{"FY98Q1 nvs",#N/A,FALSE,"FY98 - Q1";"FY98Q2 nvs",#N/A,FALSE,"FY98 - Q2";"FY98Q3 nvs",#N/A,FALSE,"FY98 - Q3";"FY98Q4 nvs",#N/A,FALSE,"FY98 - Q4"}</definedName>
    <definedName name="NERBAT" hidden="1">{"FY98Q1 var",#N/A,FALSE,"FY98 - Q1";"FY98Q2 var",#N/A,FALSE,"FY98 - Q2";"FY98Q3 var",#N/A,FALSE,"FY98 - Q3";"FY98Q4 var",#N/A,FALSE,"FY98 - Q4"}</definedName>
    <definedName name="nertd" hidden="1">{#N/A,#N/A,TRUE,"Historicals";#N/A,#N/A,TRUE,"Charts";#N/A,#N/A,TRUE,"Forecasts"}</definedName>
    <definedName name="NET_DEBT" hidden="1">"NET_DEBT"</definedName>
    <definedName name="NET_INC" hidden="1">"NET_INC"</definedName>
    <definedName name="NET_INC_10K" hidden="1">"NET_INC_10K"</definedName>
    <definedName name="NET_INC_10Q" hidden="1">"NET_INC_10Q"</definedName>
    <definedName name="NET_INC_10Q1" hidden="1">"NET_INC_10Q1"</definedName>
    <definedName name="NET_INC_BEFORE" hidden="1">"NET_INC_BEFORE"</definedName>
    <definedName name="NET_INC_GROWTH_1" hidden="1">"NET_INC_GROWTH_1"</definedName>
    <definedName name="NET_INC_GROWTH_2" hidden="1">"NET_INC_GROWTH_2"</definedName>
    <definedName name="NET_INC_MARGIN" hidden="1">"NET_INC_MARGIN"</definedName>
    <definedName name="NET_INTEREST_INC" hidden="1">"NET_INTEREST_INC"</definedName>
    <definedName name="NET_INTEREST_INC_AFTER_LL" hidden="1">"NET_INTEREST_INC_AFTER_LL"</definedName>
    <definedName name="NET_LOANS" hidden="1">"NET_LOANS"</definedName>
    <definedName name="netto_gh" hidden="1">{"sbfk2",#N/A,FALSE,"A";"sbkf3",#N/A,FALSE,"A";"sbkf4",#N/A,FALSE,"A";"sbkf1",#N/A,FALSE,"A"}</definedName>
    <definedName name="NEU_IQ_div_payment_date" hidden="1">"c2205"</definedName>
    <definedName name="NEU_IQ_Xdiv_date" hidden="1">"c2203"</definedName>
    <definedName name="neue_Uebersicht" hidden="1">"4ZSNKZEPB8QVMSZI0R9CSS24H"</definedName>
    <definedName name="neuername" hidden="1">{#N/A,#N/A,FALSE,"Bl. 1";#N/A,#N/A,FALSE,"Bl. 2";#N/A,#N/A,FALSE,"Bl. 3";#N/A,#N/A,FALSE,"Bl. 4";#N/A,#N/A,FALSE,"Bl. 6";#N/A,#N/A,FALSE,"Bl. 7";#N/A,#N/A,FALSE,"BL. 8";#N/A,#N/A,FALSE,"Bl. 9";#N/A,#N/A,FALSE,"Bl. 10";#N/A,#N/A,FALSE,"Bl. 12"}</definedName>
    <definedName name="neuername2" hidden="1">{#N/A,#N/A,FALSE,"Z3 1,8i";#N/A,#N/A,FALSE,"Z3 1,9iS";#N/A,#N/A,FALSE,"Z3 2,8i";#N/A,#N/A,FALSE,"Z3 2,8i Coupé"}</definedName>
    <definedName name="New" hidden="1">#REF!</definedName>
    <definedName name="new.project" hidden="1">{#N/A,#N/A,FALSE,"P1";#N/A,#N/A,FALSE,"P2";#N/A,#N/A,FALSE,"P4";#N/A,#N/A,FALSE,"P5";#N/A,#N/A,FALSE,"P6";#N/A,#N/A,FALSE,"P7";#N/A,#N/A,FALSE,"P8";#N/A,#N/A,FALSE,"P9";#N/A,#N/A,FALSE,"P10"}</definedName>
    <definedName name="new.summary" hidden="1">{#N/A,#N/A,TRUE,"Notes";#N/A,#N/A,TRUE,"Cap Struct";#N/A,#N/A,TRUE,"OBS";#N/A,#N/A,TRUE,"bal Sheet";#N/A,#N/A,TRUE,"Inc stmt";#N/A,#N/A,TRUE,"csh flw";#N/A,#N/A,TRUE,"debt";#N/A,#N/A,TRUE,"detail 96,97";#N/A,#N/A,TRUE,"Covenants"}</definedName>
    <definedName name="New_HTML" hidden="1">{"'Data'!$A$1:$D$17"}</definedName>
    <definedName name="NEW_IQ_div_record_date" hidden="1">"c2204"</definedName>
    <definedName name="new_name" hidden="1">{#N/A,#N/A,TRUE,"Pro Forma";#N/A,#N/A,TRUE,"PF_Bal";#N/A,#N/A,TRUE,"PF_INC";#N/A,#N/A,TRUE,"CBE";#N/A,#N/A,TRUE,"SWK"}</definedName>
    <definedName name="new_w" hidden="1">{"comps1_1",#N/A,FALSE,"Comps1";"comps1_2",#N/A,FALSE,"Comps1";"comps1_3",#N/A,FALSE,"Comps1";"comps1_4",#N/A,FALSE,"Comps1";"comps1_5",#N/A,FALSE,"Comps1"}</definedName>
    <definedName name="new1.summary" hidden="1">{#N/A,#N/A,TRUE,"Notes";#N/A,#N/A,TRUE,"Cap Struct";#N/A,#N/A,TRUE,"OBS";#N/A,#N/A,TRUE,"bal Sheet";#N/A,#N/A,TRUE,"Inc stmt";#N/A,#N/A,TRUE,"csh flw";#N/A,#N/A,TRUE,"debt";#N/A,#N/A,TRUE,"detail 96,97";#N/A,#N/A,TRUE,"Covenants"}</definedName>
    <definedName name="newbel" hidden="1">{"IS",#N/A,FALSE,"IS";"RPTIS",#N/A,FALSE,"RPTIS";"STATS",#N/A,FALSE,"STATS";"CELL",#N/A,FALSE,"CELL";"BS",#N/A,FALSE,"BS"}</definedName>
    <definedName name="newbls" hidden="1">{"'Directory'!$A$72:$E$91"}</definedName>
    <definedName name="newco_share_cap" localSheetId="55">#REF!</definedName>
    <definedName name="newco_share_cap">#REF!</definedName>
    <definedName name="newDC" hidden="1">{#N/A,#N/A,TRUE,"Cover sheet";#N/A,#N/A,TRUE,"DCF analysis";#N/A,#N/A,TRUE,"WACC calculation"}</definedName>
    <definedName name="newer" hidden="1">#REF!</definedName>
    <definedName name="NEWEST" hidden="1">{#N/A,#N/A,FALSE,"summary";#N/A,#N/A,FALSE,"debt";#N/A,#N/A,FALSE,"FIRST";#N/A,#N/A,FALSE,"B A";#N/A,#N/A,FALSE,"LLOYD";#N/A,#N/A,FALSE,"LTDLLOYD";#N/A,#N/A,FALSE,"PESO";#N/A,#N/A,FALSE,"MEX$";#N/A,#N/A,FALSE,"PRINCE";#N/A,#N/A,FALSE,"TXCOMM";#N/A,#N/A,FALSE,"WATERLOO"}</definedName>
    <definedName name="newname" hidden="1">{#N/A,#N/A,FALSE,"Info";#N/A,#N/A,FALSE,"Op I";#N/A,#N/A,FALSE,"Op O";#N/A,#N/A,FALSE,"LBO I";#N/A,#N/A,FALSE,"LBO O";#N/A,#N/A,FALSE,"Taxes"}</definedName>
    <definedName name="newname7000" hidden="1">{#N/A,#N/A,FALSE,"MAY";#N/A,#N/A,FALSE,"Q2";#N/A,#N/A,FALSE,"YTD"}</definedName>
    <definedName name="newname9" hidden="1">{#N/A,#N/A,FALSE,"MAY";#N/A,#N/A,FALSE,"Q2";#N/A,#N/A,FALSE,"YTD"}</definedName>
    <definedName name="newnewbel" hidden="1">{"IS",#N/A,FALSE,"IS";"RPTIS",#N/A,FALSE,"RPTIS";"STATS",#N/A,FALSE,"STATS";"CELL",#N/A,FALSE,"CELL";"BS",#N/A,FALSE,"BS"}</definedName>
    <definedName name="newnewnew" hidden="1">{#N/A,#N/A,FALSE,"Pharm";#N/A,#N/A,FALSE,"WWCM"}</definedName>
    <definedName name="NewRange" hidden="1">#REF!</definedName>
    <definedName name="newt" hidden="1">{"'Directory'!$A$72:$E$91"}</definedName>
    <definedName name="newview"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ewwcom" hidden="1">{"'Directory'!$A$72:$E$91"}</definedName>
    <definedName name="newwrn.BEL." hidden="1">{"IS",#N/A,FALSE,"IS";"RPTIS",#N/A,FALSE,"RPTIS";"STATS",#N/A,FALSE,"STATS";"CELL",#N/A,FALSE,"CELL";"BS",#N/A,FALSE,"BS"}</definedName>
    <definedName name="NEXT" hidden="1">{#N/A,#N/A,FALSE,"5 Company Total 2 inc buffer"}</definedName>
    <definedName name="nf" hidden="1">{#N/A,#N/A,FALSE,"Staffnos &amp; cost"}</definedName>
    <definedName name="nfj" hidden="1">{#N/A,#N/A,FALSE,"Staffnos &amp; cost"}</definedName>
    <definedName name="ngfndd" hidden="1">{#N/A,#N/A,TRUE,"Historicals";#N/A,#N/A,TRUE,"Charts";#N/A,#N/A,TRUE,"Forecasts"}</definedName>
    <definedName name="NGVHFJF" hidden="1">{"'Demand Units'!$X$11:$AD$45"}</definedName>
    <definedName name="nh" hidden="1">{"AS REP",#N/A,FALSE,"EEFSNAP2";"PROP",#N/A,FALSE,"EEFSNAP2";"RISKS",#N/A,FALSE,"EEFSNAP2";"VIEW ALL",#N/A,FALSE,"EEFSNAP2"}</definedName>
    <definedName name="nhihihih" hidden="1">{#N/A,#N/A,FALSE,"Cover";#N/A,#N/A,FALSE,"Profits";#N/A,#N/A,FALSE,"ABS";#N/A,#N/A,FALSE,"TFLE Detail";#N/A,#N/A,FALSE,"TFLE Walk";#N/A,#N/A,FALSE,"Variable Cost";#N/A,#N/A,FALSE,"V.C. Walk"}</definedName>
    <definedName name="nhu" hidden="1">{#N/A,"PURADD",FALSE,"Business Analysis";#N/A,"PURSPP",FALSE,"Business Analysis";#N/A,"CTGIND",FALSE,"Business Analysis";#N/A,"PURCHM",FALSE,"Business Analysis";#N/A,"SPADD",FALSE,"Business Analysis";#N/A,"EPOXY",FALSE,"Business Analysis";#N/A,"PURPER",FALSE,"Business Analysis"}</definedName>
    <definedName name="ni" hidden="1">{"TAG1AGMS",#N/A,FALSE,"TAG 1A"}</definedName>
    <definedName name="nic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1"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Nico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ENTE" hidden="1">{"FY98Q1",#N/A,FALSE,"FY98 - Q1";"FY98Q2",#N/A,FALSE,"FY98 - Q2";"FY98Q3",#N/A,FALSE,"FY98 - Q3";"FY98Q4",#N/A,FALSE,"FY98 - Q4"}</definedName>
    <definedName name="NIEVA" hidden="1">{"FY97Tot nvs",#N/A,FALSE,"FY97 - Total";"FY98Tot nvs",#N/A,FALSE,"FY98 - Total"}</definedName>
    <definedName name="nijnsh" hidden="1">{"detail",#N/A,FALSE,"mfg";"summary",#N/A,FALSE,"mfg"}</definedName>
    <definedName name="Niki" hidden="1">{#N/A,#N/A,FALSE,"Bezirk SW";#N/A,#N/A,FALSE,"Dir S (GK)";#N/A,#N/A,FALSE,"Dir FR (PK)"}</definedName>
    <definedName name="niki1" hidden="1">{#N/A,#N/A,FALSE,"Bezirk SW";#N/A,#N/A,FALSE,"Dir S (GK)";#N/A,#N/A,FALSE,"Dir FR (PK)"}</definedName>
    <definedName name="niki2" hidden="1">{#N/A,#N/A,TRUE,"Cont_Stell";#N/A,#N/A,TRUE,"BTG";#N/A,#N/A,TRUE,"SH";#N/A,#N/A,TRUE,"GUV";#N/A,#N/A,TRUE,"Bilanz";#N/A,#N/A,TRUE,"WC";#N/A,#N/A,TRUE,"Beweg_bil";#N/A,#N/A,TRUE,"Kap_fluß";#N/A,#N/A,TRUE,"KENNZ";#N/A,#N/A,TRUE,"ANALYSE"}</definedName>
    <definedName name="niki3" hidden="1">{#N/A,#N/A,TRUE,"Cont_Stell";#N/A,#N/A,TRUE,"BTG";#N/A,#N/A,TRUE,"SH";#N/A,#N/A,TRUE,"GUV";#N/A,#N/A,TRUE,"Bilanz";#N/A,#N/A,TRUE,"WC";#N/A,#N/A,TRUE,"Beweg_bil";#N/A,#N/A,TRUE,"Kap_fluß";#N/A,#N/A,TRUE,"KENNZ";#N/A,#N/A,TRUE,"ANALYSE"}</definedName>
    <definedName name="niki4" hidden="1">{#N/A,#N/A,FALSE,"Bezirk SW";#N/A,#N/A,FALSE,"Dir S (GK)";#N/A,#N/A,FALSE,"Dir FR (PK)"}</definedName>
    <definedName name="niki5" hidden="1">{#N/A,#N/A,TRUE,"Cont_Stell";#N/A,#N/A,TRUE,"BTG";#N/A,#N/A,TRUE,"SH";#N/A,#N/A,TRUE,"GUV";#N/A,#N/A,TRUE,"Bilanz";#N/A,#N/A,TRUE,"WC";#N/A,#N/A,TRUE,"Beweg_bil";#N/A,#N/A,TRUE,"Kap_fluß";#N/A,#N/A,TRUE,"KENNZ";#N/A,#N/A,TRUE,"ANALYSE"}</definedName>
    <definedName name="ninja"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nj9km" hidden="1">{"detail",#N/A,FALSE,"mfg";"summary",#N/A,FALSE,"mfg"}</definedName>
    <definedName name="njhfds" hidden="1">{#N/A,"PURCHM",FALSE,"Business Analysis";#N/A,"SPADD",FALSE,"Business Analysis"}</definedName>
    <definedName name="njis76" hidden="1">{"detail",#N/A,FALSE,"mfg";"summary",#N/A,FALSE,"mfg"}</definedName>
    <definedName name="njkjsh" hidden="1">{"detail",#N/A,FALSE,"mfg";"summary",#N/A,FALSE,"mfg"}</definedName>
    <definedName name="nkmi9c" hidden="1">{#N/A,"PURCHM",FALSE,"Business Analysis";#N/A,"SPADD",FALSE,"Business Analysis"}</definedName>
    <definedName name="NLGeXToEUR" hidden="1">1/EUReXToNLG</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hidden="1">{"pro_view",#N/A,FALSE,"EEFSNAP2";"rep_view",#N/A,FALSE,"EEFSNAP2"}</definedName>
    <definedName name="nmnkjj" hidden="1">#REF!</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mvb" hidden="1">{#N/A,#N/A,FALSE,"Layout Cash Flow"}</definedName>
    <definedName name="nnh" hidden="1">{"Pa1",#N/A,FALSE,"OpExYTDvsPY";"Pa2",#N/A,FALSE,"OpExYTDvsPY"}</definedName>
    <definedName name="NNN" hidden="1">{"GTI monthly IS",#N/A,FALSE,"gti";#N/A,#N/A,FALSE,"gti"}</definedName>
    <definedName name="nnnb" hidden="1">{"consolidated",#N/A,FALSE,"Sheet1";"cms",#N/A,FALSE,"Sheet1";"fse",#N/A,FALSE,"Sheet1"}</definedName>
    <definedName name="nnnnnnnnnnnnnnnnnnnnnnnnnnnnnnnnnnnnnnnnnnnnnnnnnnnnnnnnnnnnnnnnnnnnnnnnnnnnnnnn" hidden="1">{#N/A,#N/A,FALSE,"Staffnos &amp; cost"}</definedName>
    <definedName name="NOBILE" hidden="1">{"FY97Tot nvs",#N/A,FALSE,"FY97 - Total";"FY98Tot nvs",#N/A,FALSE,"FY98 - Total"}</definedName>
    <definedName name="nocontrol1" hidden="1">{"'Data'!$A$1:$D$17"}</definedName>
    <definedName name="noidea" hidden="1">{#N/A,#N/A,FALSE,"Calc";#N/A,#N/A,FALSE,"Sensitivity";#N/A,#N/A,FALSE,"LT Earn.Dil.";#N/A,#N/A,FALSE,"Dil. AVP"}</definedName>
    <definedName name="noidea1" hidden="1">{#N/A,#N/A,FALSE,"Calc";#N/A,#N/A,FALSE,"Sensitivity";#N/A,#N/A,FALSE,"LT Earn.Dil.";#N/A,#N/A,FALSE,"Dil. AVP"}</definedName>
    <definedName name="noidea10" hidden="1">{#N/A,#N/A,FALSE,"Calc";#N/A,#N/A,FALSE,"Sensitivity";#N/A,#N/A,FALSE,"LT Earn.Dil.";#N/A,#N/A,FALSE,"Dil. AVP"}</definedName>
    <definedName name="NOIDEA2" hidden="1">{#N/A,#N/A,FALSE,"Calc";#N/A,#N/A,FALSE,"Sensitivity";#N/A,#N/A,FALSE,"LT Earn.Dil.";#N/A,#N/A,FALSE,"Dil. AVP"}</definedName>
    <definedName name="noidea20" hidden="1">{#N/A,#N/A,FALSE,"Calc";#N/A,#N/A,FALSE,"Sensitivity";#N/A,#N/A,FALSE,"LT Earn.Dil.";#N/A,#N/A,FALSE,"Dil. AVP"}</definedName>
    <definedName name="noidea3" hidden="1">{#N/A,#N/A,FALSE,"Calc";#N/A,#N/A,FALSE,"Sensitivity";#N/A,#N/A,FALSE,"LT Earn.Dil.";#N/A,#N/A,FALSE,"Dil. AVP"}</definedName>
    <definedName name="noidea4" hidden="1">{#N/A,#N/A,FALSE,"Calc";#N/A,#N/A,FALSE,"Sensitivity";#N/A,#N/A,FALSE,"LT Earn.Dil.";#N/A,#N/A,FALSE,"Dil. AVP"}</definedName>
    <definedName name="noidea5" hidden="1">{#N/A,#N/A,FALSE,"Calc";#N/A,#N/A,FALSE,"Sensitivity";#N/A,#N/A,FALSE,"LT Earn.Dil.";#N/A,#N/A,FALSE,"Dil. AVP"}</definedName>
    <definedName name="noidea6" hidden="1">{#N/A,#N/A,FALSE,"Calc";#N/A,#N/A,FALSE,"Sensitivity";#N/A,#N/A,FALSE,"LT Earn.Dil.";#N/A,#N/A,FALSE,"Dil. AVP"}</definedName>
    <definedName name="noidea7" hidden="1">{#N/A,#N/A,FALSE,"Calc";#N/A,#N/A,FALSE,"Sensitivity";#N/A,#N/A,FALSE,"LT Earn.Dil.";#N/A,#N/A,FALSE,"Dil. AVP"}</definedName>
    <definedName name="NON" hidden="1">{"FY97Total",#N/A,FALSE,"FY97 - Total";"FY98Total",#N/A,FALSE,"FY98 - Total"}</definedName>
    <definedName name="NON_CASH" hidden="1">"NON_CASH"</definedName>
    <definedName name="NON_INTEREST_EXP" hidden="1">"NON_INTEREST_EXP"</definedName>
    <definedName name="NON_INTEREST_INC" hidden="1">"NON_INTEREST_INC"</definedName>
    <definedName name="NONA" hidden="1">{"FY97Total",#N/A,FALSE,"FY97 - Total";"FY98Total",#N/A,FALSE,"FY98 - Total"}</definedName>
    <definedName name="NONAS" hidden="1">{"FY98Q1 var",#N/A,FALSE,"FY98 - Q1";"FY98Q2 var",#N/A,FALSE,"FY98 - Q2";"FY98Q3 var",#N/A,FALSE,"FY98 - Q3";"FY98Q4 var",#N/A,FALSE,"FY98 - Q4"}</definedName>
    <definedName name="none" hidden="1">{#N/A,#N/A,TRUE,"Inc. St.";#N/A,#N/A,TRUE,"SalesLabor";#N/A,#N/A,TRUE,"Labor";#N/A,#N/A,TRUE,"TEMP.";#N/A,#N/A,TRUE,"Manuf.";#N/A,#N/A,TRUE,"Repairs";#N/A,#N/A,TRUE,"G&amp;A";#N/A,#N/A,TRUE,"Inv.";#N/A,#N/A,TRUE,"Cap.X";#N/A,#N/A,TRUE,"Leases"}</definedName>
    <definedName name="NONIO" hidden="1">{"FY97Total",#N/A,FALSE,"FY97 - Total";"FY98Total",#N/A,FALSE,"FY98 - Total"}</definedName>
    <definedName name="NONNO" hidden="1">{"FY97Tot nvs",#N/A,FALSE,"FY97 - Total";"FY98Tot nvs",#N/A,FALSE,"FY98 - Total"}</definedName>
    <definedName name="nono" hidden="1">{"FY97Q1",#N/A,FALSE,"FY97 - Q1";"FY97Q2",#N/A,FALSE,"FY97 - Q2";"FY97Q3",#N/A,FALSE,"FY97 - Q3";"FY97Q4",#N/A,FALSE,"FY97 - Q4"}</definedName>
    <definedName name="Nope" hidden="1">{"'Bellville Acetylene'!$A$1:$L$99"}</definedName>
    <definedName name="NORMA" hidden="1">{"FY97Q1 nvs",#N/A,FALSE,"FY97 - Q1";"FY97Q2 nvs",#N/A,FALSE,"FY97 - Q2";"FY97Q3 nvs",#N/A,FALSE,"FY97 - Q3";"FY97Q4 nvs",#N/A,FALSE,"FY97 - Q4"}</definedName>
    <definedName name="NORMAL_INC_AFTER" hidden="1">"NORMAL_INC_AFTER"</definedName>
    <definedName name="NORMAL_INC_AVAIL" hidden="1">"NORMAL_INC_AVAIL"</definedName>
    <definedName name="NORMAL_INC_BEFORE" hidden="1">"NORMAL_INC_BEFORE"</definedName>
    <definedName name="norna" hidden="1">{"FY97Q1 nvs",#N/A,FALSE,"FY97 - Q1";"FY97Q2 nvs",#N/A,FALSE,"FY97 - Q2";"FY97Q3 nvs",#N/A,FALSE,"FY97 - Q3";"FY97Q4 nvs",#N/A,FALSE,"FY97 - Q4"}</definedName>
    <definedName name="NORSA" hidden="1">{"FY97Total var",#N/A,FALSE,"FY97 - Total";"FY98Total var",#N/A,FALSE,"FY98 - Total"}</definedName>
    <definedName name="NORTIZO" hidden="1">{"FY97Tot nvs",#N/A,FALSE,"FY97 - Total";"FY98Tot nvs",#N/A,FALSE,"FY98 - Total"}</definedName>
    <definedName name="NOTA" hidden="1">{"FY98Q1 nvs",#N/A,FALSE,"FY98 - Q1";"FY98Q2 nvs",#N/A,FALSE,"FY98 - Q2";"FY98Q3 nvs",#N/A,FALSE,"FY98 - Q3";"FY98Q4 nvs",#N/A,FALSE,"FY98 - Q4"}</definedName>
    <definedName name="NOTAI" hidden="1">{"FY97Q1",#N/A,FALSE,"FY97 - Q1";"FY97Q2",#N/A,FALSE,"FY97 - Q2";"FY97Q3",#N/A,FALSE,"FY97 - Q3";"FY97Q4",#N/A,FALSE,"FY97 - Q4"}</definedName>
    <definedName name="NOTAIO" hidden="1">{"FY98Q1",#N/A,FALSE,"FY98 - Q1";"FY98Q2",#N/A,FALSE,"FY98 - Q2";"FY98Q3",#N/A,FALSE,"FY98 - Q3";"FY98Q4",#N/A,FALSE,"FY98 - Q4"}</definedName>
    <definedName name="NOTES_PAY" hidden="1">"NOTES_PAY"</definedName>
    <definedName name="NOTRBA" hidden="1">{"FY97Q1",#N/A,FALSE,"FY97 - Q1";"FY97Q2",#N/A,FALSE,"FY97 - Q2";"FY97Q3",#N/A,FALSE,"FY97 - Q3";"FY97Q4",#N/A,FALSE,"FY97 - Q4"}</definedName>
    <definedName name="nouv" hidden="1">{#N/A,#N/A,FALSE,"Pharm";#N/A,#N/A,FALSE,"WWCM"}</definedName>
    <definedName name="Nov_Plan_Income_Month" hidden="1">{"Oct_Plan_Income_Month",#N/A,FALSE,"OctInc";"Oct_Month_Lastyear_Inc",#N/A,FALSE,"OctInc"}</definedName>
    <definedName name="Nov00" hidden="1">{"Statement of Income",#N/A,TRUE,"Mar99";"Balance Sheet",#N/A,TRUE,"Mar99"}</definedName>
    <definedName name="Nov00TB" hidden="1">{"Statement of Income",#N/A,TRUE,"Mar99";"Balance Sheet",#N/A,TRUE,"Mar99"}</definedName>
    <definedName name="novo" hidden="1">{"'comite'!$A$9:$G$44","'comite'!$A$1:$G$6"}</definedName>
    <definedName name="noway" hidden="1">#REF!</definedName>
    <definedName name="nowayjose" hidden="1">#REF!</definedName>
    <definedName name="ñp" hidden="1">{#N/A,"PURCHM",FALSE,"Business Analysis";#N/A,"SPADD",FALSE,"Business Analysis"}</definedName>
    <definedName name="nso" hidden="1">{#N/A,#N/A,FALSE,"PROJPACK"}</definedName>
    <definedName name="NSS_IQ_div_payment_date" hidden="1">"c2205"</definedName>
    <definedName name="NSS_IQ_div_record_date" hidden="1">"c2204"</definedName>
    <definedName name="NSS_IQ_XDiv_date" hidden="1">"c2203"</definedName>
    <definedName name="nt_2_rollup" localSheetId="55">#REF!</definedName>
    <definedName name="nt_2_rollup">#REF!</definedName>
    <definedName name="Nuevo" hidden="1">{"Resumen",#N/A,TRUE,"Proyección 1998-2007";#N/A,#N/A,TRUE,"Proyección 1998-2007 %";"Temáticos",#N/A,TRUE,"Proyección 1998-2007";"Events Media Park",#N/A,TRUE,"Proyección 1998-2007";"Producción Audiovisual",#N/A,TRUE,"Proyección 1998-2007";#N/A,#N/A,TRUE,"Hipótesis";"Servicios a la Producción",#N/A,TRUE,"Proyección 1998-2007"}</definedName>
    <definedName name="nuijh467" hidden="1">{"detail",#N/A,FALSE,"mfg";"summary",#N/A,FALSE,"mfg"}</definedName>
    <definedName name="nunu" hidden="1">{#N/A,#N/A,FALSE,"M1";#N/A,#N/A,FALSE,"K7";#N/A,#N/A,FALSE,"K6";#N/A,#N/A,FALSE,"K5";#N/A,#N/A,FALSE,"K4";#N/A,#N/A,FALSE,"K3";#N/A,#N/A,FALSE,"K2";#N/A,#N/A,FALSE,"K1"}</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NVCBFDG" hidden="1">{"'Demand Units'!$X$11:$AD$45"}</definedName>
    <definedName name="nwnwn" hidden="1">{"GTI monthly IS",#N/A,FALSE,"gti";#N/A,#N/A,FALSE,"gti"}</definedName>
    <definedName name="o" hidden="1">{#N/A,#N/A,FALSE,"SUMMARY";#N/A,#N/A,FALSE,"mcsh";#N/A,#N/A,FALSE,"vol&amp;rev";#N/A,#N/A,FALSE,"wkgcap";#N/A,#N/A,FALSE,"DEPR&amp;DT";#N/A,#N/A,FALSE,"ASSETS";#N/A,#N/A,FALSE,"NI&amp;OTH&amp;DIV";#N/A,#N/A,FALSE,"CASHFLOW";#N/A,#N/A,FALSE,"CAPEMPL";#N/A,#N/A,FALSE,"ROCE"}</definedName>
    <definedName name="ö"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o678o"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Oasda" hidden="1">{"Operating Data",#N/A,TRUE,"Sheet1";"Valuation Matrix",#N/A,TRUE,"Sheet1";"Sales Analysis",#N/A,TRUE,"Sheet1";"Closed Remodelled New",#N/A,TRUE,"Sheet1";"Competitive and FSP",#N/A,TRUE,"Sheet1";"Working Capital and Capex",#N/A,TRUE,"Sheet1";"depreciation",#N/A,TRUE,"Sheet1"}</definedName>
    <definedName name="Obdin" hidden="1">{"'SIVA Pricing Model'!$A$1:$F$39"}</definedName>
    <definedName name="Obdin1" hidden="1">{"'SIVA Pricing Model'!$A$1:$F$39"}</definedName>
    <definedName name="Oct00" hidden="1">{"Statement of Income",#N/A,TRUE,"Mar99";"Balance Sheet",#N/A,TRUE,"Mar99"}</definedName>
    <definedName name="Oct00TB" hidden="1">{"Statement of Income",#N/A,TRUE,"Mar99";"Balance Sheet",#N/A,TRUE,"Mar99"}</definedName>
    <definedName name="OCTBS" hidden="1">{#N/A,#N/A,FALSE,"Assump2";#N/A,#N/A,FALSE,"Income2";#N/A,#N/A,FALSE,"Balance2";#N/A,#N/A,FALSE,"DCF Filter";#N/A,#N/A,FALSE,"Trans Assump2";#N/A,#N/A,FALSE,"Combined Income2";#N/A,#N/A,FALSE,"Combined Balance2"}</definedName>
    <definedName name="Octob00" hidden="1">{"Statement of Income",#N/A,TRUE,"Mar99";"Balance Sheet",#N/A,TRUE,"Mar99"}</definedName>
    <definedName name="Octob00TB" hidden="1">{"Statement of Income",#N/A,TRUE,"Mar99";"Balance Sheet",#N/A,TRUE,"Mar99"}</definedName>
    <definedName name="ogl" hidden="1">#REF!,#REF!,#REF!,#REF!,#REF!</definedName>
    <definedName name="ohewa" hidden="1">#REF!</definedName>
    <definedName name="oi" hidden="1">{"DCF1",#N/A,FALSE,"SIERRA DCF";"MATRIX1",#N/A,FALSE,"SIERRA DCF"}</definedName>
    <definedName name="oifd" hidden="1">{"detail",#N/A,FALSE,"mfg";"summary",#N/A,FALSE,"mfg"}</definedName>
    <definedName name="oiirx" hidden="1">{"net assets",#N/A,FALSE,"summary";"asset turnover",#N/A,FALSE,"summary";"orona",#N/A,FALSE,"summary"}</definedName>
    <definedName name="oimn" hidden="1">{"QTD_PRS",#N/A,FALSE,"QTD"}</definedName>
    <definedName name="oins" hidden="1">{"detail",#N/A,FALSE,"mfg";"summary",#N/A,FALSE,"mfg"}</definedName>
    <definedName name="OIOIK" hidden="1">{"'Demand Units'!$X$11:$AD$45"}</definedName>
    <definedName name="öipöüpioüpiüio" hidden="1">Word</definedName>
    <definedName name="ois." hidden="1">{#N/A,#N/A,FALSE,"A_D";#N/A,#N/A,FALSE,"WACC";#N/A,#N/A,FALSE,"DCF";#N/A,#N/A,FALSE,"A";#N/A,#N/A,FALSE,"LBO";#N/A,#N/A,FALSE,"C";#N/A,#N/A,FALSE,"impd";#N/A,#N/A,FALSE,"comps"}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hidden="1">{"AS REP",#N/A,FALSE,"EEFSNAP2";"PROP",#N/A,FALSE,"EEFSNAP2";"RISKS",#N/A,FALSE,"EEFSNAP2";"VIEW ALL",#N/A,FALSE,"EEFSNAP2"}</definedName>
    <definedName name="OIUOIU" hidden="1">{"'Demand Units'!$X$11:$AD$45"}</definedName>
    <definedName name="oiuoiuoiu" hidden="1">{#N/A,#N/A,FALSE,"Layout GuV"}</definedName>
    <definedName name="oiup" hidden="1">{#N/A,"PURCHM",FALSE,"Business Analysis";#N/A,"SPADD",FALSE,"Business Analysis"}</definedName>
    <definedName name="OIUPOI" hidden="1">{"'Demand Units'!$X$11:$AD$45"}</definedName>
    <definedName name="OIUUOI" hidden="1">{"'Demand Units'!$X$11:$AD$45"}</definedName>
    <definedName name="oiuy" hidden="1">{"Polymers Details",#N/A,FALSE,"Current Yr";"Polymer Details",#N/A,FALSE,"Budget";"Polymer Details",#N/A,FALSE,"Prior Year"}</definedName>
    <definedName name="OK" hidden="1">{#N/A,#N/A,FALSE,"Staffnos &amp; cost"}</definedName>
    <definedName name="okay" hidden="1">{#N/A,#N/A,FALSE,"Admin";#N/A,#N/A,FALSE,"Other"}</definedName>
    <definedName name="ökjösdjföklasjfd" hidden="1">{#N/A,#N/A,FALSE,"Index";#N/A,#N/A,FALSE,"1.1";#N/A,#N/A,FALSE,"Scenario Summary"}</definedName>
    <definedName name="oklyy" hidden="1">{"'Other IPS'!$A$5","'Other IPS'!$A$4:$K$38"}</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 hidden="1">{"vol data",#N/A,FALSE,"Datasheet";"vol graph",#N/A,FALSE,"Volume";"price data",#N/A,FALSE,"Datasheet";"price graph",#N/A,FALSE,"Price";"dp data",#N/A,FALSE,"Datasheet";"dp graph",#N/A,FALSE,"DirectProfit"}</definedName>
    <definedName name="old" hidden="1">{#N/A,#N/A,TRUE,"PSG Total Contacts";#N/A,#N/A,TRUE,"PSG Rep Total";#N/A,#N/A,TRUE,"Core Rep Detail";#N/A,#N/A,TRUE,"BC Rep Detail";#N/A,#N/A,TRUE,"Marlboro";#N/A,#N/A,TRUE,"Covington";#N/A,#N/A,TRUE,"Dallas";#N/A,#N/A,TRUE,"VRS Stats";#N/A,#N/A,TRUE,"Internet";#N/A,#N/A,TRUE,"NCO and Call Mix";#N/A,#N/A,TRUE,"VRS &amp; Rep Calls"}</definedName>
    <definedName name="oldname" hidden="1">{#N/A,#N/A,FALSE,"Index";#N/A,#N/A,FALSE,"IncStmt";#N/A,#N/A,FALSE,"Ratios";#N/A,#N/A,FALSE,"CashFlows";#N/A,#N/A,FALSE,"Ins1";#N/A,#N/A,FALSE,"Ins2";#N/A,#N/A,FALSE,"SelfFund";#N/A,#N/A,FALSE,"SGA";#N/A,#N/A,FALSE,"Recon";#N/A,#N/A,FALSE,"Earnings";#N/A,#N/A,FALSE,"Earnings (2)";#N/A,#N/A,FALSE,"Stock";#N/A,#N/A,FALSE,"Stock (2)";#N/A,#N/A,FALSE,"PeerRatios";#N/A,#N/A,FALSE,"PeerRanks"}</definedName>
    <definedName name="OLKJ" hidden="1">{"'Demand Units'!$X$11:$AD$45"}</definedName>
    <definedName name="olo" hidden="1">{"Tages_D",#N/A,FALSE,"Tagesbericht";"Tages_PL",#N/A,FALSE,"Tagesbericht"}</definedName>
    <definedName name="Omega" hidden="1">{"'Data'!$A$1:$D$17"}</definedName>
    <definedName name="on" hidden="1">{"overview",#N/A,FALSE,"summary";"net assets",#N/A,FALSE,"summary";"asset turnover",#N/A,FALSE,"summary";"orona",#N/A,FALSE,"summary"}</definedName>
    <definedName name="onj" hidden="1">{"Pa1",#N/A,FALSE,"OpExYTDvsPY";"Pa2",#N/A,FALSE,"OpExYTDvsPY"}</definedName>
    <definedName name="ONYX19970501222055" hidden="1">#REF!</definedName>
    <definedName name="ONYX19970501222155" hidden="1">#REF!</definedName>
    <definedName name="oo" hidden="1">{#N/A,#N/A,TRUE,"Cover sheet";#N/A,#N/A,TRUE,"Summary";#N/A,#N/A,TRUE,"Key Assumptions";#N/A,#N/A,TRUE,"Profit &amp; Loss";#N/A,#N/A,TRUE,"Balance Sheet";#N/A,#N/A,TRUE,"Cashflow";#N/A,#N/A,TRUE,"IRR";#N/A,#N/A,TRUE,"Ratios";#N/A,#N/A,TRUE,"Debt analysis"}</definedName>
    <definedName name="oo.ll" hidden="1">{#N/A,#N/A,FALSE,"Umsatz HM";#N/A,#N/A,FALSE,"ER HM";#N/A,#N/A,FALSE,"EA HM  (2)";#N/A,#N/A,FALSE,"EA HM ";#N/A,#N/A,FALSE,"EA HM  (4)";#N/A,#N/A,FALSE,"EA HM  (3)";#N/A,#N/A,FALSE,"KA HM  (2)";#N/A,#N/A,FALSE,"KA HM";#N/A,#N/A,FALSE,"KA HM  (3)";#N/A,#N/A,FALSE,"KA HM (4)"}</definedName>
    <definedName name="OO_Book_Settings_AllowResize" hidden="1">"False"</definedName>
    <definedName name="OO_Book_Settings_BGColor" hidden="1">"FFFFFF"</definedName>
    <definedName name="OO_Book_Settings_CellBGColor" hidden="1">"33CCCC"</definedName>
    <definedName name="OO_Book_Settings_Destination" hidden="1">"\\tm1dev\TM1\TM1Web\Applications\SCO\Manufacturing\Websheets\Manufacturing slice Aug 4.xml"</definedName>
    <definedName name="OO_Book_Settings_Footer" hidden="1">""</definedName>
    <definedName name="OO_Book_Settings_Header" hidden="1">""</definedName>
    <definedName name="OO_Book_Settings_HorizontalCenter" hidden="1">"True"</definedName>
    <definedName name="OO_Book_Settings_IgnoreNoPublishWarning" hidden="1">"False"</definedName>
    <definedName name="OO_Book_Settings_Menu" hidden="1">""</definedName>
    <definedName name="OO_Book_Settings_MenuType" hidden="1">"XML"</definedName>
    <definedName name="OO_Book_Settings_RecalOnDropDownChange" hidden="1">"True"</definedName>
    <definedName name="OO_Book_Settings_RecalOnInputCellChange" hidden="1">"False"</definedName>
    <definedName name="OO_Book_Settings_SynchDestination" hidden="1">"1"</definedName>
    <definedName name="OO_Book_Settings_TBExport" hidden="1">"True"</definedName>
    <definedName name="OO_Book_Settings_TBPaste" hidden="1">"True"</definedName>
    <definedName name="OO_Book_Settings_TBUpdate" hidden="1">"True"</definedName>
    <definedName name="OO_Book_Settings_TBWorksheets" hidden="1">"False"</definedName>
    <definedName name="OO_Book_Settings_TBZoomIn" hidden="1">"True"</definedName>
    <definedName name="OO_Book_Settings_TBZoomOut" hidden="1">"True"</definedName>
    <definedName name="OO_Book_Settings_Toolbar" hidden="1">"False"</definedName>
    <definedName name="OO_Book_Settings_UpdateButton" hidden="1">""</definedName>
    <definedName name="OO_Book_Settings_UseNamedRanges" hidden="1">"True"</definedName>
    <definedName name="OO_Book_Settings_UseWorkbookSettings" hidden="1">"False"</definedName>
    <definedName name="OO_Book_Settings_WorksheetTabs" hidden="1">"False"</definedName>
    <definedName name="OO_Book_Settings_XCDestination" hidden="1">"Z:\TM1Web\Applications\SCO\Manufacturing\Worksheets\Manufacturing slice July 19a_xCelsius.xls"</definedName>
    <definedName name="ooi" hidden="1">{#N/A,#N/A,FALSE,"5yr.hist."}</definedName>
    <definedName name="ool" hidden="1">{"Page1",#N/A,FALSE,"CompCo";"Page2",#N/A,FALSE,"CompCo"}</definedName>
    <definedName name="ööl" hidden="1">{#N/A,#N/A,FALSE,"KA CH  (2)"}</definedName>
    <definedName name="öölälkk" hidden="1">{#N/A,#N/A,FALSE,"Umsatz 99";#N/A,#N/A,FALSE,"ER 99 "}</definedName>
    <definedName name="öölkk" hidden="1">{#N/A,#N/A,FALSE,"Umsatz CH";#N/A,#N/A,FALSE,"ER CH";#N/A,#N/A,FALSE,"EA CH (2) ";#N/A,#N/A,FALSE,"EA CH";#N/A,#N/A,FALSE,"EA CH (3) ";#N/A,#N/A,FALSE,"EA CH (4)";#N/A,#N/A,FALSE,"KA CH";#N/A,#N/A,FALSE,"KA CH  (2)";#N/A,#N/A,FALSE,"KA CH  (3)";#N/A,#N/A,FALSE,"KA CH (4)"}</definedName>
    <definedName name="oolo.lll" hidden="1">{#N/A,#N/A,FALSE,"Umsatz 99";#N/A,#N/A,FALSE,"ER 99 "}</definedName>
    <definedName name="ooo" hidden="1">{"Bilanz grob",#N/A,TRUE,"Planbilanz";"Erfolgsrechnung grob",#N/A,TRUE,"Plan-ER";#N/A,#N/A,TRUE,"Geldfluss";"Bilanz fein",#N/A,TRUE,"Planbilanz";"Erfolgsrechnung fein",#N/A,TRUE,"Plan-ER";#N/A,#N/A,TRUE,"Absatzplan";#N/A,#N/A,TRUE,"Einkaufsplan";#N/A,#N/A,TRUE,"Investitionsplan";#N/A,#N/A,TRUE,"KK Aktionäre"}</definedName>
    <definedName name="ööö" hidden="1">{#N/A,#N/A,FALSE,"Produkte Erw.";#N/A,#N/A,FALSE,"Produkte Plan";#N/A,#N/A,FALSE,"Leistungen Erw.";#N/A,#N/A,FALSE,"Leistungen Plan";#N/A,#N/A,FALSE,"KA Allg.Kosten (2)";#N/A,#N/A,FALSE,"KA All.Kosten"}</definedName>
    <definedName name="ööölllpp" hidden="1">{"fleisch",#N/A,FALSE,"WG HK";"food",#N/A,FALSE,"WG HK";"hartwaren",#N/A,FALSE,"WG HK";"weichwaren",#N/A,FALSE,"WG HK"}</definedName>
    <definedName name="oooo" hidden="1">{#N/A,#N/A,TRUE,"Cover sheet";#N/A,#N/A,TRUE,"Summary";#N/A,#N/A,TRUE,"Key Assumptions";#N/A,#N/A,TRUE,"Profit &amp; Loss";#N/A,#N/A,TRUE,"Balance Sheet";#N/A,#N/A,TRUE,"Cashflow";#N/A,#N/A,TRUE,"IRR";#N/A,#N/A,TRUE,"Ratios";#N/A,#N/A,TRUE,"Debt analysis"}</definedName>
    <definedName name="ooooo" hidden="1">{#N/A,#N/A,FALSE,"Calc";#N/A,#N/A,FALSE,"Sensitivity";#N/A,#N/A,FALSE,"LT Earn.Dil.";#N/A,#N/A,FALSE,"Dil. AVP"}</definedName>
    <definedName name="OOOOOO" hidden="1">{"'Data'!$A$1:$D$17"}</definedName>
    <definedName name="oooooooo" hidden="1">{#N/A,#N/A,FALSE,"Umsatz 99";#N/A,#N/A,FALSE,"ER 99 "}</definedName>
    <definedName name="oooooooooo" hidden="1">#REF!</definedName>
    <definedName name="oooooooooooo" hidden="1">{#N/A,#N/A,TRUE,"Cover sheet";#N/A,#N/A,TRUE,"Summary";#N/A,#N/A,TRUE,"Key Assumptions";#N/A,#N/A,TRUE,"Profit &amp; Loss";#N/A,#N/A,TRUE,"Balance Sheet";#N/A,#N/A,TRUE,"Cashflow";#N/A,#N/A,TRUE,"IRR";#N/A,#N/A,TRUE,"Ratios";#N/A,#N/A,TRUE,"Debt analysis"}</definedName>
    <definedName name="ooujg" hidden="1">{"scrap",#N/A,FALSE,"scrap"}</definedName>
    <definedName name="OPENPRICE" hidden="1">"OPENPRICE"</definedName>
    <definedName name="OPER_INC" hidden="1">"OPER_INC"</definedName>
    <definedName name="opi" hidden="1">{"bhv1",#N/A,FALSE,"A";"bhv2",#N/A,FALSE,"A";"bhv4",#N/A,FALSE,"A";"bhv3",#N/A,FALSE,"A"}</definedName>
    <definedName name="opiu" hidden="1">{"Comp_of_Price_Effect",#N/A,FALSE,"QTRDPVAR"}</definedName>
    <definedName name="oplk" hidden="1">{"Page1",#N/A,FALSE,"OpExJanvsBud";"Page2",#N/A,FALSE,"OpExJanvsBud"}</definedName>
    <definedName name="opndixm" hidden="1">{"detail",#N/A,FALSE,"mfg";"summary",#N/A,FALSE,"mfg"}</definedName>
    <definedName name="opp" hidden="1">{#N/A,#N/A,FALSE,"P1";#N/A,#N/A,FALSE,"P2";#N/A,#N/A,FALSE,"P4";#N/A,#N/A,FALSE,"P5";#N/A,#N/A,FALSE,"P6";#N/A,#N/A,FALSE,"P7";#N/A,#N/A,FALSE,"P8";#N/A,#N/A,FALSE,"P9";#N/A,#N/A,FALSE,"P10"}</definedName>
    <definedName name="oppp" hidden="1">{"indirect labor",#N/A,FALSE,"labor"}</definedName>
    <definedName name="opü" hidden="1">{#N/A,#N/A,FALSE,"Layout GuV"}</definedName>
    <definedName name="Order__1" hidden="1">0</definedName>
    <definedName name="Order1" hidden="1">0</definedName>
    <definedName name="Order2" hidden="1">1</definedName>
    <definedName name="OrderTable" hidden="1">#REF!</definedName>
    <definedName name="Original" hidden="1">{#N/A,#N/A,FALSE,"Performance Flash Report"}</definedName>
    <definedName name="os" hidden="1">{#N/A,#N/A,FALSE,"Cover";#N/A,#N/A,FALSE,"Contents-Pg1";#N/A,#N/A,FALSE,"High-Com-pg2";#N/A,#N/A,FALSE,"1 Full";#N/A,#N/A,FALSE,"1chts";#N/A,#N/A,FALSE,"Table 2";#N/A,#N/A,FALSE,"3New Iss";#N/A,#N/A,FALSE,"4Money raised";#N/A,#N/A,FALSE,"5Aim";#N/A,#N/A,FALSE,"AiM charts";#N/A,#N/A,FALSE,"6FT Smll";#N/A,#N/A,FALSE,"11SEATS";#N/A,#N/A,FALSE,"12Notes"}</definedName>
    <definedName name="os56rt"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OTCS" hidden="1">{"'Data'!$A$1:$D$17"}</definedName>
    <definedName name="OTHER_ASSETS" hidden="1">"OTHER_ASSETS"</definedName>
    <definedName name="OTHER_CURRENT_ASSETS" hidden="1">"OTHER_CURRENT_ASSETS"</definedName>
    <definedName name="OTHER_CURRENT_LIAB" hidden="1">"OTHER_CURRENT_LIAB"</definedName>
    <definedName name="OTHER_EARNING" hidden="1">"OTHER_EARNING"</definedName>
    <definedName name="OTHER_EQUITY" hidden="1">"OTHER_EQUITY"</definedName>
    <definedName name="OTHER_INVESTING" hidden="1">"OTHER_INVESTING"</definedName>
    <definedName name="OTHER_LIAB" hidden="1">"OTHER_LIAB"</definedName>
    <definedName name="OTHER_LONG_TERM" hidden="1">"OTHER_LONG_TERM"</definedName>
    <definedName name="OTHER_NET" hidden="1">"OTHER_NET"</definedName>
    <definedName name="OTHER_OPER" hidden="1">"OTHER_OPER"</definedName>
    <definedName name="OTHER_RECEIV" hidden="1">"OTHER_RECEIV"</definedName>
    <definedName name="OTHER_REVENUE" hidden="1">"OTHER_REVENUE"</definedName>
    <definedName name="other33" hidden="1">{#N/A,#N/A,FALSE,"Pharm";#N/A,#N/A,FALSE,"WWCM"}</definedName>
    <definedName name="othermar" hidden="1">{#N/A,#N/A,FALSE,"Pharm";#N/A,#N/A,FALSE,"WWCM"}</definedName>
    <definedName name="otto" hidden="1">{"SCM_Detail",#N/A,FALSE,"SCM";"SCM_Top",#N/A,FALSE,"SCM"}</definedName>
    <definedName name="ou" hidden="1">{#N/A,#N/A,FALSE,"invpln"}</definedName>
    <definedName name="öü"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out" hidden="1">{"direct labor",#N/A,FALSE,"labor";"direct labor1",#N/A,FALSE,"labor"}</definedName>
    <definedName name="outlookjun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outro" hidden="1">{"'comite'!$A$9:$G$44","'comite'!$A$1:$G$6"}</definedName>
    <definedName name="Outstanding" hidden="1">#REF!</definedName>
    <definedName name="owmkib" hidden="1">{"detail",#N/A,FALSE,"mfg";"summary",#N/A,FALSE,"mfg"}</definedName>
    <definedName name="Ownership" hidden="1">OFFSET(#REF!,1,0)</definedName>
    <definedName name="oyi" hidden="1">{#N/A,#N/A,TRUE,"Historicals";#N/A,#N/A,TRUE,"Charts";#N/A,#N/A,TRUE,"Forecasts"}</definedName>
    <definedName name="oyuo" hidden="1">{#N/A,#N/A,TRUE,"Staffnos &amp; cost"}</definedName>
    <definedName name="p" hidden="1">{#N/A,#N/A,TRUE,"Model"}</definedName>
    <definedName name="p.Covenants" hidden="1">#REF!</definedName>
    <definedName name="p.Covenants_Titles" hidden="1">#REF!</definedName>
    <definedName name="p.CreditStats" hidden="1">#REF!</definedName>
    <definedName name="p.LTM_BS" hidden="1">#REF!</definedName>
    <definedName name="p.LTM_IS" hidden="1">#REF!</definedName>
    <definedName name="p.Summary" hidden="1">#REF!</definedName>
    <definedName name="p.Summary_Titles" hidden="1">#REF!</definedName>
    <definedName name="p09i" hidden="1">{#N/A,"PURADD",FALSE,"Business Analysis";#N/A,"PURSPP",FALSE,"Business Analysis";#N/A,"CTGIND",FALSE,"Business Analysis";#N/A,"PURCHM",FALSE,"Business Analysis";#N/A,"SPADD",FALSE,"Business Analysis";#N/A,"EPOXY",FALSE,"Business Analysis";#N/A,"PURPER",FALSE,"Business Analysis"}</definedName>
    <definedName name="p0io" hidden="1">{#N/A,"PURCHM",FALSE,"Business Analysis";#N/A,"SPADD",FALSE,"Business Analysis"}</definedName>
    <definedName name="P6改" hidden="1">{"SUM ALL YR",#N/A,FALSE,"SUM ALL YR";"sum01",#N/A,FALSE,"SUM 01";"sumM2",#N/A,FALSE,"SUM M2";"sum02",#N/A,FALSE,"SUM 02";"sum03",#N/A,FALSE,"SUM 03";"sum04",#N/A,FALSE,"SUM 04";"sum05",#N/A,FALSE,"SUM 05"}</definedName>
    <definedName name="pabl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KAGE3" hidden="1">{#N/A,#N/A,FALSE,"단축1";#N/A,#N/A,FALSE,"단축2";#N/A,#N/A,FALSE,"단축3";#N/A,#N/A,FALSE,"장축";#N/A,#N/A,FALSE,"4WD"}</definedName>
    <definedName name="PADWN" hidden="1">#N/A</definedName>
    <definedName name="PAGE4" hidden="1">{#N/A,#N/A,FALSE,"단축1";#N/A,#N/A,FALSE,"단축2";#N/A,#N/A,FALSE,"단축3";#N/A,#N/A,FALSE,"장축";#N/A,#N/A,FALSE,"4WD"}</definedName>
    <definedName name="pal"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Pal_Workbook_GUID" hidden="1">"ZZU87UBNNTHPS8J3VXQSJ2Y9"</definedName>
    <definedName name="papam" hidden="1">{#N/A,#N/A,FALSE,"Report-Generator";#N/A,#N/A,FALSE,"S.1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name="Parcel2" hidden="1">{"First Page",#N/A,FALSE,"Surfactants LBO";"Second Page",#N/A,FALSE,"Surfactants LBO"}</definedName>
    <definedName name="PARVEEN" hidden="1">{#N/A,#N/A,TRUE,"Staffnos &amp; cost"}</definedName>
    <definedName name="PAY_ACCRUED" hidden="1">"PAY_ACCRUED"</definedName>
    <definedName name="payable" hidden="1">{#N/A,#N/A,TRUE,"4-Way Financial Comparison";#N/A,#N/A,TRUE,"Operations Statement";#N/A,#N/A,TRUE,"GAAP Statement";#N/A,#N/A,TRUE,"Balance Sheet";#N/A,#N/A,TRUE,"Cash Flow";#N/A,#N/A,TRUE,"Adjustments";#N/A,#N/A,TRUE,"Non-Op Schedule";#N/A,#N/A,TRUE,"Debt Schedule";#N/A,#N/A,TRUE,"Outsiders Share";#N/A,#N/A,TRUE,"Capital Exp.";#N/A,#N/A,TRUE,"Invest Affiliates";#N/A,#N/A,TRUE,"COC";#N/A,#N/A,TRUE,"Def Chrgs, et al";#N/A,#N/A,TRUE,"Taxes";#N/A,#N/A,TRUE,"IC - Interest Income"}</definedName>
    <definedName name="PAYABLES" hidden="1">{#N/A,#N/A,TRUE,"4-Way Financial Comparison";#N/A,#N/A,TRUE,"Operations Statement";#N/A,#N/A,TRUE,"GAAP Statement";#N/A,#N/A,TRUE,"Balance Sheet";#N/A,#N/A,TRUE,"Cash Flow";#N/A,#N/A,TRUE,"Adjustments";#N/A,#N/A,TRUE,"Non-Op Schedule";#N/A,#N/A,TRUE,"Debt Schedule";#N/A,#N/A,TRUE,"Outsiders Share";#N/A,#N/A,TRUE,"Capital Exp.";#N/A,#N/A,TRUE,"Invest Affiliates";#N/A,#N/A,TRUE,"COC";#N/A,#N/A,TRUE,"Def Chrgs, et al";#N/A,#N/A,TRUE,"Taxes";#N/A,#N/A,TRUE,"IC - Interest Income"}</definedName>
    <definedName name="pb" hidden="1">{"net assets",#N/A,FALSE,"summary";"asset turnover",#N/A,FALSE,"summary";"orona",#N/A,FALSE,"summary"}</definedName>
    <definedName name="PCap" hidden="1">#REF!</definedName>
    <definedName name="pcs" hidden="1">{#N/A,#N/A,FALSE,"PCS"}</definedName>
    <definedName name="pd" hidden="1">{"detail",#N/A,FALSE,"mfg";"summary",#N/A,FALSE,"mfg"}</definedName>
    <definedName name="peace" hidden="1">0</definedName>
    <definedName name="Pecos"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 hidden="1">{"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erTickers" hidden="1">#REF!</definedName>
    <definedName name="pepe" hidden="1">{#N/A,#N/A,FALSE,"Pharm";#N/A,#N/A,FALSE,"WWCM"}</definedName>
    <definedName name="PEPE4" hidden="1">{#N/A,#N/A,FALSE,"Pharm";#N/A,#N/A,FALSE,"WWCM"}</definedName>
    <definedName name="PEPE5" hidden="1">{#N/A,#N/A,FALSE,"Pharm";#N/A,#N/A,FALSE,"WWCM"}</definedName>
    <definedName name="perbolag" hidden="1">{#N/A,#N/A,FALSE,"intag";#N/A,#N/A,FALSE,"budg";#N/A,#N/A,FALSE,"samtl"}</definedName>
    <definedName name="Perf" hidden="1">{"GTI monthly IS",#N/A,FALSE,"gti";#N/A,#N/A,FALSE,"gti"}</definedName>
    <definedName name="perflog__pT__10__PivotTable2" hidden="1">"20.04.2020 13:03:00#20.04.2020 13:03:00#0"</definedName>
    <definedName name="perflog__pT__11__PivotTable2" hidden="1">"20.04.2020 13:03:00#20.04.2020 13:03:00#0"</definedName>
    <definedName name="perflog__pT__12__PivotTable2" hidden="1">"20.04.2020 13:03:00#20.04.2020 13:03:00#0"</definedName>
    <definedName name="perflog__pT__13__PivotTable2" hidden="1">"20.04.2020 13:03:00#20.04.2020 13:03:01#1"</definedName>
    <definedName name="perflog__pT__4__PivotTable8" hidden="1">"07.09.2020 14:22:07#07.09.2020 14:22:08#1"</definedName>
    <definedName name="perflog__pT__4__PivotTable9" hidden="1">"07.09.2020 14:22:08#07.09.2020 14:22:10#2"</definedName>
    <definedName name="perflog__pT__5__PivotTable1" hidden="1">"20.04.2020 13:02:33#20.04.2020 13:02:38#5"</definedName>
    <definedName name="perflog__pT__5__PivotTable8" hidden="1">"07.09.2020 14:22:11#07.09.2020 14:22:12#1"</definedName>
    <definedName name="perflog__pT__6__PivotTable1" hidden="1">"20.04.2020 13:02:38#20.04.2020 13:02:42#4"</definedName>
    <definedName name="perflog__pT__6__PivotTable8" hidden="1">"07.09.2020 14:22:12#07.09.2020 14:22:13#1"</definedName>
    <definedName name="perflog__pT__7__PivotTable1" hidden="1">"20.04.2020 13:02:42#20.04.2020 13:02:47#5"</definedName>
    <definedName name="perflog__pT__7__PivotTable8" hidden="1">"07.09.2020 14:22:13#07.09.2020 14:22:13#0"</definedName>
    <definedName name="perflog__pT__8__PivotTable1" hidden="1">"20.04.2020 13:02:51#20.04.2020 13:02:56#5"</definedName>
    <definedName name="perflog__pT__8__PivotTable2" hidden="1">"20.04.2020 13:02:47#20.04.2020 13:02:51#4"</definedName>
    <definedName name="perflog__pT__8__PivotTable8" hidden="1">"07.09.2020 14:22:13#07.09.2020 14:22:14#1"</definedName>
    <definedName name="perflog__pT__8__PivotTable9" hidden="1">"07.09.2020 14:22:14#07.09.2020 14:22:16#2"</definedName>
    <definedName name="perflog__pT__9__PivotTable1" hidden="1">"20.04.2020 13:02:56#20.04.2020 13:03:00#4"</definedName>
    <definedName name="PERIODDATE" hidden="1">"PERIODDATE"</definedName>
    <definedName name="per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erscd" hidden="1">{"budget95",#N/A,TRUE,"Tabelle1";"Tab1",#N/A,TRUE,"Tabelle2"}</definedName>
    <definedName name="pershold" hidden="1">{"budget95",#N/A,TRUE,"Tabelle1";"Tab1",#N/A,TRUE,"Tabelle2"}</definedName>
    <definedName name="Personalkst" hidden="1">{"TAG1AGMS",#N/A,FALSE,"TAG 1A"}</definedName>
    <definedName name="Personell"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persSP" hidden="1">{"budget95",#N/A,TRUE,"Tabelle1";"Tab1",#N/A,TRUE,"Tabelle2"}</definedName>
    <definedName name="PETRP" hidden="1">{"'Supply Chain'!$B$1:$AB$13"}</definedName>
    <definedName name="PETSia04" hidden="1">{"'Supply Chain'!$B$1:$AB$13"}</definedName>
    <definedName name="Pfan" hidden="1">{"'Munka1'!$B$1:$G$101"}</definedName>
    <definedName name="pfmea" hidden="1">#REF!</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a" hidden="1">{#N/A,#N/A,FALSE,"Sales Graph";#N/A,#N/A,FALSE,"PSBM";#N/A,#N/A,FALSE,"BUC Graph";#N/A,#N/A,FALSE,"P&amp;L - YTD"}</definedName>
    <definedName name="pi" hidden="1">{"oct_res_comm",#N/A,FALSE,"VarToBud"}</definedName>
    <definedName name="PIG" hidden="1">{#N/A,#N/A,FALSE,"Key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name="pilk" hidden="1">{"YD LPH2",#N/A,FALSE,"YTD"}</definedName>
    <definedName name="Pitchbook" hidden="1">{#N/A,#N/A,TRUE,"Sheet16"}</definedName>
    <definedName name="PJ" hidden="1">{#N/A,#N/A,FALSE,"초도품";#N/A,#N/A,FALSE,"초도품 (2)";#N/A,#N/A,FALSE,"초도품 (3)";#N/A,#N/A,FALSE,"초도품 (4)";#N/A,#N/A,FALSE,"초도품 (5)";#N/A,#N/A,FALSE,"초도품 (6)"}</definedName>
    <definedName name="PJAM3Yr" hidden="1">{"INCOME",#N/A,FALSE,"ProNet";"VALUE",#N/A,FALSE,"ProNet"}</definedName>
    <definedName name="pk" hidden="1">{"vol data",#N/A,FALSE,"Datasheet";"vol graph",#N/A,FALSE,"Volume";"price data",#N/A,FALSE,"Datasheet";"price graph",#N/A,FALSE,"Price";"dp data",#N/A,FALSE,"Datasheet";"dp graph",#N/A,FALSE,"DirectProfit"}</definedName>
    <definedName name="pkg.gom" hidden="1">{"2000PPE",#N/A,FALSE,"PPE 2000";"2000DD",#N/A,FALSE,"DrydocksOther"}</definedName>
    <definedName name="pkist" hidden="1">{"budget95",#N/A,TRUE,"Tabelle1";"Tab1",#N/A,TRUE,"Tabelle2"}</definedName>
    <definedName name="pl" hidden="1">{#N/A,#N/A,FALSE,"P&amp;L";#N/A,#N/A,FALSE,"Capital";#N/A,#N/A,FALSE,"Summary";#N/A,#N/A,FALSE,"VAR Rec";#N/A,#N/A,FALSE,"EBIT Rec"}</definedName>
    <definedName name="PL1a" hidden="1">{#N/A,#N/A,FALSE,"Umsatz 99";#N/A,#N/A,FALSE,"ER 99 "}</definedName>
    <definedName name="PL5YRP" hidden="1">{"ebitda",#N/A,FALSE,"EBITDA";"consolidated",#N/A,FALSE,"CCC PL";"divisions",#N/A,FALSE,"Divisions"}</definedName>
    <definedName name="pla" hidden="1">{"budget95",#N/A,TRUE,"Tabelle1";"Tab1",#N/A,TRUE,"Tabelle2"}</definedName>
    <definedName name="placeholder" hidden="1">{#N/A,#N/A,FALSE,"Performance Flash Report"}</definedName>
    <definedName name="Plan_info_FooterType" hidden="1">"INTERNAL"</definedName>
    <definedName name="planassumptions" hidden="1">{"budget95",#N/A,TRUE,"Tabelle1";"Tab1",#N/A,TRUE,"Tabelle2"}</definedName>
    <definedName name="Planning_for_Q4" hidden="1">{"'Expense Details'!$A$1:$AM$222"}</definedName>
    <definedName name="PlanVLE" hidden="1">{#N/A,#N/A,FALSE,"SUMMARY";#N/A,#N/A,FALSE,"mcsh";#N/A,#N/A,FALSE,"vol&amp;rev";#N/A,#N/A,FALSE,"wkgcap";#N/A,#N/A,FALSE,"DEPR&amp;DT";#N/A,#N/A,FALSE,"ASSETS";#N/A,#N/A,FALSE,"NI&amp;OTH&amp;DIV";#N/A,#N/A,FALSE,"CASHFLOW";#N/A,#N/A,FALSE,"CAPEMPL";#N/A,#N/A,FALSE,"ROCE"}</definedName>
    <definedName name="PLAssump" hidden="1">{"'SIVA Pricing Model'!$A$1:$F$39"}</definedName>
    <definedName name="PLAssump2" hidden="1">{"'SIVA Pricing Model'!$A$1:$F$39"}</definedName>
    <definedName name="PLAssump3" hidden="1">{"'SIVA Pricing Model'!$A$1:$F$39"}</definedName>
    <definedName name="plassumpw" hidden="1">{"'SIVA Pricing Model'!$A$1:$F$39"}</definedName>
    <definedName name="Plastics" hidden="1">{"Curr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name="PLCepi" hidden="1">{#N/A,#N/A,FALSE,"REPORT"}</definedName>
    <definedName name="please" hidden="1">{"SCM_Detail",#N/A,FALSE,"SCM";"SCM_Top",#N/A,FALSE,"SCM"}</definedName>
    <definedName name="plo" hidden="1">255</definedName>
    <definedName name="PLProcef" hidden="1">{#N/A,#N/A,FALSE,"REPORT"}</definedName>
    <definedName name="PLTaxol" hidden="1">{#N/A,#N/A,FALSE,"REPORT"}</definedName>
    <definedName name="Pnl" hidden="1">{#N/A,#N/A,FALSE,"Pharm";#N/A,#N/A,FALSE,"WWCM"}</definedName>
    <definedName name="pnsji5" hidden="1">{#N/A,"PURCHM",FALSE,"Business Analysis";#N/A,"SPADD",FALSE,"Business Analysis"}</definedName>
    <definedName name="po" hidden="1">{#N/A,#N/A,FALSE,"Calc";#N/A,#N/A,FALSE,"Sensitivity";#N/A,#N/A,FALSE,"LT Earn.Dil.";#N/A,#N/A,FALSE,"Dil. AVP"}</definedName>
    <definedName name="poc" hidden="1">{#N/A,"PURADD",FALSE,"Business Analysis";#N/A,"PURSPP",FALSE,"Business Analysis";#N/A,"CTGIND",FALSE,"Business Analysis";#N/A,"PURCHM",FALSE,"Business Analysis";#N/A,"SPADD",FALSE,"Business Analysis";#N/A,"EPOXY",FALSE,"Business Analysis";#N/A,"PURPER",FALSE,"Business Analysis"}</definedName>
    <definedName name="poi" hidden="1">{"assumption 50 50",#N/A,TRUE,"Merger";"has gets cash",#N/A,TRUE,"Merger";"accretion dilution",#N/A,TRUE,"Merger";"comparison credit stats",#N/A,TRUE,"Merger";"pf credit stats",#N/A,TRUE,"Merger";"pf sheets",#N/A,TRUE,"Merger"}</definedName>
    <definedName name="poiu" hidden="1">{"Performance Details",#N/A,FALSE,"Current Yr";"Performance Details",#N/A,FALSE,"Budget";"Performance Details",#N/A,FALSE,"Prior Year"}</definedName>
    <definedName name="pokj" hidden="1">{"QTD_LOUISIANA",#N/A,FALSE,"QTD"}</definedName>
    <definedName name="pol" hidden="1">{"sbhko",#N/A,FALSE,"A";"sbhko2",#N/A,FALSE,"A";"sbhko3",#N/A,FALSE,"A"}</definedName>
    <definedName name="pompelmo" hidden="1">{"FY98Q1 var",#N/A,FALSE,"FY98 - Q1";"FY98Q2 var",#N/A,FALSE,"FY98 - Q2";"FY98Q3 var",#N/A,FALSE,"FY98 - Q3";"FY98Q4 var",#N/A,FALSE,"FY98 - Q4"}</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p" hidden="1">{#N/A,#N/A,FALSE,"5yr.hist."}</definedName>
    <definedName name="port29" hidden="1">{#N/A,#N/A,FALSE,"Pharm";#N/A,#N/A,FALSE,"WWCM"}</definedName>
    <definedName name="powq" hidden="1">{#N/A,"PURCHM",FALSE,"Business Analysis";#N/A,"SPADD",FALSE,"Business Analysis"}</definedName>
    <definedName name="PPK" hidden="1">{#N/A,#N/A,FALSE,"96 3월물량표";#N/A,#N/A,FALSE,"96 4월물량표";#N/A,#N/A,FALSE,"96 5월물량표"}</definedName>
    <definedName name="ppo" hidden="1">{"Capital",#N/A,FALSE,"capital"}</definedName>
    <definedName name="ppooo" hidden="1">{#N/A,#N/A,FALSE,"Table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name="ppp" hidden="1">{"Bilanz grob",#N/A,FALSE,"Planbilanz";"Erfolgsrechnung grob",#N/A,FALSE,"Plan-ER";#N/A,#N/A,FALSE,"Geldfluss"}</definedName>
    <definedName name="PPPPP" hidden="1">{"'Data'!$A$1:$D$17"}</definedName>
    <definedName name="pppppppp" hidden="1">{"'Other IPS'!$A$5","'Other IPS'!$A$4:$K$38"}</definedName>
    <definedName name="PPPPPPPPPPPPPPPP" hidden="1">{"Summary",#N/A,FALSE,"Summary";"A&amp;A's",#N/A,FALSE,"Aids &amp; A's";"MajorWorks",#N/A,FALSE,"Major Works";"EstateImps",#N/A,FALSE,"Estate Imps";"CatC",#N/A,FALSE,"Cat C Voids";"CycProg",#N/A,FALSE,"Cyclical Prog inc MR"}</definedName>
    <definedName name="PPPPPPPPPPPPPPPPPPPPPPPPPPPPPPPP" hidden="1">{"London cttee condensed",#N/A,FALSE,"Dev Panel Cut Report";"South East cttee condensed",#N/A,FALSE,"Dev Panel Cut Report"}</definedName>
    <definedName name="pqmjuz" hidden="1">{"detail",#N/A,FALSE,"mfg";"summary",#N/A,FALSE,"mfg"}</definedName>
    <definedName name="PRA_Val_Matrix" hidden="1">{"BankView",#N/A,FALSE,"TransSum";#N/A,#N/A,FALSE,"Lab";#N/A,#N/A,FALSE,"Micro wo HiPur";#N/A,#N/A,FALSE,"Texas";#N/A,#N/A,FALSE,"Temple";#N/A,#N/A,FALSE,"Micro";#N/A,#N/A,FALSE,"BuyResale";#N/A,#N/A,FALSE,"Spec.";#N/A,#N/A,FALSE,"Comb";#N/A,#N/A,FALSE,"StandAlon";#N/A,#N/A,FALSE,"IncStmt";#N/A,#N/A,FALSE,"BalSht";#N/A,#N/A,FALSE,"CapEx";#N/A,#N/A,FALSE,"CashFlow";#N/A,#N/A,FALSE,"TBS"}</definedName>
    <definedName name="PRA_Val_Matrix2" hidden="1">{"BankView",#N/A,FALSE,"TransSum";#N/A,#N/A,FALSE,"Lab";#N/A,#N/A,FALSE,"Micro wo HiPur";#N/A,#N/A,FALSE,"Texas";#N/A,#N/A,FALSE,"Temple";#N/A,#N/A,FALSE,"Micro";#N/A,#N/A,FALSE,"BuyResale";#N/A,#N/A,FALSE,"Spec.";#N/A,#N/A,FALSE,"Comb";#N/A,#N/A,FALSE,"StandAlon";#N/A,#N/A,FALSE,"IncStmt";#N/A,#N/A,FALSE,"BalSht";#N/A,#N/A,FALSE,"CapEx";#N/A,#N/A,FALSE,"CashFlow";#N/A,#N/A,FALSE,"TBS"}</definedName>
    <definedName name="PRACTICE" hidden="1">{#N/A,#N/A,FALSE,"Summation";#N/A,#N/A,FALSE,"BSA";#N/A,#N/A,FALSE,"Detail1";#N/A,#N/A,FALSE,"Detail2";#N/A,#N/A,FALSE,"Detail3";#N/A,#N/A,FALSE,"WFTE_Summary";#N/A,#N/A,FALSE,"Funded_WFTE";#N/A,#N/A,FALSE,"PYADJ96"}</definedName>
    <definedName name="PRACTOCE" hidden="1">{#N/A,#N/A,FALSE,"Summation";#N/A,#N/A,FALSE,"BSA";#N/A,#N/A,FALSE,"Detail1";#N/A,#N/A,FALSE,"Detail2";#N/A,#N/A,FALSE,"Detail3";#N/A,#N/A,FALSE,"WFTE_Summary";#N/A,#N/A,FALSE,"Funded_WFTE";#N/A,#N/A,FALSE,"PYADJ96"}</definedName>
    <definedName name="Prashanth" hidden="1">{#N/A,#N/A,FALSE,"COMP"}</definedName>
    <definedName name="pRAVEEN" hidden="1">{#N/A,#N/A,FALSE,"Staffnos &amp; cost"}</definedName>
    <definedName name="pre"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F_DIVID" hidden="1">"PREF_DIVID"</definedName>
    <definedName name="PREF_STOCK" hidden="1">"PREF_STOCK"</definedName>
    <definedName name="prefyes" hidden="1">#REF!</definedName>
    <definedName name="PREPAID_EXPEN" hidden="1">"PREPAID_EXPEN"</definedName>
    <definedName name="Prepayments" hidden="1">{"ratios",#N/A,FALSE,"Analyse";"multiples",#N/A,FALSE,"Analyse";"places",#N/A,FALSE,"Analyse"}</definedName>
    <definedName name="Pres" hidden="1">{#N/A,#N/A,TRUE,"Cover sheet";#N/A,#N/A,TRUE,"Summary";#N/A,#N/A,TRUE,"Key Assumptions";#N/A,#N/A,TRUE,"Profit &amp; Loss";#N/A,#N/A,TRUE,"Balance Sheet";#N/A,#N/A,TRUE,"Cashflow";#N/A,#N/A,TRUE,"IRR";#N/A,#N/A,TRUE,"Ratios";#N/A,#N/A,TRUE,"Debt analysis"}</definedName>
    <definedName name="Pres2" hidden="1">{#N/A,#N/A,TRUE,"Cover sheet";#N/A,#N/A,TRUE,"Summary";#N/A,#N/A,TRUE,"Key Assumptions";#N/A,#N/A,TRUE,"Profit &amp; Loss";#N/A,#N/A,TRUE,"Balance Sheet";#N/A,#N/A,TRUE,"Cashflow";#N/A,#N/A,TRUE,"IRR";#N/A,#N/A,TRUE,"Ratios";#N/A,#N/A,TRUE,"Debt analysis"}</definedName>
    <definedName name="PRESA" hidden="1">{#N/A,#N/A,TRUE,"Cover sheet";#N/A,#N/A,TRUE,"Summary";#N/A,#N/A,TRUE,"Key Assumptions";#N/A,#N/A,TRUE,"Profit &amp; Loss";#N/A,#N/A,TRUE,"Balance Sheet";#N/A,#N/A,TRUE,"Cashflow";#N/A,#N/A,TRUE,"IRR";#N/A,#N/A,TRUE,"Ratios";#N/A,#N/A,TRUE,"Debt analysis"}</definedName>
    <definedName name="Prese" hidden="1">{#N/A,#N/A,TRUE,"Cover sheet";#N/A,#N/A,TRUE,"Summary";#N/A,#N/A,TRUE,"Key Assumptions";#N/A,#N/A,TRUE,"Profit &amp; Loss";#N/A,#N/A,TRUE,"Balance Sheet";#N/A,#N/A,TRUE,"Cashflow";#N/A,#N/A,TRUE,"IRR";#N/A,#N/A,TRUE,"Ratios";#N/A,#N/A,TRUE,"Debt analysis"}</definedName>
    <definedName name="presentació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TAX_INC" hidden="1">"PRETAX_INC"</definedName>
    <definedName name="PRETAX_INC_10K" hidden="1">"PRETAX_INC_10K"</definedName>
    <definedName name="PRETAX_INC_10Q" hidden="1">"PRETAX_INC_10Q"</definedName>
    <definedName name="PRETAX_INC_10Q1" hidden="1">"PRETAX_INC_10Q1"</definedName>
    <definedName name="PRICE_OVER_EPS_EST" hidden="1">"PRICE_OVER_EPS_EST"</definedName>
    <definedName name="PRICE_OVER_EPS_EST_1" hidden="1">"PRICE_OVER_EPS_EST_1"</definedName>
    <definedName name="PRICE_OVER_LTM_EPS" hidden="1">"PRICE_OVER_LTM_EPS"</definedName>
    <definedName name="pricebook_col" hidden="1">#REF!</definedName>
    <definedName name="priceearnings_col" hidden="1">#REF!</definedName>
    <definedName name="PriceRange" hidden="1">OFFSET(#REF!,5,0,COUNTA(#REF!)-COUNTA(#REF!),1)</definedName>
    <definedName name="PriceRangeMain" hidden="1">#REF!</definedName>
    <definedName name="prinallnew" hidden="1">{"sterling",#N/A,FALSE,"£";"USdollar",#N/A,FALSE,"USA$";"mark",#N/A,FALSE,"DM";"peseta",#N/A,FALSE,"Pta";"lira",#N/A,FALSE,"LIRA";"euro",#N/A,FALSE,"Euro";"Ausdollar",#N/A,FALSE,"Aus$";"other",#N/A,FALSE,"Other"}</definedName>
    <definedName name="_xlnm.Print_Area" localSheetId="27">CF_monthly!$A$3:$CM$71</definedName>
    <definedName name="_xlnm.Print_Area" localSheetId="6">'Lead CF'!$A$3:$P$73</definedName>
    <definedName name="_xlnm.Print_Area" localSheetId="5">'Lead NA'!$A$1:$N$66</definedName>
    <definedName name="_xlnm.Print_Area" localSheetId="21">NA_CAPEX!$A$2:$M$26</definedName>
    <definedName name="_xlnm.Print_Area" localSheetId="28">NA_Dummy!$A$1:$O$20</definedName>
    <definedName name="_xlnm.Print_Area" localSheetId="15">'NA_Ford LuL'!$A$2:$H$33</definedName>
    <definedName name="_xlnm.Print_Area" localSheetId="19">'NA_Net Debt'!$A$2:$N$50</definedName>
    <definedName name="_xlnm.Print_Area" localSheetId="29">NA_Sachanlagen!$A$3:$M$28</definedName>
    <definedName name="_xlnm.Print_Area" localSheetId="17">NA_TWC!$A$2:$O$88</definedName>
    <definedName name="_xlnm.Print_Area" localSheetId="16">'NA_Verb LuL'!$A$2:$H$32</definedName>
    <definedName name="_xlnm.Print_Area" localSheetId="22">NA_Vorräte!$A$3:$J$49</definedName>
    <definedName name="_xlnm.Print_Area" localSheetId="24">PL_Dummy!$A$3:$S$22</definedName>
    <definedName name="_xlnm.Print_Area" localSheetId="10">PL_oOPEX!$A$3:$Q$49</definedName>
    <definedName name="_xlnm.Print_Area" localSheetId="9">PL_PEX!$A$2:$S$50</definedName>
    <definedName name="_xlnm.Print_Area" localSheetId="26">PL_Preis_Menge!$A$2:$R$41</definedName>
    <definedName name="_xlnm.Print_Area" localSheetId="12">PL_QoE!$A$2:$O$71</definedName>
    <definedName name="_xlnm.Print_Area" localSheetId="25">PL_Rohergebnis!$A$2:$S$35</definedName>
    <definedName name="Print_CSC_Report_2" hidden="1">{"CSC_1",#N/A,FALSE,"CSC Outputs";"CSC_2",#N/A,FALSE,"CSC Outputs"}</definedName>
    <definedName name="Print_CSC_Report_3" hidden="1">{"CSC_1",#N/A,FALSE,"CSC Outputs";"CSC_2",#N/A,FALSE,"CSC Outputs"}</definedName>
    <definedName name="PRINT10" hidden="1">#REF!</definedName>
    <definedName name="print4" hidden="1">{#N/A,#N/A,FALSE,"Operations";#N/A,#N/A,FALSE,"Financials"}</definedName>
    <definedName name="PrintBuyer" hidden="1">{#N/A,"DR",FALSE,"increm pf";#N/A,"MAMSI",FALSE,"increm pf";#N/A,"MAXI",FALSE,"increm pf";#N/A,"PCAM",FALSE,"increm pf";#N/A,"PHSV",FALSE,"increm pf";#N/A,"SIE",FALSE,"increm pf"}</definedName>
    <definedName name="PRO_FORMA_BASIC_EPS" hidden="1">"PRO_FORMA_BASIC_EPS"</definedName>
    <definedName name="PRO_FORMA_DILUT_EPS" hidden="1">"PRO_FORMA_DILUT_EPS"</definedName>
    <definedName name="PRO_FORMA_NET_INC" hidden="1">"PRO_FORMA_NET_INC"</definedName>
    <definedName name="Procef" hidden="1">{#N/A,#N/A,FALSE,"Pharm";#N/A,#N/A,FALSE,"WWCM"}</definedName>
    <definedName name="prod" hidden="1">{#N/A,#N/A,FALSE,"Pharm";#N/A,#N/A,FALSE,"WWCM"}</definedName>
    <definedName name="prod1" hidden="1">{"'Data'!$A$1:$D$17"}</definedName>
    <definedName name="ProdForm" hidden="1">#REF!</definedName>
    <definedName name="prodprocessarditw" hidden="1">{"'Data'!$A$1:$D$17"}</definedName>
    <definedName name="prodprocessaudit" hidden="1">{"'Data'!$A$1:$D$17"}</definedName>
    <definedName name="Product" hidden="1">#REF!</definedName>
    <definedName name="produkt1" hidden="1">{#N/A,#N/A,FALSE,"Print produktmix"}</definedName>
    <definedName name="proformrow" hidden="1">#REF!</definedName>
    <definedName name="prohr" hidden="1">{#N/A,#N/A,FALSE,"Staffnos &amp; cost"}</definedName>
    <definedName name="projdepamort" hidden="1">#REF!</definedName>
    <definedName name="projepsstart" hidden="1">#REF!</definedName>
    <definedName name="projint" hidden="1">#REF!</definedName>
    <definedName name="projrev" hidden="1">#REF!</definedName>
    <definedName name="projtax" hidden="1">#REF!</definedName>
    <definedName name="promo" hidden="1">{"'1998 FTC Promo Pk'!$A$6:$AB$28"}</definedName>
    <definedName name="PROPERTY_GROSS" hidden="1">"PROPERTY_GROSS"</definedName>
    <definedName name="PROPERTY_NET" hidden="1">"PROPERTY_NET"</definedName>
    <definedName name="PROTO2" hidden="1">{#N/A,#N/A,FALSE,"단축1";#N/A,#N/A,FALSE,"단축2";#N/A,#N/A,FALSE,"단축3";#N/A,#N/A,FALSE,"장축";#N/A,#N/A,FALSE,"4WD"}</definedName>
    <definedName name="PROTO3" hidden="1">{#N/A,#N/A,FALSE,"단축1";#N/A,#N/A,FALSE,"단축2";#N/A,#N/A,FALSE,"단축3";#N/A,#N/A,FALSE,"장축";#N/A,#N/A,FALSE,"4WD"}</definedName>
    <definedName name="prout" hidden="1">{"comp1",#N/A,FALSE,"COMPS";"footnotes",#N/A,FALSE,"COMPS"}</definedName>
    <definedName name="prout1" hidden="1">{"comp1",#N/A,FALSE,"COMPS";"footnotes",#N/A,FALSE,"COMPS"}</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TEeXToEUR" hidden="1">1/EUReXToPTE</definedName>
    <definedName name="PU" hidden="1">{"'Demand Units'!$X$11:$AD$45"}</definedName>
    <definedName name="pü" hidden="1">{#N/A,#N/A,FALSE,"Layout Cash Flow"}</definedName>
    <definedName name="PUB_FileID" hidden="1">"L10003649.xls"</definedName>
    <definedName name="PUB_UserID" hidden="1">"MAYERX"</definedName>
    <definedName name="pucspadd42" hidden="1">{#N/A,"PURCHM",FALSE,"Business Analysis";#N/A,"SPADD",FALSE,"Business Analysis"}</definedName>
    <definedName name="Pull_MFE" hidden="1">#REF!</definedName>
    <definedName name="pupi" hidden="1">{"YD OTHER",#N/A,FALSE,"YTD"}</definedName>
    <definedName name="püpoüpoüpo" hidden="1">{#N/A,#N/A,FALSE,"PMW Gruppe 99_98";#N/A,#N/A,FALSE,"PMW KG 98_99";#N/A,#N/A,FALSE,"PMW Inc. 99_98";#N/A,#N/A,FALSE,"PMW VTECH 99_98";#N/A,#N/A,FALSE,"PMW Thail. 99_98";#N/A,#N/A,FALSE,"PMW Canada 99_98";#N/A,#N/A,FALSE,"Währungsabw. 99_98"}</definedName>
    <definedName name="püpü" hidden="1">{#N/A,#N/A,FALSE,"Umsatz 99";#N/A,#N/A,FALSE,"ER 99 "}</definedName>
    <definedName name="püüü" hidden="1">{#N/A,#N/A,TRUE,"Time";#N/A,#N/A,TRUE,"VER";#N/A,#N/A,TRUE,"K1_R";#N/A,#N/A,TRUE,"K2_R";#N/A,#N/A,TRUE,"K3_R";#N/A,#N/A,TRUE,"K4_R";#N/A,#N/A,TRUE,"K5_R";#N/A,#N/A,TRUE,"K6_R";#N/A,#N/A,TRUE,"K7_R"}</definedName>
    <definedName name="pvdsk"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V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yiu"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pyop" hidden="1">{"vi1",#N/A,FALSE,"Financial Statements";"vi2",#N/A,FALSE,"Financial Statements";#N/A,#N/A,FALSE,"DCF"}</definedName>
    <definedName name="pz" hidden="1">{"Month Summary",#N/A,FALSE,"Summary";"Total Details",#N/A,FALSE,"Current Yr";"Polymers Details",#N/A,FALSE,"Current Yr";"Performance Details",#N/A,FALSE,"Current Yr";"ICD Details",#N/A,FALSE,"Current Yr"}</definedName>
    <definedName name="q" localSheetId="54" hidden="1">'[1]Piper Heidsieck'!#REF!</definedName>
    <definedName name="q" localSheetId="55" hidden="1">'[1]Piper Heidsieck'!#REF!</definedName>
    <definedName name="q" hidden="1">{#N/A,#N/A,FALSE,"Fluktuation TSI"}</definedName>
    <definedName name="q0" hidden="1">{"'Demand Units'!$Z$2:$AF$53"}</definedName>
    <definedName name="q34her5g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aqgrea" hidden="1">{"dcfsummary",#N/A,FALSE,"NHY - DCF Valuation";"agriculture",#N/A,FALSE,"NHY - DCF Valuation";"oilgas",#N/A,FALSE,"NHY - DCF Valuation";"oilgastot",#N/A,FALSE,"NHY - DCF Valuation";"lightmetals",#N/A,FALSE,"NHY - DCF Valuation";"petrochemicals",#N/A,FALSE,"NHY - DCF Valuation";"other",#N/A,FALSE,"NHY - DCF Valuation"}</definedName>
    <definedName name="q34tqa3gta" hidden="1">{"dcfsummary",#N/A,FALSE,"NHY - DCF Valuation";"agriculture",#N/A,FALSE,"NHY - DCF Valuation";"oilgas",#N/A,FALSE,"NHY - DCF Valuation";"oilgastot",#N/A,FALSE,"NHY - DCF Valuation";"lightmetals",#N/A,FALSE,"NHY - DCF Valuation";"petrochemicals",#N/A,FALSE,"NHY - DCF Valuation";"other",#N/A,FALSE,"NHY - DCF Valuation"}</definedName>
    <definedName name="q4taqg35gqa" hidden="1">{"dcfsummary",#N/A,FALSE,"NHY - DCF Valuation";"agriculture",#N/A,FALSE,"NHY - DCF Valuation";"oilgas",#N/A,FALSE,"NHY - DCF Valuation";"oilgastot",#N/A,FALSE,"NHY - DCF Valuation";"lightmetals",#N/A,FALSE,"NHY - DCF Valuation";"petrochemicals",#N/A,FALSE,"NHY - DCF Valuation";"other",#N/A,FALSE,"NHY - DCF Valuation"}</definedName>
    <definedName name="qa" hidden="1">{#N/A,#N/A,FALSE,"Staffnos &amp; cost"}</definedName>
    <definedName name="qaaaa" hidden="1">{"detail",#N/A,FALSE,"mfg";"summary",#N/A,FALSE,"mfg"}</definedName>
    <definedName name="qads" hidden="1">#REF!</definedName>
    <definedName name="qas" hidden="1">#REF!</definedName>
    <definedName name="QAW" hidden="1">{#N/A,#N/A,FALSE,"을지 (4)";#N/A,#N/A,FALSE,"을지 (5)";#N/A,#N/A,FALSE,"을지 (6)"}</definedName>
    <definedName name="QAWX" hidden="1">{#N/A,#N/A,FALSE,"을지 (4)";#N/A,#N/A,FALSE,"을지 (5)";#N/A,#N/A,FALSE,"을지 (6)"}</definedName>
    <definedName name="qaz" hidden="1">{#N/A,#N/A,FALSE,"Pharm";#N/A,#N/A,FALSE,"WWCM"}</definedName>
    <definedName name="Qdfdv" hidden="1">{"quarterly",#N/A,FALSE,"Income Statement";#N/A,#N/A,FALSE,"print segment";#N/A,#N/A,FALSE,"Balance Sheet";#N/A,#N/A,FALSE,"Annl Inc";#N/A,#N/A,FALSE,"Cash Flow"}</definedName>
    <definedName name="qds" hidden="1">{#N/A,#N/A,FALSE,"Aging Summary";#N/A,#N/A,FALSE,"Ratio Analysis";#N/A,#N/A,FALSE,"Test 120 Day Accts";#N/A,#N/A,FALSE,"Tickmarks"}</definedName>
    <definedName name="Qd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dwrn.handout." hidden="1">{"quarterly",#N/A,FALSE,"Income Statement New CPB";"annual",#N/A,FALSE,"Income Statement New CPB";"cash flow",#N/A,FALSE,"Cash Flow";"balance",#N/A,FALSE,"Balance Sheet";"seg",#N/A,FALSE,"New Segment Breakout"}</definedName>
    <definedName name="Qd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QE" hidden="1">{#N/A,#N/A,FALSE,"초도품";#N/A,#N/A,FALSE,"초도품 (2)";#N/A,#N/A,FALSE,"초도품 (3)";#N/A,#N/A,FALSE,"초도품 (4)";#N/A,#N/A,FALSE,"초도품 (5)";#N/A,#N/A,FALSE,"초도품 (6)"}</definedName>
    <definedName name="qeqee" hidden="1">{#N/A,#N/A,FALSE,"Produkte Erw.";#N/A,#N/A,FALSE,"Produkte Plan";#N/A,#N/A,FALSE,"Leistungen Erw.";#N/A,#N/A,FALSE,"Leistungen Plan";#N/A,#N/A,FALSE,"KA Allg.Kosten (2)";#N/A,#N/A,FALSE,"KA All.Kosten"}</definedName>
    <definedName name="qer" hidden="1">{"mgmt forecast",#N/A,FALSE,"Mgmt Forecast";"dcf table",#N/A,FALSE,"Mgmt Forecast";"sensitivity",#N/A,FALSE,"Mgmt Forecast";"table inputs",#N/A,FALSE,"Mgmt Forecast";"calculations",#N/A,FALSE,"Mgmt Forecast"}</definedName>
    <definedName name="qertweyu" hidden="1">{#N/A,#N/A,FALSE,"REPORT"}</definedName>
    <definedName name="qesd" hidden="1">{"Page 1",#N/A,FALSE,"OpExJanVsPY";"Page 2",#N/A,FALSE,"OpExJanVsPY"}</definedName>
    <definedName name="qetryywt" hidden="1">{#N/A,#N/A,FALSE,"REPORT"}</definedName>
    <definedName name="qewreqrqwer" hidden="1">{"comp1",#N/A,FALSE,"COMPS";"footnotes",#N/A,FALSE,"COMPS"}</definedName>
    <definedName name="qi" hidden="1">{#N/A,"PURADD",FALSE,"Business Analysis";#N/A,"PURSPP",FALSE,"Business Analysis";#N/A,"CTGIND",FALSE,"Business Analysis";#N/A,"PURCHM",FALSE,"Business Analysis";#N/A,"SPADD",FALSE,"Business Analysis";#N/A,"EPOXY",FALSE,"Business Analysis";#N/A,"PURPER",FALSE,"Business Analysis"}</definedName>
    <definedName name="qink" hidden="1">{#N/A,"PURCHM",FALSE,"Business Analysis";#N/A,"SPADD",FALSE,"Business Analysis"}</definedName>
    <definedName name="QLGC" hidden="1">{"CHART",#N/A,FALSE,"Arch Communications"}</definedName>
    <definedName name="QofE2"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q" hidden="1">{"RETRO",#N/A,FALSE,"Ret";"retro",#N/A,FALSE,"Ret_RO";"retp",#N/A,FALSE,"Ret_P";"livro",#N/A,FALSE,"Livr_RO";"livp",#N/A,FALSE,"Livr_P";"puro",#N/A,FALSE,"Pu_RO";"pup",#N/A,FALSE,"Pu_P";"stocro",#N/A,FALSE,"Stock_RO";"stocp",#N/A,FALSE,"Stock_P";"vitro",#N/A,FALSE,"Vitr-RO";"vitp",#N/A,FALSE,"Vitr-P";"destro",#N/A,FALSE,"Dest_RO";"destp",#N/A,FALSE,"Dest_P"}</definedName>
    <definedName name="qqkkkkk" hidden="1">{#N/A,"PURCHM",FALSE,"Business Analysis";#N/A,"SPADD",FALSE,"Business Analysis"}</definedName>
    <definedName name="qqq" hidden="1">{#N/A,#N/A,FALSE,"Pharm";#N/A,#N/A,FALSE,"WWCM"}</definedName>
    <definedName name="qqqaa" hidden="1">{"detail",#N/A,FALSE,"mfg";"summary",#N/A,FALSE,"mfg"}</definedName>
    <definedName name="QQQAAASSS" hidden="1">{#N/A,#N/A,TRUE,"Y생산";#N/A,#N/A,TRUE,"Y판매";#N/A,#N/A,TRUE,"Y총물량";#N/A,#N/A,TRUE,"Y능력";#N/A,#N/A,TRUE,"YKD"}</definedName>
    <definedName name="qqqq" hidden="1">Main.SAPF4Help()</definedName>
    <definedName name="QQQQQ" hidden="1">{#N/A,#N/A,FALSE,"단축1";#N/A,#N/A,FALSE,"단축2";#N/A,#N/A,FALSE,"단축3";#N/A,#N/A,FALSE,"장축";#N/A,#N/A,FALSE,"4WD"}</definedName>
    <definedName name="qqqqqq" hidden="1">{"QTD_PRS",#N/A,FALSE,"QTD"}</definedName>
    <definedName name="QQQQQQQ" hidden="1">{#N/A,#N/A,TRUE,"Y생산";#N/A,#N/A,TRUE,"Y판매";#N/A,#N/A,TRUE,"Y총물량";#N/A,#N/A,TRUE,"Y능력";#N/A,#N/A,TRUE,"YKD"}</definedName>
    <definedName name="qqqqqqqqqq" hidden="1">{"pro_view",#N/A,FALSE,"EEFSNAP2";"rep_view",#N/A,FALSE,"EEFSNAP2"}</definedName>
    <definedName name="qqqqqqqqqqqqqq" hidden="1">{#N/A,#N/A,FALSE,"IS INPUT";#N/A,#N/A,FALSE,"BS INPUT";#N/A,#N/A,FALSE,"IS MTH";#N/A,#N/A,FALSE,"IS LOCAL";#N/A,#N/A,FALSE,"WON ADJ";#N/A,#N/A,FALSE,"USD ADJ";#N/A,#N/A,FALSE,"EQUITY";#N/A,#N/A,FALSE,"IS US ";#N/A,#N/A,FALSE,"BS US"}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 hidden="1">{"Area1",#N/A,FALSE,"OREWACC";"Area2",#N/A,FALSE,"OREWACC"}</definedName>
    <definedName name="qqqqqqqqqqqqqqqqqqq" hidden="1">{"detail",#N/A,FALSE,"mfg";"summary",#N/A,FALSE,"mfg"}</definedName>
    <definedName name="qqqqqqqqqqqqqqqqqqqqqqqqqqqqqqqqqqqqqqqqqqqqqqqqqqqqqq" hidden="1">{"TXO2N2_SLS",#N/A,FALSE,"MTHLYSLES";"TXH2_SLS",#N/A,FALSE,"MTHLYSLES";"LOUIS_SLS",#N/A,FALSE,"MTHLYSLES";"H2_SLS",#N/A,FALSE,"MTHLYSLES";"O2N2_SLS",#N/A,FALSE,"MTHLYSLES";"PACKAGE_SLS",#N/A,FALSE,"MTHLYSLES"}</definedName>
    <definedName name="qqwtweryey" hidden="1">{#N/A,#N/A,FALSE,"REPORT"}</definedName>
    <definedName name="qr" hidden="1">{"detail",#N/A,FALSE,"mfg";"summary",#N/A,FALSE,"mfg"}</definedName>
    <definedName name="qrewqfewq" hidden="1">{#N/A,#N/A,TRUE,"Historicals";#N/A,#N/A,TRUE,"Charts";#N/A,#N/A,TRUE,"Forecasts"}</definedName>
    <definedName name="qrewr"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QRYCOUNT" hidden="1">0</definedName>
    <definedName name="QRYNAME1" hidden="1">"Qlimberg"</definedName>
    <definedName name="QRYNAME10" hidden="1">"US OUS Monthly High Level Cash Flow"</definedName>
    <definedName name="QRYNAME11" hidden="1">"BOLO QRY: 1:  SHEET:BOLO Reported"</definedName>
    <definedName name="QRYNAME12" hidden="1">"Option Expense"</definedName>
    <definedName name="QRYNAME13" hidden="1">"Pens OPEB Expense"</definedName>
    <definedName name="QRYNAME14" hidden="1">"Inventory Cash Flow Query"</definedName>
    <definedName name="QRYNAME15" hidden="1">"AR Cash Flow Query"</definedName>
    <definedName name="QRYNAME16" hidden="1">"AP Cash Flow Query"</definedName>
    <definedName name="QRYNAME18" hidden="1">"Depr Expense"</definedName>
    <definedName name="QRYNAME19" hidden="1">"Inventory Cash Flow Query"</definedName>
    <definedName name="QRYNAME2" hidden="1">"Qlimbergdivision"</definedName>
    <definedName name="QRYNAME20" hidden="1">"BQ w-o Quante &amp; Gore"</definedName>
    <definedName name="QRYNAME21" hidden="1">"Div P&amp;L by Qtr-without Q &amp; Gore"</definedName>
    <definedName name="QRYNAME22" hidden="1">"bqSlsOIWW"</definedName>
    <definedName name="QRYNAME23" hidden="1">"bqSlsOIWW MPP"</definedName>
    <definedName name="QRYNAME24" hidden="1">"bqSlsOIWW MSD"</definedName>
    <definedName name="QRYNAME25" hidden="1">"bqEP OP Plan"</definedName>
    <definedName name="QRYNAME26" hidden="1">"bqIndirectOpPlan"</definedName>
    <definedName name="QRYNAME27" hidden="1">"bqIndirectOpPlanHK"</definedName>
    <definedName name="QRYNAME28" hidden="1">"bqP&amp;LUSFcstHK"</definedName>
    <definedName name="QRYNAME29" hidden="1">"bqP&amp;LOUSFcstHK"</definedName>
    <definedName name="QRYNAME3" hidden="1">"BQ EP Dtl for OI Var OUS"</definedName>
    <definedName name="QRYNAME30" hidden="1">"bqEPOPPlanHK"</definedName>
    <definedName name="QRYNAME4" hidden="1">"BQ WWAcctspayable"</definedName>
    <definedName name="QRYNAME5" hidden="1">"BQ OI Var BU99998"</definedName>
    <definedName name="QRYNAME6" hidden="1">"BQ Hdct"</definedName>
    <definedName name="QRYNAME7" hidden="1">"BOLO QRY: 1:  SHEET:LO Data"</definedName>
    <definedName name="QRYNAME8" hidden="1">"US Int'l Corp Misc as rptd"</definedName>
    <definedName name="QRYNEXT" hidden="1">1</definedName>
    <definedName name="QRYSOURCE1" hidden="1">"EXCELRANGE-EXPAND-BQ"</definedName>
    <definedName name="QRYSOURCE10" hidden="1">"EXCELRANGE-EXPAND-BQ"</definedName>
    <definedName name="QRYSOURCE11" hidden="1">"EXCELRANGE-EXPAND-BOLO"</definedName>
    <definedName name="QRYSOURCE12" hidden="1">"EXCELRANGE-EXPAND-BQ"</definedName>
    <definedName name="QRYSOURCE13" hidden="1">"EXCELRANGE-EXPAND-BQ"</definedName>
    <definedName name="QRYSOURCE15" hidden="1">"EXCELRANGE-EXPAND-BQ"</definedName>
    <definedName name="QRYSOURCE16" hidden="1">"IW P&amp;L Data"</definedName>
    <definedName name="QRYSOURCE17" hidden="1">"cysys3"</definedName>
    <definedName name="QRYSOURCE18" hidden="1">"EXCELRANGE-EXPAND-BQ"</definedName>
    <definedName name="QRYSOURCE19" hidden="1">"EXCELRANGE-EXPAND-BQ"</definedName>
    <definedName name="QRYSOURCE2" hidden="1">"EXCELRANGE-EXPAND-BQ"</definedName>
    <definedName name="QRYSOURCE20" hidden="1">"EXCELRANGE-EXPAND"</definedName>
    <definedName name="QRYSOURCE21" hidden="1">"crsys3"</definedName>
    <definedName name="QRYSOURCE22" hidden="1">"EXCELRANGE-EXPAND-BQ"</definedName>
    <definedName name="QRYSOURCE23" hidden="1">"EXCELRANGE-EXPAND-BQ"</definedName>
    <definedName name="QRYSOURCE24" hidden="1">"EXCELRANGE-EXPAND-BQ"</definedName>
    <definedName name="QRYSOURCE25" hidden="1">"EXCELRANGE-EXPAND-BQ"</definedName>
    <definedName name="QRYSOURCE26" hidden="1">"EXCELRANGE-EXPAND-BQ"</definedName>
    <definedName name="QRYSOURCE27" hidden="1">"EXCELRANGE-EXPAND-BQ"</definedName>
    <definedName name="QRYSOURCE28" hidden="1">"EXCELRANGE-EXPAND-BQ"</definedName>
    <definedName name="QRYSOURCE29" hidden="1">"EXCELRANGE-EXPAND-BQ"</definedName>
    <definedName name="QRYSOURCE3" hidden="1">"EXCELRANGE-EXPAND-BQ"</definedName>
    <definedName name="QRYSOURCE30" hidden="1">"EXCELRANGE-EXPAND-BQ"</definedName>
    <definedName name="QRYSOURCE4" hidden="1">"EXCELRANGE-EXPAND-BQ"</definedName>
    <definedName name="QRYSOURCE5" hidden="1">"EXCELRANGE-EXPAND-BQ"</definedName>
    <definedName name="QRYSOURCE6" hidden="1">"EXCELRANGE-EXPAND-BQ"</definedName>
    <definedName name="QRYSOURCE7" hidden="1">"EXCELRANGE-EXPAND-BOLO"</definedName>
    <definedName name="QRYSOURCE8" hidden="1">"EXCELRANGE-EXPAND-BQ"</definedName>
    <definedName name="QRYWKS1" hidden="1">0</definedName>
    <definedName name="qrzt" hidden="1">{#N/A,#N/A,FALSE,"Finanzbedarfsrechnung"}</definedName>
    <definedName name="qs" hidden="1">{#N/A,"PURADD",FALSE,"Business Analysis";#N/A,"PURSPP",FALSE,"Business Analysis";#N/A,"CTGIND",FALSE,"Business Analysis";#N/A,"PURCHM",FALSE,"Business Analysis";#N/A,"SPADD",FALSE,"Business Analysis";#N/A,"EPOXY",FALSE,"Business Analysis";#N/A,"PURPER",FALSE,"Business Analysis"}</definedName>
    <definedName name="qsdjlgzerg" hidden="1">{#N/A,#N/A,TRUE,"Cover sheet";#N/A,#N/A,TRUE,"DCF analysis";#N/A,#N/A,TRUE,"WACC calculation"}</definedName>
    <definedName name="qsfd" hidden="1">{#N/A,#N/A,TRUE,"Cover sheet";#N/A,#N/A,TRUE,"INPUTS";#N/A,#N/A,TRUE,"OUTPUTS";#N/A,#N/A,TRUE,"VALUATION"}</definedName>
    <definedName name="QSS" hidden="1">{#N/A,#N/A,FALSE,"을지 (4)";#N/A,#N/A,FALSE,"을지 (5)";#N/A,#N/A,FALSE,"을지 (6)"}</definedName>
    <definedName name="qssss" hidden="1">{#N/A,"PURCHM",FALSE,"Business Analysis";#N/A,"SPADD",FALSE,"Business Analysis"}</definedName>
    <definedName name="qt" hidden="1">{"oct_res_comm",#N/A,FALSE,"VarToBud"}</definedName>
    <definedName name="QUERY1.user_name" hidden="1">"admin"</definedName>
    <definedName name="QUICK_RATIO" hidden="1">"QUICK_RATIO"</definedName>
    <definedName name="quotation" hidden="1">{#N/A,#N/A,FALSE,"단축1";#N/A,#N/A,FALSE,"단축2";#N/A,#N/A,FALSE,"단축3";#N/A,#N/A,FALSE,"장축";#N/A,#N/A,FALSE,"4WD"}</definedName>
    <definedName name="qw" hidden="1">{#N/A,#N/A,FALSE,"REPORT"}</definedName>
    <definedName name="QWA" hidden="1">{#N/A,#N/A,FALSE,"을지 (4)";#N/A,#N/A,FALSE,"을지 (5)";#N/A,#N/A,FALSE,"을지 (6)"}</definedName>
    <definedName name="qwdqwdqad" hidden="1">{#N/A,#N/A,TRUE,"Staffnos &amp; cost"}</definedName>
    <definedName name="qwe"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qwedqqdq" hidden="1">{#N/A,#N/A,TRUE,"Staffnos &amp; cost"}</definedName>
    <definedName name="qweqw" hidden="1">{"FY97Q1 var",#N/A,FALSE,"FY97 - Q1";"FY97Q2 var",#N/A,FALSE,"FY97 - Q2";"FY97Q3 var",#N/A,FALSE,"FY97 - Q3";"FY97Q4 var",#N/A,FALSE,"FY97 - Q4"}</definedName>
    <definedName name="qweqweqwe" hidden="1">{#N/A,#N/A,TRUE,"0 Deckbl.";#N/A,#N/A,TRUE,"S 1 Komm";#N/A,#N/A,TRUE,"S 1a Komm";#N/A,#N/A,TRUE,"S 1b Komm";#N/A,#N/A,TRUE,"S  2 DBR";#N/A,#N/A,TRUE,"S  3 Sparten";#N/A,#N/A,TRUE,"S 4  Betr. K.";#N/A,#N/A,TRUE,"6 Bilanz";#N/A,#N/A,TRUE,"6a Bilanz ";#N/A,#N/A,TRUE,"6b Bilanz ";#N/A,#N/A,TRUE,"7 GS I";#N/A,#N/A,TRUE,"S 8 EQ-GuV"}</definedName>
    <definedName name="qweqwesg" hidden="1">{#N/A,#N/A,FALSE,"Umsatz CH";#N/A,#N/A,FALSE,"ER CH";#N/A,#N/A,FALSE,"EA CH (2) ";#N/A,#N/A,FALSE,"EA CH";#N/A,#N/A,FALSE,"EA CH (3) ";#N/A,#N/A,FALSE,"EA CH (4)";#N/A,#N/A,FALSE,"KA CH";#N/A,#N/A,FALSE,"KA CH  (2)";#N/A,#N/A,FALSE,"KA CH  (3)";#N/A,#N/A,FALSE,"KA CH (4)"}</definedName>
    <definedName name="qwer" hidden="1">{"hiden",#N/A,FALSE,"14";"hidden",#N/A,FALSE,"16";"hidden",#N/A,FALSE,"18";"hidden",#N/A,FALSE,"20"}</definedName>
    <definedName name="qwer23r3r23r" hidden="1">{"GuVGmbH",#N/A,FALSE,"ratios";"BilanzGmbH",#N/A,FALSE,"ratios";"BilanzKG",#N/A,FALSE,"ratios";"GuVKG",#N/A,FALSE,"ratios"}</definedName>
    <definedName name="qwerq" hidden="1">{#N/A,#N/A,FALSE,"10yr Plan Inputs";#N/A,#N/A,FALSE,"10yr Plan Results";#N/A,#N/A,FALSE,"JV Cost Splits";#N/A,#N/A,FALSE,"JV Variable Costs";#N/A,#N/A,FALSE,"JV Fixed Costs";#N/A,#N/A,FALSE,"Dow Alt Cost 98";#N/A,#N/A,FALSE,"Case Summary"}</definedName>
    <definedName name="qwerqew" hidden="1">{"mgmt forecast",#N/A,FALSE,"Mgmt Forecast";"dcf table",#N/A,FALSE,"Mgmt Forecast";"sensitivity",#N/A,FALSE,"Mgmt Forecast";"table inputs",#N/A,FALSE,"Mgmt Forecast";"calculations",#N/A,FALSE,"Mgmt Forecast"}</definedName>
    <definedName name="qwerqewr" hidden="1">{#N/A,#N/A,FALSE,"Calc";#N/A,#N/A,FALSE,"Sensitivity";#N/A,#N/A,FALSE,"LT Earn.Dil.";#N/A,#N/A,FALSE,"Dil. AVP"}</definedName>
    <definedName name="qwerqwerq" hidden="1">{"assumption 50 50",#N/A,TRUE,"Merger";"has gets cash",#N/A,TRUE,"Merger";"accretion dilution",#N/A,TRUE,"Merger";"comparison credit stats",#N/A,TRUE,"Merger";"pf credit stats",#N/A,TRUE,"Merger";"pf sheets",#N/A,TRUE,"Merger"}</definedName>
    <definedName name="qwerqwerqwe" hidden="1">{"orixcsc",#N/A,FALSE,"ORIX CSC";"orixcsc2",#N/A,FALSE,"ORIX CSC"}</definedName>
    <definedName name="qwertqry" hidden="1">{#N/A,#N/A,FALSE,"REPORT"}</definedName>
    <definedName name="qwetqryetytu" hidden="1">{#N/A,#N/A,FALSE,"Pharm";#N/A,#N/A,FALSE,"WWCM"}</definedName>
    <definedName name="qwewq" hidden="1">{"FY97Q1",#N/A,FALSE,"FY97 - Q1";"FY97Q2",#N/A,FALSE,"FY97 - Q2";"FY97Q3",#N/A,FALSE,"FY97 - Q3";"FY97Q4",#N/A,FALSE,"FY97 - Q4"}</definedName>
    <definedName name="qwghngfs" hidden="1">{"dcfsummary",#N/A,FALSE,"NHY - DCF Valuation";"agriculture",#N/A,FALSE,"NHY - DCF Valuation";"oilgas",#N/A,FALSE,"NHY - DCF Valuation";"oilgastot",#N/A,FALSE,"NHY - DCF Valuation";"lightmetals",#N/A,FALSE,"NHY - DCF Valuation";"petrochemicals",#N/A,FALSE,"NHY - DCF Valuation";"other",#N/A,FALSE,"NHY - DCF Valuation"}</definedName>
    <definedName name="qwq" hidden="1">{"'Other IPS'!$A$5","'Other IPS'!$A$4:$K$38"}</definedName>
    <definedName name="qwqw" hidden="1">#REF!</definedName>
    <definedName name="qwqwqewd"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qwrd" hidden="1">{"ACT",#N/A,FALSE,"Q3Elec P&amp;L fy 99  ";"BUD",#N/A,FALSE,"Q3Elec P&amp;L fy 99  ";"PRIOR",#N/A,FALSE,"Q3Elec P&amp;L fy 99  "}</definedName>
    <definedName name="qwrq23r3r"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qws" hidden="1">{"QTD_OTHER",#N/A,FALSE,"QTD"}</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e" hidden="1">{#N/A,#N/A,FALSE,"mfg - consol";#N/A,#N/A,FALSE,"mfg - flo";#N/A,#N/A,FALSE,"mfg - lindsay"}</definedName>
    <definedName name="qwwq" hidden="1">Main.SAPF4Help()</definedName>
    <definedName name="qwz" hidden="1">{"QTD_HYCO",#N/A,FALSE,"QTD"}</definedName>
    <definedName name="r.CashFlow" hidden="1">#REF!</definedName>
    <definedName name="r.Leverage" hidden="1">#REF!</definedName>
    <definedName name="r.Liquidity" hidden="1">#REF!</definedName>
    <definedName name="r.LTM" hidden="1">#REF!</definedName>
    <definedName name="r.LTMInterim" hidden="1">#REF!</definedName>
    <definedName name="r.Market" hidden="1">#REF!</definedName>
    <definedName name="r.Profitability" hidden="1">#REF!</definedName>
    <definedName name="r.Summary" hidden="1">#REF!</definedName>
    <definedName name="R_COVER" hidden="1">{#N/A,#N/A,FALSE,"단축1";#N/A,#N/A,FALSE,"단축2";#N/A,#N/A,FALSE,"단축3";#N/A,#N/A,FALSE,"장축";#N/A,#N/A,FALSE,"4WD"}</definedName>
    <definedName name="raag" hidden="1">{"reagan is",#N/A,FALSE,"CONS IS";"reagan na",#N/A,FALSE,"NOTE PAYMENTS";"reagan bs",#N/A,FALSE,"CONS BS";"reagan cf",#N/A,FALSE,"CONS BS";"reagan ds",#N/A,FALSE,"CONS BS"}</definedName>
    <definedName name="rabota" hidden="1">{#N/A,#N/A,TRUE,"0 Deckbl.";#N/A,#N/A,TRUE,"S 1 Komm";#N/A,#N/A,TRUE,"S 1a Komm";#N/A,#N/A,TRUE,"S 1b Komm";#N/A,#N/A,TRUE,"S  2 DBR";#N/A,#N/A,TRUE,"S  3 Sparten";#N/A,#N/A,TRUE,"S 4  Betr. K.";#N/A,#N/A,TRUE,"6 Bilanz";#N/A,#N/A,TRUE,"6a Bilanz ";#N/A,#N/A,TRUE,"6b Bilanz ";#N/A,#N/A,TRUE,"7 GS I";#N/A,#N/A,TRUE,"S 8 EQ-GuV"}</definedName>
    <definedName name="rachel" hidden="1">#REF!</definedName>
    <definedName name="rad" hidden="1">{"PACKAGE",#N/A,FALSE,"CM"}</definedName>
    <definedName name="ramon"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angename" hidden="1">{#N/A,#N/A,FALSE,"ACQ_GRAPHS";#N/A,#N/A,FALSE,"T_1 GRAPHS";#N/A,#N/A,FALSE,"T_2 GRAPHS";#N/A,#N/A,FALSE,"COMB_GRAPHS"}</definedName>
    <definedName name="rangename99" hidden="1">{#N/A,#N/A,FALSE,"INPUTS";#N/A,#N/A,FALSE,"PROFORMA BSHEET";#N/A,#N/A,FALSE,"COMBINED";#N/A,#N/A,FALSE,"ACQUIROR";#N/A,#N/A,FALSE,"TARGET 1";#N/A,#N/A,FALSE,"TARGET 2";#N/A,#N/A,FALSE,"HIGH YIELD";#N/A,#N/A,FALSE,"OVERFUND"}</definedName>
    <definedName name="RawsFIT" hidden="1">{#N/A,#N/A,TRUE,"Summary";#N/A,#N/A,TRUE,"Assumptions";#N/A,#N/A,TRUE,"Comparison";#N/A,#N/A,TRUE,"Financials";#N/A,#N/A,TRUE,"Plan v. Act"}</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b" hidden="1">{"dcfsummary",#N/A,FALSE,"NHY - DCF Valuation";"agriculture",#N/A,FALSE,"NHY - DCF Valuation";"oilgas",#N/A,FALSE,"NHY - DCF Valuation";"oilgastot",#N/A,FALSE,"NHY - DCF Valuation";"lightmetals",#N/A,FALSE,"NHY - DCF Valuation";"petrochemicals",#N/A,FALSE,"NHY - DCF Valuation";"other",#N/A,FALSE,"NHY - DCF Valuation"}</definedName>
    <definedName name="RCArea" hidden="1">#REF!</definedName>
    <definedName name="rd"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rderere" hidden="1">{"'comite'!$A$9:$G$44","'comite'!$A$1:$G$6"}</definedName>
    <definedName name="rdx" hidden="1">{"oct_res_comm",#N/A,FALSE,"VarToBud"}</definedName>
    <definedName name="rdzkkkkkrk"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RE" hidden="1">{#N/A,#N/A,FALSE,"초도품";#N/A,#N/A,FALSE,"초도품 (2)";#N/A,#N/A,FALSE,"초도품 (3)";#N/A,#N/A,FALSE,"초도품 (4)";#N/A,#N/A,FALSE,"초도품 (5)";#N/A,#N/A,FALSE,"초도품 (6)"}</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g10" hidden="1">{"reagan is",#N/A,FALSE,"CONS IS";"reagan na",#N/A,FALSE,"NOTE PAYMENTS";"reagan bs",#N/A,FALSE,"CONS BS";"reagan cf",#N/A,FALSE,"CONS BS";"reagan ds",#N/A,FALSE,"CONS BS"}</definedName>
    <definedName name="reag5" hidden="1">{"reagan is",#N/A,FALSE,"CONS IS";"reagan na",#N/A,FALSE,"NOTE PAYMENTS";"reagan bs",#N/A,FALSE,"CONS BS";"reagan cf",#N/A,FALSE,"CONS BS";"reagan ds",#N/A,FALSE,"CONS BS"}</definedName>
    <definedName name="reag55" hidden="1">{"reagan is",#N/A,FALSE,"CONS IS";"reagan na",#N/A,FALSE,"NOTE PAYMENTS";"reagan bs",#N/A,FALSE,"CONS BS";"reagan cf",#N/A,FALSE,"CONS BS";"reagan ds",#N/A,FALSE,"CONS BS"}</definedName>
    <definedName name="reaga" hidden="1">{"reagan is",#N/A,FALSE,"CONS IS";"reagan na",#N/A,FALSE,"NOTE PAYMENTS";"reagan bs",#N/A,FALSE,"CONS BS";"reagan cf",#N/A,FALSE,"CONS BS";"reagan ds",#N/A,FALSE,"CONS BS"}</definedName>
    <definedName name="reagan00" hidden="1">{"reagan is",#N/A,FALSE,"CONS IS";"reagan na",#N/A,FALSE,"NOTE PAYMENTS";"reagan bs",#N/A,FALSE,"CONS BS";"reagan cf",#N/A,FALSE,"CONS BS";"reagan ds",#N/A,FALSE,"CONS BS"}</definedName>
    <definedName name="reagan15" hidden="1">{"reagan is",#N/A,FALSE,"CONS IS";"reagan na",#N/A,FALSE,"NOTE PAYMENTS";"reagan bs",#N/A,FALSE,"CONS BS";"reagan cf",#N/A,FALSE,"CONS BS";"reagan ds",#N/A,FALSE,"CONS BS"}</definedName>
    <definedName name="reagan2" hidden="1">{"reagan is",#N/A,FALSE,"CONS IS";"reagan na",#N/A,FALSE,"NOTE PAYMENTS";"reagan bs",#N/A,FALSE,"CONS BS";"reagan cf",#N/A,FALSE,"CONS BS";"reagan ds",#N/A,FALSE,"CONS BS"}</definedName>
    <definedName name="reagan20" hidden="1">{"reagan is",#N/A,FALSE,"CONS IS";"reagan na",#N/A,FALSE,"NOTE PAYMENTS";"reagan bs",#N/A,FALSE,"CONS BS";"reagan cf",#N/A,FALSE,"CONS BS";"reagan ds",#N/A,FALSE,"CONS BS"}</definedName>
    <definedName name="reagan22" hidden="1">{"reagan is",#N/A,FALSE,"CONS IS";"reagan na",#N/A,FALSE,"NOTE PAYMENTS";"reagan bs",#N/A,FALSE,"CONS BS";"reagan cf",#N/A,FALSE,"CONS BS";"reagan ds",#N/A,FALSE,"CONS BS"}</definedName>
    <definedName name="reagan26" hidden="1">{"reagan is",#N/A,FALSE,"CONS IS";"reagan na",#N/A,FALSE,"NOTE PAYMENTS";"reagan bs",#N/A,FALSE,"CONS BS";"reagan cf",#N/A,FALSE,"CONS BS";"reagan ds",#N/A,FALSE,"CONS BS"}</definedName>
    <definedName name="reagan3" hidden="1">{"reagan is",#N/A,FALSE,"CONS IS";"reagan na",#N/A,FALSE,"NOTE PAYMENTS";"reagan bs",#N/A,FALSE,"CONS BS";"reagan cf",#N/A,FALSE,"CONS BS";"reagan ds",#N/A,FALSE,"CONS BS"}</definedName>
    <definedName name="reagan30" hidden="1">{"reagan is",#N/A,FALSE,"CONS IS";"reagan na",#N/A,FALSE,"NOTE PAYMENTS";"reagan bs",#N/A,FALSE,"CONS BS";"reagan cf",#N/A,FALSE,"CONS BS";"reagan ds",#N/A,FALSE,"CONS BS"}</definedName>
    <definedName name="reagan33" hidden="1">{"reagan is",#N/A,FALSE,"CONS IS";"reagan na",#N/A,FALSE,"NOTE PAYMENTS";"reagan bs",#N/A,FALSE,"CONS BS";"reagan cf",#N/A,FALSE,"CONS BS";"reagan ds",#N/A,FALSE,"CONS BS"}</definedName>
    <definedName name="reagan4" hidden="1">{"reagan is",#N/A,FALSE,"CONS IS";"reagan na",#N/A,FALSE,"NOTE PAYMENTS";"reagan bs",#N/A,FALSE,"CONS BS";"reagan cf",#N/A,FALSE,"CONS BS";"reagan ds",#N/A,FALSE,"CONS BS"}</definedName>
    <definedName name="reagan44" hidden="1">{"reagan is",#N/A,FALSE,"CONS IS";"reagan na",#N/A,FALSE,"NOTE PAYMENTS";"reagan bs",#N/A,FALSE,"CONS BS";"reagan cf",#N/A,FALSE,"CONS BS";"reagan ds",#N/A,FALSE,"CONS BS"}</definedName>
    <definedName name="reagan5" hidden="1">{"reagan is",#N/A,FALSE,"CONS IS";"reagan na",#N/A,FALSE,"NOTE PAYMENTS";"reagan bs",#N/A,FALSE,"CONS BS";"reagan cf",#N/A,FALSE,"CONS BS";"reagan ds",#N/A,FALSE,"CONS BS"}</definedName>
    <definedName name="reagan55" hidden="1">{"reagan is",#N/A,FALSE,"CONS IS";"reagan na",#N/A,FALSE,"NOTE PAYMENTS";"reagan bs",#N/A,FALSE,"CONS BS";"reagan cf",#N/A,FALSE,"CONS BS";"reagan ds",#N/A,FALSE,"CONS BS"}</definedName>
    <definedName name="reagan7" hidden="1">{"reagan is",#N/A,FALSE,"CONS IS";"reagan na",#N/A,FALSE,"NOTE PAYMENTS";"reagan bs",#N/A,FALSE,"CONS BS";"reagan cf",#N/A,FALSE,"CONS BS";"reagan ds",#N/A,FALSE,"CONS BS"}</definedName>
    <definedName name="reagan9" hidden="1">{"reagan is",#N/A,FALSE,"CONS IS";"reagan na",#N/A,FALSE,"NOTE PAYMENTS";"reagan bs",#N/A,FALSE,"CONS BS";"reagan cf",#N/A,FALSE,"CONS BS";"reagan ds",#N/A,FALSE,"CONS BS"}</definedName>
    <definedName name="reagan99" hidden="1">{"reagan is",#N/A,FALSE,"CONS IS";"reagan na",#N/A,FALSE,"NOTE PAYMENTS";"reagan bs",#N/A,FALSE,"CONS BS";"reagan cf",#N/A,FALSE,"CONS BS";"reagan ds",#N/A,FALSE,"CONS BS"}</definedName>
    <definedName name="reagsrth65" hidden="1">{"dcfsummary",#N/A,FALSE,"NHY - DCF Valuation";"agriculture",#N/A,FALSE,"NHY - DCF Valuation";"oilgas",#N/A,FALSE,"NHY - DCF Valuation";"oilgastot",#N/A,FALSE,"NHY - DCF Valuation";"lightmetals",#N/A,FALSE,"NHY - DCF Valuation";"petrochemicals",#N/A,FALSE,"NHY - DCF Valuation";"other",#N/A,FALSE,"NHY - DCF Valuation"}</definedName>
    <definedName name="Recap_scenario" hidden="1">{"cap_structure",#N/A,FALSE,"Graph-Mkt Cap";"price",#N/A,FALSE,"Graph-Price";"ebit",#N/A,FALSE,"Graph-EBITDA";"ebitda",#N/A,FALSE,"Graph-EBITDA"}</definedName>
    <definedName name="reconcil1" hidden="1">{"Reconciliation",#N/A,FALSE,"Page 2"}</definedName>
    <definedName name="REDEEM_PREF_STOCK" hidden="1">"REDEEM_PREF_STOCK"</definedName>
    <definedName name="RedefinePrintTableRange" hidden="1">#REF!</definedName>
    <definedName name="redo" hidden="1">{#N/A,#N/A,FALSE,"ACQ_GRAPHS";#N/A,#N/A,FALSE,"T_1 GRAPHS";#N/A,#N/A,FALSE,"T_2 GRAPHS";#N/A,#N/A,FALSE,"COMB_GRAPHS"}</definedName>
    <definedName name="redo4" hidden="1">{#N/A,#N/A,FALSE,"ACQ_GRAPHS";#N/A,#N/A,FALSE,"T_1 GRAPHS";#N/A,#N/A,FALSE,"T_2 GRAPHS";#N/A,#N/A,FALSE,"COMB_GRAPHS"}</definedName>
    <definedName name="redsox" hidden="1">{#N/A,#N/A,FALSE,"ADNAMES.XLS";#N/A,#N/A,FALSE,"EQNAMES.XLS";#N/A,#N/A,FALSE,"INNAMES.XLS";#N/A,#N/A,FALSE,"HYNAMES.XLS";#N/A,#N/A,FALSE,"FIXNAMES.XLS";#N/A,#N/A,FALSE,"MONNAMES.XLS";#N/A,#N/A,FALSE,"TECNAMES.XLS"}</definedName>
    <definedName name="reeag" hidden="1">{"reagan is",#N/A,FALSE,"CONS IS";"reagan na",#N/A,FALSE,"NOTE PAYMENTS";"reagan bs",#N/A,FALSE,"CONS BS";"reagan cf",#N/A,FALSE,"CONS BS";"reagan ds",#N/A,FALSE,"CONS BS"}</definedName>
    <definedName name="rege" hidden="1">{#N/A,#N/A,TRUE,"Historicals";#N/A,#N/A,TRUE,"Charts";#N/A,#N/A,TRUE,"Forecasts"}</definedName>
    <definedName name="reggie" hidden="1">{#N/A,#N/A,FALSE,"Pharm";#N/A,#N/A,FALSE,"WWCM"}</definedName>
    <definedName name="Regional" hidden="1">{#N/A,#N/A,TRUE,"coll"}</definedName>
    <definedName name="regmult" hidden="1">#REF!</definedName>
    <definedName name="regre" hidden="1">{#N/A,#N/A,FALSE,"단축1";#N/A,#N/A,FALSE,"단축2";#N/A,#N/A,FALSE,"단축3";#N/A,#N/A,FALSE,"장축";#N/A,#N/A,FALSE,"4WD"}</definedName>
    <definedName name="Regression" hidden="1">#REF!</definedName>
    <definedName name="RegY" hidden="1">#REF!</definedName>
    <definedName name="rename_of_wrn.CSC" hidden="1">{"page1",#N/A,TRUE,"CSC";"page2",#N/A,TRUE,"CSC"}</definedName>
    <definedName name="renata" hidden="1">{"'comite'!$A$9:$G$44","'comite'!$A$1:$G$6"}</definedName>
    <definedName name="renatar" hidden="1">{"'comite'!$A$9:$G$44","'comite'!$A$1:$G$6"}</definedName>
    <definedName name="Replacement" hidden="1">{#N/A,#N/A,FALSE,"Cover";#N/A,#N/A,FALSE,"Assumptions";#N/A,#N/A,FALSE,"Riseborough";#N/A,#N/A,FALSE,"Henleigh";#N/A,#N/A,FALSE,"Summerdale";#N/A,#N/A,FALSE,"Emberbrook";#N/A,#N/A,FALSE,"Murrayfield";#N/A,#N/A,FALSE,"Lansdowne";#N/A,#N/A,FALSE,"Uplands";#N/A,#N/A,FALSE,"Charlton";#N/A,#N/A,FALSE,"Kingston";#N/A,#N/A,FALSE,"Norwood";#N/A,#N/A,FALSE,"Morecambe";#N/A,#N/A,FALSE,"Tennent";#N/A,#N/A,FALSE,"Glencairn";#N/A,#N/A,FALSE,"Maple";#N/A,#N/A,FALSE,"Hilltop";#N/A,#N/A,FALSE,"Meadowbrook";#N/A,#N/A,FALSE,"Pine";#N/A,#N/A,FALSE,"Rosedale";#N/A,#N/A,FALSE,"Randolph";#N/A,#N/A,FALSE,"Springfields";#N/A,#N/A,FALSE,"Bickleigh";#N/A,#N/A,FALSE,"Elms";#N/A,#N/A,FALSE,"Cherry";#N/A,#N/A,FALSE,"Berwick";#N/A,#N/A,FALSE,"Beechcare";#N/A,#N/A,FALSE,"Ashurst";#N/A,#N/A,FALSE,"P&amp;L";#N/A,#N/A,FALSE,"CFS"}</definedName>
    <definedName name="ReportGroup" hidden="1">0</definedName>
    <definedName name="ReportPage1" hidden="1">{"Annual_Income",#N/A,FALSE,"Report Page";"Balance_Cash_Flow",#N/A,FALSE,"Report Page";"Quarterly_Income",#N/A,FALSE,"Report Page"}</definedName>
    <definedName name="rer" hidden="1">{#N/A,#N/A,FALSE,"Operations";#N/A,#N/A,FALSE,"Financials"}</definedName>
    <definedName name="rere" hidden="1">{#N/A,#N/A,FALSE,"ORIX CSC"}</definedName>
    <definedName name="rerere" hidden="1">{"mgmt forecast",#N/A,FALSE,"Mgmt Forecast";"dcf table",#N/A,FALSE,"Mgmt Forecast";"sensitivity",#N/A,FALSE,"Mgmt Forecast";"table inputs",#N/A,FALSE,"Mgmt Forecast";"calculations",#N/A,FALSE,"Mgmt Forecast"}</definedName>
    <definedName name="RESEARCH_DEV" hidden="1">"RESEARCH_DEV"</definedName>
    <definedName name="RESISTOR" hidden="1">{#N/A,#N/A,FALSE,"단축1";#N/A,#N/A,FALSE,"단축2";#N/A,#N/A,FALSE,"단축3";#N/A,#N/A,FALSE,"장축";#N/A,#N/A,FALSE,"4WD"}</definedName>
    <definedName name="resources" hidden="1">{#N/A,#N/A,FALSE,"Assessment";#N/A,#N/A,FALSE,"Staffing";#N/A,#N/A,FALSE,"Hires";#N/A,#N/A,FALSE,"Assumptions"}</definedName>
    <definedName name="resp." hidden="1">{#N/A,#N/A,FALSE,"Pharm";#N/A,#N/A,FALSE,"WWCM"}</definedName>
    <definedName name="RestatedActuals" hidden="1">{#N/A,#N/A,FALSE,"Aging Summary";#N/A,#N/A,FALSE,"Ratio Analysis";#N/A,#N/A,FALSE,"Test 120 Day Accts";#N/A,#N/A,FALSE,"Tickmarks"}</definedName>
    <definedName name="results" hidden="1">{"FCB_ALL",#N/A,FALSE,"FCB"}</definedName>
    <definedName name="Results1_FooterType" hidden="1">"INTERNAL"</definedName>
    <definedName name="Results2_FooterType" hidden="1">"INTERNAL"</definedName>
    <definedName name="Results3_FooterType" hidden="1">"INTERNAL"</definedName>
    <definedName name="RETAINED_EARN" hidden="1">"RETAINED_EARN"</definedName>
    <definedName name="rettw"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RETURN_ASSETS" hidden="1">"RETURN_ASSETS"</definedName>
    <definedName name="RETURN_EQUITY" hidden="1">"RETURN_EQUITY"</definedName>
    <definedName name="RETURN_INVESTMENT" hidden="1">"RETURN_INVESTMENT"</definedName>
    <definedName name="retwrt"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reveff" hidden="1">{#N/A,#N/A,FALSE,"Key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name="REVENUE_10K" hidden="1">"REVENUE_10K"</definedName>
    <definedName name="REVENUE_10Q" hidden="1">"REVENUE_10Q"</definedName>
    <definedName name="REVENUE_10Q1" hidden="1">"REVENUE_10Q1"</definedName>
    <definedName name="REVENUE_EST" hidden="1">"REVENUE_EST"</definedName>
    <definedName name="REVENUE_EST_1" hidden="1">"REVENUE_EST_1"</definedName>
    <definedName name="REVENUE_GROWTH_1" hidden="1">"REVENUE_GROWTH_1"</definedName>
    <definedName name="REVENUE_GROWTH_2" hidden="1">"REVENUE_GROWTH_2"</definedName>
    <definedName name="revise" hidden="1">40349.759212963</definedName>
    <definedName name="rewq" hidden="1">{"sales growth",#N/A,FALSE,"summary";"oper income",#N/A,FALSE,"summary";"oros rank",#N/A,FALSE,"summary";"net assets",#N/A,FALSE,"summary";"asset turnover",#N/A,FALSE,"summary";"orona",#N/A,FALSE,"summary"}</definedName>
    <definedName name="rewtet" hidden="1">{#N/A,#N/A,FALSE,"Umsatz 99";#N/A,#N/A,FALSE,"ER 99 "}</definedName>
    <definedName name="reztetrert" hidden="1">{"comps",#N/A,FALSE,"HANDPACK";"footnotes",#N/A,FALSE,"HANDPACK"}</definedName>
    <definedName name="rf" hidden="1">{"dcfsummary",#N/A,FALSE,"NHY - DCF Valuation";"agriculture",#N/A,FALSE,"NHY - DCF Valuation";"oilgas",#N/A,FALSE,"NHY - DCF Valuation";"oilgastot",#N/A,FALSE,"NHY - DCF Valuation";"lightmetals",#N/A,FALSE,"NHY - DCF Valuation";"petrochemicals",#N/A,FALSE,"NHY - DCF Valuation";"other",#N/A,FALSE,"NHY - DCF Valuation"}</definedName>
    <definedName name="rf2e" hidden="1">{#N/A,#N/A,FALSE,"Pharm";#N/A,#N/A,FALSE,"WWCM"}</definedName>
    <definedName name="rffgghg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rftt" hidden="1">{"HUBAN","COMPANIES",TRUE}</definedName>
    <definedName name="rfvbgft" hidden="1">{#N/A,#N/A,FALSE,"Performance Flash Report"}</definedName>
    <definedName name="rgargs" hidden="1">{#N/A,#N/A,TRUE,"Historicals";#N/A,#N/A,TRUE,"Charts";#N/A,#N/A,TRUE,"Forecasts"}</definedName>
    <definedName name="rgheh" hidden="1">{#N/A,#N/A,FALSE,"단축1";#N/A,#N/A,FALSE,"단축2";#N/A,#N/A,FALSE,"단축3";#N/A,#N/A,FALSE,"장축";#N/A,#N/A,FALSE,"4WD"}</definedName>
    <definedName name="RGLSheetVisible" hidden="1">#REF!</definedName>
    <definedName name="rgr" hidden="1">{"ReportTop",#N/A,FALSE,"report top"}</definedName>
    <definedName name="rgwgsdfg" hidden="1">{#N/A,#N/A,TRUE,"Historicals";#N/A,#N/A,TRUE,"Charts";#N/A,#N/A,TRUE,"Forecasts"}</definedName>
    <definedName name="rhrsery" hidden="1">{"'Other IPS'!$A$5","'Other IPS'!$A$4:$K$38"}</definedName>
    <definedName name="rhtn" hidden="1">Word</definedName>
    <definedName name="ribs" hidden="1">{#N/A,#N/A,TRUE,"PSG Total Contacts";#N/A,#N/A,TRUE,"PSG Rep Total";#N/A,#N/A,TRUE,"Core Rep Detail";#N/A,#N/A,TRUE,"BC Rep Detail";#N/A,#N/A,TRUE,"Marlboro";#N/A,#N/A,TRUE,"Covington";#N/A,#N/A,TRUE,"Dallas";#N/A,#N/A,TRUE,"VRS Stats";#N/A,#N/A,TRUE,"Internet";#N/A,#N/A,TRUE,"NCO and Call Mix";#N/A,#N/A,TRUE,"VRS &amp; Rep Calls"}</definedName>
    <definedName name="riiu"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xi" hidden="1">{"oct_res_comm",#N/A,FALSE,"VarToBud"}</definedName>
    <definedName name="ｒｊ" hidden="1">{#N/A,#N/A,TRUE,"RIDE";#N/A,#N/A,TRUE,"STEERING";#N/A,#N/A,TRUE,"HANDLING";#N/A,#N/A,TRUE,"BRAKING"}</definedName>
    <definedName name="rjod" hidden="1">{"detail",#N/A,FALSE,"mfg";"summary",#N/A,FALSE,"mfg"}</definedName>
    <definedName name="rjrjk"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rjz" hidden="1">{#N/A,#N/A,FALSE,"bel";#N/A,#N/A,FALSE,"neth"}</definedName>
    <definedName name="RKIII" hidden="1">{#N/A,#N/A,FALSE,"단축1";#N/A,#N/A,FALSE,"단축2";#N/A,#N/A,FALSE,"단축3";#N/A,#N/A,FALSE,"장축";#N/A,#N/A,FALSE,"4WD"}</definedName>
    <definedName name="rkods" hidden="1">{"detail",#N/A,FALSE,"mfg";"summary",#N/A,FALSE,"mfg"}</definedName>
    <definedName name="RKRKR" hidden="1">{#N/A,#N/A,FALSE,"초도품";#N/A,#N/A,FALSE,"초도품 (2)";#N/A,#N/A,FALSE,"초도품 (3)";#N/A,#N/A,FALSE,"초도품 (4)";#N/A,#N/A,FALSE,"초도품 (5)";#N/A,#N/A,FALSE,"초도품 (6)"}</definedName>
    <definedName name="RKRKRKRKKR" hidden="1">{#N/A,#N/A,FALSE,"단축1";#N/A,#N/A,FALSE,"단축2";#N/A,#N/A,FALSE,"단축3";#N/A,#N/A,FALSE,"장축";#N/A,#N/A,FALSE,"4WD"}</definedName>
    <definedName name="rngComments" hidden="1">#REF!</definedName>
    <definedName name="rngDialogType" hidden="1">#REF!</definedName>
    <definedName name="rngEndDate" hidden="1">#REF!</definedName>
    <definedName name="rngLastQuery" hidden="1">#REF!</definedName>
    <definedName name="rngLastRefreshOffline" hidden="1">#REF!</definedName>
    <definedName name="rngPasswor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Scenarios" hidden="1">#REF!</definedName>
    <definedName name="rngShow" hidden="1">#REF!</definedName>
    <definedName name="rngStartDate" hidden="1">#REF!</definedName>
    <definedName name="rngStoredProcedure" hidden="1">#REF!</definedName>
    <definedName name="rngUID" hidden="1">#REF!</definedName>
    <definedName name="rngUnplugged" hidden="1">#REF!</definedName>
    <definedName name="rngVersion" hidden="1">#REF!</definedName>
    <definedName name="Robert2" hidden="1">{"DCF",#N/A,FALSE,"CF"}</definedName>
    <definedName name="Rohertrag" hidden="1">#REF!</definedName>
    <definedName name="Rohertrag_" hidden="1">#REF!</definedName>
    <definedName name="RohertragK" hidden="1">#REF!</definedName>
    <definedName name="RohertragM" hidden="1">#REF!</definedName>
    <definedName name="RohertragN" hidden="1">#REF!</definedName>
    <definedName name="rohig" hidden="1">{#N/A,#N/A,TRUE,"Staffnos &amp; cost"}</definedName>
    <definedName name="romi"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Rplacement" hidden="1">{#N/A,#N/A,FALSE,"Cover";#N/A,#N/A,FALSE,"Assumptions";#N/A,#N/A,FALSE,"Riseborough";#N/A,#N/A,FALSE,"Henleigh";#N/A,#N/A,FALSE,"Summerdale";#N/A,#N/A,FALSE,"Emberbrook";#N/A,#N/A,FALSE,"Murrayfield";#N/A,#N/A,FALSE,"Lansdowne";#N/A,#N/A,FALSE,"Uplands";#N/A,#N/A,FALSE,"Charlton";#N/A,#N/A,FALSE,"Kingston";#N/A,#N/A,FALSE,"Norwood";#N/A,#N/A,FALSE,"Morecambe";#N/A,#N/A,FALSE,"Tennent";#N/A,#N/A,FALSE,"Glencairn";#N/A,#N/A,FALSE,"Maple";#N/A,#N/A,FALSE,"Hilltop";#N/A,#N/A,FALSE,"Meadowbrook";#N/A,#N/A,FALSE,"Pine";#N/A,#N/A,FALSE,"Rosedale";#N/A,#N/A,FALSE,"Randolph";#N/A,#N/A,FALSE,"Springfields";#N/A,#N/A,FALSE,"Bickleigh";#N/A,#N/A,FALSE,"Elms";#N/A,#N/A,FALSE,"Cherry";#N/A,#N/A,FALSE,"Berwick";#N/A,#N/A,FALSE,"Beechcare";#N/A,#N/A,FALSE,"Ashurst";#N/A,#N/A,FALSE,"P&amp;L";#N/A,#N/A,FALSE,"CFS"}</definedName>
    <definedName name="RPSIA" hidden="1">{"'Supply Chain'!$B$1:$AB$13"}</definedName>
    <definedName name="RPTCOUNT" hidden="1">1</definedName>
    <definedName name="RPTID" hidden="1">0</definedName>
    <definedName name="RPTNEXT" hidden="1">2</definedName>
    <definedName name="RPTQRY1" hidden="1">1</definedName>
    <definedName name="RPTQRY10" hidden="1">"sRptNo"</definedName>
    <definedName name="RPTQRY11" hidden="1">5</definedName>
    <definedName name="RPTQRY12" hidden="1">6</definedName>
    <definedName name="RPTQRY13" hidden="1">16</definedName>
    <definedName name="RPTQRY14" hidden="1">22</definedName>
    <definedName name="RPTQRY15" hidden="1">18</definedName>
    <definedName name="RPTQRY16" hidden="1">18</definedName>
    <definedName name="RPTQRY17" hidden="1">19</definedName>
    <definedName name="RPTQRY18" hidden="1">17</definedName>
    <definedName name="RPTQRY19" hidden="1">17</definedName>
    <definedName name="RPTQRY2" hidden="1">2</definedName>
    <definedName name="RPTQRY20" hidden="1">17</definedName>
    <definedName name="RPTQRY21" hidden="1">17</definedName>
    <definedName name="RPTQRY22" hidden="1">17</definedName>
    <definedName name="RPTQRY23" hidden="1">17</definedName>
    <definedName name="RPTQRY24" hidden="1">17</definedName>
    <definedName name="RPTQRY25" hidden="1">17</definedName>
    <definedName name="RPTQRY26" hidden="1">17</definedName>
    <definedName name="RPTQRY27" hidden="1">" "</definedName>
    <definedName name="RPTQRY28" hidden="1">17</definedName>
    <definedName name="RPTQRY29" hidden="1">17</definedName>
    <definedName name="RPTQRY3" hidden="1">2</definedName>
    <definedName name="RPTQRY30" hidden="1">17</definedName>
    <definedName name="RPTQRY31" hidden="1">17</definedName>
    <definedName name="RPTQRY32" hidden="1">17</definedName>
    <definedName name="RPTQRY33" hidden="1">20</definedName>
    <definedName name="RPTQRY34" hidden="1">17</definedName>
    <definedName name="RPTQRY35" hidden="1">20</definedName>
    <definedName name="RPTQRY36" hidden="1">20</definedName>
    <definedName name="RPTQRY37" hidden="1">22</definedName>
    <definedName name="RPTQRY38" hidden="1">22</definedName>
    <definedName name="RPTQRY39" hidden="1">22</definedName>
    <definedName name="RPTQRY4" hidden="1">2</definedName>
    <definedName name="RPTQRY40" hidden="1">22</definedName>
    <definedName name="RPTQRY41" hidden="1">22</definedName>
    <definedName name="RPTQRY42" hidden="1">23</definedName>
    <definedName name="RPTQRY43" hidden="1">23</definedName>
    <definedName name="RPTQRY44" hidden="1">23</definedName>
    <definedName name="RPTQRY45" hidden="1">22</definedName>
    <definedName name="RPTQRY46" hidden="1">24</definedName>
    <definedName name="RPTQRY47" hidden="1">22</definedName>
    <definedName name="RPTQRY48" hidden="1">22</definedName>
    <definedName name="RPTQRY49" hidden="1">22</definedName>
    <definedName name="RPTQRY5" hidden="1">3</definedName>
    <definedName name="RPTQRY50" hidden="1">20</definedName>
    <definedName name="RPTQRY51" hidden="1">20</definedName>
    <definedName name="RPTQRY52" hidden="1">20</definedName>
    <definedName name="RPTQRY53" hidden="1">20</definedName>
    <definedName name="RPTQRY54" hidden="1">20</definedName>
    <definedName name="RPTQRY55" hidden="1">20</definedName>
    <definedName name="RPTQRY56" hidden="1">21</definedName>
    <definedName name="RPTQRY57" hidden="1">20</definedName>
    <definedName name="RPTQRY58" hidden="1">20</definedName>
    <definedName name="RPTQRY59" hidden="1">21</definedName>
    <definedName name="RPTQRY6" hidden="1">3</definedName>
    <definedName name="RPTQRY60" hidden="1">20</definedName>
    <definedName name="RPTQRY61" hidden="1">20</definedName>
    <definedName name="RPTQRY62" hidden="1">21</definedName>
    <definedName name="RPTQRY63" hidden="1">20</definedName>
    <definedName name="RPTQRY64" hidden="1">24</definedName>
    <definedName name="RPTQRY65" hidden="1">23</definedName>
    <definedName name="RPTQRY66" hidden="1">25</definedName>
    <definedName name="RPTQRY67" hidden="1">25</definedName>
    <definedName name="RPTQRY68" hidden="1">25</definedName>
    <definedName name="RPTQRY69" hidden="1">26</definedName>
    <definedName name="RPTQRY7" hidden="1">2</definedName>
    <definedName name="RPTQRY70" hidden="1">25</definedName>
    <definedName name="RPTQRY71" hidden="1">24</definedName>
    <definedName name="RPTQRY72" hidden="1">29</definedName>
    <definedName name="RPTQRY8" hidden="1">1</definedName>
    <definedName name="RPTQRY9" hidden="1">4</definedName>
    <definedName name="rr" hidden="1">{#N/A,#N/A,TRUE,"Cover sheet";#N/A,#N/A,TRUE,"Summary";#N/A,#N/A,TRUE,"Key Assumptions";#N/A,#N/A,TRUE,"Profit &amp; Loss";#N/A,#N/A,TRUE,"Balance Sheet";#N/A,#N/A,TRUE,"Cashflow";#N/A,#N/A,TRUE,"IRR";#N/A,#N/A,TRUE,"Ratios";#N/A,#N/A,TRUE,"Debt analysis"}</definedName>
    <definedName name="RR.BACK" hidden="1">{#N/A,#N/A,FALSE,"단축1";#N/A,#N/A,FALSE,"단축2";#N/A,#N/A,FALSE,"단축3";#N/A,#N/A,FALSE,"장축";#N/A,#N/A,FALSE,"4WD"}</definedName>
    <definedName name="RR.BRAKE" hidden="1">{#N/A,#N/A,FALSE,"단축1";#N/A,#N/A,FALSE,"단축2";#N/A,#N/A,FALSE,"단축3";#N/A,#N/A,FALSE,"장축";#N/A,#N/A,FALSE,"4WD"}</definedName>
    <definedName name="RR.BRK" hidden="1">{#N/A,#N/A,FALSE,"단축1";#N/A,#N/A,FALSE,"단축2";#N/A,#N/A,FALSE,"단축3";#N/A,#N/A,FALSE,"장축";#N/A,#N/A,FALSE,"4WD"}</definedName>
    <definedName name="rr.kk" hidden="1">{#N/A,#N/A,FALSE,"Umsatz CH";#N/A,#N/A,FALSE,"ER CH";#N/A,#N/A,FALSE,"EA CH (2) ";#N/A,#N/A,FALSE,"EA CH";#N/A,#N/A,FALSE,"EA CH (3) ";#N/A,#N/A,FALSE,"EA CH (4)";#N/A,#N/A,FALSE,"KA CH";#N/A,#N/A,FALSE,"KA CH  (2)";#N/A,#N/A,FALSE,"KA CH  (3)";#N/A,#N/A,FALSE,"KA CH (4)"}</definedName>
    <definedName name="RR_SEAT" hidden="1">{#N/A,#N/A,FALSE,"단축1";#N/A,#N/A,FALSE,"단축2";#N/A,#N/A,FALSE,"단축3";#N/A,#N/A,FALSE,"장축";#N/A,#N/A,FALSE,"4WD"}</definedName>
    <definedName name="rrehe" hidden="1">{"Tages_D",#N/A,FALSE,"Tagesbericht";"Tages_PL",#N/A,FALSE,"Tagesbericht"}</definedName>
    <definedName name="rrew" hidden="1">{"CLEARING",#N/A,FALSE,"clearing"}</definedName>
    <definedName name="rrr" hidden="1">Main.SAPF4Help()</definedName>
    <definedName name="rrrr" hidden="1">{"comp1",#N/A,FALSE,"COMPS";"footnotes",#N/A,FALSE,"COMPS"}</definedName>
    <definedName name="rrrrr" hidden="1">{#N/A,#N/A,FALSE,"BANNERS";#N/A,#N/A,FALSE,"Market";#N/A,#N/A,FALSE,"Tel Rev";#N/A,#N/A,FALSE,"Revenues IOL";#N/A,#N/A,FALSE,"Invest";#N/A,#N/A,FALSE,"Op Cost1";#N/A,#N/A,FALSE,"Op Cost2";#N/A,#N/A,FALSE,"Oth_&amp;_Tot_Revenues";#N/A,#N/A,FALSE,"Fin Mod";#N/A,#N/A,FALSE,"FinMod_RoW";#N/A,#N/A,FALSE,"P&amp;E Burocrat";#N/A,#N/A,FALSE,"cash flow"}</definedName>
    <definedName name="rrrrrr" hidden="1">{"cash plan",#N/A,FALSE,"fccashflow"}</definedName>
    <definedName name="rrrrrrrrrrrrrrrrrrrrrrrrrrrrrrrr" hidden="1">{#N/A,#N/A,FALSE,"Cover";#N/A,#N/A,FALSE,"Profits";#N/A,#N/A,FALSE,"ABS";#N/A,#N/A,FALSE,"TFLE Detail";#N/A,#N/A,FALSE,"TFLE Walk";#N/A,#N/A,FALSE,"Variable Cost";#N/A,#N/A,FALSE,"V.C. Walk"}</definedName>
    <definedName name="RRS" hidden="1">{#N/A,#N/A,TRUE,"Title Pg";#N/A,#N/A,TRUE,"Assumptions";#N/A,#N/A,TRUE,"Market Share Data";#N/A,#N/A,TRUE,"Net Flows by Seg";#N/A,#N/A,TRUE,"P&amp;L - PI Total";#N/A,#N/A,TRUE,"Headcount"}</definedName>
    <definedName name="rrwefsd" hidden="1">{#N/A,#N/A,FALSE,"Layout Aktiva";#N/A,#N/A,FALSE,"Layout Passiva";#N/A,#N/A,FALSE,"Layout GuV";#N/A,#N/A,FALSE,"Layout Cash Flow";#N/A,#N/A,FALSE,"Mittelherkunft";#N/A,#N/A,FALSE,"Mittelverwendung";#N/A,#N/A,FALSE,"Finanzbedarfsrechnung"}</definedName>
    <definedName name="RS" hidden="1">{"direct labor",#N/A,FALSE,"labor";"direct labor1",#N/A,FALSE,"labor"}</definedName>
    <definedName name="RS_IQ_DIV_Payment_Date" hidden="1">"c2205"</definedName>
    <definedName name="RS_IQ_Div_Record_Date" hidden="1">"c2204"</definedName>
    <definedName name="RS_IQ_XDiv_Date" hidden="1">"c2203"</definedName>
    <definedName name="RS2_IQ_div_payment_date" hidden="1">"c2205"</definedName>
    <definedName name="RS2_IQ_div_record_date" hidden="1">"c2204"</definedName>
    <definedName name="RS2_IQ_Xdiv_date" hidden="1">"c2203"</definedName>
    <definedName name="rsac" hidden="1">{"PAGE 1",#N/A,FALSE,"COS Excluding Geismar";"PAGE 2",#N/A,FALSE,"COS Excluding Geismar";"PAGE 3",#N/A,FALSE,"COS Excluding Geismar"}</definedName>
    <definedName name="rsem" hidden="1">{#N/A,#N/A,FALSE,"1996";#N/A,#N/A,FALSE,"1995";#N/A,#N/A,FALSE,"1994"}</definedName>
    <definedName name="RST" hidden="1">{"ONE",#N/A,FALSE,"96DDCOD";"TWO",#N/A,FALSE,"96DDCOD"}</definedName>
    <definedName name="rt" hidden="1">{#N/A,#N/A,TRUE,"Cover sheet";#N/A,#N/A,TRUE,"Summary";#N/A,#N/A,TRUE,"Key Assumptions";#N/A,#N/A,TRUE,"Profit &amp; Loss";#N/A,#N/A,TRUE,"Balance Sheet";#N/A,#N/A,TRUE,"Cashflow";#N/A,#N/A,TRUE,"IRR";#N/A,#N/A,TRUE,"Ratios";#N/A,#N/A,TRUE,"Debt analysis"}</definedName>
    <definedName name="rtds" hidden="1">{"ICD Details",#N/A,FALSE,"Current Yr";"ICD Details",#N/A,FALSE,"Budget";"ICD Details",#N/A,FALSE,"Prior Year"}</definedName>
    <definedName name="rtert" hidden="1">{#N/A,#N/A,FALSE,"Layout Aktiva";#N/A,#N/A,FALSE,"Layout Passiva"}</definedName>
    <definedName name="rtfg" hidden="1">{"LAPO2N2",#N/A,FALSE,"CM";"TOTTEXAS",#N/A,FALSE,"CM";"LOUISIANA",#N/A,FALSE,"CM";"GENERALH2",#N/A,FALSE,"CM";"PRS",#N/A,FALSE,"CM";"PACKAGE",#N/A,FALSE,"CM";"OTHER",#N/A,FALSE,"CM"}</definedName>
    <definedName name="RTFGF" hidden="1">{"'Demand Units'!$X$11:$AD$45"}</definedName>
    <definedName name="rtgds" hidden="1">{#N/A,#N/A,TRUE,"Historicals";#N/A,#N/A,TRUE,"Charts";#N/A,#N/A,TRUE,"Forecasts"}</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Daily" hidden="1">2</definedName>
    <definedName name="RTHDefault" hidden="1">1</definedName>
    <definedName name="RTHIncludeActive" hidden="1">1</definedName>
    <definedName name="RTHIncludeActiveNonActive" hidden="1">2</definedName>
    <definedName name="RTHIncludeAll" hidden="1">3</definedName>
    <definedName name="RTHIncludeWeekdays" hidden="1">2</definedName>
    <definedName name="RTHMonthly" hidden="1">4</definedName>
    <definedName name="RTHOrientCol" hidden="1">2</definedName>
    <definedName name="RTHOrientRow" hidden="1">1</definedName>
    <definedName name="RTHQuarterly" hidden="1">5</definedName>
    <definedName name="rthrth"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RTHSortAscend" hidden="1">1</definedName>
    <definedName name="RTHSortDescend" hidden="1">2</definedName>
    <definedName name="RTHWeekly" hidden="1">3</definedName>
    <definedName name="RTHYearly" hidden="1">6</definedName>
    <definedName name="rtjjs" hidden="1">{#N/A,#N/A,FALSE,"V3 Stab-Geb Index";#N/A,#N/A,FALSE,"Vertrieb";#N/A,#N/A,FALSE,"V Daten";#N/A,#N/A,FALSE,"V-Z-Index";#N/A,#N/A,FALSE,"V-1 Daten";#N/A,#N/A,FALSE,"V-1 Index";#N/A,#N/A,FALSE,"V-2 Index";#N/A,#N/A,FALSE,"V-3 Daten";#N/A,#N/A,FALSE,"V3 Stab-Geb Index";#N/A,#N/A,FALSE,"V-3 VG's Index";#N/A,#N/A,FALSE,"V-4 Index";#N/A,#N/A,FALSE,"V-5 Index"}</definedName>
    <definedName name="rtnb" hidden="1">{"vol data",#N/A,FALSE,"Datasheet";"vol graph",#N/A,FALSE,"Volume";"price data",#N/A,FALSE,"Datasheet";"price graph",#N/A,FALSE,"Price";"dp data",#N/A,FALSE,"Datasheet";"dp graph",#N/A,FALSE,"DirectProfit"}</definedName>
    <definedName name="rtre" hidden="1">{#N/A,#N/A,FALSE,"Umsatz CH";#N/A,#N/A,FALSE,"ER CH";#N/A,#N/A,FALSE,"EA CH (2) ";#N/A,#N/A,FALSE,"EA CH";#N/A,#N/A,FALSE,"EA CH (3) ";#N/A,#N/A,FALSE,"EA CH (4)";#N/A,#N/A,FALSE,"KA CH";#N/A,#N/A,FALSE,"KA CH  (2)";#N/A,#N/A,FALSE,"KA CH  (3)";#N/A,#N/A,FALSE,"KA CH (4)"}</definedName>
    <definedName name="rtrr" hidden="1">{"Tages_D",#N/A,FALSE,"Tagesbericht";"Tages_PL",#N/A,FALSE,"Tagesbericht"}</definedName>
    <definedName name="rtrrrrrrrrr" hidden="1">{"'Data'!$A$1:$D$17"}</definedName>
    <definedName name="rtsslk" hidden="1">{"'Planning Data'!$A$2:$X$120"}</definedName>
    <definedName name="rttr" hidden="1">"(GMT-05:00)11/6/2012 2:05:52 PM"</definedName>
    <definedName name="rtuer" hidden="1">{#N/A,#N/A,FALSE,"Layout Aktiva";#N/A,#N/A,FALSE,"Layout Passiva";#N/A,#N/A,FALSE,"Layout GuV";#N/A,#N/A,FALSE,"Layout Cash Flow";#N/A,#N/A,FALSE,"Mittelherkunft";#N/A,#N/A,FALSE,"Mittelverwendung";#N/A,#N/A,FALSE,"Finanzbedarfsrechnung"}</definedName>
    <definedName name="rtwregfds" hidden="1">{#N/A,#N/A,TRUE,"Historicals";#N/A,#N/A,TRUE,"Charts";#N/A,#N/A,TRUE,"Forecasts"}</definedName>
    <definedName name="rtwrt" hidden="1">{#N/A,#N/A,TRUE,"Historicals";#N/A,#N/A,TRUE,"Charts";#N/A,#N/A,TRUE,"Forecasts"}</definedName>
    <definedName name="rty" hidden="1">{#N/A,#N/A,TRUE,"Pro Forma";#N/A,#N/A,TRUE,"PF_Bal";#N/A,#N/A,TRUE,"PF_INC";#N/A,#N/A,TRUE,"CBE";#N/A,#N/A,TRUE,"SWK"}</definedName>
    <definedName name="rtyu" hidden="1">{"BA detail",#N/A,FALSE,"Q3YTD "}</definedName>
    <definedName name="rtz" hidden="1">{#N/A,#N/A,FALSE,"Layout Aktiva";#N/A,#N/A,FALSE,"Layout Passiva"}</definedName>
    <definedName name="rtzrt" hidden="1">{#N/A,#N/A,FALSE,"Layout Cash Flow"}</definedName>
    <definedName name="rtzueuetzutz" hidden="1">Word</definedName>
    <definedName name="rtzutrz" hidden="1">{#N/A,#N/A,FALSE,"Layout Aktiva";#N/A,#N/A,FALSE,"Layout Passiva";#N/A,#N/A,FALSE,"Layout GuV";#N/A,#N/A,FALSE,"Layout Cash Flow";#N/A,#N/A,FALSE,"Mittelherkunft";#N/A,#N/A,FALSE,"Mittelverwendung";#N/A,#N/A,FALSE,"Finanzbedarfsrechnung"}</definedName>
    <definedName name="rtzztuzj"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RUHSFHUY" hidden="1">{"'Demand Units'!$X$11:$AD$45"}</definedName>
    <definedName name="RUHYRUJTYJ" hidden="1">{"'Demand Units'!$X$11:$AD$45"}</definedName>
    <definedName name="russ" hidden="1">{"'Inventory &amp; Anal-Cur Wkbk'!$A$7:$AP$71"}</definedName>
    <definedName name="rustey"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ufo" hidden="1">{"detail",#N/A,FALSE,"mfg";"summary",#N/A,FALSE,"mfg"}</definedName>
    <definedName name="rv" hidden="1">{"apci",#N/A,FALSE,"Chem_CY";"eastman",#N/A,FALSE,"Eastman";"betz",#N/A,FALSE,"Betz";"great lakes",#N/A,FALSE,"Great_Lakes";"hercules",#N/A,FALSE,"Hercules Chem Seg Data";"rohm",#N/A,FALSE,"Rohm";"union carbide",#N/A,FALSE,"Union";"witco",#N/A,FALSE,"Witco"}</definedName>
    <definedName name="rw" hidden="1">{#N/A,"PURADD",FALSE,"Business Analysis";#N/A,"PURSPP",FALSE,"Business Analysis";#N/A,"CTGIND",FALSE,"Business Analysis";#N/A,"PURCHM",FALSE,"Business Analysis";#N/A,"SPADD",FALSE,"Business Analysis";#N/A,"EPOXY",FALSE,"Business Analysis";#N/A,"PURPER",FALSE,"Business Analysis"}</definedName>
    <definedName name="rweq" hidden="1">{"TEXO2N2_VOL",#N/A,FALSE,"MTHLYVOL";"TEXH2_VOL",#N/A,FALSE,"MTHLYVOL";"LOUIS_VOL",#N/A,FALSE,"MTHLYVOL";"H2_VOL",#N/A,FALSE,"MTHLYVOL";"O2N2_VOL",#N/A,FALSE,"MTHLYVOL";"PACKAGE_VOL",#N/A,FALSE,"MTHLYVOL"}</definedName>
    <definedName name="rwert" hidden="1">{#N/A,#N/A,FALSE,"Pharm";#N/A,#N/A,FALSE,"WWCM"}</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rwr" hidden="1">{"'Standalone List Price Trends'!$A$1:$X$56"}</definedName>
    <definedName name="rwrwrwrwr" hidden="1">{"'Standalone List Price Trends'!$A$1:$X$56"}</definedName>
    <definedName name="rwsz" hidden="1">{"Commentary",#N/A,FALSE,"May"}</definedName>
    <definedName name="Rwvu.PRT." hidden="1">#REF!,#REF!</definedName>
    <definedName name="Rwvu.Prt.2" hidden="1">#REF!,#REF!</definedName>
    <definedName name="rwwr" hidden="1">{"'Standalone List Price Trends'!$A$1:$X$56"}</definedName>
    <definedName name="rwxz" hidden="1">{"TXO2N2_SLS",#N/A,FALSE,"MTHLYSLES";"TXH2_SLS",#N/A,FALSE,"MTHLYSLES";"LOUIS_SLS",#N/A,FALSE,"MTHLYSLES";"H2_SLS",#N/A,FALSE,"MTHLYSLES";"O2N2_SLS",#N/A,FALSE,"MTHLYSLES";"PACKAGE_SLS",#N/A,FALSE,"MTHLYSLES"}</definedName>
    <definedName name="rwyetrewt" hidden="1">{#N/A,#N/A,TRUE,"Historicals";#N/A,#N/A,TRUE,"Charts";#N/A,#N/A,TRUE,"Forecasts"}</definedName>
    <definedName name="rx" hidden="1">{"dcfsummary",#N/A,FALSE,"NHY - DCF Valuation";"agriculture",#N/A,FALSE,"NHY - DCF Valuation";"oilgas",#N/A,FALSE,"NHY - DCF Valuation";"oilgastot",#N/A,FALSE,"NHY - DCF Valuation";"lightmetals",#N/A,FALSE,"NHY - DCF Valuation";"petrochemicals",#N/A,FALSE,"NHY - DCF Valuation";"other",#N/A,FALSE,"NHY - DCF Valuation"}</definedName>
    <definedName name="RxMax" hidden="1">#REF!</definedName>
    <definedName name="RxMin" hidden="1">#REF!</definedName>
    <definedName name="rxs" hidden="1">{"Month Summary",#N/A,FALSE,"Summary";"Total Details",#N/A,FALSE,"Current Yr";"Polymers Details",#N/A,FALSE,"Current Yr";"Performance Details",#N/A,FALSE,"Current Yr";"ICD Details",#N/A,FALSE,"Current Yr"}</definedName>
    <definedName name="r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zkjr"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rzkkkkkkk"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sa" hidden="1">{#N/A,#N/A,TRUE,"Cover sheet";#N/A,#N/A,TRUE,"INPUTS";#N/A,#N/A,TRUE,"OUTPUTS";#N/A,#N/A,TRUE,"VALUATION"}</definedName>
    <definedName name="saa" hidden="1">41083.7121412037</definedName>
    <definedName name="saaaaaaaaaaaaaaa" hidden="1">{"up stand alones",#N/A,FALSE,"Acquiror"}</definedName>
    <definedName name="SABBEXrevision" hidden="1">14</definedName>
    <definedName name="sad" hidden="1">{"Summary",#N/A,FALSE,"Summary";"A&amp;A's",#N/A,FALSE,"Aids &amp; A's";"MajorWorks",#N/A,FALSE,"Major Works";"EstateImps",#N/A,FALSE,"Estate Imps";"CatC",#N/A,FALSE,"Cat C Voids";"CycProg",#N/A,FALSE,"Cyclical Prog inc MR"}</definedName>
    <definedName name="sadd"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d2"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sadf" hidden="1">{"mgmt forecast",#N/A,FALSE,"Mgmt Forecast";"dcf table",#N/A,FALSE,"Mgmt Forecast";"sensitivity",#N/A,FALSE,"Mgmt Forecast";"table inputs",#N/A,FALSE,"Mgmt Forecast";"calculations",#N/A,FALSE,"Mgmt Forecast"}</definedName>
    <definedName name="sadfsadfadsfsadfsadf" hidden="1">{#N/A,#N/A,FALSE,"Index";#N/A,#N/A,FALSE,"1.1";#N/A,#N/A,FALSE,"Scenario Summary"}</definedName>
    <definedName name="sadfsafsa" hidden="1">{#N/A,#N/A,FALSE,"Profit Status";#N/A,#N/A,FALSE,"Invest";#N/A,#N/A,FALSE,"Revenue";#N/A,#N/A,FALSE,"Variable Cost";#N/A,#N/A,FALSE,"Options &amp; Series"}</definedName>
    <definedName name="sadfsdfsdafsadfsadfsfd" hidden="1">{#N/A,#N/A,FALSE,"Index";#N/A,#N/A,FALSE,"1.1";#N/A,#N/A,FALSE,"Scenario Summary"}</definedName>
    <definedName name="SAEA"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aet" hidden="1">{#N/A,#N/A,FALSE,"Finanzbedarfsrechnung"}</definedName>
    <definedName name="saf"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safd" hidden="1">{#N/A,"PURADD",FALSE,"Business Analysis";#N/A,"PURSPP",FALSE,"Business Analysis";#N/A,"CTGIND",FALSE,"Business Analysis";#N/A,"PURCHM",FALSE,"Business Analysis";#N/A,"SPADD",FALSE,"Business Analysis";#N/A,"EPOXY",FALSE,"Business Analysis";#N/A,"PURPER",FALSE,"Business Analysis"}</definedName>
    <definedName name="SAG" hidden="1">#REF!</definedName>
    <definedName name="sahne"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U" hidden="1">{#N/A,#N/A,TRUE,"Staffnos &amp; cost"}</definedName>
    <definedName name="Salesmargin" hidden="1">{#N/A,#N/A,FALSE,"Aging Summary";#N/A,#N/A,FALSE,"Ratio Analysis";#N/A,#N/A,FALSE,"Test 120 Day Accts";#N/A,#N/A,FALSE,"Tickmarks"}</definedName>
    <definedName name="Salespp" hidden="1">{"detail",#N/A,FALSE,"mfg";"summary",#N/A,FALSE,"mfg"}</definedName>
    <definedName name="sally" hidden="1">{#N/A,#N/A,FALSE,"Pharm";#N/A,#N/A,FALSE,"WWCM"}</definedName>
    <definedName name="sam" hidden="1">{"multiple",#N/A,FALSE,"client (2)";"margins",#N/A,FALSE,"client (2)";"data",#N/A,FALSE,"client (2)";"multiple",#N/A,FALSE,"client";"margins",#N/A,FALSE,"client";"data",#N/A,FALSE,"client"}</definedName>
    <definedName name="SAP_BYD_CodeList_AccountingClosingStepTypeCode_Name">#REF!</definedName>
    <definedName name="SAP_BYD_CodeList_AccountingDocumentTypeCode_Name">#REF!</definedName>
    <definedName name="SAP_BYD_CodeList_CurrencyCode_Name">#REF!</definedName>
    <definedName name="SAP_BYD_CodeList_DebitCreditCode_Name">#REF!</definedName>
    <definedName name="SAPBEX" hidden="1">0</definedName>
    <definedName name="SAPBEX1" hidden="1">"P92"</definedName>
    <definedName name="SAPBEXdnIdView2" hidden="1">"4Z5BKMHC0RT1LERQDQXWDABI9"</definedName>
    <definedName name="SAPBEXdnldView" hidden="1">"3P4173EDQZKHOYA6W9X8I8T0V"</definedName>
    <definedName name="SAPBEXdnldView_1" hidden="1">"BIWMHKBRG6KBR3DK11DCTDZHP"</definedName>
    <definedName name="SAPBEXhrIndnt" hidden="1">1</definedName>
    <definedName name="SAPBEXrevision" hidden="1">1</definedName>
    <definedName name="SAPBEXrevision_1" hidden="1">7</definedName>
    <definedName name="SAPBEXrevision1" hidden="1">33</definedName>
    <definedName name="SAPBEXsysID" hidden="1">"PR3"</definedName>
    <definedName name="SAPBEXsysID_1" hidden="1">"PB1"</definedName>
    <definedName name="SAPBEXwbID" hidden="1">"A6GTSQRFUHD7LPGJ6R1T1FJD1"</definedName>
    <definedName name="SAPBEXwbID_1" hidden="1">"B9XTDZB70HFA0WIZZ314CXBY1"</definedName>
    <definedName name="SAPBEXwbID1" hidden="1">"3OVSFQEZIYRLR2ZD72DUDEJV6"</definedName>
    <definedName name="SAPBW" hidden="1">"0F7GQ2DYLD7G32V6COLPWB9JS"</definedName>
    <definedName name="SAPBW_DOWNLOAD_Q1" hidden="1">"4EKWXY5FHF4A1CVVTMJKIZE4F"</definedName>
    <definedName name="SAPFuncF4Help" hidden="1">Main.SAPF4Help()</definedName>
    <definedName name="SAPFuncF4Help1" hidden="1">Main.SAPF4Help()</definedName>
    <definedName name="SAPsysID" hidden="1">"708C5W7SBKP804JT78WJ0JNKI"</definedName>
    <definedName name="SAPwbID" hidden="1">"ARS"</definedName>
    <definedName name="saregs" hidden="1">{#N/A,#N/A,TRUE,"Historicals";#N/A,#N/A,TRUE,"Charts";#N/A,#N/A,TRUE,"Forecasts"}</definedName>
    <definedName name="sas" hidden="1">{"detail",#N/A,FALSE,"mfg";"summary",#N/A,FALSE,"mfg"}</definedName>
    <definedName name="sasasdas" hidden="1">{#N/A,#N/A,FALSE,"Performance Flash Report"}</definedName>
    <definedName name="SAÜBEXsysID2" hidden="1">"BW1"</definedName>
    <definedName name="sb" hidden="1">{#N/A,#N/A,FALSE,"Renewals In Process";#N/A,#N/A,FALSE,"New Clients In Process";#N/A,#N/A,FALSE,"Completed New Clients";#N/A,#N/A,FALSE,"Completed Renewals"}</definedName>
    <definedName name="Scale" hidden="1">#REF!</definedName>
    <definedName name="scat" hidden="1">{#N/A,#N/A,TRUE,"PSG Total Contacts";#N/A,#N/A,TRUE,"PSG Rep Total";#N/A,#N/A,TRUE,"Core Rep Detail";#N/A,#N/A,TRUE,"BC Rep Detail";#N/A,#N/A,TRUE,"Marlboro";#N/A,#N/A,TRUE,"Covington";#N/A,#N/A,TRUE,"Dallas";#N/A,#N/A,TRUE,"VRS Stats";#N/A,#N/A,TRUE,"Internet";#N/A,#N/A,TRUE,"NCO and Call Mix";#N/A,#N/A,TRUE,"VRS &amp; Rep Calls"}</definedName>
    <definedName name="scd" hidden="1">{#N/A,#N/A,TRUE,"Staffnos &amp; cost"}</definedName>
    <definedName name="scen_name1" hidden="1">"high1 normal"</definedName>
    <definedName name="scen_name2" hidden="1">"high1 high"</definedName>
    <definedName name="scen_name3" hidden="1">"low1 normal"</definedName>
    <definedName name="scen_name4" hidden="1">"low 2 normal"</definedName>
    <definedName name="scen_name5" hidden="1">"low2 high"</definedName>
    <definedName name="scen_name6" hidden="1">"low1 high"</definedName>
    <definedName name="scen_user1" hidden="1">"Dorit Timman"</definedName>
    <definedName name="scen_user2" hidden="1">"Dorit Timman"</definedName>
    <definedName name="scen_user3" hidden="1">"Dorit Timman"</definedName>
    <definedName name="scen_user4" hidden="1">"Dorit Timman"</definedName>
    <definedName name="scen_user5" hidden="1">"Dorit Timman"</definedName>
    <definedName name="scen_user6" hidden="1">"Dorit Timman"</definedName>
    <definedName name="SchematiqVersion" hidden="1">"1.4.6336"</definedName>
    <definedName name="Schraffur.LA" hidden="1">#REF!,#REF!,#REF!,#REF!,#REF!,#REF!</definedName>
    <definedName name="Schraffur.LM" hidden="1">#REF!,#REF!,#REF!,#REF!,#REF!,#REF!</definedName>
    <definedName name="Schraffur.MA" hidden="1">#REF!,#REF!,#REF!,#REF!,#REF!,#REF!</definedName>
    <definedName name="Schraffur.MM" hidden="1">#REF!,#REF!,#REF!,#REF!,#REF!,#REF!</definedName>
    <definedName name="Schraffur.PA" hidden="1">#REF!,#REF!,#REF!,#REF!,#REF!,#REF!</definedName>
    <definedName name="Schraffur.PM" hidden="1">#REF!,#REF!,#REF!,#REF!,#REF!,#REF!</definedName>
    <definedName name="Schraffur.TX" hidden="1">#REF!,#REF!,#REF!,#REF!,#REF!,#REF!,#REF!</definedName>
    <definedName name="Schraffur.VA" hidden="1">#REF!,#REF!,#REF!,#REF!,#REF!,#REF!</definedName>
    <definedName name="Schraffur.VM" hidden="1">#REF!,#REF!,#REF!,#REF!,#REF!,#REF!</definedName>
    <definedName name="score" hidden="1">{"detail",#N/A,FALSE,"mfg";"summary",#N/A,FALSE,"mfg"}</definedName>
    <definedName name="scorecardfy00" hidden="1">{"Comp_of_Price_Effect",#N/A,FALSE,"QTRDPVAR"}</definedName>
    <definedName name="scott" hidden="1">{#N/A,#N/A,TRUE,"Val - sum";#N/A,#N/A,TRUE,"Val - Sum1";#N/A,#N/A,TRUE,"Val - sum2";#N/A,#N/A,TRUE,"Val - Sum3";#N/A,#N/A,TRUE,"Tar-DCF";#N/A,#N/A,TRUE,"Tar-Val LBO";#N/A,#N/A,TRUE,"Tar-Mult Val"}</definedName>
    <definedName name="SCRAP" hidden="1">{"'subnets'!$A$1:$F$20"}</definedName>
    <definedName name="scsxsx" hidden="1">{#N/A,#N/A,FALSE,"Calc";#N/A,#N/A,FALSE,"Sensitivity";#N/A,#N/A,FALSE,"LT Earn.Dil.";#N/A,#N/A,FALSE,"Dil. AVP"}</definedName>
    <definedName name="sd" hidden="1">{#N/A,#N/A,FALSE,"WOB_1.XLS";#N/A,#N/A,FALSE,"WOB_2.XLS";#N/A,#N/A,FALSE,"WOB_3.XLS";#N/A,#N/A,FALSE,"WOB_4.XLS";#N/A,#N/A,FALSE,"WOB_5.XLS"}</definedName>
    <definedName name="sdaf"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sdafgs" hidden="1">{#N/A,#N/A,FALSE,"Pharm";#N/A,#N/A,FALSE,"WWCM"}</definedName>
    <definedName name="sdafregfx" hidden="1">{#N/A,#N/A,TRUE,"Historicals";#N/A,#N/A,TRUE,"Charts";#N/A,#N/A,TRUE,"Forecasts"}</definedName>
    <definedName name="sdas" hidden="1">{"Total",#N/A,FALSE,"Six Fields";"PDP",#N/A,FALSE,"Six Fields";"PNP",#N/A,FALSE,"Six Fields";"PUD",#N/A,FALSE,"Six Fields";"Prob",#N/A,FALSE,"Six Fields"}</definedName>
    <definedName name="SDCS" hidden="1">{#N/A,#N/A,TRUE,"Staffnos &amp; cost"}</definedName>
    <definedName name="sde" hidden="1">{#N/A,#N/A,FALSE,"Cover";#N/A,#N/A,FALSE,"Assumptions";#N/A,#N/A,FALSE,"Volumes";#N/A,#N/A,FALSE,"Pricing";#N/A,#N/A,FALSE,"TFLE Walk";#N/A,#N/A,FALSE,"Variable Cost";#N/A,#N/A,FALSE,"Sensitivity";#N/A,#N/A,FALSE,"Investment";#N/A,#N/A,FALSE,"Profitability"}</definedName>
    <definedName name="sdes" hidden="1">{"PACKAGE",#N/A,FALSE,"CM"}</definedName>
    <definedName name="SDEUR" hidden="1">#REF!</definedName>
    <definedName name="sdf"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sdf23rq34t"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a" hidden="1">#REF!</definedName>
    <definedName name="sdfadfd" hidden="1">9</definedName>
    <definedName name="sdfasdafd" hidden="1">#REF!</definedName>
    <definedName name="sdfasdafd1a" hidden="1">#REF!</definedName>
    <definedName name="sdfasdfasdf" hidden="1">{"'Raumplanung April'!$A$1:$H$30"}</definedName>
    <definedName name="sdfasdfsd" hidden="1">{TRUE,TRUE,-1.25,-15.5,604.5,369,FALSE,FALSE,TRUE,TRUE,0,1,83,1,38,4,5,4,TRUE,TRUE,3,TRUE,1,TRUE,75,"Swvu.inputs._.raw._.data.","ACwvu.inputs._.raw._.data.",#N/A,FALSE,FALSE,0.5,0.5,0.5,0.5,2,"&amp;F","&amp;A&amp;RPage &amp;P",FALSE,FALSE,FALSE,FALSE,1,60,#N/A,#N/A,"=R1C61:R53C89","=C1:C5",#N/A,#N/A,FALSE,FALSE,FALSE,1,600,600,FALSE,FALSE,TRUE,TRUE,TRUE}</definedName>
    <definedName name="sdfasf" hidden="1">{"'Sheet1'!$A$1:$O$22"}</definedName>
    <definedName name="sdfd" hidden="1">39776.6940625</definedName>
    <definedName name="sdfdsf" hidden="1">{#N/A,#N/A,FALSE,"KA CH  (2)"}</definedName>
    <definedName name="sdff" hidden="1">#REF!</definedName>
    <definedName name="sdffdfgf" hidden="1">{#N/A,#N/A,TRUE,"Cont_Stell";#N/A,#N/A,TRUE,"BTG";#N/A,#N/A,TRUE,"SH";#N/A,#N/A,TRUE,"GUV";#N/A,#N/A,TRUE,"Bilanz";#N/A,#N/A,TRUE,"WC";#N/A,#N/A,TRUE,"Beweg_bil";#N/A,#N/A,TRUE,"Kap_fluß";#N/A,#N/A,TRUE,"KENNZ";#N/A,#N/A,TRUE,"ANALYSE"}</definedName>
    <definedName name="sdfg"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dfg5w4e"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gdf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SDFGH" hidden="1">{#N/A,#N/A,FALSE,"단축1";#N/A,#N/A,FALSE,"단축2";#N/A,#N/A,FALSE,"단축3";#N/A,#N/A,FALSE,"장축";#N/A,#N/A,FALSE,"4WD"}</definedName>
    <definedName name="sdfghfd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sdfgrsta" hidden="1">{"var_page",#N/A,FALSE,"template"}</definedName>
    <definedName name="sdfgw45qt" hidden="1">{"dcfsummary",#N/A,FALSE,"NHY - DCF Valuation";"agriculture",#N/A,FALSE,"NHY - DCF Valuation";"oilgas",#N/A,FALSE,"NHY - DCF Valuation";"oilgastot",#N/A,FALSE,"NHY - DCF Valuation";"lightmetals",#N/A,FALSE,"NHY - DCF Valuation";"petrochemicals",#N/A,FALSE,"NHY - DCF Valuation";"other",#N/A,FALSE,"NHY - DCF Valuation"}</definedName>
    <definedName name="sdfh" hidden="1">{#N/A,#N/A,FALSE,"Pharm";#N/A,#N/A,FALSE,"WWCM"}</definedName>
    <definedName name="SDFHG" hidden="1">{"Agg Output",#N/A,FALSE,"Operational Drivers Output";"NW Output",#N/A,FALSE,"Operational Drivers Output";"South Output",#N/A,FALSE,"Operational Drivers Output";"Central Output",#N/A,FALSE,"Operational Drivers Output"}</definedName>
    <definedName name="SDFS" hidden="1">{#N/A,#N/A,FALSE,"단축1";#N/A,#N/A,FALSE,"단축2";#N/A,#N/A,FALSE,"단축3";#N/A,#N/A,FALSE,"장축";#N/A,#N/A,FALSE,"4WD"}</definedName>
    <definedName name="sdfsadf" hidden="1">{#N/A,#N/A,FALSE,"Index";#N/A,#N/A,FALSE,"1.1";#N/A,#N/A,FALSE,"Scenario Summary"}</definedName>
    <definedName name="sdfsadfsdafsadf" hidden="1">{#N/A,#N/A,FALSE,"Index";#N/A,#N/A,FALSE,"1.1";#N/A,#N/A,FALSE,"Scenario Summary"}</definedName>
    <definedName name="sdfsafd" hidden="1">{#N/A,#N/A,FALSE,"Index";#N/A,#N/A,FALSE,"1.1";#N/A,#N/A,FALSE,"Scenario Summary"}</definedName>
    <definedName name="sdfsdaf" hidden="1">{#N/A,#N/A,FALSE,"Index";#N/A,#N/A,FALSE,"1.1";#N/A,#N/A,FALSE,"Scenario Summary"}</definedName>
    <definedName name="sdfsdf" hidden="1">{#N/A,#N/A,TRUE,"Cover sheet";#N/A,#N/A,TRUE,"INPUTS";#N/A,#N/A,TRUE,"OUTPUTS";#N/A,#N/A,TRUE,"VALUATION"}</definedName>
    <definedName name="sdfsdfsdfsdfs" hidden="1">6</definedName>
    <definedName name="sdfsdgf"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sdfsfsfd" hidden="1">{#N/A,#N/A,FALSE,"Operations";#N/A,#N/A,FALSE,"Financials"}</definedName>
    <definedName name="sdfsfsfsdf" hidden="1">{#N/A,#N/A,FALSE,"Calc";#N/A,#N/A,FALSE,"Sensitivity";#N/A,#N/A,FALSE,"LT Earn.Dil.";#N/A,#N/A,FALSE,"Dil. AVP"}</definedName>
    <definedName name="sdft" hidden="1">{#N/A,#N/A,FALSE,"SUMMARY";#N/A,#N/A,FALSE,"mcsh";#N/A,#N/A,FALSE,"vol&amp;rev";#N/A,#N/A,FALSE,"wkgcap";#N/A,#N/A,FALSE,"DEPR&amp;DT";#N/A,#N/A,FALSE,"ASSETS";#N/A,#N/A,FALSE,"NI&amp;OTH&amp;DIV";#N/A,#N/A,FALSE,"CASHFLOW";#N/A,#N/A,FALSE,"CAPEMPL";#N/A,#N/A,FALSE,"ROCE"}</definedName>
    <definedName name="sdfw"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sdfwer" hidden="1">{#N/A,#N/A,FALSE,"Layout GuV"}</definedName>
    <definedName name="sdgagf" hidden="1">{#N/A,#N/A,FALSE,"Pharm";#N/A,#N/A,FALSE,"WWCM"}</definedName>
    <definedName name="sdgdf" hidden="1">{"Acq_matrix",#N/A,FALSE,"Acquisition Matrix"}</definedName>
    <definedName name="sdgdfghfhgfjhgfjhjjjg" hidden="1">{"general",#N/A,FALSE,"Assumptions"}</definedName>
    <definedName name="sdgdgdf" hidden="1">{"comp",#N/A,FALSE,"SPEC";"footnotes",#N/A,FALSE,"SPEC"}</definedName>
    <definedName name="SDGF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dgh" hidden="1">{"qty and inventory value",#N/A,FALSE,"MPartners";"general ledger entries",#N/A,FALSE,"MPartners"}</definedName>
    <definedName name="sdhdhfdfhh" hidden="1">{#N/A,#N/A,FALSE,"Balance Sheet";#N/A,#N/A,FALSE,"Income Statement";#N/A,#N/A,FALSE,"Changes in Financial Position"}</definedName>
    <definedName name="sdkfjösadkjfölskdajfiweaiofrw" hidden="1">{#N/A,#N/A,FALSE,"Index";#N/A,#N/A,FALSE,"1.1";#N/A,#N/A,FALSE,"Scenario Summary"}</definedName>
    <definedName name="sdry" hidden="1">#REF!</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adasd" hidden="1">{#N/A,#N/A,FALSE,"Pharm";#N/A,#N/A,FALSE,"WWCM"}</definedName>
    <definedName name="SDSD" hidden="1">{#N/A,#N/A,FALSE,"Staffnos &amp; cost"}</definedName>
    <definedName name="sdsdfsdf" hidden="1">{"GuVGmbH",#N/A,FALSE,"ratios";"BilanzGmbH",#N/A,FALSE,"ratios";"BilanzKG",#N/A,FALSE,"ratios";"GuVKG",#N/A,FALSE,"ratios"}</definedName>
    <definedName name="sdsf" hidden="1">{"vi1",#N/A,FALSE,"Financial Statements";"vi2",#N/A,FALSE,"Financial Statements";#N/A,#N/A,FALSE,"DCF"}</definedName>
    <definedName name="sdtrshjsrtj"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dvsdfv" hidden="1">{"Alex2",#N/A,FALSE," SAV A8"}</definedName>
    <definedName name="sdvsdvsDVVd" hidden="1">{"'Planning Data'!$A$2:$X$120"}</definedName>
    <definedName name="sdw" hidden="1">{#N/A,#N/A,FALSE,"Admin";#N/A,#N/A,FALSE,"Other"}</definedName>
    <definedName name="sdy" hidden="1">{#N/A,#N/A,FALSE,"PrintM"}</definedName>
    <definedName name="se" hidden="1">{"consolidated",#N/A,FALSE,"Sheet1";"cms",#N/A,FALSE,"Sheet1";"fse",#N/A,FALSE,"Sheet1"}</definedName>
    <definedName name="sea" hidden="1">{"oct_res_comm",#N/A,FALSE,"VarToBud"}</definedName>
    <definedName name="sean" hidden="1">{"'Sample Status'!$A$1:$J$21"}</definedName>
    <definedName name="Sec_Eff_X" hidden="1">#REF!</definedName>
    <definedName name="secondaries" hidden="1">{#N/A,#N/A,FALSE,"Summary";#N/A,#N/A,FALSE,"Pending";#N/A,#N/A,FALSE,"Oct'97";#N/A,#N/A,FALSE,"Sept'97";#N/A,#N/A,FALSE,"Aug'97";#N/A,#N/A,FALSE,"Jul'97";#N/A,#N/A,FALSE,"Jun'97";#N/A,#N/A,FALSE,"May'97";#N/A,#N/A,FALSE,"Apr'97";#N/A,#N/A,FALSE,"Mar'97";#N/A,#N/A,FALSE,"Feb'97";#N/A,#N/A,FALSE,"Jan'97"}</definedName>
    <definedName name="SegmentBudget" hidden="1">{"oct_res_comm",#N/A,FALSE,"VarToBud"}</definedName>
    <definedName name="SEJINBS" hidden="1">{#N/A,#N/A,FALSE,"정공"}</definedName>
    <definedName name="Selim"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range" hidden="1">#REF!</definedName>
    <definedName name="semanal" hidden="1">{"MATERIAL",#N/A,FALSE,"material"}</definedName>
    <definedName name="sencount" hidden="1">1</definedName>
    <definedName name="ser" hidden="1">{"FY98Q1",#N/A,FALSE,"FY98 - Q1";"FY98Q2",#N/A,FALSE,"FY98 - Q2";"FY98Q3",#N/A,FALSE,"FY98 - Q3";"FY98Q4",#N/A,FALSE,"FY98 - Q4"}</definedName>
    <definedName name="serers" hidden="1">{#N/A,#N/A,FALSE,"Staffnos &amp; cost"}</definedName>
    <definedName name="serhsthj" hidden="1">{#N/A,#N/A,FALSE,"INPUTS";#N/A,#N/A,FALSE,"PROFORMA BSHEET";#N/A,#N/A,FALSE,"COMBINED";#N/A,#N/A,FALSE,"ACQUIROR";#N/A,#N/A,FALSE,"TARGET 1";#N/A,#N/A,FALSE,"TARGET 2";#N/A,#N/A,FALSE,"HIGH YIELD";#N/A,#N/A,FALSE,"OVERFUND"}</definedName>
    <definedName name="serqw" hidden="1">{#N/A,#N/A,FALSE,"Staffnos &amp; cost"}</definedName>
    <definedName name="sertawe" hidden="1">{#N/A,#N/A,FALSE,"Layout Aktiva";#N/A,#N/A,FALSE,"Layout Passiva"}</definedName>
    <definedName name="setwet" hidden="1">{"summary",#N/A,FALSE,"labor"}</definedName>
    <definedName name="sety" hidden="1">{"LAPO2N2",#N/A,FALSE,"CM"}</definedName>
    <definedName name="sev" hidden="1">#REF!</definedName>
    <definedName name="S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asfwsdf"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sfd" hidden="1">#REF!</definedName>
    <definedName name="sfdg" hidden="1">{"LEVEL1","UKCONSGAAP",TRUE,"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name="sfdgfgg" hidden="1">{#N/A,#N/A,FALSE,"Umsatz OK";#N/A,#N/A,FALSE,"ER OK ";#N/A,#N/A,FALSE,"EA OK (2)";#N/A,#N/A,FALSE,"EA OK";#N/A,#N/A,FALSE,"EA OK (3)";#N/A,#N/A,FALSE,"EA OK (4)";#N/A,#N/A,FALSE,"KA OK  (2)";#N/A,#N/A,FALSE,"KA OK";#N/A,#N/A,FALSE,"KA OK  (3)";#N/A,#N/A,FALSE,"KA OK (4)"}</definedName>
    <definedName name="SFDGHG" hidden="1">{#N/A,#N/A,FALSE,"단축1";#N/A,#N/A,FALSE,"단축2";#N/A,#N/A,FALSE,"단축3";#N/A,#N/A,FALSE,"장축";#N/A,#N/A,FALSE,"4WD"}</definedName>
    <definedName name="sfdgsdfh565" hidden="1">{"dcfsummary",#N/A,FALSE,"NHY - DCF Valuation";"agriculture",#N/A,FALSE,"NHY - DCF Valuation";"oilgas",#N/A,FALSE,"NHY - DCF Valuation";"oilgastot",#N/A,FALSE,"NHY - DCF Valuation";"lightmetals",#N/A,FALSE,"NHY - DCF Valuation";"petrochemicals",#N/A,FALSE,"NHY - DCF Valuation";"other",#N/A,FALSE,"NHY - DCF Valuation"}</definedName>
    <definedName name="sfdharghesrh" hidden="1">{#N/A,#N/A,FALSE,"Valuation Assumptions";#N/A,#N/A,FALSE,"Summary";#N/A,#N/A,FALSE,"DCF";#N/A,#N/A,FALSE,"Valuation";#N/A,#N/A,FALSE,"WACC";#N/A,#N/A,FALSE,"UBVH";#N/A,#N/A,FALSE,"Free Cash Flow"}</definedName>
    <definedName name="sfdirect" hidden="1">{#N/A,#N/A,FALSE,"REPORT"}</definedName>
    <definedName name="sfdsfsdf" hidden="1">"5XE3DWNI2A1IX1M55GJ5LUGO9"</definedName>
    <definedName name="sff" hidden="1">{"targetdcf",#N/A,FALSE,"Merger consequences";"TARGETASSU",#N/A,FALSE,"Merger consequences";"TERMINAL VALUE",#N/A,FALSE,"Merger consequences"}</definedName>
    <definedName name="SFG" hidden="1">{TRUE,TRUE,-1.25,-15.5,456.75,279.75,FALSE,FALSE,TRUE,TRUE,0,1,21,1,127,6,3,4,TRUE,TRUE,3,TRUE,1,TRUE,100,"Swvu.profits.","ACwvu.profits.",1,FALSE,FALSE,0.511811023622047,0.511811023622047,0.511811023622047,0.511811023622047,1,"","",FALSE,FALSE,FALSE,FALSE,1,#N/A,1,1,#DIV/0!,FALSE,"Rwvu.profits.",#N/A,FALSE,FALSE}</definedName>
    <definedName name="sfgasd" hidden="1">{0,0,0,0;0,0,0,0;0,0,0,0;0,0,0,0;0,0,0,0;0,0,0,0;0,0,2,0;2,3,3,0;FALSE,FALSE,FALSE,FALSE;TRUE,FALSE,TRUE,TRUE;FALSE,FALSE,TRUE,TRUE;FALSE,0,2.78134444564786E-308,4.45015196281921E-308;7.78776275135711E-308,1.33504516457612E-307,2.22507555776164E-307,3.56012157274209E-307}</definedName>
    <definedName name="sfgf" hidden="1">{"DCF","UPSIDE CASE",FALSE,"Sheet1";"DCF","BASE CASE",FALSE,"Sheet1";"DCF","DOWNSIDE CASE",FALSE,"Sheet1"}</definedName>
    <definedName name="sfgf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sfghdsgjms" hidden="1">{#N/A,#N/A,FALSE,"ACQ_GRAPHS";#N/A,#N/A,FALSE,"T_1 GRAPHS";#N/A,#N/A,FALSE,"T_2 GRAPHS";#N/A,#N/A,FALSE,"COMB_GRAPHS"}</definedName>
    <definedName name="SFGHJK" hidden="1">{#N/A,#N/A,FALSE,"단축1";#N/A,#N/A,FALSE,"단축2";#N/A,#N/A,FALSE,"단축3";#N/A,#N/A,FALSE,"장축";#N/A,#N/A,FALSE,"4WD"}</definedName>
    <definedName name="sfghsgjsh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fghsmsmsg" hidden="1">{#N/A,#N/A,FALSE,"ACQ_GRAPHS";#N/A,#N/A,FALSE,"T_1 GRAPHS";#N/A,#N/A,FALSE,"T_2 GRAPHS";#N/A,#N/A,FALSE,"COMB_GRAPHS"}</definedName>
    <definedName name="sfgnserg" hidden="1">{"dcfsummary",#N/A,FALSE,"NHY - DCF Valuation";"agriculture",#N/A,FALSE,"NHY - DCF Valuation";"oilgas",#N/A,FALSE,"NHY - DCF Valuation";"oilgastot",#N/A,FALSE,"NHY - DCF Valuation";"lightmetals",#N/A,FALSE,"NHY - DCF Valuation";"petrochemicals",#N/A,FALSE,"NHY - DCF Valuation";"other",#N/A,FALSE,"NHY - DCF Valuation"}</definedName>
    <definedName name="sfgv" hidden="1">{"consolidated",#N/A,FALSE,"Sheet1";"cms",#N/A,FALSE,"Sheet1";"fse",#N/A,FALSE,"Sheet1"}</definedName>
    <definedName name="sfhdghghdsgh5" hidden="1">{"dcfsummary",#N/A,FALSE,"NHY - DCF Valuation";"agriculture",#N/A,FALSE,"NHY - DCF Valuation";"oilgas",#N/A,FALSE,"NHY - DCF Valuation";"oilgastot",#N/A,FALSE,"NHY - DCF Valuation";"lightmetals",#N/A,FALSE,"NHY - DCF Valuation";"petrochemicals",#N/A,FALSE,"NHY - DCF Valuation";"other",#N/A,FALSE,"NHY - DCF Valuation"}</definedName>
    <definedName name="SFJGH" hidden="1">{#N/A,#N/A,FALSE,"단축1";#N/A,#N/A,FALSE,"단축2";#N/A,#N/A,FALSE,"단축3";#N/A,#N/A,FALSE,"장축";#N/A,#N/A,FALSE,"4WD"}</definedName>
    <definedName name="sfq" hidden="1">{#N/A,#N/A,FALSE,"Calc";#N/A,#N/A,FALSE,"Sensitivity";#N/A,#N/A,FALSE,"LT Earn.Dil.";#N/A,#N/A,FALSE,"Dil. AVP"}</definedName>
    <definedName name="sfs" hidden="1">{"comps",#N/A,FALSE,"HANDPACK";"footnotes",#N/A,FALSE,"HANDPACK"}</definedName>
    <definedName name="sfsdfsf" hidden="1">{"First Page",#N/A,FALSE,"Surfactants LBO";"Second Page",#N/A,FALSE,"Surfactants LBO"}</definedName>
    <definedName name="sfsf" hidden="1">{"general",#N/A,FALSE,"Assumptions"}</definedName>
    <definedName name="sfsfsdf" hidden="1">{#N/A,#N/A,FALSE,"Calc";#N/A,#N/A,FALSE,"Sensitivity";#N/A,#N/A,FALSE,"LT Earn.Dil.";#N/A,#N/A,FALSE,"Dil. AVP"}</definedName>
    <definedName name="SFSFSFS" hidden="1">{#N/A,#N/A,FALSE,"단축1";#N/A,#N/A,FALSE,"단축2";#N/A,#N/A,FALSE,"단축3";#N/A,#N/A,FALSE,"장축";#N/A,#N/A,FALSE,"4WD"}</definedName>
    <definedName name="sfsfsfsfsfd" hidden="1">{"away stand alones",#N/A,FALSE,"Target"}</definedName>
    <definedName name="sfthsthstrhsth" hidden="1">{#N/A,#N/A,FALSE,"ACQ_GRAPHS";#N/A,#N/A,FALSE,"T_1 GRAPHS";#N/A,#N/A,FALSE,"T_2 GRAPHS";#N/A,#N/A,FALSE,"COMB_GRAPHS"}</definedName>
    <definedName name="sfwefwef"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sg" hidden="1">{#N/A,#N/A,FALSE,"Umsatz CH";#N/A,#N/A,FALSE,"ER CH";#N/A,#N/A,FALSE,"EA CH (2) ";#N/A,#N/A,FALSE,"EA CH";#N/A,#N/A,FALSE,"EA CH (3) ";#N/A,#N/A,FALSE,"EA CH (4)";#N/A,#N/A,FALSE,"KA CH";#N/A,#N/A,FALSE,"KA CH  (2)";#N/A,#N/A,FALSE,"KA CH  (3)";#N/A,#N/A,FALSE,"KA CH (4)"}</definedName>
    <definedName name="SGA" hidden="1">"SGA"</definedName>
    <definedName name="sgdf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sgdg" hidden="1">{#N/A,#N/A,FALSE,"Calc";#N/A,#N/A,FALSE,"Sensitivity";#N/A,#N/A,FALSE,"LT Earn.Dil.";#N/A,#N/A,FALSE,"Dil. AVP"}</definedName>
    <definedName name="sgdzhet" hidden="1">{"subs",#N/A,FALSE,"database ";"proportional",#N/A,FALSE,"database "}</definedName>
    <definedName name="sger"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SGFA" hidden="1">{#N/A,#N/A,FALSE,"인원";#N/A,#N/A,FALSE,"비용2";#N/A,#N/A,FALSE,"비용1";#N/A,#N/A,FALSE,"비용";#N/A,#N/A,FALSE,"보증2";#N/A,#N/A,FALSE,"보증1";#N/A,#N/A,FALSE,"보증";#N/A,#N/A,FALSE,"손익1";#N/A,#N/A,FALSE,"손익";#N/A,#N/A,FALSE,"부서별매출";#N/A,#N/A,FALSE,"매출"}</definedName>
    <definedName name="sghh"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srthsrthsr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ghsrthsrtj" hidden="1">{#N/A,#N/A,FALSE,"ACQ_GRAPHS";#N/A,#N/A,FALSE,"T_1 GRAPHS";#N/A,#N/A,FALSE,"T_2 GRAPHS";#N/A,#N/A,FALSE,"COMB_GRAPHS"}</definedName>
    <definedName name="sgjsgjsgj" hidden="1">{#N/A,#N/A,FALSE,"Valuation Assumptions";#N/A,#N/A,FALSE,"Summary";#N/A,#N/A,FALSE,"DCF";#N/A,#N/A,FALSE,"Valuation";#N/A,#N/A,FALSE,"WACC";#N/A,#N/A,FALSE,"UBVH";#N/A,#N/A,FALSE,"Free Cash Flow"}</definedName>
    <definedName name="sgjshksts" hidden="1">{#N/A,#N/A,FALSE,"INPUTS";#N/A,#N/A,FALSE,"PROFORMA BSHEET";#N/A,#N/A,FALSE,"COMBINED";#N/A,#N/A,FALSE,"HIGH YIELD";#N/A,#N/A,FALSE,"COMB_GRAPHS"}</definedName>
    <definedName name="sgjsrtj" hidden="1">{#N/A,#N/A,FALSE,"ACQ_GRAPHS";#N/A,#N/A,FALSE,"T_1 GRAPHS";#N/A,#N/A,FALSE,"T_2 GRAPHS";#N/A,#N/A,FALSE,"COMB_GRAPHS"}</definedName>
    <definedName name="sgjsrtjn" hidden="1">{#N/A,#N/A,FALSE,"Valuation Assumptions";#N/A,#N/A,FALSE,"Summary";#N/A,#N/A,FALSE,"DCF";#N/A,#N/A,FALSE,"Valuation";#N/A,#N/A,FALSE,"WACC";#N/A,#N/A,FALSE,"UBVH";#N/A,#N/A,FALSE,"Free Cash Flow"}</definedName>
    <definedName name="sgjsyjk" hidden="1">{#N/A,#N/A,FALSE,"INPUTS";#N/A,#N/A,FALSE,"PROFORMA BSHEET";#N/A,#N/A,FALSE,"COMBINED";#N/A,#N/A,FALSE,"HIGH YIELD";#N/A,#N/A,FALSE,"COMB_GRAPHS"}</definedName>
    <definedName name="sgrz"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gsdfg"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sgsG" hidden="1">{#N/A,#N/A,FALSE,"Performance Flash Report"}</definedName>
    <definedName name="sGSGkj" hidden="1">{"'Planning Data'!$A$2:$X$120"}</definedName>
    <definedName name="sgsx" hidden="1">{"consolidated",#N/A,FALSE,"Sheet1";"cms",#N/A,FALSE,"Sheet1";"fse",#N/A,FALSE,"Sheet1"}</definedName>
    <definedName name="SH" hidden="1">{"'Jan-02'!$F$46:$F$47","'Jan-02'!$F$46:$F$47"}</definedName>
    <definedName name="shaci" hidden="1">{#N/A,#N/A,FALSE,"Combo-Ass ";#N/A,#N/A,FALSE,"Combo-AD sum";#N/A,#N/A,FALSE,"Combo-Syn Sens";#N/A,#N/A,FALSE,"Combo-Contr";#N/A,#N/A,FALSE,"Combo-Credit Sum";#N/A,#N/A,FALSE,"Combo-Credit";#N/A,#N/A,FALSE,"Combo-AD";#N/A,#N/A,FALSE,"Combo-AD CF"}</definedName>
    <definedName name="shamrock" hidden="1">{#N/A,#N/A,TRUE,"Val - sum";#N/A,#N/A,TRUE,"Val - Sum1";#N/A,#N/A,TRUE,"Val - sum2";#N/A,#N/A,TRUE,"Val - Sum3";#N/A,#N/A,TRUE,"Tar-DCF";#N/A,#N/A,TRUE,"Tar-Val LBO";#N/A,#N/A,TRUE,"Tar-Mult Val"}</definedName>
    <definedName name="shareoutltm" hidden="1">#REF!</definedName>
    <definedName name="sharepriceltm" hidden="1">#REF!</definedName>
    <definedName name="SHARESOUTSTANDING" hidden="1">"SHARESOUTSTANDING"</definedName>
    <definedName name="shdhd"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sheet" hidden="1">{"Assumptions1",#N/A,FALSE,"Assumptions";"MergerPlans1","20yearamort",FALSE,"MergerPlans";"MergerPlans1","40yearamort",FALSE,"MergerPlans";"MergerPlans2",#N/A,FALSE,"MergerPlans";"inputs",#N/A,FALSE,"MergerPlans"}</definedName>
    <definedName name="SHEET10" hidden="1">{#N/A,#N/A,FALSE,"단축1";#N/A,#N/A,FALSE,"단축2";#N/A,#N/A,FALSE,"단축3";#N/A,#N/A,FALSE,"장축";#N/A,#N/A,FALSE,"4WD"}</definedName>
    <definedName name="sheet100" hidden="1">{#N/A,#N/A,TRUE,"RIDE";#N/A,#N/A,TRUE,"STEERING";#N/A,#N/A,TRUE,"HANDLING";#N/A,#N/A,TRUE,"BRAKING"}</definedName>
    <definedName name="sheet3" hidden="1">{#N/A,#N/A,FALSE,"Staffnos &amp; cost"}</definedName>
    <definedName name="Sheet5" hidden="1">#REF!</definedName>
    <definedName name="Sheeta" hidden="1">{"FY97Tot nvs",#N/A,FALSE,"FY97 - Total";"FY98Tot nvs",#N/A,FALSE,"FY98 - Total"}</definedName>
    <definedName name="SheetState" hidden="1">"'-1:2:-1:-1:-1:-1:-1:-1:-1:-1:-1:-1:-1:-1:-1:-1:-1:-1:-1:-1:-1:-1:-1:-1:-1:-1:-1:-1:-1:-1:-1:-1:-1:-1:-1:-1:-1:-1:-1:-1:-1:-1:-1:-1:-1:-1:-1:-1:-1:-1:-1:-1:-1:-1:-1:-1:-1:-1:-1:-1:-1:-1:-1:-1:-1:-1:-1:-1:-1:-1:-1:-1:-1:-1:-1:-1:-1:-1:-1:-1:-1:-1:-1:-1"</definedName>
    <definedName name="sheettwo" hidden="1">{"'MVS'!$A$5:$O$716"}</definedName>
    <definedName name="shgg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hkshkshks" hidden="1">{#N/A,#N/A,FALSE,"ACQ_GRAPHS";#N/A,#N/A,FALSE,"T_1 GRAPHS";#N/A,#N/A,FALSE,"T_2 GRAPHS";#N/A,#N/A,FALSE,"COMB_GRAPHS"}</definedName>
    <definedName name="short" hidden="1">#REF!</definedName>
    <definedName name="SHORT_TERM_INVEST" hidden="1">"SHORT_TERM_INVEST"</definedName>
    <definedName name="Show.Acct.Update.Warning" hidden="1">#REF!</definedName>
    <definedName name="Show.MDB.Update.Warning" hidden="1">#REF!</definedName>
    <definedName name="shrt" hidden="1">{#VALUE!,#N/A,FALSE,0;#N/A,#N/A,FALSE,0;#N/A,#N/A,FALSE,0;#N/A,#N/A,FALSE,0;#N/A,#N/A,FALSE,0}</definedName>
    <definedName name="shsdfhsdfhkjs" hidden="1">{#N/A,#N/A,TRUE,"Staffnos &amp; cost"}</definedName>
    <definedName name="shsdrtjhsdrt" hidden="1">{#N/A,#N/A,FALSE,"Valuation Assumptions";#N/A,#N/A,FALSE,"Summary";#N/A,#N/A,FALSE,"DCF";#N/A,#N/A,FALSE,"Valuation";#N/A,#N/A,FALSE,"WACC";#N/A,#N/A,FALSE,"UBVH";#N/A,#N/A,FALSE,"Free Cash Flow"}</definedName>
    <definedName name="shsthsrthsrth" hidden="1">{"vi1",#N/A,FALSE,"Financial Statements";"vi2",#N/A,FALSE,"Financial Statements";#N/A,#N/A,FALSE,"DCF"}</definedName>
    <definedName name="shtg" hidden="1">#REF!</definedName>
    <definedName name="shukusinnu" hidden="1">{#N/A,#N/A,FALSE,"Profit Status";#N/A,#N/A,FALSE,"Invest";#N/A,#N/A,FALSE,"Revenue";#N/A,#N/A,FALSE,"Variable Cost";#N/A,#N/A,FALSE,"Options &amp; Series"}</definedName>
    <definedName name="SID" hidden="1">"Cpavan"</definedName>
    <definedName name="Siemens" hidden="1">{"'comite'!$A$9:$G$44","'comite'!$A$1:$G$6"}</definedName>
    <definedName name="SIG_ABILA_firstLine" hidden="1">#REF!</definedName>
    <definedName name="SIG_ABILA_IsControlOK" hidden="1">#REF!</definedName>
    <definedName name="SIG_ABILA_lastLine" hidden="1">#REF!</definedName>
    <definedName name="SIG_ABILA_TITLECOL" hidden="1">#REF!</definedName>
    <definedName name="SIG_ABILA_TITLELINE" hidden="1">#REF!</definedName>
    <definedName name="SIG_AC_firstLine" hidden="1">#N/A</definedName>
    <definedName name="SIG_AC_IsControlOK" hidden="1">#N/A</definedName>
    <definedName name="SIG_AC_lastLine" hidden="1">#N/A</definedName>
    <definedName name="SIG_AC_TITLECOL" hidden="1">#N/A</definedName>
    <definedName name="SIG_AC_TITLELINE" hidden="1">#N/A</definedName>
    <definedName name="SIG_ASEGMGES_firstLine" hidden="1">#REF!</definedName>
    <definedName name="SIG_ASEGMGES_IsControlOK" hidden="1">#REF!</definedName>
    <definedName name="SIG_ASEGMGES_lastLine" hidden="1">#REF!</definedName>
    <definedName name="SIG_CONTROLE" hidden="1">#N/A</definedName>
    <definedName name="SIG_DERNIERECOLONNE" hidden="1">#N/A</definedName>
    <definedName name="SIG_EANLV_C1" hidden="1">#REF!</definedName>
    <definedName name="SIG_EANLV_C10" hidden="1">#REF!</definedName>
    <definedName name="SIG_EANLV_C11" hidden="1">#REF!</definedName>
    <definedName name="SIG_EANLV_C12" hidden="1">#REF!</definedName>
    <definedName name="SIG_EANLV_C13" hidden="1">#REF!</definedName>
    <definedName name="SIG_EANLV_C14" hidden="1">#REF!</definedName>
    <definedName name="SIG_EANLV_C15" hidden="1">#REF!</definedName>
    <definedName name="SIG_EANLV_C16" hidden="1">#REF!</definedName>
    <definedName name="SIG_EANLV_C2" hidden="1">#REF!</definedName>
    <definedName name="SIG_EANLV_C3" hidden="1">#REF!</definedName>
    <definedName name="SIG_EANLV_C4" hidden="1">#REF!</definedName>
    <definedName name="SIG_EANLV_C5" hidden="1">#REF!</definedName>
    <definedName name="SIG_EANLV_C6" hidden="1">#REF!</definedName>
    <definedName name="SIG_EANLV_C7" hidden="1">#REF!</definedName>
    <definedName name="SIG_EANLV_C8" hidden="1">#REF!</definedName>
    <definedName name="SIG_EANLV_C9" hidden="1">#REF!</definedName>
    <definedName name="SIG_EANLV_R1" hidden="1">#REF!</definedName>
    <definedName name="SIG_EANLV_R10" hidden="1">#REF!</definedName>
    <definedName name="SIG_EANLV_R11" hidden="1">#REF!</definedName>
    <definedName name="SIG_EANLV_R12" hidden="1">#REF!</definedName>
    <definedName name="SIG_EANLV_R13" hidden="1">#REF!</definedName>
    <definedName name="SIG_EANLV_R14" hidden="1">#REF!</definedName>
    <definedName name="SIG_EANLV_R15" hidden="1">#REF!</definedName>
    <definedName name="SIG_EANLV_R16" hidden="1">#REF!</definedName>
    <definedName name="SIG_EANLV_R17" hidden="1">#REF!</definedName>
    <definedName name="SIG_EANLV_R18" hidden="1">#REF!</definedName>
    <definedName name="SIG_EANLV_R19" hidden="1">#REF!</definedName>
    <definedName name="SIG_EANLV_R2" hidden="1">#REF!</definedName>
    <definedName name="SIG_EANLV_R20" hidden="1">#REF!</definedName>
    <definedName name="SIG_EANLV_R21" hidden="1">#REF!</definedName>
    <definedName name="SIG_EANLV_R22" hidden="1">#REF!</definedName>
    <definedName name="SIG_EANLV_R3" hidden="1">#REF!</definedName>
    <definedName name="SIG_EANLV_R4" hidden="1">#REF!</definedName>
    <definedName name="SIG_EANLV_R5" hidden="1">#REF!</definedName>
    <definedName name="SIG_EANLV_R6" hidden="1">#REF!</definedName>
    <definedName name="SIG_EANLV_R7" hidden="1">#REF!</definedName>
    <definedName name="SIG_EANLV_R8" hidden="1">#REF!</definedName>
    <definedName name="SIG_EANLV_R9" hidden="1">#REF!</definedName>
    <definedName name="SIG_EANLV_TITLECOL" hidden="1">#REF!</definedName>
    <definedName name="SIG_EANLV_TITLELINE" hidden="1">#REF!</definedName>
    <definedName name="SIG_EANLV_X1" hidden="1">#REF!</definedName>
    <definedName name="SIG_EANLV_X10" hidden="1">#REF!</definedName>
    <definedName name="SIG_EANLV_X11" hidden="1">#REF!</definedName>
    <definedName name="SIG_EANLV_X12" hidden="1">#REF!</definedName>
    <definedName name="SIG_EANLV_X13" hidden="1">#REF!</definedName>
    <definedName name="SIG_EANLV_X14" hidden="1">#REF!</definedName>
    <definedName name="SIG_EANLV_X15" hidden="1">#REF!</definedName>
    <definedName name="SIG_EANLV_X16" hidden="1">#REF!</definedName>
    <definedName name="SIG_EANLV_X17" hidden="1">#REF!</definedName>
    <definedName name="SIG_EANLV_X18" hidden="1">#REF!</definedName>
    <definedName name="SIG_EANLV_X19" hidden="1">#REF!</definedName>
    <definedName name="SIG_EANLV_X2" hidden="1">#REF!</definedName>
    <definedName name="SIG_EANLV_X20" hidden="1">#REF!</definedName>
    <definedName name="SIG_EANLV_X21" hidden="1">#REF!</definedName>
    <definedName name="SIG_EANLV_X22" hidden="1">#REF!</definedName>
    <definedName name="SIG_EANLV_X23" hidden="1">#REF!</definedName>
    <definedName name="SIG_EANLV_X24" hidden="1">#REF!</definedName>
    <definedName name="SIG_EANLV_X25" hidden="1">#REF!</definedName>
    <definedName name="SIG_EANLV_X26" hidden="1">#REF!</definedName>
    <definedName name="SIG_EANLV_X27" hidden="1">#REF!</definedName>
    <definedName name="SIG_EANLV_X28" hidden="1">#REF!</definedName>
    <definedName name="SIG_EANLV_X29" hidden="1">#REF!</definedName>
    <definedName name="SIG_EANLV_X3" hidden="1">#REF!</definedName>
    <definedName name="SIG_EANLV_X30" hidden="1">#REF!</definedName>
    <definedName name="SIG_EANLV_X31" hidden="1">#REF!</definedName>
    <definedName name="SIG_EANLV_X32" hidden="1">#REF!</definedName>
    <definedName name="SIG_EANLV_X33" hidden="1">#REF!</definedName>
    <definedName name="SIG_EANLV_X34" hidden="1">#REF!</definedName>
    <definedName name="SIG_EANLV_X35" hidden="1">#REF!</definedName>
    <definedName name="SIG_EANLV_X36" hidden="1">#REF!</definedName>
    <definedName name="SIG_EANLV_X37" hidden="1">#REF!</definedName>
    <definedName name="SIG_EANLV_X38" hidden="1">#REF!</definedName>
    <definedName name="SIG_EANLV_X39" hidden="1">#REF!</definedName>
    <definedName name="SIG_EANLV_X4" hidden="1">#REF!</definedName>
    <definedName name="SIG_EANLV_X40" hidden="1">#REF!</definedName>
    <definedName name="SIG_EANLV_X41" hidden="1">#REF!</definedName>
    <definedName name="SIG_EANLV_X42" hidden="1">#REF!</definedName>
    <definedName name="SIG_EANLV_X43" hidden="1">#REF!</definedName>
    <definedName name="SIG_EANLV_X44" hidden="1">#REF!</definedName>
    <definedName name="SIG_EANLV_X45" hidden="1">#REF!</definedName>
    <definedName name="SIG_EANLV_X46" hidden="1">#REF!</definedName>
    <definedName name="SIG_EANLV_X47" hidden="1">#REF!</definedName>
    <definedName name="SIG_EANLV_X48" hidden="1">#REF!</definedName>
    <definedName name="SIG_EANLV_X49" hidden="1">#REF!</definedName>
    <definedName name="SIG_EANLV_X5" hidden="1">#REF!</definedName>
    <definedName name="SIG_EANLV_X50" hidden="1">#REF!</definedName>
    <definedName name="SIG_EANLV_X51" hidden="1">#REF!</definedName>
    <definedName name="SIG_EANLV_X52" hidden="1">#REF!</definedName>
    <definedName name="SIG_EANLV_X53" hidden="1">#REF!</definedName>
    <definedName name="SIG_EANLV_X54" hidden="1">#REF!</definedName>
    <definedName name="SIG_EANLV_X55" hidden="1">#REF!</definedName>
    <definedName name="SIG_EANLV_X56" hidden="1">#REF!</definedName>
    <definedName name="SIG_EANLV_X57" hidden="1">#REF!</definedName>
    <definedName name="SIG_EANLV_X58" hidden="1">#REF!</definedName>
    <definedName name="SIG_EANLV_X59" hidden="1">#REF!</definedName>
    <definedName name="SIG_EANLV_X6" hidden="1">#REF!</definedName>
    <definedName name="SIG_EANLV_X60" hidden="1">#REF!</definedName>
    <definedName name="SIG_EANLV_X61" hidden="1">#REF!</definedName>
    <definedName name="SIG_EANLV_X62" hidden="1">#REF!</definedName>
    <definedName name="SIG_EANLV_X63" hidden="1">#REF!</definedName>
    <definedName name="SIG_EANLV_X64" hidden="1">#REF!</definedName>
    <definedName name="SIG_EANLV_X7" hidden="1">#REF!</definedName>
    <definedName name="SIG_EANLV_X8" hidden="1">#REF!</definedName>
    <definedName name="SIG_EANLV_X9" hidden="1">#REF!</definedName>
    <definedName name="SIG_EBIL_C5" hidden="1">#REF!</definedName>
    <definedName name="SIG_EBIL_R1" hidden="1">#REF!</definedName>
    <definedName name="SIG_EBIL_R26" hidden="1">#REF!</definedName>
    <definedName name="SIG_EBIL_R32" hidden="1">#REF!</definedName>
    <definedName name="SIG_EBIL_R33" hidden="1">#REF!</definedName>
    <definedName name="SIG_EBIL_R35" hidden="1">#REF!</definedName>
    <definedName name="SIG_EBIL_R38" hidden="1">#REF!</definedName>
    <definedName name="SIG_EBIL_R4" hidden="1">#REF!</definedName>
    <definedName name="SIG_EBIL_R49" hidden="1">#REF!</definedName>
    <definedName name="SIG_EBIL_R5" hidden="1">#REF!</definedName>
    <definedName name="SIG_EBIL_R50" hidden="1">#REF!</definedName>
    <definedName name="SIG_EBIL_R51" hidden="1">#REF!</definedName>
    <definedName name="SIG_EBIL_R54" hidden="1">#REF!</definedName>
    <definedName name="SIG_EBIL_R56" hidden="1">#REF!</definedName>
    <definedName name="SIG_EBIL_R6" hidden="1">#REF!</definedName>
    <definedName name="SIG_EBIL_R78" hidden="1">#REF!</definedName>
    <definedName name="SIG_EBIL_R82" hidden="1">#REF!</definedName>
    <definedName name="SIG_EBIL_X1" hidden="1">#REF!</definedName>
    <definedName name="SIG_EBIL_X10" hidden="1">#REF!</definedName>
    <definedName name="SIG_EBIL_X11" hidden="1">#REF!</definedName>
    <definedName name="SIG_EBIL_X12" hidden="1">#REF!</definedName>
    <definedName name="SIG_EBIL_X13" hidden="1">#REF!</definedName>
    <definedName name="SIG_EBIL_X14" hidden="1">#REF!</definedName>
    <definedName name="SIG_EBIL_X15" hidden="1">#REF!</definedName>
    <definedName name="SIG_EBIL_X16" hidden="1">#REF!</definedName>
    <definedName name="SIG_EBIL_X17" hidden="1">#REF!</definedName>
    <definedName name="SIG_EBIL_X18" hidden="1">#REF!</definedName>
    <definedName name="SIG_EBIL_X19" hidden="1">#REF!</definedName>
    <definedName name="SIG_EBIL_X2" hidden="1">#REF!</definedName>
    <definedName name="SIG_EBIL_X20" hidden="1">#REF!</definedName>
    <definedName name="SIG_EBIL_X21" hidden="1">#REF!</definedName>
    <definedName name="SIG_EBIL_X22" hidden="1">#REF!</definedName>
    <definedName name="SIG_EBIL_X23" hidden="1">#REF!</definedName>
    <definedName name="SIG_EBIL_X24" hidden="1">#REF!</definedName>
    <definedName name="SIG_EBIL_X3" hidden="1">#REF!</definedName>
    <definedName name="SIG_EBIL_X4" hidden="1">#REF!</definedName>
    <definedName name="SIG_EBIL_X46" hidden="1">#REF!</definedName>
    <definedName name="SIG_EBIL_X47" hidden="1">#REF!</definedName>
    <definedName name="SIG_EBIL_X5" hidden="1">#REF!</definedName>
    <definedName name="SIG_EBIL_X50" hidden="1">#REF!</definedName>
    <definedName name="SIG_EBIL_X54" hidden="1">#REF!</definedName>
    <definedName name="SIG_EBIL_X6" hidden="1">#REF!</definedName>
    <definedName name="SIG_EBIL_X7" hidden="1">#REF!</definedName>
    <definedName name="SIG_EBIL_X8" hidden="1">#REF!</definedName>
    <definedName name="SIG_EBIL_X9" hidden="1">#REF!</definedName>
    <definedName name="SIG_EFFECTV_firstLine" hidden="1">#REF!</definedName>
    <definedName name="SIG_EFFECTV_H001" hidden="1">#REF!</definedName>
    <definedName name="SIG_EFFECTV_H002" hidden="1">#REF!</definedName>
    <definedName name="SIG_EFFECTV_H003" hidden="1">#REF!</definedName>
    <definedName name="SIG_EFFECTV_H004" hidden="1">#REF!</definedName>
    <definedName name="SIG_EFFECTV_H005" hidden="1">#REF!</definedName>
    <definedName name="SIG_EFFECTV_H006" hidden="1">#REF!</definedName>
    <definedName name="SIG_EFFECTV_H007" hidden="1">#REF!</definedName>
    <definedName name="SIG_EFFECTV_H008" hidden="1">#REF!</definedName>
    <definedName name="SIG_EFFECTV_H009" hidden="1">#REF!</definedName>
    <definedName name="SIG_EFFECTV_H010" hidden="1">#REF!</definedName>
    <definedName name="SIG_EFFECTV_H011" hidden="1">#REF!</definedName>
    <definedName name="SIG_EFFECTV_H012" hidden="1">#REF!</definedName>
    <definedName name="SIG_EFFECTV_IsControlOK" hidden="1">#REF!</definedName>
    <definedName name="SIG_EFFECTV_lastLine" hidden="1">#REF!</definedName>
    <definedName name="SIG_EFFECTV_TITLELINE" hidden="1">#REF!</definedName>
    <definedName name="SIG_EGLVB_C2" hidden="1">#REF!</definedName>
    <definedName name="SIG_EGLVB_C3" hidden="1">#REF!</definedName>
    <definedName name="SIG_EGLVB_C4" hidden="1">#REF!</definedName>
    <definedName name="SIG_EGLVB_C5" hidden="1">#REF!</definedName>
    <definedName name="SIG_EGLVB_C6" hidden="1">#REF!</definedName>
    <definedName name="SIG_EGLVB_C7" hidden="1">#REF!</definedName>
    <definedName name="SIG_EGLVB_R1" hidden="1">#REF!</definedName>
    <definedName name="SIG_EGLVB_R10" hidden="1">#REF!</definedName>
    <definedName name="SIG_EGLVB_R11" hidden="1">#REF!</definedName>
    <definedName name="SIG_EGLVB_R12" hidden="1">#REF!</definedName>
    <definedName name="SIG_EGLVB_R2" hidden="1">#REF!</definedName>
    <definedName name="SIG_EGLVB_R3" hidden="1">#REF!</definedName>
    <definedName name="SIG_EGLVB_R4" hidden="1">#REF!</definedName>
    <definedName name="SIG_EGLVB_R5" hidden="1">#REF!</definedName>
    <definedName name="SIG_EGLVB_R6" hidden="1">#REF!</definedName>
    <definedName name="SIG_EGLVB_R7" hidden="1">#REF!</definedName>
    <definedName name="SIG_EGLVB_R8" hidden="1">#REF!</definedName>
    <definedName name="SIG_EGLVB_R9" hidden="1">#REF!</definedName>
    <definedName name="SIG_EGLVB_TITLECOL" hidden="1">#REF!</definedName>
    <definedName name="SIG_EGLVB_TITLELINE" hidden="1">#REF!</definedName>
    <definedName name="SIG_EGUV_C1" hidden="1">#REF!</definedName>
    <definedName name="SIG_EGUV_C2" hidden="1">#REF!</definedName>
    <definedName name="SIG_EGUV_C3" hidden="1">#REF!</definedName>
    <definedName name="SIG_EGUV_R1" hidden="1">#REF!</definedName>
    <definedName name="SIG_EGUV_R10" hidden="1">#REF!</definedName>
    <definedName name="SIG_EGUV_R11" hidden="1">#REF!</definedName>
    <definedName name="SIG_EGUV_R12" hidden="1">#REF!</definedName>
    <definedName name="SIG_EGUV_R13" hidden="1">#REF!</definedName>
    <definedName name="SIG_EGUV_R14" hidden="1">#REF!</definedName>
    <definedName name="SIG_EGUV_R15" hidden="1">#REF!</definedName>
    <definedName name="SIG_EGUV_R16" hidden="1">#REF!</definedName>
    <definedName name="SIG_EGUV_R17" hidden="1">#REF!</definedName>
    <definedName name="SIG_EGUV_R18" hidden="1">#REF!</definedName>
    <definedName name="SIG_EGUV_R19" hidden="1">#REF!</definedName>
    <definedName name="SIG_EGUV_R2" hidden="1">#REF!</definedName>
    <definedName name="SIG_EGUV_R20" hidden="1">#REF!</definedName>
    <definedName name="SIG_EGUV_R21" hidden="1">#REF!</definedName>
    <definedName name="SIG_EGUV_R22" hidden="1">#REF!</definedName>
    <definedName name="SIG_EGUV_R23" hidden="1">#REF!</definedName>
    <definedName name="SIG_EGUV_R24" hidden="1">#REF!</definedName>
    <definedName name="SIG_EGUV_R25" hidden="1">#REF!</definedName>
    <definedName name="SIG_EGUV_R26" hidden="1">#REF!</definedName>
    <definedName name="SIG_EGUV_R27" hidden="1">#REF!</definedName>
    <definedName name="SIG_EGUV_R28" hidden="1">#REF!</definedName>
    <definedName name="SIG_EGUV_R29" hidden="1">#REF!</definedName>
    <definedName name="SIG_EGUV_R3" hidden="1">#REF!</definedName>
    <definedName name="SIG_EGUV_R30" hidden="1">#REF!</definedName>
    <definedName name="SIG_EGUV_R31" hidden="1">#REF!</definedName>
    <definedName name="SIG_EGUV_R32" hidden="1">#REF!</definedName>
    <definedName name="SIG_EGUV_R33" hidden="1">#REF!</definedName>
    <definedName name="SIG_EGUV_R34" hidden="1">#REF!</definedName>
    <definedName name="SIG_EGUV_R35" hidden="1">#REF!</definedName>
    <definedName name="SIG_EGUV_R36" hidden="1">#REF!</definedName>
    <definedName name="SIG_EGUV_R37" hidden="1">#REF!</definedName>
    <definedName name="SIG_EGUV_R38" hidden="1">#REF!</definedName>
    <definedName name="SIG_EGUV_R39" hidden="1">#REF!</definedName>
    <definedName name="SIG_EGUV_R4" hidden="1">#REF!</definedName>
    <definedName name="SIG_EGUV_R40" hidden="1">#REF!</definedName>
    <definedName name="SIG_EGUV_R41" hidden="1">#REF!</definedName>
    <definedName name="SIG_EGUV_R42" hidden="1">#REF!</definedName>
    <definedName name="SIG_EGUV_R43" hidden="1">#REF!</definedName>
    <definedName name="SIG_EGUV_R44" hidden="1">#REF!</definedName>
    <definedName name="SIG_EGUV_R45" hidden="1">#REF!</definedName>
    <definedName name="SIG_EGUV_R46" hidden="1">#REF!</definedName>
    <definedName name="SIG_EGUV_R47" hidden="1">#REF!</definedName>
    <definedName name="SIG_EGUV_R48" hidden="1">#REF!</definedName>
    <definedName name="SIG_EGUV_R49" hidden="1">#REF!</definedName>
    <definedName name="SIG_EGUV_R5" hidden="1">#REF!</definedName>
    <definedName name="SIG_EGUV_R50" hidden="1">#REF!</definedName>
    <definedName name="SIG_EGUV_R51" hidden="1">#REF!</definedName>
    <definedName name="SIG_EGUV_R52" hidden="1">#REF!</definedName>
    <definedName name="SIG_EGUV_R53" hidden="1">#REF!</definedName>
    <definedName name="SIG_EGUV_R54" hidden="1">#REF!</definedName>
    <definedName name="SIG_EGUV_R55" hidden="1">#REF!</definedName>
    <definedName name="SIG_EGUV_R56" hidden="1">#REF!</definedName>
    <definedName name="SIG_EGUV_R57" hidden="1">#REF!</definedName>
    <definedName name="SIG_EGUV_R58" hidden="1">#REF!</definedName>
    <definedName name="SIG_EGUV_R59" hidden="1">#REF!</definedName>
    <definedName name="SIG_EGUV_R6" hidden="1">#REF!</definedName>
    <definedName name="SIG_EGUV_R60" hidden="1">#REF!</definedName>
    <definedName name="SIG_EGUV_R61" hidden="1">#REF!</definedName>
    <definedName name="SIG_EGUV_R62" hidden="1">#REF!</definedName>
    <definedName name="SIG_EGUV_R63" hidden="1">#REF!</definedName>
    <definedName name="SIG_EGUV_R64" hidden="1">#REF!</definedName>
    <definedName name="SIG_EGUV_R65" hidden="1">#REF!</definedName>
    <definedName name="SIG_EGUV_R66" hidden="1">#REF!</definedName>
    <definedName name="SIG_EGUV_R67" hidden="1">#REF!</definedName>
    <definedName name="SIG_EGUV_R68" hidden="1">#REF!</definedName>
    <definedName name="SIG_EGUV_R69" hidden="1">#REF!</definedName>
    <definedName name="SIG_EGUV_R7" hidden="1">#REF!</definedName>
    <definedName name="SIG_EGUV_R70" hidden="1">#REF!</definedName>
    <definedName name="SIG_EGUV_R71" hidden="1">#REF!</definedName>
    <definedName name="SIG_EGUV_R72" hidden="1">#REF!</definedName>
    <definedName name="SIG_EGUV_R73" hidden="1">#REF!</definedName>
    <definedName name="SIG_EGUV_R74" hidden="1">#REF!</definedName>
    <definedName name="SIG_EGUV_R75" hidden="1">#REF!</definedName>
    <definedName name="SIG_EGUV_R76" hidden="1">#REF!</definedName>
    <definedName name="SIG_EGUV_R8" hidden="1">#REF!</definedName>
    <definedName name="SIG_EGUV_R9" hidden="1">#REF!</definedName>
    <definedName name="SIG_EGUV_TITLECOL" hidden="1">#REF!</definedName>
    <definedName name="SIG_EGUV_TITLELINE" hidden="1">#REF!</definedName>
    <definedName name="SIG_EGUV_X1" hidden="1">#REF!</definedName>
    <definedName name="SIG_EGUV_X10" hidden="1">#REF!</definedName>
    <definedName name="SIG_EGUV_X11" hidden="1">#REF!</definedName>
    <definedName name="SIG_EGUV_X12" hidden="1">#REF!</definedName>
    <definedName name="SIG_EGUV_X13" hidden="1">#REF!</definedName>
    <definedName name="SIG_EGUV_X14" hidden="1">#REF!</definedName>
    <definedName name="SIG_EGUV_X15" hidden="1">#REF!</definedName>
    <definedName name="SIG_EGUV_X16" hidden="1">#REF!</definedName>
    <definedName name="SIG_EGUV_X17" hidden="1">#REF!</definedName>
    <definedName name="SIG_EGUV_X18" hidden="1">#REF!</definedName>
    <definedName name="SIG_EGUV_X19" hidden="1">#REF!</definedName>
    <definedName name="SIG_EGUV_X2" hidden="1">#REF!</definedName>
    <definedName name="SIG_EGUV_X20" hidden="1">#REF!</definedName>
    <definedName name="SIG_EGUV_X21" hidden="1">#REF!</definedName>
    <definedName name="SIG_EGUV_X22" hidden="1">#REF!</definedName>
    <definedName name="SIG_EGUV_X23" hidden="1">#REF!</definedName>
    <definedName name="SIG_EGUV_X24" hidden="1">#REF!</definedName>
    <definedName name="SIG_EGUV_X25" hidden="1">#REF!</definedName>
    <definedName name="SIG_EGUV_X26" hidden="1">#REF!</definedName>
    <definedName name="SIG_EGUV_X27" hidden="1">#REF!</definedName>
    <definedName name="SIG_EGUV_X28" hidden="1">#REF!</definedName>
    <definedName name="SIG_EGUV_X29" hidden="1">#REF!</definedName>
    <definedName name="SIG_EGUV_X3" hidden="1">#REF!</definedName>
    <definedName name="SIG_EGUV_X30" hidden="1">#REF!</definedName>
    <definedName name="SIG_EGUV_X31" hidden="1">#REF!</definedName>
    <definedName name="SIG_EGUV_X32" hidden="1">#REF!</definedName>
    <definedName name="SIG_EGUV_X33" hidden="1">#REF!</definedName>
    <definedName name="SIG_EGUV_X34" hidden="1">#REF!</definedName>
    <definedName name="SIG_EGUV_X35" hidden="1">#REF!</definedName>
    <definedName name="SIG_EGUV_X36" hidden="1">#REF!</definedName>
    <definedName name="SIG_EGUV_X37" hidden="1">#REF!</definedName>
    <definedName name="SIG_EGUV_X38" hidden="1">#REF!</definedName>
    <definedName name="SIG_EGUV_X39" hidden="1">#REF!</definedName>
    <definedName name="SIG_EGUV_X4" hidden="1">#REF!</definedName>
    <definedName name="SIG_EGUV_X40" hidden="1">#REF!</definedName>
    <definedName name="SIG_EGUV_X41" hidden="1">#REF!</definedName>
    <definedName name="SIG_EGUV_X42" hidden="1">#REF!</definedName>
    <definedName name="SIG_EGUV_X43" hidden="1">#REF!</definedName>
    <definedName name="SIG_EGUV_X44" hidden="1">#REF!</definedName>
    <definedName name="SIG_EGUV_X45" hidden="1">#REF!</definedName>
    <definedName name="SIG_EGUV_X46" hidden="1">#REF!</definedName>
    <definedName name="SIG_EGUV_X47" hidden="1">#REF!</definedName>
    <definedName name="SIG_EGUV_X48" hidden="1">#REF!</definedName>
    <definedName name="SIG_EGUV_X49" hidden="1">#REF!</definedName>
    <definedName name="SIG_EGUV_X5" hidden="1">#REF!</definedName>
    <definedName name="SIG_EGUV_X50" hidden="1">#REF!</definedName>
    <definedName name="SIG_EGUV_X51" hidden="1">#REF!</definedName>
    <definedName name="SIG_EGUV_X52" hidden="1">#REF!</definedName>
    <definedName name="SIG_EGUV_X53" hidden="1">#REF!</definedName>
    <definedName name="SIG_EGUV_X54" hidden="1">#REF!</definedName>
    <definedName name="SIG_EGUV_X6" hidden="1">#REF!</definedName>
    <definedName name="SIG_EGUV_X7" hidden="1">#REF!</definedName>
    <definedName name="SIG_EGUV_X8" hidden="1">#REF!</definedName>
    <definedName name="SIG_EGUV_X9" hidden="1">#REF!</definedName>
    <definedName name="SIG_EICASP_C1" hidden="1">#REF!</definedName>
    <definedName name="SIG_EICASP_C10" hidden="1">#REF!</definedName>
    <definedName name="SIG_EICASP_C11" hidden="1">#REF!</definedName>
    <definedName name="SIG_EICASP_C12" hidden="1">#REF!</definedName>
    <definedName name="SIG_EICASP_C13" hidden="1">#REF!</definedName>
    <definedName name="SIG_EICASP_C14" hidden="1">#REF!</definedName>
    <definedName name="SIG_EICASP_C2" hidden="1">#REF!</definedName>
    <definedName name="SIG_EICASP_C3" hidden="1">#REF!</definedName>
    <definedName name="SIG_EICASP_C4" hidden="1">#REF!</definedName>
    <definedName name="SIG_EICASP_C5" hidden="1">#REF!</definedName>
    <definedName name="SIG_EICASP_C6" hidden="1">#REF!</definedName>
    <definedName name="SIG_EICASP_C7" hidden="1">#REF!</definedName>
    <definedName name="SIG_EICASP_C8" hidden="1">#REF!</definedName>
    <definedName name="SIG_EICASP_C9" hidden="1">#REF!</definedName>
    <definedName name="SIG_EICASP_ROWVENT" hidden="1">#REF!</definedName>
    <definedName name="SIG_EICASP_TITLELINE" hidden="1">#REF!</definedName>
    <definedName name="SIG_EICBIL_C1" hidden="1">#REF!</definedName>
    <definedName name="SIG_EICBIL_C2" hidden="1">#REF!</definedName>
    <definedName name="SIG_EICBIL_C3" hidden="1">#REF!</definedName>
    <definedName name="SIG_EICBIL_C4" hidden="1">#REF!</definedName>
    <definedName name="SIG_EICBIL_C5" hidden="1">#REF!</definedName>
    <definedName name="SIG_EICBIL_C6" hidden="1">#REF!</definedName>
    <definedName name="SIG_EICBIL_C7" hidden="1">#REF!</definedName>
    <definedName name="SIG_EICBIL_ROWVENT" hidden="1">#REF!</definedName>
    <definedName name="SIG_EICBIL_TITLELINE" hidden="1">#REF!</definedName>
    <definedName name="SIG_EICGVAUF_C1" hidden="1">#REF!</definedName>
    <definedName name="SIG_EICGVAUF_C10" hidden="1">#REF!</definedName>
    <definedName name="SIG_EICGVAUF_C11" hidden="1">#REF!</definedName>
    <definedName name="SIG_EICGVAUF_C12" hidden="1">#REF!</definedName>
    <definedName name="SIG_EICGVAUF_C13" hidden="1">#REF!</definedName>
    <definedName name="SIG_EICGVAUF_C14" hidden="1">#REF!</definedName>
    <definedName name="SIG_EICGVAUF_C15" hidden="1">#REF!</definedName>
    <definedName name="SIG_EICGVAUF_C16" hidden="1">#REF!</definedName>
    <definedName name="SIG_EICGVAUF_C17" hidden="1">#REF!</definedName>
    <definedName name="SIG_EICGVAUF_C18" hidden="1">#REF!</definedName>
    <definedName name="SIG_EICGVAUF_C19" hidden="1">#REF!</definedName>
    <definedName name="SIG_EICGVAUF_C2" hidden="1">#REF!</definedName>
    <definedName name="SIG_EICGVAUF_C20" hidden="1">#REF!</definedName>
    <definedName name="SIG_EICGVAUF_C21" hidden="1">#REF!</definedName>
    <definedName name="SIG_EICGVAUF_C3" hidden="1">#REF!</definedName>
    <definedName name="SIG_EICGVAUF_C4" hidden="1">#REF!</definedName>
    <definedName name="SIG_EICGVAUF_C5" hidden="1">#REF!</definedName>
    <definedName name="SIG_EICGVAUF_C6" hidden="1">#REF!</definedName>
    <definedName name="SIG_EICGVAUF_C7" hidden="1">#REF!</definedName>
    <definedName name="SIG_EICGVAUF_C8" hidden="1">#REF!</definedName>
    <definedName name="SIG_EICGVAUF_C9" hidden="1">#REF!</definedName>
    <definedName name="SIG_EICGVAUF_ROWVENT" hidden="1">#REF!</definedName>
    <definedName name="SIG_EICGVAUF_TITLELINE" hidden="1">#REF!</definedName>
    <definedName name="SIG_EICGVBET_C1" hidden="1">#REF!</definedName>
    <definedName name="SIG_EICGVBET_C2" hidden="1">#REF!</definedName>
    <definedName name="SIG_EICGVBET_C3" hidden="1">#REF!</definedName>
    <definedName name="SIG_EICGVBET_C4" hidden="1">#REF!</definedName>
    <definedName name="SIG_EICGVBET_C5" hidden="1">#REF!</definedName>
    <definedName name="SIG_EICGVBET_C6" hidden="1">#REF!</definedName>
    <definedName name="SIG_EICGVBET_C7" hidden="1">#REF!</definedName>
    <definedName name="SIG_EICGVBET_C8" hidden="1">#REF!</definedName>
    <definedName name="SIG_EICGVBET_ROWVENT" hidden="1">#REF!</definedName>
    <definedName name="SIG_EICGVBET_TITLELINE" hidden="1">#REF!</definedName>
    <definedName name="SIG_EICGVERT_C1" hidden="1">#REF!</definedName>
    <definedName name="SIG_EICGVERT_C2" hidden="1">#REF!</definedName>
    <definedName name="SIG_EICGVERT_C3" hidden="1">#REF!</definedName>
    <definedName name="SIG_EICGVERT_C4" hidden="1">#REF!</definedName>
    <definedName name="SIG_EICGVERT_C5" hidden="1">#REF!</definedName>
    <definedName name="SIG_EICGVERT_C6" hidden="1">#REF!</definedName>
    <definedName name="SIG_EICGVERT_C7" hidden="1">#REF!</definedName>
    <definedName name="SIG_EICGVERT_C8" hidden="1">#REF!</definedName>
    <definedName name="SIG_EICGVERT_C9" hidden="1">#REF!</definedName>
    <definedName name="SIG_EICGVERT_ROWVENT" hidden="1">#REF!</definedName>
    <definedName name="SIG_EICGVERT_TITLELINE" hidden="1">#REF!</definedName>
    <definedName name="SIG_EICGVZIN_C1" hidden="1">#REF!</definedName>
    <definedName name="SIG_EICGVZIN_C2" hidden="1">#REF!</definedName>
    <definedName name="SIG_EICGVZIN_C3" hidden="1">#REF!</definedName>
    <definedName name="SIG_EICGVZIN_C4" hidden="1">#REF!</definedName>
    <definedName name="SIG_EICGVZIN_C5" hidden="1">#REF!</definedName>
    <definedName name="SIG_EICGVZIN_C6" hidden="1">#REF!</definedName>
    <definedName name="SIG_EICGVZIN_C7" hidden="1">#REF!</definedName>
    <definedName name="SIG_EICGVZIN_C8" hidden="1">#REF!</definedName>
    <definedName name="SIG_EICGVZIN_ROWVENT" hidden="1">#REF!</definedName>
    <definedName name="SIG_EICGVZIN_TITLELINE" hidden="1">#REF!</definedName>
    <definedName name="SIG_LngApp" hidden="1">#REF!</definedName>
    <definedName name="SIG_PA_firstLine" hidden="1">#N/A</definedName>
    <definedName name="SIG_PA_IsControlOK" hidden="1">#N/A</definedName>
    <definedName name="SIG_PA_lastLine" hidden="1">#N/A</definedName>
    <definedName name="SIG_PA_TITLECOL" hidden="1">#N/A</definedName>
    <definedName name="SIG_PA_TITLELINE" hidden="1">#N/A</definedName>
    <definedName name="SIG_PTBD_AC" hidden="1">#N/A</definedName>
    <definedName name="SIG_PTBD_EFFECTV" hidden="1">#REF!</definedName>
    <definedName name="SIG_PTBD_PA" hidden="1">#N/A</definedName>
    <definedName name="SIG_PTHG_AC" hidden="1">#N/A</definedName>
    <definedName name="SIG_PTHG_EFFECTV" hidden="1">#REF!</definedName>
    <definedName name="SIG_PTHG_PA" hidden="1">#N/A</definedName>
    <definedName name="SIIII" hidden="1">{"FY97Q1 var",#N/A,FALSE,"FY97 - Q1";"FY97Q2 var",#N/A,FALSE,"FY97 - Q2";"FY97Q3 var",#N/A,FALSE,"FY97 - Q3";"FY97Q4 var",#N/A,FALSE,"FY97 - Q4"}</definedName>
    <definedName name="sim" hidden="1">{"'Data'!$A$1:$D$17"}</definedName>
    <definedName name="Site" hidden="1">{#N/A,#N/A,FALSE,"단축1";#N/A,#N/A,FALSE,"단축2";#N/A,#N/A,FALSE,"단축3";#N/A,#N/A,FALSE,"장축";#N/A,#N/A,FALSE,"4WD"}</definedName>
    <definedName name="SJ" hidden="1">TEXT(SJE,"TT.MM.JJJJ")</definedName>
    <definedName name="sjdjsrtjas" hidden="1">{#N/A,#N/A,FALSE,"INPUTS";#N/A,#N/A,FALSE,"PROFORMA BSHEET";#N/A,#N/A,FALSE,"COMBINED";#N/A,#N/A,FALSE,"ACQUIROR";#N/A,#N/A,FALSE,"TARGET 1";#N/A,#N/A,FALSE,"TARGET 2";#N/A,#N/A,FALSE,"HIGH YIELD";#N/A,#N/A,FALSE,"OVERFUND"}</definedName>
    <definedName name="SJE" hidden="1">40451</definedName>
    <definedName name="SJK" hidden="1">TEXT(SJE,"T.M.JJJJ")</definedName>
    <definedName name="sjksgjj"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jsjr" hidden="1">{#N/A,#N/A,FALSE,"INPUTS";#N/A,#N/A,FALSE,"PROFORMA BSHEET";#N/A,#N/A,FALSE,"COMBINED";#N/A,#N/A,FALSE,"HIGH YIELD";#N/A,#N/A,FALSE,"COMB_GRAPHS"}</definedName>
    <definedName name="sjsjsrtjs" hidden="1">{#N/A,#N/A,FALSE,"INPUTS";#N/A,#N/A,FALSE,"PROFORMA BSHEET";#N/A,#N/A,FALSE,"COMBINED";#N/A,#N/A,FALSE,"HIGH YIELD";#N/A,#N/A,FALSE,"COMB_GRAPHS"}</definedName>
    <definedName name="sjsrthsrtnds" hidden="1">{#N/A,#N/A,FALSE,"INPUTS";#N/A,#N/A,FALSE,"PROFORMA BSHEET";#N/A,#N/A,FALSE,"COMBINED";#N/A,#N/A,FALSE,"ACQUIROR";#N/A,#N/A,FALSE,"TARGET 1";#N/A,#N/A,FALSE,"TARGET 2";#N/A,#N/A,FALSE,"HIGH YIELD";#N/A,#N/A,FALSE,"OVERFUND"}</definedName>
    <definedName name="sk" hidden="1">"1, 3, 1, False, 2, False, False, , 0, False, True, 3, 2"</definedName>
    <definedName name="skdjfh" hidden="1">{#N/A,#N/A,FALSE,"Assumptions";#N/A,#N/A,FALSE,"Volumes";#N/A,#N/A,FALSE,"Pricing";#N/A,#N/A,FALSE,"Variable Cost";#N/A,#N/A,FALSE,"Investment";#N/A,#N/A,FALSE,"Profitability";#N/A,#N/A,FALSE,"Business Comparison"}</definedName>
    <definedName name="sksdidike" hidden="1">{"printfs",#N/A,TRUE,"FS";"printdues",#N/A,TRUE,"DUES";"printlab",#N/A,TRUE,"LAB";"printsls",#N/A,TRUE,"SLS";"prints1",#N/A,TRUE,"S1";"printceo",#N/A,TRUE,"CEO";"printdepr",#N/A,TRUE,"DEPR";"Printsw",#N/A,TRUE,"SW";"printrtl",#N/A,TRUE,"RTL";"printgst",#N/A,TRUE,"GST";"printinst",#N/A,TRUE,"INST";"printstg",#N/A,TRUE,"STG";"printevts",#N/A,TRUE,"EVTS"}</definedName>
    <definedName name="skstysjs" hidden="1">{#N/A,#N/A,FALSE,"INPUTS";#N/A,#N/A,FALSE,"PROFORMA BSHEET";#N/A,#N/A,FALSE,"COMBINED";#N/A,#N/A,FALSE,"ACQUIROR";#N/A,#N/A,FALSE,"TARGET 1";#N/A,#N/A,FALSE,"TARGET 2";#N/A,#N/A,FALSE,"HIGH YIELD";#N/A,#N/A,FALSE,"OVERFUND"}</definedName>
    <definedName name="skyline" hidden="1">{#N/A,#N/A,FALSE,"Total";#N/A,#N/A,FALSE,"Engg";#N/A,#N/A,FALSE,"Manf";#N/A,#N/A,FALSE,"Proc";#N/A,#N/A,FALSE,"CAEL";#N/A,#N/A,FALSE,"MAEL";#N/A,#N/A,FALSE,"AESL";#N/A,#N/A,FALSE,"AeHQ";#N/A,#N/A,FALSE,"AeHQFin";#N/A,#N/A,FALSE,"AeHQPer";#N/A,#N/A,FALSE,"AeHQCHQ";#N/A,#N/A,FALSE,"PlcHQ";#N/A,#N/A,FALSE,"PlcHQFin";#N/A,#N/A,FALSE,"PlcHQPer";#N/A,#N/A,FALSE,"PlcHQCHQ";#N/A,#N/A,FALSE,"Initiatives"}</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j" hidden="1">{#N/A,#N/A,FALSE,"mfg - consol";#N/A,#N/A,FALSE,"mfg - flo";#N/A,#N/A,FALSE,"mfg - lindsay"}</definedName>
    <definedName name="slkdf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mart_Chart_Data_Table_6010fe52dc6949eda305510d7a73b160" hidden="1">#REF!</definedName>
    <definedName name="Smart_Chart_Data_Table_61324844fa284ecd9cab6aafc138a125" hidden="1">#REF!</definedName>
    <definedName name="smk" hidden="1">{"QTD_GENERALH2",#N/A,FALSE,"QTD"}</definedName>
    <definedName name="smnamn" hidden="1">{#N/A,#N/A,FALSE,"ACQ_GRAPHS";#N/A,#N/A,FALSE,"T_1 GRAPHS";#N/A,#N/A,FALSE,"T_2 GRAPHS";#N/A,#N/A,FALSE,"COMB_GRAPHS"}</definedName>
    <definedName name="snsfgsgha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so"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BetrErloese" hidden="1">#REF!</definedName>
    <definedName name="SoBetrErloese_" hidden="1">#REF!</definedName>
    <definedName name="SoBetrErloeseK" hidden="1">#REF!</definedName>
    <definedName name="SoBetrErloeseM" hidden="1">#REF!</definedName>
    <definedName name="SoBetrErloeseN" hidden="1">#REF!</definedName>
    <definedName name="södalfkjösdaklfj" hidden="1">{#N/A,#N/A,FALSE,"Index";#N/A,#N/A,FALSE,"1.1";#N/A,#N/A,FALSE,"Scenario Summary"}</definedName>
    <definedName name="Sofo_Auto_GEZ"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leIsFemale" hidden="1">#REF!</definedName>
    <definedName name="solo" hidden="1">{#N/A,#N/A,FALSE,"Cover";"Bal 1",#N/A,FALSE,"Balance Sheet";"Inc 1",#N/A,FALSE,"Income Statement";"CF 1",#N/A,FALSE,"Cashflow";"Bal 2",#N/A,FALSE,"Balance Sheet";"Inc 2",#N/A,FALSE,"Income Statement";"CF 2",#N/A,FALSE,"Cashflow";"Other 1",#N/A,FALSE,"Additional Info"}</definedName>
    <definedName name="solver_adj" hidden="1">#REF!</definedName>
    <definedName name="solver_cvg" hidden="1">0.001</definedName>
    <definedName name="solver_drv" hidden="1">1</definedName>
    <definedName name="solver_eng"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ldobj" hidden="1">1543721.6579517</definedName>
    <definedName name="solver_opt" hidden="1">#REF!</definedName>
    <definedName name="solver_pre" hidden="1">0.000001</definedName>
    <definedName name="solver_rel1" hidden="1">1</definedName>
    <definedName name="solver_rel10" hidden="1">3</definedName>
    <definedName name="solver_rel11" hidden="1">3</definedName>
    <definedName name="solver_rel12" hidden="1">3</definedName>
    <definedName name="solver_rel13" hidden="1">3</definedName>
    <definedName name="solver_rel14" hidden="1">3</definedName>
    <definedName name="solver_rel15" hidden="1">1</definedName>
    <definedName name="solver_rel16" hidden="1">3</definedName>
    <definedName name="solver_rel17" hidden="1">3</definedName>
    <definedName name="solver_rel18" hidden="1">3</definedName>
    <definedName name="solver_rel19" hidden="1">1</definedName>
    <definedName name="solver_rel2" hidden="1">1</definedName>
    <definedName name="solver_rel20" hidden="1">3</definedName>
    <definedName name="solver_rel21" hidden="1">3</definedName>
    <definedName name="solver_rel22" hidden="1">3</definedName>
    <definedName name="solver_rel23" hidden="1">1</definedName>
    <definedName name="solver_rel24" hidden="1">3</definedName>
    <definedName name="solver_rel25" hidden="1">1</definedName>
    <definedName name="solver_rel26" hidden="1">3</definedName>
    <definedName name="solver_rel27" hidden="1">1</definedName>
    <definedName name="solver_rel28" hidden="1">3</definedName>
    <definedName name="solver_rel29" hidden="1">1</definedName>
    <definedName name="solver_rel3" hidden="1">1</definedName>
    <definedName name="solver_rel30" hidden="1">3</definedName>
    <definedName name="solver_rel31" hidden="1">1</definedName>
    <definedName name="solver_rel32" hidden="1">3</definedName>
    <definedName name="solver_rel33" hidden="1">1</definedName>
    <definedName name="solver_rel34" hidden="1">3</definedName>
    <definedName name="solver_rel35" hidden="1">3</definedName>
    <definedName name="solver_rel36" hidden="1">3</definedName>
    <definedName name="solver_rel37" hidden="1">3</definedName>
    <definedName name="solver_rel38" hidden="1">3</definedName>
    <definedName name="solver_rel39" hidden="1">3</definedName>
    <definedName name="solver_rel4" hidden="1">4</definedName>
    <definedName name="solver_rel40" hidden="1">3</definedName>
    <definedName name="solver_rel41" hidden="1">2</definedName>
    <definedName name="solver_rel42" hidden="1">2</definedName>
    <definedName name="solver_rel43" hidden="1">2</definedName>
    <definedName name="solver_rel44" hidden="1">2</definedName>
    <definedName name="solver_rel45" hidden="1">2</definedName>
    <definedName name="solver_rel5" hidden="1">4</definedName>
    <definedName name="solver_rel6" hidden="1">4</definedName>
    <definedName name="solver_rel7" hidden="1">3</definedName>
    <definedName name="solver_rel8" hidden="1">3</definedName>
    <definedName name="solver_rel9" hidden="1">1</definedName>
    <definedName name="solver_rhs1" hidden="1">0.15</definedName>
    <definedName name="solver_rhs10" hidden="1">0.15</definedName>
    <definedName name="solver_rhs11" hidden="1">0.15</definedName>
    <definedName name="solver_rhs12" hidden="1">0.15</definedName>
    <definedName name="solver_rhs13" hidden="1">0.15</definedName>
    <definedName name="solver_rhs14" hidden="1">0.15</definedName>
    <definedName name="solver_rhs15" hidden="1">0.25</definedName>
    <definedName name="solver_rhs16" hidden="1">0.15</definedName>
    <definedName name="solver_rhs17" hidden="1">0.15</definedName>
    <definedName name="solver_rhs18" hidden="1">0.15</definedName>
    <definedName name="solver_rhs19" hidden="1">0.25</definedName>
    <definedName name="solver_rhs2" hidden="1">15</definedName>
    <definedName name="solver_rhs20" hidden="1">0.15</definedName>
    <definedName name="solver_rhs21" hidden="1">0.15</definedName>
    <definedName name="solver_rhs22" hidden="1">0.15</definedName>
    <definedName name="solver_rhs23" hidden="1">0.25</definedName>
    <definedName name="solver_rhs24" hidden="1">0.15</definedName>
    <definedName name="solver_rhs25" hidden="1">950</definedName>
    <definedName name="solver_rhs26" hidden="1">-950</definedName>
    <definedName name="solver_rhs27" hidden="1">950</definedName>
    <definedName name="solver_rhs28" hidden="1">-950</definedName>
    <definedName name="solver_rhs29" hidden="1">950</definedName>
    <definedName name="solver_rhs3" hidden="1">15</definedName>
    <definedName name="solver_rhs30" hidden="1">-950</definedName>
    <definedName name="solver_rhs31" hidden="1">950</definedName>
    <definedName name="solver_rhs32" hidden="1">-950</definedName>
    <definedName name="solver_rhs33" hidden="1">950</definedName>
    <definedName name="solver_rhs34" hidden="1">0</definedName>
    <definedName name="solver_rhs35" hidden="1">0</definedName>
    <definedName name="solver_rhs36" hidden="1">0</definedName>
    <definedName name="solver_rhs37" hidden="1">0</definedName>
    <definedName name="solver_rhs38" hidden="1">0</definedName>
    <definedName name="solver_rhs39" hidden="1">0</definedName>
    <definedName name="solver_rhs40" hidden="1">0</definedName>
    <definedName name="solver_rhs41" hidden="1">TRUE</definedName>
    <definedName name="solver_rhs42" hidden="1">TRUE</definedName>
    <definedName name="solver_rhs43" hidden="1">TRUE</definedName>
    <definedName name="solver_rhs44" hidden="1">TRUE</definedName>
    <definedName name="solver_rhs45" hidden="1">TRUE</definedName>
    <definedName name="solver_rhs5" hidden="1">0.1</definedName>
    <definedName name="solver_rhs7" hidden="1">0.15</definedName>
    <definedName name="solver_rhs8" hidden="1">0.2</definedName>
    <definedName name="solver_rhs9" hidden="1">0.25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3</definedName>
    <definedName name="solver_val" hidden="1">0.6</definedName>
    <definedName name="Sommer"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onstAuszahlungen" hidden="1">#REF!</definedName>
    <definedName name="SonstAuszahlungen_" hidden="1">#REF!</definedName>
    <definedName name="SonstAuszahlungenN" hidden="1">#REF!</definedName>
    <definedName name="SonstEinzahlungen" hidden="1">#REF!</definedName>
    <definedName name="SonstEinzahlungen_" hidden="1">#REF!</definedName>
    <definedName name="SonstEinzahlungenN" hidden="1">#REF!</definedName>
    <definedName name="SonstKo" hidden="1">{"budget95",#N/A,TRUE,"Tabelle1";"Tab1",#N/A,TRUE,"Tabelle2"}</definedName>
    <definedName name="SonstNeutrAufw" hidden="1">#REF!</definedName>
    <definedName name="SonstNeutrAufw_" hidden="1">#REF!</definedName>
    <definedName name="SonstNeutrAufwK" hidden="1">#REF!</definedName>
    <definedName name="SonstNeutrAufwM" hidden="1">#REF!</definedName>
    <definedName name="SonstNeutrAufwN" hidden="1">#REF!</definedName>
    <definedName name="SonstNeutrErtr" hidden="1">#REF!</definedName>
    <definedName name="SonstNeutrErtr_" hidden="1">#REF!</definedName>
    <definedName name="SonstNeutrErtrK" hidden="1">#REF!</definedName>
    <definedName name="SonstNeutrErtrM" hidden="1">#REF!</definedName>
    <definedName name="SonstNeutrErtrN" hidden="1">#REF!</definedName>
    <definedName name="sort1" hidden="1">#REF!</definedName>
    <definedName name="SortV2" hidden="1">#REF!</definedName>
    <definedName name="sp" hidden="1">{"dcfsummary",#N/A,FALSE,"NHY - DCF Valuation";"agriculture",#N/A,FALSE,"NHY - DCF Valuation";"oilgas",#N/A,FALSE,"NHY - DCF Valuation";"oilgastot",#N/A,FALSE,"NHY - DCF Valuation";"lightmetals",#N/A,FALSE,"NHY - DCF Valuation";"petrochemicals",#N/A,FALSE,"NHY - DCF Valuation";"other",#N/A,FALSE,"NHY - DCF Valuation"}</definedName>
    <definedName name="SP_EXCEL_LINK_b3e8cbbaa3e4490e9b5212f139b8b19b" hidden="1">#REF!</definedName>
    <definedName name="SPE" hidden="1">{#N/A,#N/A,TRUE,"PSG Total Contacts";#N/A,#N/A,TRUE,"PSG Rep Total";#N/A,#N/A,TRUE,"Core Rep Detail";#N/A,#N/A,TRUE,"BC Rep Detail";#N/A,#N/A,TRUE,"Marlboro";#N/A,#N/A,TRUE,"Covington";#N/A,#N/A,TRUE,"Dallas";#N/A,#N/A,TRUE,"VRS Stats";#N/A,#N/A,TRUE,"Internet";#N/A,#N/A,TRUE,"NCO and Call Mix";#N/A,#N/A,TRUE,"VRS &amp; Rep Calls"}</definedName>
    <definedName name="SPEC2" hidden="1">{#N/A,#N/A,FALSE,"단축1";#N/A,#N/A,FALSE,"단축2";#N/A,#N/A,FALSE,"단축3";#N/A,#N/A,FALSE,"장축";#N/A,#N/A,FALSE,"4WD"}</definedName>
    <definedName name="SPEC22" hidden="1">{#N/A,#N/A,FALSE,"단축1";#N/A,#N/A,FALSE,"단축2";#N/A,#N/A,FALSE,"단축3";#N/A,#N/A,FALSE,"장축";#N/A,#N/A,FALSE,"4WD"}</definedName>
    <definedName name="SpecialPrice" hidden="1">#REF!</definedName>
    <definedName name="Spenden" hidden="1">#REF!</definedName>
    <definedName name="Spenden_" hidden="1">#REF!</definedName>
    <definedName name="SpendenN" hidden="1">#REF!</definedName>
    <definedName name="spk" hidden="1">{#N/A,#N/A,FALSE,"Assumptions";#N/A,#N/A,FALSE,"Volumes";#N/A,#N/A,FALSE,"Pricing";#N/A,#N/A,FALSE,"Variable Cost";#N/A,#N/A,FALSE,"Investment";#N/A,#N/A,FALSE,"Profitability";#N/A,#N/A,FALSE,"Business Comparison"}</definedName>
    <definedName name="SPLIT" hidden="1">{#N/A,#N/A,FALSE,"단축1";#N/A,#N/A,FALSE,"단축2";#N/A,#N/A,FALSE,"단축3";#N/A,#N/A,FALSE,"장축";#N/A,#N/A,FALSE,"4WD"}</definedName>
    <definedName name="sppers" hidden="1">{"budget95",#N/A,TRUE,"Tabelle1";"Tab1",#N/A,TRUE,"Tabelle2"}</definedName>
    <definedName name="SpreadsheetBuilder_2" hidden="1">#REF!</definedName>
    <definedName name="SPWD" hidden="1">"pepsico"</definedName>
    <definedName name="SQ" localSheetId="55" hidden="1">{#N/A,#N/A,FALSE,"SKG_SC";#N/A,#N/A,FALSE,"SKG_KP";#N/A,#N/A,FALSE,"SCG_KC";#N/A,#N/A,FALSE,"SKG_PM";#N/A,#N/A,FALSE,"SKG_Asta";#N/A,#N/A,FALSE,"SKG_DE";#N/A,#N/A,FALSE,"SKG_FA";#N/A,#N/A,FALSE,"SKG_EM";#N/A,#N/A,FALSE,"SKG_AK";#N/A,#N/A,FALSE,"SKG_CER";#N/A,#N/A,FALSE,"SKG_BA";#N/A,#N/A,FALSE,"SKG_KO"}</definedName>
    <definedName name="SQ" hidden="1">{#N/A,#N/A,FALSE,"SKG_SC";#N/A,#N/A,FALSE,"SKG_KP";#N/A,#N/A,FALSE,"SCG_KC";#N/A,#N/A,FALSE,"SKG_PM";#N/A,#N/A,FALSE,"SKG_Asta";#N/A,#N/A,FALSE,"SKG_DE";#N/A,#N/A,FALSE,"SKG_FA";#N/A,#N/A,FALSE,"SKG_EM";#N/A,#N/A,FALSE,"SKG_AK";#N/A,#N/A,FALSE,"SKG_CER";#N/A,#N/A,FALSE,"SKG_BA";#N/A,#N/A,FALSE,"SKG_KO"}</definedName>
    <definedName name="sr" hidden="1">{#N/A,#N/A,FALSE,"Bl. 1";#N/A,#N/A,FALSE,"Bl. 2";#N/A,#N/A,FALSE,"Bl. 3";#N/A,#N/A,FALSE,"Bl. 4";#N/A,#N/A,FALSE,"Bl. 6";#N/A,#N/A,FALSE,"Bl. 7";#N/A,#N/A,FALSE,"BL. 8";#N/A,#N/A,FALSE,"Bl. 9";#N/A,#N/A,FALSE,"Bl. 10";#N/A,#N/A,FALSE,"Bl. 12"}</definedName>
    <definedName name="sre" hidden="1">{"vol data",#N/A,FALSE,"Datasheet";"vol graph",#N/A,FALSE,"Volume";"price data",#N/A,FALSE,"Datasheet";"price graph",#N/A,FALSE,"Price";"dp data",#N/A,FALSE,"Datasheet";"dp graph",#N/A,FALSE,"DirectProfit"}</definedName>
    <definedName name="sreserhst" hidden="1">{#N/A,#N/A,FALSE,"INPUTS";#N/A,#N/A,FALSE,"PROFORMA BSHEET";#N/A,#N/A,FALSE,"COMBINED";#N/A,#N/A,FALSE,"HIGH YIELD";#N/A,#N/A,FALSE,"COMB_GRAPHS"}</definedName>
    <definedName name="SREUYSRHY" hidden="1">{"'Demand Units'!$X$11:$AD$45"}</definedName>
    <definedName name="srfs" hidden="1">{"FY97Q1",#N/A,FALSE,"FY97 - Q1";"FY97Q2",#N/A,FALSE,"FY97 - Q2";"FY97Q3",#N/A,FALSE,"FY97 - Q3";"FY97Q4",#N/A,FALSE,"FY97 - Q4"}</definedName>
    <definedName name="srgjsgjsjs" hidden="1">{#N/A,#N/A,FALSE,"ACQ_GRAPHS";#N/A,#N/A,FALSE,"T_1 GRAPHS";#N/A,#N/A,FALSE,"T_2 GRAPHS";#N/A,#N/A,FALSE,"COMB_GRAPHS"}</definedName>
    <definedName name="srgjsrg" hidden="1">{"vi1",#N/A,FALSE,"Financial Statements";"vi2",#N/A,FALSE,"Financial Statements";#N/A,#N/A,FALSE,"DCF"}</definedName>
    <definedName name="srhser" hidden="1">{#N/A,#N/A,FALSE,"ACQ_GRAPHS";#N/A,#N/A,FALSE,"T_1 GRAPHS";#N/A,#N/A,FALSE,"T_2 GRAPHS";#N/A,#N/A,FALSE,"COMB_GRAPHS"}</definedName>
    <definedName name="srhsjsrtjs" hidden="1">{#N/A,#N/A,FALSE,"ACQ_GRAPHS";#N/A,#N/A,FALSE,"T_1 GRAPHS";#N/A,#N/A,FALSE,"T_2 GRAPHS";#N/A,#N/A,FALSE,"COMB_GRAPHS"}</definedName>
    <definedName name="SRHYTWH" hidden="1">{"'Demand Units'!$X$11:$AD$45"}</definedName>
    <definedName name="srjgjsrjg" hidden="1">{"vi1",#N/A,FALSE,"Financial Statements";"vi2",#N/A,FALSE,"Financial Statements";#N/A,#N/A,FALSE,"DCF"}</definedName>
    <definedName name="srnsgjsj" hidden="1">{"vi1",#N/A,FALSE,"Financial Statements";"vi2",#N/A,FALSE,"Financial Statements";#N/A,#N/A,FALSE,"DCF"}</definedName>
    <definedName name="SRTHRWHY" hidden="1">{"'Demand Units'!$X$11:$AD$45"}</definedName>
    <definedName name="srtjsrtjsrt" hidden="1">{#N/A,#N/A,FALSE,"INPUTS";#N/A,#N/A,FALSE,"PROFORMA BSHEET";#N/A,#N/A,FALSE,"COMBINED";#N/A,#N/A,FALSE,"ACQUIROR";#N/A,#N/A,FALSE,"TARGET 1";#N/A,#N/A,FALSE,"TARGET 2";#N/A,#N/A,FALSE,"HIGH YIELD";#N/A,#N/A,FALSE,"OVERFUND"}</definedName>
    <definedName name="srtjsrtjsrtjs" hidden="1">{#N/A,#N/A,FALSE,"ACQ_GRAPHS";#N/A,#N/A,FALSE,"T_1 GRAPHS";#N/A,#N/A,FALSE,"T_2 GRAPHS";#N/A,#N/A,FALSE,"COMB_GRAPHS"}</definedName>
    <definedName name="SRTUWHSBWR" hidden="1">{"'Demand Units'!$X$11:$AD$45"}</definedName>
    <definedName name="SRTUYRHT" hidden="1">{"'Demand Units'!$X$11:$AD$45"}</definedName>
    <definedName name="srtzstrz" hidden="1">{#N/A,#N/A,FALSE,"Finanzbedarsrechnung"}</definedName>
    <definedName name="ssadfas" hidden="1">{"cap_structure",#N/A,FALSE,"Graph-Mkt Cap";"price",#N/A,FALSE,"Graph-Price";"ebit",#N/A,FALSE,"Graph-EBITDA";"ebitda",#N/A,FALSE,"Graph-EBITDA"}</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asa" hidden="1">{#N/A,#N/A,FALSE,"Performance Flash Report"}</definedName>
    <definedName name="SSD" hidden="1">{#N/A,#N/A,FALSE,"REPORT"}</definedName>
    <definedName name="ssdsd" hidden="1">{"'Demand Units'!$Z$2:$AF$53"}</definedName>
    <definedName name="sse" hidden="1">{"YD GENERALH2",#N/A,FALSE,"YTD"}</definedName>
    <definedName name="sss" hidden="1">{#N/A,#N/A,FALSE,"Fluktuation TSI"}</definedName>
    <definedName name="sss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1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1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1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1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1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2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2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2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2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2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3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3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3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3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3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4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4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4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4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4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5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5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5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5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_5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ssss" hidden="1">{#N/A,#N/A,FALSE,"mfg - consol";#N/A,#N/A,FALSE,"mfg - flo";#N/A,#N/A,FALSE,"mfg - lindsay"}</definedName>
    <definedName name="SSSSS" hidden="1">{#N/A,#N/A,TRUE,"Cover sheet";#N/A,#N/A,TRUE,"Summary";#N/A,#N/A,TRUE,"Key Assumptions";#N/A,#N/A,TRUE,"Profit &amp; Loss";#N/A,#N/A,TRUE,"Balance Sheet";#N/A,#N/A,TRUE,"Cashflow";#N/A,#N/A,TRUE,"IRR";#N/A,#N/A,TRUE,"Ratios";#N/A,#N/A,TRUE,"Debt analysis"}</definedName>
    <definedName name="ssssss" hidden="1">Main.SAPF4Help()</definedName>
    <definedName name="sssssss" hidden="1">{"fleisch",#N/A,FALSE,"WG HK";"food",#N/A,FALSE,"WG HK";"hartwaren",#N/A,FALSE,"WG HK";"weichwaren",#N/A,FALSE,"WG HK"}</definedName>
    <definedName name="ssssssss" hidden="1">{#N/A,#N/A,FALSE,"IPO";#N/A,#N/A,FALSE,"DCF";#N/A,#N/A,FALSE,"LBO";#N/A,#N/A,FALSE,"MULT_VAL";#N/A,#N/A,FALSE,"Status Quo";#N/A,#N/A,FALSE,"Recap"}</definedName>
    <definedName name="sssssssssssss" hidden="1">{"general",#N/A,FALSE,"Assumptions"}</definedName>
    <definedName name="sssssssssssssssss" hidden="1">{"detail",#N/A,FALSE,"mfg";"summary",#N/A,FALSE,"mfg"}</definedName>
    <definedName name="sssswwww" hidden="1">{#N/A,"PURCHM",FALSE,"Business Analysis";#N/A,"SPADD",FALSE,"Business Analysis"}</definedName>
    <definedName name="ssws"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ssww"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staffing2" hidden="1">{#N/A,#N/A,FALSE,"Assessment";#N/A,#N/A,FALSE,"Staffing";#N/A,#N/A,FALSE,"Hires";#N/A,#N/A,FALSE,"Assumptions"}</definedName>
    <definedName name="Staffing3" hidden="1">{#N/A,#N/A,FALSE,"Assessment";#N/A,#N/A,FALSE,"Staffing";#N/A,#N/A,FALSE,"Hires";#N/A,#N/A,FALSE,"Assumptions"}</definedName>
    <definedName name="stages" hidden="1">{#N/A,#N/A,TRUE,"PSG Total Contacts";#N/A,#N/A,TRUE,"PSG Rep Total";#N/A,#N/A,TRUE,"Core Rep Detail";#N/A,#N/A,TRUE,"BC Rep Detail";#N/A,#N/A,TRUE,"Marlboro";#N/A,#N/A,TRUE,"Covington";#N/A,#N/A,TRUE,"Dallas";#N/A,#N/A,TRUE,"VRS Stats";#N/A,#N/A,TRUE,"Internet";#N/A,#N/A,TRUE,"NCO and Call Mix";#N/A,#N/A,TRUE,"VRS &amp; Rep Calls"}</definedName>
    <definedName name="Staril" hidden="1">{#N/A,#N/A,FALSE,"REPORT"}</definedName>
    <definedName name="StartSearchForDataRange" hidden="1">INDIRECT("s1")</definedName>
    <definedName name="STATE" hidden="1">"STATE"</definedName>
    <definedName name="stef" hidden="1">{#N/A,#N/A,TRUE,"Cover sheet";#N/A,#N/A,TRUE,"Summary";#N/A,#N/A,TRUE,"Key Assumptions";#N/A,#N/A,TRUE,"Profit &amp; Loss";#N/A,#N/A,TRUE,"Balance Sheet";#N/A,#N/A,TRUE,"Cashflow";#N/A,#N/A,TRUE,"IRR";#N/A,#N/A,TRUE,"Ratios";#N/A,#N/A,TRUE,"Debt analysis"}</definedName>
    <definedName name="stehe" hidden="1">{"Tages_D",#N/A,FALSE,"Tagesbericht";"Tages_PL",#N/A,FALSE,"Tagesbericht"}</definedName>
    <definedName name="Steuererstattungen" hidden="1">#REF!</definedName>
    <definedName name="Steuererstattungen_" hidden="1">#REF!</definedName>
    <definedName name="SteuererstattungenN" hidden="1">#REF!</definedName>
    <definedName name="Steuerl_AuflIAB" hidden="1">#REF!</definedName>
    <definedName name="Steuerl_AuflIAB_" hidden="1">#REF!</definedName>
    <definedName name="Steuerl_BildIAB" hidden="1">#REF!</definedName>
    <definedName name="Steuerl_BildIAB_" hidden="1">#REF!</definedName>
    <definedName name="Steuerl_Gewerbest" hidden="1">#REF!</definedName>
    <definedName name="Steuerl_Gewerbest_" hidden="1">#REF!</definedName>
    <definedName name="Steuerl_Gewinnkorr" hidden="1">#REF!</definedName>
    <definedName name="Steuerl_Gewinnkorr_" hidden="1">#REF!</definedName>
    <definedName name="Steuerl_MUV" hidden="1">#REF!</definedName>
    <definedName name="Steuerl_MUV_" hidden="1">#REF!</definedName>
    <definedName name="Steuern" hidden="1">#REF!</definedName>
    <definedName name="Steuern_" hidden="1">#REF!</definedName>
    <definedName name="SteuernEinkUndErtr" hidden="1">#REF!</definedName>
    <definedName name="SteuernEinkUndErtr_" hidden="1">#REF!</definedName>
    <definedName name="SteuernEinkUndErtrK" hidden="1">#REF!</definedName>
    <definedName name="SteuernEinkUndErtrM" hidden="1">#REF!</definedName>
    <definedName name="SteuernEinkUndErtrN" hidden="1">#REF!</definedName>
    <definedName name="SteuernN" hidden="1">#REF!</definedName>
    <definedName name="sthkshkshk" hidden="1">{#N/A,#N/A,FALSE,"INPUTS";#N/A,#N/A,FALSE,"PROFORMA BSHEET";#N/A,#N/A,FALSE,"COMBINED";#N/A,#N/A,FALSE,"ACQUIROR";#N/A,#N/A,FALSE,"TARGET 1";#N/A,#N/A,FALSE,"TARGET 2";#N/A,#N/A,FALSE,"HIGH YIELD";#N/A,#N/A,FALSE,"OVERFUND"}</definedName>
    <definedName name="stksthkstyk" hidden="1">{#N/A,#N/A,FALSE,"Valuation Assumptions";#N/A,#N/A,FALSE,"Summary";#N/A,#N/A,FALSE,"DCF";#N/A,#N/A,FALSE,"Valuation";#N/A,#N/A,FALSE,"WACC";#N/A,#N/A,FALSE,"UBVH";#N/A,#N/A,FALSE,"Free Cash Flow"}</definedName>
    <definedName name="STOCK_BASED" hidden="1">"STOCK_BASED"</definedName>
    <definedName name="strategi1" hidden="1">{#N/A,#N/A,FALSE,"PrintS"}</definedName>
    <definedName name="Strategy"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StratPlanAP" hidden="1">{#N/A,#N/A,FALSE,"Pharm";#N/A,#N/A,FALSE,"WWCM"}</definedName>
    <definedName name="Strawman3" hidden="1">{#N/A,#N/A,FALSE,"Cover";#N/A,#N/A,FALSE,"Profits";#N/A,#N/A,FALSE,"ABS";#N/A,#N/A,FALSE,"TFLE Detail";#N/A,#N/A,FALSE,"TFLE Walk";#N/A,#N/A,FALSE,"Variable Cost";#N/A,#N/A,FALSE,"V.C. Walk"}</definedName>
    <definedName name="strip" localSheetId="55">#REF!</definedName>
    <definedName name="strip">#REF!</definedName>
    <definedName name="Stub_Header1" hidden="1">#REF!</definedName>
    <definedName name="Stub_Header2" hidden="1">#REF!</definedName>
    <definedName name="Stub_Header3" hidden="1">#REF!</definedName>
    <definedName name="stuff" hidden="1">{"TOTAL",#N/A,FALSE,"A";"FISCAL94",#N/A,FALSE,"A";"FISCAL95",#N/A,FALSE,"A";"FISCAL96",#N/A,FALSE,"A";"misc page",#N/A,FALSE,"A"}</definedName>
    <definedName name="stuffs" hidden="1">{"TOTAL",#N/A,FALSE,"A";"FISCAL94",#N/A,FALSE,"A";"FISCAL95",#N/A,FALSE,"A";"FISCAL96",#N/A,FALSE,"A";"misc page",#N/A,FALSE,"A"}</definedName>
    <definedName name="subj_EBITDA" hidden="1">#REF!</definedName>
    <definedName name="SubsGrowth" hidden="1">#REF!</definedName>
    <definedName name="SUMMARY_BOOK" hidden="1">{"page1",#N/A,FALSE,"GIRLBO";"page2",#N/A,FALSE,"GIRLBO";"page3",#N/A,FALSE,"GIRLBO";"page4",#N/A,FALSE,"GIRLBO";"page5",#N/A,FALSE,"GIRLBO"}</definedName>
    <definedName name="summtarget" hidden="1">{"'Future Reviews'!$A$1:$D$58"}</definedName>
    <definedName name="Sumtarget" hidden="1">{"'Future Reviews'!$A$1:$D$58"}</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 hidden="1">{#N/A,#N/A,FALSE,"Comp Balance";#N/A,#N/A,FALSE,"Sum Balance ";#N/A,#N/A,FALSE,"Balance Trend";#N/A,#N/A,FALSE,"Comp PL";#N/A,#N/A,FALSE,"PL";#N/A,#N/A,FALSE,"Sum PL";#N/A,#N/A,FALSE,"PL Trend";#N/A,#N/A,FALSE,"Change"}</definedName>
    <definedName name="Suppliers" hidden="1">{#N/A,#N/A,FALSE,"HMF";#N/A,#N/A,FALSE,"FACIL";#N/A,#N/A,FALSE,"HMFINANCE";#N/A,#N/A,FALSE,"HMEUROPE";#N/A,#N/A,FALSE,"HHAB CONSO";#N/A,#N/A,FALSE,"PAB";#N/A,#N/A,FALSE,"MMC";#N/A,#N/A,FALSE,"THAI";#N/A,#N/A,FALSE,"SINPA";#N/A,#N/A,FALSE,"POLAND"}</definedName>
    <definedName name="Susan" hidden="1">{#N/A,#N/A,FALSE,"Revised cover";#N/A,#N/A,FALSE,"Trends";"main view",#N/A,FALSE,"As Reported";#N/A,#N/A,FALSE,"delegations";#N/A,#N/A,FALSE,"(un) Commited"}</definedName>
    <definedName name="SV_AUTO_CONN_CATALOG" hidden="1">"Attix5 Africa Limited"</definedName>
    <definedName name="SV_AUTO_CONN_SERVER" hidden="1">"196.36.89.170"</definedName>
    <definedName name="SV_ENCPT_AUTO_CONN_PASSWORD" hidden="1">"083096084083070090115102121083115110"</definedName>
    <definedName name="SV_ENCPT_AUTO_CONN_USER" hidden="1">"095094088070084121098"</definedName>
    <definedName name="SV_ENCPT_EVOCOMMON_PASSWORD" hidden="1">"083096084083070090115102121083115110"</definedName>
    <definedName name="SV_ENCPT_EVOCOMMON_USER" hidden="1">"095094088070084121098"</definedName>
    <definedName name="SV_ENCPT_LOGON_PWD" hidden="1">"078104085088070"</definedName>
    <definedName name="SV_ENCPT_LOGON_USER" hidden="1">"095094088070084"</definedName>
    <definedName name="SV_EVOCOMMON_CATALOG" hidden="1">"EvolutionCommon"</definedName>
    <definedName name="SV_EVOCOMMON_SERVER" hidden="1">"196.36.89.170"</definedName>
    <definedName name="svc" hidden="1">{#N/A,#N/A,FALSE,"Cover";#N/A,#N/A,FALSE,"Assumptions";#N/A,#N/A,FALSE,"Volumes";#N/A,#N/A,FALSE,"Pricing";#N/A,#N/A,FALSE,"TFLE Walk";#N/A,#N/A,FALSE,"Variable Cost";#N/A,#N/A,FALSE,"Sensitivity";#N/A,#N/A,FALSE,"Investment";#N/A,#N/A,FALSE,"Profitability"}</definedName>
    <definedName name="SVD" hidden="1">{"GuVGmbH",#N/A,FALSE,"ratios";"BilanzGmbH",#N/A,FALSE,"ratios";"BilanzKG",#N/A,FALSE,"ratios";"GuVKG",#N/A,FALSE,"ratios"}</definedName>
    <definedName name="svddvsdv" hidden="1">{#N/A,#N/A,TRUE,"coll"}</definedName>
    <definedName name="svfs" hidden="1">{"comps2",#N/A,FALSE,"AERO";"footnotes",#N/A,FALSE,"AERO"}</definedName>
    <definedName name="svid" hidden="1">#REF!</definedName>
    <definedName name="SVK" hidden="1">TEXT(sve,"T.M.JJJJ")</definedName>
    <definedName name="SVor2" hidden="1">TEXT(DATE(YEAR(sve)-1,MONTH(sve),DAY(sve)),"TT.MM.JJJJ")</definedName>
    <definedName name="SVor3" hidden="1">TEXT(DATE(YEAR(sve)-2,MONTH(sve),DAY(sve)),"TT.MM.JJJJ")</definedName>
    <definedName name="SVor4" hidden="1">TEXT(DATE(YEAR(sve)-3,MONTH(sve),DAY(sve)),"TT.MM.JJJJ")</definedName>
    <definedName name="sw" hidden="1">{"kekto1",#N/A,FALSE,"C";"kekto2",#N/A,FALSE,"C";"kekto3",#N/A,FALSE,"C";"kekto4",#N/A,FALSE,"C";"kekto5",#N/A,FALSE,"C";"kekto6",#N/A,FALSE,"C";"kekto7",#N/A,FALSE,"C";"kekto8",#N/A,FALSE,"C";"kekto9",#N/A,FALSE,"C";"kekto10",#N/A,FALSE,"C";"kekto11",#N/A,FALSE,"C";"kekto 12",#N/A,FALSE,"C"}</definedName>
    <definedName name="ＳＷＡＴ" hidden="1">{#N/A,"VA",FALSE,"output";#N/A,"VB",FALSE,"output";#N/A,"VS",FALSE,"output";#N/A,"VC",FALSE,"output";#N/A,"VG",FALSE,"output";#N/A,"J1",FALSE,"output";#N/A,"J2",FALSE,"output";#N/A,"PT",FALSE,"output"}</definedName>
    <definedName name="SWAT2" hidden="1">{#N/A,"VA",FALSE,"output";#N/A,"VB",FALSE,"output";#N/A,"VS",FALSE,"output";#N/A,"VC",FALSE,"output";#N/A,"VG",FALSE,"output";#N/A,"J1",FALSE,"output";#N/A,"J2",FALSE,"output";#N/A,"PT",FALSE,"output"}</definedName>
    <definedName name="swaw" hidden="1">{"TEXO2N2_VOL",#N/A,FALSE,"MTHLYVOL";"TEXH2_VOL",#N/A,FALSE,"MTHLYVOL";"LOUIS_VOL",#N/A,FALSE,"MTHLYVOL";"H2_VOL",#N/A,FALSE,"MTHLYVOL";"O2N2_VOL",#N/A,FALSE,"MTHLYVOL";"PACKAGE_VOL",#N/A,FALSE,"MTHLYVOL"}</definedName>
    <definedName name="swet"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areawg" hidden="1">{"vi1",#N/A,FALSE,"Financial Statements";"vi2",#N/A,FALSE,"Financial Statements";#N/A,#N/A,FALSE,"DCF"}</definedName>
    <definedName name="swfwert" hidden="1">{#N/A,#N/A,FALSE,"Mittelherkunft";#N/A,#N/A,FALSE,"Mittelverwendung"}</definedName>
    <definedName name="swq" hidden="1">{#N/A,"PURCHM",FALSE,"Business Analysis";#N/A,"SPADD",FALSE,"Business Analysis"}</definedName>
    <definedName name="swr" hidden="1">{"Polymers Details",#N/A,FALSE,"Current Yr";"Polymer Details",#N/A,FALSE,"Budget";"Polymer Details",#N/A,FALSE,"Prior Year"}</definedName>
    <definedName name="swsrehsrtusrt" hidden="1">{"vi1",#N/A,FALSE,"Financial Statements";"vi2",#N/A,FALSE,"Financial Statements";#N/A,#N/A,FALSE,"DCF"}</definedName>
    <definedName name="Swvu.BS." hidden="1">#REF!</definedName>
    <definedName name="Swvu.summary1." hidden="1">#REF!</definedName>
    <definedName name="Swvu.summary2." hidden="1">#REF!</definedName>
    <definedName name="Swvu.summary3."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D" hidden="1">{"'Demand Units'!$X$11:$AD$45"}</definedName>
    <definedName name="sxdfg" hidden="1">{0,#N/A,TRUE,0;0,#N/A,TRUE,0;0,#N/A,TRUE,0;0,#N/A,TRUE,0;0,#N/A,TRUE,0;0,#N/A,TRUE,0}</definedName>
    <definedName name="SYSTEM_VER" hidden="1">"Windows (32-bit) NT 4.00"</definedName>
    <definedName name="sz"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db" hidden="1">#REF!</definedName>
    <definedName name="szx" hidden="1">{"LAPO2N2",#N/A,FALSE,"CM"}</definedName>
    <definedName name="t"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ｔ" hidden="1">{#N/A,"VA",FALSE,"output";#N/A,"VB",FALSE,"output";#N/A,"VS",FALSE,"output";#N/A,"VC",FALSE,"output";#N/A,"VG",FALSE,"output";#N/A,"J1",FALSE,"output";#N/A,"J2",FALSE,"output";#N/A,"PT",FALSE,"output"}</definedName>
    <definedName name="t.2" hidden="1">{#N/A,#N/A,FALSE,"Umsatz EO BP";#N/A,#N/A,FALSE,"Umsatz EO OP";#N/A,#N/A,FALSE,"ER EO BP";#N/A,#N/A,FALSE,"ER EO OP";#N/A,#N/A,FALSE,"EA EO (2)";#N/A,#N/A,FALSE,"EA EO";#N/A,#N/A,FALSE,"EA EO (3)";#N/A,#N/A,FALSE,"EA EO (4)";#N/A,#N/A,FALSE,"KA EO  (2)";#N/A,#N/A,FALSE,"KA EO";#N/A,#N/A,FALSE,"KA EO  (3)";#N/A,#N/A,FALSE,"KA EO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2000대책서" hidden="1">{#N/A,#N/A,FALSE,"단축1";#N/A,#N/A,FALSE,"단축2";#N/A,#N/A,FALSE,"단축3";#N/A,#N/A,FALSE,"장축";#N/A,#N/A,FALSE,"4WD"}</definedName>
    <definedName name="ta" hidden="1">{"BA detail",#N/A,FALSE,"Q3YTD "}</definedName>
    <definedName name="table2" hidden="1">#REF!</definedName>
    <definedName name="Table2Out" hidden="1">#REF!</definedName>
    <definedName name="Table3" hidden="1">#REF!</definedName>
    <definedName name="table3new" hidden="1">{#N/A,#N/A,FALSE,"Cover";#N/A,#N/A,FALSE,"Contents-Pg1";#N/A,#N/A,FALSE,"High-Com-pg2";#N/A,#N/A,FALSE,"1 Full";#N/A,#N/A,FALSE,"1chts";#N/A,#N/A,FALSE,"Table 2";#N/A,#N/A,FALSE,"3New Iss";#N/A,#N/A,FALSE,"4Money raised";#N/A,#N/A,FALSE,"5Aim";#N/A,#N/A,FALSE,"AiM charts";#N/A,#N/A,FALSE,"6FT Smll";#N/A,#N/A,FALSE,"11SEATS";#N/A,#N/A,FALSE,"12Notes"}</definedName>
    <definedName name="table6ab" hidden="1">{#N/A,#N/A,FALSE,"Cover";#N/A,#N/A,FALSE,"Contents-Pg1";#N/A,#N/A,FALSE,"High-Com-pg2";#N/A,#N/A,FALSE,"1 Full";#N/A,#N/A,FALSE,"1chts";#N/A,#N/A,FALSE,"Table 2";#N/A,#N/A,FALSE,"3New Iss";#N/A,#N/A,FALSE,"4Money raised";#N/A,#N/A,FALSE,"5Aim";#N/A,#N/A,FALSE,"AiM charts";#N/A,#N/A,FALSE,"6FT Smll";#N/A,#N/A,FALSE,"11SEATS";#N/A,#N/A,FALSE,"12Notes"}</definedName>
    <definedName name="Tables" hidden="1">{"sales",#N/A,FALSE,"Sales";"sales existing",#N/A,FALSE,"Sales";"sales rd1",#N/A,FALSE,"Sales";"sales rd2",#N/A,FALSE,"Sales"}</definedName>
    <definedName name="tai.v4" hidden="1">{#N/A,#N/A,FALSE,"Umsatz EO BP";#N/A,#N/A,FALSE,"Umsatz EO OP";#N/A,#N/A,FALSE,"ER EO BP";#N/A,#N/A,FALSE,"ER EO OP";#N/A,#N/A,FALSE,"EA EO (2)";#N/A,#N/A,FALSE,"EA EO";#N/A,#N/A,FALSE,"EA EO (3)";#N/A,#N/A,FALSE,"EA EO (4)";#N/A,#N/A,FALSE,"KA EO  (2)";#N/A,#N/A,FALSE,"KA EO";#N/A,#N/A,FALSE,"KA EO  (3)";#N/A,#N/A,FALSE,"KA EO (4)"}</definedName>
    <definedName name="Tail.2" hidden="1">{#N/A,#N/A,FALSE,"KA CH  (2)"}</definedName>
    <definedName name="target" localSheetId="55">#REF!</definedName>
    <definedName name="target">#REF!</definedName>
    <definedName name="targets3" hidden="1">{"'NWC03'!$C$81"}</definedName>
    <definedName name="targets4" hidden="1">{"'NWC03'!$C$81"}</definedName>
    <definedName name="tax_rate" localSheetId="55">#REF!</definedName>
    <definedName name="tax_rate">#REF!</definedName>
    <definedName name="taxol" hidden="1">{#N/A,#N/A,FALSE,"Pharm";#N/A,#N/A,FALSE,"WWCM"}</definedName>
    <definedName name="Taxpb" hidden="1">#REF!</definedName>
    <definedName name="tbl_ProdInfo" hidden="1">#REF!</definedName>
    <definedName name="TB전체일정_2" hidden="1">{#N/A,#N/A,FALSE,"단축1";#N/A,#N/A,FALSE,"단축2";#N/A,#N/A,FALSE,"단축3";#N/A,#N/A,FALSE,"장축";#N/A,#N/A,FALSE,"4WD"}</definedName>
    <definedName name="TC" hidden="1">{#N/A,#N/A,FALSE,"WOB_1.XLS";#N/A,#N/A,FALSE,"WOB_2.XLS";#N/A,#N/A,FALSE,"WOB_3.XLS";#N/A,#N/A,FALSE,"WOB_4.XLS";#N/A,#N/A,FALSE,"WOB_5.XLS"}</definedName>
    <definedName name="TCB" hidden="1">{#N/A,#N/A,FALSE,"summary";#N/A,#N/A,FALSE,"debt";#N/A,#N/A,FALSE,"FIRST";#N/A,#N/A,FALSE,"B A";#N/A,#N/A,FALSE,"LLOYD";#N/A,#N/A,FALSE,"LTDLLOYD";#N/A,#N/A,FALSE,"PESO";#N/A,#N/A,FALSE,"MEX$";#N/A,#N/A,FALSE,"PRINCE";#N/A,#N/A,FALSE,"TXCOMM";#N/A,#N/A,FALSE,"WATERLOO"}</definedName>
    <definedName name="TCBLOCKBOX" hidden="1">{#N/A,#N/A,FALSE,"summary";#N/A,#N/A,FALSE,"debt";#N/A,#N/A,FALSE,"FIRST";#N/A,#N/A,FALSE,"B A";#N/A,#N/A,FALSE,"LLOYD";#N/A,#N/A,FALSE,"LTDLLOYD";#N/A,#N/A,FALSE,"PESO";#N/A,#N/A,FALSE,"MEX$";#N/A,#N/A,FALSE,"PRINCE";#N/A,#N/A,FALSE,"TXCOMM";#N/A,#N/A,FALSE,"WATERLOO"}</definedName>
    <definedName name="TCG" hidden="1">{#N/A,#N/A,FALSE,"PROJPACK"}</definedName>
    <definedName name="tci" hidden="1">{#N/A,#N/A,FALSE,"단축1";#N/A,#N/A,FALSE,"단축2";#N/A,#N/A,FALSE,"단축3";#N/A,#N/A,FALSE,"장축";#N/A,#N/A,FALSE,"4WD"}</definedName>
    <definedName name="TCR_DATUM" hidden="1">37378</definedName>
    <definedName name="TCR_PosRes" hidden="1">12</definedName>
    <definedName name="TCR_TG" hidden="1">"0104TGNr.0102"</definedName>
    <definedName name="TCR_TGSize" hidden="1">"0110TGSiz0006005704"</definedName>
    <definedName name="TCR_TGW" hidden="1">"0104TGW  0030"</definedName>
    <definedName name="TCR_VER" hidden="1">8</definedName>
    <definedName name="td" hidden="1">{"'Data'!$A$1:$D$17"}</definedName>
    <definedName name="tea"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em" hidden="1">{#N/A,#N/A,FALSE,"Pharm";#N/A,#N/A,FALSE,"WWCM"}</definedName>
    <definedName name="Temp_2" hidden="1">{#N/A,#N/A,FALSE,"Assessment";#N/A,#N/A,FALSE,"Staffing";#N/A,#N/A,FALSE,"Hires";#N/A,#N/A,FALSE,"Assumptions"}</definedName>
    <definedName name="Temp_3" hidden="1">{#N/A,#N/A,FALSE,"Assessment";#N/A,#N/A,FALSE,"Staffing";#N/A,#N/A,FALSE,"Hires";#N/A,#N/A,FALSE,"Assumptions"}</definedName>
    <definedName name="temp_name" hidden="1">{"ALLOCATION1",#N/A,FALSE,"EXPENSE ALLOCATIONS";"ALLOCATION2",#N/A,FALSE,"EXPENSE ALLOCATIONS";"ALLOCATION3",#N/A,FALSE,"EXPENSE ALLOCATIONS";"ALLOCATION4",#N/A,FALSE,"EXPENSE ALLOCATIONS"}</definedName>
    <definedName name="temp2" hidden="1">{#N/A,#N/A,FALSE,"Admin"}</definedName>
    <definedName name="TemplateVersion" hidden="1">#REF!</definedName>
    <definedName name="tempxxx" hidden="1">0</definedName>
    <definedName name="teq" hidden="1">{#N/A,#N/A,FALSE,"Pharm";#N/A,#N/A,FALSE,"WWCM"}</definedName>
    <definedName name="Tequin" hidden="1">{#N/A,#N/A,FALSE,"Pharm";#N/A,#N/A,FALSE,"WWCM"}</definedName>
    <definedName name="tequinol" hidden="1">{#N/A,#N/A,FALSE,"REPORT"}</definedName>
    <definedName name="teradyne" hidden="1">{#N/A,#N/A,FALSE,"Consol P&amp;L ";#N/A,#N/A,FALSE,"CP P&amp;L";#N/A,#N/A,FALSE,"ADS P&amp;L";#N/A,#N/A,FALSE,"Corp P&amp;L"}</definedName>
    <definedName name="teradyne2" hidden="1">{#N/A,#N/A,FALSE,"Consol P&amp;L ";#N/A,#N/A,FALSE,"CP P&amp;L";#N/A,#N/A,FALSE,"ADS P&amp;L";#N/A,#N/A,FALSE,"Corp P&amp;L"}</definedName>
    <definedName name="teradyne7" hidden="1">{#N/A,#N/A,FALSE,"Consol P&amp;L ";#N/A,#N/A,FALSE,"CP P&amp;L";#N/A,#N/A,FALSE,"ADS P&amp;L";#N/A,#N/A,FALSE,"Corp P&amp;L"}</definedName>
    <definedName name="terc" hidden="1">{"YD GENERALH2",#N/A,FALSE,"YTD"}</definedName>
    <definedName name="tertw" hidden="1">{#N/A,#N/A,FALSE,"Aging Summary";#N/A,#N/A,FALSE,"Ratio Analysis";#N/A,#N/A,FALSE,"Test 120 Day Accts";#N/A,#N/A,FALSE,"Tickmarks"}</definedName>
    <definedName name="test" hidden="1">{#N/A,#N/A,FALSE,"1996PL";#N/A,#N/A,FALSE,"1997PL";#N/A,#N/A,FALSE,"1998PL";#N/A,#N/A,FALSE,"1999PL"}</definedName>
    <definedName name="TEST0" localSheetId="55">[3]Exportumsätze!#REF!</definedName>
    <definedName name="TEST0">[3]Exportumsätze!#REF!</definedName>
    <definedName name="test10" hidden="1">{#N/A,#N/A,FALSE,"Profit Status";#N/A,#N/A,FALSE,"Invest";#N/A,#N/A,FALSE,"Revenue";#N/A,#N/A,FALSE,"Variable Cost";#N/A,#N/A,FALSE,"Options &amp; Series"}</definedName>
    <definedName name="test2" hidden="1">{"'SIVA Pricing Model'!$A$1:$F$39"}</definedName>
    <definedName name="test22" hidden="1">{"'SIVA Pricing Model'!$A$1:$F$39"}</definedName>
    <definedName name="test222" hidden="1">{"'SIVA Pricing Model'!$A$1:$F$39"}</definedName>
    <definedName name="test3" hidden="1">{"'SIVA Pricing Model'!$A$1:$F$39"}</definedName>
    <definedName name="test324" hidden="1">{"Oct_Plan_Income_Month",#N/A,FALSE,"OctInc";"Oct_Month_Lastyear_Inc",#N/A,FALSE,"OctInc"}</definedName>
    <definedName name="test3434" hidden="1">{"Oct_Plan_Income_Month",#N/A,FALSE,"OctInc";"Oct_Month_Lastyear_Inc",#N/A,FALSE,"OctInc"}</definedName>
    <definedName name="test4" hidden="1">{"CHART",#N/A,FALSE,"Arch Communications"}</definedName>
    <definedName name="test4w" hidden="1">{"'SIVA Pricing Model'!$A$1:$F$39"}</definedName>
    <definedName name="Test5" hidden="1">{"'SIVA Pricing Model'!$A$1:$F$39"}</definedName>
    <definedName name="test9" hidden="1">{"TeleKomplett",#N/A,TRUE,"Tele";"gfKomplett",#N/A,TRUE,"Gf";"MktKomplett",#N/A,TRUE,"Mkt";"RTLTextKomplett",#N/A,TRUE,"RTLText";"ATXITVKomplett",#N/A,TRUE,"ATXITV";"TechKomplett",#N/A,TRUE,"Tech";"Pufferkomplett",#N/A,TRUE,"Puffer"}</definedName>
    <definedName name="teste" hidden="1">{#N/A,#N/A,FALSE,"Pharm";#N/A,#N/A,FALSE,"WWCM"}</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 localSheetId="55">[3]Exportumsätze!#REF!</definedName>
    <definedName name="TESTHKEY">[3]Exportumsätze!#REF!</definedName>
    <definedName name="testi" hidden="1">{#N/A,#N/A,FALSE,"Sheet2"}</definedName>
    <definedName name="testi1" hidden="1">{#N/A,#N/A,FALSE,"Sheet2"}</definedName>
    <definedName name="testing"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ing2"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ing3"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ing4"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TESTKEYS" localSheetId="55">[3]Exportumsätze!#REF!</definedName>
    <definedName name="TESTKEYS">[3]Exportumsätze!#REF!</definedName>
    <definedName name="tests" hidden="1">{"'SIVA Pricing Model'!$A$1:$F$39"}</definedName>
    <definedName name="TEsts6" hidden="1">{"'SIVA Pricing Model'!$A$1:$F$39"}</definedName>
    <definedName name="testss" hidden="1">{"'SIVA Pricing Model'!$A$1:$F$39"}</definedName>
    <definedName name="testsss" hidden="1">{"'SIVA Pricing Model'!$A$1:$F$39"}</definedName>
    <definedName name="testst234" hidden="1">{"Oct_Plan_Income_Month",#N/A,FALSE,"OctInc";"Oct_Month_Lastyear_Inc",#N/A,FALSE,"OctInc"}</definedName>
    <definedName name="testsw" hidden="1">{"'SIVA Pricing Model'!$A$1:$F$39"}</definedName>
    <definedName name="testterrwe" hidden="1">{"ConInc",#N/A,FALSE,"FinStmt";"ConBal",#N/A,FALSE,"FinStmt";"ConCash",#N/A,FALSE,"FinStmt"}</definedName>
    <definedName name="testv2" hidden="1">{#N/A,#N/A,FALSE,"F_Plan";#N/A,#N/A,FALSE,"Parameter"}</definedName>
    <definedName name="testv3" hidden="1">{#N/A,#N/A,FALSE,"Umsatz";#N/A,#N/A,FALSE,"Base V.02";#N/A,#N/A,FALSE,"Charts"}</definedName>
    <definedName name="testv4" hidden="1">{#N/A,#N/A,FALSE,"F_Plan";#N/A,#N/A,FALSE,"Parameter"}</definedName>
    <definedName name="testv5" hidden="1">{#N/A,#N/A,FALSE,"Umsatz";#N/A,#N/A,FALSE,"Base V.02";#N/A,#N/A,FALSE,"Charts"}</definedName>
    <definedName name="TESTVKEY" localSheetId="55">[3]Exportumsätze!#REF!</definedName>
    <definedName name="TESTVKEY">[3]Exportumsätze!#REF!</definedName>
    <definedName name="testw" hidden="1">{"'SIVA Pricing Model'!$A$1:$F$39"}</definedName>
    <definedName name="testww" hidden="1">{"'SIVA Pricing Model'!$A$1:$F$39"}</definedName>
    <definedName name="testwww" hidden="1">{"'SIVA Pricing Model'!$A$1:$F$39"}</definedName>
    <definedName name="TestyDeleteMe" hidden="1">#REF!</definedName>
    <definedName name="tete" hidden="1">{#N/A,#N/A,FALSE,"Calc";#N/A,#N/A,FALSE,"Sensitivity";#N/A,#N/A,FALSE,"LT Earn.Dil.";#N/A,#N/A,FALSE,"Dil. AVP"}</definedName>
    <definedName name="tets" hidden="1">{#N/A,#N/A,FALSE,"Aktiva";#N/A,#N/A,FALSE,"Passiva";#N/A,#N/A,FALSE,"guv";#N/A,#N/A,FALSE,"Anl-1";#N/A,#N/A,FALSE,"Anl-2";#N/A,#N/A,FALSE,"Anl-III";#N/A,#N/A,FALSE,"Ta-1-Anh";#N/A,#N/A,FALSE,"Ta-2-Anh";#N/A,#N/A,FALSE,"Ta-3-Anh";#N/A,#N/A,FALSE,"Kontroll-Blatt"}</definedName>
    <definedName name="tew" hidden="1">{"FY97Total",#N/A,FALSE,"FY97 - Total";"FY98Total",#N/A,FALSE,"FY98 - Total"}</definedName>
    <definedName name="TextRefCopyRangeCount" hidden="1">2</definedName>
    <definedName name="tfdhdg" hidden="1">43106.5304861111</definedName>
    <definedName name="tfill" hidden="1">#REF!</definedName>
    <definedName name="tg" hidden="1">{"dcfsummary",#N/A,FALSE,"NHY - DCF Valuation";"agriculture",#N/A,FALSE,"NHY - DCF Valuation";"oilgas",#N/A,FALSE,"NHY - DCF Valuation";"oilgastot",#N/A,FALSE,"NHY - DCF Valuation";"lightmetals",#N/A,FALSE,"NHY - DCF Valuation";"petrochemicals",#N/A,FALSE,"NHY - DCF Valuation";"other",#N/A,FALSE,"NHY - DCF Valuation"}</definedName>
    <definedName name="tha"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ha.2" hidden="1">{#N/A,#N/A,FALSE,"Produkte Erw.";#N/A,#N/A,FALSE,"Produkte Plan";#N/A,#N/A,FALSE,"Leistungen Erw.";#N/A,#N/A,FALSE,"Leistungen Plan";#N/A,#N/A,FALSE,"KA Allg.Kosten (2)";#N/A,#N/A,FALSE,"KA All.Kosten"}</definedName>
    <definedName name="tha.3" hidden="1">{#N/A,#N/A,FALSE,"KA CH  (2)"}</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hidden="1">{#N/A,#N/A,FALSE,"Umsatz 99";#N/A,#N/A,FALSE,"ER 99 "}</definedName>
    <definedName name="Thail.2" hidden="1">{#N/A,#N/A,FALSE,"Umsatz 99";#N/A,#N/A,FALSE,"ER 99 "}</definedName>
    <definedName name="THEME2" hidden="1">{#N/A,#N/A,FALSE,"96 3월물량표";#N/A,#N/A,FALSE,"96 4월물량표";#N/A,#N/A,FALSE,"96 5월물량표"}</definedName>
    <definedName name="thgbj" hidden="1">{"adj95mult",#N/A,FALSE,"COMPCO";"adj95est",#N/A,FALSE,"COMPCO"}</definedName>
    <definedName name="Threeyr_Data" hidden="1">#REF!</definedName>
    <definedName name="thth" hidden="1">{#N/A,#N/A,FALSE,"Calc";#N/A,#N/A,FALSE,"Sensitivity";#N/A,#N/A,FALSE,"LT Earn.Dil.";#N/A,#N/A,FALSE,"Dil. AVP"}</definedName>
    <definedName name="tickname" hidden="1">#REF!</definedName>
    <definedName name="tina" hidden="1">{"cover",#N/A,TRUE,"Cover";"toc3",#N/A,TRUE,"TOC";"over",#N/A,TRUE,"Overview";"ts2",#N/A,TRUE,"Det_Trans_Sum";"ei1c",#N/A,TRUE,"Earnings Impact";"ad1",#N/A,TRUE,"accretion dilution";"pfis1",#N/A,TRUE,"Pro Forma Income Statement";"acq1c",#N/A,TRUE,"Acquirer";"tar1c",#N/A,TRUE,"Target"}</definedName>
    <definedName name="Title2Spot" hidden="1">#REF!</definedName>
    <definedName name="tiui" hidden="1">{"GuVGmbH",#N/A,FALSE,"ratios";"BilanzGmbH",#N/A,FALSE,"ratios";"BilanzKG",#N/A,FALSE,"ratios";"GuVKG",#N/A,FALSE,"ratios"}</definedName>
    <definedName name="tjtr" hidden="1">{#N/A,#N/A,FALSE,"Layout Aktiva";#N/A,#N/A,FALSE,"Layout Passiva"}</definedName>
    <definedName name="TJUTU" hidden="1">{"'Demand Units'!$X$11:$AD$45"}</definedName>
    <definedName name="TLA.087" hidden="1">0</definedName>
    <definedName name="tll"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tmto" hidden="1">{"detail",#N/A,FALSE,"mfg";"summary",#N/A,FALSE,"mfg"}</definedName>
    <definedName name="tn"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om"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my" hidden="1">{"dcfsummary",#N/A,FALSE,"NHY - DCF Valuation";"agriculture",#N/A,FALSE,"NHY - DCF Valuation";"oilgas",#N/A,FALSE,"NHY - DCF Valuation";"oilgastot",#N/A,FALSE,"NHY - DCF Valuation";"lightmetals",#N/A,FALSE,"NHY - DCF Valuation";"petrochemicals",#N/A,FALSE,"NHY - DCF Valuation";"other",#N/A,FALSE,"NHY - DCF Valuation"}</definedName>
    <definedName name="tommy2" hidden="1">{"dcfsummary",#N/A,FALSE,"NHY - DCF Valuation";"agriculture",#N/A,FALSE,"NHY - DCF Valuation";"oilgas",#N/A,FALSE,"NHY - DCF Valuation";"oilgastot",#N/A,FALSE,"NHY - DCF Valuation";"lightmetals",#N/A,FALSE,"NHY - DCF Valuation";"petrochemicals",#N/A,FALSE,"NHY - DCF Valuation";"other",#N/A,FALSE,"NHY - DCF Valuation"}</definedName>
    <definedName name="TOOL" hidden="1">{"EXPORT",#N/A,FALSE,"A8CONTENT"}</definedName>
    <definedName name="ToolDeveloper" hidden="1">"Martin Brett"</definedName>
    <definedName name="ToolID" hidden="1">303</definedName>
    <definedName name="Tools" hidden="1">{"EXPORT",#N/A,FALSE,"A8CONTENT"}</definedName>
    <definedName name="ToolUpdateDate" hidden="1">"'09/04/2012"</definedName>
    <definedName name="top" hidden="1">{"Page1",#N/A,FALSE,"CompCo";"Page2",#N/A,FALSE,"CompCo"}</definedName>
    <definedName name="Top15_total" hidden="1">{"'Demand Units'!$Z$2:$AF$53"}</definedName>
    <definedName name="TORSION" hidden="1">{#N/A,#N/A,FALSE,"단축1";#N/A,#N/A,FALSE,"단축2";#N/A,#N/A,FALSE,"단축3";#N/A,#N/A,FALSE,"장축";#N/A,#N/A,FALSE,"4WD"}</definedName>
    <definedName name="TOTAL" hidden="1">{"Informes",#N/A,FALSE,"CA";"Informes",#N/A,FALSE,"CN";"Informes",#N/A,FALSE,"INVERSIONES";"Informes",#N/A,FALSE,"CN Oficial";"Informes",#N/A,FALSE,"CA Oficial";"Informes",#N/A,FALSE,"Res Datos Areas"}</definedName>
    <definedName name="TOTAL_ASSETS" hidden="1">"TOTAL_ASSETS"</definedName>
    <definedName name="TOTAL_CASH_DIVID" hidden="1">"TOTAL_CASH_DIVID"</definedName>
    <definedName name="TOTAL_CASH_FINAN" hidden="1">"TOTAL_CASH_FINAN"</definedName>
    <definedName name="TOTAL_CASH_INVEST" hidden="1">"TOTAL_CASH_INVEST"</definedName>
    <definedName name="TOTAL_CASH_OPER" hidden="1">"TOTAL_CASH_OPER"</definedName>
    <definedName name="TOTAL_COMMON" hidden="1">"TOTAL_COMMON"</definedName>
    <definedName name="TOTAL_CURRENT_ASSETS" hidden="1">"TOTAL_CURRENT_ASSETS"</definedName>
    <definedName name="TOTAL_CURRENT_LIAB" hidden="1">"TOTAL_CURRENT_LIAB"</definedName>
    <definedName name="TOTAL_DEBT" hidden="1">"TOTAL_DEBT"</definedName>
    <definedName name="TOTAL_DEBT_OVER_EBITDA" hidden="1">"TOTAL_DEBT_OVER_EBITDA"</definedName>
    <definedName name="TOTAL_DEBT_OVER_TOTAL_BV" hidden="1">"TOTAL_DEBT_OVER_TOTAL_BV"</definedName>
    <definedName name="TOTAL_DEBT_OVER_TOTAL_CAP" hidden="1">"TOTAL_DEBT_OVER_TOTAL_CAP"</definedName>
    <definedName name="TOTAL_EQUITY" hidden="1">"TOTAL_EQUITY"</definedName>
    <definedName name="TOTAL_IN"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AL_INTEREST_EXP" hidden="1">"TOTAL_INTEREST_EXP"</definedName>
    <definedName name="TOTAL_INVENTORY" hidden="1">"TOTAL_INVENTORY"</definedName>
    <definedName name="TOTAL_LIAB" hidden="1">"TOTAL_LIAB"</definedName>
    <definedName name="TOTAL_LIAB_SHAREHOLD" hidden="1">"TOTAL_LIAB_SHAREHOLD"</definedName>
    <definedName name="TOTAL_LONG_DEBT" hidden="1">"TOTAL_LONG_DEBT"</definedName>
    <definedName name="TOTAL_OPER_EXPEN" hidden="1">"TOTAL_OPER_EXPEN"</definedName>
    <definedName name="TOTAL_RECEIV" hidden="1">"TOTAL_RECEIV"</definedName>
    <definedName name="TOTAL_REVENUE" hidden="1">"TOTAL_REVENUE"</definedName>
    <definedName name="TOTAL_SPECIAL" hidden="1">"TOTAL_SPECIAL"</definedName>
    <definedName name="totcap" hidden="1">#REF!,#REF!,#REF!,#REF!</definedName>
    <definedName name="totchk"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tousi" hidden="1">{"RES-2002",#N/A,FALSE,"BL2000";"A1-2002",#N/A,FALSE,"BL2000";"A2-2002",#N/A,FALSE,"BL2000"}</definedName>
    <definedName name="TP_Footer_Path" hidden="1">"S:\53676\05Ret\Valuations\ERISA and FAS results\"</definedName>
    <definedName name="TP_Footer_User" hidden="1">"CRAWFD"</definedName>
    <definedName name="TP_Footer_Version" hidden="1">"v4.00"</definedName>
    <definedName name="tr" hidden="1">{"dcfsummary",#N/A,FALSE,"NHY - DCF Valuation";"agriculture",#N/A,FALSE,"NHY - DCF Valuation";"oilgas",#N/A,FALSE,"NHY - DCF Valuation";"oilgastot",#N/A,FALSE,"NHY - DCF Valuation";"lightmetals",#N/A,FALSE,"NHY - DCF Valuation";"petrochemicals",#N/A,FALSE,"NHY - DCF Valuation";"other",#N/A,FALSE,"NHY - DCF Valuation"}</definedName>
    <definedName name="tra"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tradcomp" hidden="1">{#N/A,#N/A,FALSE,"Trading-Mult ";#N/A,#N/A,FALSE,"Trading-Cap";#N/A,#N/A,FALSE,"Trading-Inc";#N/A,#N/A,FALSE,"Cash Flow";#N/A,#N/A,FALSE,"M&amp;A info"}</definedName>
    <definedName name="TRADE_AR" hidden="1">"TRADE_AR"</definedName>
    <definedName name="tradingcompar" hidden="1">{#N/A,#N/A,FALSE,"Trading-Mult ";#N/A,#N/A,FALSE,"Trading-Cap";#N/A,#N/A,FALSE,"Trading-Inc";#N/A,#N/A,FALSE,"Cash Flow";#N/A,#N/A,FALSE,"M&amp;A info"}</definedName>
    <definedName name="trans" hidden="1">{#N/A,#N/A,FALSE,"Summary Page";#N/A,#N/A,FALSE,"Backup Factory Order Request";#N/A,#N/A,FALSE,"Mix Updated to Include V227";#N/A,#N/A,FALSE,"2000 Bus Plan Status"}</definedName>
    <definedName name="Transactions" hidden="1">{"comp1",#N/A,FALSE,"COMPS";"footnotes",#N/A,FALSE,"COMPS"}</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EASURY_STOCK" hidden="1">"TREASURY_STOCK"</definedName>
    <definedName name="treeList" hidden="1">"11000000000000000000000000000000000000000000000000000000000000000000000000000000000000000000000000000000000000000000000000000000000000000000000000000000000000000000000000000000000000000000000000000000"</definedName>
    <definedName name="TRHFT" hidden="1">{"'Demand Units'!$X$11:$AD$45"}</definedName>
    <definedName name="trhtrj" hidden="1">{#N/A,#N/A,FALSE,"단축1";#N/A,#N/A,FALSE,"단축2";#N/A,#N/A,FALSE,"단축3";#N/A,#N/A,FALSE,"장축";#N/A,#N/A,FALSE,"4WD"}</definedName>
    <definedName name="trim1" hidden="1">#N/A</definedName>
    <definedName name="trjhtrj" hidden="1">{#N/A,#N/A,FALSE,"단축1";#N/A,#N/A,FALSE,"단축2";#N/A,#N/A,FALSE,"단축3";#N/A,#N/A,FALSE,"장축";#N/A,#N/A,FALSE,"4WD"}</definedName>
    <definedName name="trjnm" hidden="1">Word</definedName>
    <definedName name="trjtrjh" hidden="1">{#N/A,#N/A,FALSE,"단축1";#N/A,#N/A,FALSE,"단축2";#N/A,#N/A,FALSE,"단축3";#N/A,#N/A,FALSE,"장축";#N/A,#N/A,FALSE,"4WD"}</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r" hidden="1">{"Burden (burden)",#N/A,FALSE,"burden"}</definedName>
    <definedName name="trtyr" hidden="1">{"graph",#N/A,FALSE,"WWJU";"graph",#N/A,FALSE,"WWSEM";"graph",#N/A,FALSE,"GOMJU";"graph",#N/A,FALSE,"GOMSEM";"graph",#N/A,FALSE,"NSJU";"graph",#N/A,FALSE,"NSSEM";"graph",#N/A,FALSE,"WAJU";"graph",#N/A,FALSE,"STOCKPRI";"graph",#N/A,FALSE,"CFTEV";"graph",#N/A,FALSE,"NAV-RCV";"graph",#N/A,FALSE,"CRUDEWW"}</definedName>
    <definedName name="trw" hidden="1">{#N/A,#N/A,TRUE,"Historicals";#N/A,#N/A,TRUE,"Charts";#N/A,#N/A,TRUE,"Forecasts"}</definedName>
    <definedName name="trwegdfs" hidden="1">{#N/A,#N/A,TRUE,"Historicals";#N/A,#N/A,TRUE,"Charts";#N/A,#N/A,TRUE,"Forecasts"}</definedName>
    <definedName name="trwetre" hidden="1">{#N/A,#N/A,TRUE,"Historicals";#N/A,#N/A,TRUE,"Charts";#N/A,#N/A,TRUE,"Forecasts"}</definedName>
    <definedName name="tryeuyit" hidden="1">{#N/A,#N/A,FALSE,"Pharm";#N/A,#N/A,FALSE,"WWCM"}</definedName>
    <definedName name="trygf" hidden="1">{"adj95mult",#N/A,FALSE,"COMPCO";"adj95est",#N/A,FALSE,"COMPCO"}</definedName>
    <definedName name="trzer"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tt.8" hidden="1">{#N/A,#N/A,FALSE,"PMW Gruppe 99_98";#N/A,#N/A,FALSE,"PMW KG 98_99";#N/A,#N/A,FALSE,"PMW Inc. 99_98";#N/A,#N/A,FALSE,"PMW VTECH 99_98";#N/A,#N/A,FALSE,"PMW Thail. 99_98";#N/A,#N/A,FALSE,"PMW Canada 99_98";#N/A,#N/A,FALSE,"Währungsabw. 99_98"}</definedName>
    <definedName name="ttesst" hidden="1">{#N/A,#N/A,FALSE,"Cover";#N/A,#N/A,FALSE,"Profits";#N/A,#N/A,FALSE,"ABS";#N/A,#N/A,FALSE,"TFLE Detail";#N/A,#N/A,FALSE,"TFLE Walk";#N/A,#N/A,FALSE,"Variable Cost";#N/A,#N/A,FALSE,"V.C. Walk"}</definedName>
    <definedName name="t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tttttt" hidden="1">{"'Set-Out'!$A$1:$H$30"}</definedName>
    <definedName name="TTTTTTTTTTTT" hidden="1">{"London cttee condensed",#N/A,FALSE,"Dev Panel Cut Report";"South East cttee condensed",#N/A,FALSE,"Dev Panel Cut Report"}</definedName>
    <definedName name="tttttttttttttt" hidden="1">{#N/A,#N/A,FALSE,"HEADER SHEET";#N/A,#N/A,FALSE,"A402";#N/A,#N/A,FALSE,"S150"}</definedName>
    <definedName name="ttytyty" hidden="1">{"'Other IPS'!$A$5","'Other IPS'!$A$4:$K$38"}</definedName>
    <definedName name="ttzz" hidden="1">{#N/A,#N/A,FALSE,"Umsatz CH";#N/A,#N/A,FALSE,"ER CH";#N/A,#N/A,FALSE,"EA CH (2) ";#N/A,#N/A,FALSE,"EA CH";#N/A,#N/A,FALSE,"EA CH (3) ";#N/A,#N/A,FALSE,"EA CH (4)";#N/A,#N/A,FALSE,"KA CH";#N/A,#N/A,FALSE,"KA CH  (2)";#N/A,#N/A,FALSE,"KA CH  (3)";#N/A,#N/A,FALSE,"KA CH (4)"}</definedName>
    <definedName name="tuiitk"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tuikf"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ukl"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tulf"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turd" hidden="1">{"detail",#N/A,FALSE,"mfg";"summary",#N/A,FALSE,"mfg"}</definedName>
    <definedName name="tuuikt"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tuuuuui"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tuzi"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twert" hidden="1">{"by_month",#N/A,TRUE,"template";"destec_month",#N/A,TRUE,"template";"by_quarter",#N/A,TRUE,"template";"destec_quarter",#N/A,TRUE,"template";"by_year",#N/A,TRUE,"template";"destec_annual",#N/A,TRUE,"template"}</definedName>
    <definedName name="ty" hidden="1">{#N/A,#N/A,TRUE,"Cover sheet";#N/A,#N/A,TRUE,"Summary";#N/A,#N/A,TRUE,"Key Assumptions";#N/A,#N/A,TRUE,"Profit &amp; Loss";#N/A,#N/A,TRUE,"Balance Sheet";#N/A,#N/A,TRUE,"Cashflow";#N/A,#N/A,TRUE,"IRR";#N/A,#N/A,TRUE,"Ratios";#N/A,#N/A,TRUE,"Debt analysis"}</definedName>
    <definedName name="tyeyer" hidden="1">{#N/A,#N/A,TRUE,"Historicals";#N/A,#N/A,TRUE,"Charts";#N/A,#N/A,TRUE,"Forecasts"}</definedName>
    <definedName name="tyftyjky" hidden="1">{0,#N/A,FALSE,0}</definedName>
    <definedName name="tyh" hidden="1">{"CHART",#N/A,FALSE,"Arch Communications"}</definedName>
    <definedName name="TYIKGFDH" hidden="1">{"'Demand Units'!$X$11:$AD$45"}</definedName>
    <definedName name="tyjfdg" hidden="1">{#N/A,#N/A,TRUE,"Historicals";#N/A,#N/A,TRUE,"Charts";#N/A,#N/A,TRUE,"Forecasts"}</definedName>
    <definedName name="tyjtyutu" hidden="1">{#N/A,#N/A,FALSE,"Table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name="tynm" hidden="1">{"apci",#N/A,FALSE,"Chem_CY";"eastman",#N/A,FALSE,"Eastman";"betz",#N/A,FALSE,"Betz";"great lakes",#N/A,FALSE,"Great_Lakes";"hercules",#N/A,FALSE,"Hercules Chem Seg Data";"rohm",#N/A,FALSE,"Rohm";"union carbide",#N/A,FALSE,"Union";"witco",#N/A,FALSE,"Witco"}</definedName>
    <definedName name="tynonasset" hidden="1">#REF!</definedName>
    <definedName name="TYRUI" hidden="1">{#N/A,#N/A,FALSE,"단축1";#N/A,#N/A,FALSE,"단축2";#N/A,#N/A,FALSE,"단축3";#N/A,#N/A,FALSE,"장축";#N/A,#N/A,FALSE,"4WD"}</definedName>
    <definedName name="tyrw" hidden="1">{"FY97Total var",#N/A,FALSE,"FY97 - Total";"FY98Total var",#N/A,FALSE,"FY98 - Total"}</definedName>
    <definedName name="tyu" hidden="1">{"consolidated",#N/A,FALSE,"Sheet1";"cms",#N/A,FALSE,"Sheet1";"fse",#N/A,FALSE,"Sheet1"}</definedName>
    <definedName name="tyufg" hidden="1">{"AQUIRORDCF",#N/A,FALSE,"Merger consequences";"Acquirorassns",#N/A,FALSE,"Merger consequences"}</definedName>
    <definedName name="tyui" hidden="1">{"ICD Details",#N/A,FALSE,"Current Yr";"ICD Details",#N/A,FALSE,"Budget";"ICD Details",#N/A,FALSE,"Prior Year"}</definedName>
    <definedName name="TYUJHTE" hidden="1">{"'Demand Units'!$X$11:$AD$45"}</definedName>
    <definedName name="tyutytyi" hidden="1">{#N/A,#N/A,FALSE,"Pharm";#N/A,#N/A,FALSE,"WWCM"}</definedName>
    <definedName name="TYUYTJ" hidden="1">{"'Demand Units'!$X$11:$AD$45"}</definedName>
    <definedName name="tyyufkjkhjd" hidden="1">{#N/A,#N/A,FALSE,"Pharm";#N/A,#N/A,FALSE,"WWCM"}</definedName>
    <definedName name="TYYYYY" hidden="1">{#N/A,#N/A,FALSE,"단축1";#N/A,#N/A,FALSE,"단축2";#N/A,#N/A,FALSE,"단축3";#N/A,#N/A,FALSE,"장축";#N/A,#N/A,FALSE,"4WD"}</definedName>
    <definedName name="tz56zuzu" hidden="1">1/EUReXToBEF</definedName>
    <definedName name="tzeuetzuetzutz" hidden="1">{#N/A,#N/A,FALSE,"Mittelherkunft";#N/A,#N/A,FALSE,"Mittelverwendung"}</definedName>
    <definedName name="tzhutrzu" hidden="1">{#N/A,#N/A,FALSE,"Layout Cash Flow"}</definedName>
    <definedName name="tzit" hidden="1">{#N/A,#N/A,FALSE,"Layout Aktiva";#N/A,#N/A,FALSE,"Layout Passiva";#N/A,#N/A,FALSE,"Layout GuV";#N/A,#N/A,FALSE,"Layout Cash Flow";#N/A,#N/A,FALSE,"Mittelherkunft";#N/A,#N/A,FALSE,"Mittelverwendung";#N/A,#N/A,FALSE,"Finanzbedarfsrechnung"}</definedName>
    <definedName name="tzizuizu" hidden="1">{#N/A,#N/A,FALSE,"Layout GuV"}</definedName>
    <definedName name="tzjuj" hidden="1">{#N/A,#N/A,FALSE,"Layout GuV"}</definedName>
    <definedName name="tzt" hidden="1">{#N/A,#N/A,FALSE,"Umsatz HM";#N/A,#N/A,FALSE,"ER HM";#N/A,#N/A,FALSE,"EA HM  (2)";#N/A,#N/A,FALSE,"EA HM ";#N/A,#N/A,FALSE,"EA HM  (4)";#N/A,#N/A,FALSE,"EA HM  (3)";#N/A,#N/A,FALSE,"KA HM  (2)";#N/A,#N/A,FALSE,"KA HM";#N/A,#N/A,FALSE,"KA HM  (3)";#N/A,#N/A,FALSE,"KA HM (4)"}</definedName>
    <definedName name="tztz" hidden="1">#REF!</definedName>
    <definedName name="tzutz.lkjkljk" hidden="1">{#N/A,#N/A,FALSE,"Umsatz CH";#N/A,#N/A,FALSE,"ER CH";#N/A,#N/A,FALSE,"EA CH (2) ";#N/A,#N/A,FALSE,"EA CH";#N/A,#N/A,FALSE,"EA CH (3) ";#N/A,#N/A,FALSE,"EA CH (4)";#N/A,#N/A,FALSE,"KA CH";#N/A,#N/A,FALSE,"KA CH  (2)";#N/A,#N/A,FALSE,"KA CH  (3)";#N/A,#N/A,FALSE,"KA CH (4)"}</definedName>
    <definedName name="tzutzu" hidden="1">{#N/A,#N/A,FALSE,"Finanzbedarsrechnung"}</definedName>
    <definedName name="tzutzutzut" hidden="1">{#N/A,#N/A,FALSE,"Layout Aktiva";#N/A,#N/A,FALSE,"Layout Passiva"}</definedName>
    <definedName name="tzuuet" hidden="1">{#N/A,#N/A,FALSE,"Mittelherkunft";#N/A,#N/A,FALSE,"Mittelverwendung"}</definedName>
    <definedName name="u" hidden="1">{"'Sheet1'!$A$1:$H$96"}</definedName>
    <definedName name="ü" hidden="1">{#N/A,#N/A,FALSE,"Aging Summary";#N/A,#N/A,FALSE,"Ratio Analysis";#N/A,#N/A,FALSE,"Test 120 Day Accts";#N/A,#N/A,FALSE,"Tickmarks"}</definedName>
    <definedName name="übers" hidden="1">{"budget95",#N/A,TRUE,"Tabelle1";"Tab1",#N/A,TRUE,"Tabelle2"}</definedName>
    <definedName name="uc" hidden="1">{"Y.1",#N/A,TRUE,"SIEMENS";"Y.2",#N/A,TRUE,"ALCATEL";"Y.3",#N/A,TRUE,"MOTOROLA";"Y.4",#N/A,TRUE,"DİĞER";"Y.5",#N/A,TRUE,"LG-5";"Y.6",#N/A,TRUE,"LG-5";"Y.7",#N/A,TRUE,"LG-4";"Y.8",#N/A,TRUE,"LG-4";"Y.10",#N/A,TRUE,"LG-4";"Y.9",#N/A,TRUE,"LG-4";"TERMİNAL",#N/A,TRUE,"TERMİNAL";"DETECON",#N/A,TRUE,"DETECON";"Y.10",#N/A,TRUE,"TEMİNAT";"Y.11",#N/A,TRUE,"TEMİNAT"}</definedName>
    <definedName name="UE_Seg" hidden="1">{"mgmt forecast",#N/A,FALSE,"Mgmt Forecast";"dcf table",#N/A,FALSE,"Mgmt Forecast";"sensitivity",#N/A,FALSE,"Mgmt Forecast";"table inputs",#N/A,FALSE,"Mgmt Forecast";"calculations",#N/A,FALSE,"Mgmt Forecast"}</definedName>
    <definedName name="UEASDAS" hidden="1">{#N/A,#N/A,FALSE,"Performance Flash Report"}</definedName>
    <definedName name="UEBLAH2" hidden="1">{#N/A,#N/A,FALSE,"Performance Flash Report"}</definedName>
    <definedName name="UEEfbar" hidden="1">{#N/A,#N/A,FALSE,"Performance Flash Report"}</definedName>
    <definedName name="UEPlaceholder" hidden="1">{#N/A,#N/A,FALSE,"Performance Flash Report"}</definedName>
    <definedName name="UEtest2" hidden="1">{#N/A,#N/A,FALSE,"Performance Flash Report"}</definedName>
    <definedName name="UETest3" hidden="1">{#N/A,#N/A,FALSE,"Performance Flash Report"}</definedName>
    <definedName name="UEwef" hidden="1">{#N/A,#N/A,FALSE,"Performance Flash Report"}</definedName>
    <definedName name="UEwrncs" hidden="1">{#N/A,#N/A,FALSE,"Performance Flash Report"}</definedName>
    <definedName name="ugö"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ugyi" hidden="1">{#N/A,#N/A,FALSE,"output";#N/A,#N/A,FALSE,"contrib";#N/A,#N/A,FALSE,"profile";#N/A,#N/A,FALSE,"comps"}</definedName>
    <definedName name="uh" hidden="1">{"detail",#N/A,FALSE,"mfg";"summary",#N/A,FALSE,"mfg"}</definedName>
    <definedName name="uhds" hidden="1">{"'Sheet1'!$A$1:$H$96"}</definedName>
    <definedName name="uhiuk" hidden="1">{"adj95mult",#N/A,FALSE,"COMPCO";"adj95est",#N/A,FALSE,"COMPCO"}</definedName>
    <definedName name="uhu7gh" hidden="1">{#N/A,#N/A,FALSE,"Index";#N/A,#N/A,FALSE,"1.1";#N/A,#N/A,FALSE,"Scenario Summary"}</definedName>
    <definedName name="ui" hidden="1">{"Total",#N/A,FALSE,"Total Proved";"PDP",#N/A,FALSE,"Total Proved";"PNP",#N/A,FALSE,"Total Proved";"PUD",#N/A,FALSE,"Total Proved"}</definedName>
    <definedName name="uiim" hidden="1">{"Pg1",#N/A,FALSE,"OpExYTDvsBud";"Pg2",#N/A,FALSE,"OpExYTDvsBud"}</definedName>
    <definedName name="uiiuiui"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uilui" hidden="1">{#N/A,#N/A,FALSE,"Mittelherkunft";#N/A,#N/A,FALSE,"Mittelverwendung"}</definedName>
    <definedName name="uiluiluo" hidden="1">{#N/A,#N/A,FALSE,"Mittelherkunft";#N/A,#N/A,FALSE,"Mittelverwendung"}</definedName>
    <definedName name="uio" hidden="1">{"MATERIAL",#N/A,FALSE,"material"}</definedName>
    <definedName name="uiogiuoyguiu" hidden="1">{#N/A,#N/A,FALSE,"Table of Contents"}</definedName>
    <definedName name="uiopöio" hidden="1">{#N/A,#N/A,FALSE,"Layout Aktiva";#N/A,#N/A,FALSE,"Layout Passiva"}</definedName>
    <definedName name="uit" hidden="1">{"'Other IPS'!$A$5","'Other IPS'!$A$4:$K$38"}</definedName>
    <definedName name="uiu"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uiui" hidden="1">{#N/A,#N/A,FALSE,"Umsatz HM";#N/A,#N/A,FALSE,"ER HM";#N/A,#N/A,FALSE,"EA HM  (2)";#N/A,#N/A,FALSE,"EA HM ";#N/A,#N/A,FALSE,"EA HM  (4)";#N/A,#N/A,FALSE,"EA HM  (3)";#N/A,#N/A,FALSE,"KA HM  (2)";#N/A,#N/A,FALSE,"KA HM";#N/A,#N/A,FALSE,"KA HM  (3)";#N/A,#N/A,FALSE,"KA HM (4)"}</definedName>
    <definedName name="uiuyiutit" hidden="1">{#N/A,#N/A,TRUE,"Historicals";#N/A,#N/A,TRUE,"Charts";#N/A,#N/A,TRUE,"Forecasts"}</definedName>
    <definedName name="ujfsw"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ujn"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uju"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ukyuyut" hidden="1">{"'Other IPS'!$A$5","'Other IPS'!$A$4:$K$38"}</definedName>
    <definedName name="Ultra" hidden="1">{"DOM",#N/A,FALSE,"A8CONTENT"}</definedName>
    <definedName name="Umbuchungsliste_cum" hidden="1">{"K Bilanz o. Kommentar",#N/A,FALSE,"Kaufhof"}</definedName>
    <definedName name="ummsatz" hidden="1">{"kekto1",#N/A,FALSE,"C";"kekto2",#N/A,FALSE,"C";"kekto3",#N/A,FALSE,"C";"kekto4",#N/A,FALSE,"C";"kekto5",#N/A,FALSE,"C";"kekto6",#N/A,FALSE,"C";"kekto7",#N/A,FALSE,"C";"kekto8",#N/A,FALSE,"C";"kekto9",#N/A,FALSE,"C";"kekto10",#N/A,FALSE,"C";"kekto11",#N/A,FALSE,"C";"kekto 12",#N/A,FALSE,"C"}</definedName>
    <definedName name="ums2001a" hidden="1">{"budget95",#N/A,TRUE,"Tabelle1";"Tab1",#N/A,TRUE,"Tabelle2"}</definedName>
    <definedName name="Umsatzbrücke" hidden="1">{"mgmt forecast",#N/A,FALSE,"Mgmt Forecast";"dcf table",#N/A,FALSE,"Mgmt Forecast";"sensitivity",#N/A,FALSE,"Mgmt Forecast";"table inputs",#N/A,FALSE,"Mgmt Forecast";"calculations",#N/A,FALSE,"Mgmt Forecast"}</definedName>
    <definedName name="umy" hidden="1">{"comps",#N/A,FALSE,"comps";"notes",#N/A,FALSE,"comps"}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j"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uno" hidden="1">{#N/A,#N/A,FALSE,"ADNAMES.XLS";#N/A,#N/A,FALSE,"EQNAMES.XLS";#N/A,#N/A,FALSE,"INNAMES.XLS";#N/A,#N/A,FALSE,"HYNAMES.XLS";#N/A,#N/A,FALSE,"FIXNAMES.XLS";#N/A,#N/A,FALSE,"MONNAMES.XLS";#N/A,#N/A,FALSE,"TECNAMES.XLS"}</definedName>
    <definedName name="UNREALIZED_GAIN" hidden="1">"UNREALIZED_GAIN"</definedName>
    <definedName name="UNUSUAL_EXP" hidden="1">"UNUSUAL_EXP"</definedName>
    <definedName name="uo" hidden="1">{"weichwaren",#N/A,FALSE,"Liste 1";"hartwaren",#N/A,FALSE,"Liste 1";"food",#N/A,FALSE,"Liste 1";"fleisch",#N/A,FALSE,"Liste 1"}</definedName>
    <definedName name="uoip"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uon" hidden="1">{#N/A,#N/A,FALSE,"invpln"}</definedName>
    <definedName name="uoo" hidden="1">{"TAG1AGMS",#N/A,FALSE,"TAG 1A"}</definedName>
    <definedName name="uoö"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uoög" hidden="1">Main.SAPF4Help()</definedName>
    <definedName name="uöoö"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uoööo"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uop" hidden="1">{"A_Vorstand",#N/A,TRUE,"PK Szenario ";"B_Nord",#N/A,TRUE,"PK Szenario ";"C_Nordwest",#N/A,TRUE,"PK Szenario ";"D_West",#N/A,TRUE,"PK Szenario ";"E_Südwest",#N/A,TRUE,"PK Szenario ";"F_Süd",#N/A,TRUE,"PK Szenario ";"G_Ost",#N/A,TRUE,"PK Szenario ";"H_Gesamt",#N/A,TRUE,"PK Szenario "}</definedName>
    <definedName name="UOUIOIU" hidden="1">{"'Demand Units'!$X$11:$AD$45"}</definedName>
    <definedName name="updated" hidden="1">{#N/A,#N/A,FALSE,"P&amp;L";#N/A,#N/A,FALSE,"Balance Sheet";#N/A,#N/A,FALSE,"Cash flow";#N/A,#N/A,FALSE,"Sales";#N/A,#N/A,FALSE,"Data";#N/A,#N/A,FALSE,"Pie Q2.00";#N/A,#N/A,FALSE,"Pie Accum";#N/A,#N/A,FALSE,"Integrators";#N/A,#N/A,FALSE,"Geographic";#N/A,#N/A,FALSE,"DSO";#N/A,#N/A,FALSE,"Headcount"}</definedName>
    <definedName name="uq" hidden="1">{"detail",#N/A,FALSE,"mfg";"summary",#N/A,FALSE,"mfg"}</definedName>
    <definedName name="urrrr" hidden="1">{"'Other IPS'!$A$5","'Other IPS'!$A$4:$K$38"}</definedName>
    <definedName name="US_GAAP" hidden="1">"US_GAAP"</definedName>
    <definedName name="USDollar" hidden="1">#REF!</definedName>
    <definedName name="USR_Calc_Excel" hidden="1">"#-4135#"</definedName>
    <definedName name="USR_Grp_Excel" hidden="1">"KC21"</definedName>
    <definedName name="USR_Name_Excel" hidden="1">"GÄRTNER"</definedName>
    <definedName name="USR_Pwd_Excel" hidden="1">"nB164186180207200164"</definedName>
    <definedName name="ut" hidden="1">{#N/A,"PURCHM",FALSE,"Business Analysis";#N/A,"SPADD",FALSE,"Business Analysis"}</definedName>
    <definedName name="utzuutzutu" hidden="1">{#N/A,#N/A,FALSE,"Mittelherkunft";#N/A,#N/A,FALSE,"Mittelverwendung"}</definedName>
    <definedName name="uu" hidden="1">{"away stand alones",#N/A,FALSE,"Target"}</definedName>
    <definedName name="uu.kk" hidden="1">{#N/A,#N/A,FALSE,"KA CH  (2)"}</definedName>
    <definedName name="üü.l" hidden="1">{#N/A,#N/A,FALSE,"Umsatz EO BP";#N/A,#N/A,FALSE,"Umsatz EO OP";#N/A,#N/A,FALSE,"ER EO BP";#N/A,#N/A,FALSE,"ER EO OP";#N/A,#N/A,FALSE,"EA EO (2)";#N/A,#N/A,FALSE,"EA EO";#N/A,#N/A,FALSE,"EA EO (3)";#N/A,#N/A,FALSE,"EA EO (4)";#N/A,#N/A,FALSE,"KA EO  (2)";#N/A,#N/A,FALSE,"KA EO";#N/A,#N/A,FALSE,"KA EO  (3)";#N/A,#N/A,FALSE,"KA EO (4)"}</definedName>
    <definedName name="uuik" hidden="1">#REF!</definedName>
    <definedName name="uuu" hidden="1">{"cred comp",#N/A,FALSE,"Comparable Credit Analysis";"IS",#N/A,FALSE,"IS";"Sensitivity",#N/A,FALSE,"Sensitivity";"BS",#N/A,FALSE,"BS";"Bond Summary",#N/A,FALSE,"B Summary";"AD",#N/A,FALSE,"Accretion";"NAV",#N/A,FALSE,"NAV";"SU",#N/A,FALSE,"S&amp;U";"acq. study",#N/A,FALSE,"Acq. Study";"F Charges",#N/A,FALSE,"Fixed Charges"}</definedName>
    <definedName name="üüü" hidden="1">{#N/A,#N/A,FALSE,"Umsatz HM";#N/A,#N/A,FALSE,"ER HM";#N/A,#N/A,FALSE,"EA HM  (2)";#N/A,#N/A,FALSE,"EA HM ";#N/A,#N/A,FALSE,"EA HM  (4)";#N/A,#N/A,FALSE,"EA HM  (3)";#N/A,#N/A,FALSE,"KA HM  (2)";#N/A,#N/A,FALSE,"KA HM";#N/A,#N/A,FALSE,"KA HM  (3)";#N/A,#N/A,FALSE,"KA HM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9" hidden="1">{#N/A,#N/A,FALSE,"MAY";#N/A,#N/A,FALSE,"Q2";#N/A,#N/A,FALSE,"YTD"}</definedName>
    <definedName name="uuuuu" hidden="1">{#N/A,#N/A,FALSE,"MAY";#N/A,#N/A,FALSE,"Q2";#N/A,#N/A,FALSE,"YTD"}</definedName>
    <definedName name="uuuuu1" hidden="1">{#N/A,#N/A,FALSE,"MAY";#N/A,#N/A,FALSE,"Q2";#N/A,#N/A,FALSE,"YTD"}</definedName>
    <definedName name="uuuuuuuuuu" hidden="1">40803.6263310185</definedName>
    <definedName name="UUUUUUUUUUUUUUUUUU" hidden="1">{"Summary",#N/A,FALSE,"Summary";"A&amp;A's",#N/A,FALSE,"Aids &amp; A's";"MajorWorks",#N/A,FALSE,"Major Works";"EstateImps",#N/A,FALSE,"Estate Imps";"CatC",#N/A,FALSE,"Cat C Voids";"CycProg",#N/A,FALSE,"Cyclical Prog inc MR"}</definedName>
    <definedName name="UUUUUUUUUUUUUUUUUUUUUUUUU" hidden="1">{#N/A,#N/A,FALSE,"HEADER SHEET";#N/A,#N/A,FALSE,"A402";#N/A,#N/A,FALSE,"S150"}</definedName>
    <definedName name="ÜV1" hidden="1">#REF!*#REF!</definedName>
    <definedName name="ÜV2" hidden="1">#REF!*#REF!</definedName>
    <definedName name="ÜV3" hidden="1">#REF!*#REF!</definedName>
    <definedName name="ÜV4" hidden="1">#REF!*#REF!</definedName>
    <definedName name="uy" hidden="1">{"'Demand Units'!$Z$2:$AF$53"}</definedName>
    <definedName name="uyrjn" hidden="1">{#N/A,#N/A,TRUE,"Historicals";#N/A,#N/A,TRUE,"Charts";#N/A,#N/A,TRUE,"Forecasts"}</definedName>
    <definedName name="uyt" hidden="1">Main.SAPF4Help()</definedName>
    <definedName name="uytr" hidden="1">{#N/A,"PURCHM",FALSE,"Business Analysis";#N/A,"SPADD",FALSE,"Business Analysis"}</definedName>
    <definedName name="uytry" hidden="1">{"mgmt forecast",#N/A,FALSE,"Mgmt Forecast";"dcf table",#N/A,FALSE,"Mgmt Forecast";"sensitivity",#N/A,FALSE,"Mgmt Forecast";"table inputs",#N/A,FALSE,"Mgmt Forecast";"calculations",#N/A,FALSE,"Mgmt Forecast"}</definedName>
    <definedName name="uyuy" hidden="1">{"page1",#N/A,FALSE,"Casual RLE";"page2",#N/A,FALSE,"Casual RLE"}</definedName>
    <definedName name="uyyuyuuu" hidden="1">{"CSheet",#N/A,FALSE,"C";"SmCap",#N/A,FALSE,"VAL1";"GulfCoast",#N/A,FALSE,"VAL1";"nav",#N/A,FALSE,"NAV";"Summary",#N/A,FALSE,"NAV"}</definedName>
    <definedName name="uz" hidden="1">{"fleisch",#N/A,FALSE,"WG HK";"food",#N/A,FALSE,"WG HK";"hartwaren",#N/A,FALSE,"WG HK";"weichwaren",#N/A,FALSE,"WG HK"}</definedName>
    <definedName name="uzlzf"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uztuz" hidden="1">{#N/A,#N/A,FALSE,"Umsatz OK";#N/A,#N/A,FALSE,"ER OK ";#N/A,#N/A,FALSE,"EA OK (2)";#N/A,#N/A,FALSE,"EA OK";#N/A,#N/A,FALSE,"EA OK (3)";#N/A,#N/A,FALSE,"EA OK (4)";#N/A,#N/A,FALSE,"KA OK  (2)";#N/A,#N/A,FALSE,"KA OK";#N/A,#N/A,FALSE,"KA OK  (3)";#N/A,#N/A,FALSE,"KA OK (4)"}</definedName>
    <definedName name="uzuztt" hidden="1">{#N/A,#N/A,FALSE,"Umsatz HM";#N/A,#N/A,FALSE,"ER HM";#N/A,#N/A,FALSE,"EA HM  (2)";#N/A,#N/A,FALSE,"EA HM ";#N/A,#N/A,FALSE,"EA HM  (4)";#N/A,#N/A,FALSE,"EA HM  (3)";#N/A,#N/A,FALSE,"KA HM  (2)";#N/A,#N/A,FALSE,"KA HM";#N/A,#N/A,FALSE,"KA HM  (3)";#N/A,#N/A,FALSE,"KA HM (4)"}</definedName>
    <definedName name="uzz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v" hidden="1">{#N/A,#N/A,FALSE,"Summary";#N/A,#N/A,FALSE,"Signatures";#N/A,#N/A,FALSE,"FL Current";#N/A,#N/A,FALSE,"Assumptions";#N/A,#N/A,FALSE,"Assumptions";#N/A,#N/A,FALSE,"Assumptions";#N/A,#N/A,FALSE,"FL Last";#N/A,#N/A,FALSE,"FL Orig";#N/A,#N/A,FALSE,"C to G Explain"}</definedName>
    <definedName name="v.1" hidden="1">{#N/A,#N/A,FALSE,"Umsatz HM";#N/A,#N/A,FALSE,"ER HM";#N/A,#N/A,FALSE,"EA HM  (2)";#N/A,#N/A,FALSE,"EA HM ";#N/A,#N/A,FALSE,"EA HM  (4)";#N/A,#N/A,FALSE,"EA HM  (3)";#N/A,#N/A,FALSE,"KA HM  (2)";#N/A,#N/A,FALSE,"KA HM";#N/A,#N/A,FALSE,"KA HM  (3)";#N/A,#N/A,FALSE,"KA HM (4)"}</definedName>
    <definedName name="v.10"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hidden="1">{#N/A,#N/A,FALSE,"Produkte Erw.";#N/A,#N/A,FALSE,"Produkte Plan";#N/A,#N/A,FALSE,"Leistungen Erw.";#N/A,#N/A,FALSE,"Leistungen Plan";#N/A,#N/A,FALSE,"KA Allg.Kosten (2)";#N/A,#N/A,FALSE,"KA All.Kosten"}</definedName>
    <definedName name="V_SUm" hidden="1">{#N/A,#N/A,FALSE,"Summary";#N/A,#N/A,FALSE,"Base Materials";#N/A,#N/A,FALSE,"Construction";#N/A,#N/A,FALSE,"Packaging";#N/A,#N/A,FALSE,"Transportation"}</definedName>
    <definedName name="val\" hidden="1">{#N/A,#N/A,FALSE,"Summary";#N/A,#N/A,FALSE,"Base Materials";#N/A,#N/A,FALSE,"Construction";#N/A,#N/A,FALSE,"Packaging";#N/A,#N/A,FALSE,"Transportation"}</definedName>
    <definedName name="Value" hidden="1">{"Historic Balance Sheet",#N/A,FALSE,"HBAL";"Historic Income",#N/A,FALSE,"HINC";"Historic Cash Flow",#N/A,FALSE,"HCFLOW";"Common Size Balance Sheet",#N/A,FALSE,"CSHBAL";"Common Size Income Statement",#N/A,FALSE,"CSHINC";"Ratios",#N/A,FALSE,"RATIOS"}</definedName>
    <definedName name="VANHIndex" hidden="1">"O"</definedName>
    <definedName name="vbhj" hidden="1">{#N/A,"PURCHM",FALSE,"Business Analysis";#N/A,"SPADD",FALSE,"Business Analysis"}</definedName>
    <definedName name="vbmghj" hidden="1">{#N/A,#N/A,TRUE,"Assumptions";#N/A,#N/A,TRUE,"Op Projection";#N/A,#N/A,TRUE,"Capital";#N/A,#N/A,TRUE,"Income";#N/A,#N/A,TRUE,"Balance";#N/A,#N/A,TRUE,"Sources&amp;Uses"}</definedName>
    <definedName name="vbncx" hidden="1">{#N/A,#N/A,FALSE,"Layout GuV"}</definedName>
    <definedName name="vbnm" hidden="1">{"net assets",#N/A,FALSE,"summary";"asset turnover",#N/A,FALSE,"summary";"orona",#N/A,FALSE,"summary"}</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 hidden="1">"c116"</definedName>
    <definedName name="VC" localSheetId="55">#REF!</definedName>
    <definedName name="VC">#REF!</definedName>
    <definedName name="vc_redemption_premium" localSheetId="55">#REF!</definedName>
    <definedName name="vc_redemption_premium">#REF!</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ncvnc" hidden="1">{"landexbravo",#N/A,FALSE,"Land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name="vcncvncnb" hidden="1">{"comps",#N/A,FALSE,"HANDPACK";"footnotes",#N/A,FALSE,"HANDPACK"}</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v" hidden="1">{#N/A,#N/A,FALSE,"Umsatz EO BP";#N/A,#N/A,FALSE,"Umsatz EO OP";#N/A,#N/A,FALSE,"ER EO BP";#N/A,#N/A,FALSE,"ER EO OP";#N/A,#N/A,FALSE,"EA EO (2)";#N/A,#N/A,FALSE,"EA EO";#N/A,#N/A,FALSE,"EA EO (3)";#N/A,#N/A,FALSE,"EA EO (4)";#N/A,#N/A,FALSE,"KA EO  (2)";#N/A,#N/A,FALSE,"KA EO";#N/A,#N/A,FALSE,"KA EO  (3)";#N/A,#N/A,FALSE,"KA EO (4)"}</definedName>
    <definedName name="vcx" hidden="1">{"YD PACKAGE",#N/A,FALSE,"YTD"}</definedName>
    <definedName name="vcxvf" hidden="1">{#N/A,#N/A,TRUE,"Historicals";#N/A,#N/A,TRUE,"Charts";#N/A,#N/A,TRUE,"Forecasts"}</definedName>
    <definedName name="vcxvfds" hidden="1">{#N/A,#N/A,TRUE,"Historicals";#N/A,#N/A,TRUE,"Charts";#N/A,#N/A,TRUE,"Forecasts"}</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fsvdsre" hidden="1">{#N/A,#N/A,TRUE,"Historicals";#N/A,#N/A,TRUE,"Charts";#N/A,#N/A,TRUE,"Forecasts"}</definedName>
    <definedName name="vdsfd" hidden="1">{#N/A,#N/A,TRUE,"Historicals";#N/A,#N/A,TRUE,"Charts";#N/A,#N/A,TRUE,"Forecasts"}</definedName>
    <definedName name="vel" hidden="1">{#N/A,#N/A,FALSE,"SKG_SC";#N/A,#N/A,FALSE,"SKG_KP";#N/A,#N/A,FALSE,"SCG_KC";#N/A,#N/A,FALSE,"SKG_PM";#N/A,#N/A,FALSE,"SKG_Asta";#N/A,#N/A,FALSE,"SKG_DE";#N/A,#N/A,FALSE,"SKG_FA";#N/A,#N/A,FALSE,"SKG_EM";#N/A,#N/A,FALSE,"SKG_AK";#N/A,#N/A,FALSE,"SKG_CER";#N/A,#N/A,FALSE,"SKG_BA";#N/A,#N/A,FALSE,"SKG_KO"}</definedName>
    <definedName name="Ver" hidden="1">800</definedName>
    <definedName name="verbaut_FI" hidden="1">{"QUERYLIB/VERBAUT"}</definedName>
    <definedName name="verbaut_IsText" hidden="1">FALSE</definedName>
    <definedName name="verbaut_OF" hidden="1">{"DBDTL","DBDAU","DBDNR","DBDMEI","DBDDTI","DBD2","DAUSAU","DAOTLN","DTL3","DTLBN2","DTL5","DAOLNR"}</definedName>
    <definedName name="verbaut_OFText" hidden="1">{"Teilenummer","Auftragsnummer","Bedarfsnummer","Ist-Menge","Ist-Datum","Sortierbegriff Bedar","Auftragsstatus","Teilenummer","Benennung 1","Benennung 2","Zeichnungsnummer","POSITIONSNUMMER"}</definedName>
    <definedName name="VerbindlGgLief" hidden="1">#REF!</definedName>
    <definedName name="VerbindlGgLief_" hidden="1">#REF!</definedName>
    <definedName name="Verkehrszweig1">#REF!</definedName>
    <definedName name="VerrKalkKosten" hidden="1">#REF!</definedName>
    <definedName name="VerrKalkKosten_" hidden="1">#REF!</definedName>
    <definedName name="VerrKalkKostenK" hidden="1">#REF!</definedName>
    <definedName name="VerrKalkKostenM" hidden="1">#REF!</definedName>
    <definedName name="VerrKalkKostenN" hidden="1">#REF!</definedName>
    <definedName name="VersichErstattung" hidden="1">#REF!</definedName>
    <definedName name="VersichErstattung_" hidden="1">#REF!</definedName>
    <definedName name="VersichErstattungN" hidden="1">#REF!</definedName>
    <definedName name="versicherung" hidden="1">{#N/A,#N/A,FALSE,"Aktiva";#N/A,#N/A,FALSE,"Passiva";#N/A,#N/A,FALSE,"guv";#N/A,#N/A,FALSE,"Anl-1";#N/A,#N/A,FALSE,"Anl-2";#N/A,#N/A,FALSE,"Anl-III";#N/A,#N/A,FALSE,"Ta-1-Anh";#N/A,#N/A,FALSE,"Ta-2-Anh";#N/A,#N/A,FALSE,"Ta-3-Anh";#N/A,#N/A,FALSE,"Kontroll-Blatt"}</definedName>
    <definedName name="Versicherungen" hidden="1">#REF!</definedName>
    <definedName name="Versicherungen_" hidden="1">#REF!</definedName>
    <definedName name="VersicherungenN" hidden="1">#REF!</definedName>
    <definedName name="VersionNumber" hidden="1">"4.5.5708"</definedName>
    <definedName name="Verwaltung" hidden="1">"4ZU4VF4FRUWRKH4J3VDZN4EKH"</definedName>
    <definedName name="vf" hidden="1">{#N/A,#N/A,FALSE,"Staffnos &amp; cost"}</definedName>
    <definedName name="vfcd" hidden="1">{"QTD",#N/A,FALSE,"SUM"}</definedName>
    <definedName name="vfdsagra" hidden="1">{#N/A,#N/A,TRUE,"Historicals";#N/A,#N/A,TRUE,"Charts";#N/A,#N/A,TRUE,"Forecasts"}</definedName>
    <definedName name="vfg" hidden="1">{#N/A,#N/A,FALSE,"Staffnos &amp; cost"}</definedName>
    <definedName name="vfhy" hidden="1">{"GENERALH2",#N/A,FALSE,"CM"}</definedName>
    <definedName name="vg" hidden="1">{#N/A,#N/A,TRUE,"Cover sheet";#N/A,#N/A,TRUE,"DCF analysis";#N/A,#N/A,TRUE,"WACC calculation"}</definedName>
    <definedName name="vgf" hidden="1">{"GENERALH2",#N/A,FALSE,"CM"}</definedName>
    <definedName name="Viastar" hidden="1">{#N/A,#N/A,FALSE,"Assumptions";#N/A,#N/A,FALSE,"N-IS-Sum";#N/A,#N/A,FALSE,"N-St-Sum";#N/A,#N/A,FALSE,"Inc Stmt";#N/A,#N/A,FALSE,"Stats"}</definedName>
    <definedName name="vids" hidden="1">#REF!</definedName>
    <definedName name="vik" hidden="1">{#N/A,#N/A,FALSE,"Finanzbedarfsrechnung"}</definedName>
    <definedName name="viktor" hidden="1">{#N/A,#N/A,FALSE,"Finanzbedarfsrechnung"}</definedName>
    <definedName name="vimlesh" hidden="1">{#N/A,#N/A,FALSE,"Staffnos &amp; cost"}</definedName>
    <definedName name="VKL" hidden="1">{"weichwaren",#N/A,FALSE,"Liste 1";"hartwaren",#N/A,FALSE,"Liste 1";"food",#N/A,FALSE,"Liste 1";"fleisch",#N/A,FALSE,"Liste 1"}</definedName>
    <definedName name="vn.2" hidden="1">{#N/A,#N/A,FALSE,"KA CH  (2)"}</definedName>
    <definedName name="vn.9" hidden="1">{#N/A,#N/A,FALSE,"Umsatz CH";#N/A,#N/A,FALSE,"ER CH";#N/A,#N/A,FALSE,"EA CH (2) ";#N/A,#N/A,FALSE,"EA CH";#N/A,#N/A,FALSE,"EA CH (3) ";#N/A,#N/A,FALSE,"EA CH (4)";#N/A,#N/A,FALSE,"KA CH";#N/A,#N/A,FALSE,"KA CH  (2)";#N/A,#N/A,FALSE,"KA CH  (3)";#N/A,#N/A,FALSE,"KA CH (4)"}</definedName>
    <definedName name="vo" hidden="1">{"consolidated",#N/A,FALSE,"Sheet1";"cms",#N/A,FALSE,"Sheet1";"fse",#N/A,FALSE,"Sheet1"}</definedName>
    <definedName name="VoIP" hidden="1">{"'Staffing and  Mail Volume'!$A$1:$J$19"}</definedName>
    <definedName name="Volumen" hidden="1">{#N/A,#N/A,FALSE,"Report-Generator";#N/A,#N/A,FALSE,"S.1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name="VorlaeufigesErgebnis" hidden="1">#REF!</definedName>
    <definedName name="VorlaeufigesErgebnis_" hidden="1">#REF!</definedName>
    <definedName name="VorlaeufigesErgebnisK" hidden="1">#REF!</definedName>
    <definedName name="VorlaeufigesErgebnisM" hidden="1">#REF!</definedName>
    <definedName name="VorlaeufigesErgebnisN" hidden="1">#REF!</definedName>
    <definedName name="vsv" hidden="1">{"comp",#N/A,FALSE,"SPEC";"footnotes",#N/A,FALSE,"SPEC"}</definedName>
    <definedName name="vt_recalc" hidden="1">#REF!</definedName>
    <definedName name="vv" hidden="1">{"Fiesta Facer Page",#N/A,FALSE,"Q_C_S";"Fiesta Main Page",#N/A,FALSE,"V_L";"Fiesta 95BP Struct",#N/A,FALSE,"StructBP";"Fiesta Post 95BP Struct",#N/A,FALSE,"AdjStructBP"}</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swfv" hidden="1">{#N/A,#N/A,FALSE,"Mittelherkunft";#N/A,#N/A,FALSE,"Mittelverwendung"}</definedName>
    <definedName name="vvv" hidden="1">{"'Form'!$A$2:$J$81"}</definedName>
    <definedName name="vvvfr" hidden="1">{#N/A,#N/A,FALSE,"Aktiva";#N/A,#N/A,FALSE,"Passiva";#N/A,#N/A,FALSE,"guv";#N/A,#N/A,FALSE,"Anl-1";#N/A,#N/A,FALSE,"Anl-2";#N/A,#N/A,FALSE,"Anl-III";#N/A,#N/A,FALSE,"Ta-1-Anh";#N/A,#N/A,FALSE,"Ta-2-Anh";#N/A,#N/A,FALSE,"Ta-3-Anh";#N/A,#N/A,FALSE,"Kontroll-Blatt"}</definedName>
    <definedName name="VVVV" hidden="1">{"quarterly",#N/A,FALSE,"Income Statement";#N/A,#N/A,FALSE,"print segment";#N/A,#N/A,FALSE,"Balance Sheet";#N/A,#N/A,FALSE,"Annl Inc";#N/A,#N/A,FALSE,"Cash Flow"}</definedName>
    <definedName name="vvvvvvvvvv" hidden="1">{"net assets",#N/A,FALSE,"summary";"asset turnover",#N/A,FALSE,"summary";"orona",#N/A,FALSE,"summary"}</definedName>
    <definedName name="vvvvvvvvvvvvvvvv" hidden="1">{#N/A,#N/A,FALSE,"Aktiva";#N/A,#N/A,FALSE,"Passiva";#N/A,#N/A,FALSE,"guv";#N/A,#N/A,FALSE,"Anl-1";#N/A,#N/A,FALSE,"Anl-2";#N/A,#N/A,FALSE,"Anl-III";#N/A,#N/A,FALSE,"Ta-1-Anh";#N/A,#N/A,FALSE,"Ta-2-Anh";#N/A,#N/A,FALSE,"Ta-3-Anh";#N/A,#N/A,FALSE,"Kontroll-Blatt"}</definedName>
    <definedName name="VZXS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 localSheetId="55" hidden="1">'[1]Piper Heidsieck'!#REF!</definedName>
    <definedName name="w" hidden="1">'[1]Piper Heidsieck'!#REF!</definedName>
    <definedName name="w.l" hidden="1">{#N/A,#N/A,FALSE,"Umsatz HM";#N/A,#N/A,FALSE,"ER HM";#N/A,#N/A,FALSE,"EA HM  (2)";#N/A,#N/A,FALSE,"EA HM ";#N/A,#N/A,FALSE,"EA HM  (4)";#N/A,#N/A,FALSE,"EA HM  (3)";#N/A,#N/A,FALSE,"KA HM  (2)";#N/A,#N/A,FALSE,"KA HM";#N/A,#N/A,FALSE,"KA HM  (3)";#N/A,#N/A,FALSE,"KA HM (4)"}</definedName>
    <definedName name="w_" hidden="1">{#N/A,#N/A,FALSE,"bel";#N/A,#N/A,FALSE,"neth"}</definedName>
    <definedName name="w2f" hidden="1">{"QTD_LPO2N2",#N/A,FALSE,"QTD";"QTD_HYCO",#N/A,FALSE,"QTD";"QTD_LOUISIANA",#N/A,FALSE,"QTD";"QTD_GENERALH2",#N/A,FALSE,"QTD";"QTD_PACKAGE",#N/A,FALSE,"QTD";"QTD_PRS",#N/A,FALSE,"QTD";"QTD_OTHER",#N/A,FALSE,"QTD"}</definedName>
    <definedName name="w2r5" hidden="1">{"QTD_OTHER",#N/A,FALSE,"QTD"}</definedName>
    <definedName name="W61C" hidden="1">{"AnaM1",#N/A,FALSE,"AnalisisM";"AnaM2",#N/A,FALSE,"AnalisisM";"AnaM3",#N/A,FALSE,"AnalisisM"}</definedName>
    <definedName name="W61C直接固定費" hidden="1">{"SUM GER",#N/A,FALSE,"SUM GER";"SUM FRA",#N/A,FALSE,"SUM FRA";"SUM ITA",#N/A,FALSE,"SUM ITA";"SUM SPA",#N/A,FALSE,"SUM SPA";"SUM EGB",#N/A,FALSE,"SUM EGB";"SUM IND",#N/A,FALSE,"SUM IND"}</definedName>
    <definedName name="wa" hidden="1">Main.SAPF4Help()</definedName>
    <definedName name="wae.2" hidden="1">{#N/A,#N/A,FALSE,"Umsatz CH";#N/A,#N/A,FALSE,"ER CH";#N/A,#N/A,FALSE,"EA CH (2) ";#N/A,#N/A,FALSE,"EA CH";#N/A,#N/A,FALSE,"EA CH (3) ";#N/A,#N/A,FALSE,"EA CH (4)";#N/A,#N/A,FALSE,"KA CH";#N/A,#N/A,FALSE,"KA CH  (2)";#N/A,#N/A,FALSE,"KA CH  (3)";#N/A,#N/A,FALSE,"KA CH (4)"}</definedName>
    <definedName name="wae.er_er." hidden="1">{#N/A,#N/A,FALSE,"Umsatz EO BP";#N/A,#N/A,FALSE,"Umsatz EO OP";#N/A,#N/A,FALSE,"ER EO BP";#N/A,#N/A,FALSE,"ER EO OP";#N/A,#N/A,FALSE,"EA EO (2)";#N/A,#N/A,FALSE,"EA EO";#N/A,#N/A,FALSE,"EA EO (3)";#N/A,#N/A,FALSE,"EA EO (4)";#N/A,#N/A,FALSE,"KA EO  (2)";#N/A,#N/A,FALSE,"KA EO";#N/A,#N/A,FALSE,"KA EO  (3)";#N/A,#N/A,FALSE,"KA EO (4)"}</definedName>
    <definedName name="warefa" hidden="1">{"toc1",#N/A,FALSE,"TOC";"cover",#N/A,FALSE,"Cover";"ts1",#N/A,FALSE,"Transaction Summary";"ei3",#N/A,FALSE,"Earnings Impact";"ad3",#N/A,FALSE,"accretion dilution"}</definedName>
    <definedName name="was" hidden="1">{#N/A,#N/A,FALSE,"Sales Graph";#N/A,#N/A,FALSE,"BUC Graph";#N/A,#N/A,FALSE,"P&amp;L - YTD"}</definedName>
    <definedName name="wasistdas" hidden="1">{#N/A,#N/A,FALSE,"Liste VKL"}</definedName>
    <definedName name="wat" hidden="1">{"résultats_édition client",#N/A,FALSE,"Résultats"}</definedName>
    <definedName name="wb" hidden="1">{#N/A,#N/A,FALSE,"Pharm";#N/A,#N/A,FALSE,"WWCM"}</definedName>
    <definedName name="w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com" hidden="1">{"IS",#N/A,FALSE,"IS";"RPTIS",#N/A,FALSE,"RPTIS";"STATS",#N/A,FALSE,"STATS";"BS",#N/A,FALSE,"BS"}</definedName>
    <definedName name="wcy" hidden="1">{"YD PRS",#N/A,FALSE,"YTD"}</definedName>
    <definedName name="wd" hidden="1">{#N/A,#N/A,FALSE,"Aging Summary";#N/A,#N/A,FALSE,"Ratio Analysis";#N/A,#N/A,FALSE,"Test 120 Day Accts";#N/A,#N/A,FALSE,"Tickmarks"}</definedName>
    <definedName name="WDFW" hidden="1">{"rep1",#N/A,FALSE,"ריכוז";"REP7",#N/A,FALSE,"מפורט_אזורים_ער""ז";"REP2",#N/A,FALSE,"מפורט1";"REP3",#N/A,FALSE,"מפורט1";"REP4",#N/A,FALSE,"מפורט2";"REP5",#N/A,FALSE,"מפורט2";"REP6",#N/A,FALSE,"מפורט2"}</definedName>
    <definedName name="wdw" hidden="1">{"'Title Transfer Units6,7,&amp;8'!$A$1:$B$4","'Title Transfer Units6,7,&amp;8'!$C$6"}</definedName>
    <definedName name="WE"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e.3" hidden="1">{#N/A,#N/A,FALSE,"PMW Gruppe 99_98";#N/A,#N/A,FALSE,"PMW KG 98_99";#N/A,#N/A,FALSE,"PMW Inc. 99_98";#N/A,#N/A,FALSE,"PMW VTECH 99_98";#N/A,#N/A,FALSE,"PMW Thail. 99_98";#N/A,#N/A,FALSE,"PMW Canada 99_98";#N/A,#N/A,FALSE,"Währungsabw. 99_98"}</definedName>
    <definedName name="we.gb.gg" hidden="1">{#N/A,#N/A,FALSE,"Umsatz HM";#N/A,#N/A,FALSE,"ER HM";#N/A,#N/A,FALSE,"EA HM  (2)";#N/A,#N/A,FALSE,"EA HM ";#N/A,#N/A,FALSE,"EA HM  (4)";#N/A,#N/A,FALSE,"EA HM  (3)";#N/A,#N/A,FALSE,"KA HM  (2)";#N/A,#N/A,FALSE,"KA HM";#N/A,#N/A,FALSE,"KA HM  (3)";#N/A,#N/A,FALSE,"KA HM (4)"}</definedName>
    <definedName name="we3x" hidden="1">{"QTD_LPO2N2",#N/A,FALSE,"QTD"}</definedName>
    <definedName name="WEARF" hidden="1">{#N/A,#N/A,TRUE,"Y생산";#N/A,#N/A,TRUE,"Y판매";#N/A,#N/A,TRUE,"Y총물량";#N/A,#N/A,TRUE,"Y능력";#N/A,#N/A,TRUE,"YKD"}</definedName>
    <definedName name="weaw" hidden="1">{"YTD",#N/A,FALSE,"SUM"}</definedName>
    <definedName name="weawe" hidden="1">{"QTD_HYCO",#N/A,FALSE,"QTD"}</definedName>
    <definedName name="Web" hidden="1">{#N/A,#N/A,FALSE,"Inputs - Prices &amp; Forecasts"}</definedName>
    <definedName name="wecs" hidden="1">{"QTD_PRS",#N/A,FALSE,"QTD"}</definedName>
    <definedName name="wecsd" hidden="1">{"sales growth",#N/A,FALSE,"summary";"oper income",#N/A,FALSE,"summary";"oros rank",#N/A,FALSE,"summary";"net assets",#N/A,FALSE,"summary";"asset turnover",#N/A,FALSE,"summary";"orona",#N/A,FALSE,"summary"}</definedName>
    <definedName name="wed" hidden="1">{#N/A,#N/A,FALSE,"Aging Summary";#N/A,#N/A,FALSE,"Ratio Analysis";#N/A,#N/A,FALSE,"Test 120 Day Accts";#N/A,#N/A,FALSE,"Tickmarks"}</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s" hidden="1">{"overview",#N/A,FALSE,"summary";"net assets",#N/A,FALSE,"summary";"asset turnover",#N/A,FALSE,"summary";"orona",#N/A,FALSE,"summary"}</definedName>
    <definedName name="wee" hidden="1">{#N/A,#N/A,FALSE,"KA CH  (2)"}</definedName>
    <definedName name="weee" hidden="1">{"FY98Q1 var",#N/A,FALSE,"FY98 - Q1";"FY98Q2 var",#N/A,FALSE,"FY98 - Q2";"FY98Q3 var",#N/A,FALSE,"FY98 - Q3";"FY98Q4 var",#N/A,FALSE,"FY98 - Q4"}</definedName>
    <definedName name="weegareg" hidden="1">{"dcfsummary",#N/A,FALSE,"NHY - DCF Valuation";"agriculture",#N/A,FALSE,"NHY - DCF Valuation";"oilgas",#N/A,FALSE,"NHY - DCF Valuation";"oilgastot",#N/A,FALSE,"NHY - DCF Valuation";"lightmetals",#N/A,FALSE,"NHY - DCF Valuation";"petrochemicals",#N/A,FALSE,"NHY - DCF Valuation";"other",#N/A,FALSE,"NHY - DCF Valuation"}</definedName>
    <definedName name="weer" hidden="1">{#N/A,#N/A,FALSE,"Index";#N/A,#N/A,FALSE,"IncStmt";#N/A,#N/A,FALSE,"Ratios";#N/A,#N/A,FALSE,"CashFlows";#N/A,#N/A,FALSE,"Ins1";#N/A,#N/A,FALSE,"Ins2";#N/A,#N/A,FALSE,"SelfFund";#N/A,#N/A,FALSE,"SGA";#N/A,#N/A,FALSE,"Recon";#N/A,#N/A,FALSE,"Earnings";#N/A,#N/A,FALSE,"Earnings (2)";#N/A,#N/A,FALSE,"Stock";#N/A,#N/A,FALSE,"Stock (2)";#N/A,#N/A,FALSE,"PeerRatios";#N/A,#N/A,FALSE,"PeerRanks"}</definedName>
    <definedName name="wef" hidden="1">{#N/A,#N/A,FALSE,"Performance Flash Report"}</definedName>
    <definedName name="wef4f" hidden="1">{"GuVGmbH",#N/A,FALSE,"ratios";"BilanzGmbH",#N/A,FALSE,"ratios";"BilanzKG",#N/A,FALSE,"ratios";"GuVKG",#N/A,FALSE,"ratios"}</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FWEF"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egfaerg" hidden="1">{"dcfsummary",#N/A,FALSE,"NHY - DCF Valuation";"agriculture",#N/A,FALSE,"NHY - DCF Valuation";"oilgas",#N/A,FALSE,"NHY - DCF Valuation";"oilgastot",#N/A,FALSE,"NHY - DCF Valuation";"lightmetals",#N/A,FALSE,"NHY - DCF Valuation";"petrochemicals",#N/A,FALSE,"NHY - DCF Valuation";"other",#N/A,FALSE,"NHY - DCF Valuation"}</definedName>
    <definedName name="weix" hidden="1">{"Comp_of_Price_Effect",#N/A,FALSE,"QTRDPVAR"}</definedName>
    <definedName name="wen.gb._hm." hidden="1">{#N/A,#N/A,FALSE,"Umsatz HM";#N/A,#N/A,FALSE,"ER HM";#N/A,#N/A,FALSE,"EA HM  (2)";#N/A,#N/A,FALSE,"EA HM ";#N/A,#N/A,FALSE,"EA HM  (4)";#N/A,#N/A,FALSE,"EA HM  (3)";#N/A,#N/A,FALSE,"KA HM  (2)";#N/A,#N/A,FALSE,"KA HM";#N/A,#N/A,FALSE,"KA HM  (3)";#N/A,#N/A,FALSE,"KA HM (4)"}</definedName>
    <definedName name="wen.printreg6" hidden="1">{#N/A,#N/A,FALSE,"Sheet2"}</definedName>
    <definedName name="Wenrer" hidden="1">Main.SAPF4Help()</definedName>
    <definedName name="weop" hidden="1">{"oct_res_comm",#N/A,FALSE,"VarToBud"}</definedName>
    <definedName name="WEQ" hidden="1">{#N/A,#N/A,FALSE,"단축1";#N/A,#N/A,FALSE,"단축2";#N/A,#N/A,FALSE,"단축3";#N/A,#N/A,FALSE,"장축";#N/A,#N/A,FALSE,"4WD"}</definedName>
    <definedName name="wer"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er.g" hidden="1">{#N/A,#N/A,FALSE,"KA CH  (2)"}</definedName>
    <definedName name="weraw" hidden="1">{"mgmt forecast",#N/A,FALSE,"Mgmt Forecast";"dcf table",#N/A,FALSE,"Mgmt Forecast";"sensitivity",#N/A,FALSE,"Mgmt Forecast";"table inputs",#N/A,FALSE,"Mgmt Forecast";"calculations",#N/A,FALSE,"Mgmt Forecast"}</definedName>
    <definedName name="were" hidden="1">{#N/A,#N/A,FALSE,"EXP97"}</definedName>
    <definedName name="wererwer" hidden="1">{"cover",#N/A,TRUE,"Cover";"toc5",#N/A,TRUE,"TOC";"over",#N/A,TRUE,"Overview";"ts2",#N/A,TRUE,"Det_Trans_Sum";"ei",#N/A,TRUE,"Earnings Impact";"ad",#N/A,TRUE,"accretion dilution";"pfis",#N/A,TRUE,"Pro Forma Income Statement";"ca",#N/A,TRUE,"Contribution_Analysis";"acq",#N/A,TRUE,"Acquirer";"tar",#N/A,TRUE,"Target"}</definedName>
    <definedName name="werewer23" hidden="1">{#N/A,#N/A,FALSE,"invpln"}</definedName>
    <definedName name="werfg435g" hidden="1">Main.SAPF4Help()</definedName>
    <definedName name="werfgvbv" hidden="1">Word</definedName>
    <definedName name="wern" hidden="1">{"cover",#N/A,TRUE,"Cover";"toc6",#N/A,TRUE,"TOC";"over",#N/A,TRUE,"Overview";"ts2",#N/A,TRUE,"Det_Trans_Sum";"ei2",#N/A,TRUE,"Earnings Impact";"ad2",#N/A,TRUE,"accretion dilution";"hg2",#N/A,TRUE,"Has-Gets";"pfis2",#N/A,TRUE,"Pro Forma Income Statement";"ca2",#N/A,TRUE,"Contribution_Analysis";"acq2",#N/A,TRUE,"Acquirer";"tar2",#N/A,TRUE,"Target"}</definedName>
    <definedName name="werr" hidden="1">{"cons",#N/A,TRUE,"MAY95"}</definedName>
    <definedName name="werre" hidden="1">{#N/A,#N/A,FALSE,"Report-Generator";#N/A,#N/A,FALSE,"S.1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name="werrr" hidden="1">{#N/A,#N/A,FALSE,"Pharm";#N/A,#N/A,FALSE,"WWCM"}</definedName>
    <definedName name="werrrr" hidden="1">{"bkod1",#N/A,FALSE,"A";"bokd2",#N/A,FALSE,"A";"bokd3",#N/A,FALSE,"A";"bkod4",#N/A,FALSE,"A";"bokd5",#N/A,FALSE,"A";"bokd6",#N/A,FALSE,"A";"bokd7",#N/A,FALSE,"A"}</definedName>
    <definedName name="wersfsdgf" hidden="1">{#N/A,#N/A,FALSE,"Mittelherkunft";#N/A,#N/A,FALSE,"Mittelverwendung"}</definedName>
    <definedName name="wert"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erttreiber" hidden="1">{#N/A,#N/A,FALSE,"DCF";#N/A,#N/A,FALSE,"WACC";#N/A,#N/A,FALSE,"Sales_EBIT";#N/A,#N/A,FALSE,"Capex_Depreciation";#N/A,#N/A,FALSE,"WC";#N/A,#N/A,FALSE,"Interest";#N/A,#N/A,FALSE,"Assumptions"}</definedName>
    <definedName name="wertw" hidden="1">{#N/A,#N/A,FALSE,"Layout GuV"}</definedName>
    <definedName name="WERTY" hidden="1">{#N/A,#N/A,FALSE,"단축1";#N/A,#N/A,FALSE,"단축2";#N/A,#N/A,FALSE,"단축3";#N/A,#N/A,FALSE,"장축";#N/A,#N/A,FALSE,"4WD"}</definedName>
    <definedName name="werw" hidden="1">{"ONE",#N/A,FALSE,"96DDCOD";"TWO",#N/A,FALSE,"96DDCOD"}</definedName>
    <definedName name="werwer" hidden="1">{"indirect labor",#N/A,FALSE,"labor"}</definedName>
    <definedName name="wet" hidden="1">{"CSheet",#N/A,FALSE,"C";"SmCap",#N/A,FALSE,"VAL1";"GulfCoast",#N/A,FALSE,"VAL1";"nav",#N/A,FALSE,"NAV";"Summary",#N/A,FALSE,"NAV"}</definedName>
    <definedName name="wetgswaw" hidden="1">{#N/A,#N/A,FALSE,"invpln"}</definedName>
    <definedName name="wetrt"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etwaert"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etwet" hidden="1">#REF!</definedName>
    <definedName name="WETY" hidden="1">{#N/A,#N/A,FALSE,"단축1";#N/A,#N/A,FALSE,"단축2";#N/A,#N/A,FALSE,"단축3";#N/A,#N/A,FALSE,"장축";#N/A,#N/A,FALSE,"4WD"}</definedName>
    <definedName name="wew" hidden="1">{#N/A,#N/A,FALSE,"Sheet1"}</definedName>
    <definedName name="wew1q" hidden="1">{"INCOME",#N/A,FALSE,"ProNet";"VALUE",#N/A,FALSE,"ProNet"}</definedName>
    <definedName name="wewe"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ewq" hidden="1">{"FY97Q1 nvs",#N/A,FALSE,"FY97 - Q1";"FY97Q2 nvs",#N/A,FALSE,"FY97 - Q2";"FY97Q3 nvs",#N/A,FALSE,"FY97 - Q3";"FY97Q4 nvs",#N/A,FALSE,"FY97 - Q4"}</definedName>
    <definedName name="wewrrht"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ews" hidden="1">{"pro_view",#N/A,FALSE,"EEFSNAP2";"rep_view",#N/A,FALSE,"EEFSNAP2"}</definedName>
    <definedName name="WEWW" hidden="1">{"'Demand Units'!$X$11:$AD$45"}</definedName>
    <definedName name="weza" hidden="1">{"QTD_PACKAGE",#N/A,FALSE,"QTD"}</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hidden="1">{"YD PACKAGE",#N/A,FALSE,"YTD"}</definedName>
    <definedName name="WFT" hidden="1">{"Area1",#N/A,FALSE,"OREWACC";"Area2",#N/A,FALSE,"OREWACC"}</definedName>
    <definedName name="what" hidden="1">{"investments",#N/A,FALSE,"CYTD CF Oct";"invest month",#N/A,FALSE,"CYTD CF Oct";"scf",#N/A,FALSE,"CYTD CF Oct";"direct method",#N/A,FALSE,"CYTD CF Oct";"indirect",#N/A,FALSE,"CYTD CF Oct"}</definedName>
    <definedName name="what.project" hidden="1">{#N/A,#N/A,FALSE,"P1";#N/A,#N/A,FALSE,"P2";#N/A,#N/A,FALSE,"P4";#N/A,#N/A,FALSE,"P5";#N/A,#N/A,FALSE,"P6";#N/A,#N/A,FALSE,"P7";#N/A,#N/A,FALSE,"P8";#N/A,#N/A,FALSE,"P9";#N/A,#N/A,FALSE,"P10"}</definedName>
    <definedName name="What?" hidden="1">{#N/A,#N/A,TRUE,"Summary";#N/A,#N/A,TRUE,"Financials"}</definedName>
    <definedName name="What2?" hidden="1">{#N/A,#N/A,TRUE,"Summary";#N/A,#N/A,TRUE,"Financials";#N/A,#N/A,TRUE,"Assumptions";#N/A,#N/A,TRUE,"Pro Forma";#N/A,#N/A,TRUE,"Debt";#N/A,#N/A,TRUE,"Amortization";#N/A,#N/A,TRUE,"GG Returns"}</definedName>
    <definedName name="What3?" hidden="1">{#N/A,#N/A,TRUE,"Summary";#N/A,#N/A,TRUE,"Assumptions";#N/A,#N/A,TRUE,"Comparison";#N/A,#N/A,TRUE,"Financials";#N/A,#N/A,TRUE,"Plan v. Act"}</definedName>
    <definedName name="whatever" hidden="1">{"indirect",#N/A,FALSE,"CYTD CF Oct";"direct method",#N/A,FALSE,"CYTD CF Oct";"scf",#N/A,FALSE,"CYTD CF Oct";"investments",#N/A,FALSE,"CYTD CF Oct";"invest month",#N/A,FALSE,"CYTD CF Oct"}</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isthis" hidden="1">#REF!</definedName>
    <definedName name="WHRL" hidden="1">{#N/A,#N/A,FALSE,"단축1";#N/A,#N/A,FALSE,"단축2";#N/A,#N/A,FALSE,"단축3";#N/A,#N/A,FALSE,"장축";#N/A,#N/A,FALSE,"4WD"}</definedName>
    <definedName name="WHRwhrWHR"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whrWHRwhrWR" hidden="1">{"GuVGmbH",#N/A,FALSE,"ratios";"BilanzGmbH",#N/A,FALSE,"ratios";"BilanzKG",#N/A,FALSE,"ratios";"GuVKG",#N/A,FALSE,"ratios"}</definedName>
    <definedName name="whrWHRwrhWRHwrh"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HRwr"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HRwrh"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win" hidden="1">{"'Sample Status'!$A$1:$J$21"}</definedName>
    <definedName name="wkrp" hidden="1">{"Area1",#N/A,FALSE,"OREWACC";"Area2",#N/A,FALSE,"OREWACC"}</definedName>
    <definedName name="wn.2222" hidden="1">{#N/A,#N/A,FALSE,"summary"}</definedName>
    <definedName name="woi" hidden="1">{"detail",#N/A,FALSE,"mfg";"summary",#N/A,FALSE,"mfg"}</definedName>
    <definedName name="womxien" hidden="1">{"detail",#N/A,FALSE,"mfg";"summary",#N/A,FALSE,"mfg"}</definedName>
    <definedName name="Woods" hidden="1">#REF!</definedName>
    <definedName name="working" hidden="1">{#N/A,#N/A,FALSE,"REPORT"}</definedName>
    <definedName name="WOS_IQ_Div_payment_date" hidden="1">"c2205"</definedName>
    <definedName name="WOS_IQ_Div_record_date" hidden="1">"c2204"</definedName>
    <definedName name="WOS_IQ_xdiv_date" hidden="1">"c2203"</definedName>
    <definedName name="WQ" hidden="1">{#N/A,#N/A,FALSE,"을지 (4)";#N/A,#N/A,FALSE,"을지 (5)";#N/A,#N/A,FALSE,"을지 (6)"}</definedName>
    <definedName name="wqa" hidden="1">{#N/A,"PURCHM",FALSE,"Business Analysis";#N/A,"SPADD",FALSE,"Business Analysis"}</definedName>
    <definedName name="wqc" hidden="1">{"ACT",#N/A,FALSE,"Q3Elec P&amp;L fy 99  ";"BUD",#N/A,FALSE,"Q3Elec P&amp;L fy 99  ";"PRIOR",#N/A,FALSE,"Q3Elec P&amp;L fy 99  "}</definedName>
    <definedName name="wqd" hidden="1">{"OTHER",#N/A,FALSE,"CM"}</definedName>
    <definedName name="wqdqwdqwd" hidden="1">{#N/A,#N/A,FALSE,"Staffnos &amp; cost"}</definedName>
    <definedName name="wqe" hidden="1">#REF!</definedName>
    <definedName name="wqeq" hidden="1">{"Commentary",#N/A,FALSE,"May"}</definedName>
    <definedName name="wqer" hidden="1">{"TXO2N2_SLS",#N/A,FALSE,"MTHLYSLES";"TXH2_SLS",#N/A,FALSE,"MTHLYSLES";"LOUIS_SLS",#N/A,FALSE,"MTHLYSLES";"H2_SLS",#N/A,FALSE,"MTHLYSLES";"O2N2_SLS",#N/A,FALSE,"MTHLYSLES";"PACKAGE_SLS",#N/A,FALSE,"MTHLYSLES"}</definedName>
    <definedName name="wqqw"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qqwe" hidden="1">{"FY97Tot nvs",#N/A,FALSE,"FY97 - Total";"FY98Tot nvs",#N/A,FALSE,"FY98 - Total"}</definedName>
    <definedName name="wqrew" hidden="1">{"FY97Total",#N/A,FALSE,"FY97 - Total";"FY98Total",#N/A,FALSE,"FY98 - Total"}</definedName>
    <definedName name="wqrwqe" hidden="1">{"FY98Q1 nvs",#N/A,FALSE,"FY98 - Q1";"FY98Q2 nvs",#N/A,FALSE,"FY98 - Q2";"FY98Q3 nvs",#N/A,FALSE,"FY98 - Q3";"FY98Q4 nvs",#N/A,FALSE,"FY98 - Q4"}</definedName>
    <definedName name="wqwq" hidden="1">{"BA detail",#N/A,FALSE,"Q3YTD "}</definedName>
    <definedName name="wqx" hidden="1">{"Comp_of_Price_Effect",#N/A,FALSE,"QTRDPVAR"}</definedName>
    <definedName name="wr" hidden="1">{"dcfsummary",#N/A,FALSE,"NHY - DCF Valuation";"agriculture",#N/A,FALSE,"NHY - DCF Valuation";"oilgas",#N/A,FALSE,"NHY - DCF Valuation";"oilgastot",#N/A,FALSE,"NHY - DCF Valuation";"lightmetals",#N/A,FALSE,"NHY - DCF Valuation";"petrochemicals",#N/A,FALSE,"NHY - DCF Valuation";"other",#N/A,FALSE,"NHY - DCF Valuation"}</definedName>
    <definedName name="wr34ar" hidden="1">{"QTD_LOUISIANA",#N/A,FALSE,"QTD"}</definedName>
    <definedName name="wradw" hidden="1">{"YD LAPO2",#N/A,FALSE,"YTD";"YD LPH2",#N/A,FALSE,"YTD";"YD LOUISIANA",#N/A,FALSE,"YTD";"YD GENERALH2",#N/A,FALSE,"YTD";"YD PRS",#N/A,FALSE,"YTD";"YD PACKAGE",#N/A,FALSE,"YTD";"YD OTHER",#N/A,FALSE,"YTD"}</definedName>
    <definedName name="wrc" hidden="1">{#N/A,#N/A,FALSE,"TECH CENTRE RXDU66";#N/A,#N/A,FALSE,"ASU VAAX66";#N/A,#N/A,FALSE,"TCM VAKX66"}</definedName>
    <definedName name="wrd" hidden="1">{#N/A,#N/A,FALSE,"INPUTS";#N/A,#N/A,FALSE,"PROFORMA BSHEET";#N/A,#N/A,FALSE,"COMBINED";#N/A,#N/A,FALSE,"HIGH YIELD";#N/A,#N/A,FALSE,"COMB_GRAPHS"}</definedName>
    <definedName name="wrd.2._.pagers.3" hidden="1">{"Cover",#N/A,FALSE,"Cover";"Summary",#N/A,FALSE,"Summarpage"}</definedName>
    <definedName name="wrd.2_.pagers.3" hidden="1">{"Cover",#N/A,FALSE,"Cover";"Summary",#N/A,FALSE,"Summarpage"}</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hidden="1">{#N/A,"PURCHM",FALSE,"Business Analysis";#N/A,"SPADD",FALSE,"Business Analysis"}</definedName>
    <definedName name="wrg.Tages" hidden="1">{"Tages_D",#N/A,FALSE,"Tagesbericht";"Tages_PL",#N/A,FALSE,"Tagesbericht"}</definedName>
    <definedName name="wrksht" hidden="1">{"USD",#N/A,FALSE,"FC-15 Cap Expend";"LC",#N/A,FALSE,"FC-15 Cap Expend"}</definedName>
    <definedName name="wrm.pucspaddq2" hidden="1">{#N/A,"PURCHM",FALSE,"Business Analysis";#N/A,"SPADD",FALSE,"Business Analysis"}</definedName>
    <definedName name="wrn" hidden="1">{#N/A,#N/A,FALSE,"Sheet1"}</definedName>
    <definedName name="wrn.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 hidden="1">{#N/A,#N/A,FALSE,"Calc";#N/A,#N/A,FALSE,"Sensitivity";#N/A,#N/A,FALSE,"LT Earn.Dil.";#N/A,#N/A,FALSE,"Dil. AVP"}</definedName>
    <definedName name="wrn.1._.Print._.Month._.Data." hidden="1">{"Month vs ABP p1",#N/A,FALSE,"Month vs ABP";"Month vs ABP p2",#N/A,FALSE,"Month vs ABP";"Month",#N/A,FALSE,"Month"}</definedName>
    <definedName name="wrn.1._.TODO." hidden="1">{"BL2000",#N/A,FALSE,"BL2000";"PL2000",#N/A,FALSE,"BL2000";"PT2000",#N/A,FALSE,"BL2000";"INCPRE2000",#N/A,FALSE,"BL2000";"COMNUS2000",#N/A,FALSE,"BL2000";"COMJPN2000",#N/A,FALSE,"BL2000";"B10-2000",#N/A,FALSE,"BL2000"}</definedName>
    <definedName name="wrn.1.1" hidden="1">{#N/A,#N/A,FALSE,"Calc";#N/A,#N/A,FALSE,"Sensitivity";#N/A,#N/A,FALSE,"LT Earn.Dil.";#N/A,#N/A,FALSE,"Dil. AVP"}</definedName>
    <definedName name="wrn.1.1.2" hidden="1">{#N/A,#N/A,FALSE,"Calc";#N/A,#N/A,FALSE,"Sensitivity";#N/A,#N/A,FALSE,"LT Earn.Dil.";#N/A,#N/A,FALSE,"Dil. AVP"}</definedName>
    <definedName name="wrn.1.1.3" hidden="1">{#N/A,#N/A,FALSE,"Calc";#N/A,#N/A,FALSE,"Sensitivity";#N/A,#N/A,FALSE,"LT Earn.Dil.";#N/A,#N/A,FALSE,"Dil. AVP"}</definedName>
    <definedName name="wrn.1.2" hidden="1">{#N/A,#N/A,FALSE,"Calc";#N/A,#N/A,FALSE,"Sensitivity";#N/A,#N/A,FALSE,"LT Earn.Dil.";#N/A,#N/A,FALSE,"Dil. AVP"}</definedName>
    <definedName name="wrn.1.3" hidden="1">{#N/A,#N/A,FALSE,"Calc";#N/A,#N/A,FALSE,"Sensitivity";#N/A,#N/A,FALSE,"LT Earn.Dil.";#N/A,#N/A,FALSE,"Dil. AVP"}</definedName>
    <definedName name="wrn.10." hidden="1">{"cover",#N/A,TRUE,"Cover";"toc3",#N/A,TRUE,"TOC";"over",#N/A,TRUE,"Overview";"ts2",#N/A,TRUE,"Det_Trans_Sum";"ei1c",#N/A,TRUE,"Earnings Impact";"ad1",#N/A,TRUE,"accretion dilution";"pfis1",#N/A,TRUE,"Pro Forma Income Statement";"acq1c",#N/A,TRUE,"Acquirer";"tar1c",#N/A,TRUE,"Target"}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94BS." hidden="1">{#N/A,#N/A,FALSE,"PRO FORMA FINANCIALS"}</definedName>
    <definedName name="wrn.1294BSADJUST." hidden="1">{#N/A,#N/A,FALSE,"PRO FORMA FINANCIALS"}</definedName>
    <definedName name="wrn.1294IS." hidden="1">{#N/A,#N/A,FALSE,"PRO FORMA FINANCIALS"}</definedName>
    <definedName name="wrn.1294ISADJUST." hidden="1">{#N/A,#N/A,FALSE,"PRO FORMA FINANCIALS"}</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998._.FINANCIAL._.STATEMENTS."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 hidden="1">{#N/A,#N/A,FALSE,"Summary";#N/A,#N/A,FALSE,"Pending";#N/A,#N/A,FALSE,"Aug'98";#N/A,#N/A,FALSE,"July'98";#N/A,#N/A,FALSE,"June'98";#N/A,#N/A,FALSE,"May'98";#N/A,#N/A,FALSE,"Apr'98";#N/A,#N/A,FALSE,"Mar'98";#N/A,#N/A,FALSE,"Feb'98";#N/A,#N/A,FALSE,"Jan'98"}</definedName>
    <definedName name="wrn.1999._.Corporate." hidden="1">{"1999Corporate",#N/A,FALSE,"Corporate"}</definedName>
    <definedName name="wrn.1999._.Funding." hidden="1">{"1999Funding",#N/A,FALSE,"Funding"}</definedName>
    <definedName name="wrn.1999._.Grp._.Adjustments." hidden="1">{"1999GrpAdj",#N/A,FALSE,"Grp Adj"}</definedName>
    <definedName name="wrn.1999._.Grp._.Consol." hidden="1">{"1999GrpConsol",#N/A,FALSE,"Grp Consol"}</definedName>
    <definedName name="wrn.1999._.HTUK." hidden="1">{"1999HTUK",#N/A,FALSE,"HTUK"}</definedName>
    <definedName name="wrn.1999._.International." hidden="1">{"1999International",#N/A,FALSE,"International"}</definedName>
    <definedName name="wrn.1999._.OIDL." hidden="1">{"1999OIDL",#N/A,FALSE,"OIDL"}</definedName>
    <definedName name="wrn.1999._.Trust." hidden="1">{"1999Trust",#N/A,FALSE,"Trust"}</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 hidden="1">{#N/A,#N/A,FALSE,"Calc";#N/A,#N/A,FALSE,"Sensitivity";#N/A,#N/A,FALSE,"LT Earn.Dil.";#N/A,#N/A,FALSE,"Dil. AVP"}</definedName>
    <definedName name="wrn.2._.pagers." hidden="1">{"Cover",#N/A,FALSE,"Cover";"Summary",#N/A,FALSE,"Summarpage"}</definedName>
    <definedName name="wrn.2._.pagers.2" hidden="1">{"Cover",#N/A,FALSE,"Cover";"Summary",#N/A,FALSE,"Summarpage"}</definedName>
    <definedName name="wrn.2._.pagers.3" hidden="1">{"Cover",#N/A,FALSE,"Cover";"Summary",#N/A,FALSE,"Summarpage"}</definedName>
    <definedName name="wrn.2._.pagers.4" hidden="1">{"Cover",#N/A,FALSE,"Cover";"Summary",#N/A,FALSE,"Summarpage"}</definedName>
    <definedName name="wrn.2._.pagers.5" hidden="1">{"Cover",#N/A,FALSE,"Cover";"Summary",#N/A,FALSE,"Summarpage"}</definedName>
    <definedName name="wrn.2._.pagers.6" hidden="1">{"Cover",#N/A,FALSE,"Cover";"Summary",#N/A,FALSE,"Summarpage"}</definedName>
    <definedName name="wrn.2._.pagers.8" hidden="1">{"Cover",#N/A,FALSE,"Cover";"Summary",#N/A,FALSE,"Summarpage"}</definedName>
    <definedName name="wrn.2._.Print._.QTD._.Data." hidden="1">{"Qtr vs ABP p1",#N/A,FALSE,"Quarter vs ABP";"Qtr vs ABP p2",#N/A,FALSE,"Quarter vs ABP";"Qtr",#N/A,FALSE,"Quarter"}</definedName>
    <definedName name="wrn.2._pagers.4" hidden="1">{"Cover",#N/A,FALSE,"Cover";"Summary",#N/A,FALSE,"Summarpage"}</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 hidden="1">{"RES-2000",#N/A,FALSE,"BL2000";"A1-2000",#N/A,FALSE,"BL2000";"A2-2000",#N/A,FALSE,"BL2000"}</definedName>
    <definedName name="wrn.2000._.Corporate." hidden="1">{"2000Corporate",#N/A,FALSE,"Corporate"}</definedName>
    <definedName name="wrn.2000._.Funding." hidden="1">{"2000Funding",#N/A,FALSE,"Funding"}</definedName>
    <definedName name="wrn.2000._.Grp._.Adjustments." hidden="1">{"2000GrpAdj",#N/A,FALSE,"Grp Adj"}</definedName>
    <definedName name="wrn.2000._.Grp._.Consol." hidden="1">{"2000GrpConsol",#N/A,FALSE,"Grp Consol"}</definedName>
    <definedName name="wrn.2000._.HTUK." hidden="1">{"2000HTUK",#N/A,FALSE,"HTUK"}</definedName>
    <definedName name="wrn.2000._.International." hidden="1">{"2000International",#N/A,FALSE,"International"}</definedName>
    <definedName name="wrn.2000._.OIDL." hidden="1">{"2000OIDL",#N/A,FALSE,"OIDL"}</definedName>
    <definedName name="wrn.2000._.Package._.GOM." hidden="1">{"2000PPE",#N/A,FALSE,"PPE 2000";"2000DD",#N/A,FALSE,"DrydocksOther"}</definedName>
    <definedName name="wrn.2000._.Trust." hidden="1">{"2000Trust",#N/A,FALSE,"Trust"}</definedName>
    <definedName name="wrn.2001." hidden="1">{"RES-2001",#N/A,FALSE,"BL2000";"A1-2001",#N/A,FALSE,"BL2000";"A2-2001",#N/A,FALSE,"BL2000"}</definedName>
    <definedName name="wrn.2002." hidden="1">{"RES-2002",#N/A,FALSE,"BL2000";"A1-2002",#N/A,FALSE,"BL2000";"A2-2002",#N/A,FALSE,"BL2000"}</definedName>
    <definedName name="wrn.2003." hidden="1">{"RES-2002",#N/A,FALSE,"BL2000";"A1-2002",#N/A,FALSE,"BL2000";"A2-2002",#N/A,FALSE,"BL2000"}</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monthly" hidden="1">{#N/A,#N/A,FALSE,"mfg - consol";#N/A,#N/A,FALSE,"mfg - flo";#N/A,#N/A,FALSE,"mfg - lindsay"}</definedName>
    <definedName name="wrn.2printreg." hidden="1">{#N/A,#N/A,FALSE,"Sheet2"}</definedName>
    <definedName name="wrn.3." hidden="1">{"cover",#N/A,TRUE,"Cover";"toc1",#N/A,TRUE,"TOC";"ts1",#N/A,TRUE,"Transaction Summary";"ei2",#N/A,TRUE,"Earnings Impact";"ad2",#N/A,TRUE,"accretion dilution"}</definedName>
    <definedName name="wrn.3._.month._.budget." hidden="1">{"roll-up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Print._.YTD._.Data." hidden="1">{"Year vs ABP p1",#N/A,FALSE,"Year vs ABP";"Year vs ABP p2",#N/A,FALSE,"Year vs ABP";"Year",#N/A,FALSE,"Year"}</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5." hidden="1">{#N/A,#N/A,FALSE,"96 3월물량표";#N/A,#N/A,FALSE,"96 4월물량표";#N/A,#N/A,FALSE,"96 5월물량표"}</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monthly" hidden="1">{#N/A,#N/A,FALSE,"mfg - consol";#N/A,#N/A,FALSE,"mfg - flo";#N/A,#N/A,FALSE,"mfg - lindsay"}</definedName>
    <definedName name="wrn.4." hidden="1">{"toc1",#N/A,FALSE,"TOC";"cover",#N/A,FALSE,"Cover";"ts1",#N/A,FALSE,"Transaction Summary";"ei3",#N/A,FALSE,"Earnings Impact";"ad3",#N/A,FALSE,"accretion dilution"}</definedName>
    <definedName name="wrn.4._.Print._.Appendix._.I." hidden="1">{"Appendix I",#N/A,FALSE,"Appendix I   - Assy Var"}</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5BS." hidden="1">{#N/A,#N/A,FALSE,"PRO FORMA FINANCIALS"}</definedName>
    <definedName name="wrn.495BSADJUST." hidden="1">{#N/A,#N/A,FALSE,"PRO FORMA FINANCIALS"}</definedName>
    <definedName name="wrn.495IS." hidden="1">{#N/A,#N/A,FALSE,"PRO FORMA FINANCIALS"}</definedName>
    <definedName name="wrn.495ISADJUST." hidden="1">{#N/A,#N/A,FALSE,"PRO FORMA FINANCIALS"}</definedName>
    <definedName name="wrn.5." hidden="1">{"cover",#N/A,TRUE,"Cover";"toc2",#N/A,TRUE,"TOC";"ts1",#N/A,TRUE,"Transaction Summary";"ei",#N/A,TRUE,"Earnings Impact";"ad",#N/A,TRUE,"accretion dilution";"hg",#N/A,TRUE,"Has-Gets"}</definedName>
    <definedName name="wrn.5._.Print._.Appendix._.II." hidden="1">{"Appendix II",#N/A,FALSE,"Appendix II - Manu Var (Month)"}</definedName>
    <definedName name="wrn.5._.Year." hidden="1">{#N/A,#N/A,FALSE,"Cover";"Bal 1",#N/A,FALSE,"Balance Sheet";"Inc 1",#N/A,FALSE,"Income Statement";"CF 1",#N/A,FALSE,"Cashflow";"Bal 2",#N/A,FALSE,"Balance Sheet";"Inc 2",#N/A,FALSE,"Income Statement";"CF 2",#N/A,FALSE,"Cashflow";"Other 1",#N/A,FALSE,"Additional Info"}</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hidden="1">{"assumption 50 50",#N/A,TRUE,"Merger";"has gets cash",#N/A,TRUE,"Merger";"accretion dilution",#N/A,TRUE,"Merger";"comparison credit stats",#N/A,TRUE,"Merger";"pf credit stats",#N/A,TRUE,"Merger";"pf sheets",#N/A,TRUE,"Merger"}</definedName>
    <definedName name="wrn.50.2" hidden="1">{"assumption 50 50",#N/A,TRUE,"Merger";"has gets cash",#N/A,TRUE,"Merger";"accretion dilution",#N/A,TRUE,"Merger";"comparison credit stats",#N/A,TRUE,"Merger";"pf credit stats",#N/A,TRUE,"Merger";"pf sheets",#N/A,TRUE,"Merger"}</definedName>
    <definedName name="wrn.50_.501" hidden="1">{"assumption 50 50",#N/A,TRUE,"Merger";"has gets cash",#N/A,TRUE,"Merger";"accretion dilution",#N/A,TRUE,"Merger";"comparison credit stats",#N/A,TRUE,"Merger";"pf credit stats",#N/A,TRUE,"Merger";"pf sheets",#N/A,TRUE,"Merger"}</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a._.Co._.Ttl._.inc._.Buffer." hidden="1">{#N/A,#N/A,FALSE,"5 Company Total 2 inc buffer"}</definedName>
    <definedName name="wrn.5b._.Buffer." hidden="1">{#N/A,#N/A,FALSE,"Buffer"}</definedName>
    <definedName name="wrn.6." hidden="1">{"cover",#N/A,TRUE,"Cover";"toc2",#N/A,TRUE,"TOC";"ts1",#N/A,TRUE,"Transaction Summary";"ei1",#N/A,TRUE,"Earnings Impact";"ad1",#N/A,TRUE,"accretion dilution";"hg1",#N/A,TRUE,"Has-Gets"}</definedName>
    <definedName name="wrn.6._.Print._.Appendix._.III." hidden="1">{"Appendix III",#N/A,FALSE,"Appendix III - Manu Var (QTD) "}</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Print._.Appendix._.IV." hidden="1">{"Appendix IV",#N/A,FALSE,"Appendix IV - Inventory Change"}</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7." hidden="1">{"ONE",#N/A,FALSE,"96DDCOD";"TWO",#N/A,FALSE,"96DDCOD"}</definedName>
    <definedName name="wrn.97.1a" hidden="1">{"ONE",#N/A,FALSE,"96DDCOD";"TWO",#N/A,FALSE,"96DDCOD"}</definedName>
    <definedName name="wrn.98._.VALUE._.ANALYSES." hidden="1">{#VALUE!,#N/A,FALSE,0;#N/A,#N/A,FALSE,0;#N/A,#N/A,FALSE,0;#N/A,#N/A,FALSE,0}</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hidden="1">{#N/A,#N/A,FALSE,"REPORT"}</definedName>
    <definedName name="wrn.A_VALUATION." hidden="1">{#N/A,#N/A,FALSE,"A_D";#N/A,#N/A,FALSE,"WACC";#N/A,#N/A,FALSE,"DCF";#N/A,#N/A,FALSE,"A";#N/A,#N/A,FALSE,"LBO";#N/A,#N/A,FALSE,"C";#N/A,#N/A,FALSE,"impd";#N/A,#N/A,FALSE,"comps"}</definedName>
    <definedName name="wrn.a1._.FY9798Totals._.no._.var." hidden="1">{"FY97Tot nvs",#N/A,FALSE,"FY97 - Total";"FY98Tot nvs",#N/A,FALSE,"FY98 - Total"}</definedName>
    <definedName name="wrn.a2._.FY97Q1234._.no._.var." hidden="1">{"FY97Q1 nvs",#N/A,FALSE,"FY97 - Q1";"FY97Q2 nvs",#N/A,FALSE,"FY97 - Q2";"FY97Q3 nvs",#N/A,FALSE,"FY97 - Q3";"FY97Q4 nvs",#N/A,FALSE,"FY97 - Q4"}</definedName>
    <definedName name="wrn.a3._.FY98Q1234._.no._.var." hidden="1">{"FY98Q1 nvs",#N/A,FALSE,"FY98 - Q1";"FY98Q2 nvs",#N/A,FALSE,"FY98 - Q2";"FY98Q3 nvs",#N/A,FALSE,"FY98 - Q3";"FY98Q4 nvs",#N/A,FALSE,"FY98 - Q4"}</definedName>
    <definedName name="wrn.aaa" hidden="1">{#N/A,#N/A,FALSE,"Pharm";#N/A,#N/A,FALSE,"WWCM"}</definedName>
    <definedName name="wrn.aaaaaaa" hidden="1">{#N/A,#N/A,FALSE,"Pharm";#N/A,#N/A,FALSE,"WWCM"}</definedName>
    <definedName name="wrn.abc" hidden="1">{#N/A,#N/A,FALSE,"Index";#N/A,#N/A,FALSE,"IncStmt";#N/A,#N/A,FALSE,"Ratios";#N/A,#N/A,FALSE,"CashFlows";#N/A,#N/A,FALSE,"Ins1";#N/A,#N/A,FALSE,"Ins2";#N/A,#N/A,FALSE,"SelfFund";#N/A,#N/A,FALSE,"SGA";#N/A,#N/A,FALSE,"Recon";#N/A,#N/A,FALSE,"Earnings";#N/A,#N/A,FALSE,"Earnings (2)";#N/A,#N/A,FALSE,"Stock";#N/A,#N/A,FALSE,"Stock (2)";#N/A,#N/A,FALSE,"PeerRatios";#N/A,#N/A,FALSE,"PeerRanks"}</definedName>
    <definedName name="wrn.abc." hidden="1">{#N/A,#N/A,FALSE,"Bezirk SW";#N/A,#N/A,FALSE,"Dir S (GK)";#N/A,#N/A,FALSE,"Dir FR (PK)"}</definedName>
    <definedName name="wrn.Abf.._.Szenario._.A." hidden="1">{"Avorstand",#N/A,TRUE,"Abf. Szenario ";"Bnord",#N/A,TRUE,"Abf. Szenario ";"Cnordwest",#N/A,TRUE,"Abf. Szenario ";"Dwest",#N/A,TRUE,"Abf. Szenario ";"Esüdwest",#N/A,TRUE,"Abf. Szenario ";"Fsüd",#N/A,TRUE,"Abf. Szenario ";"Host",#N/A,TRUE,"Abf. Szenario ";"Gesamt",#N/A,TRUE,"Abf. Szenario "}</definedName>
    <definedName name="wrn.AccountDetail." hidden="1">{"NissanDetail",#N/A,FALSE,"1096NNA";"InfinitiDetail",#N/A,FALSE,"1096NNA";"PartsServDetail",#N/A,FALSE,"1096NNA";"VehicleOpsDetail",#N/A,FALSE,"1096NNA";"OtherexpDetail",#N/A,FALSE,"1096NNA"}</definedName>
    <definedName name="wrn.Accounts." hidden="1">{"turnover",#N/A,FALSE;"profits",#N/A,FALSE;"cash",#N/A,FALSE}</definedName>
    <definedName name="wrn.Accounts._.99._.00." hidden="1">{"Ratio1",#N/A,FALSE,"Management Accounts";"Ratio2",#N/A,FALSE,"Management Accounts";"I &amp; E",#N/A,FALSE,"Management Accounts";"PRA",#N/A,FALSE,"Management Accounts";"Property Sales",#N/A,FALSE,"Management Accounts";"Dev",#N/A,FALSE,"Management Accounts";"F &amp; A",#N/A,FALSE,"Management Accounts";"Balance Sheet",#N/A,FALSE,"Management Accounts";"Rents",#N/A,FALSE,"Management Accounts";"Note PRA",#N/A,FALSE,"Management Accounts";"FA:Prop",#N/A,FALSE,"Management Accounts";"FA:Other",#N/A,FALSE,"Management Accounts";"Debtors",#N/A,FALSE,"Management Accounts";"Cash",#N/A,FALSE,"Forecast CF";"PI",#N/A,FALSE,"Performance"}</definedName>
    <definedName name="wrn.Accounts._.and._.Assumptions." hidden="1">{"S&amp;U",#N/A,FALSE,"s&amp;u";"financing",#N/A,FALSE,"Input";"financing2",#N/A,FALSE,"Input";"Balance Sheet",#N/A,FALSE,"BS";"P&amp;L",#N/A,FALSE,"P&amp;L";"Cashflow",#N/A,FALSE,"CF"}</definedName>
    <definedName name="wrn.ACCOUNTS._.PAYABLE." hidden="1">{#N/A,#N/A,FALSE,"CC-1 Accounts Payable";#N/A,#N/A,FALSE,"CC-2 Search for Unrecorded Liab"}</definedName>
    <definedName name="wrn.Accr_Dil." hidden="1">{#N/A,#N/A,FALSE,"Debt Accr";#N/A,#N/A,FALSE,"Stock Accr";#N/A,#N/A,FALSE,"Debt Stock Accr"}</definedName>
    <definedName name="wrn.Accretion." hidden="1">{"Accretion",#N/A,FALSE,"Assum"}</definedName>
    <definedName name="wrn.ACCRUED._.EXPENSES." hidden="1">{#N/A,#N/A,FALSE,"EE-1 Othr Acts. Pbl &amp; Accr. Exp";#N/A,#N/A,FALSE,"FF-1 Payroll Taxes";#N/A,#N/A,FALSE,"HH-1 Employee Benefit Plans"}</definedName>
    <definedName name="wrn.ACI." hidden="1">{"ACI IS",#N/A,FALSE,"ACI - IS";"ACI BS",#N/A,FALSE,"ACI - BS";"ACI Detail IS",#N/A,FALSE,"ACI - Detail IS";"ACI Detail IS Supplemental Info",#N/A,FALSE,"ACI - Detail IS";"ACI Monthly 1999",#N/A,FALSE,"ACI Monthly";"ACI Monthly 1998",#N/A,FALSE,"ACI Monthly";"ACI Monthly 1997",#N/A,FALSE,"ACI Monthly"}</definedName>
    <definedName name="wrn.ACK." hidden="1">{"Annual",#N/A,FALSE,"ACK";"Margins",#N/A,FALSE,"ACK";"Q",#N/A,FALSE,"QTRS."}</definedName>
    <definedName name="wrn.AcqState." hidden="1">{#N/A,#N/A,TRUE,"Acq-Ass";#N/A,#N/A,TRUE,"Acq-IS";#N/A,#N/A,TRUE,"Acq-BS";#N/A,#N/A,TRUE,"Acq-CF"}</definedName>
    <definedName name="wrn.Acquiror." hidden="1">{#N/A,#N/A,TRUE,"Acq-Ass";#N/A,#N/A,TRUE,"Acq-IS";#N/A,#N/A,TRUE,"Acq-BS";#N/A,#N/A,TRUE,"Acq-CF";#N/A,#N/A,TRUE,"Acq-Proj";#N/A,#N/A,TRUE,"Acq-CapEx";#N/A,#N/A,TRUE,"Acq-Debt";#N/A,#N/A,TRUE,"Acq-Int";#N/A,#N/A,TRUE,"Acq-BD";#N/A,#N/A,TRUE,"Acq-TD";#N/A,#N/A,TRUE,"Acq-Taxes";#N/A,#N/A,TRUE,"Acq-Credit";#N/A,#N/A,TRUE,"Acq-Val";#N/A,#N/A,TRUE,"Acq-Mult Val"}</definedName>
    <definedName name="wrn.Acquisition_matrix." hidden="1">{"Acq_matrix",#N/A,FALSE,"Acquisition Matrix"}</definedName>
    <definedName name="wrn.Acquisition_matrix1" hidden="1">{"Acq_matrix",#N/A,FALSE,"Acquisition Matrix"}</definedName>
    <definedName name="wrn.AcqVal." hidden="1">{#N/A,#N/A,FALSE,"Acq-Val";#N/A,#N/A,FALSE,"Acq-Mult Val"}</definedName>
    <definedName name="wrn.acs." hidden="1">{"pl",#N/A,TRUE,"man acs";"admin",#N/A,TRUE,"man acs";"bs",#N/A,TRUE,"man acs";"notes",#N/A,TRUE,"notes";"tb",#N/A,TRUE,"man acs";"jv1",#N/A,TRUE,"man acs";"jv2",#N/A,TRUE,"man acs";"jv3",#N/A,TRUE,"man acs"}</definedName>
    <definedName name="wrn.ACUMULADOS." hidden="1">{"CTO ACUMULADO",#N/A,FALSE,"BASE ANEXOS";"VAR ACUMULADAS",#N/A,FALSE,"BASE ANEXOS"}</definedName>
    <definedName name="wrn.adj95." hidden="1">{"adj95mult",#N/A,FALSE,"COMPCO";"adj95est",#N/A,FALSE,"COMPCO"}</definedName>
    <definedName name="wrn.Adjustments." hidden="1">{"Page1",#N/A,FALSE,"Matrix (1)";"Page2",#N/A,FALSE,"Pay-Out";"Page3",#N/A,FALSE,"Prems_Reserves";"Page4",#N/A,FALSE,"Adj. EPS";"Page5",#N/A,FALSE,"Acc_Dil"}</definedName>
    <definedName name="wrn.Admin." hidden="1">{#N/A,#N/A,FALSE,"Admin"}</definedName>
    <definedName name="wrn.afa_zinsen." hidden="1">{"afa",#N/A,TRUE,"AfA_Zinsen";"zinsen",#N/A,TRUE,"AfA_Zinsen"}</definedName>
    <definedName name="wrn.Aging._.and._.Trend._.Analysis." hidden="1">{#N/A,#N/A,FALSE,"Aging Summary";#N/A,#N/A,FALSE,"Ratio Analysis";#N/A,#N/A,FALSE,"Test 120 Day Accts";#N/A,#N/A,FALSE,"Tickmarks"}</definedName>
    <definedName name="wrn.AJ._.Renner." hidden="1">{#N/A,#N/A,FALSE,"Summ";#N/A,#N/A,FALSE,"Fcst";#N/A,#N/A,FALSE,"BS";"Pro Forma IS",#N/A,FALSE,"Hist IS";"IS History",#N/A,FALSE,"Hist IS";"Payroll",#N/A,FALSE,"Summ"}</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hidden="1">{"Alex2",#N/A,FALSE," SAV A8"}</definedName>
    <definedName name="wrn.Alex._1" hidden="1">{"Alex2",#N/A,FALSE," SAV A8"}</definedName>
    <definedName name="wrn.Alex._2" hidden="1">{"Alex2",#N/A,FALSE," SAV A8"}</definedName>
    <definedName name="wrn.ALL." hidden="1">{#N/A,#N/A,FALSE,"INPUTS";#N/A,#N/A,FALSE,"PROFORMA BSHEET";#N/A,#N/A,FALSE,"COMBINED";#N/A,#N/A,FALSE,"ACQUIROR";#N/A,#N/A,FALSE,"TARGET 1";#N/A,#N/A,FALSE,"TARGET 2";#N/A,#N/A,FALSE,"HIGH YIELD";#N/A,#N/A,FALSE,"OVERFUND"}</definedName>
    <definedName name="wrn.all._.3._.years." hidden="1">{#N/A,#N/A,FALSE,"Worldwide FY00";#N/A,#N/A,FALSE,"Worldwide FY01";#N/A,#N/A,FALSE,"Worldwide FY02"}</definedName>
    <definedName name="wrn.ALL._.ALLOCATIONS." hidden="1">{"ALLOCATION1",#N/A,FALSE,"EXPENSE ALLOCATIONS";"ALLOCATION2",#N/A,FALSE,"EXPENSE ALLOCATIONS";"ALLOCATION3",#N/A,FALSE,"EXPENSE ALLOCATIONS";"ALLOCATION4",#N/A,FALSE,"EXPENSE ALLOCATIONS"}</definedName>
    <definedName name="wrn.ALL._.ASSEM._.REPORTS." hidden="1">{"TOTALASSEMBLY",#N/A,FALSE,"ASSEMBLY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comps.1" hidden="1">{"equity comps",#N/A,FALSE,"CS Comps";"equity comps",#N/A,FALSE,"PS Comps";"equity comps",#N/A,FALSE,"GIC_Comps";"equity comps",#N/A,FALSE,"GIC2_Comps";"debt comps",#N/A,FALSE,"CS Comps";"debt comps",#N/A,FALSE,"PS Comps";"debt comps",#N/A,FALSE,"GIC_Comps";"debt comps",#N/A,FALSE,"GIC2_Comps"}</definedName>
    <definedName name="wrn.ALL._.DPAK._.REPORTS." hidden="1">{"TOTALDPAK",#N/A,FALSE,"DPAK PRODUCTION";"HADPAK",#N/A,FALSE,"DPAK PRODUCTION";"PSIDPAK",#N/A,FALSE,"DPAK PRODUCTION"}</definedName>
    <definedName name="wrn.ALL._.FAB._.2._.EXP._.REPORTS." hidden="1">{"TOTALFAB",#N/A,FALSE,"WAFER FAB 2 EXPENSE";"FABPRODUCTION",#N/A,FALSE,"WAFER FAB 2 EXPENSE";"FABENGINEERING",#N/A,FALSE,"WAFER FAB 2 EXPENSE";"FABEQUIPSUPPORT",#N/A,FALSE,"WAFER FAB 2 EXPENSE";"FABPRODUCTLINE",#N/A,FALSE,"WAFER FAB 2 EXPENSE";"FABMATERIALS",#N/A,FALSE,"WAFER FAB 2 EXPENSE"}</definedName>
    <definedName name="wrn.ALL._.FAB._.I._.EXP._.REPORTS." hidden="1">{"TOTALFAB",#N/A,FALSE,"WAFER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wrn.ALL._.FAB._9._.EXP._.REPORTS." hidden="1">{"TOTALFAB",#N/A,FALSE,"WAFER FAB 2 EXPENSE";"FABPRODUCTION",#N/A,FALSE,"WAFER FAB 2 EXPENSE";"FABENGINEERING",#N/A,FALSE,"WAFER FAB 2 EXPENSE";"FABEQUIPSUPPORT",#N/A,FALSE,"WAFER FAB 2 EXPENSE";"FABPRODUCTLINE",#N/A,FALSE,"WAFER FAB 2 EXPENSE";"FABMATERIALS",#N/A,FALSE,"WAFER FAB 2 EXPENSE"}</definedName>
    <definedName name="wrn.ALL._.FACILITIES._.REPORT." hidden="1">{"TOTAL",#N/A,FALSE,"FACILITIES EXPENSE";"TOTALDETAIL",#N/A,FALSE,"FACILITIES EXPENSE";"MATERIALS",#N/A,FALSE,"FACILITIES EXPENSE";"FACILITIES",#N/A,FALSE,"FACILITIES EXPENSE";"CHEM",#N/A,FALSE,"FACILITIES EXPENSE";"GENSVC",#N/A,FALSE,"FACILITIES EXPENSE";"SAFETY",#N/A,FALSE,"FACILITIES EXPENSE"}</definedName>
    <definedName name="wrn.All._.Financials." hidden="1">{#N/A,#N/A,TRUE,"Assumptions";#N/A,#N/A,TRUE,"Op Projection";#N/A,#N/A,TRUE,"Capital";#N/A,#N/A,TRUE,"Income";#N/A,#N/A,TRUE,"Balance";#N/A,#N/A,TRUE,"Sources&amp;Uses"}</definedName>
    <definedName name="wrn.All._.First._.Pass._.Schedules." hidden="1">{#N/A,#N/A,FALSE,"Assumptions";#N/A,#N/A,FALSE,"Inc Stmt";#N/A,#N/A,FALSE,"Stats";#N/A,#N/A,FALSE,"Existing Business";#N/A,#N/A,FALSE,"New Business";#N/A,#N/A,FALSE,"Labor";#N/A,#N/A,FALSE,"Vehicles";#N/A,#N/A,FALSE,"Facilities";#N/A,#N/A,FALSE,"Indirect Costs";#N/A,#N/A,FALSE,"Capital";#N/A,#N/A,FALSE,"CABR Form";#N/A,#N/A,FALSE,"Corp Costs";#N/A,#N/A,FALSE,"YTD Upload"}</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M._.Schedules." hidden="1">{"M1Print",#N/A,TRUE,"M1";"M2Print",#N/A,TRUE,"M2";"M1sPrint",#N/A,TRUE,"M1s";"M2aPrint",#N/A,TRUE,"M2a";"M4Print",#N/A,TRUE,"M4";"M5Print",#N/A,TRUE,"M5";"M6Print",#N/A,TRUE,"M6";"M6_1Print",#N/A,TRUE,"M6_1";"M6_2Print",#N/A,TRUE,"M6_2";"M7_1Print",#N/A,TRUE,"M7_1";"M7_2Print",#N/A,TRUE,"M7_2"}</definedName>
    <definedName name="wrn.All._.Main._.Schedules." hidden="1">{"PrefMain",#N/A,FALSE,"Pref";"AsmpMain",#N/A,FALSE,"Asmp";"IncMain",#N/A,FALSE,"Inc";"BalMain",#N/A,FALSE,"Bal";"GCFMain",#N/A,FALSE,"GCF";"RcDsMain",#N/A,FALSE,"RcDs";"RevMain",#N/A,FALSE,"Rev";"WCapMain",#N/A,FALSE,"WCap";"CapExMain",#N/A,FALSE,"CapEx";"DebtMain",#N/A,FALSE,"Debt";"RatMain",#N/A,FALSE,"Rat";"ValMain",#N/A,FALSE,"Val";"BEvnMain",#N/A,FALSE,"BEvn"}</definedName>
    <definedName name="wrn.All._.Models." hidden="1">{#N/A,#N/A,FALSE,"inc state";#N/A,#N/A,FALSE,"Products";#N/A,#N/A,FALSE,"bal sht"}</definedName>
    <definedName name="wrn.ALL._.PACKAGE." hidden="1">{#N/A,#N/A,FALSE,"COVER";#N/A,#N/A,FALSE," index";#N/A,#N/A,FALSE,"notes";#N/A,#N/A,FALSE,"Perform";#N/A,#N/A,FALSE,"Graphs";#N/A,#N/A,FALSE,"FAMILIES GRAPHS";#N/A,#N/A,FALSE,"WWP&amp;Lsum";#N/A,#N/A,FALSE,"WWP&amp;Lfam";#N/A,#N/A,FALSE,"SALCOMP";#N/A,#N/A,FALSE,"Assets";#N/A,#N/A,FALSE,"assgraph";#N/A,#N/A,FALSE,"FG Inventory Aging";#N/A,#N/A,FALSE,"WWINVSUM";#N/A,#N/A,FALSE,"WWinvFAM";#N/A,#N/A,FALSE,"RM&amp;WIP";#N/A,#N/A,FALSE,"CUSTOM";#N/A,#N/A,FALSE,"cesd cust";#N/A,#N/A,FALSE,"cesd cust";#N/A,#N/A,FALSE,"PRODUCT"}</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ll._.Plants." hidden="1">{"All Pages",#N/A,FALSE,"Plant 1 Exp";"All Pages",#N/A,FALSE,"Plant 2 Exp";"All Pages",#N/A,FALSE,"Plant 3 Exp";"All Pages",#N/A,FALSE,"Plant 4 Exp";"All Pages",#N/A,FALSE,"Total Vehicle"}</definedName>
    <definedName name="wrn.All._.PnLs." hidden="1">{"Sep 98 Segment PnL",#N/A,FALSE,"Full Income Statements";"Sep 99 Segment PnL",#N/A,FALSE,"Full Income Statements";"Sep 98 PnL",#N/A,FALSE,"Full Income Statements";"Sep 99 PnL",#N/A,FALSE,"Full Income Statements"}</definedName>
    <definedName name="wrn.all._.print." hidden="1">{#N/A,#N/A,FALSE,"Summary";#N/A,#N/A,FALSE,"Edit";#N/A,#N/A,FALSE,"MedProf";#N/A,#N/A,FALSE,"Proj Mgt";#N/A,#N/A,FALSE,"Creat Svc";#N/A,#N/A,FALSE,"Meet Svc";#N/A,#N/A,FALSE,"Non-OCC";#N/A,#N/A,FALSE,"Client Svc";#N/A,#N/A,FALSE,"Bus Dev";#N/A,#N/A,FALSE,"Indirect"}</definedName>
    <definedName name="wrn.ALL._.QR._.EXP._.REPORTS." hidden="1">{"QAEXPENSE",#N/A,FALSE,"QUALITY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name="wrn.All._.Reports." hidden="1">{#N/A,#N/A,FALSE,"Income";#N/A,#N/A,FALSE,"Total Plant";#N/A,#N/A,FALSE,"Natural";#N/A,#N/A,FALSE,"Coating";#N/A,#N/A,FALSE,"Production";#N/A,#N/A,FALSE,"Main";#N/A,#N/A,FALSE,"Trucking";#N/A,#N/A,FALSE,"Distribution";#N/A,#N/A,FALSE,"Admin";#N/A,#N/A,FALSE,"Balance Sheet";#N/A,#N/A,FALSE,"Taxes"}</definedName>
    <definedName name="wrn.All._.Schedules." hidden="1">{#N/A,#N/A,FALSE,"Assumptions";#N/A,#N/A,FALSE,"Inc Stmt";#N/A,#N/A,FALSE,"Stats";#N/A,#N/A,FALSE,"Existing Business";#N/A,#N/A,FALSE,"New Business";#N/A,#N/A,FALSE,"Labor";#N/A,#N/A,FALSE,"Vehicles";#N/A,#N/A,FALSE,"Facilities";#N/A,#N/A,FALSE,"Indirect Costs";#N/A,#N/A,FALSE,"Capital";#N/A,#N/A,FALSE,"CABR Form";#N/A,#N/A,FALSE,"Corp Costs"}</definedName>
    <definedName name="wrn.All._.Sections." hidden="1">{"Data Entry",#N/A,FALSE,"COMPTEMP";"Ratios",#N/A,FALSE,"COMPTEMP";"Aggregate Values",#N/A,FALSE,"COMPTEMP";"Equity Multiples",#N/A,FALSE,"COMPTEMP";"Summary Overview",#N/A,FALSE,"COMPTEMP"}</definedName>
    <definedName name="wrn.All._.Sheets." hidden="1">{#N/A,#N/A,FALSE,"TOTAL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heets._.One._.by._.One." hidden="1">{#N/A,#N/A,FALSE,"Info";#N/A,#N/A,FALSE,"Op I";#N/A,#N/A,FALSE,"Op O";#N/A,#N/A,FALSE,"LBO I";#N/A,#N/A,FALSE,"LBO O";#N/A,#N/A,FALSE,"Taxes"}</definedName>
    <definedName name="wrn.all._.slides." hidden="1">{#N/A,#N/A,FALSE,"Trends";#N/A,#N/A,FALSE,"As Reported";#N/A,#N/A,FALSE,"(un) Commited"}</definedName>
    <definedName name="wrn.All._.Statements." hidden="1">{"Income Statement",#N/A,FALSE,"Income Statement";"Balance Sheet",#N/A,FALSE,"Balance Sheet";"Cash Flow",#N/A,FALSE,"Cash Flow";"Ratios",#N/A,FALSE,"Ratios"}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UMMARY._.EXP._.RPTS." hidden="1">{"TOTALHEXAMEXPENSE",#N/A,FALSE,"MANUFACTURING EXPENSE SUMMARY";"TOTALASSEMBLYEXPENSE",#N/A,FALSE,"MANUFACTURING EXPENSE SUMMARY";"TOTALWAFERFABEXPENSE",#N/A,FALSE,"MANUFACTURING EXPENSE SUMMARY";"TOTALMATERIALSEXPENSE",#N/A,FALSE,"MANUFACTURING EXPENSE SUMMARY";"TOTALQAEXPENSE",#N/A,FALSE,"MANUFACTURING EXPENSE SUMMARY";"TOTALSUBEXPNESE",#N/A,FALSE,"MANUFACTURING EXPENSE SUMMARY";"TOTALFACILITIESEXPENSE",#N/A,FALSE,"MANUFACTURING EXPENSE SUMMARY";"TOTALWAFERFAB2EXPENSE",#N/A,FALSE,"MANUFACTURING EXPENSE SUMMARY"}</definedName>
    <definedName name="wrn.All._.Sums." hidden="1">{"ohallocsum",#N/A,FALSE,"BU&amp;CSRA Unalloc.";"TOTALSUM",#N/A,FALSE,"Total";"rehabsum",#N/A,FALSE,"Rehab";"prestressum",#N/A,FALSE,"Prestress";"pipesum",#N/A,FALSE,"Pipe";"ohallocsum",#N/A,FALSE,"BU&amp;CSRA Unalloc.";"pepipesum",#N/A,FALSE,"PE Pipe";"distrisum",#N/A,FALSE,"Distribution";"concsum",#N/A,FALSE,"Concrete";"cementsum",#N/A,FALSE,"Cement";"bmsum",#N/A,FALSE,"Bldg. Materials";"blocksum",#N/A,FALSE,"Block";"asphaltsum",#N/A,FALSE,"Asphalt";"aggsum",#N/A,FALSE,"Aggregate"}</definedName>
    <definedName name="wrn.ALL._.TO220._.REPORTS." hidden="1">{"TOTALTO220",#N/A,FALSE,"TO-220 PRODUCTION";"HATO220",#N/A,FALSE,"TO-220 PRODUCTION";"MXTO220",#N/A,FALSE,"TO-220 PRODUCTION";"PSITO220",#N/A,FALSE,"TO-220 PRODUCTION";"MOTTO220",#N/A,FALSE,"TO-220 PRODUCTION"}</definedName>
    <definedName name="wrn.All._.Views." hidden="1">{#N/A,#N/A,FALSE,"Summary";#N/A,#N/A,FALSE,"Signatures";#N/A,#N/A,FALSE,"FL Current";#N/A,#N/A,FALSE,"Assumptions";#N/A,#N/A,FALSE,"Assumptions";#N/A,#N/A,FALSE,"Assumptions";#N/A,#N/A,FALSE,"FL Last";#N/A,#N/A,FALSE,"FL Orig";#N/A,#N/A,FALSE,"C to G Explain"}</definedName>
    <definedName name="wrn.ALL._.WORKPAPERS." hidden="1">{#N/A,#N/A,FALSE,"Std.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2" hidden="1">{#N/A,#N/A,FALSE,"DCF";#N/A,#N/A,FALSE,"WACC";#N/A,#N/A,FALSE,"Sales_EBIT";#N/A,#N/A,FALSE,"Capex_Depreciation";#N/A,#N/A,FALSE,"WC";#N/A,#N/A,FALSE,"Interest";#N/A,#N/A,FALSE,"Assumptions"}</definedName>
    <definedName name="wrn.All_Excl_Depr." hidden="1">{"Front_Page",#N/A,TRUE,"Front Page";#N/A,#N/A,TRUE,"Summary";#N/A,#N/A,TRUE,"GenAssump";#N/A,#N/A,TRUE,"Shut-down";"ProdAssump1_2000_2009",#N/A,TRUE,"ProdAssump";"ProdAssump2_2010_2019",#N/A,TRUE,"ProdAssump";"ProdAssump3_2000_2009",#N/A,TRUE,"ProdAssump";"ProdAssump4_2010_2019",#N/A,TRUE,"ProdAssump";"ProdAssump5_2000_2009",#N/A,TRUE,"ProdAssump";"ProdAssump6_2010_2019",#N/A,TRUE,"ProdAssump";"ProdAssump7_2000_2009",#N/A,TRUE,"ProdAssump";"ProdAssump8_2010_2019",#N/A,TRUE,"ProdAssump";"ProdAssump9_2000_2009",#N/A,TRUE,"ProdAssump";"ProdAssump10_2010_2019",#N/A,TRUE,"ProdAssump";"ProdAssump11_2000_2009",#N/A,TRUE,"ProdAssump";"ProdAssump12_2010_2019",#N/A,TRUE,"ProdAssump";"ProdAssump13_2000_2009",#N/A,TRUE,"ProdAssump";"ProdAssump14_2010_2019",#N/A,TRUE,"ProdAssump";"ProdAssump15_2000_2009",#N/A,TRUE,"ProdAssump";"ProdAssump16_2010_2019",#N/A,TRUE,"ProdAssump";"ProdAssumpTotal1",#N/A,TRUE,"ProdAssump";"ProdAssumpTotal2",#N/A,TRUE,"ProdAssump";"ProdQuantities1_2000_2009",#N/A,TRUE,"ProdAssump";"ProdQuantities2_2010_2019",#N/A,TRUE,"ProdAssump";"ProdQuantities3_2000_2009",#N/A,TRUE,"ProdAssump";"ProdQuantities4_2010_2019",#N/A,TRUE,"ProdAssump";"ProdQuantities5_2000_2009",#N/A,TRUE,"ProdAssump";"ProdQuantities6_2010_2019",#N/A,TRUE,"ProdAssump";"ProdQuantities7_2000_2009",#N/A,TRUE,"ProdAssump";"ProdQuantities8_2010_2019",#N/A,TRUE,"ProdAssump";"ProdQuantities9_2000_2009",#N/A,TRUE,"ProdAssump";"ProdQuantities10_2010_2019",#N/A,TRUE,"ProdAssump";"ProdQuantities11_2000_2009",#N/A,TRUE,"ProdAssump";"ProdQuantities12_2010_2019",#N/A,TRUE,"ProdAssump";"ProdQuantitiesTotal2000_2009",#N/A,TRUE,"ProdAssump";"ProdQuantitiesTotal2010_2019",#N/A,TRUE,"ProdAssump";"Capex1",#N/A,TRUE,"ProdAssump";"Capex2",#N/A,TRUE,"ProdAssump";"Capex3",#N/A,TRUE,"ProdAssump";"PLGGAAP1",#N/A,TRUE,"BS US GAAP";"PLGGAAP2",#N/A,TRUE,"BS US GAAP";"PLGGAAP3",#N/A,TRUE,"BS US GAAP";"PLGGAAP4",#N/A,TRUE,"BS US GAAP";"CFGGAAP1a",#N/A,TRUE,"BS US GAAP";"CFGGAAP2a",#N/A,TRUE,"BS US GAAP";"WCGGAAP1",#N/A,TRUE,"BS US GAAP";"WCGGAAP2",#N/A,TRUE,"BS US GAAP";"DebtGGAAP1",#N/A,TRUE,"BS US GAAP";"DebtGGAAP2",#N/A,TRUE,"BS US GAAP";"BSGGAAP1",#N/A,TRUE,"BS G GAAP";"BSGGAAP2",#N/A,TRUE,"BS G GAAP";"PLUSGAAP1",#N/A,TRUE,"P&amp;L US GAAP";"PLUSGAAP2",#N/A,TRUE,"P&amp;L US GAAP";"PLUSGAAP3",#N/A,TRUE,"P&amp;L US GAAP";"PLUSGAAP4",#N/A,TRUE,"P&amp;L US GAAP";"CFUSGAAP1a",#N/A,TRUE,"P&amp;L US GAAP";"CFUSGAAP2a",#N/A,TRUE,"P&amp;L US GAAP";"WCUSGAAP1",#N/A,TRUE,"P&amp;L US GAAP";"WCUSGAAP2",#N/A,TRUE,"P&amp;L US GAAP";"DebtUSGAAP1",#N/A,TRUE,"P&amp;L US GAAP";"DebtUSGAAP2",#N/A,TRUE,"P&amp;L US GAAP";"BSUSGAAP1",#N/A,TRUE,"P&amp;L US GAAP";"BSUSGAAP2",#N/A,TRUE,"P&amp;L US GAAP";"CFUSGAAP1",#N/A,TRUE,"CF US GAAP";"CFUSGAAP2",#N/A,TRUE,"CF US GAAP";"CFGGAAP1",#N/A,TRUE,"CF G GAAP";"CFGGAAP2",#N/A,TRUE,"CF G GAAP"}</definedName>
    <definedName name="wrn.All_Models." hidden="1">{#N/A,#N/A,FALSE,"Summary";#N/A,#N/A,FALSE,"Projections";#N/A,#N/A,FALSE,"Mkt Mults";#N/A,#N/A,FALSE,"DCF";#N/A,#N/A,FALSE,"Accr Dil";#N/A,#N/A,FALSE,"PIC LBO";#N/A,#N/A,FALSE,"MULT10_4";#N/A,#N/A,FALSE,"CBI LBO"}</definedName>
    <definedName name="wrn.All_ProdQuantities." hidden="1">{"ProdQuantities1_2000_2009",#N/A,FALSE,"ProdQuantities";"ProdQuantities2_2010_2019",#N/A,FALSE,"ProdQuantities";"ProdQuantities3_2000_2009",#N/A,FALSE,"ProdQuantities";"ProdQuantities4_2010_2019",#N/A,FALSE,"ProdQuantities";"ProdQuantities5_2000_2009",#N/A,FALSE,"ProdQuantities";"ProdQuantities6_2010_2019",#N/A,FALSE,"ProdQuantities";"ProdQuantities7_2000_2009",#N/A,FALSE,"ProdQuantities";"ProdQuantities8_2010_2019",#N/A,FALSE,"ProdQuantities";"ProdQuantities9_2000_2009",#N/A,FALSE,"ProdQuantities";"ProdQuantities10_2010_2019",#N/A,FALSE,"ProdQuantities";"ProdQuantities11_2000_2009",#N/A,FALSE,"ProdQuantities";"ProdQuantities12_2010_2019",#N/A,FALSE,"ProdQuantities";"ProdQuantitiesTotal2000_2009",#N/A,FALSE,"ProdQuantities";"ProdQuantitiesTotal2010_2019",#N/A,FALSE,"ProdQuantities"}</definedName>
    <definedName name="wrn.all_sheets." hidden="1">{#N/A,#N/A,FALSE,"compcoval";#N/A,#N/A,FALSE,"optionval"}</definedName>
    <definedName name="wrn.All1." hidden="1">{"Data",#N/A,FALSE,"M_VGBUS3";"Graphs1",#N/A,FALSE,"M_VGBUS3";"Volume1",#N/A,FALSE,"M_VGBUS3";"Index1",#N/A,FALSE,"M_VGBUS3";"NUR1",#N/A,FALSE,"M_VGBUS3";"Return1",#N/A,FALSE,"M_VGBUS3";"Licencing1",#N/A,FALSE,"M_VGBUS3";"MFG1",#N/A,FALSE,"M_VGBUS3"}</definedName>
    <definedName name="wrn.ALL2." hidden="1">{#N/A,#N/A,FALSE,"DCF";#N/A,#N/A,FALSE,"WACC";#N/A,#N/A,FALSE,"Sales_EBIT";#N/A,#N/A,FALSE,"Capex_Depreciation";#N/A,#N/A,FALSE,"WC";#N/A,#N/A,FALSE,"Interest";#N/A,#N/A,FALSE,"Assumptions"}</definedName>
    <definedName name="wrn.all3" hidden="1">{#N/A,#N/A,FALSE,"assumptions";#N/A,#N/A,FALSE,"v_projcy";#N/A,#N/A,FALSE,"tar_proj";#N/A,#N/A,FALSE,"contrib_annual";#N/A,#N/A,FALSE,"Proforma";#N/A,#N/A,FALSE,"purc_97";#N/A,#N/A,FALSE,"syn_purc_97";#N/A,#N/A,FALSE,"pool_97";#N/A,#N/A,FALSE,"syn_pool_97";#N/A,#N/A,FALSE,"pool1_FY2"}</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hidden="1">{#N/A,#N/A,FALSE,"Balance Sheet";#N/A,#N/A,FALSE,"Income Statement";#N/A,#N/A,FALSE,"Changes in Financial Position"}</definedName>
    <definedName name="wrn.Alligator." hidden="1">{#N/A,#N/A,FALSE,"Cover";#N/A,#N/A,FALSE,"Summary-Alligator";#N/A,#N/A,FALSE,"Proforma-Alligator";#N/A,#N/A,FALSE,"Cougar (12-31)";#N/A,#N/A,FALSE,"Cougar (3-31)";#N/A,#N/A,FALSE,"Alligator (12-31)";#N/A,#N/A,FALSE,"Alligator (3-31)"}</definedName>
    <definedName name="wrn.AllModels." hidden="1">{#N/A,#N/A,FALSE,"AD_Purchase";#N/A,#N/A,FALSE,"Credit";#N/A,#N/A,FALSE,"PF Acquisition";#N/A,#N/A,FALSE,"PF Offering"}</definedName>
    <definedName name="wrn.ALLMOSANDQTRS." hidden="1">{"CONS12",#N/A,FALSE,"1996BSCH";"DOM12",#N/A,FALSE,"1996BSCH";"CAN12",#N/A,FALSE,"1996BSCH";"DDODC12",#N/A,FALSE,"1996BSCH";"DDE12",#N/A,FALSE,"1996BSCH";"DDOC12",#N/A,FALSE,"1996BSCH";"ELIM6MO",#N/A,FALSE,"1996BSCH";"other12",#N/A,FALSE,"1996BSCH";"var12",#N/A,FALSE,"1996BSCH"}</definedName>
    <definedName name="wrn.ALLMOSANDQTRS.1a" hidden="1">{"CONS12",#N/A,FALSE,"1996BSCH";"DOM12",#N/A,FALSE,"1996BSCH";"CAN12",#N/A,FALSE,"1996BSCH";"DDODC12",#N/A,FALSE,"1996BSCH";"DDE12",#N/A,FALSE,"1996BSCH";"DDOC12",#N/A,FALSE,"1996BSCH";"ELIM6MO",#N/A,FALSE,"1996BSCH";"other12",#N/A,FALSE,"1996BSCH";"var12",#N/A,FALSE,"1996BSCH"}</definedName>
    <definedName name="wrn.ALLOC._.Q1._.AND._.Q2._.FY96." hidden="1">{"ALLOCATION1",#N/A,FALSE,"EXPENSE ALLOCATIONS"}</definedName>
    <definedName name="wrn.ALLOC._.Q1._.AND._.Q2._.FY97." hidden="1">{"ALLOCATION3",#N/A,FALSE,"EXPENSE ALLOCATIONS"}</definedName>
    <definedName name="wrn.ALLOC._.Q3._.AND._.Q4._.FY96." hidden="1">{"ALLOCATION2",#N/A,FALSE,"EXPENSE ALLOCATIONS"}</definedName>
    <definedName name="wrn.ALLOC._.Q3._.AND._.Q4._.FY97." hidden="1">{"ALLOCATION4",#N/A,FALSE,"EXPENSE ALLOCATIONS"}</definedName>
    <definedName name="wrn.Allocation._.Matrix." hidden="1">{"Allocation Matrix p1",#N/A,FALSE,"Allocation Matrix";"Allocation Matrix p2",#N/A,FALSE,"Allocation Matrix";"Allocation Matrix p3",#N/A,FALSE,"Allocation Matrix"}</definedName>
    <definedName name="wrn.allpages." hidden="1">{#N/A,#N/A,TRUE,"Historicals";#N/A,#N/A,TRUE,"Charts";#N/A,#N/A,TRUE,"Forecasts"}</definedName>
    <definedName name="wrn.AMAT._.Intranet." hidden="1">{"AMAT INC",#N/A,FALSE,"AMAT-INC";"AMAT BLSH",#N/A,FALSE,"AMATBLSH"}</definedName>
    <definedName name="wrn.Americas." hidden="1">{#N/A,#N/A,FALSE,"Americas"}</definedName>
    <definedName name="wrn.Amortization." hidden="1">{"Exist Debt Amort",#N/A,TRUE,"Financials";"Intangible Amort",#N/A,TRUE,"Financials";"Proj Debt Amort",#N/A,TRUE,"Financials";"Proj Pfd Amort",#N/A,TRUE,"Financials"}</definedName>
    <definedName name="wrn.ANADARKO." hidden="1">{"Table1",#N/A,FALSE,"ANADARKO";"Table2",#N/A,FALSE,"ANADARKO";"Table3",#N/A,FALSE,"ANADARKO";"Table3c",#N/A,FALSE,"ANADARKO";"Table3c2",#N/A,FALSE,"ANADARKO";"Table5",#N/A,FALSE,"ANADARKO"}</definedName>
    <definedName name="wrn.Analisis._.Acumulado." hidden="1">{"Ana1",#N/A,FALSE,"AnalisisA";"Ana2",#N/A,FALSE,"AnalisisA";"Ana3",#N/A,FALSE,"AnalisisA"}</definedName>
    <definedName name="wrn.Analisis._.Mensual." hidden="1">{"AnaM1",#N/A,FALSE,"AnalisisM";"AnaM2",#N/A,FALSE,"AnalisisM";"AnaM3",#N/A,FALSE,"AnalisisM"}</definedName>
    <definedName name="wrn.analysis." hidden="1">{#N/A,#N/A,FALSE,"Analysis"}</definedName>
    <definedName name="wrn.Analysis_qtr." hidden="1">{#N/A,#N/A,FALSE,"Analysis";#N/A,#N/A,FALSE,"Anal_QTR"}</definedName>
    <definedName name="wrn.Annual._.Summary." hidden="1">{#N/A,#N/A,FALSE,"Annual Summary"}</definedName>
    <definedName name="wrn.Antonelle." hidden="1">{#N/A,#N/A,FALSE,"P&amp;L";#N/A,#N/A,FALSE,"bilan";#N/A,#N/A,FALSE,"DCF"}</definedName>
    <definedName name="wrn.AOB." hidden="1">{"TRAD DDC",#N/A,FALSE,"AOB96";"DOMESTIC",#N/A,FALSE,"AOB96";"CANADA",#N/A,FALSE,"AOB96";"EUROPE",#N/A,FALSE,"AOB96";"DOC",#N/A,FALSE,"AOB96";"DDODC",#N/A,FALSE,"AOB96";"ELIMS",#N/A,FALSE,"AOB96"}</definedName>
    <definedName name="wrn.AOB1a" hidden="1">{"TRAD DDC",#N/A,FALSE,"AOB96";"DOMESTIC",#N/A,FALSE,"AOB96";"CANADA",#N/A,FALSE,"AOB96";"EUROPE",#N/A,FALSE,"AOB96";"DOC",#N/A,FALSE,"AOB96";"DDODC",#N/A,FALSE,"AOB96";"ELIMS",#N/A,FALSE,"AOB96"}</definedName>
    <definedName name="wrn.AOL._.Budget." hidden="1">{#N/A,#N/A,FALSE,"Summary";#N/A,#N/A,FALSE,"Rollup";#N/A,#N/A,FALSE,"SG&amp;A";#N/A,#N/A,FALSE,"Sales_Rollup";"mixstar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PCI._.Tab." hidden="1">{#N/A,#N/A,FALSE,"P and L ";#N/A,#N/A,FALSE,"Sales";#N/A,#N/A,FALSE,"Overheads";#N/A,#N/A,FALSE,"R and D";#N/A,#N/A,FALSE,"Operating Income";#N/A,#N/A,FALSE,"Equity Affiliate Income";"M Factors Print",#N/A,FALSE,"Major Factors"}</definedName>
    <definedName name="wrn.APCT." hidden="1">{"Page1",#N/A,FALSE,"APCT";"Page2",#N/A,FALSE,"APCT"}</definedName>
    <definedName name="wrn.APL." hidden="1">{"Page1",#N/A,FALSE,"APL";"Page2",#N/A,FALSE,"APL"}</definedName>
    <definedName name="wrn.Appendix." hidden="1">{#N/A,#N/A,TRUE,"Lines";#N/A,#N/A,TRUE,"Stations";#N/A,#N/A,TRUE,"Cap. Expenses";#N/A,#N/A,TRUE,"Land";#N/A,#N/A,TRUE,"Cen Proces Sys";#N/A,#N/A,TRUE,"telecom";#N/A,#N/A,TRUE,"Other"}</definedName>
    <definedName name="wrn.APR." hidden="1">{"APR",#N/A,FALSE,"APR"}</definedName>
    <definedName name="wrn.APRIL." hidden="1">{"APRIL",#N/A,FALSE,"Q4"}</definedName>
    <definedName name="wrn.April._.Financials." hidden="1">{"Statement of Income",#N/A,TRUE,"Mar99";"Balance Sheet",#N/A,TRUE,"Mar99"}</definedName>
    <definedName name="wrn.AQUIROR._.DCF." hidden="1">{"AQUIRORDCF",#N/A,FALSE,"Merger consequences";"Acquirorassns",#N/A,FALSE,"Merger consequences"}</definedName>
    <definedName name="wrn.ARGON._.PRICING." hidden="1">{"ARGON PRICING",#N/A,FALSE,"ARGON"}</definedName>
    <definedName name="wrn.ARGON._.REVENUE." hidden="1">{"ARGON REVENUE",#N/A,FALSE,"ARGON"}</definedName>
    <definedName name="wrn.ARGON._.VOLUME." hidden="1">{"ARGON VOLUME",#N/A,FALSE,"ARGON"}</definedName>
    <definedName name="wrn.ARGON_VOL" hidden="1">{"ARGON VOLUME",#N/A,FALSE,"ARGON"}</definedName>
    <definedName name="wrn.ARPU._.composition." hidden="1">{#N/A,#N/A,FALSE,"Additional ARPU"}</definedName>
    <definedName name="wrn.ARZTLM." hidden="1">{"rep1",#N/A,FALSE,"ריכוז";"REP7",#N/A,FALSE,"מפורט_אזורים_ער""ז";"REP2",#N/A,FALSE,"מפורט1";"REP3",#N/A,FALSE,"מפורט1";"REP4",#N/A,FALSE,"מפורט2";"REP5",#N/A,FALSE,"מפורט2";"REP6",#N/A,FALSE,"מפורט2"}</definedName>
    <definedName name="wrn.as." hidden="1">{#N/A,#N/A,FALSE,"1. PTI Ziele";#N/A,#N/A,FALSE,"2. Zielkatalog ";#N/A,#N/A,FALSE,"3. Masterterminplan"}</definedName>
    <definedName name="wrn.asia" hidden="1">{#N/A,#N/A,FALSE,"ASIA CORP";#N/A,#N/A,FALSE,"SEG";#N/A,#N/A,FALSE,"INVEST";#N/A,#N/A,FALSE,"ELIM"}</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ptn." hidden="1">{#N/A,#N/A,TRUE,"asptn "}</definedName>
    <definedName name="wrn.ASSEM._.SALARY._.CALC." hidden="1">{"SALMGMT",#N/A,FALSE,"ASSEMBLY EXPENSE";"SALMFGENG",#N/A,FALSE,"ASSEMBLY EXPENSE";"SALEQUIPENG",#N/A,FALSE,"ASSEMBLY EXPENSE";"SALTO220MGMT",#N/A,FALSE,"ASSEMBLY EXPENSE";"SALEQUIPSUP",#N/A,FALSE,"ASSEMBLY EXPENSE";"SALMATPROCESS",#N/A,FALSE,"ASSEMBLY EXPENSE"}</definedName>
    <definedName name="wrn.ASSETS." hidden="1">{#N/A,#N/A,FALSE,"notes";#N/A,#N/A,FALSE,"Assets";#N/A,#N/A,FALSE,"assgraph";#N/A,#N/A,FALSE,"FG Inventory Aging";#N/A,#N/A,FALSE,"WWINVSUM";#N/A,#N/A,FALSE,"WWinvFAM";#N/A,#N/A,FALSE,"RM&amp;WIP"}</definedName>
    <definedName name="wrn.assumptions." hidden="1">{"casespecific",#N/A,FALSE,"Assumptions"}</definedName>
    <definedName name="wrn.AU._.검사성적서." hidden="1">{#N/A,#N/A,FALSE,"을지 (4)";#N/A,#N/A,FALSE,"을지 (5)";#N/A,#N/A,FALSE,"을지 (6)"}</definedName>
    <definedName name="wrn.AU._.초도품._.보증서." hidden="1">{#N/A,#N/A,FALSE,"초도품";#N/A,#N/A,FALSE,"초도품 (2)";#N/A,#N/A,FALSE,"초도품 (3)";#N/A,#N/A,FALSE,"초도품 (4)";#N/A,#N/A,FALSE,"초도품 (5)";#N/A,#N/A,FALSE,"초도품 (6)"}</definedName>
    <definedName name="wrn.Auflösung." hidden="1">{#N/A,#N/A,TRUE,"0.";#N/A,#N/A,TRUE,"1.";#N/A,#N/A,TRUE,"2.";#N/A,#N/A,TRUE,"1.1";#N/A,#N/A,TRUE,"1.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name="wrn.Auflösung._1" hidden="1">{#N/A,#N/A,TRUE,"0.";#N/A,#N/A,TRUE,"1.";#N/A,#N/A,TRUE,"2.";#N/A,#N/A,TRUE,"1.1";#N/A,#N/A,TRUE,"1.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name="wrn.Auflösung._2" hidden="1">{#N/A,#N/A,TRUE,"0.";#N/A,#N/A,TRUE,"1.";#N/A,#N/A,TRUE,"2.";#N/A,#N/A,TRUE,"1.1";#N/A,#N/A,TRUE,"1.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name="wrn.Auflösung._3" hidden="1">{#N/A,#N/A,TRUE,"0.";#N/A,#N/A,TRUE,"1.";#N/A,#N/A,TRUE,"2.";#N/A,#N/A,TRUE,"1.1";#N/A,#N/A,TRUE,"1.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name="wrn.Auflösung._4" hidden="1">{#N/A,#N/A,TRUE,"0.";#N/A,#N/A,TRUE,"1.";#N/A,#N/A,TRUE,"2.";#N/A,#N/A,TRUE,"1.1";#N/A,#N/A,TRUE,"1.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name="wrn.Auflösung._5" hidden="1">{#N/A,#N/A,TRUE,"0.";#N/A,#N/A,TRUE,"1.";#N/A,#N/A,TRUE,"2.";#N/A,#N/A,TRUE,"1.1";#N/A,#N/A,TRUE,"1.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name="wrn.AUG." hidden="1">{"AUG",#N/A,FALSE,"AUG"}</definedName>
    <definedName name="wrn.AUGUST." hidden="1">{"Q1AUG",#N/A,FALSE,"Q1"}</definedName>
    <definedName name="wrn.Auto._.Comp." hidden="1">{#N/A,#N/A,FALSE,"Sheet1"}</definedName>
    <definedName name="wrn.Auto._.Comp.1" hidden="1">{#N/A,#N/A,FALSE,"Sheet1"}</definedName>
    <definedName name="wrn.away." hidden="1">{"away stand alones",#N/A,FALSE,"Target"}</definedName>
    <definedName name="wrn.b1._.FY9798Totals." hidden="1">{"FY97Total",#N/A,FALSE,"FY97 - Total";"FY98Total",#N/A,FALSE,"FY98 - Total"}</definedName>
    <definedName name="wrn.B10." hidden="1">{"B10-2000",#N/A,FALSE,"BL2000"}</definedName>
    <definedName name="wrn.b2._.FY97Q1234." hidden="1">{"FY97Q1",#N/A,FALSE,"FY97 - Q1";"FY97Q2",#N/A,FALSE,"FY97 - Q2";"FY97Q3",#N/A,FALSE,"FY97 - Q3";"FY97Q4",#N/A,FALSE,"FY97 - Q4"}</definedName>
    <definedName name="wrn.b3._.FY98Q1234." hidden="1">{"FY98Q1",#N/A,FALSE,"FY98 - Q1";"FY98Q2",#N/A,FALSE,"FY98 - Q2";"FY98Q3",#N/A,FALSE,"FY98 - Q3";"FY98Q4",#N/A,FALSE,"FY98 - Q4"}</definedName>
    <definedName name="wrn.Back._.Page." hidden="1">{"Back Page",#N/A,FALSE,"Front and Back"}</definedName>
    <definedName name="wrn.backup." hidden="1">{"financials",#N/A,FALSE,"BASIC";"interest",#N/A,FALSE,"BASIC";"leasing and financing",#N/A,FALSE,"BASIC";"returns back up",#N/A,FALSE,"BASIC"}</definedName>
    <definedName name="wrn.Backup1a" hidden="1">{#N/A,#N/A,FALSE,"Back-up";#N/A,#N/A,FALSE,"Pricing";#N/A,#N/A,FALSE,"Incentives";#N/A,#N/A,FALSE,"Cons. Employment";#N/A,#N/A,FALSE,"Manufacturing";#N/A,#N/A,FALSE,"Engineering II";#N/A,#N/A,FALSE,"Expenses";#N/A,#N/A,FALSE,"Administration";#N/A,#N/A,FALSE,"Selling";#N/A,#N/A,FALSE,"Marketing";#N/A,#N/A,FALSE,"Warehouse";#N/A,#N/A,FALSE,"Warranty";#N/A,#N/A,FALSE,"CAPEX";#N/A,#N/A,FALSE,"Series 50-60";#N/A,#N/A,FALSE,"2 Cycle";#N/A,#N/A,FALSE,"Series 2000";#N/A,#N/A,FALSE,"Series 4000";#N/A,#N/A,FALSE,"Series 30-40";#N/A,#N/A,FALSE,"Reman";#N/A,#N/A,FALSE,"Cento";#N/A,#N/A,FALSE,"Distr";#N/A,#N/A,FALSE,"Deep Backup";#N/A,#N/A,FALSE,"Series 50-60 (2)";#N/A,#N/A,FALSE,"2 Cycle (2)";#N/A,#N/A,FALSE,"Series 2000 (2)";#N/A,#N/A,FALSE,"Series 4000 (2)";#N/A,#N/A,FALSE,"Series 30-40 (2)";#N/A,#N/A,FALSE,"Deducts";#N/A,#N/A,FALSE,"EBIT";#N/A,#N/A,FALSE,"Employment"}</definedName>
    <definedName name="wrn.balance._.sheet." hidden="1">{"bs",#N/A,FALSE,"SCF"}</definedName>
    <definedName name="wrn.balance._.sheet.2" hidden="1">{"bs",#N/A,FALSE,"SCF"}</definedName>
    <definedName name="wrn.BalanceSheetGermanGAAP2000_2009." hidden="1">{"BSGGAAP1",#N/A,FALSE,"P&amp;L G GAAP"}</definedName>
    <definedName name="wrn.BalanceSheetGermanGAAP2010_2019." hidden="1">{"BSGGAAP2",#N/A,FALSE,"BS G GAAP"}</definedName>
    <definedName name="wrn.BalanceSheetUSGAAP2000_2009." hidden="1">{"BSUSGAAP1",#N/A,FALSE,"BS US GAAP"}</definedName>
    <definedName name="wrn.BalanceSheetUSGAAP2010_2019." hidden="1">{"BSUSGAAP2",#N/A,FALSE,"BS US GAAP"}</definedName>
    <definedName name="wrn.balsheet." hidden="1">{"ICDANDNONDIV",#N/A,FALSE,"BSALLNOW.XLS";"polyandpurperf",#N/A,FALSE,"BSALLNOW.XLS"}</definedName>
    <definedName name="wrn.Bank." hidden="1">{"OPL1",#N/A,FALSE,"PL";"OpAnal",#N/A,FALSE,"Op";"BS2",#N/A,FALSE,"BS";"CF1(a)",#N/A,FALSE,"Op"}</definedName>
    <definedName name="wrn.bank._.model." hidden="1">{"banks",#N/A,FALSE,"BASIC"}</definedName>
    <definedName name="wrn.Bankers." hidden="1">{#N/A,#N/A,FALSE,"COVER";#N/A,#N/A,FALSE,"SUMMARY";#N/A,#N/A,FALSE,"INCOME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View." hidden="1">{"BankView",#N/A,FALSE,"TransSum";#N/A,#N/A,FALSE,"Lab";#N/A,#N/A,FALSE,"Micro wo HiPur";#N/A,#N/A,FALSE,"Texas";#N/A,#N/A,FALSE,"Temple";#N/A,#N/A,FALSE,"Micro";#N/A,#N/A,FALSE,"BuyResale";#N/A,#N/A,FALSE,"Spec.";#N/A,#N/A,FALSE,"Comb";#N/A,#N/A,FALSE,"StandAlon";#N/A,#N/A,FALSE,"IncStmt";#N/A,#N/A,FALSE,"BalSht";#N/A,#N/A,FALSE,"CapEx";#N/A,#N/A,FALSE,"CashFlow";#N/A,#N/A,FALSE,"TBS"}</definedName>
    <definedName name="wrn.BankView.2" hidden="1">{"BankView",#N/A,FALSE,"TransSum";#N/A,#N/A,FALSE,"Lab";#N/A,#N/A,FALSE,"Micro wo HiPur";#N/A,#N/A,FALSE,"Texas";#N/A,#N/A,FALSE,"Temple";#N/A,#N/A,FALSE,"Micro";#N/A,#N/A,FALSE,"BuyResale";#N/A,#N/A,FALSE,"Spec.";#N/A,#N/A,FALSE,"Comb";#N/A,#N/A,FALSE,"StandAlon";#N/A,#N/A,FALSE,"IncStmt";#N/A,#N/A,FALSE,"BalSht";#N/A,#N/A,FALSE,"CapEx";#N/A,#N/A,FALSE,"CashFlow";#N/A,#N/A,FALSE,"TBS"}</definedName>
    <definedName name="wrn.Base._.Data._.Comparison." hidden="1">{#N/A,#N/A,FALSE,"Summation";#N/A,#N/A,FALSE,"BSA";#N/A,#N/A,FALSE,"Detail1";#N/A,#N/A,FALSE,"Detail2";#N/A,#N/A,FALSE,"Detail3";#N/A,#N/A,FALSE,"WFTE_Summary";#N/A,#N/A,FALSE,"Funded_WFTE";#N/A,#N/A,FALSE,"PYADJ96"}</definedName>
    <definedName name="wrn.baseDEV." hidden="1">{"cover",#N/A,TRUE,"Cover";"pnldet",#N/A,TRUE,"BaseCaseDEV";"pnl",#N/A,TRUE,"BaseCaseDEV";"bil",#N/A,TRUE,"BaseCaseDEV";"tabfi",#N/A,TRUE,"BaseCaseDEV";"ratios",#N/A,TRUE,"BaseCaseDEV";"variab",#N/A,TRUE,"BaseCaseDEV";"inv",#N/A,TRUE,"BaseCaseDEV"}</definedName>
    <definedName name="wrn.Basic." hidden="1">{#N/A,#N/A,FALSE,"Cover";#N/A,#N/A,FALSE,"Assumptions";#N/A,#N/A,FALSE,"Acquirer";#N/A,#N/A,FALSE,"Target";#N/A,#N/A,FALSE,"Income Statement";#N/A,#N/A,FALSE,"Summary Tables"}</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EL." hidden="1">{"IS",#N/A,FALSE,"IS";"RPTIS",#N/A,FALSE,"RPTIS";"STATS",#N/A,FALSE,"STATS";"CELL",#N/A,FALSE,"CELL";"BS",#N/A,FALSE,"BS"}</definedName>
    <definedName name="wrn.Belgium." hidden="1">{"Input",#N/A,FALSE,"Belgium";"Cash Flow Statement",#N/A,FALSE,"Belgium";"Cash Flow Worksheet",#N/A,FALSE,"Belgium";"Trial Balance - CY",#N/A,FALSE,"Belgium";"Trial Balance - PY",#N/A,FALSE,"Belgium"}</definedName>
    <definedName name="wrn.Bericht." hidden="1">{#N/A,#N/A,FALSE,"Aktiva";#N/A,#N/A,FALSE,"Passiva";#N/A,#N/A,FALSE,"guv";#N/A,#N/A,FALSE,"Anl-1";#N/A,#N/A,FALSE,"Anl-2";#N/A,#N/A,FALSE,"Anl-III";#N/A,#N/A,FALSE,"Ta-1-Anh";#N/A,#N/A,FALSE,"Ta-2-Anh";#N/A,#N/A,FALSE,"Ta-3-Anh";#N/A,#N/A,FALSE,"Kontroll-Blatt"}</definedName>
    <definedName name="wrn.Bericht._.FO._.R." hidden="1">{#N/A,#N/A,FALSE,"FO R";"Bericht FO FR",#N/A,FALSE,"DB"}</definedName>
    <definedName name="wrn.Bericht._.OC." hidden="1">{#N/A,#N/A,FALSE,"OC";"Bericht OC",#N/A,FALSE,"DB"}</definedName>
    <definedName name="wrn.Bericht._.OI." hidden="1">{#N/A,#N/A,FALSE,"OI";"Bericht OI",#N/A,FALSE,"DB"}</definedName>
    <definedName name="wrn.Bericht._.OS._.L." hidden="1">{#N/A,#N/A,FALSE,"OS L";"Bericht OS L",#N/A,FALSE,"DB"}</definedName>
    <definedName name="wrn.Bericht._.OS._.T." hidden="1">{#N/A,#N/A,FALSE,"OS T";"Bericht OS T",#N/A,FALSE,"DB"}</definedName>
    <definedName name="wrn.Bericht._.Q." hidden="1">{#N/A,#N/A,FALSE,"Q";"Bericht Q",#N/A,FALSE,"DB"}</definedName>
    <definedName name="wrn.Bericht._.STA." hidden="1">{#N/A,#N/A,FALSE,"STA";"Bericht STA",#N/A,FALSE,"DB"}</definedName>
    <definedName name="wrn.Bericht._.TF." hidden="1">{"TF",#N/A,FALSE,"la september";#N/A,#N/A,FALSE,"diagramm tf"}</definedName>
    <definedName name="wrn.Bericht._.TF.1a" hidden="1">{"TF",#N/A,FALSE,"la september";#N/A,#N/A,FALSE,"diagramm tf"}</definedName>
    <definedName name="wrn.Bericht._.TM." hidden="1">{"TM",#N/A,FALSE,"la september";#N/A,#N/A,FALSE,"diagramm tm"}</definedName>
    <definedName name="wrn.Bericht._.TM.1a" hidden="1">{"TM",#N/A,FALSE,"la september";#N/A,#N/A,FALSE,"diagramm tm"}</definedName>
    <definedName name="wrn.Bericht._.VV." hidden="1">{#N/A,#N/A,FALSE,"VV";"Bericht VV",#N/A,FALSE,"DB"}</definedName>
    <definedName name="wrn.betz." hidden="1">{"net assets",#N/A,FALSE,"summary";"asset turnover",#N/A,FALSE,"summary";"orona",#N/A,FALSE,"summary"}</definedName>
    <definedName name="wrn.Bewegungsbilanz." hidden="1">{#N/A,#N/A,FALSE,"Mittelherkunft";#N/A,#N/A,FALSE,"Mittelverwendung"}</definedName>
    <definedName name="wrn.BewertungD."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wrn.bhko." hidden="1">{"bhv1",#N/A,FALSE,"A";"bhv2",#N/A,FALSE,"A";"bhv4",#N/A,FALSE,"A";"bhv3",#N/A,FALSE,"A"}</definedName>
    <definedName name="wrn.bhvkd." hidden="1">{"bkod1",#N/A,FALSE,"A";"bokd2",#N/A,FALSE,"A";"bokd3",#N/A,FALSE,"A";"bkod4",#N/A,FALSE,"A";"bokd5",#N/A,FALSE,"A";"bokd6",#N/A,FALSE,"A";"bokd7",#N/A,FALSE,"A"}</definedName>
    <definedName name="wrn.BidCo." hidden="1">{#N/A,#N/A,FALSE,"BidCo Assumptions";#N/A,#N/A,FALSE,"Credit Stats";#N/A,#N/A,FALSE,"Bidco Summary";#N/A,#N/A,FALSE,"BIDCO Consolidated"}</definedName>
    <definedName name="wrn.Bilanz." hidden="1">{#N/A,#N/A,FALSE,"Layout Aktiva";#N/A,#N/A,FALSE,"Layout Passiva"}</definedName>
    <definedName name="wrn.Bilanzen_GuV_Memo."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wrn.Bilanzplan." hidden="1">{#N/A,#N/A,FALSE,"Deckblatt Bilanz";#N/A,#N/A,FALSE,"Bilanz";#N/A,#N/A,FALSE,"GuV";#N/A,#N/A,FALSE,"Cash-flow-Rechnung";#N/A,#N/A,FALSE,"Berechnung Zinsergebnis";#N/A,#N/A,FALSE,"Berechnung Rückstellungen";#N/A,#N/A,FALSE,"Berechnung sonstige Vbdl.";#N/A,#N/A,FALSE,"Wertentwicklung";#N/A,#N/A,FALSE,"Annahmen"}</definedName>
    <definedName name="wrn.billbook." hidden="1">{#N/A,#N/A,FALSE,"FIRG96";#N/A,#N/A,FALSE,"FIRG96_2";#N/A,#N/A,FALSE,"FIRG96_3";#N/A,#N/A,FALSE,"FIRG96_4";#N/A,#N/A,FALSE,"RETEX";#N/A,#N/A,FALSE,"RETEX2";#N/A,#N/A,FALSE,"RETEX3";#N/A,#N/A,FALSE,"RETEX4";#N/A,#N/A,FALSE,"EMS";#N/A,#N/A,FALSE,"EMS2";#N/A,#N/A,FALSE,"EMS3";#N/A,#N/A,FALSE,"EMS4";#N/A,#N/A,FALSE,"Q496 v Q396";#N/A,#N/A,FALSE,"Q497 vs Q397";#N/A,#N/A,FALSE,"Q497 vs Q496"}</definedName>
    <definedName name="wrn.bkof." hidden="1">{"bkf1",#N/A,FALSE,"A";"bfk2",#N/A,FALSE,"A";"bfk3",#N/A,FALSE,"A";"bfk4",#N/A,FALSE,"A";"bfk5",#N/A,FALSE,"A";"bfk6",#N/A,FALSE,"A";"bfk7",#N/A,FALSE,"A";"bfk8",#N/A,FALSE,"A";"bfk9",#N/A,FALSE,"A"}</definedName>
    <definedName name="wrn.BL." hidden="1">{"BL2000",#N/A,FALSE,"BL2000"}</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Book." hidden="1">{#N/A,#N/A,FALSE,"COVER PAGE";#N/A,#N/A,FALSE,"IS by Q";#N/A,#N/A,FALSE,"IS";#N/A,#N/A,FALSE,"BS-A";#N/A,#N/A,FALSE,"BS-L &amp; E";#N/A,#N/A,FALSE,"Cash Flow";#N/A,#N/A,FALSE,"Subs";#N/A,#N/A,FALSE,"Subs Pre Pay";#N/A,#N/A,FALSE,"IS ISP";#N/A,#N/A,FALSE,"Subs ISP";#N/A,#N/A,FALSE," IS ISP split";#N/A,#N/A,FALSE,"Covenants"}</definedName>
    <definedName name="wrn.Board._.Reports." hidden="1">{#N/A,#N/A,FALSE,"M1s Board";#N/A,#N/A,FALSE,"M3 Board";#N/A,#N/A,FALSE,"M6 Board";#N/A,#N/A,FALSE,"M7";#N/A,#N/A,FALSE,"M7B";#N/A,#N/A,FALSE,"M8";#N/A,#N/A,FALSE,"M8A Board";#N/A,#N/A,FALSE,"AF1 Board"}</definedName>
    <definedName name="wrn.book." hidden="1">{#N/A,#N/A,FALSE,"FIRG96";#N/A,#N/A,FALSE,"FIRG96_2";#N/A,#N/A,FALSE,"FIRG96_3";#N/A,#N/A,FALSE,"FIRG96_4";#N/A,#N/A,FALSE,"FIRG Exec";#N/A,#N/A,FALSE,"Sys Arch";#N/A,#N/A,FALSE,"RETEX";#N/A,#N/A,FALSE,"RETEX2";#N/A,#N/A,FALSE,"RETEX3";#N/A,#N/A,FALSE,"RETEX4";#N/A,#N/A,FALSE,"EMS";#N/A,#N/A,FALSE,"EMS2";#N/A,#N/A,FALSE,"EMS3";#N/A,#N/A,FALSE,"EMS4";#N/A,#N/A,FALSE,"Q496 v Q396";#N/A,#N/A,FALSE,"Q497 vs Q397";#N/A,#N/A,FALSE,"Q497 vs Q496";#N/A,#N/A,FALSE,"HEADCOUNT"}</definedName>
    <definedName name="wrn.Both." hidden="1">{"detail",#N/A,FALSE,"mfg";"summary",#N/A,FALSE,"mfg"}</definedName>
    <definedName name="wrn.Both.2" hidden="1">{"detail",#N/A,FALSE,"mfg";"summary",#N/A,FALSE,"mfg"}</definedName>
    <definedName name="wrn.both1" hidden="1">{"detail",#N/A,FALSE,"mfg";"summary",#N/A,FALSE,"mfg"}</definedName>
    <definedName name="wrn.both10" hidden="1">{"detail",#N/A,FALSE,"mfg";"summary",#N/A,FALSE,"mfg"}</definedName>
    <definedName name="wrn.both102" hidden="1">{"detail",#N/A,FALSE,"mfg";"summary",#N/A,FALSE,"mfg"}</definedName>
    <definedName name="wrn.both11" hidden="1">{"detail",#N/A,FALSE,"mfg";"summary",#N/A,FALSE,"mfg"}</definedName>
    <definedName name="wrn.both12" hidden="1">{"detail",#N/A,FALSE,"mfg";"summary",#N/A,FALSE,"mfg"}</definedName>
    <definedName name="wrn.Both31" hidden="1">{"detail",#N/A,FALSE,"mfg";"summary",#N/A,FALSE,"mfg"}</definedName>
    <definedName name="wrn.Both32" hidden="1">{"detail",#N/A,FALSE,"mfg";"summary",#N/A,FALSE,"mfg"}</definedName>
    <definedName name="wrn.Both34" hidden="1">{"detail",#N/A,FALSE,"mfg";"summary",#N/A,FALSE,"mfg"}</definedName>
    <definedName name="wrn.Both35" hidden="1">{"detail",#N/A,FALSE,"mfg";"summary",#N/A,FALSE,"mfg"}</definedName>
    <definedName name="wrn.Both42" hidden="1">{"detail",#N/A,FALSE,"mfg";"summary",#N/A,FALSE,"mfg"}</definedName>
    <definedName name="wrn.both71" hidden="1">{"detail",#N/A,FALSE,"mfg";"summary",#N/A,FALSE,"mfg"}</definedName>
    <definedName name="wrn.botha11" hidden="1">{"detail",#N/A,FALSE,"mfg";"summary",#N/A,FALSE,"mfg"}</definedName>
    <definedName name="wrn.botha2" hidden="1">{"detail",#N/A,FALSE,"mfg";"summary",#N/A,FALSE,"mfg"}</definedName>
    <definedName name="wrn.bothab2" hidden="1">{"detail",#N/A,FALSE,"mfg";"summary",#N/A,FALSE,"mfg"}</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GUIDE."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1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1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1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1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1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2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2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2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2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2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3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3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3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3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3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4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4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4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4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4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5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5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5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5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GUIDE._5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lan." hidden="1">{#N/A,#N/A,FALSE,"F_Plan";#N/A,#N/A,FALSE,"Parameter"}</definedName>
    <definedName name="wrn.BPP._.Fcst." hidden="1">{"BPP",#N/A,TRUE,"BPP IS";"AG",#N/A,TRUE,"AG IS";"BI US&amp;Asia",#N/A,TRUE,"B&amp;I US IS and Asia";"BI Europe",#N/A,TRUE,"B&amp;I EU IS";"BPP B_S",#N/A,TRUE,"BPP BS"}</definedName>
    <definedName name="wrn.Breakout." hidden="1">{#N/A,#N/A,FALSE,"BreakoutFY95";#N/A,#N/A,FALSE,"BreakoutFY96";#N/A,#N/A,FALSE,"BreakoutFY97";#N/A,#N/A,FALSE,"BreakoutFY98"}</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ian." hidden="1">{#N/A,#N/A,FALSE,"output";#N/A,#N/A,FALSE,"contrib";#N/A,#N/A,FALSE,"profile";#N/A,#N/A,FALSE,"comps"}</definedName>
    <definedName name="wrn.BROCHURE." hidden="1">{"ACT",#N/A,FALSE,"Q3Elec P&amp;L fy 99  ";"BUD",#N/A,FALSE,"Q3Elec P&amp;L fy 99  ";"PRIOR",#N/A,FALSE,"Q3Elec P&amp;L fy 99  "}</definedName>
    <definedName name="wrn.BROCHYTD." hidden="1">{"YTDACT",#N/A,FALSE,"YTD Cum";"YTDBUD",#N/A,FALSE,"YTD Cum";"YTDPRIOR",#N/A,FALSE,"YTD Cum"}</definedName>
    <definedName name="wrn.bs.com." hidden="1">{#N/A,#N/A,FALSE,"Summary (A)";#N/A,#N/A,FALSE,"DCF (B-1)";#N/A,#N/A,FALSE,"WACC (B-2)";#N/A,#N/A,FALSE,"Web Comps (B-3)";#N/A,#N/A,FALSE,"Web Approach (C-1)";#N/A,#N/A,FALSE,"Recnt Trans (D)";#N/A,#N/A,FALSE,"Inc. Stmt Scen 1(E-1,E-2)";#N/A,#N/A,FALSE,"Fixed Assets (E-3)";#N/A,#N/A,FALSE,"Venture Cap (F)";#N/A,#N/A,FALSE,"Control (G)"}</definedName>
    <definedName name="wrn.BS_ALL." hidden="1">{"BS","id_9000",FALSE,"BS";"BS","id_7007",FALSE,"BS"}</definedName>
    <definedName name="wrn.BS_consol._.bs._.and._.detail." hidden="1">{"bs",#N/A,FALSE,"BS-Consol";"bs detail",#N/A,FALSE,"BS-Consol"}</definedName>
    <definedName name="wrn.bsall." hidden="1">{"pg1",#N/A,FALSE,"BSALLNOW.XLS";"pg2",#N/A,FALSE,"BSALLNOW.XLS";"pg3",#N/A,FALSE,"BSALLNOW.XLS"}</definedName>
    <definedName name="wrn.BSAnnualModel." hidden="1">{"BSAnnualModel",#N/A,FALSE,"BS"}</definedName>
    <definedName name="wrn.BUDGET." hidden="1">{#N/A,#N/A,TRUE,"Sheet1";#N/A,#N/A,TRUE,"assumptions";#N/A,#N/A,TRUE,"p&amp;l";#N/A,#N/A,TRUE,"P&amp;L - MKD";#N/A,#N/A,TRUE,"sales cos";#N/A,#N/A,TRUE,"expenses";#N/A,#N/A,TRUE,"LAB PACK NOTE";#N/A,#N/A,TRUE,"Salaries";#N/A,#N/A,TRUE,"Capex"}</definedName>
    <definedName name="wrn.Budget._.1995." hidden="1">{"budget95",#N/A,TRUE,"Tabelle1";"Tab1",#N/A,TRUE,"Tabelle2"}</definedName>
    <definedName name="wrn.budget._.balance._.sheet." hidden="1">{"bugdet992000 balance sheet",#N/A,FALSE,"Celtel alternative 6"}</definedName>
    <definedName name="wrn.Budget._.Book._.Format." hidden="1">{"Ratios",#N/A,FALSE,"Management Accounts";"I &amp; E Summary BB",#N/A,FALSE,"Management Accounts";"I &amp; E Turnover BB",#N/A,FALSE,"Management Accounts";"I &amp; E Op Costs 1 BB",#N/A,FALSE,"Management Accounts";"I &amp; E Op Costs 2 BB",#N/A,FALSE,"Management Accounts";"I &amp; E Sales BB",#N/A,FALSE,"Management Accounts";"I &amp; E Interest BB",#N/A,FALSE,"Management Accounts";"Cash Flow",#N/A,FALSE,"Management Accounts";"Dev Exp",#N/A,FALSE,"Management Accounts";"Dev SHG",#N/A,FALSE,"Management Accounts";"I &amp; E F &amp; A BB",#N/A,FALSE,"Management Accounts"}</definedName>
    <definedName name="wrn.budget._.capex." hidden="1">{"budget992000 capex",#N/A,FALSE,"Celtel alternative 6"}</definedName>
    <definedName name="wrn.budget._.customers." hidden="1">{"budget992000_customers",#N/A,FALSE,"Celtel alternative 6"}</definedName>
    <definedName name="wrn.Budget._.Package." hidden="1">{#N/A,#N/A,FALSE,"Comparison";#N/A,#N/A,FALSE,"Income Statement";#N/A,#N/A,FALSE,"Balance Sheet";#N/A,#N/A,FALSE,"Cash Flow";#N/A,#N/A,FALSE,"Material &amp; Labor";#N/A,#N/A,FALSE,"Operating OH"}</definedName>
    <definedName name="wrn.budget._.profit._.and._.loss." hidden="1">{"budget992000 profit and loss",#N/A,FALSE,"Celtel alternative 6"}</definedName>
    <definedName name="wrn.budget._.tariffs._.and._.usage." hidden="1">{"budget992000 tariff and usage",#N/A,FALSE,"Celtel alternative 6"}</definedName>
    <definedName name="wrn.Budget._.with._.LTM." hidden="1">{"I &amp; E Summary LTM",#N/A,FALSE,"Management Accounts";"I &amp; E Turnover LTM",#N/A,FALSE,"Management Accounts";"I &amp; E Op Costs 1 LTM",#N/A,FALSE,"Management Accounts";"I &amp; E Op Costs 2 LTM",#N/A,FALSE,"Management Accounts";"I &amp; E Sales LTM",#N/A,FALSE,"Management Accounts";"I &amp; E Interest LTM",#N/A,FALSE,"Management Accounts";"I &amp; E F &amp; A LTM",#N/A,FALSE,"Management Accounts"}</definedName>
    <definedName name="wrn.Budsjett._.halvår." hidden="1">{#N/A,#N/A,FALSE,"PrintH"}</definedName>
    <definedName name="wrn.budsjett._.halvår1" hidden="1">{#N/A,#N/A,FALSE,"PrintH"}</definedName>
    <definedName name="wrn.Budsjett._.periodis._.pr._.mnd." hidden="1">{#N/A,#N/A,FALSE,"Sheet2"}</definedName>
    <definedName name="wrn.Budsjett._.periodisert._.pr._.mnd._.og._.kvart._.akk." hidden="1">{#N/A,#N/A,FALSE,"PrintM"}</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RDEN." hidden="1">{"Burden (burden)",#N/A,FALSE,"burden"}</definedName>
    <definedName name="wrn.burdens" hidden="1">{"Burden (burden)",#N/A,FALSE,"burden"}</definedName>
    <definedName name="wrn.Business._.Case." hidden="1">{"ROI",#N/A,TRUE,"Summary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name="wrn.Business._.Plan." hidden="1">{#N/A,#N/A,TRUE,"Deckblatt";#N/A,#N/A,TRUE,"Bilanz";#N/A,#N/A,TRUE,"GuV";#N/A,#N/A,TRUE,"Bilanz+GuV Erläuterungen";#N/A,#N/A,TRUE,"Umsatz";#N/A,#N/A,TRUE,"Umsatz Erläuterungen";#N/A,#N/A,TRUE,"Personal";#N/A,#N/A,TRUE,"Personal Erläuterungen";#N/A,#N/A,TRUE,"Anlagen";#N/A,#N/A,TRUE,"Anlagen Erläuterungen";#N/A,#N/A,TRUE,"Berechnung Rückstellungen";#N/A,#N/A,TRUE,"Berechnung sonstige Vbdl.";#N/A,#N/A,TRUE,"Rückst.+Vbdl. Erläuterungen";#N/A,#N/A,TRUE,"Cash-flow-Rechnung";#N/A,#N/A,TRUE,"Berechnung Zinsergebnis";#N/A,#N/A,TRUE,"Berechnung WACC";#N/A,#N/A,TRUE,"Wertentwicklung"}</definedName>
    <definedName name="wrn.BY._.COUNTRY._.BY._.ENGINE._.BY._.YEAR." hidden="1">{"SUM GER",#N/A,FALSE,"SUM GER";"SUM FRA",#N/A,FALSE,"SUM FRA";"SUM ITA",#N/A,FALSE,"SUM ITA";"SUM SPA",#N/A,FALSE,"SUM SPA";"SUM EGB",#N/A,FALSE,"SUM EGB";"SUM IND",#N/A,FALSE,"SUM IND"}</definedName>
    <definedName name="wrn.BY._.YEAR._.BY._.COUNTRY." hidden="1">{"SUM ALL YR",#N/A,FALSE,"SUM ALL YR";"sum01",#N/A,FALSE,"SUM 01";"sumM2",#N/A,FALSE,"SUM M2";"sum02",#N/A,FALSE,"SUM 02";"sum03",#N/A,FALSE,"SUM 03";"sum04",#N/A,FALSE,"SUM 04";"sum05",#N/A,FALSE,"SUM 05"}</definedName>
    <definedName name="wrn.c1._.FY9798Totals._.var._.only." hidden="1">{"FY97Total var",#N/A,FALSE,"FY97 - Total";"FY98Total var",#N/A,FALSE,"FY98 - Total"}</definedName>
    <definedName name="wrn.c2._.FY97Q1234._.var._.only." hidden="1">{"FY97Q1 var",#N/A,FALSE,"FY97 - Q1";"FY97Q2 var",#N/A,FALSE,"FY97 - Q2";"FY97Q3 var",#N/A,FALSE,"FY97 - Q3";"FY97Q4 var",#N/A,FALSE,"FY97 - Q4"}</definedName>
    <definedName name="wrn.c3._.FY98Q1234._.var._.only." hidden="1">{"FY98Q1 var",#N/A,FALSE,"FY98 - Q1";"FY98Q2 var",#N/A,FALSE,"FY98 - Q2";"FY98Q3 var",#N/A,FALSE,"FY98 - Q3";"FY98Q4 var",#N/A,FALSE,"FY98 - Q4"}</definedName>
    <definedName name="wrn.CAG." hidden="1">{#N/A,#N/A,FALSE,"CAG"}</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ll_.volume." hidden="1">{#N/A,#N/A,TRUE,"PSG Total Contacts";#N/A,#N/A,TRUE,"PSG Rep Total";#N/A,#N/A,TRUE,"Core Rep Detail";#N/A,#N/A,TRUE,"BC Rep Detail";#N/A,#N/A,TRUE,"Marlboro";#N/A,#N/A,TRUE,"Covington";#N/A,#N/A,TRUE,"Dallas";#N/A,#N/A,TRUE,"VRS Stats";#N/A,#N/A,TRUE,"Internet";#N/A,#N/A,TRUE,"NCO and Call Mix";#N/A,#N/A,TRUE,"VRS &amp; Rep Calls"}</definedName>
    <definedName name="wrn.Capex1." hidden="1">{"Capex1",#N/A,FALSE,"Capex"}</definedName>
    <definedName name="wrn.Capex2." hidden="1">{"Capex2",#N/A,FALSE,"Capex"}</definedName>
    <definedName name="wrn.Capex3." hidden="1">{"Capex3",#N/A,FALSE,"Capex"}</definedName>
    <definedName name="wrn.capital." hidden="1">{"Capital",#N/A,FALSE,"capital"}</definedName>
    <definedName name="wrn.CAPITAL._.LEASES." hidden="1">{#N/A,#N/A,FALSE,"NN-1 Capital Leases"}</definedName>
    <definedName name="wrn.capital_depr." hidden="1">{"capx97",#N/A,FALSE,"Capital";"capx98",#N/A,FALSE,"Capital"}</definedName>
    <definedName name="wrn.capital1" hidden="1">{"Capital",#N/A,FALSE,"capital"}</definedName>
    <definedName name="wrn.capitalq" hidden="1">{"Capital",#N/A,FALSE,"capital"}</definedName>
    <definedName name="wrn.capitalw" hidden="1">{"Capital",#N/A,FALSE,"capital"}</definedName>
    <definedName name="wrn.Cardiovasculars." hidden="1">{#N/A,#N/A,FALSE,"Card";#N/A,#N/A,FALSE,"Prav";#N/A,#N/A,FALSE,"Irbe";#N/A,#N/A,FALSE,"Plavix";#N/A,#N/A,FALSE,"Capt";#N/A,#N/A,FALSE,"Fosi"}</definedName>
    <definedName name="wrn.cash." hidden="1">{"assumption cash",#N/A,TRUE,"Merger";"has gets cash",#N/A,TRUE,"Merger";"accretion dilution",#N/A,TRUE,"Merger";"comparison credit stats",#N/A,TRUE,"Merger";"pf credit stats",#N/A,TRUE,"Merger";"pf sheets",#N/A,TRUE,"Merger"}</definedName>
    <definedName name="wrn.Cash._.Flow." hidden="1">{#N/A,#N/A,FALSE,"Layout Cash Flow"}</definedName>
    <definedName name="wrn.cash._.flow._.nov." hidden="1">{"scf",#N/A,TRUE,"CYTD CF Nov";"direct method",#N/A,TRUE,"CYTD CF Nov";"investments",#N/A,TRUE,"CYTD CF Nov";"indirect",#N/A,TRUE,"CYTD CF Nov"}</definedName>
    <definedName name="wrn.cash._.flow._.Oct." hidden="1">{"indirect",#N/A,FALSE,"CYTD CF Oct";"direct method",#N/A,FALSE,"CYTD CF Oct";"scf",#N/A,FALSE,"CYTD CF Oct";"investments",#N/A,FALSE,"CYTD CF Oct";"invest month",#N/A,FALSE,"CYTD CF Oct"}</definedName>
    <definedName name="wrn.Cash._.Flow._.only." hidden="1">{"print area 10yr cash flow",#N/A,FALSE,"TICA_EC"}</definedName>
    <definedName name="wrn.Cash._.Plan." hidden="1">{"cash plan",#N/A,FALSE,"fccashflow"}</definedName>
    <definedName name="wrn.CASH._.REPORT." hidden="1">{#N/A,#N/A,FALSE,"summary";#N/A,#N/A,FALSE,"debt";#N/A,#N/A,FALSE,"FIRST";#N/A,#N/A,FALSE,"B A";#N/A,#N/A,FALSE,"LLOYD";#N/A,#N/A,FALSE,"LTDLLOYD";#N/A,#N/A,FALSE,"PESO";#N/A,#N/A,FALSE,"MEX$";#N/A,#N/A,FALSE,"PRINCE";#N/A,#N/A,FALSE,"TXCOMM";#N/A,#N/A,FALSE,"WATERLOO"}</definedName>
    <definedName name="wrn.cash.huh" hidden="1">{"investments",#N/A,FALSE,"CYTD CF Oct";"invest month",#N/A,FALSE,"CYTD CF Oct";"scf",#N/A,FALSE,"CYTD CF Oct";"direct method",#N/A,FALSE,"CYTD CF Oct";"indirect",#N/A,FALSE,"CYTD CF Oct"}</definedName>
    <definedName name="wrn.cashflow._.Dec." hidden="1">{"investments",#N/A,FALSE,"CY Invmt Dec99";"scf",#N/A,FALSE,"CY Invmt Dec99";"direct method",#N/A,FALSE,"CY Invmt Dec99";"indirect",#N/A,FALSE,"CY Invmt Dec99"}</definedName>
    <definedName name="wrn.cashflow._.mar2000." hidden="1">{"investments",#N/A,FALSE,"CY CF Mar00";"scf",#N/A,FALSE,"CY CF Mar00";"direct method",#N/A,FALSE,"CY CF Mar00";"indirect",#N/A,FALSE,"CY CF Mar00"}</definedName>
    <definedName name="wrn.CashFlowGermanGAAP2000_2009." hidden="1">{"CFGGAAP1a",#N/A,FALSE,"CF G GAAP"}</definedName>
    <definedName name="wrn.CashFlowGermanGAAP2010_2019." hidden="1">{"CFGGAAP2a",#N/A,FALSE,"CF G GAAP"}</definedName>
    <definedName name="wrn.CashFlowUSGAAP2000_2009." hidden="1">{"CFUSGAAP1a",#N/A,FALSE,"CF US GAAP"}</definedName>
    <definedName name="wrn.CashFlowUSGAAP2009_2019." hidden="1">{"CFUSGAAP2a",#N/A,FALSE,"CF US GAAP"}</definedName>
    <definedName name="wrn.cc." hidden="1">{#N/A,#N/A,FALSE,"1. PTI Ziele";#N/A,#N/A,FALSE,"2. Zielkatalog ";#N/A,#N/A,FALSE,"3. Masterterminplan"}</definedName>
    <definedName name="wrn.CEA._.FY97." hidden="1">{"CEA FY97",#N/A,FALSE,"C.E.A. FY97"}</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IL._.FC." hidden="1">{#N/A,#N/A,FALSE,"Key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name="wrn.Central._.Nervous._.System." hidden="1">{#N/A,#N/A,FALSE,"CNS";#N/A,#N/A,FALSE,"Serz";#N/A,#N/A,FALSE,"Ace"}</definedName>
    <definedName name="wrn.CESD._.PERFORMANCE." hidden="1">{#N/A,#N/A,FALSE,"CUSTOM";#N/A,#N/A,FALSE,"cesd cust";#N/A,#N/A,FALSE,"PRODUCT";#N/A,#N/A,FALSE,"cesd family"}</definedName>
    <definedName name="wrn.CFGGAAPMSDW." hidden="1">{"CFGGAAP1",#N/A,FALSE,"P&amp;L G GAAP";"CFGGAAP2",#N/A,FALSE,"P&amp;L G GAAP"}</definedName>
    <definedName name="wrn.CFSModel." hidden="1">{"CFSModel",#N/A,FALSE,"CFS"}</definedName>
    <definedName name="wrn.CFTRENDS." hidden="1">{#N/A,#N/A,FALSE,"OMM III";#N/A,#N/A,FALSE,"1995 PLAN";#N/A,#N/A,FALSE,"1995 TARGET";#N/A,#N/A,FALSE,"1995 ADJUSTED"}</definedName>
    <definedName name="wrn.CHARLIE." hidden="1">{#N/A,#N/A,FALSE,"Key No's YTD";#N/A,#N/A,FALSE,"Key No's Disc.";#N/A,#N/A,FALSE,"cr,br,pbt,cost by unit YTD";#N/A,#N/A,FALSE,"cr,br,pbt,cost by unit DISC";#N/A,#N/A,FALSE,"Bal Sheet 457";#N/A,#N/A,FALSE,"Cost Analysis - DT";#N/A,#N/A,FALSE,"Cost Analysis - DC";#N/A,#N/A,FALSE,"Cost Analysis - POS";#N/A,#N/A,FALSE,"Cost Analysis - Po4";#N/A,#N/A,FALSE,"Cost Analysis - SL";#N/A,#N/A,FALSE,"Cost Analysis - ET";#N/A,#N/A,FALSE,"Cost Analysis - HQ";#N/A,#N/A,FALSE,"Cost Analysis - Elim";#N/A,#N/A,FALSE,"Cost Analysis - Cont";#N/A,#N/A,FALSE,"Cost Analysis - Top"}</definedName>
    <definedName name="wrn.CHART." hidden="1">{"CHART",#N/A,FALSE,"Arch Communications"}</definedName>
    <definedName name="wrn.chart._.1998" hidden="1">{#N/A,#N/A,FALSE,"Summary";#N/A,#N/A,FALSE,"Pending";#N/A,#N/A,FALSE,"Jan'98";#N/A,#N/A,FALSE,"Feb'98";#N/A,#N/A,FALSE,"Mar'98";#N/A,#N/A,FALSE,"Apr'98";#N/A,#N/A,FALSE,"May'98";#N/A,#N/A,FALSE,"June'98";#N/A,#N/A,FALSE,"July'98"}</definedName>
    <definedName name="wrn.Chart._.Printouts." hidden="1">{"2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name="wrn.Chemicals." hidden="1">{"PnL",#N/A,FALSE,"Chem P&amp;L";"Responsibility",#N/A,FALSE,"Chem P&amp;L";"Cost Control",#N/A,FALSE,"Chem P&amp;L"}</definedName>
    <definedName name="wrn.CHESAPEAKE." hidden="1">{"CASHFLOW",#N/A,FALSE,"CHESAPEA";"ASSETVALUE",#N/A,FALSE,"CHESAPEA";"DATA",#N/A,FALSE,"CHESAPEA";"INCOME",#N/A,FALSE,"CHESAPEA"}</definedName>
    <definedName name="wrn.ciao." hidden="1">{#N/A,#N/A,TRUE,"coll"}</definedName>
    <definedName name="wrn.ciao._1" hidden="1">{#N/A,#N/A,TRUE,"coll"}</definedName>
    <definedName name="wrn.ciao._2" hidden="1">{#N/A,#N/A,TRUE,"coll"}</definedName>
    <definedName name="wrn.Cider." hidden="1">{#N/A,#N/A,FALSE,"Cider Segment";#N/A,#N/A,FALSE,"Bulmers";#N/A,#N/A,FALSE,"Ritz";#N/A,#N/A,FALSE,"Stag";#N/A,#N/A,FALSE,"Cider Others"}</definedName>
    <definedName name="wrn.CIVMARKBUD96." hidden="1">{"CIVBUD96",#N/A,FALSE,"EVOLCIV1"}</definedName>
    <definedName name="wrn.cl00." hidden="1">{#N/A,#N/A,TRUE,"ergebnis"}</definedName>
    <definedName name="wrn.clearing" hidden="1">{"CLEARING",#N/A,FALSE,"clearing"}</definedName>
    <definedName name="wrn.clearing." hidden="1">{"CLEARING",#N/A,FALSE,"clearing"}</definedName>
    <definedName name="wrn.clearing1" hidden="1">{"CLEARING",#N/A,FALSE,"clearing"}</definedName>
    <definedName name="wrn.clearing2" hidden="1">{"CLEARING",#N/A,FALSE,"clearing"}</definedName>
    <definedName name="WRN.clearing3" hidden="1">{"CLEARING",#N/A,FALSE,"clearing"}</definedName>
    <definedName name="wrn.clearing4" hidden="1">{"CLEARING",#N/A,FALSE,"clearing"}</definedName>
    <definedName name="wrn.client." hidden="1">{"multiple",#N/A,FALSE,"client";"margins",#N/A,FALSE,"client";"data",#N/A,FALSE,"client"}</definedName>
    <definedName name="wrn.Client._.Process._.Report." hidden="1">{#N/A,#N/A,FALSE,"Renewals In Process";#N/A,#N/A,FALSE,"New Clients In Process";#N/A,#N/A,FALSE,"Completed New Clients";#N/A,#N/A,FALSE,"Completed Renewals"}</definedName>
    <definedName name="wrn.Client._.report." hidden="1">{"Deal information sheet",#N/A,TRUE,"MBOco";"Projected P and L Accounts",#N/A,TRUE,"MBOco";"Projected Balance Sheet",#N/A,TRUE,"MBOco";"Projected Cash Flows",#N/A,TRUE,"MBOco"}</definedName>
    <definedName name="wrn.Client3." hidden="1">{"data",#N/A,FALSE,"client (3)";"margins",#N/A,FALSE,"client (3)";"multiple",#N/A,FALSE,"client (3)"}</definedName>
    <definedName name="wrn.client4." hidden="1">{"multiple",#N/A,FALSE,"client (4)";"margins",#N/A,FALSE,"client (4)";"data",#N/A,FALSE,"client (4)"}</definedName>
    <definedName name="wrn.clientcopy." hidden="1">{"WACC_clientcopy",#N/A,FALSE,"Inputs";"Beta_clientcopy",#N/A,FALSE,"Inputs";"SCF_clientcopy",#N/A,FALSE,"Inputs";"ProBS_clientcopy",#N/A,FALSE,"Inputs";"BS_clientcopy",#N/A,FALSE,"Inputs";"ProIS_clientcopy",#N/A,FALSE,"Inputs";"IS_clientcopy",#N/A,FALSE,"Inputs";"Ratios_clientcopy",#N/A,FALSE,"Ratios"}</definedName>
    <definedName name="wrn.CM_ALL." hidden="1">{"LAPO2N2",#N/A,FALSE,"CM";"TOTTEXAS",#N/A,FALSE,"CM";"LOUISIANA",#N/A,FALSE,"CM";"GENERALH2",#N/A,FALSE,"CM";"PRS",#N/A,FALSE,"CM";"PACKAGE",#N/A,FALSE,"CM";"OTHER",#N/A,FALSE,"CM"}</definedName>
    <definedName name="wrn.CM_GENERALH2." hidden="1">{"GENERALH2",#N/A,FALSE,"CM"}</definedName>
    <definedName name="wrn.CM_LAPORTE_O2N2." hidden="1">{"LAPO2N2",#N/A,FALSE,"CM"}</definedName>
    <definedName name="wrn.CM_LOUISIANA." hidden="1">{"LOUISIANA",#N/A,FALSE,"CM"}</definedName>
    <definedName name="wrn.CM_OTHER." hidden="1">{"OTHER",#N/A,FALSE,"CM"}</definedName>
    <definedName name="wrn.CM_PACKAGE." hidden="1">{"PACKAGE",#N/A,FALSE,"CM"}</definedName>
    <definedName name="wrn.CM_PRS." hidden="1">{"PRS",#N/A,FALSE,"CM"}</definedName>
    <definedName name="wrn.CM_TEXAS._.HYCO." hidden="1">{"TOTTEXAS",#N/A,FALSE,"CM"}</definedName>
    <definedName name="wrn.CMVsBud." hidden="1">{"Page1",#N/A,FALSE,"OpExJanvsBud";"Page2",#N/A,FALSE,"OpExJanvsBud"}</definedName>
    <definedName name="wrn.CMVsPY." hidden="1">{"Page 1",#N/A,FALSE,"OpExJanVsPY";"Page 2",#N/A,FALSE,"OpExJanVsPY"}</definedName>
    <definedName name="wrn.Coating." hidden="1">{#N/A,#N/A,FALSE,"Coating"}</definedName>
    <definedName name="wrn.columbus." hidden="1">{"IS_plan vs Act",#N/A,FALSE,"IS_Plan-Act";"is_curr&amp;YTD",#N/A,FALSE,"IS_Plan-Act";"is_last5mos",#N/A,FALSE,"IS_Plan-Act";"is_vsYTD_RR",#N/A,FALSE,"IS_Plan-Act";"bs",#N/A,FALSE,"IS_Plan-Act";"bs_last5mos",#N/A,FALSE,"IS_Plan-Act";"cf",#N/A,FALSE,"IS_Plan-Act"}</definedName>
    <definedName name="wrn.Combination."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 hidden="1">{#N/A,#N/A,FALSE,"INPUTS";#N/A,#N/A,FALSE,"PROFORMA BSHEET";#N/A,#N/A,FALSE,"COMBINED";#N/A,#N/A,FALSE,"HIGH YIELD";#N/A,#N/A,FALSE,"COMB_GRAPHS"}</definedName>
    <definedName name="wrn.ComboResults." hidden="1">{#N/A,#N/A,FALSE,"Combo-Ass ";#N/A,#N/A,FALSE,"Combo-AD sum";#N/A,#N/A,FALSE,"Combo-Syn Sens";#N/A,#N/A,FALSE,"Combo-Contr";#N/A,#N/A,FALSE,"Combo-Credit Sum";#N/A,#N/A,FALSE,"Combo-Credit";#N/A,#N/A,FALSE,"Combo-AD";#N/A,#N/A,FALSE,"Combo-AD CF"}</definedName>
    <definedName name="wrn.ComboState." hidden="1">{#N/A,#N/A,FALSE,"Combo-Ass ";#N/A,#N/A,FALSE,"Combo-IS";#N/A,#N/A,FALSE,"Combo-BS";#N/A,#N/A,FALSE,"Combo-CF"}</definedName>
    <definedName name="wrn.comision._.ejecutiva._.mayo._.98." hidden="1">{#N/A,#N/A,FALSE,"ingtemat";"HOJARESUMIDA",#N/A,FALSE,"calc1998-2007";"hipotesis tematicos",#N/A,FALSE,"calc1998-2007";"HIPÓTESIS CABLE",#N/A,FALSE,"calc1998-2007";#N/A,#N/A,FALSE,"Proyección 1998-2007";"estadistica de ventas",#N/A,FALSE,"estad.ventas"}</definedName>
    <definedName name="wrn.COMMISSION." hidden="1">{"FORM17",#N/A,FALSE,"Commission1";"FORM17.1",#N/A,FALSE,"Commission2"}</definedName>
    <definedName name="wrn.Committee._.Bid._.Report." hidden="1">{"South East Committee",#N/A,FALSE,"Dev Panel Cut Report";"London Committee",#N/A,FALSE,"Dev Panel Cut Report"}</definedName>
    <definedName name="wrn.COMNUS." hidden="1">{"COMNUS2000",#N/A,FALSE,"BL2000"}</definedName>
    <definedName name="wrn.Comp._.and._.Prices." hidden="1">{#N/A,#N/A,FALSE,"comp";#N/A,#N/A,FALSE,"Alpha";#N/A,#N/A,FALSE,"Hi";#N/A,#N/A,FALSE,"Lo";#N/A,#N/A,FALSE,"Mkt. Cap";#N/A,#N/A,FALSE,"Categ."}</definedName>
    <definedName name="wrn.COMPANY." hidden="1">{"REP1",#N/A,FALSE,"ריכוז";"REP2",#N/A,FALSE,"מפורט1";"REP3",#N/A,FALSE,"מפורט1";"REP4",#N/A,FALSE,"מפורט2";"REP5",#N/A,FALSE,"מפורט2";"REP6",#N/A,FALSE,"מפורט2"}</definedName>
    <definedName name="wrn.compare." hidden="1">{"page1",#N/A,FALSE,"Temp";"page2",#N/A,FALSE,"Temp";"page3",#N/A,FALSE,"Temp";"page4",#N/A,FALSE,"Temp";"page5",#N/A,FALSE,"Temp";"page6",#N/A,FALSE,"Temp"}</definedName>
    <definedName name="wrn.compare.s" hidden="1">{"page1",#N/A,FALSE,"Temp";"page2",#N/A,FALSE,"Temp";"page3",#N/A,FALSE,"Temp";"page4",#N/A,FALSE,"Temp";"page5",#N/A,FALSE,"Temp";"page6",#N/A,FALSE,"Temp"}</definedName>
    <definedName name="wrn.COMPARISON." hidden="1">{"COMPARISON",#N/A,FALSE,"Sheet1"}</definedName>
    <definedName name="wrn.COMPCO." hidden="1">{"Page1",#N/A,FALSE,"CompCo";"Page2",#N/A,FALSE,"CompCo"}</definedName>
    <definedName name="wrn.Compco._.Only." hidden="1">{"vi1",#N/A,FALSE,"6_30_96";"vi2",#N/A,FALSE,"6_30_96";"vi3",#N/A,FALSE,"6_30_96"}</definedName>
    <definedName name="wrn.Compensation." hidden="1">{"Comp sum",#N/A,FALSE,"Compensation";"Comp by emp",#N/A,FALSE,"Compensation";"Salary summary",#N/A,FALSE,"Compensation";"Payroll taxes",#N/A,FALSE,"Compensation";"HC by Month",#N/A,FALSE,"Compensation";"Misc",#N/A,FALSE,"Compensation"}</definedName>
    <definedName name="wrn.compensation2." hidden="1">{"Comp sum",#N/A,FALSE,"Compensation";"Comp by emp",#N/A,FALSE,"Compensation";"Salary summary",#N/A,FALSE,"Compensation";"Payroll taxes",#N/A,FALSE,"Compensation";"HC by Month",#N/A,FALSE,"Compensation";"Misc",#N/A,FALSE,"Compensation"}</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JPN." hidden="1">{"COMJPN2000",#N/A,FALSE,"BL2000"}</definedName>
    <definedName name="wrn.Complete." hidden="1">{#N/A,#N/A,TRUE,"DCF Summary";#N/A,#N/A,TRUE,"Casema";#N/A,#N/A,TRUE,"UK";#N/A,#N/A,TRUE,"RCF";#N/A,#N/A,TRUE,"Intercable CZ";#N/A,#N/A,TRUE,"Interkabel P";#N/A,#N/A,TRUE,"LBO-Total";#N/A,#N/A,TRUE,"LBO-Casema"}</definedName>
    <definedName name="wrn.Complete._.Budget."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 hidden="1">{"Inc.",#N/A,FALSE,"ORIGNAL";"Allocations",#N/A,FALSE,"ORIGNAL";#N/A,#N/A,FALSE,"Inv.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Report." hidden="1">{#N/A,#N/A,FALSE,"Title Page";#N/A,#N/A,FALSE,"Assumptions";#N/A,#N/A,FALSE,"EBITDA";#N/A,#N/A,FALSE,"Debt";#N/A,#N/A,FALSE,"Cov";#N/A,#N/A,FALSE,"ERET";#N/A,#N/A,FALSE,"DRET";#N/A,#N/A,FALSE,"Balance Sheet";#N/A,#N/A,FALSE,"Plan Summary"}</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5"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7"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8"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9"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o." hidden="1">{#N/A,#N/A,FALSE,"J-CAR";#N/A,#N/A,FALSE,"gmx-130";#N/A,#N/A,FALSE,"d-186sable";#N/A,#N/A,FALSE,"savana";#N/A,#N/A,FALSE,"d-186taurus";#N/A,#N/A,FALSE,"hb dn";#N/A,#N/A,FALSE,"dakota"}</definedName>
    <definedName name="wrn.comps." hidden="1">{"comps",#N/A,FALSE,"comps";"notes",#N/A,FALSE,"comps"}</definedName>
    <definedName name="wrn.Comps1_Printing." hidden="1">{"comps1_1",#N/A,FALSE,"Comps1";"comps1_2",#N/A,FALSE,"Comps1";"comps1_3",#N/A,FALSE,"Comps1";"comps1_4",#N/A,FALSE,"Comps1";"comps1_5",#N/A,FALSE,"Comps1"}</definedName>
    <definedName name="wrn.Comps2_Printing." hidden="1">{"comps2_1",#N/A,FALSE,"Comps2";"comps2_2",#N/A,FALSE,"Comps2";"comps2_3",#N/A,FALSE,"Comps2";"comps2_4",#N/A,FALSE,"Comps2";"comps2_5",#N/A,FALSE,"Comps2"}</definedName>
    <definedName name="wrn.comsat_compco." hidden="1">{"page1",#N/A,FALSE,"comsat";"page2",#N/A,FALSE,"comsat";"summary",#N/A,FALSE,"comsat"}</definedName>
    <definedName name="wrn.Con_Fin_Stmts." hidden="1">{"ConInc",#N/A,FALSE,"FinStmt";"ConBal",#N/A,FALSE,"FinStmt";"ConCash",#N/A,FALSE,"FinStmt"}</definedName>
    <definedName name="wrn.Condensed._.report." hidden="1">{"London cttee condensed",#N/A,FALSE,"Dev Panel Cut Report";"South East cttee condensed",#N/A,FALSE,"Dev Panel Cut Report"}</definedName>
    <definedName name="wrn.Consol." hidden="1">{#N/A,#N/A,FALSE,"COVER";#N/A,#N/A,FALSE,"Key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adjusts." hidden="1">{"adjPL1",#N/A,FALSE,"adj";"adjPL2",#N/A,FALSE,"adj";"adjPL2a",#N/A,FALSE,"adj";"adjPL2b",#N/A,FALSE,"adj";"adjPL3",#N/A,FALSE,"adj";"adjPL4",#N/A,FALSE,"adj";"adjPL5",#N/A,FALSE,"adj";"adjBS2",#N/A,FALSE,"adj";"adjBS3",#N/A,FALSE,"adj";"adjCF1",#N/A,FALSE,"adj";"adjCF4",#N/A,FALSE,"adj"}</definedName>
    <definedName name="wrn.consolidated." hidden="1">{"income",#N/A,FALSE,"CONSOLIDATED";"value",#N/A,FALSE,"CONSOLIDATED"}</definedName>
    <definedName name="wrn.Consolidated._.Monthly." hidden="1">{"incstmtcm",#N/A,TRUE,"Inc Stmt (C)";"balshtcm",#N/A,TRUE,"Bal Sheet (C)";"scfcm",#N/A,TRUE,"Cash Flow (C)";"incmcfcm",#N/A,TRUE,"Inc mcf (C)"}</definedName>
    <definedName name="wrn.Consolidated._.Quarterly." hidden="1">{"forecastcq",#N/A,TRUE,"Forecast (C)";"incstmtcq",#N/A,TRUE,"Inc Stmt (C)";"balshtcq",#N/A,TRUE,"Bal Sheet (C)";"scfcq",#N/A,TRUE,"Cash Flow (C)";"incmcfcq",#N/A,TRUE,"Inc mcf (C)"}</definedName>
    <definedName name="wrn.consolidated._.reports." hidden="1">{#N/A,#N/A,FALSE,"INDEX - CON.";#N/A,#N/A,FALSE,"A - CON. BALANCE SHEET";#N/A,#N/A,FALSE,"B - CON. INCOME STATEMENT - YTD";#N/A,#N/A,FALSE,"B - CON. MONTH INCOME STATEMENT";#N/A,#N/A,FALSE,"C - CON. CASHFLOW STATEMENT ";#N/A,#N/A,FALSE,"D - CON. CUSTOMERS STATEMENT ";#N/A,#N/A,FALSE,"E - CON. SALES STATEMENT";#N/A,#N/A,FALSE,"F - CON. HEADCOUNT SCHEDULE ";#N/A,#N/A,FALSE,"G - CON. BANKS OBLIGO STATUS";#N/A,#N/A,FALSE,"H - CON. SALES BY UNITS";#N/A,#N/A,FALSE,"I - CON. INVENTORY REPORT";#N/A,#N/A,FALSE,"P&amp;L VS Budget"}</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et." hidden="1">{"Consolidated IS w Ratios",#N/A,FALSE,"Consolidated";"Consolidated CF",#N/A,FALSE,"Consolidated";"Consolidated DCF",#N/A,FALSE,"Consolidated"}</definedName>
    <definedName name="wrn.Consolidating." hidden="1">{"Consolidated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name="wrn.CONSOLIDATION." hidden="1">{"PAGE1",#N/A,FALSE,"Consolidation";"PAGE2",#N/A,FALSE,"Consolidation";"PAGE3",#N/A,FALSE,"Consolidation";"PAGE4",#N/A,FALSE,"Consolidation";"PAGE5",#N/A,FALSE,"Consolidation";"PAGE6",#N/A,FALSE,"Consolidation";"PAGE7",#N/A,FALSE,"Consolidation"}</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 hidden="1">{#N/A,#N/A,FALSE,"OTC";#N/A,#N/A,FALSE,"Ther";#N/A,#N/A,FALSE,"Temp";#N/A,#N/A,FALSE,"Exce";#N/A,#N/A,FALSE,"Buff";#N/A,#N/A,FALSE,"Picot";#N/A,#N/A,FALSE,"Luftal";#N/A,#N/A,FALSE,"Comt"}</definedName>
    <definedName name="wrn.contents5" hidden="1">{#N/A,#N/A,FALSE,"Table of Contents"}</definedName>
    <definedName name="wrn.contents7" hidden="1">{#N/A,#N/A,FALSE,"Table of Contents"}</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hidden="1">{#N/A,#N/A,FALSE,"Contribution Analysis"}</definedName>
    <definedName name="wrn.CONTROL." hidden="1">{"CONTROL",#N/A,FALSE,"REVENUE AND GM "}</definedName>
    <definedName name="wrn.cooper." hidden="1">{#N/A,#N/A,TRUE,"Pro Forma";#N/A,#N/A,TRUE,"PF_Bal";#N/A,#N/A,TRUE,"PF_INC";#N/A,#N/A,TRUE,"CBE";#N/A,#N/A,TRUE,"SWK"}</definedName>
    <definedName name="wrn.Corporate." hidden="1">{"Corporate",#N/A,FALSE,"Sorted by database"}</definedName>
    <definedName name="wrn.COS." hidden="1">{"PAGE 1",#N/A,FALSE,"COS";"PAGE 2",#N/A,FALSE,"COS";"PAGE 3",#N/A,FALSE,"COS"}</definedName>
    <definedName name="wrn.COS._.EX._.GEISMAR." hidden="1">{"PAGE 1",#N/A,FALSE,"COS Excluding Geismar";"PAGE 2",#N/A,FALSE,"COS Excluding Geismar";"PAGE 3",#N/A,FALSE,"COS Excluding Geismar"}</definedName>
    <definedName name="wrn.Cost._.Center._.Opex." hidden="1">{"510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name="wrn.COST._.OF._.SALES." hidden="1">{"COST OF SALES",#N/A,FALSE,"C.O.SALES"}</definedName>
    <definedName name="wrn.Cost._.Summary." hidden="1">{#N/A,#N/A,FALSE,"Tab 5 - Budget Statement";#N/A,#N/A,FALSE,"Tab 4 - Financial Worksheet";#N/A,#N/A,FALSE,"Tab 1 - Resource Worksheet";#N/A,#N/A,FALSE,"Tab 2 - Educ-Travel-Ent";#N/A,#N/A,FALSE,"Tab 3 - Hardware-Software"}</definedName>
    <definedName name="wrn.Cost._.Summary1." hidden="1">{#N/A,#N/A,FALSE,"Tab 5 - Budget Statement";#N/A,#N/A,FALSE,"Tab 4 - Financial Worksheet";#N/A,#N/A,FALSE,"Tab 1 - Resource Worksheet";#N/A,#N/A,FALSE,"Tab 2 - Educ-Travel-Ent";#N/A,#N/A,FALSE,"Tab 3 - Hardware-Software"}</definedName>
    <definedName name="wrn.Costos." hidden="1">{"Costo1",#N/A,FALSE,"Costo Estimado";"Costo2",#N/A,FALSE,"Costo Estimado";"Costos3",#N/A,FALSE,"Costo Estimado";"Costo4",#N/A,FALSE,"Costo Estimado"}</definedName>
    <definedName name="wrn.cotop." hidden="1">{"ReportTop",#N/A,FALSE,"report top"}</definedName>
    <definedName name="wrn.Covenants." hidden="1">{"Summary",#N/A,FALSE,"Covenants";"Detailed summary",#N/A,FALSE,"Covenants"}</definedName>
    <definedName name="wrn.Cover." hidden="1">{"coverall",#N/A,FALSE,"Definitions";"cover1",#N/A,FALSE,"Definitions";"cover2",#N/A,FALSE,"Definitions";"cover3",#N/A,FALSE,"Definitions";"cover4",#N/A,FALSE,"Definitions";"cover5",#N/A,FALSE,"Definitions";"blank",#N/A,FALSE,"Definitions"}</definedName>
    <definedName name="wrn.CPB." hidden="1">{#N/A,#N/A,FALSE,"CPB"}</definedName>
    <definedName name="wrn.Credit._.Summary." hidden="1">{#N/A,#N/A,FALSE,"Credit Summary"}</definedName>
    <definedName name="wrn.crm0299." hidden="1">{"en FRF",#N/A,FALSE,"fév99";"en €uros",#N/A,FALSE,"fév99"}</definedName>
    <definedName name="wrn.crm0399." hidden="1">{"en FRF",#N/A,FALSE,"mars99";"en €uros",#N/A,FALSE,"mars99"}</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_.Flash._.Test." hidden="1">{#N/A,#N/A,FALSE,"Performance Flash Report"}</definedName>
    <definedName name="wrn.CSC." hidden="1">{"page1",#N/A,TRUE,"CSC";"page2",#N/A,TRUE,"CSC"}</definedName>
    <definedName name="wrn.CSC2" hidden="1">{"page1",#N/A,TRUE,"CSC";"page2",#N/A,TRUE,"CSC"}</definedName>
    <definedName name="wrn.csc2." hidden="1">{#N/A,#N/A,FALSE,"ORIX CSC"}</definedName>
    <definedName name="wrn.csc3." hidden="1">{#N/A,#N/A,FALSE,"ORIX CSC"}</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t._.Month._.Current._.Yr._.Only." hidden="1">{"Month Summary",#N/A,FALSE,"Summary";"Total Details",#N/A,FALSE,"Current Yr";"Polymers Details",#N/A,FALSE,"Current Yr";"Performance Details",#N/A,FALSE,"Current Yr";"ICD Details",#N/A,FALSE,"Current Yr"}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View." hidden="1">{#N/A,#N/A,FALSE,"ACCS-XXX.XLS";#N/A,#N/A,FALSE,"ACCS-ADJ.XLS";#N/A,#N/A,FALSE,"ACCS-COR.XLS";#N/A,#N/A,FALSE,"LEGL-ACX.XLS";#N/A,#N/A,FALSE,"JNTV-PHX.XLS"}</definedName>
    <definedName name="wrn.cv." hidden="1">{#N/A,#N/A,FALSE,"1. PTI Ziele";#N/A,#N/A,FALSE,"2. Zielkatalog ";#N/A,#N/A,FALSE,"3. Masterterminplan"}</definedName>
    <definedName name="wrn.cy._.budget." hidden="1">{"budget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ily." hidden="1">{#N/A,#N/A,FALSE,"Input";#N/A,#N/A,FALSE,"BBC";#N/A,#N/A,FALSE,"Sch A";#N/A,#N/A,FALSE,"Sch B";#N/A,#N/A,FALSE,"Ineligible"}</definedName>
    <definedName name="wrn.Darwin." hidden="1">{#N/A,#N/A,FALSE,"Title";#N/A,#N/A,FALSE,"Assumptions";#N/A,#N/A,FALSE,"Bidder";#N/A,#N/A,FALSE,"Target";#N/A,#N/A,FALSE,"Curr";#N/A,#N/A,FALSE,"Prosp";#N/A,#N/A,FALSE,"Prosp+1";#N/A,#N/A,FALSE,"Summary";#N/A,#N/A,FALSE,"Debtsched";#N/A,#N/A,FALSE,"Sensitivities"}</definedName>
    <definedName name="wrn.data." hidden="1">{"apci",#N/A,FALSE,"Chem_CY";"eastman",#N/A,FALSE,"Eastman";"betz",#N/A,FALSE,"Betz";"great lakes",#N/A,FALSE,"Great_Lakes";"hercules",#N/A,FALSE,"Hercules Chem Seg Data";"rohm",#N/A,FALSE,"Rohm";"union carbide",#N/A,FALSE,"Union";"witco",#N/A,FALSE,"Witco"}</definedName>
    <definedName name="wrn.Data._.letters." hidden="1">{#N/A,#N/A,FALSE,"cover";#N/A,#N/A,FALSE,"ap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SHEETS." hidden="1">{"page1",#N/A,FALSE,"DATA SHEET";"page2",#N/A,FALSE,"DATA SHEET";"page3",#N/A,FALSE,"DATA SHEET"}</definedName>
    <definedName name="wrn.database." hidden="1">{"subs",#N/A,FALSE,"database ";"proportional",#N/A,FALSE,"database "}</definedName>
    <definedName name="wrn.Dave." hidden="1">{#N/A,#N/A,FALSE,"Income";#N/A,#N/A,FALSE,"Natural";#N/A,#N/A,FALSE,"Admin";#N/A,#N/A,FALSE,"Misc"}</definedName>
    <definedName name="wrn.dcf"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 hidden="1">{"DCF1",#N/A,FALSE,"SIERRA DCF";"MATRIX1",#N/A,FALSE,"SIERRA DCF"}</definedName>
    <definedName name="wrn.dcf._.backup." hidden="1">{"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III._.Report." hidden="1">{#N/A,#N/A,FALSE,"Cover";#N/A,#N/A,FALSE,"Pres ";#N/A,#N/A,FALSE,"Outputs";#N/A,#N/A,FALSE,"DCF ";#N/A,#N/A,FALSE,"CFS";#N/A,#N/A,FALSE,"BS";#N/A,#N/A,FALSE,"PL";#N/A,#N/A,FALSE,"Control (In)";#N/A,#N/A,FALSE,"Broker (In)";#N/A,#N/A,FALSE,"In-House (In)";#N/A,#N/A,FALSE,"WACC";#N/A,#N/A,FALSE,"Ass";#N/A,#N/A,FALSE,"Check"}</definedName>
    <definedName name="wrn.DCF._.Only." hidden="1">{#N/A,#N/A,FALSE,"DCF Summary";#N/A,#N/A,FALSE,"Casema";#N/A,#N/A,FALSE,"Casema NoTel";#N/A,#N/A,FALSE,"UK";#N/A,#N/A,FALSE,"RCF";#N/A,#N/A,FALSE,"Intercable CZ";#N/A,#N/A,FALSE,"Interkabel P"}</definedName>
    <definedName name="wrn.DCF._.Valuation." hidden="1">{"value box",#N/A,TRUE,"DPL Inc. Fin Statements";"unlevered free cash flows",#N/A,TRUE,"DPL Inc. Fin Statements"}</definedName>
    <definedName name="wrn.DCF_FCF." hidden="1">{#N/A,#N/A,TRUE,"FCF_10Yr";#N/A,#N/A,TRUE,"FCF_15Yr"}</definedName>
    <definedName name="wrn.DCF_Terminal_Value_qchm." hidden="1">{"qchm_dcf",#N/A,FALSE,"QCHMDCF2";"qchm_terminal",#N/A,FALSE,"QCHMDCF2"}</definedName>
    <definedName name="wrn.dcf2." hidden="1">{"mgmt forecast",#N/A,FALSE,"Mgmt Forecast";"dcf table",#N/A,FALSE,"Mgmt Forecast";"sensitivity",#N/A,FALSE,"Mgmt Forecast";"table inputs",#N/A,FALSE,"Mgmt Forecast";"calculations",#N/A,FALSE,"Mgmt Forecast"}</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iii" hidden="1">{#N/A,#N/A,FALSE,"Combo-Ass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ebt._.Schedules." hidden="1">{"NP-New Acquisition",#N/A,FALSE,"NOTE PAYMENTS";"NP-Strategic Loan",#N/A,FALSE,"NOTE PAYMENTS";"NP-Tech Loan",#N/A,FALSE,"NOTE PAYMENTS";"NP-Existing Debt",#N/A,FALSE,"NOTE PAYMENTS";"NP-Curr Maturity",#N/A,FALSE,"NOTE PAYMENTS";"NP-Interest Exp",#N/A,FALSE,"NOTE PAYMENTS"}</definedName>
    <definedName name="wrn.DebtGermanGAAP2000_2009." hidden="1">{"DebtGGAAP1",#N/A,FALSE,"P&amp;L G GAAP"}</definedName>
    <definedName name="wrn.DebtGermanGAAP2010_2019." hidden="1">{"DebtGGAAP2",#N/A,FALSE,"P&amp;L G GAAP"}</definedName>
    <definedName name="wrn.DebtUSGAAP2000_2009." hidden="1">{"DebtUSGAAP1",#N/A,FALSE,"P&amp;L US GAAP"}</definedName>
    <definedName name="wrn.DebtUSGAAP2010_2019." hidden="1">{"DebtUSGAAP2",#N/A,FALSE,"P&amp;L US GAAP"}</definedName>
    <definedName name="wrn.DECEMBER." hidden="1">{"DECEMBER",#N/A,FALSE,"Q2"}</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ltek._.Upload." hidden="1">{#N/A,#N/A,FALSE,"Delt Data"}</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P." hidden="1">{"DEP",#N/A,FALSE,"A"}</definedName>
    <definedName name="wrn.depmatrix." hidden="1">{"depmatrix",#N/A,FALSE,"DECATUR-DIMMIT"}</definedName>
    <definedName name="wrn.Depreciation." hidden="1">{"GAAP Deprec",#N/A,TRUE,"Financials";"Tax Deprec",#N/A,TRUE,"Financials"}</definedName>
    <definedName name="wrn.Dept._.Salaries." hidden="1">{"99-00 Chief Exec",#N/A,FALSE,"All";"99-00 Corp Serv",#N/A,FALSE,"All";"99-00 Fin Serv",#N/A,FALSE,"All";"99-00 Housing",#N/A,FALSE,"All";"99-00 Prop Serv",#N/A,FALSE,"All"}</definedName>
    <definedName name="wrn.Derek." hidden="1">{#N/A,#N/A,FALSE,"Transaction_Sum_debt_Stats";#N/A,#N/A,FALSE,"Earnings Impact";#N/A,#N/A,FALSE,"Sensitivity Table"}</definedName>
    <definedName name="wrn.Derek.2" hidden="1">{#N/A,#N/A,FALSE,"Transaction_Sum_debt_Stats";#N/A,#N/A,FALSE,"Earnings Impact";#N/A,#N/A,FALSE,"Sensitivity Table"}</definedName>
    <definedName name="wrn.detail." hidden="1">{#N/A,#N/A,FALSE,"TOTAL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_.Balance._.Sheet." hidden="1">{#N/A,#N/A,FALSE,"Detail"}</definedName>
    <definedName name="wrn.Detail_All." hidden="1">{"con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Projection." hidden="1">{#N/A,#N/A,FALSE,"Detail YTD"}</definedName>
    <definedName name="wrn.Detailed._.Calculations." hidden="1">{"IncDetail",#N/A,FALSE,"Inc";"BalDetail",#N/A,FALSE,"Bal";"GCFDetail",#N/A,FALSE,"GCF";"RcDsDetail",#N/A,FALSE,"RcDs"}</definedName>
    <definedName name="wrn.Detailed._.P._.and._.L." hidden="1">{"P and L Detail Page 1",#N/A,FALSE,"Data";"P and L Detail Page 2",#N/A,FALSE,"Data"}</definedName>
    <definedName name="wrn.Details._.Budget." hidden="1">{"991TO",#N/A,FALSE,"Management Accounts";"992OPlist",#N/A,FALSE,"Management Accounts";"993SA",#N/A,FALSE,"Management Accounts";"994INT",#N/A,FALSE,"Management Accounts"}</definedName>
    <definedName name="wrn.detalles._.total." hidden="1">{"total","abonados garantia",FALSE,"detalle19982007"}</definedName>
    <definedName name="wrn.devdeal." hidden="1">{"top",#N/A,TRUE,"Detail";"next",#N/A,TRUE,"Detail";"then",#N/A,TRUE,"Detail";"and",#N/A,TRUE,"Detail";"inaddition",#N/A,TRUE,"Detail";"finally",#N/A,TRUE,"Detail"}</definedName>
    <definedName name="wrn.Diagramme_Gesamt." hidden="1">{#N/A,#N/A,FALSE,"diagramm tf";#N/A,#N/A,FALSE,"diagramm tm";#N/A,#N/A,FALSE,"diagramm tp";#N/A,#N/A,FALSE,"diagramm to";#N/A,#N/A,FALSE,"diagramm tq";#N/A,#N/A,FALSE,"diagramm te";#N/A,#N/A,FALSE,"diagramm gw";#N/A,#N/A,FALSE,"diagramm rest"}</definedName>
    <definedName name="wrn.Diagramme_Gesamt.1a" hidden="1">{#N/A,#N/A,FALSE,"diagramm tf";#N/A,#N/A,FALSE,"diagramm tm";#N/A,#N/A,FALSE,"diagramm tp";#N/A,#N/A,FALSE,"diagramm to";#N/A,#N/A,FALSE,"diagramm tq";#N/A,#N/A,FALSE,"diagramm te";#N/A,#N/A,FALSE,"diagramm gw";#N/A,#N/A,FALSE,"diagramm rest"}</definedName>
    <definedName name="wrn.Diebold._.1." hidden="1">{#N/A,#N/A,FALSE,"Allo SEC";#N/A,#N/A,FALSE,"Consid";#N/A,#N/A,FALSE,"BalSht";#N/A,#N/A,FALSE,"Customer List";#N/A,#N/A,FALSE,"WFIP";#N/A,#N/A,FALSE,"WC";#N/A,#N/A,FALSE,"FA_Dep";#N/A,#N/A,FALSE,"SUMMARY";#N/A,#N/A,FALSE,"Hardware";#N/A,#N/A,FALSE,"WRM";#N/A,#N/A,FALSE,"NWS";#N/A,#N/A,FALSE,"Embed. SW";#N/A,#N/A,FALSE,"WRM-IPRD";#N/A,#N/A,FALSE,"WinForm-IPRD";#N/A,#N/A,FALSE,"Sheet1"}</definedName>
    <definedName name="wrn.dil_anal." hidden="1">{"hiden",#N/A,FALSE,"14";"hidden",#N/A,FALSE,"16";"hidden",#N/A,FALSE,"18";"hidden",#N/A,FALSE,"20"}</definedName>
    <definedName name="wrn.dil_anal.1" hidden="1">{"hiden",#N/A,FALSE,"14";"hidden",#N/A,FALSE,"16";"hidden",#N/A,FALSE,"18";"hidden",#N/A,FALSE,"20"}</definedName>
    <definedName name="wrn.Dilution." hidden="1">{#N/A,#N/A,FALSE,"FY 1997 (NR)";#N/A,#N/A,FALSE,"FY 1998 (NR)";#N/A,#N/A,FALSE,"Balance";#N/A,#N/A,FALSE,"Matrix (NR)"}</definedName>
    <definedName name="wrn.direct._.labor." hidden="1">{"direct labor",#N/A,FALSE,"labor";"direct labor1",#N/A,FALSE,"labor"}</definedName>
    <definedName name="wrn.direct.labore" hidden="1">{"direct labor",#N/A,FALSE,"labor";"direct labor1",#N/A,FALSE,"labor"}</definedName>
    <definedName name="wrn.Distribution." hidden="1">{#N/A,#N/A,FALSE,"Distribution"}</definedName>
    <definedName name="wrn.Divisional._.IS." hidden="1">{"Elkton IS",#N/A,FALSE,"Elkton IS";"Marion IS",#N/A,FALSE,"Marion IS";"Clinton IS",#N/A,FALSE,"Clinton IS";"Sebewaing IS",#N/A,FALSE,"Sebewaing IS";"T&amp;E IS",#N/A,FALSE,"T&amp;E IS";"Pedals IS",#N/A,FALSE,"Pedals IS";"Homes IS",#N/A,FALSE,"Homes IS";"Development IS",#N/A,FALSE,"Development IS"}</definedName>
    <definedName name="wrn.djall." hidden="1">{"djcash",#N/A,FALSE,"DJann";"djinc",#N/A,FALSE,"DJann";"djtaxes",#N/A,FALSE,"DJann";"djbuspub",#N/A,FALSE,"DJann";"djwall",#N/A,FALSE,"DJann";"djcompprs",#N/A,FALSE,"DJann";"djteler",#N/A,FALSE,"DJann"}</definedName>
    <definedName name="wrn.DOCs." hidden="1">{#N/A,#N/A,TRUE,"DATA (2)";#N/A,#N/A,TRUE,"Material (2)";#N/A,#N/A,TRUE,"Labour (2)";#N/A,#N/A,TRUE,"LLPs (2)";#N/A,#N/A,TRUE,"Line labour (2)";#N/A,#N/A,TRUE,"DATA (3)";#N/A,#N/A,TRUE,"Material (3)";#N/A,#N/A,TRUE,"Build-up b to mature m (2)"}</definedName>
    <definedName name="wrn.document." hidden="1">{"consolidated",#N/A,FALSE,"Sheet1";"cms",#N/A,FALSE,"Sheet1";"fse",#N/A,FALSE,"Sheet1"}</definedName>
    <definedName name="wrn.document.1" hidden="1">{"comp",#N/A,FALSE,"SPEC";"footnotes",#N/A,FALSE,"SPEC"}</definedName>
    <definedName name="wrn.documentaero." hidden="1">{"comps2",#N/A,FALSE,"AERO";"footnotes",#N/A,FALSE,"AERO"}</definedName>
    <definedName name="wrn.documentaero.1" hidden="1">{"comps2",#N/A,FALSE,"AERO";"footnotes",#N/A,FALSE,"AERO"}</definedName>
    <definedName name="wrn.documenthand." hidden="1">{"comps",#N/A,FALSE,"HANDPACK";"footnotes",#N/A,FALSE,"HANDPACK"}</definedName>
    <definedName name="wrn.documenthand.1" hidden="1">{"comps",#N/A,FALSE,"HANDPACK";"footnotes",#N/A,FALSE,"HANDPACK"}</definedName>
    <definedName name="wrn.DOM." hidden="1">{"DOM",#N/A,FALSE,"A8CONTENT"}</definedName>
    <definedName name="wrn.Domestic._.Monthly." hidden="1">{"incstmtdm",#N/A,TRUE,"Inc Stmt (D)";"balshtdm",#N/A,TRUE,"Bal Sheet (D)";"scfdm",#N/A,TRUE,"Cash Flow (D)";"incmcfdm",#N/A,TRUE,"Inc mcf (D)";"capsummdm",#N/A,TRUE,"Cap Summ (D)";"assumdm",#N/A,TRUE,"Assum (D)"}</definedName>
    <definedName name="wrn.Domestic._.Quarterly." hidden="1">{"forecastdq",#N/A,TRUE,"Forecast (D)";"incstmtdq",#N/A,TRUE,"Inc Stmt (D)";"balshtdq",#N/A,TRUE,"Bal Sheet (D)";"scfdq",#N/A,TRUE,"Cash Flow (D)";"incmcfdq",#N/A,TRUE,"Inc mcf (D)";"capsummdq",#N/A,TRUE,"Cap Summ (D)";"assumdq",#N/A,TRUE,"Assum (D)"}</definedName>
    <definedName name="wrn.downstairs." hidden="1">{"histincome",#N/A,FALSE,"hyfins";"closing balance",#N/A,FALSE,"hyfins"}</definedName>
    <definedName name="wrn.DPI._.Summary." hidden="1">{#N/A,#N/A,TRUE,"Summary";#N/A,#N/A,TRUE,"Financials"}</definedName>
    <definedName name="wrn.Draft." hidden="1">{"Draft",#N/A,FALSE,"Feb-96"}</definedName>
    <definedName name="wrn.Dream._.Team." hidden="1">{#N/A,#N/A,FALSE,"Introduction";#N/A,#N/A,FALSE,"Structure"}</definedName>
    <definedName name="wrn.druck." hidden="1">{#N/A,#N/A,FALSE,"0Praemissen";#N/A,#N/A,FALSE,"3Modrech";#N/A,#N/A,FALSE,"4Modellkorrektur";#N/A,#N/A,FALSE,"5Rechnung";#N/A,#N/A,FALSE,"6Cash";#N/A,#N/A,FALSE,"7Renta"}</definedName>
    <definedName name="wrn.Druck._.Monatsreporting." hidden="1">{#N/A,#N/A,TRUE,"0 Deckbl.";#N/A,#N/A,TRUE,"S 1 Komm";#N/A,#N/A,TRUE,"S 1a Komm";#N/A,#N/A,TRUE,"S 1b Komm";#N/A,#N/A,TRUE,"S  2 DBR";#N/A,#N/A,TRUE,"S  3 Sparten";#N/A,#N/A,TRUE,"S 4  Betr. K.";#N/A,#N/A,TRUE,"6 Bilanz";#N/A,#N/A,TRUE,"6a Bilanz ";#N/A,#N/A,TRUE,"6b Bilanz ";#N/A,#N/A,TRUE,"7 GS I";#N/A,#N/A,TRUE,"S 8 EQ-GuV"}</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RT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hidden="1">{"EVA",#N/A,FALSE,"EVA";"WACC",#N/A,FALSE,"WACC"}</definedName>
    <definedName name="wrn.ecpall." hidden="1">{"ecpcash",#N/A,FALSE,"ECPann";"ecpinc",#N/A,FALSE,"ECPann";"ecpindia",#N/A,FALSE,"ECPann";"ecpmun",#N/A,FALSE,"ECPann";"ecpphoenix",#N/A,FALSE,"ECPann";"ecpothe",#N/A,FALSE,"ECPann";"ecpbalsht",#N/A,FALSE,"ECPann"}</definedName>
    <definedName name="wrn.Edison." hidden="1">{#N/A,#N/A,FALSE,"Sheet1";#N/A,#N/A,FALSE,"totalp&amp;L";#N/A,#N/A,FALSE,"totalassump";#N/A,#N/A,FALSE,"basep&amp;L";#N/A,#N/A,FALSE,"baseassump";#N/A,#N/A,FALSE,"sum slide"}</definedName>
    <definedName name="wrn.EDITION._.ANNEXE." hidden="1">{"ANNEXE",#N/A,FALSE,"Annexe"}</definedName>
    <definedName name="wrn.EDITION._.DES._.TABLEAUX." hidden="1">{"BILAN PUB FRF",#N/A,FALSE,"Etats publiables FRF";"RESULTAT PUB FRF",#N/A,FALSE,"Etats publiables FRF";"DETAIL COMPTES DE BILAN",#N/A,FALSE,"Etats publiables FRF";"DETAIL RUBRIQUES BILAN",#N/A,FALSE,"Etats publiables FRF";"DETAIL COMPTE DE RESULTAT",#N/A,FALSE,"Etats publiables FRF";"CONTROLES",#N/A,FALSE,"Etats publiables FRF"}</definedName>
    <definedName name="wrn.EDITION._.GLOBALE._.DES._.DOCUMENTS." hidden="1">{"Bilan publiable FRF",#N/A,FALSE,"ETATS";"Résultat publiable FRF",#N/A,FALSE,"ETATS";"Balance",#N/A,FALSE,"ETATS";"Détail rubriques comptes de bilan",#N/A,FALSE,"ETATS";"Détail rubriques compte de résultat",#N/A,FALSE,"ETATS";"Controles",#N/A,FALSE,"ETATS"}</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ilbericht_UBA." hidden="1">{"Eilbericht_UBA",#N/A,FALSE,"EB"}</definedName>
    <definedName name="wrn.eken" hidden="1">{#N/A,#N/A,FALSE,"ACQ_GRAPHS";#N/A,#N/A,FALSE,"T_1 GRAPHS";#N/A,#N/A,FALSE,"T_2 GRAPHS";#N/A,#N/A,FALSE,"COMB_GRAPHS"}</definedName>
    <definedName name="wrn.electron_compco." hidden="1">{"page1",#N/A,FALSE,"CWS";"page2",#N/A,FALSE,"CWS";"summary",#N/A,FALSE,"CWS"}</definedName>
    <definedName name="wrn.electron_wacc." hidden="1">{"WACC",#N/A,FALSE,"CWS"}</definedName>
    <definedName name="wrn.EMM._.detail._.edition." hidden="1">{#N/A,#N/A,TRUE,"Cover";#N/A,#N/A,TRUE,"Content";"Orders EMM",#N/A,TRUE,"Order Sales";"project EMM",#N/A,TRUE,"Project Control";"Cash EMM",#N/A,TRUE,"Cash Control";"KPI EMM",#N/A,TRUE,"KPI-EMM";"Empl EMM",#N/A,TRUE,"Employees"}</definedName>
    <definedName name="wrn.Employee._.Efficiency." hidden="1">{"Employee Efficiency",#N/A,FALSE,"Benchmarking"}</definedName>
    <definedName name="wrn.Ensemble_client." hidden="1">{"ratios",#N/A,FALSE,"Analyse";"multiples",#N/A,FALSE,"Analyse";"places",#N/A,FALSE,"Analyse";"résultats_édition client",#N/A,FALSE,"Résultats";"reg_edition client",#N/A,FALSE,"Regressions";"SYNTHESE",#N/A,FALSE,"Synthese"}</definedName>
    <definedName name="wrn.Ensemble_travail." hidden="1">{"données",#N/A,FALSE,"Input";"ratios",#N/A,FALSE,"Analyse";"multiples",#N/A,FALSE,"Analyse";"places",#N/A,FALSE,"Analyse";"res_travail",#N/A,FALSE,"Résultats";"reg_travail",#N/A,FALSE,"Regressions";"SYNTHESE",#N/A,FALSE,"Synthese"}</definedName>
    <definedName name="wrn.Entire._.file." hidden="1">{#N/A,#N/A,FALSE,"BU_Summary";#N/A,#N/A,FALSE,"BU_P&amp;L";#N/A,#N/A,FALSE,"BU_Cash";#N/A,#N/A,FALSE,"BU_Funds";#N/A,#N/A,FALSE,"BU_Scorecard";#N/A,#N/A,FALSE,"BU_Variance analysis";#N/A,#N/A,FALSE,"BU_SVA";#N/A,#N/A,FALSE,"BU_Op Capex";#N/A,#N/A,FALSE,"BU_Dev Capex";#N/A,#N/A,FALSE,"BU_Divestments";#N/A,#N/A,FALSE,"SBU_OIP by SBU";#N/A,#N/A,FALSE,"SBU_Summary";#N/A,#N/A,FALSE,"Project"}</definedName>
    <definedName name="wrn.entire._.model." hidden="1">{"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O._.REPORT." hidden="1">{#N/A,#N/A,FALSE,"INC";#N/A,#N/A,FALSE,"BAL SHEET";#N/A,#N/A,FALSE,"RP_INC";#N/A,#N/A,FALSE,"RP_BS";#N/A,#N/A,FALSE,"F_A";#N/A,#N/A,FALSE,"TAX"}</definedName>
    <definedName name="wrn.Equipment." hidden="1">{"PnL",#N/A,FALSE,"Equip P&amp;L";"Responsibility",#N/A,FALSE,"Equip P&amp;L";"Cost Control",#N/A,FALSE,"Equip P&amp;L"}</definedName>
    <definedName name="wrn.equity._.comps." hidden="1">{"equity comps",#N/A,FALSE,"CS Comps";"equity comps",#N/A,FALSE,"PS Comps";"equity comps",#N/A,FALSE,"GIC_Comps";"equity comps",#N/A,FALSE,"GIC2_Comps"}</definedName>
    <definedName name="wrn.equity._.comps.1" hidden="1">{"equity comps",#N/A,FALSE,"CS Comps";"equity comps",#N/A,FALSE,"PS Comps";"equity comps",#N/A,FALSE,"GIC_Comps";"equity comps",#N/A,FALSE,"GIC2_Comps"}</definedName>
    <definedName name="wrn.Ergebnis." hidden="1">{#N/A,#N/A,TRUE,"Cont_Stell";#N/A,#N/A,TRUE,"BTG";#N/A,#N/A,TRUE,"SH";#N/A,#N/A,TRUE,"GUV";#N/A,#N/A,TRUE,"Bilanz";#N/A,#N/A,TRUE,"WC";#N/A,#N/A,TRUE,"Beweg_bil";#N/A,#N/A,TRUE,"Kap_fluß";#N/A,#N/A,TRUE,"KENNZ";#N/A,#N/A,TRUE,"ANALYSE"}</definedName>
    <definedName name="wrn.Ergebnisbericht_UBA." hidden="1">{"Ergebnisbericht_UBA",#N/A,FALSE,"MB"}</definedName>
    <definedName name="wrn.ETH." hidden="1">{"AnnMarg.",#N/A,FALSE,"ETHAN";"Q",#N/A,FALSE,"Qtrs."}</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Base." hidden="1">{"Eur Base Top",#N/A,FALSE,"Europe Base";"Eur Base Bottom",#N/A,FALSE,"Europe Base"}</definedName>
    <definedName name="wrn.Europe._.Set." hidden="1">{"IS w Ratios",#N/A,FALSE,"Europe";"PF CF Europe",#N/A,FALSE,"Europe";"DCF Eur Matrix",#N/A,FALSE,"Europe"}</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ecsum." hidden="1">{"execsum",#N/A,FALSE,"ExecSum";"finstatement",#N/A,FALSE,"Fin_St"}</definedName>
    <definedName name="wrn.Exhibits._.for._.Loves." hidden="1">{"Historical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name="wrn.Exp." hidden="1">{"Exp_qty",#N/A,FALSE,"Export";"Exp_sell",#N/A,FALSE,"Export";"Exp_misc",#N/A,FALSE,"Export"}</definedName>
    <definedName name="wrn.ExpCompSet." hidden="1">{"ExpCompSet",#N/A,FALSE,"Export Comp. Sets"}</definedName>
    <definedName name="wrn.EXPENSES." hidden="1">{#N/A,#N/A,FALSE,"0400-1 Professional Services";#N/A,#N/A,FALSE,"0400-2 Taxes &amp; Licenses";#N/A,#N/A,FALSE,"0400-3 Repairs &amp; Maint.";#N/A,#N/A,FALSE,"0400-4 Officers Salaries";#N/A,#N/A,FALSE,"0400-5 Officers' Life Insurance";#N/A,#N/A,FALSE,"0400-6 Payroll Test";#N/A,#N/A,FALSE,"0400-7 Donations"}</definedName>
    <definedName name="wrn.EXPORT." hidden="1">{"EXPORT",#N/A,FALSE,"A8CONTENT"}</definedName>
    <definedName name="wrn.Exports." hidden="1">{#N/A,#N/A,FALSE,"Exports";#N/A,#N/A,FALSE,"Carolans";#N/A,#N/A,FALSE,"Irish Mist";#N/A,#N/A,FALSE,"Tullamore Dew";#N/A,#N/A,FALSE,"Other Brands Exports";#N/A,#N/A,FALSE,"Frangelico";#N/A,#N/A,FALSE,"Mondoro";#N/A,#N/A,FALSE,"Aperol";#N/A,#N/A,FALSE,"Others Exports"}</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AB._.1._.TOTAL." hidden="1">{"FB1_T",#N/A,FALSE,"FAB 1"}</definedName>
    <definedName name="wrn.FAB._.2._.ADMIN._.EXP." hidden="1">{"FABMATERIALS",#N/A,FALSE,"WAFER FAB 2 EXPENSE"}</definedName>
    <definedName name="wrn.FAB._.2._.ENG._.EXP." hidden="1">{"FABENGINEERING",#N/A,FALSE,"WAFER FAB 2 EXPENSE"}</definedName>
    <definedName name="wrn.FAB._.2._.EQUIP._.SUP._.EXP." hidden="1">{"FABEQUIPSUPPORT",#N/A,FALSE,"WAFER FAB 2 EXPENSE"}</definedName>
    <definedName name="wrn.FAB._.2._.PROD._.EXP." hidden="1">{"FABPRODUCTION",#N/A,FALSE,"WAFER FAB 2 EXPENSE"}</definedName>
    <definedName name="wrn.FAB._.2._.PROD._.LINE._.EXP." hidden="1">{"FABPRODUCTLINE",#N/A,FALSE,"WAFER FAB 2 EXPENSE"}</definedName>
    <definedName name="wrn.FAB._.2._.SALARY._.REPORTS." hidden="1">{"SALFABENG",#N/A,FALSE,"WAFER FAB 2 EXPENSE";"SALFABMAT",#N/A,FALSE,"WAFER FAB 2 EXPENSE"}</definedName>
    <definedName name="wrn.FAB._.ONE._.3420." hidden="1">{"FB342O",#N/A,FALSE,"FAB 1"}</definedName>
    <definedName name="wrn.FAB._.ONE._.3430." hidden="1">{"FB343O",#N/A,FALSE,"FAB 1"}</definedName>
    <definedName name="wrn.Facturation." hidden="1">{"Factures - projets en cours",#N/A,FALSE,"Juin 99";"Factures -DVMD",#N/A,FALSE,"Juin 99";"Factures - projets terminés",#N/A,FALSE,"Juin 99"}</definedName>
    <definedName name="wrn.Falcons._.Divisions." hidden="1">{#N/A,#N/A,TRUE,"Fiber_Optic_Cable_Input ";#N/A,#N/A,TRUE,"Specialty_Fiber_Devices_Input";#N/A,#N/A,TRUE,"Optical_Fiber_Apparatus_Input"}</definedName>
    <definedName name="wrn.Falcons._.Standalone." hidden="1">{#N/A,#N/A,TRUE,"Falcons_Standalone";#N/A,#N/A,TRUE,"Target_Input";#N/A,#N/A,TRUE,"Target_Calendarized"}</definedName>
    <definedName name="wrn.Far._.East._.Set." hidden="1">{"IS FE with Ratios",#N/A,FALSE,"Far East";"PF CF Far East",#N/A,FALSE,"Far East";"DCF Far East Matrix",#N/A,FALSE,"Far East"}</definedName>
    <definedName name="wrn.fb." hidden="1">{"AnnMarg",#N/A,FALSE,"FALCON";"Q",#N/A,FALSE,"Qtrs."}</definedName>
    <definedName name="wrn.FB3410." hidden="1">{"FB341O",#N/A,FALSE,"FAB 1"}</definedName>
    <definedName name="wrn.fcb" hidden="1">{"FCB_ALL",#N/A,FALSE,"FCB"}</definedName>
    <definedName name="wrn.FCB." hidden="1">{"FCB_ALL",#N/A,FALSE,"FCB"}</definedName>
    <definedName name="wrn.fcb2" hidden="1">{"FCB_ALL",#N/A,FALSE,"FCB"}</definedName>
    <definedName name="wrn.fdb1_Imprime_Print." hidden="1">{"fdb1_Rapport_Report",#N/A,FALSE,"Report"}</definedName>
    <definedName name="wrn.fdb2_print_rpt." hidden="1">{"fdb2_print",#N/A,FALSE,"Report"}</definedName>
    <definedName name="wrn.FE._.Sensitivity." hidden="1">{"Far East Top",#N/A,FALSE,"FE Model";"Far East Mid",#N/A,FALSE,"FE Model";"Far East Base",#N/A,FALSE,"FE Model"}</definedName>
    <definedName name="wrn.FEBRUARY." hidden="1">{"FEBRUARY",#N/A,FALSE,"Q3"}</definedName>
    <definedName name="wrn.Figaro._.Valuation._.Summary." hidden="1">{#N/A,#N/A,TRUE,"Cover";#N/A,#N/A,TRUE,"Graphs BD";#N/A,#N/A,TRUE,"Matrix-BD";#N/A,#N/A,TRUE,"Matrix-BD (2)";#N/A,#N/A,TRUE,"Margin Matrix BD";#N/A,#N/A,TRUE,"P&amp;L BD";#N/A,#N/A,TRUE,"Financials BD"}</definedName>
    <definedName name="wrn.filecopy." hidden="1">{"WACC_filecopy",#N/A,FALSE,"Inputs";"Beta_filecopy",#N/A,FALSE,"Inputs";"SCF_filecopy",#N/A,FALSE,"Inputs";"ProBS_filecopy",#N/A,FALSE,"Inputs";"BS_filecopy",#N/A,FALSE,"Inputs";"ProIS_filecopy",#N/A,FALSE,"Inputs";"IS_filecopy",#N/A,FALSE,"Inputs"}</definedName>
    <definedName name="wrn.Filter." hidden="1">{#N/A,#N/A,FALSE,"Assump2";#N/A,#N/A,FALSE,"Income2";#N/A,#N/A,FALSE,"Balance2";#N/A,#N/A,FALSE,"DCF Filter";#N/A,#N/A,FALSE,"Trans Assump2";#N/A,#N/A,FALSE,"Combined Income2";#N/A,#N/A,FALSE,"Combined Balance2"}</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Stmts_ALL." hidden="1">{"bs",#N/A,FALSE,"BS-Consol";"con all",#N/A,FALSE,"CON-ALL";"cf",#N/A,FALSE,"BS-Consol";"debt sve",#N/A,FALSE,"BS-Consol"}</definedName>
    <definedName name="wrn.FIN51." hidden="1">{#N/A,#N/A,TRUE,"VECTRA.XLS";#N/A,#N/A,TRUE,"ASTRA.XLS";#N/A,#N/A,TRUE,"CORSA.XLS";#N/A,#N/A,TRUE,"EXOTIC.XLS";#N/A,#N/A,TRUE,"FIYATS.XLS";#N/A,#N/A,TRUE,"SUMSUM.XLS";#N/A,#N/A,TRUE,"BULNEW.XLS";#N/A,#N/A,TRUE,"28DAYS"}</definedName>
    <definedName name="wrn.Final." hidden="1">{"Final",#N/A,FALSE,"Feb-96"}</definedName>
    <definedName name="wrn.Final._.Copy." hidden="1">{#N/A,#N/A,TRUE,"Assumptions";#N/A,#N/A,TRUE,"Financial  Statements";#N/A,#N/A,TRUE,"Unl. Free CF Valuation ";#N/A,#N/A,TRUE,"Funding Schedule";#N/A,#N/A,TRUE,"High Yield &amp; Equity Schedule"}</definedName>
    <definedName name="wrn.Finanalysis." hidden="1">{"finana",#N/A,FALSE,"Fin"}</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Databook." hidden="1">{#N/A,#N/A,FALSE,"Index";#N/A,#N/A,FALSE,"1.1";#N/A,#N/A,FALSE,"Scenario Summary"}</definedName>
    <definedName name="wrn.FINANCIAL._.FORECAST." hidden="1">{#N/A,#N/A,FALSE,"Hoja10";#N/A,#N/A,FALSE,"Hoja9";#N/A,#N/A,FALSE,"Hoja8";#N/A,#N/A,FALSE,"Hoja7";#N/A,#N/A,FALSE,"Hoja6";#N/A,#N/A,FALSE,"Hoja5";#N/A,#N/A,FALSE,"Hoja4";#N/A,#N/A,FALSE,"Hoja2";#N/A,#N/A,FALSE,"Hoja3";#N/A,#N/A,FALSE,"HOJA1";#N/A,#N/A,FALSE,"CashFlow";#N/A,#N/A,FALSE,"FinStmts"}</definedName>
    <definedName name="wrn.Financial._.Output." hidden="1">{"P and L",#N/A,FALSE,"Financial Output";"Cashflow",#N/A,FALSE,"Financial Output";"Balance Sheet",#N/A,FALSE,"Financial Output"}</definedName>
    <definedName name="wrn.Financial._.Statements." hidden="1">{#N/A,#N/A,FALSE,"Income Statement";#N/A,#N/A,FALSE,"Calendarized PL_Current";#N/A,#N/A,FALSE,"Calendarized PL_AOP"}</definedName>
    <definedName name="wrn.Financial._.Statements._.and._.Schedules." hidden="1">{#N/A,#N/A,TRUE,"4-Way Financial Comparison";#N/A,#N/A,TRUE,"Operations Statement";#N/A,#N/A,TRUE,"GAAP Statement";#N/A,#N/A,TRUE,"Balance Sheet";#N/A,#N/A,TRUE,"Cash Flow";#N/A,#N/A,TRUE,"Adjustments";#N/A,#N/A,TRUE,"Non-Op Schedule";#N/A,#N/A,TRUE,"Debt Schedule";#N/A,#N/A,TRUE,"Outsiders Share";#N/A,#N/A,TRUE,"Capital Exp.";#N/A,#N/A,TRUE,"Invest Affiliates";#N/A,#N/A,TRUE,"COC";#N/A,#N/A,TRUE,"Def Chrgs, et al";#N/A,#N/A,TRUE,"Taxes";#N/A,#N/A,TRUE,"IC - Interest Income"}</definedName>
    <definedName name="wrn.Financial._.Stmts." hidden="1">{"Balance Sheet",#N/A,FALSE,"CONS BS";"Income Stmt",#N/A,FALSE,"CONS IS";"Cash Flow",#N/A,FALSE,"CONS BS";"Debt Service",#N/A,FALSE,"CONS BS";"Pref Div",#N/A,FALSE,"PREF STK ";"Check figures",#N/A,FALSE,"CONS BS";"CNA Je's",#N/A,FALSE,"CNA Je's"}</definedName>
    <definedName name="wrn.Financial._.Update."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wrn.Financials." hidden="1">{#N/A,#N/A,TRUE,"Income Statement";#N/A,#N/A,TRUE,"Balance Sheet";#N/A,#N/A,TRUE,"Cash Flow"}</definedName>
    <definedName name="wrn.Financials_long." hidden="1">{"IS",#N/A,FALSE,"Financials2 (Expanded)";"bsa",#N/A,FALSE,"Financials2 (Expanded)";"BS",#N/A,FALSE,"Financials2 (Expanded)";"CF",#N/A,FALSE,"Financials2 (Expanded)"}</definedName>
    <definedName name="wrn.Finanzbedarfsrechnung." hidden="1">{#N/A,#N/A,FALSE,"Finanzbedarfsrechnung"}</definedName>
    <definedName name="wrn.FinStatementsGGAAP." hidden="1">{"PLGGAAP1",#N/A,TRUE,"P&amp;L G GAAP";"PLGGAAP2",#N/A,TRUE,"P&amp;L G GAAP";"PLGGAAP3",#N/A,TRUE,"P&amp;L G GAAP";"PLGGAAP4",#N/A,TRUE,"P&amp;L G GAAP";"CFGGAAP1a",#N/A,TRUE,"P&amp;L G GAAP";"CFGGAAP2a",#N/A,TRUE,"P&amp;L G GAAP";"WCGGAAP1",#N/A,TRUE,"P&amp;L G GAAP";"WCGGAAP2",#N/A,TRUE,"P&amp;L G GAAP";"BSGGAAP1",#N/A,TRUE,"P&amp;L G GAAP";"BSGGAAP2",#N/A,TRUE,"P&amp;L G GAAP";"DebtGGAAP1",#N/A,TRUE,"P&amp;L G GAAP";"DebtGGAAP2",#N/A,TRUE,"P&amp;L G GAAP"}</definedName>
    <definedName name="wrn.FinStatementsUSGAAP." hidden="1">{"PLUSGAAP1",#N/A,TRUE,"P&amp;L US GAAP";"PLUSGAAP2",#N/A,TRUE,"P&amp;L US GAAP";"PLUSGAAP3",#N/A,TRUE,"P&amp;L US GAAP";"PLUSGAAP4",#N/A,TRUE,"P&amp;L US GAAP";"CFUSGAAP1a",#N/A,TRUE,"P&amp;L US GAAP";"CFUSGAAP2a",#N/A,TRUE,"P&amp;L US GAAP";"WCUSGAAP1",#N/A,TRUE,"P&amp;L US GAAP";"WCUSGAAP2",#N/A,TRUE,"P&amp;L US GAAP";"BSUSGAAP1",#N/A,TRUE,"P&amp;L US GAAP";"BSUSGAAP2",#N/A,TRUE,"P&amp;L US GAAP";"DebtUSGAAP1",#N/A,TRUE,"P&amp;L US GAAP";"DebtUSGAAP2",#N/A,TRUE,"P&amp;L US GAAP"}</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ve._.Year." hidden="1">{#N/A,"Five Year",FALSE,"Assumptions";#N/A,"Five Year",FALSE,"Annual Summary";#N/A,"Five Year",FALSE,"Quarterly Summary";#N/A,#N/A,FALSE,"IRR"}</definedName>
    <definedName name="wrn.five._.year._.history." hidden="1">{#N/A,#N/A,FALSE,"5yr.hist."}</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ixed._.assets." hidden="1">{#N/A,#N/A,TRUE,"Sheet1";#N/A,#N/A,TRUE,"SUMMARY";#N/A,#N/A,TRUE,"FHold ";#N/A,#N/A,TRUE,"Penthouse Imps";#N/A,#N/A,TRUE,"Aircraft ";#N/A,#N/A,TRUE,"MVehicles ";#N/A,#N/A,TRUE,"Computers";#N/A,#N/A,TRUE,"Fixtures Fit";#N/A,#N/A,TRUE,"ModShop";#N/A,#N/A,TRUE,"Disposals";#N/A,#N/A,TRUE,"Depn Jnl"}</definedName>
    <definedName name="wrn.Fla._.Cape._.Info._.Memo._.Reports." hidden="1">{#N/A,#N/A,FALSE,"All Properties Summary";#N/A,#N/A,FALSE,"Gas Sales";#N/A,#N/A,FALSE,"Diesel Sales";#N/A,#N/A,FALSE,"C-StoreMoSales";#N/A,#N/A,FALSE,"Car Wash Mo Sales";#N/A,#N/A,FALSE,"Store Sales 18806";#N/A,#N/A,FALSE,"Store Sales 10530";#N/A,#N/A,FALSE,"Store Sales 12537";#N/A,#N/A,FALSE,"Store Sales 12434 "}</definedName>
    <definedName name="wrn.Flash._.report?." hidden="1">{#N/A,#N/A,TRUE,"Flash";#N/A,#N/A,TRUE,"regional report"}</definedName>
    <definedName name="wrn.FOC._.Detail." hidden="1">{#N/A,#N/A,TRUE,"FOC_Product_Assumptions"}</definedName>
    <definedName name="wrn.Followon._.1998" hidden="1">{#N/A,#N/A,FALSE,"Summary";#N/A,#N/A,FALSE,"Pending";#N/A,#N/A,FALSE,"Jan'98";#N/A,#N/A,FALSE,"Feb'98";#N/A,#N/A,FALSE,"Mar'98";#N/A,#N/A,FALSE,"Apr'98";#N/A,#N/A,FALSE,"May'98";#N/A,#N/A,FALSE,"June'98";#N/A,#N/A,FALSE,"July'98"}</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 hidden="1">{#N/A,#N/A,FALSE,"Income Statement";#N/A,#N/A,FALSE,"Balance Sheet";#N/A,#N/A,FALSE,"AR Analysis";#N/A,#N/A,FALSE,"Inventory Analysis";#N/A,#N/A,FALSE,"Direct Material";#N/A,#N/A,FALSE,"Labor";#N/A,#N/A,FALSE,"Overhead";#N/A,#N/A,FALSE,"Capital";#N/A,#N/A,FALSE,"Indirect Roster"}</definedName>
    <definedName name="wrn.Forecast._.No._.Interest." hidden="1">{#N/A,#N/A,FALSE,"Income Statement";#N/A,#N/A,FALSE,"Balance Sheet";#N/A,#N/A,FALSE,"AR Analysis";#N/A,#N/A,FALSE,"Inventory Analysis";#N/A,#N/A,FALSE,"Direct Material";#N/A,#N/A,FALSE,"Labor";#N/A,#N/A,FALSE,"Overhead";#N/A,#N/A,FALSE,"Capital";#N/A,#N/A,FALSE,"Indirect Roster"}</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ecasts." hidden="1">{#N/A,#N/A,FALSE,"Forecasts"}</definedName>
    <definedName name="wrn.FORM1." hidden="1">{#N/A,#N/A,FALSE,"COMP"}</definedName>
    <definedName name="wrn.FORM6C." hidden="1">{#N/A,#N/A,FALSE,"COMP"}</definedName>
    <definedName name="wrn.forms." hidden="1">{#N/A,#N/A,FALSE,"Set-Up";#N/A,#N/A,FALSE,"Comparison";#N/A,#N/A,FALSE,"AR";#N/A,#N/A,FALSE,"Inv";#N/A,#N/A,FALSE,"Concentrations";#N/A,#N/A,FALSE,"Past Dues";#N/A,#N/A,FALSE,"Trends";#N/A,#N/A,FALSE,"AR Trends";#N/A,#N/A,FALSE,"Inv Trends"}</definedName>
    <definedName name="wrn.formulas." hidden="1">{"formulas",#N/A,FALSE,"Key Indicators"}</definedName>
    <definedName name="wrn.Förster." hidden="1">{"GuVGmbH",#N/A,FALSE,"ratios";"BilanzGmbH",#N/A,FALSE,"ratios";"BilanzKG",#N/A,FALSE,"ratios";"GuVKG",#N/A,FALSE,"ratios"}</definedName>
    <definedName name="wrn.fred." hidden="1">{"cover",#N/A,TRUE,"BaseCase";"pnl",#N/A,TRUE,"BaseCase";"pnldet",#N/A,TRUE,"BaseCase";"bil",#N/A,TRUE,"BaseCase";"tabfi",#N/A,TRUE,"BaseCase";"ratios",#N/A,TRUE,"BaseCase";"variab",#N/A,TRUE,"BaseCase";"inv",#N/A,TRUE,"BaseCase"}</definedName>
    <definedName name="wrn.Freq_Res." hidden="1">{#N/A,#N/A,TRUE,"FR_HC";#N/A,#N/A,TRUE,"FR_REST";#N/A,#N/A,TRUE,"FR_RETA";#N/A,#N/A,TRUE,"FR_TECSOF";#N/A,#N/A,TRUE,"FR_NETTEC";#N/A,#N/A,TRUE,"FR_CLISER"}</definedName>
    <definedName name="wrn.Friendly." hidden="1">{#N/A,#N/A,TRUE,"Julio";#N/A,#N/A,TRUE,"Agosto";#N/A,#N/A,TRUE,"BHCo";#N/A,#N/A,TRUE,"Abril";#N/A,#N/A,TRUE,"Pro Forma"}</definedName>
    <definedName name="wrn.Front._.Page." hidden="1">{"Front Page",#N/A,FALSE,"Front and Back"}</definedName>
    <definedName name="wrn.Front_Page." hidden="1">{"Front_Page",#N/A,FALSE,"Front Page"}</definedName>
    <definedName name="wrn.FSCT._.PCKG." hidden="1">{#N/A,#N/A,FALSE,"P&amp;L";#N/A,#N/A,FALSE,"Capital";#N/A,#N/A,FALSE,"Summary";#N/A,#N/A,FALSE,"VAR Rec";#N/A,#N/A,FALSE,"EBIT Rec"}</definedName>
    <definedName name="wrn.Full." hidden="1">{#N/A,#N/A,FALSE,"Cover";"outputs total",#N/A,FALSE,"Outputs"}</definedName>
    <definedName name="wrn.full._.document." hidden="1">{#N/A,#N/A,FALSE,"Header &amp; Contents";#N/A,#N/A,FALSE,"Section1 - Inv Smry";#N/A,#N/A,FALSE,"Section2 - Exec Smry";#N/A,#N/A,FALSE,"Section 3 - Cost Bdwn";#N/A,#N/A,FALSE,"Section 5 - Load &amp; Cap";#N/A,#N/A,FALSE,"Section 6 - Financial";#N/A,#N/A,FALSE,"Section 8 - Assumptions Summary";#N/A,#N/A,FALSE,"Section 9 - Local Signatures";#N/A,#N/A,FALSE,"Section 10 - Liberated Assets";#N/A,#N/A,FALSE,"Section 11 - Suppl Auth"}</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model." hidden="1">{#N/A,#N/A,TRUE,"Cover sheet";#N/A,#N/A,TRUE,"Summary";#N/A,#N/A,TRUE,"Key Assumptions";#N/A,#N/A,TRUE,"Profit &amp; Loss";#N/A,#N/A,TRUE,"Balance Sheet";#N/A,#N/A,TRUE,"Cashflow";#N/A,#N/A,TRUE,"IRR";#N/A,#N/A,TRUE,"Ratios";#N/A,#N/A,TRUE,"Debt analysis"}</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Package." hidden="1">{#N/A,#N/A,FALSE,"COVER";#N/A,#N/A,FALSE,"INDEX";#N/A,#N/A,FALSE,"P1000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 hidden="1">{#N/A,#N/A,FALSE,"Summary";#N/A,#N/A,FALSE,"Returns";#N/A,#N/A,FALSE,"Fees";#N/A,#N/A,FALSE,"Opening BS";#N/A,#N/A,FALSE,"EMO";#N/A,#N/A,FALSE,"BS";#N/A,#N/A,FALSE,"IS";#N/A,#N/A,FALSE,"CFS";#N/A,#N/A,FALSE,"Int. Rates";#N/A,#N/A,FALSE,"Int. Cost";#N/A,#N/A,FALSE,"Debt";#N/A,#N/A,FALSE,"Ratios";#N/A,#N/A,FALSE,"Returns Detail";#N/A,#N/A,FALSE,"DCF"}</definedName>
    <definedName name="wrn.full._.report" hidden="1">{#N/A,#N/A,FALSE,"front";#N/A,#N/A,FALSE,"summary";#N/A,#N/A,FALSE,"BalSht";#N/A,#N/A,FALSE,"Consol";#N/A,#N/A,FALSE,"F&amp;P";#N/A,#N/A,FALSE,"HK";#N/A,#N/A,FALSE,"Sing";#N/A,#N/A,FALSE,"GmbH";#N/A,#N/A,FALSE,"ODS";#N/A,#N/A,FALSE,"EBT";#N/A,#N/A,FALSE,"Debtors"}</definedName>
    <definedName name="wrn.Full._.report." hidden="1">{"multiple",#N/A,FALSE,"client (2)";"margins",#N/A,FALSE,"client (2)";"data",#N/A,FALSE,"client (2)";"multiple",#N/A,FALSE,"client";"margins",#N/A,FALSE,"client";"data",#N/A,FALSE,"client"}</definedName>
    <definedName name="wrn.Full._.report._.excl._.detailed._.schedules." hidden="1">{"Cover",#N/A,TRUE,"Cover";"Structure",#N/A,TRUE,"STRUCTURE";"Returns",#N/A,TRUE,"RETURNS";"Financing",#N/A,TRUE,"FINANCING";"Exit valuation",#N/A,TRUE,"EXIT VALUATION";"Adjustments",#N/A,TRUE,"Adjustments";"Maintainable earnings",#N/A,TRUE,"Maintainable earnings";"Input sheet",#N/A,TRUE,"Inputs";"Redundancy plan",#N/A,TRUE,"Restructuring Plan";"Taxes",#N/A,TRUE,"Tax Schedule"}</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2" hidden="1">{#N/A,#N/A,TRUE,"TransSum";#N/A,#N/A,TRUE,"Build-up Tar";#N/A,#N/A,TRUE,"Build-up Acq";#N/A,#N/A,TRUE,"IncStmt";#N/A,#N/A,TRUE,"BalSht";#N/A,#N/A,TRUE,"CashFlow";#N/A,#N/A,TRUE,"TBS";#N/A,#N/A,TRUE,"Earn-out";#N/A,#N/A,TRUE,"Carlyle Gain";#N/A,#N/A,TRUE,"Returns"}</definedName>
    <definedName name="wrn.FullFincls." hidden="1">{#N/A,#N/A,TRUE,"Income Statement";#N/A,#N/A,TRUE,"Balance Sheet";#N/A,#N/A,TRUE,"Cash Flows";#N/A,#N/A,TRUE,"Ratios";#N/A,#N/A,TRUE,"Revenues";#N/A,#N/A,TRUE,"Asset Calcs";#N/A,#N/A,TRUE,"Value"}</definedName>
    <definedName name="wrn.Funnel._.Report." hidden="1">{#N/A,#N/A,FALSE,"funnel";#N/A,#N/A,FALSE,"AE Summary";#N/A,#N/A,FALSE,"Product Summary"}</definedName>
    <definedName name="wrn.FY00._.Summary." hidden="1">{"FY00",#N/A,FALSE,"Sheet1"}</definedName>
    <definedName name="wrn.FY01._.Target." hidden="1">{"FY01 TARGET",#N/A,FALSE,"Sheet1"}</definedName>
    <definedName name="wrn.FY96sbp99" hidden="1">{#N/A,#N/A,FALSE,"FY97";#N/A,#N/A,FALSE,"FY98";#N/A,#N/A,FALSE,"FY99";#N/A,#N/A,FALSE,"FY00";#N/A,#N/A,FALSE,"FY01"}</definedName>
    <definedName name="wrn.FY97SBP." hidden="1">{#N/A,#N/A,FALSE,"FY97";#N/A,#N/A,FALSE,"FY98";#N/A,#N/A,FALSE,"FY99";#N/A,#N/A,FALSE,"FY00";#N/A,#N/A,FALSE,"FY01"}</definedName>
    <definedName name="wrn.FY97SBP.1" hidden="1">{#N/A,#N/A,FALSE,"FY97";#N/A,#N/A,FALSE,"FY98";#N/A,#N/A,FALSE,"FY99";#N/A,#N/A,FALSE,"FY00";#N/A,#N/A,FALSE,"FY01"}</definedName>
    <definedName name="wrn.FY97SBP2" hidden="1">{#N/A,#N/A,FALSE,"FY97";#N/A,#N/A,FALSE,"FY98";#N/A,#N/A,FALSE,"FY99";#N/A,#N/A,FALSE,"FY00";#N/A,#N/A,FALSE,"FY01"}</definedName>
    <definedName name="wrn.gary" hidden="1">{#N/A,#N/A,TRUE,"Tar-Ass";#N/A,#N/A,TRUE,"Tar-Ass LBO";#N/A,#N/A,TRUE,"LBO Ret";#N/A,#N/A,TRUE,"Tar-BS LBO";#N/A,#N/A,TRUE,"Tar-IS LBO";#N/A,#N/A,TRUE,"Tar-CF LBO";#N/A,#N/A,TRUE,"Tar-Debt LBO";#N/A,#N/A,TRUE,"Tar-Int LBO";#N/A,#N/A,TRUE,"Tar-Taxes LBO";#N/A,#N/A,TRUE,"Tar-Val LBO"}</definedName>
    <definedName name="wrn.GB._.99." hidden="1">{#N/A,#N/A,FALSE,"Umsatz 99";#N/A,#N/A,FALSE,"ER 99 "}</definedName>
    <definedName name="wrn.GB._.CH." hidden="1">{#N/A,#N/A,FALSE,"Umsatz CH";#N/A,#N/A,FALSE,"ER CH";#N/A,#N/A,FALSE,"EA CH (2) ";#N/A,#N/A,FALSE,"EA CH";#N/A,#N/A,FALSE,"EA CH (3) ";#N/A,#N/A,FALSE,"EA CH (4)";#N/A,#N/A,FALSE,"KA CH";#N/A,#N/A,FALSE,"KA CH  (2)";#N/A,#N/A,FALSE,"KA CH  (3)";#N/A,#N/A,FALSE,"KA CH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hidden="1">{#N/A,#N/A,FALSE,"Umsatz HM";#N/A,#N/A,FALSE,"ER HM";#N/A,#N/A,FALSE,"EA HM  (2)";#N/A,#N/A,FALSE,"EA HM ";#N/A,#N/A,FALSE,"EA HM  (4)";#N/A,#N/A,FALSE,"EA HM  (3)";#N/A,#N/A,FALSE,"KA HM  (2)";#N/A,#N/A,FALSE,"KA HM";#N/A,#N/A,FALSE,"KA HM  (3)";#N/A,#N/A,FALSE,"KA HM (4)"}</definedName>
    <definedName name="wrn.GB._.OK." hidden="1">{#N/A,#N/A,FALSE,"Umsatz OK";#N/A,#N/A,FALSE,"ER OK ";#N/A,#N/A,FALSE,"EA OK (2)";#N/A,#N/A,FALSE,"EA OK";#N/A,#N/A,FALSE,"EA OK (3)";#N/A,#N/A,FALSE,"EA OK (4)";#N/A,#N/A,FALSE,"KA OK  (2)";#N/A,#N/A,FALSE,"KA OK";#N/A,#N/A,FALSE,"KA OK  (3)";#N/A,#N/A,FALSE,"KA OK (4)"}</definedName>
    <definedName name="wrn.gb._hm."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CIall." hidden="1">{"gcicash",#N/A,FALSE,"GCIINC";"gciinc",#N/A,FALSE,"GCIINC";"gciexclusa",#N/A,FALSE,"GCIINC";"usatdy",#N/A,FALSE,"GCIINC"}</definedName>
    <definedName name="wrn.GEER_report." hidden="1">{#N/A,#N/A,FALSE,"Table_Ass.";#N/A,#N/A,FALSE,"# of cust";#N/A,#N/A,FALSE,"Res_Report";#N/A,#N/A,FALSE,"Income Statement";"Qtr Cust",#N/A,FALSE,"Qtrly Proj"}</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neral_Model_Assumptions." hidden="1">{#N/A,#N/A,FALSE,"GenAssump"}</definedName>
    <definedName name="wrn.Geographic._.Trends." hidden="1">{"Geographic P1",#N/A,FALSE,"Division &amp; Geog"}</definedName>
    <definedName name="wrn.Gesamt." hidden="1">{#N/A,#N/A,FALSE,"Bl. 1";#N/A,#N/A,FALSE,"Bl. 2";#N/A,#N/A,FALSE,"Bl. 3";#N/A,#N/A,FALSE,"Bl. 4";#N/A,#N/A,FALSE,"Bl. 6";#N/A,#N/A,FALSE,"Bl. 7";#N/A,#N/A,FALSE,"BL. 8";#N/A,#N/A,FALSE,"Bl. 9";#N/A,#N/A,FALSE,"Bl. 10";#N/A,#N/A,FALSE,"Bl. 12"}</definedName>
    <definedName name="wrn.Gesamt2" hidden="1">{#N/A,#N/A,FALSE,"Bl. 1";#N/A,#N/A,FALSE,"Bl. 2";#N/A,#N/A,FALSE,"Bl. 3";#N/A,#N/A,FALSE,"Bl. 4";#N/A,#N/A,FALSE,"Bl. 6";#N/A,#N/A,FALSE,"Bl. 7";#N/A,#N/A,FALSE,"BL. 8";#N/A,#N/A,FALSE,"Bl. 9";#N/A,#N/A,FALSE,"Bl. 10";#N/A,#N/A,FALSE,"Bl. 12"}</definedName>
    <definedName name="wrn.Gesamtausdruck." hidden="1">{#N/A,#N/A,TRUE,"Sensonic";#N/A,#N/A,TRUE,"Combimeter";#N/A,#N/A,TRUE,"HKV";#N/A,#N/A,TRUE,"TV";#N/A,#N/A,TRUE,"WZ";#N/A,#N/A,TRUE,"PrepHeatCon";#N/A,#N/A,TRUE,"Sonstiges";#N/A,#N/A,TRUE,"Abrechnung";#N/A,#N/A,TRUE,"Investitionen";#N/A,#N/A,TRUE,"Personal";#N/A,#N/A,TRUE,"sonstige Kosten u. Erträge";#N/A,#N/A,TRUE,"BER";#N/A,#N/A,TRUE,"Monatsaufteilung Budget 1997"}</definedName>
    <definedName name="wrn.Gesamtbericht." hidden="1">{#N/A,#N/A,FALSE,"Inhalt";#N/A,#N/A,FALSE,"Fach A";#N/A,#N/A,FALSE,"Fach A0";#N/A,#N/A,FALSE,"Fach A01";#N/A,#N/A,FALSE,"Fach B ";#N/A,#N/A,FALSE,"Fach B0";#N/A,#N/A,FALSE,"Fach B01";#N/A,#N/A,FALSE,"Fach B1";#N/A,#N/A,FALSE,"Fach B2";#N/A,#N/A,FALSE,"Fach B3";#N/A,#N/A,FALSE,"Fach B4";#N/A,#N/A,FALSE,"Fach C ";#N/A,#N/A,FALSE,"Fach C0";#N/A,#N/A,FALSE,"Fach C01";#N/A,#N/A,FALSE,"Fach C1";#N/A,#N/A,FALSE,"Fach C1A";#N/A,#N/A,FALSE,"Fach C1B-F";#N/A,#N/A,FALSE,"Fach C2";#N/A,#N/A,FALSE,"Fach C3";#N/A,#N/A,FALSE,"Fach C4";#N/A,#N/A,FALSE,"Fach C5";#N/A,#N/A,FALSE,"Fach C6";#N/A,#N/A,FALSE,"Fach C7";#N/A,#N/A,FALSE,"Fach C8";#N/A,#N/A,FALSE,"Fach D";#N/A,#N/A,FALSE,"Fach D0";#N/A,#N/A,FALSE,"Fach D01";#N/A,#N/A,FALSE,"Fach D1";#N/A,#N/A,FALSE,"Fach D2";#N/A,#N/A,FALSE,"Fach D3";#N/A,#N/A,FALSE,"Fach D4";#N/A,#N/A,FALSE,"Fach D5";#N/A,#N/A,FALSE,"Fach D6";#N/A,#N/A,FALSE,"Fach D7";#N/A,#N/A,FALSE,"Fach D8";#N/A,#N/A,FALSE,"Fach E";#N/A,#N/A,FALSE,"Fach E0";#N/A,#N/A,FALSE,"Fach E01";#N/A,#N/A,FALSE,"Fach E1";#N/A,#N/A,FALSE,"Fach E2";#N/A,#N/A,FALSE,"Fach E3 ";#N/A,#N/A,FALSE,"Fach E4";#N/A,#N/A,FALSE,"Fach E5";#N/A,#N/A,FALSE,"Fach E6";#N/A,#N/A,FALSE,"Fach E7";#N/A,#N/A,FALSE,"Fach F";#N/A,#N/A,FALSE,"Fach F0";#N/A,#N/A,FALSE,"Fach F01";#N/A,#N/A,FALSE,"Fach F1";#N/A,#N/A,FALSE,"Fach F2";#N/A,#N/A,FALSE,"Fach F3"}</definedName>
    <definedName name="wrn.Gesamtliste." hidden="1">{"TF",#N/A,FALSE,"la juli";"TM",#N/A,FALSE,"la juli";"TP/TL",#N/A,FALSE,"la juli";"TQ",#N/A,FALSE,"la juli";"TE",#N/A,FALSE,"la juli";"GW",#N/A,FALSE,"la juli";"ohne Zuordnung",#N/A,FALSE,"la juli"}</definedName>
    <definedName name="wrn.Gesamtliste.1a" hidden="1">{"TF",#N/A,FALSE,"la juli";"TM",#N/A,FALSE,"la juli";"TP/TL",#N/A,FALSE,"la juli";"TQ",#N/A,FALSE,"la juli";"TE",#N/A,FALSE,"la juli";"GW",#N/A,FALSE,"la juli";"ohne Zuordnung",#N/A,FALSE,"la juli"}</definedName>
    <definedName name="wrn.GIS." hidden="1">{#N/A,#N/A,FALSE,"GIS"}</definedName>
    <definedName name="wrn.GRANT._.SUMMARY." hidden="1">{#N/A,#N/A,FALSE,"SUMMARY";#N/A,#N/A,FALSE,"RECEIVABLE";"Report recd",#N/A,FALSE,"RECEIVED"}</definedName>
    <definedName name="wrn.Graph._.edition." hidden="1">{#N/A,#N/A,FALSE,"KPI-EMM-Graph";#N/A,#N/A,FALSE,"Cost Graph";#N/A,#N/A,FALSE,"Cash graph";#N/A,#N/A,FALSE,"Order Sales Graph"}</definedName>
    <definedName name="wrn.GRAPHS." hidden="1">{#N/A,#N/A,FALSE,"ACQ_GRAPHS";#N/A,#N/A,FALSE,"T_1 GRAPHS";#N/A,#N/A,FALSE,"T_2 GRAPHS";#N/A,#N/A,FALSE,"COMB_GRAPHS"}</definedName>
    <definedName name="wrn.Growth." hidden="1">{#N/A,#N/A,FALSE,"Rev Grwth";#N/A,#N/A,FALSE,"Op Inc Grwth";#N/A,#N/A,FALSE,"Net Grwth";#N/A,#N/A,FALSE,"EPS Growth"}</definedName>
    <definedName name="wrn.Grup" hidden="1">{"fleisch",#N/A,FALSE,"WG HK";"food",#N/A,FALSE,"WG HK";"hartwaren",#N/A,FALSE,"WG HK";"weichwaren",#N/A,FALSE,"WG HK"}</definedName>
    <definedName name="wrn.gth." hidden="1">{#N/A,#N/A,FALSE,"Title Page";#N/A,#N/A,FALSE,"Summary Sheet"}</definedName>
    <definedName name="wrn.gti._.qtrly._.stats." hidden="1">{"GTI monthly IS",#N/A,FALSE,"gti";#N/A,#N/A,FALSE,"gti"}</definedName>
    <definedName name="wrn.GuV." hidden="1">{#N/A,#N/A,FALSE,"Layout GuV"}</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 hidden="1">{"quarterly",#N/A,FALSE,"Income Statement New CPB";"annual",#N/A,FALSE,"Income Statement New CPB";"cash flow",#N/A,FALSE,"Cash Flow";"balance",#N/A,FALSE,"Balance Sheet";"seg",#N/A,FALSE,"New Segment Breakout"}</definedName>
    <definedName name="wrn.HEADCOUNT." hidden="1">{"HEADCOUNT",#N/A,FALSE,"labor"}</definedName>
    <definedName name="wrn.headcount5" hidden="1">{"HEADCOUNT",#N/A,FALSE,"labor"}</definedName>
    <definedName name="wrn.HEAT." hidden="1">{#N/A,#N/A,FALSE,"Heat";#N/A,#N/A,FALSE,"DCF";#N/A,#N/A,FALSE,"LBO";#N/A,#N/A,FALSE,"A";#N/A,#N/A,FALSE,"C";#N/A,#N/A,FALSE,"impd";#N/A,#N/A,FALSE,"Accr-Dilu"}</definedName>
    <definedName name="wrn.HELIUM._.PRICING." hidden="1">{"HELIUM PRICING",#N/A,FALSE,"HELIUM"}</definedName>
    <definedName name="wrn.HELIUM._.REVENUE." hidden="1">{"HELIUM REVENUE",#N/A,FALSE,"HELIUM"}</definedName>
    <definedName name="wrn.HELIUM._.VOLUME." hidden="1">{"HELIUM VOLUME",#N/A,FALSE,"HELIUM"}</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hidden="1">{#N/A,#N/A,FALSE,"Cover";#N/A,#N/A,FALSE,"Gas";#N/A,#N/A,FALSE,"Umsatz";#N/A,#N/A,FALSE,"Kosten";#N/A,#N/A,FALSE,"Capex Deprec";#N/A,#N/A,FALSE,"WC";#N/A,#N/A,FALSE,"Rückstellungen";#N/A,#N/A,FALSE,"Rente";#N/A,#N/A,FALSE,"EBITDA"}</definedName>
    <definedName name="wrn.Hipótesis._.A." hidden="1">{#N/A,"Hipótesis A",FALSE,"desglose";#N/A,#N/A,FALSE,"p&amp;g";#N/A,#N/A,FALSE,"detallder+dob (A)";#N/A,#N/A,FALSE,"costotitulo(A)";#N/A,#N/A,FALSE,"costohora(A)"}</definedName>
    <definedName name="wrn.Hipótesis._.B." hidden="1">{#N/A,"Hipótesis B",FALSE,"desglose";#N/A,#N/A,FALSE,"p&amp;g";#N/A,#N/A,FALSE,"detallder+dob (B)";#N/A,#N/A,FALSE,"costotitulo(B)";#N/A,#N/A,FALSE,"costohora(B)"}</definedName>
    <definedName name="wrn.Hipótesis._.C." hidden="1">{#N/A,"Hipótesis C",FALSE,"desglose";#N/A,#N/A,FALSE,"p&amp;g";#N/A,#N/A,FALSE,"detallder+dob (C)";#N/A,#N/A,FALSE,"costotitulo(C)";#N/A,#N/A,FALSE,"costohora(C)"}</definedName>
    <definedName name="wrn.historical." hidden="1">{"historical_is_annual",#N/A,FALSE,"historical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_.backup." hidden="1">{"hist_rev",#N/A,FALSE,"Revenue buildup-hist";"hist_rev_growth",#N/A,FALSE,"Revenue buildup-hist";"hist_exp",#N/A,FALSE,"Revenue buildup-hist";"hist_exp_growth",#N/A,FALSE,"Revenue buildup-hist";"historical_workcap",#N/A,FALSE,"Assumptions"}</definedName>
    <definedName name="wrn.Historical._.Cost._.PWC."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y." hidden="1">{#N/A,#N/A,FALSE,"model"}</definedName>
    <definedName name="wrn.history2" hidden="1">{#N/A,#N/A,FALSE,"5yr.hist."}</definedName>
    <definedName name="wrn.history5" hidden="1">{#N/A,#N/A,FALSE,"5yr.hist."}</definedName>
    <definedName name="wrn.histROIC." hidden="1">{#N/A,#N/A,FALSE,"model"}</definedName>
    <definedName name="wrn.histROIC2" hidden="1">{#N/A,#N/A,FALSE,"model"}</definedName>
    <definedName name="wrn.HNZ." hidden="1">{#N/A,#N/A,FALSE,"HNZ"}</definedName>
    <definedName name="wrn.Hoja._.de._.garantías." hidden="1">{#N/A,#N/A,FALSE,"Garantias";"hoja",#N/A,FALSE,"Garantias"}</definedName>
    <definedName name="wrn.hours." hidden="1">{"hours",#N/A,FALSE,"Actual -vs- Budget"}</definedName>
    <definedName name="wrn.HPS._.Vertical." hidden="1">{#N/A,#N/A,FALSE,"Front Page";#N/A,#N/A,FALSE,"Contents";#N/A,#N/A,FALSE,"Deals in month";#N/A,#N/A,FALSE,"Major Sales Top 20";#N/A,#N/A,FALSE,"HPS Major Sales";#N/A,#N/A,FALSE,"MJ HPS Calculation sheet";#N/A,#N/A,FALSE,"HPS Rev Track";#N/A,#N/A,FALSE,"HPS Committed";#N/A,#N/A,FALSE,"HPS P1-3";#N/A,#N/A,FALSE,"Lost Bids";#N/A,#N/A,FALSE,"HPS Offering Bar Chart";#N/A,#N/A,FALSE,"HPS Industry Bar Chart";#N/A,#N/A,FALSE,"Ongoing HPS VME Revenue";#N/A,#N/A,FALSE,"Issues "}</definedName>
    <definedName name="wrn.HPSTMRO._.Pack" hidden="1">{#N/A,#N/A,TRUE,"Front Page";#N/A,#N/A,TRUE,"Content";#N/A,#N/A,TRUE,"Changes to forecast";#N/A,#N/A,TRUE,"Forecast Summaries";#N/A,#N/A,TRUE,"Q1 Summary";#N/A,#N/A,TRUE,"Q2 Summary";#N/A,#N/A,TRUE,"Q3 Summary";#N/A,#N/A,TRUE,"Q4 Summary";#N/A,#N/A,TRUE,"FY Summary";#N/A,#N/A,TRUE,"Opportunities";#N/A,#N/A,TRUE,"Risks";#N/A,#N/A,TRUE,"Target Graphs";#N/A,#N/A,TRUE,"Rev Chart";#N/A,#N/A,TRUE,"GM Chart";#N/A,#N/A,TRUE,"Offering Bar Chart";#N/A,#N/A,TRUE,"Issues";#N/A,#N/A,TRUE,"Lost Bids";#N/A,#N/A,TRUE,"Major Sales Campains";#N/A,#N/A,TRUE,"Ongoing Revenue";#N/A,#N/A,TRUE,"Names List"}</definedName>
    <definedName name="wrn.HS_USA." hidden="1">{"HS_USA",#N/A,FALSE,"Base"}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Hyg._.Acq." hidden="1">{#N/A,#N/A,FALSE,"main";#N/A,#N/A,FALSE,"100% Cash";#N/A,#N/A,FALSE,"100% Stock"}</definedName>
    <definedName name="wrn.ICD." hidden="1">{"ICD Details",#N/A,FALSE,"Current Yr";"ICD Details",#N/A,FALSE,"Budget";"ICD Details",#N/A,FALSE,"Prior Year"}</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cem." hidden="1">{#N/A,#N/A,FALSE,"Exb 2";#N/A,#N/A,FALSE,"Exb 3(a)";#N/A,#N/A,FALSE,"WACC";#N/A,#N/A,FALSE,"Exh 4(a)";#N/A,#N/A,FALSE,"Exh 4(b)";#N/A,#N/A,FALSE,"Exb 5(a)";#N/A,#N/A,FALSE,"Exb 5(b)"}</definedName>
    <definedName name="wrn.ICOS._.2." hidden="1">{"zweis 1",#N/A,FALSE,"B";"zweis2",#N/A,FALSE,"B";"zweis3",#N/A,FALSE,"B";"zweis4",#N/A,FALSE,"B";"zweis5",#N/A,FALSE,"B";"zweis6",#N/A,FALSE,"B";"zweis7",#N/A,FALSE,"B";"zweis8",#N/A,FALSE,"B";"zweis9",#N/A,FALSE,"B"}</definedName>
    <definedName name="wrn.ICOS1." hidden="1">{"konz1",#N/A,FALSE,"B";"konz2",#N/A,FALSE,"B";"konz3",#N/A,FALSE,"B"}</definedName>
    <definedName name="wrn.icos2." hidden="1">{"konz1",#N/A,FALSE,"B";"konz2",#N/A,FALSE,"B";"konz3",#N/A,FALSE,"B"}</definedName>
    <definedName name="wrn.Ilijan._.Print." hidden="1">{#N/A,#N/A,TRUE,"CoverLetter";#N/A,#N/A,TRUE,"Scope";#N/A,#N/A,TRUE,"Table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lya." hidden="1">{#N/A,#N/A,TRUE,"Staff cost as % of revenue";#N/A,#N/A,TRUE,"Depreciation as % of sales";#N/A,#N/A,TRUE,"Employee cost";#N/A,#N/A,TRUE,"Traffic per line";#N/A,#N/A,TRUE,"Lines per employee"}</definedName>
    <definedName name="wrn.ilya1." hidden="1">{#N/A,#N/A,TRUE,"Staff cost as % of revenue";#N/A,#N/A,TRUE,"Depreciation as % of sales";#N/A,#N/A,TRUE,"Employee cost";#N/A,#N/A,TRUE,"Traffic per line";#N/A,#N/A,TRUE,"Lines per employee"}</definedName>
    <definedName name="wrn.Immos._.2000." hidden="1">{#N/A,#N/A,FALSE,"Equip. labo 00-10-01610";#N/A,#N/A,FALSE,"Équip. clinique 00-10-01620";#N/A,#N/A,FALSE,"Équip. cli. Mtl 00-10-01620 .50";#N/A,#N/A,FALSE,"Bureau électr. 00-10-01630";#N/A,#N/A,FALSE,"LCMS 00-10-01640";#N/A,#N/A,FALSE,"Équip. informatique 00-10-01650";#N/A,#N/A,FALSE,"Équip. info. Mtl 00-10-01650.50";#N/A,#N/A,FALSE,"Logiciels 00-10-01660";#N/A,#N/A,FALSE,"Mobilier analyse 00-10-01690";#N/A,#N/A,FALSE,"Mobilier clinique 00-10-01700";#N/A,#N/A,FALSE,"Mob. cli. Mtl 00-10-01700.50";#N/A,#N/A,FALSE,"Mobilier bureau 00-10-01710";#N/A,#N/A,FALSE,"Équip. clinique T-R 00-10-01720";#N/A,#N/A,FALSE,"Mobilier cliniq T-R 00-10-01740";#N/A,#N/A,FALSE,"Amél. loc. Mtl  00-1830";#N/A,#N/A,FALSE,"Amél. loc. 3 étage 00-10-01840";#N/A,#N/A,FALSE,"Amél. loc. 2 étage 00-10-01850";#N/A,#N/A,FALSE,"Amél. loc. Azote 00-10-01860";#N/A,#N/A,FALSE,"Amél. loc. sous-sol 00-10-01870";#N/A,#N/A,FALSE,"Amél. loc.1er ét. 00-10-01880";#N/A,#N/A,FALSE,"Amél. loc. 5è ét. 00-10-01890"}</definedName>
    <definedName name="wrn.imp." hidden="1">{"vue1",#N/A,FALSE,"synthese";"vue2",#N/A,FALSE,"synthese"}</definedName>
    <definedName name="wrn.imp.2" hidden="1">{"vue1",#N/A,FALSE,"synthese";"vue2",#N/A,FALSE,"synthese"}</definedName>
    <definedName name="wrn.imp.3" hidden="1">{"vue1",#N/A,FALSE,"synthese";"vue2",#N/A,FALSE,"synthese"}</definedName>
    <definedName name="wrn.Import._.figures." hidden="1">{"reports",#N/A,FALSE,"Balance Sheet"}</definedName>
    <definedName name="wrn.impressao." hidden="1">{#N/A,#N/A,FALSE,"FPVA_CMVMC";#N/A,#N/A,FALSE,"FPVA_FSE";#N/A,#N/A,FALSE,"FPVA_Pessoal";#N/A,#N/A,FALSE,"FPVA_Plano_Invest.";#N/A,#N/A,FALSE,"FPVA_Mapa FM";#N/A,#N/A,FALSE,"FPVA_DR";#N/A,#N/A,FALSE,"FPVA_Balanço";#N/A,#N/A,FALSE,"FPVA_Valor"}</definedName>
    <definedName name="wrn.impressão." hidden="1">{#N/A,#N/A,FALSE,"CA_FSE";#N/A,#N/A,FALSE,"CA_Pessoal";#N/A,#N/A,FALSE,"CA_Plano_Invest.";#N/A,#N/A,FALSE,"CA_Mapa FM";#N/A,#N/A,FALSE,"CA_DR";#N/A,#N/A,FALSE,"CA_Balanço";#N/A,#N/A,FALSE,"CA_Valor"}</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 hidden="1">{#N/A,#N/A,TRUE,"Income";#N/A,#N/A,TRUE,"IncomeDetail";#N/A,#N/A,TRUE,"Balance";#N/A,#N/A,TRUE,"BalDetail"}</definedName>
    <definedName name="wrn.income._.statement." hidden="1">{"income statement",#N/A,FALSE,"ATLAS-A"}</definedName>
    <definedName name="wrn.Income._.Statement_Operating." hidden="1">{"Print",#N/A,FALSE,"Income Statement - Operating";"Print",#N/A,FALSE,"Income Statement - %Revenue";"Print",#N/A,FALSE,"Year-over-Year Growth";"Print",#N/A,FALSE,"Sequential Growth"}</definedName>
    <definedName name="wrn.income._.statements." hidden="1">{#N/A,#N/A,FALSE,"1996PL";#N/A,#N/A,FALSE,"1997PL";#N/A,#N/A,FALSE,"1998PL";#N/A,#N/A,FALSE,"1999PL"}</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PRE." hidden="1">{"INCPRE2000",#N/A,FALSE,"BL2000"}</definedName>
    <definedName name="wrn.INDEPS." hidden="1">{"page1",#N/A,FALSE,"TIND_CC1";"page2",#N/A,FALSE,"TIND_CC1";"page3",#N/A,FALSE,"TIND_CC1";"page4",#N/A,FALSE,"TIND_CC1";"page5",#N/A,FALSE,"TIND_CC1"}</definedName>
    <definedName name="wrn.indirect._.labor." hidden="1">{"indirect labor",#N/A,FALSE,"labor"}</definedName>
    <definedName name="wrn.indirect_labor23" hidden="1">{"indirect labor",#N/A,FALSE,"labor"}</definedName>
    <definedName name="wrn.Industry.xls." hidden="1">{#N/A,#N/A,FALSE,"Earnings";#N/A,#N/A,FALSE,"Overview";#N/A,#N/A,FALSE,"Summary";#N/A,#N/A,FALSE,"Summary II";#N/A,#N/A,FALSE,"R&amp;D";#N/A,#N/A,FALSE,"R&amp;D Forecast";#N/A,#N/A,FALSE,"Tax Adj";#N/A,#N/A,FALSE,"Goodwill";#N/A,#N/A,FALSE,"FX ";#N/A,#N/A,FALSE,"Consolidation";#N/A,#N/A,FALSE,"Provisions"}</definedName>
    <definedName name="wrn.Infectious._.Diseases." hidden="1">{#N/A,#N/A,FALSE,"Anti";#N/A,#N/A,FALSE,"Cefa";#N/A,#N/A,FALSE,"Ceph";#N/A,#N/A,FALSE,"Cefp";#N/A,#N/A,FALSE,"Cefe";#N/A,#N/A,FALSE,"Pens";#N/A,#N/A,FALSE,"Ampi";#N/A,#N/A,FALSE,"Amox";#N/A,#N/A,FALSE,"Isox";#N/A,#N/A,FALSE,"Aztr";#N/A,#N/A,FALSE,"Videx";#N/A,#N/A,FALSE,"Zerit"}</definedName>
    <definedName name="wrn.InfoMemoPhotosMapsPlans." hidden="1">{#N/A,#N/A,FALSE,"Photos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rmes." hidden="1">{#N/A,#N/A,FALSE,"CN Oficial RESUMIDA EXCanon";#N/A,#N/A,FALSE,"CN Oficial";#N/A,#N/A,FALSE,"CA Oficial";#N/A,#N/A,FALSE,"PLANTILLA";#N/A,#N/A,FALSE,"BAL";#N/A,#N/A,FALSE,"PT_Finanzas";#N/A,#N/A,FALSE,"INVERSIONES BIEN"}</definedName>
    <definedName name="wrn.Input." hidden="1">{"données",#N/A,FALSE,"Input"}</definedName>
    <definedName name="wrn.Input._.and._.Cash._.Flow." hidden="1">{"print area 10yr",#N/A,FALSE,"Input";"print area 10yr cash flow",#N/A,FALSE,"TICA_EC"}</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only." hidden="1">{"print area 10yr",#N/A,FALSE,"Input"}</definedName>
    <definedName name="wrn.Inputs." hidden="1">{"Input1",#N/A,FALSE,"PF";"Input2",#N/A,FALSE,"PF";"Input3",#N/A,FALSE,"PF"}</definedName>
    <definedName name="wrn.Inputsheet_ProjectInput." hidden="1">{"ProjectInput",#N/A,FALSE,"INPUT-AREA"}</definedName>
    <definedName name="wrn.Instructor._.Tips." hidden="1">{"Area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name="wrn.INTANGIBLES." hidden="1">{#N/A,#N/A,FALSE,"T-1 Intangibles"}</definedName>
    <definedName name="wrn.INTEREST." hidden="1">{#N/A,#N/A,FALSE,"0700 Interest Expense";#N/A,#N/A,FALSE,"0700-1 Summary of Interest Earn"}</definedName>
    <definedName name="wrn.Internal." hidden="1">{"EPS and CF",#N/A,FALSE;"Ops and Stats",#N/A,FALSE}</definedName>
    <definedName name="wrn.international." hidden="1">{"sweden",#N/A,FALSE,"Sweden";"germany",#N/A,FALSE,"Germany";"portugal",#N/A,FALSE,"Portugal";"belgium",#N/A,FALSE,"Belgium";"japan",#N/A,FALSE,"Japan ";"italy",#N/A,FALSE,"Italy";"spain",#N/A,FALSE,"Spain";"korea",#N/A,FALSE,"Korea"}</definedName>
    <definedName name="wrn.International._.Monthly." hidden="1">{"incstmtim",#N/A,TRUE,"Inc Stmt (I)";"balshtim",#N/A,TRUE,"Bal Sheet (I)";"scfim",#N/A,TRUE,"Cash Flow (I)";"capsummim",#N/A,TRUE,"Cap Summ (I)";"assumim",#N/A,TRUE,"Assum (I)"}</definedName>
    <definedName name="wrn.International._.Quarterly." hidden="1">{"forecastiq",#N/A,TRUE,"Forecast (I)";"incstmtiq",#N/A,TRUE,"Inc Stmt (I)";"balshtiq",#N/A,TRUE,"Bal Sheet (I)";"scfiq",#N/A,TRUE,"Cash Flow (I)";"incmcfiq",#N/A,TRUE,"Inc mcf (I)";"assumiq",#N/A,TRUE,"Assum (I)"}</definedName>
    <definedName name="wrn.International._.Totals." hidden="1">{"International Total",#N/A,FALSE,"Sheet1";"Mexico (5)",#N/A,FALSE,"Sheet1";"Mexico (37)",#N/A,FALSE,"Sheet1";"Puerto Rico (10)",#N/A,FALSE,"Sheet1"}</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VENTORY." hidden="1">{#N/A,#N/A,FALSE,"F-1 Inventory Price Test-RM";#N/A,#N/A,FALSE,"F-2 Inventory-Test Count"}</definedName>
    <definedName name="wrn.Investment._.Summary." hidden="1">{#N/A,#N/A,TRUE,"Summary";#N/A,#N/A,TRUE,"Financials";#N/A,#N/A,TRUE,"Assumptions";#N/A,#N/A,TRUE,"Pro Forma";#N/A,#N/A,TRUE,"Debt";#N/A,#N/A,TRUE,"Amortization";#N/A,#N/A,TRUE,"GG Returns"}</definedName>
    <definedName name="wrn.invpln." hidden="1">{#N/A,#N/A,FALSE,"invpln"}</definedName>
    <definedName name="wrn.invpln2" hidden="1">{#N/A,#N/A,FALSE,"invpln"}</definedName>
    <definedName name="wrn.invpln3" hidden="1">{#N/A,#N/A,FALSE,"invpln"}</definedName>
    <definedName name="wrn.invpln5" hidden="1">{#N/A,#N/A,FALSE,"invpln"}</definedName>
    <definedName name="wrn.IPIX." hidden="1">{#N/A,#N/A,FALSE,"Report Print"}</definedName>
    <definedName name="wrn.IPO." hidden="1">{#N/A,#N/A,FALSE,"Summary";#N/A,#N/A,FALSE,"Jan'97";#N/A,#N/A,FALSE,"Feb'97";#N/A,#N/A,FALSE,"Mar'97";#N/A,#N/A,FALSE,"Apr'97";#N/A,#N/A,FALSE,"May'97";#N/A,#N/A,FALSE,"Jun'97";#N/A,#N/A,FALSE,"Jul'97";#N/A,#N/A,FALSE,"Aug'97";#N/A,#N/A,FALSE,"Sept'97";#N/A,#N/A,FALSE,"Oct'97";#N/A,#N/A,FALSE,"Nov'97";#N/A,#N/A,FALSE,"Dec'97";#N/A,#N/A,FALSE,"Pending"}</definedName>
    <definedName name="wrn.IPO._.1998." hidden="1">{#N/A,#N/A,FALSE,"Summary";#N/A,#N/A,FALSE,"Pending";#N/A,#N/A,FALSE,"Jan'98";#N/A,#N/A,FALSE,"Feb'98";#N/A,#N/A,FALSE,"Mar'98";#N/A,#N/A,FALSE,"Apr'98";#N/A,#N/A,FALSE,"May'98";#N/A,#N/A,FALSE,"June'98";#N/A,#N/A,FALSE,"July'98"}</definedName>
    <definedName name="wrn.IPO._.Analysis." hidden="1">{#N/A,#N/A,FALSE,"Summary";#N/A,#N/A,FALSE,"Pending";#N/A,#N/A,FALSE,"Oct'97";#N/A,#N/A,FALSE,"Sept'97";#N/A,#N/A,FALSE,"Aug'97";#N/A,#N/A,FALSE,"Jul'97";#N/A,#N/A,FALSE,"Jun'97";#N/A,#N/A,FALSE,"May'97";#N/A,#N/A,FALSE,"Apr'97";#N/A,#N/A,FALSE,"Mar'97";#N/A,#N/A,FALSE,"Feb'97";#N/A,#N/A,FALSE,"Jan'97"}</definedName>
    <definedName name="wrn.IPO._.Valuation." hidden="1">{"assumptions",#N/A,FALSE,"Scenario 1";"valuation",#N/A,FALSE,"Scenario 1"}</definedName>
    <definedName name="wrn.ipovalue." hidden="1">{#N/A,#N/A,FALSE,"puboff";#N/A,#N/A,FALSE,"valuation";#N/A,#N/A,FALSE,"finanalsis";#N/A,#N/A,FALSE,"split";#N/A,#N/A,FALSE,"ownership"}</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RR." hidden="1">{#N/A,#N/A,FALSE,"IRR"}</definedName>
    <definedName name="wrn.ISAnnualModel." hidden="1">{"AnnModel",#N/A,FALSE,"IS"}</definedName>
    <definedName name="wrn.ISCG._.model." hidden="1">{#N/A,#N/A,FALSE,"Second";#N/A,#N/A,FALSE,"ownership";#N/A,#N/A,FALSE,"Valuation";#N/A,#N/A,FALSE,"Eqiv";#N/A,#N/A,FALSE,"Mults";#N/A,#N/A,FALSE,"ISCG Graphics"}</definedName>
    <definedName name="wrn.ISQtrModel." hidden="1">{"QtrModel",#N/A,FALSE,"IS"}</definedName>
    <definedName name="wrn.ISRAEL." hidden="1">{#N/A,#N/A,FALSE,"TECH CENTRE RXDU66";#N/A,#N/A,FALSE,"ASU VAAX66";#N/A,#N/A,FALSE,"TCM VAKX66"}</definedName>
    <definedName name="wrn.Italy." hidden="1">{#N/A,#N/A,FALSE,"Italy";#N/A,#N/A,FALSE,"Aperol Italy";#N/A,#N/A,FALSE,"Aperol Soda Italy";#N/A,#N/A,FALSE,"Spumanti";#N/A,#N/A,FALSE,"Barbieri Liqueur Italy";#N/A,#N/A,FALSE,"Others Italy"}</definedName>
    <definedName name="wrn.IVTI_Rep." hidden="1">{#N/A,#N/A,FALSE,"Title Page";#N/A,#N/A,FALSE,"Summary Sheet";#N/A,#N/A,FALSE,"Fiscal Year Income Statement";#N/A,#N/A,FALSE,"Valuation Summary";#N/A,#N/A,FALSE,"Comps with IVT";#N/A,#N/A,FALSE,"Comps without IVT"}</definedName>
    <definedName name="wrn.JANI._.REBATES." hidden="1">{"TOTAL",#N/A,FALSE,"A";"FISCAL94",#N/A,FALSE,"A";"FISCAL95",#N/A,FALSE,"A";"FISCAL96",#N/A,FALSE,"A";"misc page",#N/A,FALSE,"A"}</definedName>
    <definedName name="wrn.JANUARY." hidden="1">{"JANUARY",#N/A,FALSE,"Q3"}</definedName>
    <definedName name="wrn.Japan._.Data." hidden="1">{"Analysis1Q95",#N/A,FALSE,"Japan";"Analysis2Q95",#N/A,FALSE,"Japan";"Analysis1H95",#N/A,FALSE,"Japan";"Data",#N/A,FALSE,"Japan";"Margin Summary",#N/A,FALSE,"Japan";"Sales Summary",#N/A,FALSE,"Japan"}</definedName>
    <definedName name="wrn.jcbsum." hidden="1">{#N/A,#N/A,FALSE,"Finstmts";#N/A,#N/A,FALSE,"Lost Revenue";#N/A,#N/A,FALSE,"Ratios"}</definedName>
    <definedName name="wrn.Jeff._.Standalone." hidden="1">{#N/A,#N/A,TRUE,"Acquirer_Cases_Input";#N/A,#N/A,TRUE,"Acquirer_Input";#N/A,#N/A,TRUE,"Acquirer"}</definedName>
    <definedName name="wrn.jev." hidden="1">{"prt_jev",#N/A,FALSE,"Sheet1"}</definedName>
    <definedName name="wrn.JG._.FE._.Dollar." hidden="1">{"JG FE Top",#N/A,FALSE,"JG FE $";"JG FE Bottom",#N/A,FALSE,"JG FE $"}</definedName>
    <definedName name="wrn.JG._.FE._.Yen." hidden="1">{"JG FE Top",#N/A,FALSE,"JG FE ¥";"JG FE Bottom",#N/A,FALSE,"JG FE ¥"}</definedName>
    <definedName name="wrn.JODM._.Graphs." hidden="1">{"graph",#N/A,FALSE,"WWJU";"graph",#N/A,FALSE,"WWSEM";"graph",#N/A,FALSE,"GOMJU";"graph",#N/A,FALSE,"GOMSEM";"graph",#N/A,FALSE,"NSJU";"graph",#N/A,FALSE,"NSSEM";"graph",#N/A,FALSE,"WAJU";"graph",#N/A,FALSE,"STOCKPRI";"graph",#N/A,FALSE,"CFTEV";"graph",#N/A,FALSE,"NAV-RCV";"graph",#N/A,FALSE,"CRUDEWW"}</definedName>
    <definedName name="wrn.juegocompleto." hidden="1">{#N/A,#N/A,FALSE,"ingtemysat";#N/A,#N/A,FALSE,"ingtemycab";#N/A,#N/A,FALSE,"Hipoproy9807";#N/A,#N/A,FALSE,"unineg";#N/A,#N/A,FALSE,"detall9807";#N/A,#N/A,FALSE,"costohora";#N/A,"tasa de repetición de 12",FALSE,"costotitulo";#N/A,"tasa de repetición de 10",FALSE,"costotitulo"}</definedName>
    <definedName name="wrn.JUL." hidden="1">{#N/A,#N/A,FALSE,"JUL"}</definedName>
    <definedName name="wrn.JULY." hidden="1">{"Q1JUL",#N/A,FALSE,"Q1"}</definedName>
    <definedName name="wrn.JUN." hidden="1">{"JUN",#N/A,FALSE,"JUN"}</definedName>
    <definedName name="wrn.JUNE." hidden="1">{"JUNE",#N/A,FALSE,"Q4"}</definedName>
    <definedName name="wrn.Just._.Sorts." hidden="1">{#N/A,#N/A,FALSE,"Hi";#N/A,#N/A,FALSE,"Lo";#N/A,#N/A,FALSE,"Mkt. Cap";#N/A,#N/A,FALSE,"Alpha"}</definedName>
    <definedName name="wrn.JV._.Budget._.Summary." hidden="1">{#N/A,#N/A,FALSE,"10yr Plan Inputs";#N/A,#N/A,FALSE,"10yr Plan Results";#N/A,#N/A,FALSE,"JV Cost Splits";#N/A,#N/A,FALSE,"JV Variable Costs";#N/A,#N/A,FALSE,"JV Fixed Costs";#N/A,#N/A,FALSE,"Dow Alt Cost 98";#N/A,#N/A,FALSE,"Case Summary"}</definedName>
    <definedName name="wrn.K." hidden="1">{#N/A,#N/A,FALSE,"K"}</definedName>
    <definedName name="wrn.K._" hidden="1">{"K GuV o. Kommentar",#N/A,FALSE,"Kaufhof"}</definedName>
    <definedName name="wrn.K._.GuV._.o.._.Kommentar." hidden="1">{"K GuV o. Kommentar",#N/A,FALSE,"Kaufhof"}</definedName>
    <definedName name="wrn.K.M.C.._.Anlagen." hidden="1">{#N/A,#N/A,FALSE,"A1-BILANZ";#N/A,#N/A,FALSE,"A2-GUV";#N/A,#N/A,FALSE,"A3-AV ";#N/A,#N/A,FALSE,"A5-E-BILANZ";#N/A,#N/A,FALSE,"A5-E-GUV";#N/A,#N/A,FALSE,"A6-E-AV"}</definedName>
    <definedName name="wrn.K3._.Annual." hidden="1">{"K3Cash",#N/A,FALSE,"Ann";"K3Income",#N/A,FALSE,"Ann";"K3Educ",#N/A,FALSE,"Ann";"K3media",#N/A,FALSE,"Ann";"K3Info",#N/A,FALSE,"Ann";"K3Valuation",#N/A,FALSE,"Ann"}</definedName>
    <definedName name="wrn.K3._.Quarterly." hidden="1">{"K3 first",#N/A,FALSE,"Qtr.";"K3 second",#N/A,FALSE,"Qtr.";"K3 Third",#N/A,FALSE,"Qtr.";"K3 Fourth",#N/A,FALSE,"Qtr.";"K3 Full",#N/A,FALSE,"Qtr."}</definedName>
    <definedName name="wrn.KBilanz._.o.._.Kommentar." hidden="1">{"K Bilanz o. Kommentar",#N/A,FALSE,"Kaufhof"}</definedName>
    <definedName name="wrn.ke." hidden="1">{"ke1",#N/A,FALSE,"B";"ke2",#N/A,FALSE,"B";"ke3",#N/A,FALSE,"B"}</definedName>
    <definedName name="wrn.kekto." hidden="1">{"kekto1",#N/A,FALSE,"C";"kekto2",#N/A,FALSE,"C";"kekto3",#N/A,FALSE,"C";"kekto4",#N/A,FALSE,"C";"kekto5",#N/A,FALSE,"C";"kekto6",#N/A,FALSE,"C";"kekto7",#N/A,FALSE,"C";"kekto8",#N/A,FALSE,"C";"kekto9",#N/A,FALSE,"C";"kekto10",#N/A,FALSE,"C";"kekto11",#N/A,FALSE,"C";"kekto 12",#N/A,FALSE,"C"}</definedName>
    <definedName name="wrn.Kenngb." localSheetId="54" hidden="1">{#N/A,#N/A,FALSE,"SKG_SC";#N/A,#N/A,FALSE,"SKG_KP";#N/A,#N/A,FALSE,"SCG_KC";#N/A,#N/A,FALSE,"SKG_PM";#N/A,#N/A,FALSE,"SKG_Asta";#N/A,#N/A,FALSE,"SKG_DE";#N/A,#N/A,FALSE,"SKG_FA";#N/A,#N/A,FALSE,"SKG_EM";#N/A,#N/A,FALSE,"SKG_AK";#N/A,#N/A,FALSE,"SKG_CER";#N/A,#N/A,FALSE,"SKG_BA";#N/A,#N/A,FALSE,"SKG_KO"}</definedName>
    <definedName name="wrn.Kenngb." localSheetId="55"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KIM" hidden="1">{"salaried",#N/A,FALSE,"VLD View (2)"}</definedName>
    <definedName name="wrn.kkk." hidden="1">{#N/A,#N/A,FALSE,"1. PTI Ziele";#N/A,#N/A,FALSE,"2. Zielkatalog ";#N/A,#N/A,FALSE,"3. Masterterminplan"}</definedName>
    <definedName name="wrn.KKK._.Review." hidden="1">{#N/A,#N/A,FALSE,"Cover";#N/A,#N/A,FALSE,"Profits";#N/A,#N/A,FALSE,"ABS";#N/A,#N/A,FALSE,"TFLE Detail";#N/A,#N/A,FALSE,"TFLE Walk";#N/A,#N/A,FALSE,"Variable Cost";#N/A,#N/A,FALSE,"V.C. Walk"}</definedName>
    <definedName name="wrn.KKW." hidden="1">{#N/A,#N/A,FALSE,"Cover";#N/A,#N/A,FALSE,"KKW Sum";#N/A,#N/A,FALSE,"KKW Basisdaten";#N/A,#N/A,FALSE,"DEPRKKW";#N/A,#N/A,FALSE,"Krü";#N/A,#N/A,FALSE,"Bru";#N/A,#N/A,FALSE,"Bro";#N/A,#N/A,FALSE,"Sta"}</definedName>
    <definedName name="wrn.komplett." hidden="1">{"TeleKomplett",#N/A,TRUE,"Tele";"gfKomplett",#N/A,TRUE,"Gf";"MktKomplett",#N/A,TRUE,"Mkt";"RTLTextKomplett",#N/A,TRUE,"RTLText";"ATXITVKomplett",#N/A,TRUE,"ATXITV";"TechKomplett",#N/A,TRUE,"Tech";"Pufferkomplett",#N/A,TRUE,"Puffer"}</definedName>
    <definedName name="wrn.Komplettausdruck." hidden="1">{#N/A,#N/A,FALSE,"Layout Aktiva";#N/A,#N/A,FALSE,"Layout Passiva";#N/A,#N/A,FALSE,"Layout GuV";#N/A,#N/A,FALSE,"Layout Cash Flow";#N/A,#N/A,FALSE,"Mittelherkunft";#N/A,#N/A,FALSE,"Mittelverwendung";#N/A,#N/A,FALSE,"Finanzbedarfsrechnung"}</definedName>
    <definedName name="wrn.kriall." hidden="1">{"kricash",#N/A,FALSE,"INC";"kriinc",#N/A,FALSE,"INC";"krimiami",#N/A,FALSE,"INC";"kriother",#N/A,FALSE,"INC";"kripapers",#N/A,FALSE,"INC"}</definedName>
    <definedName name="wrn.kue." hidden="1">{#N/A,#N/A,FALSE,"KUE-NBO"}</definedName>
    <definedName name="wrn.Kvartalsrapport." hidden="1">{#N/A,#N/A,TRUE,"RESULTATRÄKNING";#N/A,#N/A,TRUE,"BALANSRÄKNING";#N/A,#N/A,TRUE,"BALANSRÄKNING2";#N/A,#N/A,TRUE,"Bilaga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name="wrn.LA._.SA." hidden="1">{"PnL",#N/A,FALSE,"Gas LA SA P&amp;L";"Responsibility",#N/A,FALSE,"Gas LA SA P&amp;L";"Cost Control",#N/A,FALSE,"Gas LA SA P&amp;L";"Program List",#N/A,FALSE,"Gas LA SA P&amp;L"}</definedName>
    <definedName name="wrn.labor." hidden="1">{"labor",#N/A,FALSE,"Actual -vs- Budget"}</definedName>
    <definedName name="wrn.labor2" hidden="1">{"direct labor",#N/A,FALSE,"labor";"direct labor1",#N/A,FALSE,"labor"}</definedName>
    <definedName name="wrn.labor3" hidden="1">{"indirect labor",#N/A,FALSE,"labor"}</definedName>
    <definedName name="wrn.labor7" hidden="1">{"indirect labor",#N/A,FALSE,"labor"}</definedName>
    <definedName name="wrn.laborsumary4" hidden="1">{"summary",#N/A,FALSE,"labor"}</definedName>
    <definedName name="wrn.laborsummary." hidden="1">{"summary",#N/A,FALSE,"labor"}</definedName>
    <definedName name="wrn.laborsummary2" hidden="1">{"summary",#N/A,FALSE,"labor"}</definedName>
    <definedName name="wrn.laborsummary5" hidden="1">{"summary",#N/A,FALSE,"labor"}</definedName>
    <definedName name="wrn.lbo." hidden="1">{"a",#N/A,FALSE,"LBO - 100%, No Sales";"aa",#N/A,FALSE,"LBO - 100%, No Sales";"aaa",#N/A,FALSE,"LBO - 100%, No Sales";"aaaa",#N/A,FALSE,"LBO - 100%, No Sales";"aaaaa",#N/A,FALSE,"LBO - 100%, No Sales";"aaaaaa",#N/A,FALSE,"LBO - 100%, No Sales";"aaaaaaa",#N/A,FALSE,"LBO - 100%, No Sales";"aaaaaaaa",#N/A,FALSE,"LBO - 100%, No Sales"}</definedName>
    <definedName name="wrn.LBO._.Summary." hidden="1">{"LBO Summary",#N/A,FALSE,"Summary"}</definedName>
    <definedName name="wrn.lbo2." hidden="1">{"a",#N/A,FALSE,"LBO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name="wrn.lbo3." hidden="1">{"a",#N/A,FALSE,"LBO - 100%, Sell C,CT 98......";"aa",#N/A,FALSE,"LBO - 100%, Sell C,CT 98......";"aaa",#N/A,FALSE,"LBO - 100%, Sell C,CT 98......";"aaaa",#N/A,FALSE,"LBO - 100%, Sell C,CT 98......";"aaaaa",#N/A,FALSE,"LBO - 100%, Sell C,CT 98......";"aaaaaa",#N/A,FALSE,"LBO - 100%, Sell C,CT 98......"}</definedName>
    <definedName name="wrn.LC._.COST." hidden="1">{"LCCOST",#N/A,FALSE,"FC-3 "}</definedName>
    <definedName name="wrn.LC._.FC3." hidden="1">{"LCFC3",#N/A,FALSE,"FC-3 "}</definedName>
    <definedName name="wrn.Lead._.Sheet."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gal." hidden="1">{"long",#N/A,FALSE,"ESC"}</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FE._.INS.._.LOANS." hidden="1">{#N/A,#N/A,FALSE,"TT-1 Officers' Life Insurance"}</definedName>
    <definedName name="wrn.Line._.Efficiency." hidden="1">{"Line Efficiency",#N/A,FALSE,"Benchmarking"}</definedName>
    <definedName name="wrn.list" hidden="1">{"weichwaren",#N/A,FALSE,"Liste 1";"hartwaren",#N/A,FALSE,"Liste 1";"food",#N/A,FALSE,"Liste 1";"fleisch",#N/A,FALSE,"Liste 1"}</definedName>
    <definedName name="wrn.LISTE." hidden="1">{"weichwaren",#N/A,FALSE,"Liste 1";"hartwaren",#N/A,FALSE,"Liste 1";"food",#N/A,FALSE,"Liste 1";"fleisch",#N/A,FALSE,"Liste 1"}</definedName>
    <definedName name="wrn.LJD._.Review._.1." hidden="1">{"LJD 1",#N/A,FALSE,"Master";"LJD 2",#N/A,FALSE,"Sheet2";"LJD 3",#N/A,FALSE,"Sheet1";"LJD 4",#N/A,FALSE,"Sheet3";"LJD 5",#N/A,FALSE,"Sheet4"}</definedName>
    <definedName name="wrn.LM._.Gear." hidden="1">{"LM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oans." hidden="1">{"Summary report",#N/A,FALSE,"BBH";"Details - chart",#N/A,FALSE,"BBH"}</definedName>
    <definedName name="wrn.LOB." hidden="1">{"grossprem(LOB)",#N/A,FALSE,"TEMPLATE";"gpwgrowth(LOB)",#N/A,FALSE,"TEMPLATE";"retention(LOB)",#N/A,FALSE,"TEMPLATE";"netprem(LOB)",#N/A,FALSE,"TEMPLATE";"npwgrowth(LOB)",#N/A,FALSE,"TEMPLATE";"premearned(LOB)",#N/A,FALSE,"TEMPLATE";"lossratio(LOB)",#N/A,FALSE,"TEMPLATE";"commratio(LOB)",#N/A,FALSE,"TEMPLATE";"uwratio(LOB)",#N/A,FALSE,"TEMPLATE";"expenseratio(LOB)",#N/A,FALSE,"TEMPLATE";"combined(LOB)",#N/A,FALSE,"TEMPLATE";"savings(LOB)",#N/A,FALSE,"TEMPLATE";"GAAPexpense(LOB)",#N/A,FALSE,"TEMPLATE";"GAAPcombined(LOB)",#N/A,FALSE,"TEMPLATE";"DAC%(LOB)",#N/A,FALSE,"TEMPLATE";"DAC$(LOB)",#N/A,FALSE,"TEMPLATE";"lossdoll(LOB)",#N/A,FALSE,"TEMPLATE";"uwexpgrowth(LOB)",#N/A,FALSE,"TEMPLATE";"uwdoll(LOB)",#N/A,FALSE,"TEMPLATE";"commdoll(LOB)",#N/A,FALSE,"TEMPLATE";"expensedoll(LOB)",#N/A,FALSE,"TEMPLATE"}</definedName>
    <definedName name="wrn.London._.Regional._.Commitee." hidden="1">{#N/A,#N/A,FALSE,"HEADER SHEET";#N/A,#N/A,FALSE,"A402";#N/A,#N/A,FALSE,"S150"}</definedName>
    <definedName name="wrn.london._regional._.committee." hidden="1">{#N/A,#N/A,FALSE,"HEADER SHEET";#N/A,#N/A,FALSE,"A402";#N/A,#N/A,FALSE,"S150"}</definedName>
    <definedName name="wrn.LONG._.TERM._.DEBT." hidden="1">{#N/A,#N/A,FALSE,"MM-1 Long Term Debt"}</definedName>
    <definedName name="wrn.LOOKUP._.TABLE." hidden="1">{"LOOKUP TABLE",#N/A,FALSE,"FC-3 "}</definedName>
    <definedName name="wrn.LPNL." hidden="1">{"LPNL1",#N/A,FALSE,"EntitiesWithReclasses";"LPNL2",#N/A,FALSE,"EntitiesWithReclasses";"LPNL3",#N/A,FALSE,"EntitiesWithReclasses"}</definedName>
    <definedName name="wrn.LUP._.04._.Vertrieb." hidden="1">{#N/A,#N/A,FALSE,"V3 Stab-Geb Index";#N/A,#N/A,FALSE,"Vertrieb";#N/A,#N/A,FALSE,"V Daten";#N/A,#N/A,FALSE,"V-Z-Index";#N/A,#N/A,FALSE,"V-1 Daten";#N/A,#N/A,FALSE,"V-1 Index";#N/A,#N/A,FALSE,"V-2 Index";#N/A,#N/A,FALSE,"V-3 Daten";#N/A,#N/A,FALSE,"V3 Stab-Geb Index";#N/A,#N/A,FALSE,"V-3 VG's Index";#N/A,#N/A,FALSE,"V-4 Index";#N/A,#N/A,FALSE,"V-5 Index"}</definedName>
    <definedName name="wrn.M.O.S.._.Charts." hidden="1">{#N/A,#N/A,FALSE,"Line FSB";#N/A,#N/A,FALSE,"Line FSC";#N/A,#N/A,FALSE,"Line RSB";#N/A,#N/A,FALSE,"Line RSC";#N/A,#N/A,FALSE,"Final";#N/A,#N/A,FALSE,"SCRAP";#N/A,#N/A,FALSE,"GM DPPM"}</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gicrep." hidden="1">{"sub1",#N/A,FALSE,"Subs";"pac1",#N/A,FALSE,"Packages";"rev1",#N/A,FALSE,"2. Revenues"}</definedName>
    <definedName name="wrn.main." hidden="1">{#N/A,#N/A,FALSE,"Finstmts";#N/A,#N/A,FALSE,"O&amp;M and Cap";#N/A,#N/A,FALSE,"Fuel";#N/A,#N/A,FALSE,"Gen Dat";#N/A,#N/A,FALSE,"Lost Revenue";#N/A,#N/A,FALSE,"Ratios"}</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tenance." hidden="1">{#N/A,#N/A,FALSE,"Main"}</definedName>
    <definedName name="wrn.Management._.Accounts." hidden="1">{#N/A,#N/A,TRUE,"P&amp;L";#N/A,#N/A,TRUE,"balsheet";#N/A,#N/A,TRUE,"Notes - Sales-COS";#N/A,#N/A,TRUE,"Expenses";#N/A,#N/A,TRUE,"f assets";#N/A,#N/A,TRUE,"bs anal";#N/A,#N/A,TRUE,"mcer";#N/A,#N/A,TRUE,"Packing";#N/A,#N/A,TRUE,"Gross Profit";#N/A,#N/A,TRUE,"Gross Profit - Non chiq";#N/A,#N/A,TRUE,"P&amp;L - MKD"}</definedName>
    <definedName name="wrn.Management._.Accounts._.2002." hidden="1">{"Ratios",#N/A,FALSE,"Management Accounts";"I &amp; E Summary",#N/A,FALSE,"Management Accounts";"I &amp; E Turnover",#N/A,FALSE,"Management Accounts";"I &amp; E Op Costs 1",#N/A,FALSE,"Management Accounts";"I &amp; E Op Costs 2",#N/A,FALSE,"Management Accounts";"I &amp; E Sales",#N/A,FALSE,"Management Accounts";"I &amp; E Interest",#N/A,FALSE,"Management Accounts";"BS",#N/A,FALSE,"Management Accounts";"FA:HP",#N/A,FALSE,"Management Accounts";"FA:Other",#N/A,FALSE,"Management Accounts";"Debtors",#N/A,FALSE,"Management Accounts";"Cash Flow",#N/A,FALSE,"Management Accounts";"Dev Exp",#N/A,FALSE,"Management Accounts";"Dev SHG",#N/A,FALSE,"Management Accounts"}</definedName>
    <definedName name="wrn.Management._.Accounts._.2004." hidden="1">{"I &amp; E Summary",#N/A,FALSE,"Management Accounts";"I &amp; E Turnover",#N/A,FALSE,"Management Accounts";"I &amp; E Op Costs 1",#N/A,FALSE,"Management Accounts";"I &amp; E Op Costs 2",#N/A,FALSE,"Management Accounts";"I &amp; E Sales",#N/A,FALSE,"Management Accounts";"I &amp; E Interest",#N/A,FALSE,"Management Accounts";"Balance Sheet",#N/A,FALSE,"Management Accounts";"Other Assets",#N/A,FALSE,"Management Accounts";"Development",#N/A,FALSE,"Dev Report";"Cash Flow",#N/A,FALSE,"New CF"}</definedName>
    <definedName name="wrn.MANAGEMENT._.COSTS." hidden="1">{"MANAGEMENT COSTS",#N/A,FALSE,"C.CENTRE"}</definedName>
    <definedName name="wrn.MANAGEMENT._.PACK._.2." hidden="1">{"LEVEL1","UKCONSGAAP",TRUE,"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name="wrn.Mappen._.gesamt." hidden="1">{#N/A,#N/A,FALSE,"Z3 1,8i";#N/A,#N/A,FALSE,"Z3 1,9iS";#N/A,#N/A,FALSE,"Z3 2,8i";#N/A,#N/A,FALSE,"Z3 2,8i Coupé"}</definedName>
    <definedName name="wrn.MAR." hidden="1">{"MAR",#N/A,FALSE,"MAR"}</definedName>
    <definedName name="wrn.MARCH." hidden="1">{"MARCH",#N/A,FALSE,"Q3"}</definedName>
    <definedName name="wrn.March._.Financials." hidden="1">{"Statement of Income",#N/A,TRUE,"Mar99";"Balance Sheet",#N/A,TRUE,"Mar99"}</definedName>
    <definedName name="wrn.Margins." hidden="1">{#N/A,#N/A,FALSE,"Margins - GrossR&amp;D";#N/A,#N/A,FALSE,"Margins - sg&amp;a";#N/A,#N/A,FALSE,"Margins - Oper-net"}</definedName>
    <definedName name="wrn.market._.share." hidden="1">{#N/A,#N/A,FALSE,"Bestfoods";#N/A,#N/A,FALSE,"Campbell";#N/A,#N/A,FALSE,"ConAgra";#N/A,#N/A,FALSE,"Healthy Choice";#N/A,#N/A,FALSE,"Int'l Home Foods";#N/A,#N/A,FALSE,"General Mills";#N/A,#N/A,FALSE,"Heinz";#N/A,#N/A,FALSE,"Kellogg";#N/A,#N/A,FALSE,"Kraft";#N/A,#N/A,FALSE,"Nabisco";#N/A,#N/A,FALSE,"Quaker Oats";#N/A,#N/A,FALSE,"Sara Lee";#N/A,#N/A,FALSE,"print summary"}</definedName>
    <definedName name="wrn.MARKETABLE._.SEC.." hidden="1">{#N/A,#N/A,FALSE,"B-1 Mkt. Sec. - Int.";#N/A,#N/A,FALSE,"B-2 Mkt. Sec. - Val.";#N/A,#N/A,FALSE,"B-3 Mkt. Sec. - Gain (Loss)"}</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 hidden="1">{#N/A,#N/A,FALSE,"SUMMARY";#N/A,#N/A,FALSE,"mcsh";#N/A,#N/A,FALSE,"vol&amp;rev";#N/A,#N/A,FALSE,"wkgcap";#N/A,#N/A,FALSE,"DEPR&amp;DT";#N/A,#N/A,FALSE,"ASSETS";#N/A,#N/A,FALSE,"NI&amp;OTH&amp;DIV";#N/A,#N/A,FALSE,"CASHFLOW";#N/A,#N/A,FALSE,"CAPEMPL";#N/A,#N/A,FALSE,"ROCE"}</definedName>
    <definedName name="wrn.Master_Income." hidden="1">{"Annual_Income",#N/A,FALSE,"Master Model";"Quarterly_Income",#N/A,FALSE,"Master Model"}</definedName>
    <definedName name="wrn.material." hidden="1">{"MATERIAL",#N/A,FALSE,"material"}</definedName>
    <definedName name="wrn.material.." hidden="1">{"MATERIAL",#N/A,FALSE,"material"}</definedName>
    <definedName name="wrn.material2" hidden="1">{"MATERIAL",#N/A,FALSE,"material"}</definedName>
    <definedName name="wrn.material3" hidden="1">{"MATERIAL",#N/A,FALSE,"material"}</definedName>
    <definedName name="wrn.material4" hidden="1">{"MATERIAL",#N/A,FALSE,"material"}</definedName>
    <definedName name="wrn.material5" hidden="1">{"MATERIAL",#N/A,FALSE,"material"}</definedName>
    <definedName name="wrn.MAY." hidden="1">{"MAY",#N/A,FALSE,"Q4"}</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95." hidden="1">{#N/A,#N/A,FALSE,"MAY";#N/A,#N/A,FALSE,"Q2";#N/A,#N/A,FALSE,"YTD"}</definedName>
    <definedName name="wrn.may959" hidden="1">{#N/A,#N/A,FALSE,"MAY";#N/A,#N/A,FALSE,"Q2";#N/A,#N/A,FALSE,"YTD"}</definedName>
    <definedName name="wrn.MCCRK." hidden="1">{#N/A,#N/A,FALSE,"MCCRK"}</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mo." hidden="1">{#N/A,#N/A,TRUE,"financial";#N/A,#N/A,TRUE,"plants"}</definedName>
    <definedName name="wrn.MENSUALES." hidden="1">{"CTO MES ACTUAL",#N/A,FALSE,"BASE ANEXOS";"VAR MES ACT",#N/A,FALSE,"BASE ANEXOS"}</definedName>
    <definedName name="wrn.merge." hidden="1">{#N/A,#N/A,FALSE,"IPO";#N/A,#N/A,FALSE,"DCF";#N/A,#N/A,FALSE,"LBO";#N/A,#N/A,FALSE,"MULT_VAL";#N/A,#N/A,FALSE,"Status Quo";#N/A,#N/A,FALSE,"Recap"}</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F._.commentary._.on._.variance." hidden="1">{"Commentary",#N/A,FALSE,"May"}</definedName>
    <definedName name="wrn.MF._.with._.BA._.detail." hidden="1">{"BA detail",#N/A,FALSE,"Q3YTD "}</definedName>
    <definedName name="wrn.MFG._.Monthly._.Views." hidden="1">{"MFG Monthly View",#N/A,FALSE,"Mfgs. Only";"400 Monthly View",#N/A,FALSE,"400";"410 Monthly View",#N/A,FALSE,"410";"420 Monthly View",#N/A,FALSE,"420";"435 Monthly View",#N/A,FALSE,"430";"435 Monthly View",#N/A,FALSE,"435"}</definedName>
    <definedName name="wrn.MFG._.Qrtly._.Views." hidden="1">{"MFG Qrtly View pg1",#N/A,FALSE,"Mfgs. Only";"MFG Qrtly View Pg2",#N/A,FALSE,"Mfgs. Only";"MFG Qrtly View pg3",#N/A,FALSE,"Mfgs. Only";"400 Qrtly View",#N/A,FALSE,"400";"410 Qrtly View",#N/A,FALSE,"410";"420 Qrtly View",#N/A,FALSE,"420";"430 Qrtly View",#N/A,FALSE,"430";"435 Qrtly View",#N/A,FALSE,"435"}</definedName>
    <definedName name="wrn.MgtAccs." hidden="1">{#N/A,#N/A,FALSE,"Consol";#N/A,#N/A,FALSE,"F&amp;P";#N/A,#N/A,FALSE,"HK";#N/A,#N/A,FALSE,"Sing";#N/A,#N/A,FALSE,"GmbH";#N/A,#N/A,FALSE,"ODS"}</definedName>
    <definedName name="wrn.mhpall." hidden="1">{"mhpcash",#N/A,FALSE,"MHPNEWX";"mhpinc",#N/A,FALSE,"MHPNEWX";"mhptax",#N/A,FALSE,"MHPNEWX";"mhpbroad",#N/A,FALSE,"MHPNEWX";"mhpeduc",#N/A,FALSE,"MHPNEWX";"mhpfin",#N/A,FALSE,"MHPNEWX";"mhpinfo",#N/A,FALSE,"MHPNEWX"}</definedName>
    <definedName name="wrn.MI." hidden="1">{"MI",#N/A,FALSE,"A"}</definedName>
    <definedName name="wrn.MI1." hidden="1">{"MI1",#N/A,FALSE,"A"}</definedName>
    <definedName name="wrn.MIE._.Summary." hidden="1">{#N/A,#N/A,FALSE,"MIE Total";#N/A,#N/A,FALSE,"Japan";#N/A,#N/A,FALSE,"North America";#N/A,#N/A,FALSE,"Asia";#N/A,#N/A,FALSE,"Europe"}</definedName>
    <definedName name="wrn.Misc." hidden="1">{#N/A,#N/A,FALSE,"Misc"}</definedName>
    <definedName name="wrn.mkt_concprod." hidden="1">{"mkta",#N/A,FALSE,"mkt";"mktb",#N/A,FALSE,"mkt";"mktc",#N/A,FALSE,"mkt";"mktd",#N/A,FALSE,"mkt";"mktf",#N/A,FALSE,"mkt"}</definedName>
    <definedName name="wrn.mkt_plastics." hidden="1">{"mkte",#N/A,FALSE,"mkt"}</definedName>
    <definedName name="wrn.MOBA._.Results." hidden="1">{"Summary",#N/A,TRUE,"SUMMARY";"Market View",#N/A,TRUE,"MARKET";"Statistical Summary",#N/A,TRUE,"statistics";"Financial Ratios",#N/A,TRUE,"Ratios";"MacroMicro Assumptions",#N/A,TRUE,"MacroMicro";"Tariffs",#N/A,TRUE,"TARIFFS";"Net Present Valuation",#N/A,TRUE,"NPV";"Profit and Loss",#N/A,TRUE,"P&amp;L";"Balance Sheet",#N/A,TRUE,"BALANCE";"FCF",#N/A,TRUE,"FCF";"Flow of Funds",#N/A,TRUE,"Flow of Funds";"Finance",#N/A,TRUE,"Finance";"Valuation",#N/A,TRUE,"Value"}</definedName>
    <definedName name="wrn.MOBIL." hidden="1">{"quarter",#N/A,FALSE,"MOB"}</definedName>
    <definedName name="wrn.mobile." hidden="1">{#N/A,#N/A,FALSE,"Denmark";#N/A,#N/A,FALSE,"Denmark"}</definedName>
    <definedName name="wrn.MoD._.Summary." hidden="1">{"Summary sheet",#N/A,TRUE,"Output pres";"Proforma 1 and 2",#N/A,TRUE,"Ratios";"Proforma 3,4 and 5",#N/A,TRUE,"FS";"Proforma 8,9 and 10",#N/A,TRUE,"Calcs"}</definedName>
    <definedName name="wrn.Model." hidden="1">{"DCF",#N/A,FALSE,"DCF"}</definedName>
    <definedName name="wrn.Model._.Output." hidden="1">{#N/A,#N/A,FALSE,"Purchase_50_Stock";#N/A,#N/A,FALSE,"Purchase_All_Stock";"Summary",#N/A,FALSE,"PF";"Income Statement",#N/A,FALSE,"PF";"Earnings",#N/A,FALSE,"PF";"Balance Sheet",#N/A,FALSE,"PF"}</definedName>
    <definedName name="wrn.Monatsabschluß." hidden="1">{#N/A,#N/A,FALSE,"Finanzplan";#N/A,#N/A,FALSE,"Bilanz";#N/A,#N/A,FALSE,"GuV"}</definedName>
    <definedName name="wrn.Monatsbericht." hidden="1">{#N/A,#N/A,FALSE,"Inhalta";#N/A,#N/A,FALSE,"Seite1a";#N/A,#N/A,FALSE,"Seite2a";#N/A,#N/A,FALSE,"Seite3a";#N/A,#N/A,FALSE,"Seite4a";#N/A,#N/A,FALSE,"Seite5a";#N/A,#N/A,FALSE,"Seite6a";#N/A,#N/A,FALSE,"Seite7a";#N/A,#N/A,FALSE,"Seite8a";#N/A,#N/A,FALSE,"Seite9a"}</definedName>
    <definedName name="wrn.monika." hidden="1">{"Telemonika",#N/A,FALSE,"Tele";"GF Text",#N/A,FALSE,"GF Text";"GF ATXITV",#N/A,FALSE,"GF ATX ITV";"GF Verw",#N/A,FALSE,"GF Verw"}</definedName>
    <definedName name="wrn.Month." hidden="1">{#N/A,#N/A,FALSE,"Comp Balance";#N/A,#N/A,FALSE,"Sum Balance ";#N/A,#N/A,FALSE,"Balance Trend";#N/A,#N/A,FALSE,"Comp PL";#N/A,#N/A,FALSE,"PL";#N/A,#N/A,FALSE,"Sum PL";#N/A,#N/A,FALSE,"PL Trend";#N/A,#N/A,FALSE,"Change"}</definedName>
    <definedName name="wrn.Month._.end._.call." hidden="1">{#N/A,#N/A,FALSE,"Bud Month-end Call";#N/A,#N/A,FALSE,"Bud vs Actual";#N/A,#N/A,FALSE,"FC3 Month-end Call";#N/A,#N/A,FALSE,"FC3 vs Actual"}</definedName>
    <definedName name="wrn.Month._.end._.report." hidden="1">{#N/A,#N/A,FALSE,"Bud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LY." hidden="1">{"1999MONTHLY",#N/A,FALSE,"MONTHLY";"2000MONTHLY",#N/A,FALSE,"MONTHLY";"2001MONTHLY",#N/A,FALSE,"MONTHLY"}</definedName>
    <definedName name="wrn.Monthly._.Financials." hidden="1">{#N/A,#N/A,FALSE,"mfg - consol";#N/A,#N/A,FALSE,"mfg - flo";#N/A,#N/A,FALSE,"mfg - lindsay"}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S._.Fa.10_01." hidden="1">{#N/A,#N/A,TRUE,"Overview";#N/A,#N/A,TRUE,"P&amp;L summary";#N/A,#N/A,TRUE,"pers.exp._op. inc._interest";#N/A,#N/A,TRUE,"op. expenses";#N/A,#N/A,TRUE,"non-op. inc_expense";#N/A,#N/A,TRUE,"balance sheet";#N/A,#N/A,TRUE,"key-figures"}</definedName>
    <definedName name="wrn.Monthly._.MIS._.Fa.26." hidden="1">{#N/A,#N/A,TRUE,"Overview";#N/A,#N/A,TRUE,"P&amp;L summary";#N/A,#N/A,TRUE,"pers.exp._op. inc._interest";#N/A,#N/A,TRUE,"op. expenses";#N/A,#N/A,TRUE,"non-op. inc_expense";#N/A,#N/A,TRUE,"balance sheet";#N/A,#N/A,TRUE,"article (3500)";#N/A,#N/A,TRUE,"article (3600)";#N/A,#N/A,TRUE,"article (3700)";#N/A,#N/A,TRUE,"article (3900)";#N/A,#N/A,TRUE,"article (3800)";#N/A,#N/A,TRUE,"MC 1 3rd (4800)";#N/A,#N/A,TRUE,"MC 1 OEM_PL (4900)";#N/A,#N/A,TRUE,"countries (LA)";#N/A,#N/A,TRUE,"Top 25";#N/A,#N/A,TRUE,"key-figures"}</definedName>
    <definedName name="wrn.Monthly._.MIS._.Fa.31." hidden="1">{#N/A,#N/A,TRUE,"Overview";#N/A,#N/A,TRUE,"P&amp;L summary";#N/A,#N/A,TRUE,"pers.exp._op. inc._interest";#N/A,#N/A,TRUE,"op. expenses";#N/A,#N/A,TRUE,"non-op. inc_expense";#N/A,#N/A,TRUE,"balance sheet";#N/A,#N/A,TRUE,"article (3500)";#N/A,#N/A,TRUE,"article (3600)";#N/A,#N/A,TRUE,"article (3700)";#N/A,#N/A,TRUE,"control MC 1";#N/A,#N/A,TRUE,"MC 1 3rd (4800)";#N/A,#N/A,TRUE,"countries (LA)";#N/A,#N/A,TRUE,"Top 25";#N/A,#N/A,TRUE,"key-figures"}</definedName>
    <definedName name="wrn.Monthly._.MIS._.Fa.50." hidden="1">{#N/A,#N/A,TRUE,"Overview";#N/A,#N/A,TRUE,"P&amp;L summary";#N/A,#N/A,TRUE,"pers.exp._op. inc._interest";#N/A,#N/A,TRUE,"op. expenses";#N/A,#N/A,TRUE,"non-op. inc_expense"}</definedName>
    <definedName name="wrn.Monthly._.MIS._.Fa.53_91." hidden="1">{#N/A,#N/A,TRUE,"Overview";#N/A,#N/A,TRUE,"P&amp;L summary";#N/A,#N/A,TRUE,"pers.exp._op. inc._interest";#N/A,#N/A,TRUE,"op. expenses";#N/A,#N/A,TRUE,"non-op. inc_expense"}</definedName>
    <definedName name="wrn.Monthly._.MIS._.Fa.59." hidden="1">{#N/A,#N/A,TRUE,"Overview";#N/A,#N/A,TRUE,"P&amp;L summary";#N/A,#N/A,TRUE,"pers.exp._op. inc._interest";#N/A,#N/A,TRUE,"op. expenses";#N/A,#N/A,TRUE,"non-op. inc_expense";#N/A,#N/A,TRUE,"article (3500)";#N/A,#N/A,TRUE,"article (3600)";#N/A,#N/A,TRUE,"article (3900)";#N/A,#N/A,TRUE,"MC 1 3rd (4800)";#N/A,#N/A,TRUE,"MC 1 OEM_PL (4900)";#N/A,#N/A,TRUE,"key-figures"}</definedName>
    <definedName name="wrn.Monthly._.MIS._.Fa.60." hidden="1">{#N/A,#N/A,TRUE,"Overview";#N/A,#N/A,TRUE,"P&amp;L summary";#N/A,#N/A,TRUE,"pers.exp._op. inc._interest";#N/A,#N/A,TRUE,"op. expenses";#N/A,#N/A,TRUE,"non-op. inc_expense";#N/A,#N/A,TRUE,"article (3500)";#N/A,#N/A,TRUE,"article (3700)";#N/A,#N/A,TRUE,"article (3900)";#N/A,#N/A,TRUE,"MC 1 3rd (4800)";#N/A,#N/A,TRUE,"MC 1 OEM_PL (4900)";#N/A,#N/A,TRUE,"countries (Europe)";#N/A,#N/A,TRUE,"key-figures"}</definedName>
    <definedName name="wrn.Monthly._.MIS._.Fa.73." hidden="1">{#N/A,#N/A,TRUE,"Overview";#N/A,#N/A,TRUE,"P&amp;L summary";#N/A,#N/A,TRUE,"pers.exp._op. inc._interest";#N/A,#N/A,TRUE,"op. expenses";#N/A,#N/A,TRUE,"non-op. inc_expense";#N/A,#N/A,TRUE,"balance sheet";#N/A,#N/A,TRUE,"article (3800)";#N/A,#N/A,TRUE,"countries (Europe)";#N/A,#N/A,TRUE,"key-figures"}</definedName>
    <definedName name="wrn.Monthly._.MIS._.Fa.74." hidden="1">{#N/A,#N/A,TRUE,"Overview";#N/A,#N/A,TRUE,"P&amp;L summary";#N/A,#N/A,TRUE,"pers.exp._op. inc._interest";#N/A,#N/A,TRUE,"op. expenses";#N/A,#N/A,TRUE,"non-op. inc_expense";#N/A,#N/A,TRUE,"balance sheet";#N/A,#N/A,TRUE,"article (3500)";#N/A,#N/A,TRUE,"article (3600)";#N/A,#N/A,TRUE,"article (3700)";#N/A,#N/A,TRUE,"article (3900)";#N/A,#N/A,TRUE,"new products";#N/A,#N/A,TRUE,"MC 1 3rd (4800)";#N/A,#N/A,TRUE,"MC 1 OEM_PL (4900)";#N/A,#N/A,TRUE,"countries (full)";#N/A,#N/A,TRUE,"Top 25";#N/A,#N/A,TRUE,"key-figures"}</definedName>
    <definedName name="wrn.Monthly._.MIS._.Fa.78_20_21." hidden="1">{#N/A,#N/A,TRUE,"Overview";#N/A,#N/A,TRUE,"P&amp;L summary";#N/A,#N/A,TRUE,"pers.exp._op. inc._interest";#N/A,#N/A,TRUE,"op. expenses";#N/A,#N/A,TRUE,"non-op. inc_expense";#N/A,#N/A,TRUE,"balance sheet";#N/A,#N/A,TRUE,"article (3500)";#N/A,#N/A,TRUE,"new products";#N/A,#N/A,TRUE,"MC 1 3rd (4800)";#N/A,#N/A,TRUE,"countries (Europe)";#N/A,#N/A,TRUE,"Top 25";#N/A,#N/A,TRUE,"key-figures"}</definedName>
    <definedName name="wrn.Monthly._.Report." hidden="1">{#N/A,#N/A,FALSE,"Summary Page";#N/A,#N/A,FALSE,"Collections Listing";#N/A,#N/A,FALSE,"Lessee 60 days past due";#N/A,#N/A,FALSE,"Revenues--Lend Base JP Morgan";#N/A,#N/A,FALSE,"JP Morgan Debt Amort Schedule";#N/A,#N/A,FALSE,"Covenant Analysis"}</definedName>
    <definedName name="wrn.Monthly._.Reports." hidden="1">{#N/A,#N/A,FALSE,"INDEX";#N/A,#N/A,FALSE,"A - BALANCE SHEET";#N/A,#N/A,FALSE,"B - INCOME STATEMENT YTD";#N/A,#N/A,FALSE,"B - MONTHLY INCOME STATEMENT ";#N/A,#N/A,FALSE,"C - CASHFLOW STATEMENT";#N/A,#N/A,FALSE,"D - CUSTOMERS STATEMENT";#N/A,#N/A,FALSE,"E - SALES STATEMENT"}</definedName>
    <definedName name="wrn.Months." hidden="1">{"Curr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name="wrn.MONTHYL._.PACK." hidden="1">{#N/A,#N/A,TRUE,"Contents (2)";#N/A,#N/A,TRUE,"P&amp;L";#N/A,#N/A,TRUE,"Notes - Sales-COS";#N/A,#N/A,TRUE,"Expenses";#N/A,#N/A,TRUE,"mcer";#N/A,#N/A,TRUE,"P&amp;L - MKD"}</definedName>
    <definedName name="wrn.MOS4." hidden="1">{"MOS4",#N/A,FALSE,"Sorted by database"}</definedName>
    <definedName name="wrn.MOTOROLA._.TO220." hidden="1">{"MOTTO220",#N/A,FALSE,"TO-220 PRODUCTION"}</definedName>
    <definedName name="wrn.MRA." hidden="1">{"MRA IS",#N/A,FALSE,"MRA - IS";"MRA BS",#N/A,FALSE,"MRA - BS";"MRA Detail IS",#N/A,FALSE,"MRA - Detail IS";"MRA Detail IS Supplemental Info",#N/A,FALSE,"MRA - Detail IS";"MRA Monthly 1999",#N/A,FALSE,"MRA Monthly";"MRA Monthly IS 1998",#N/A,FALSE,"MRA Monthly";"MRA Monthly IS 1997",#N/A,FALSE,"MRA Monthly"}</definedName>
    <definedName name="wrn.MTHLYGP." hidden="1">{"TXO2N2_GP",#N/A,FALSE,"MTHLYGP";"TXH2_GP",#N/A,FALSE,"MTHLYGP";"LOUIS_GP",#N/A,FALSE,"MTHLYGP";"H2_GP",#N/A,FALSE,"MTHLYGP";"O2N2_GP",#N/A,FALSE,"MTHLYGP";"PACKAGE_GP",#N/A,FALSE,"MTHLYGP";"OTHER_GP",#N/A,FALSE,"MTHLYGP"}</definedName>
    <definedName name="wrn.MTHLYSLES." hidden="1">{"TXO2N2_SLS",#N/A,FALSE,"MTHLYSLES";"TXH2_SLS",#N/A,FALSE,"MTHLYSLES";"LOUIS_SLS",#N/A,FALSE,"MTHLYSLES";"H2_SLS",#N/A,FALSE,"MTHLYSLES";"O2N2_SLS",#N/A,FALSE,"MTHLYSLES";"PACKAGE_SLS",#N/A,FALSE,"MTHLYSLES"}</definedName>
    <definedName name="wrn.MTHYLYVOL." hidden="1">{"TEXO2N2_VOL",#N/A,FALSE,"MTHLYVOL";"TEXH2_VOL",#N/A,FALSE,"MTHLYVOL";"LOUIS_VOL",#N/A,FALSE,"MTHLYVOL";"H2_VOL",#N/A,FALSE,"MTHLYVOL";"O2N2_VOL",#N/A,FALSE,"MTHLYVOL";"PACKAGE_VOL",#N/A,FALSE,"MTHLYVOL"}</definedName>
    <definedName name="wrn.Munsell." hidden="1">{#N/A,#N/A,FALSE,"Index";#N/A,#N/A,FALSE,"IncStmt";#N/A,#N/A,FALSE,"Ratios";#N/A,#N/A,FALSE,"CashFlows";#N/A,#N/A,FALSE,"Ins1";#N/A,#N/A,FALSE,"Ins2";#N/A,#N/A,FALSE,"SelfFund";#N/A,#N/A,FALSE,"SGA";#N/A,#N/A,FALSE,"Recon";#N/A,#N/A,FALSE,"Earnings";#N/A,#N/A,FALSE,"Earnings (2)";#N/A,#N/A,FALSE,"Stock";#N/A,#N/A,FALSE,"Stock (2)";#N/A,#N/A,FALSE,"PeerRatios";#N/A,#N/A,FALSE,"PeerRanks"}</definedName>
    <definedName name="wrn.NA." hidden="1">{#N/A,#N/A,FALSE,"NA"}</definedName>
    <definedName name="wrn.NA._.Model._.T._.and._.B." hidden="1">{"NA Top",#N/A,FALSE,"NA Model";"NA Bottom",#N/A,FALSE,"NA Model"}</definedName>
    <definedName name="wrn.NA_ULV._.Tand._.B." hidden="1">{"NA Top",#N/A,FALSE,"NA-ULV";"NA Bottom",#N/A,FALSE,"NA-ULV"}</definedName>
    <definedName name="wrn.NameDetail." hidden="1">{#N/A,#N/A,FALSE,"ADNAMES.XLS";#N/A,#N/A,FALSE,"EQNAMES.XLS";#N/A,#N/A,FALSE,"INNAMES.XLS";#N/A,#N/A,FALSE,"HYNAMES.XLS";#N/A,#N/A,FALSE,"FIXNAMES.XLS";#N/A,#N/A,FALSE,"MONNAMES.XLS";#N/A,#N/A,FALSE,"TECNAMES.XLS"}</definedName>
    <definedName name="wrn.Natural." hidden="1">{#N/A,#N/A,FALSE,"Natural"}</definedName>
    <definedName name="wrn.NDPC." hidden="1">{#N/A,#N/A,FALSE,"46EN114";#N/A,#N/A,FALSE,"46FN116";#N/A,#N/A,FALSE,"464VFN10";#N/A,#N/A,FALSE,"464VFN74"}</definedName>
    <definedName name="wrn.nema." hidden="1">{#N/A,#N/A,FALSE,"Distbn Ntwrk";#N/A,#N/A,FALSE,"Workforce";#N/A,#N/A,FALSE,"cur-prod1";#N/A,#N/A,FALSE,"in-proc"}</definedName>
    <definedName name="wrn.new._.DAC." hidden="1">{#N/A,#N/A,TRUE,"CF brut";#N/A,#N/A,TRUE,"CashFlow";#N/A,#N/A,TRUE,"RCE";#N/A,#N/A,TRUE,"amort"}</definedName>
    <definedName name="wrn.New._.MA._.Report." hidden="1">{"new ma report",#N/A,FALSE,"Loan Summary"}</definedName>
    <definedName name="wrn.newdcf" hidden="1">{#N/A,#N/A,FALSE,"Combo-Ass ";#N/A,#N/A,FALSE,"Combo-AD sum";#N/A,#N/A,FALSE,"Combo-Syn Sens";#N/A,#N/A,FALSE,"Combo-Contr";#N/A,#N/A,FALSE,"Combo-Credit Sum";#N/A,#N/A,FALSE,"Combo-Credit";#N/A,#N/A,FALSE,"Combo-AD";#N/A,#N/A,FALSE,"Combo-AD CF"}</definedName>
    <definedName name="wrn.newDEV." hidden="1">{"cover",#N/A,TRUE,"Cover";"pnl_NEWDEV",#N/A,TRUE,"NewCaseDEV";"bil_NEWDEV",#N/A,TRUE,"NewCaseDEV";"tabfi_NEWDEV",#N/A,TRUE,"NewCaseDEV";"ratios_NEWDEV",#N/A,TRUE,"NewCaseDEV";"variab_NEWDEV",#N/A,TRUE,"NewCaseDEV";"inv_NEWDEV",#N/A,TRUE,"NewCaseDEV"}</definedName>
    <definedName name="wrn.newest." hidden="1">{#N/A,#N/A,TRUE,"TS";#N/A,#N/A,TRUE,"Combo";#N/A,#N/A,TRUE,"FAIR";#N/A,#N/A,TRUE,"RBC";#N/A,#N/A,TRUE,"xxxx"}</definedName>
    <definedName name="wrn.newEUR." hidden="1">{"cover",#N/A,TRUE,"Cover";"pnl_NEWEUR",#N/A,TRUE,"NewCaseEUR";"bil_NEWEUR",#N/A,TRUE,"NewCaseEUR";"tabfi_NEWEUR",#N/A,TRUE,"NewCaseEUR";"ratios_NEWEUR",#N/A,TRUE,"NewCaseEUR";"variab_NEWEUR",#N/A,TRUE,"NewCaseEUR";"inv_NEWEUR",#N/A,TRUE,"NewCaseEUR"}</definedName>
    <definedName name="wrn.NewRept.xls." hidden="1">{#N/A,#N/A,TRUE,"Sheet1";#N/A,#N/A,TRUE,"Sheet2";#N/A,#N/A,TRUE,"Sheet3";#N/A,#N/A,TRUE,"Sheet4";#N/A,#N/A,TRUE,"Sheet5";#N/A,#N/A,TRUE,"Sheet6";#N/A,#N/A,TRUE,"Sheet7"}</definedName>
    <definedName name="wrn.Nico." hidden="1">{#N/A,#N/A,TRUE,"Cover";#N/A,#N/A,TRUE,"Transaction Summary";#N/A,#N/A,TRUE,"Earnings Impact";#N/A,#N/A,TRUE,"accretion dilution"}</definedName>
    <definedName name="wrn.No.._.America._.Data." hidden="1">{"Data",#N/A,FALSE,"North America";"Sales Summary",#N/A,FALSE,"North America"}</definedName>
    <definedName name="wrn.Non._.Div._.Balance._.Sheet." hidden="1">{#N/A,"NONDV",FALSE,"BSHIST.XLS"}</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 hidden="1">{"PnL",#N/A,FALSE,"Gas NA P&amp;L";"Responsibility",#N/A,FALSE,"Gas NA P&amp;L";"Cost Control",#N/A,FALSE,"Gas NA P&amp;L";"Program List",#N/A,FALSE,"Gas NA P&amp;L"}</definedName>
    <definedName name="wrn.North._.America._.Set." hidden="1">{"NA Is w Ratios",#N/A,FALSE,"North America";"PF CFlow NA",#N/A,FALSE,"North America";"NA DCF Matrix",#N/A,FALSE,"North America"}</definedName>
    <definedName name="wrn.NOTES._.REC.." hidden="1">{#N/A,#N/A,FALSE,"H-1 Notes Receivable"}</definedName>
    <definedName name="wrn.NOV." hidden="1">{"NOV",#N/A,FALSE,"NOV"}</definedName>
    <definedName name="wrn.NOVEMBER." hidden="1">{"NOVEMBER",#N/A,FALSE,"Q2"}</definedName>
    <definedName name="wrn.NRC._.Statements." hidden="1">{#N/A,#N/A,FALSE,"NRC Inc Stmnt";#N/A,#N/A,FALSE,"NRC Cash Flows"}</definedName>
    <definedName name="wrn.ntfinance." hidden="1">{"Rate",#N/A,TRUE,"SUMMARY";"Ratios",#N/A,TRUE,"Ratios";"BUDGETREVENUE",#N/A,TRUE,"Revenue";"TOTALS",#N/A,TRUE,"DETAIL"}</definedName>
    <definedName name="wrn.nytaann." hidden="1">{"nytacash",#N/A,FALSE,"GLOBEINC";"nytainc",#N/A,FALSE,"GLOBEINC";"nytanyt",#N/A,FALSE,"GLOBEINC";"nytareg",#N/A,FALSE,"GLOBEINC";"nytaglobe",#N/A,FALSE,"GLOBEINC";"nytapprttl",#N/A,FALSE,"GLOBEINC"}</definedName>
    <definedName name="wrn.ocm_pkg." hidden="1">{#N/A,#N/A,FALSE,"Cover Sheet";#N/A,#N/A,FALSE,"Ave_Trans_Shp_Abs";#N/A,#N/A,FALSE,"Det_Shp_Abs";#N/A,#N/A,FALSE,"Ave_Trans_Inst_Abs";#N/A,#N/A,FALSE,"Det_Ins_Abs";#N/A,#N/A,FALSE,"Ave_Trans_Tot_ABS";#N/A,#N/A,FALSE,"Det_Total_ABS"}</definedName>
    <definedName name="wrn.oct_res_comm." hidden="1">{"oct_res_comm",#N/A,FALSE,"VarToBud"}</definedName>
    <definedName name="wrn.OCTOBER." hidden="1">{"OCTOBER",#N/A,FALSE,"Q2"}</definedName>
    <definedName name="wrn.October_Income." hidden="1">{"Oct_Plan_Income_Month",#N/A,FALSE,"OctInc";"Oct_Month_Lastyear_Inc",#N/A,FALSE,"OctInc"}</definedName>
    <definedName name="wrn.Offerings._.HPS." hidden="1">{#N/A,#N/A,FALSE,"Front Page";#N/A,#N/A,FALSE,"Contents";#N/A,#N/A,FALSE,"Deals in month";#N/A,#N/A,FALSE,"Major Sales Top 20";#N/A,#N/A,FALSE,"HPS Major Sales";#N/A,#N/A,FALSE,"MJ HPS Calculation sheet";#N/A,#N/A,FALSE,"HPS Rev Track";#N/A,#N/A,FALSE,"HPS Committed";#N/A,#N/A,FALSE,"HPS P1-3";#N/A,#N/A,FALSE,"Lost Bids";#N/A,#N/A,FALSE,"HPS Offering Bar Chart";#N/A,#N/A,FALSE,"HPS Industry Bar Chart";#N/A,#N/A,FALSE,"Issues "}</definedName>
    <definedName name="wrn.Offerings._.OS." hidden="1">{#N/A,#N/A,FALSE,"Front Page";#N/A,#N/A,FALSE,"Contents";#N/A,#N/A,FALSE,"Deals in month";#N/A,#N/A,FALSE,"Major Sales Top 20";#N/A,#N/A,FALSE,"OS Major Sales";#N/A,#N/A,FALSE,"MJ OS Calculation sheet";#N/A,#N/A,FALSE,"OS Rev Track";#N/A,#N/A,FALSE,"OS Committed";#N/A,#N/A,FALSE,"OS P1-3";#N/A,#N/A,FALSE,"Lost Bids";#N/A,#N/A,FALSE,"OSD Offering Bar Chart";#N/A,#N/A,FALSE,"OSD Industry Bar Chart";#N/A,#N/A,FALSE,"Issues "}</definedName>
    <definedName name="wrn.Offices." hidden="1">{"Offices",#N/A,FALSE,"Sorted by database"}</definedName>
    <definedName name="wrn.Ofir." hidden="1">{#N/A,#N/A,FALSE,"P&amp;L";#N/A,#N/A,FALSE,"Balance Sheet";#N/A,#N/A,FALSE,"Cash flow";#N/A,#N/A,FALSE,"Sales";#N/A,#N/A,FALSE,"Data";#N/A,#N/A,FALSE,"Pie Q2.00";#N/A,#N/A,FALSE,"Pie Accum";#N/A,#N/A,FALSE,"Integrators";#N/A,#N/A,FALSE,"Geographic";#N/A,#N/A,FALSE,"DSO";#N/A,#N/A,FALSE,"Headcount"}</definedName>
    <definedName name="wrn.Oncology." hidden="1">{#N/A,#N/A,FALSE,"Onco";#N/A,#N/A,FALSE,"Taxol";#N/A,#N/A,FALSE,"UFT";#N/A,#N/A,FALSE,"Carb"}</definedName>
    <definedName name="wrn.one." hidden="1">{"page1",#N/A,FALSE,"A";"page2",#N/A,FALSE,"A"}</definedName>
    <definedName name="wrn.ONTK." hidden="1">{#N/A,#N/A,FALSE,"Title Page";#N/A,#N/A,FALSE,"Summary Sheet";#N/A,#N/A,FALSE,"Quarterly Income Statement";#N/A,#N/A,FALSE,"Proforma QTR Income Statement";#N/A,#N/A,FALSE,"Fiscal Year Income Statement";#N/A,#N/A,FALSE,"Valuation Summary";#N/A,#N/A,FALSE,"Comps Without";#N/A,#N/A,FALSE,"Comps With"}</definedName>
    <definedName name="wrn.Operating._.Models." hidden="1">{#N/A,#N/A,TRUE,"Eastern Market";#N/A,#N/A,TRUE,"Western Market";#N/A,#N/A,TRUE,"Sulphur Services";#N/A,#N/A,TRUE,"Global Business";#N/A,#N/A,TRUE,"Incremental Overhead";#N/A,#N/A,TRUE,"Acquired Business"}</definedName>
    <definedName name="wrn.Opportunity._.Assessment." hidden="1">{#N/A,#N/A,TRUE,"Summary";#N/A,#N/A,TRUE,"Assumptions";#N/A,#N/A,TRUE,"Comparison";#N/A,#N/A,TRUE,"Financials";#N/A,#N/A,TRUE,"Plan v. Act"}</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TC._.Market._.Report." hidden="1">{#N/A,#N/A,FALSE,"Sales Graph";#N/A,#N/A,FALSE,"BUC Graph";#N/A,#N/A,FALSE,"P&amp;L - YTD"}</definedName>
    <definedName name="wrn.OTHER." hidden="1">{"OTHER",#N/A,FALSE,"EXP PIE"}</definedName>
    <definedName name="wrn.OTHER._.ADMIN._.COSTS." hidden="1">{"OTHER ADMIN COSTS",#N/A,FALSE,"C.CENTRE"}</definedName>
    <definedName name="wrn.OTHER._.INCOME." hidden="1">{#N/A,#N/A,FALSE,"0600-1 Other Income (Expense)"}</definedName>
    <definedName name="wrn.Other._.Pharm." hidden="1">{#N/A,#N/A,FALSE,"Other";#N/A,#N/A,FALSE,"Ace";#N/A,#N/A,FALSE,"Derm"}</definedName>
    <definedName name="wrn.OTHER._.REVENUE." hidden="1">{"OTHER REVENUE",#N/A,FALSE,"OTHERS"}</definedName>
    <definedName name="wrn.Outlook." hidden="1">{#N/A,#N/A,FALSE,"Consol P&amp;L ";#N/A,#N/A,FALSE,"CP P&amp;L";#N/A,#N/A,FALSE,"ADS P&amp;L";#N/A,#N/A,FALSE,"Corp P&amp;L"}</definedName>
    <definedName name="wrn.Output." hidden="1">{#N/A,#N/A,TRUE,"Main";#N/A,#N/A,TRUE,"FCF_10Yr";#N/A,#N/A,TRUE,"FCF_15Yr";#N/A,#N/A,TRUE,"Assume"}</definedName>
    <definedName name="wrn.outputs." hidden="1">{#N/A,#N/A,FALSE,"Outputs"}</definedName>
    <definedName name="wrn.p" hidden="1">{#N/A,#N/A,FALSE,"1";#N/A,#N/A,FALSE,"2";#N/A,#N/A,FALSE,"16 - 17";#N/A,#N/A,FALSE,"18 - 19";#N/A,#N/A,FALSE,"26";#N/A,#N/A,FALSE,"27";#N/A,#N/A,FALSE,"28"}</definedName>
    <definedName name="wrn.package." hidden="1">{#N/A,#N/A,FALSE,"sales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wrn.Package._.without._.Charts." hidden="1">{#N/A,#N/A,TRUE,"Title Pg";#N/A,#N/A,TRUE,"Assumptions";#N/A,#N/A,TRUE,"Market Share Data";#N/A,#N/A,TRUE,"Net Flows by Seg";#N/A,#N/A,TRUE,"P&amp;L - PI Total";#N/A,#N/A,TRUE,"Headcount"}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1." hidden="1">{"page1",#N/A,FALSE,"comsat"}</definedName>
    <definedName name="wrn.page57to67." hidden="1">{#N/A,#N/A,FALSE,"57";#N/A,#N/A,FALSE,"58";#N/A,#N/A,FALSE,"59";#N/A,#N/A,FALSE,"60";#N/A,#N/A,FALSE,"60A";#N/A,#N/A,FALSE,"61";#N/A,#N/A,FALSE,"62";#N/A,#N/A,FALSE,"63";#N/A,#N/A,FALSE,"63A";#N/A,#N/A,FALSE,"64";#N/A,#N/A,FALSE,"65";#N/A,#N/A,FALSE,"66";#N/A,#N/A,FALSE,"67"}</definedName>
    <definedName name="wrn.Pages._.28._.to._.50." hidden="1">{#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 hidden="1">{#N/A,#N/A,FALSE,"51";#N/A,#N/A,FALSE,"52";#N/A,#N/A,FALSE,"53";#N/A,#N/A,FALSE,"54";#N/A,#N/A,FALSE,"55";#N/A,#N/A,FALSE,"55A";#N/A,#N/A,FALSE,"56";#N/A,#N/A,FALSE,"57";#N/A,#N/A,FALSE,"57A";#N/A,#N/A,FALSE,"58";#N/A,#N/A,FALSE,"59";#N/A,#N/A,FALSE,"60";#N/A,#N/A,FALSE,"60A";#N/A,#N/A,FALSE,"61";#N/A,#N/A,FALSE,"62";#N/A,#N/A,FALSE,"63";#N/A,#N/A,FALSE,"63A";#N/A,#N/A,FALSE,"64";#N/A,#N/A,FALSE,"65";#N/A,#N/A,FALSE,"66"}</definedName>
    <definedName name="wrn.pages._.88._.to._.end." hidden="1">{#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_.Compco." hidden="1">{"financials",#N/A,TRUE,"6_30_96";"footnotes",#N/A,TRUE,"6_30_96";"valuation",#N/A,TRUE,"6_30_96"}</definedName>
    <definedName name="wrn.PandL_Summary." hidden="1">{#N/A,#N/A,FALSE,"Summary"}</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ialFncls." hidden="1">{#N/A,#N/A,FALSE,"Income Statement";#N/A,#N/A,FALSE,"Balance Sheet";#N/A,#N/A,FALSE,"Cash Flows";#N/A,#N/A,FALSE,"Ratios"}</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CS." hidden="1">{#N/A,#N/A,FALSE,"PCS"}</definedName>
    <definedName name="wrn.PCtrl_Wide." hidden="1">{#N/A,#N/A,FALSE,"PerfCtrl WideRpt"}</definedName>
    <definedName name="wrn.PDS." hidden="1">{#N/A,#N/A,FALSE,"Cover Sheet";#N/A,#N/A,FALSE,"Bill Of Materials";#N/A,#N/A,FALSE,"Gas Panel Drawing"}</definedName>
    <definedName name="wrn.Penn._.PSC._.part._.1." hidden="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 hidden="1">{#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NSION._.PROVISION_SSAP24._.ADJ." hidden="1">{#N/A,#N/A,TRUE,"JOURNAL";#N/A,#N/A,TRUE,"Contributions";#N/A,#N/A,TRUE,"Provision";#N/A,#N/A,TRUE,"Provision &amp; Amortisation"}</definedName>
    <definedName name="wrn.PerfCtrl." hidden="1">{#N/A,#N/A,FALSE,"PERFCTRL Report"}</definedName>
    <definedName name="wrn.Performance." hidden="1">{"Performance Details",#N/A,FALSE,"Current Yr";"Performance Details",#N/A,FALSE,"Budget";"Performance Details",#N/A,FALSE,"Prior Year"}</definedName>
    <definedName name="wrn.Performance._.Report." hidden="1">{"1IE",#N/A,FALSE,"Management Accounts";"2TO",#N/A,FALSE,"Management Accounts";"3OP",#N/A,FALSE,"Management Accounts";"4SA",#N/A,FALSE,"Management Accounts";"5IN",#N/A,FALSE,"Management Accounts";"6OF",#N/A,FALSE,"Management Accounts";"9BS",#N/A,FALSE,"Management Accounts";"9CF",#N/A,FALSE,"Cash Flow Statement"}</definedName>
    <definedName name="wrn.perimeter._.comp." hidden="1">{#N/A,#N/A,TRUE,"comp";#N/A,#N/A,TRUE,"notes"}</definedName>
    <definedName name="wrn.Period._.End._.Report." hidden="1">{"Ending Period 4",#N/A,FALSE,"Period 4"}</definedName>
    <definedName name="wrn.Period._.Only." hidden="1">{#N/A,#N/A,FALSE,"CONSOLIDATED";#N/A,#N/A,FALSE,"LANCE CO";#N/A,#N/A,FALSE,"VISTA"}</definedName>
    <definedName name="wrn.PERPACKPG3." hidden="1">{"DJH3",#N/A,FALSE,"PFL00805";"PJB3",#N/A,FALSE,"PFL00805";"JMD3",#N/A,FALSE,"PFL00805";"DNB3",#N/A,FALSE,"PFL00805";"MJP3",#N/A,FALSE,"PFL00805";"RAB3",#N/A,FALSE,"PFL00805";"GJW3",#N/A,FALSE,"PFL00805";"MASTER3",#N/A,FALSE,"PFL00805"}</definedName>
    <definedName name="wrn.PERSONNEL." hidden="1">{"FORM16",#N/A,TRUE,"Personnel1";"FORM16.2",#N/A,TRUE,"Personnel2";"FORM16.2",#N/A,TRUE,"Personnel3";"FORM16.3",#N/A,TRUE,"Personnel4";"FORM16.4",#N/A,TRUE,"Personnel5"}</definedName>
    <definedName name="wrn.persrep." hidden="1">{"volu1",#N/A,FALSE,"Volumes";"headcount",#N/A,FALSE,"Headcount";"emprpt",#N/A,FALSE,"Output"}</definedName>
    <definedName name="wrn.PFDBalance._.Sheet." hidden="1">{#N/A,"PURPER",FALSE,"BSHIST.XLS";#N/A,"PURADD",FALSE,"BSHIST.XLS";#N/A,"PURSPP",FALSE,"BSHIST.XLS";#N/A,"CTGIND",FALSE,"BSHIST.XLS";#N/A,"ANCHOR",FALSE,"BSHIST.XLS";#N/A,"SPADD",FALSE,"BSHIST.XLS"}</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Financials."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wrn.phoenix." hidden="1">{"is_plan vs Act",#N/A,FALSE,"IS_Plan-Act";"is_curr&amp;YTD",#N/A,FALSE,"IS_Plan-Act";"is_last5mos",#N/A,FALSE,"IS_Plan-Act";"is_vsYTD_RR",#N/A,FALSE,"IS_Plan-Act";"bs",#N/A,FALSE,"IS_Plan-Act";"bs_last5mos",#N/A,FALSE,"IS_Plan-Act";"cf",#N/A,FALSE,"IS_Plan-Act"}</definedName>
    <definedName name="wrn.Pianocomp." hidden="1">{"page_1",#N/A,TRUE,"Sheet1";"page_2",#N/A,TRUE,"Sheet1";"page_notes",#N/A,TRUE,"Sheet1"}</definedName>
    <definedName name="wrn.PK._.Szenario._.A." hidden="1">{"A_Vorstand",#N/A,TRUE,"PK Szenario ";"B_Nord",#N/A,TRUE,"PK Szenario ";"C_Nordwest",#N/A,TRUE,"PK Szenario ";"D_West",#N/A,TRUE,"PK Szenario ";"E_Südwest",#N/A,TRUE,"PK Szenario ";"F_Süd",#N/A,TRUE,"PK Szenario ";"G_Ost",#N/A,TRUE,"PK Szenario ";"H_Gesamt",#N/A,TRUE,"PK Szenario "}</definedName>
    <definedName name="wrn.PL." hidden="1">{"20 Years",#N/A,FALSE,"P&amp;Ls";"2001",#N/A,FALSE,"P&amp;Ls"}</definedName>
    <definedName name="wrn.PL_All." hidden="1">{"con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_cont_GermanGAAP2000_2009." hidden="1">{"PLGGAAP3",#N/A,FALSE,"P&amp;L G GAAP"}</definedName>
    <definedName name="wrn.PL_cont_GermanGAAP2010_2019." hidden="1">{"PLGGAAP4",#N/A,FALSE,"P&amp;L G GAAP"}</definedName>
    <definedName name="wrn.PL_cont_USGAAP2000_2009." hidden="1">{"PLUSGAAP3",#N/A,FALSE,"P&amp;L US GAAP"}</definedName>
    <definedName name="wrn.PL_cont_USGAAP2010_2019." hidden="1">{"PLUSGAAP4",#N/A,FALSE,"P&amp;L US GAAP"}</definedName>
    <definedName name="wrn.PL_Unterlagen." hidden="1">{#N/A,#N/A,FALSE,"Liste VKL"}</definedName>
    <definedName name="wrn.Plakat." hidden="1">{#N/A,#N/A,FALSE,"1. PTI Ziele";#N/A,#N/A,FALSE,"2. Zielkatalog ";#N/A,#N/A,FALSE,"3. Masterterminplan"}</definedName>
    <definedName name="wrn.PLAN." hidden="1">{#N/A,#N/A,FALSE,"5YRPL";#N/A,#N/A,FALSE,"3YRPL"}</definedName>
    <definedName name="wrn.Planung_Ebeling."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rn.planvsmodel." hidden="1">{#N/A,#N/A,FALSE,"total";#N/A,#N/A,FALSE,"cementonly";#N/A,#N/A,FALSE,"slagonly"}</definedName>
    <definedName name="wrn.plbscf." hidden="1">{"p_l",#N/A,FALSE,"Summary Accounts"}</definedName>
    <definedName name="wrn.PLGermanGAAP2000_2009." hidden="1">{"PLGGAAP1",#N/A,FALSE,"P&amp;L G GAAP"}</definedName>
    <definedName name="wrn.PLGermanGAAP2010_2019." hidden="1">{"PLGGAAP2",#N/A,FALSE,"P&amp;L G GAAP"}</definedName>
    <definedName name="wrn.PLUSGAAP2000_2009." hidden="1">{"PLUSGAAP1",#N/A,FALSE,"P&amp;L US GAAP"}</definedName>
    <definedName name="wrn.PLUSGAAP2010_2019." hidden="1">{"PLUSGAAP2",#N/A,FALSE,"P&amp;L US GAAP"}</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MS_Bericht." hidden="1">{#N/A,#N/A,FALSE,"Deckblatt PMS";#N/A,#N/A,FALSE,"Ergebnis und Cash-flow PMS";#N/A,#N/A,FALSE,"Kennzahlen PMS";#N/A,#N/A,FALSE,"Bilanz PMS"}</definedName>
    <definedName name="wrn.PMW._.Gruppe._.00_99." hidden="1">{#N/A,#N/A,FALSE,"PMW Gruppe 00_99";#N/A,#N/A,FALSE,"PMW KG 00_99";#N/A,#N/A,FALSE,"PMW Inc. 00_99";#N/A,#N/A,FALSE,"PMW VTECH 00_99";#N/A,#N/A,FALSE,"PMW Thail. 00_99";#N/A,#N/A,FALSE,"PMW Canada 00_99";#N/A,#N/A,FALSE,"Währungsabw. 00_99"}</definedName>
    <definedName name="wrn.PMW._.Gruppe._.99_98n." hidden="1">{#N/A,#N/A,FALSE,"PMW Gruppe 99_98";#N/A,#N/A,FALSE,"PMW KG 98_99";#N/A,#N/A,FALSE,"PMW Inc. 99_98";#N/A,#N/A,FALSE,"PMW VTECH 99_98";#N/A,#N/A,FALSE,"PMW Thail. 99_98";#N/A,#N/A,FALSE,"PMW Canada 99_98";#N/A,#N/A,FALSE,"Währungsabw. 99_98"}</definedName>
    <definedName name="wrn.Polymers." hidden="1">{"Polymers Details",#N/A,FALSE,"Current Yr";"Polymer Details",#N/A,FALSE,"Budget";"Polymer Details",#N/A,FALSE,"Prior Year"}</definedName>
    <definedName name="wrn.Polymers._.Balance._.Sheet." hidden="1">{#N/A,"POLY",FALSE,"BSHIST.XLS";#N/A,"EMUL",FALSE,"BSHIST.XLS";#N/A,"PVOH",FALSE,"BSHIST.XLS";#N/A,"ACET",FALSE,"BSHIST.XLS"}</definedName>
    <definedName name="wrn.poop" hidden="1">{"Pulp Production",#N/A,FALSE,"Pulp";"Pulp Earnings",#N/A,FALSE,"Pulp"}</definedName>
    <definedName name="wrn.ppepsum." hidden="1">{"rev",#N/A,FALSE,"ppepsum";"vcost",#N/A,FALSE,"ppepsum";"ecprof",#N/A,FALSE,"ppepsum"}</definedName>
    <definedName name="wrn.ppp" hidden="1">{#N/A,#N/A,FALSE,"1";#N/A,#N/A,FALSE,"2";#N/A,#N/A,FALSE,"16 - 17";#N/A,#N/A,FALSE,"18 - 19";#N/A,#N/A,FALSE,"26";#N/A,#N/A,FALSE,"27";#N/A,#N/A,FALSE,"28"}</definedName>
    <definedName name="wrn.pr3sty." hidden="1">{#N/A,#N/A,FALSE,"intag";#N/A,#N/A,FALSE,"budg";#N/A,#N/A,FALSE,"samtl"}</definedName>
    <definedName name="wrn.Practices." hidden="1">{"Practices",#N/A,FALSE,"Sorted by database"}</definedName>
    <definedName name="wrn.PREPAIDS." hidden="1">{#N/A,#N/A,FALSE,"G-1 Prepaid Expenses-Other";#N/A,#N/A,FALSE,"G-2 Prepaid Property Taxes";#N/A,#N/A,FALSE,"G-3 Prepaid Insurance "}</definedName>
    <definedName name="wrn.Presentation." hidden="1">{"Presentation",#N/A,FALSE,"Feb96 - ALL"}</definedName>
    <definedName name="wrn.Presentation._.Version._.but._.No._.WC._.Slide." hidden="1">{"Presentation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ce_Effect." hidden="1">{"Comp_of_Price_Effect",#N/A,FALSE,"QTRDPVAR"}</definedName>
    <definedName name="wrn.PriceAssump2000_2009." hidden="1">{"PriceAssump1",#N/A,FALSE,"PriceAssump"}</definedName>
    <definedName name="wrn.PriceAssump2010_2019." hidden="1">{"PriceAssump2",#N/A,FALSE,"PriceAssump"}</definedName>
    <definedName name="wrn.PrimeCo." hidden="1">{"print 1",#N/A,FALSE,"PrimeCo PCS";"print 2",#N/A,FALSE,"PrimeCo PCS";"valuation",#N/A,FALSE,"PrimeCo PCS"}</definedName>
    <definedName name="wrn.prin2._.all." hidden="1">{#N/A,#N/A,FALSE,"Pharm";#N/A,#N/A,FALSE,"WWCM"}</definedName>
    <definedName name="wrn.prin3" hidden="1">{#N/A,#N/A,FALSE,"Pharm";#N/A,#N/A,FALSE,"WWCM"}</definedName>
    <definedName name="wrn.print" hidden="1">{"page1",#N/A,FALSE,"PROFORMA";"page2",#N/A,FALSE,"PROFORMA";"page3",#N/A,FALSE,"PROFORMA";"page4",#N/A,FALSE,"PROFORMA";"page5",#N/A,FALSE,"PROFORMA";"page6",#N/A,FALSE,"PROFORMA";"page7",#N/A,FALSE,"PROFORMA";"page8",#N/A,FALSE,"PROFORMA"}</definedName>
    <definedName name="wrn.Print." hidden="1">{#N/A,#N/A,FALSE,"Trading-Mult ";#N/A,#N/A,FALSE,"Trading-Cap";#N/A,#N/A,FALSE,"Trading-Inc";#N/A,#N/A,FALSE,"Cash Flow";#N/A,#N/A,FALSE,"M&amp;A info"}</definedName>
    <definedName name="wrn.PRINT._.ALL." hidden="1">{#N/A,#N/A,FALSE,"Pharm";#N/A,#N/A,FALSE,"WWCM"}</definedName>
    <definedName name="wrn.Print._.all._.GLI._.Reports." hidden="1">{"GLI-Income Statement",#N/A,FALSE,"gli";"GLI - Balance Sheet Wksht",#N/A,FALSE,"gli";"GLI-Cash Flow",#N/A,FALSE,"gli";"GLI Qtrly Stats",#N/A,FALSE,"gli"}</definedName>
    <definedName name="wrn.Print._.All._.Output." hidden="1">{"Public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ALL._.REPORTS." hidden="1">{"USDFC3",#N/A,FALSE,"FC-3 ";"USDCOST",#N/A,FALSE,"FC-3 ";"LCFC3",#N/A,FALSE,"FC-3 ";"LCCOST",#N/A,FALSE,"FC-3 "}</definedName>
    <definedName name="wrn.PRINT._.ALL.2" hidden="1">{#N/A,#N/A,FALSE,"Pharm";#N/A,#N/A,FALSE,"WWCM"}</definedName>
    <definedName name="wrn.print._.all2" hidden="1">{#N/A,#N/A,FALSE,"Pharm";#N/A,#N/A,FALSE,"WWCM"}</definedName>
    <definedName name="wrn.Print._.Documents." hidden="1">{#N/A,#N/A,TRUE,"Cover Page";#N/A,#N/A,TRUE,"Executive Summary";#N/A,#N/A,TRUE,"Photos";#N/A,#N/A,TRUE,"Area Map";#N/A,#N/A,TRUE,"Descriptions";#N/A,#N/A,TRUE,"SitePlan";#N/A,#N/A,TRUE,"Land Grid";#N/A,#N/A,TRUE,"Land Sales Map";#N/A,#N/A,TRUE,"Cost Approach Schedule";#N/A,#N/A,TRUE,"Certification"}</definedName>
    <definedName name="wrn.Print._.Europe._.TandB." hidden="1">{"Print Top",#N/A,FALSE,"Europe Model";"Print Bottom",#N/A,FALSE,"Europe Model"}</definedName>
    <definedName name="wrn.Print._.FE._.T._.and._.B." hidden="1">{"Far East Top",#N/A,FALSE,"FE Model";"Far East Bottom",#N/A,FALSE,"FE Model"}</definedName>
    <definedName name="wr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rint._.graphs." hidden="1">{"cap_structure",#N/A,FALSE,"Graph-Mkt Cap";"price",#N/A,FALSE,"Graph-Price";"ebit",#N/A,FALSE,"Graph-EBITDA";"ebitda",#N/A,FALSE,"Graph-EBITDA"}</definedName>
    <definedName name="wrn.Print._.LBO._.Model." hidden="1">{"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name="wrn.PRINT._.LC._.CAPITAL." hidden="1">{"LC",#N/A,FALSE,"FC-15 Cap Expend"}</definedName>
    <definedName name="wrn.Print._.Model." hidden="1">{#N/A,#N/A,TRUE,"Contents";#N/A,#N/A,TRUE,"Scenarios";#N/A,#N/A,TRUE,"SensitivitiesPower";#N/A,#N/A,TRUE,"SensitivitiesGas";#N/A,#N/A,TRUE,"SensitivitiesWater";#N/A,#N/A,TRUE,"Fixed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name="wrn.print._.out." hidden="1">{#N/A,#N/A,FALSE,"Cover";#N/A,#N/A,FALSE,"Scenari";#N/A,#N/A,FALSE,"P&amp;L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name="wrn.print._.pages."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raw._.data._.entry." hidden="1">{"inputs raw data",#N/A,TRUE,"INPUT"}</definedName>
    <definedName name="wrn.print._.standalone." hidden="1">{"standalone1",#N/A,FALSE,"DCFBase";"standalone2",#N/A,FALSE,"DCFBase"}</definedName>
    <definedName name="wrn.print._.summary._.sheets." hidden="1">{"summary1",#N/A,TRUE,"Comps";"summary2",#N/A,TRUE,"Comps";"summary3",#N/A,TRUE,"Comps"}</definedName>
    <definedName name="wrn.print._.summary._.sheets.2" hidden="1">{"summary1",#N/A,TRUE,"Comps";"summary2",#N/A,TRUE,"Comps";"summary3",#N/A,TRUE,"Comps"}</definedName>
    <definedName name="wrn.Print._.the._.lot." hidden="1">{"First Page",#N/A,FALSE,"Surfactants LBO";"Second Page",#N/A,FALSE,"Surfactants LBO"}</definedName>
    <definedName name="wrn.PRINT._.USD._.CAPITAL." hidden="1">{"USD",#N/A,FALSE,"FC-15 Cap Expend"}</definedName>
    <definedName name="wrn.Print._.whole._.Report." hidden="1">{#N/A,#N/A,TRUE,"WaccPower";#N/A,#N/A,TRUE,"Model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name="wrn.print._all1." hidden="1">{#N/A,#N/A,FALSE,"Pharm";#N/A,#N/A,FALSE,"WWCM"}</definedName>
    <definedName name="wrn.Print.2" hidden="1">{#N/A,#N/A,FALSE,"Assumps";#N/A,#N/A,FALSE,"Data";#N/A,#N/A,FALSE,"Data (2)";#N/A,#N/A,FALSE,"AcqyrP&amp;L";#N/A,#N/A,FALSE,"Acq+1P&amp;L";#N/A,#N/A,FALSE,"Acq+2P&amp;L";#N/A,#N/A,FALSE,"Cashflow";#N/A,#N/A,FALSE,"BalSheet";#N/A,#N/A,FALSE,"Bidder";#N/A,#N/A,FALSE,"Target";#N/A,#N/A,FALSE,"Tgtann";#N/A,#N/A,FALSE,"Topt";#N/A,#N/A,FALSE,"Disp";#N/A,#N/A,FALSE,"Dann";#N/A,#N/A,FALSE,"Syns"}</definedName>
    <definedName name="wrn.Print.out." hidden="1">{#N/A,#N/A,TRUE,"Cover";#N/A,#N/A,TRUE,"Summary";#N/A,#N/A,TRUE,"P&amp;L";#N/A,#N/A,TRUE,"BS";#N/A,#N/A,TRUE,"CF";#N/A,#N/A,TRUE,"Auna TLC";#N/A,#N/A,TRUE,"Amena - Market Evolution";#N/A,#N/A,TRUE,"Amena - Revenues";#N/A,#N/A,TRUE,"Debt &amp; Obligations";#N/A,#N/A,TRUE,"Assets &amp; Deferred Rights";#N/A,#N/A,TRUE,"BB internet market - comps";#N/A,#N/A,TRUE,"CaTV market - comps"}</definedName>
    <definedName name="wrn.Print_All." hidden="1">{"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name="wrn.Print_Buyer." hidden="1">{#N/A,"DR",FALSE,"increm pf";#N/A,"MAMSI",FALSE,"increm pf";#N/A,"MAXI",FALSE,"increm pf";#N/A,"PCAM",FALSE,"increm pf";#N/A,"PHSV",FALSE,"increm pf";#N/A,"SIE",FALSE,"increm pf"}</definedName>
    <definedName name="wrn.Print_Comps_Report." hidden="1">{"comps1_1",#N/A,FALSE,"Comps1";"comps1_2",#N/A,FALSE,"Comps1";"comps1_3",#N/A,FALSE,"Comps1";"comps1_4",#N/A,FALSE,"Comps1";"comps1_5",#N/A,FALSE,"Comps1";"comps2_1",#N/A,FALSE,"Comps2";"comps2_2",#N/A,FALSE,"Comps2";"comps2_3",#N/A,FALSE,"Comps2";"comps2_4",#N/A,FALSE,"Comps2";"comps2_5",#N/A,FALSE,"Comps2"}</definedName>
    <definedName name="wrn.Print_CSC." hidden="1">{"CSC_1",#N/A,FALSE,"CSC Outputs";"CSC_2",#N/A,FALSE,"CSC Outputs"}</definedName>
    <definedName name="wrn.Print_CSC2" hidden="1">{"CSC_1",#N/A,FALSE,"CSC Outputs";"CSC_2",#N/A,FALSE,"CSC Outputs"}</definedName>
    <definedName name="wrn.Print_Earnings_template." hidden="1">{"by_month",#N/A,TRUE,"template";"destec_month",#N/A,TRUE,"template";"by_quarter",#N/A,TRUE,"template";"destec_quarter",#N/A,TRUE,"template";"by_year",#N/A,TRUE,"template";"destec_annual",#N/A,TRUE,"template"}</definedName>
    <definedName name="wrn.Print_Index." hidden="1">{"Index",#N/A,FALSE,"Index"}</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 hidden="1">{"var_page",#N/A,FALSE,"template"}</definedName>
    <definedName name="wrn.print1." hidden="1">{"inc1",#N/A,TRUE,"Inc. Statement";"inc2",#N/A,TRUE,"Inc. Statement";"inc3",#N/A,TRUE,"Inc. Statement"}</definedName>
    <definedName name="wrn.print2" hidden="1">{#N/A,#N/A,FALSE,"Pharm";#N/A,#N/A,FALSE,"WWCM"}</definedName>
    <definedName name="wrn.PRINT2." hidden="1">{"PAGE1",#N/A,FALSE,"ADJMODL";"PAGE2",#N/A,FALSE,"ADJMODL";"PAGE3",#N/A,FALSE,"ADJMODL";"PAGE4",#N/A,FALSE,"ADJMODL";"PAGE5",#N/A,FALSE,"ADJMODL";"PAGE6",#N/A,FALSE,"ADJMODL";"PAGE7",#N/A,FALSE,"ADJMODL";"PAGE8",#N/A,FALSE,"ADJMODL"}</definedName>
    <definedName name="wrn.print3." hidden="1">{"page1",#N/A,FALSE,"PF";"page2",#N/A,FALSE,"PF";"page3",#N/A,FALSE,"PF";"page4",#N/A,FALSE,"Bal_Sht"}</definedName>
    <definedName name="wrn.printac." hidden="1">{#N/A,#N/A,FALSE,"Op-BS";#N/A,#N/A,FALSE,"Assum";#N/A,#N/A,FALSE,"IS";#N/A,#N/A,FALSE,"Syn+Elim";#N/A,#N/A,FALSE,"BSCF";#N/A,#N/A,FALSE,"Blue_IS";#N/A,#N/A,FALSE,"Blue_BSCF";#N/A,#N/A,FALSE,"Ratings"}</definedName>
    <definedName name="wrn.PrintAll." hidden="1">{"PA1",#N/A,TRUE,"BORDMW";"pa2",#N/A,TRUE,"BORDMW";"PA3",#N/A,TRUE,"BORDMW";"PA4",#N/A,TRUE,"BORDMW"}</definedName>
    <definedName name="wrn.printall12monthreports." hidden="1">{"printfs",#N/A,TRUE,"FS";"printdues",#N/A,TRUE,"DUES";"printlab",#N/A,TRUE,"LAB";"printsls",#N/A,TRUE,"SLS";"prints1",#N/A,TRUE,"S1";"printceo",#N/A,TRUE,"CEO";"printdepr",#N/A,TRUE,"DEPR";"Printsw",#N/A,TRUE,"SW";"printrtl",#N/A,TRUE,"RTL";"printgst",#N/A,TRUE,"GST";"printinst",#N/A,TRUE,"INST";"printstg",#N/A,TRUE,"STG";"printevts",#N/A,TRUE,"EVTS"}</definedName>
    <definedName name="wrn.printall2" hidden="1">{#N/A,#N/A,FALSE,"Table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name="wrn.printall3" hidden="1">{#N/A,#N/A,FALSE,"Table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name="wrn.printall5." hidden="1">{"printceo5",#N/A,FALSE,"CEO";"prints15",#N/A,FALSE,"S1";"printdepr5",#N/A,FALSE,"DEPR"}</definedName>
    <definedName name="wrn.printall9" hidden="1">{#N/A,#N/A,FALSE,"Table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name="wrn.printbackup." hidden="1">{"back1",#N/A,FALSE,"SterlingVinters";"back2",#N/A,FALSE,"SterlingVinters";"back3",#N/A,FALSE,"SterlingVinters";"back4",#N/A,FALSE,"SterlingVinters";"back5",#N/A,FALSE,"SterlingVinters";"back6",#N/A,FALSE,"SterlingVinters";"back7",#N/A,FALSE,"SterlingVinters";"back8",#N/A,FALSE,"SterlingVinters";"back9",#N/A,FALSE,"SterlingVinters";"back10",#N/A,FALSE,"SterlingVinters";"back11",#N/A,FALSE,"SterlingVinters";"back12",#N/A,FALSE,"SterlingVinters";"back13",#N/A,FALSE,"SterlingVinters";"back14",#N/A,FALSE,"SterlingVinters";"back15",#N/A,FALSE,"SterlingVinters";"back16",#N/A,FALSE,"SterlingVinters";"back17",#N/A,FALSE,"SterlingVinters";"back18",#N/A,FALSE,"SterlingVinters";"back19",#N/A,FALSE,"SterlingVinters";"back20",#N/A,FALSE,"SterlingVinters";"back21",#N/A,FALSE,"SterlingVinters";"back22",#N/A,FALSE,"SterlingVinters"}</definedName>
    <definedName name="wrn.printing." hidden="1">{#N/A,#N/A,FALSE,"trans"}</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name="wrn.Printing._.the._.transactions._.sheets." hidden="1">{#N/A,#N/A,FALSE,"Eastern";#N/A,#N/A,FALSE,"Western"}</definedName>
    <definedName name="wrn.Printing._.the._.transactions._.sheets.2" hidden="1">{#N/A,#N/A,FALSE,"Eastern";#N/A,#N/A,FALSE,"Western"}</definedName>
    <definedName name="wrn.printmodel." hidden="1">{"page1",#N/A,FALSE,"Model";"assumption1",#N/A,FALSE,"Model";"assumption2",#N/A,FALSE,"Model";"assumption3",#N/A,FALSE,"Model";"income1",#N/A,FALSE,"Model";"income2",#N/A,FALSE,"Model";"income3",#N/A,FALSE,"Model";"cashflow",#N/A,FALSE,"Model";"balance",#N/A,FALSE,"Model";"irr",#N/A,FALSE,"Model"}</definedName>
    <definedName name="wrn.printout." hidden="1">{#N/A,#N/A,FALSE,"BANNERS";#N/A,#N/A,FALSE,"Market";#N/A,#N/A,FALSE,"# of POP MAN";#N/A,#N/A,FALSE,"Penet Input";#N/A,#N/A,FALSE,"Tel Rev";#N/A,#N/A,FALSE,"Invest";#N/A,#N/A,FALSE,"Op Cost1";#N/A,#N/A,FALSE,"Op Cost2";#N/A,#N/A,FALSE,"Oth_&amp;_Tot_Revenues";#N/A,#N/A,FALSE,"Fin Mod";#N/A,#N/A,FALSE,"P&amp;E Burocrat";#N/A,#N/A,FALSE,"cash flow"}</definedName>
    <definedName name="wrn.Printout1" hidden="1">{"page1",#N/A,FALSE,"Casual RLE";"page2",#N/A,FALSE,"Casual RLE"}</definedName>
    <definedName name="wrn.printqtr." hidden="1">{"nytasecond",#N/A,FALSE,"NYTQTRS";"nytafirst",#N/A,FALSE,"NYTQTRS";"nytathird",#N/A,FALSE,"NYTQTRS";"nytafourth",#N/A,FALSE,"NYTQTRS";"nytafull",#N/A,FALSE,"NYTQTRS"}</definedName>
    <definedName name="wrn.printreg." hidden="1">{#N/A,#N/A,FALSE,"Sheet2"}</definedName>
    <definedName name="wrn.printreg2" hidden="1">{#N/A,#N/A,FALSE,"Sheet2"}</definedName>
    <definedName name="wrn.printreg3" hidden="1">{#N/A,#N/A,FALSE,"Sheet2"}</definedName>
    <definedName name="wrn.printreg4" hidden="1">{#N/A,#N/A,FALSE,"Sheet2"}</definedName>
    <definedName name="wrn.printreg5" hidden="1">{#N/A,#N/A,FALSE,"Sheet2"}</definedName>
    <definedName name="wrn.printreg7" hidden="1">{#N/A,#N/A,FALSE,"Sheet2"}</definedName>
    <definedName name="wrn.PRINTREP." hidden="1">{"PRINTREP",#N/A,FALSE,"Sheet1"}</definedName>
    <definedName name="wrn.printrreg2" hidden="1">{#N/A,#N/A,FALSE,"Sheet2"}</definedName>
    <definedName name="wrn.printsyns." hidden="1">{"dcfsyn",#N/A,FALSE,"DCFSYN";"senssyn",#N/A,FALSE,"DCFSYN"}</definedName>
    <definedName name="wrn.ProdAssump1_2000_2009." hidden="1">{"ProdAssump1_2000_2009",#N/A,FALSE,"ProdAssump"}</definedName>
    <definedName name="wrn.ProdAssump11_2000_2009." hidden="1">{"ProdAssump11_2000_2009",#N/A,FALSE,"ProdAssump"}</definedName>
    <definedName name="wrn.ProdAssump11_2009_2019." hidden="1">{"ProdAssump11_2009_2019",#N/A,FALSE,"ProdAssump"}</definedName>
    <definedName name="wrn.ProdAssump12_2010_2019." hidden="1">{"ProdAssump12_2010_2019",#N/A,FALSE,"ProdAssump"}</definedName>
    <definedName name="wrn.ProdAssump13_2000_2009." hidden="1">{"ProdAssump13_2000_2009",#N/A,FALSE,"ProdAssump"}</definedName>
    <definedName name="wrn.ProdAssump14_2010_2019." hidden="1">{"ProdAssump14_2010_2019",#N/A,FALSE,"ProdAssump"}</definedName>
    <definedName name="wrn.ProdAssump15_2000_2009." hidden="1">{"ProdAssump15_2000_2009",#N/A,FALSE,"ProdAssump"}</definedName>
    <definedName name="wrn.ProdAssump16_2010_2019." hidden="1">{"ProdAssump16_2010_2019",#N/A,FALSE,"ProdAssump"}</definedName>
    <definedName name="wrn.ProdAssump2_2010_2019." hidden="1">{"ProdAssump2_2010_2019",#N/A,FALSE,"ProdAssump"}</definedName>
    <definedName name="wrn.ProdAssump3_2000_2009." hidden="1">{"ProdAssump3_2000_2009",#N/A,FALSE,"ProdAssump"}</definedName>
    <definedName name="wrn.ProdAssump4_2010_2019." hidden="1">{"ProdAssump4_2010_2019",#N/A,FALSE,"ProdAssump"}</definedName>
    <definedName name="wrn.ProdAssump5_2000_2009." hidden="1">{"ProdAssump5_2000_2009",#N/A,FALSE,"ProdAssump"}</definedName>
    <definedName name="wrn.ProdAssump6_2010_2019." hidden="1">{"ProdAssump6_2010_2019",#N/A,FALSE,"ProdAssump"}</definedName>
    <definedName name="wrn.ProdAssump7_2000_2009." hidden="1">{"ProdAssump7_2000_2009",#N/A,FALSE,"ProdAssump"}</definedName>
    <definedName name="wrn.ProdAssump8_2010_2019." hidden="1">{"ProdAssump8_2010_2019",#N/A,FALSE,"ProdAssump"}</definedName>
    <definedName name="wrn.ProdAssump9_2009_2009." hidden="1">{"ProdAssump9_2000_2009",#N/A,FALSE,"ProdAssump"}</definedName>
    <definedName name="wrn.ProdAssumpTotal2000_2009." hidden="1">{"ProdAssumpTotal1",#N/A,FALSE,"ProdAssump"}</definedName>
    <definedName name="wrn.ProdAssumpTotal2010_2019." hidden="1">{"ProdAssumpTotal2",#N/A,FALSE,"ProdAssump"}</definedName>
    <definedName name="wrn.ProdQuantities1_2000_2009." hidden="1">{"ProdQuantities1_2000_2009",#N/A,FALSE,"ProdQuantities"}</definedName>
    <definedName name="wrn.ProdQuantities10_2010_2019." hidden="1">{"ProdQuantities10_2010_2019",#N/A,FALSE,"ProdQuantities"}</definedName>
    <definedName name="wrn.ProdQuantities11_2000_2009." hidden="1">{"ProdQuantities11_2000_2009",#N/A,FALSE,"ProdQuantities"}</definedName>
    <definedName name="wrn.ProdQuantities12_2010_2019." hidden="1">{"ProdQuantities12_2010_2019",#N/A,FALSE,"ProdQuantities"}</definedName>
    <definedName name="wrn.ProdQuantities2_2010_2019." hidden="1">{"ProdQuantities2_2010_2019",#N/A,FALSE,"ProdQuantities"}</definedName>
    <definedName name="wrn.ProdQuantities3_2000_2009." hidden="1">{"ProdQuantities3_2000_2009",#N/A,FALSE,"ProdQuantities"}</definedName>
    <definedName name="wrn.ProdQuantities5_2000_2009." hidden="1">{"ProdQuantities5_2000_2009",#N/A,FALSE,"ProdQuantities"}</definedName>
    <definedName name="wrn.ProdQuantities6_2000_2009." hidden="1">{"ProdQuantities6_2010_2019",#N/A,FALSE,"ProdQuantities"}</definedName>
    <definedName name="wrn.ProdQuantities7_2000_2009." hidden="1">{"ProdQuantities7_2000_2009",#N/A,FALSE,"ProdQuantities"}</definedName>
    <definedName name="wrn.ProdQuantities8_2010_2019." hidden="1">{"ProdQuantities8_2010_2019",#N/A,FALSE,"ProdQuantities"}</definedName>
    <definedName name="wrn.ProdQuantities9_2000_2009." hidden="1">{"ProdQuantities9_2000_2009",#N/A,FALSE,"ProdQuantities"}</definedName>
    <definedName name="wrn.ProdQuantitiesTotal2000_2009." hidden="1">{"ProdQuantitiesTotal2000_2009",#N/A,FALSE,"ProdQuantities"}</definedName>
    <definedName name="wrn.ProdQuantitiesTotal2010_2019." hidden="1">{"ProdQuantitiesTotal2010_2019",#N/A,FALSE,"ProdQuantities"}</definedName>
    <definedName name="wrn.Production." hidden="1">{#N/A,#N/A,FALSE,"Production"}</definedName>
    <definedName name="wrn.PRODUCTION._.COSTS." hidden="1">{"PRODUCTION COSTS",#N/A,FALSE,"C.CENTRE"}</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duktmix." hidden="1">{#N/A,#N/A,FALSE,"Print produktmix"}</definedName>
    <definedName name="wrn.Profile." hidden="1">{"Profile",#N/A,FALSE,"BXS"}</definedName>
    <definedName name="wrn.Profit._.Analysis." hidden="1">{#N/A,#N/A,FALSE,"Profit Status";#N/A,#N/A,FALSE,"Invest";#N/A,#N/A,FALSE,"Revenue";#N/A,#N/A,FALSE,"Variable Cost";#N/A,#N/A,FALSE,"Options &amp; Series"}</definedName>
    <definedName name="wrn.Profit._.Forecast." hidden="1">{#N/A,#N/A,FALSE,"Cover Page";#N/A,#N/A,FALSE,"Facing Page";#N/A,#N/A,FALSE,"Main Page";#N/A,#N/A,FALSE,"Risk-Adjusted";#N/A,#N/A,FALSE,"Profit Improvement"}</definedName>
    <definedName name="wrn.PROFIT._.LOSS._.AC." hidden="1">{"PROFIT LOSS AC",#N/A,FALSE,"P&amp;L FY97"}</definedName>
    <definedName name="wrn.Proforma." hidden="1">{"icd","icd",FALSE,"PROFORMA.XLS";"poly","poly",FALSE,"PROFORMA.XLS";"purper","purper",FALSE,"PROFORMA.XLS";"tchem","tchem",FALSE,"PROFORMA.XLS"}</definedName>
    <definedName name="wrn.PROFORMA._.CHECK._.BY._.DIVISION." hidden="1">{"PROFORMA CHECK BY DIVISION",#N/A,FALSE,"BSALLNOW.XLS"}</definedName>
    <definedName name="wrn.Programme._.Report." hidden="1">{"Summary",#N/A,FALSE,"Summary";"A&amp;A's",#N/A,FALSE,"Aids &amp; A's";"MajorWorks",#N/A,FALSE,"Major Works";"EstateImps",#N/A,FALSE,"Estate Imps";"CatC",#N/A,FALSE,"Cat C Voids";"CycProg",#N/A,FALSE,"Cyclical Prog inc MR"}</definedName>
    <definedName name="wrn.PROJECT." hidden="1">{#N/A,#N/A,FALSE,"P1";#N/A,#N/A,FALSE,"P2";#N/A,#N/A,FALSE,"P4";#N/A,#N/A,FALSE,"P5";#N/A,#N/A,FALSE,"P6";#N/A,#N/A,FALSE,"P7";#N/A,#N/A,FALSE,"P8";#N/A,#N/A,FALSE,"P9";#N/A,#N/A,FALSE,"P10"}</definedName>
    <definedName name="wrn.Project._.Package." hidden="1">{#N/A,#N/A,FALSE,"PROJPACK"}</definedName>
    <definedName name="wrn.Project._.Summary." hidden="1">{"Summary",#N/A,FALSE,"MICMULT";"Income Statement",#N/A,FALSE,"MICMULT";"Cash Flows",#N/A,FALSE,"MICMULT"}</definedName>
    <definedName name="wrn.Projection._.Inputs." hidden="1">{"Elkton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s." hidden="1">{"Volume",#N/A,FALSE,"volume";"revenue",#N/A,FALSE,"revenue"}</definedName>
    <definedName name="wrn.projeng." hidden="1">{"Commits",#N/A,FALSE,"Year"}</definedName>
    <definedName name="wrn.ProMonte." hidden="1">{#N/A,#N/A,FALSE,"Assump";"view1",#N/A,FALSE,"P&amp;L";"view2",#N/A,FALSE,"P&amp;L";#N/A,#N/A,FALSE,"P&amp;L PERC";"view1",#N/A,FALSE,"BS";"view2",#N/A,FALSE,"BS";#N/A,#N/A,FALSE,"CF";#N/A,#N/A,FALSE,"Debt Rep";#N/A,#N/A,FALSE,"Ratios";#N/A,#N/A,FALSE,"adjusted BS";#N/A,#N/A,FALSE,"96-97 P&amp;L";#N/A,#N/A,FALSE,"96-97 BS"}</definedName>
    <definedName name="wrn.PROPERTY._.AND._.EQUIP.." hidden="1">{#N/A,#N/A,FALSE,"M-1 Property and Equipment";#N/A,#N/A,FALSE,"M-2 Asset Additions";#N/A,#N/A,FALSE,"M-3 Property Disposals"}</definedName>
    <definedName name="wrn.pror" hidden="1">{#N/A,#N/A,FALSE,"Pharm";#N/A,#N/A,FALSE,"WWCM"}</definedName>
    <definedName name="wrn.Proyección._.2007." hidden="1">{#N/A,#N/A,TRUE,"ingtemat"}</definedName>
    <definedName name="wrn.prueba." hidden="1">{#N/A,#N/A,FALSE,"Proyección 1998-2007"}</definedName>
    <definedName name="wrn.PT." hidden="1">{"PT2000",#N/A,FALSE,"BL2000"}</definedName>
    <definedName name="wrn.Publications." hidden="1">{"Page 1",#N/A,FALSE;"Page 2",#N/A,FALSE}</definedName>
    <definedName name="wrn.PUCSPADD." hidden="1">{#N/A,"PURCHM",FALSE,"Business Analysis";#N/A,"SPADD",FALSE,"Business Analysis"}</definedName>
    <definedName name="wrn.PUCSPADD.2" hidden="1">{#N/A,"PURCHM",FALSE,"Business Analysis";#N/A,"SPADD",FALSE,"Business Analysis"}</definedName>
    <definedName name="wrn.pucspadd1" hidden="1">{#N/A,"PURCHM",FALSE,"Business Analysis";#N/A,"SPADD",FALSE,"Business Analysis"}</definedName>
    <definedName name="wrn.pucspadd10" hidden="1">{#N/A,"PURCHM",FALSE,"Business Analysis";#N/A,"SPADD",FALSE,"Business Analysis"}</definedName>
    <definedName name="wrn.pucspadd102" hidden="1">{#N/A,"PURCHM",FALSE,"Business Analysis";#N/A,"SPADD",FALSE,"Business Analysis"}</definedName>
    <definedName name="wrn.pucspadd11" hidden="1">{#N/A,"PURCHM",FALSE,"Business Analysis";#N/A,"SPADD",FALSE,"Business Analysis"}</definedName>
    <definedName name="wrn.pucspadd12" hidden="1">{#N/A,"PURCHM",FALSE,"Business Analysis";#N/A,"SPADD",FALSE,"Business Analysis"}</definedName>
    <definedName name="wrn.pucspadd31" hidden="1">{#N/A,"PURCHM",FALSE,"Business Analysis";#N/A,"SPADD",FALSE,"Business Analysis"}</definedName>
    <definedName name="wrn.Pucspadd34" hidden="1">{#N/A,"PURCHM",FALSE,"Business Analysis";#N/A,"SPADD",FALSE,"Business Analysis"}</definedName>
    <definedName name="wrn.PUCSPADD35" hidden="1">{#N/A,"PURCHM",FALSE,"Business Analysis";#N/A,"SPADD",FALSE,"Business Analysis"}</definedName>
    <definedName name="wrn.Pulp." hidden="1">{"Pulp Production",#N/A,FALSE,"Pulp";"Pulp Earnings",#N/A,FALSE,"Pulp"}</definedName>
    <definedName name="wrn.Pulp.2" hidden="1">{"Pulp Production",#N/A,FALSE,"Pulp";"Pulp Earnings",#N/A,FALSE,"Pulp"}</definedName>
    <definedName name="wrn.Pulp.3" hidden="1">{"Pulp Production",#N/A,FALSE,"Pulp";"Pulp Earnings",#N/A,FALSE,"Pulp"}</definedName>
    <definedName name="wrn.Pulp.3.2" hidden="1">{"Pulp Production",#N/A,FALSE,"Pulp";"Pulp Earnings",#N/A,FALSE,"Pulp"}</definedName>
    <definedName name="wrn.Pulp.3.4" hidden="1">{"Pulp Production",#N/A,FALSE,"Pulp";"Pulp Earnings",#N/A,FALSE,"Pulp"}</definedName>
    <definedName name="wrn.Pulp.3.6" hidden="1">{"Pulp Production",#N/A,FALSE,"Pulp";"Pulp Earnings",#N/A,FALSE,"Pulp"}</definedName>
    <definedName name="wrn.Pulp.4" hidden="1">{"Pulp Production",#N/A,FALSE,"Pulp";"Pulp Earnings",#N/A,FALSE,"Pulp"}</definedName>
    <definedName name="wrn.Pulp.5" hidden="1">{"Pulp Production",#N/A,FALSE,"Pulp";"Pulp Earnings",#N/A,FALSE,"Pulp"}</definedName>
    <definedName name="wrn.Pulp.6" hidden="1">{"Pulp Production",#N/A,FALSE,"Pulp";"Pulp Earnings",#N/A,FALSE,"Pulp"}</definedName>
    <definedName name="wrn.Pulp.7" hidden="1">{"Pulp Production",#N/A,FALSE,"Pulp";"Pulp Earnings",#N/A,FALSE,"Pulp"}</definedName>
    <definedName name="wrn.Pulp.8" hidden="1">{"Pulp Production",#N/A,FALSE,"Pulp";"Pulp Earnings",#N/A,FALSE,"Pulp"}</definedName>
    <definedName name="wrn.Pulp.9" hidden="1">{"Pulp Production",#N/A,FALSE,"Pulp";"Pulp Earnings",#N/A,FALSE,"Pulp"}</definedName>
    <definedName name="wrn.Pump." hidden="1">{#N/A,#N/A,FALSE,"Assump";#N/A,#N/A,FALSE,"Income";#N/A,#N/A,FALSE,"Balance";#N/A,#N/A,FALSE,"DCF Pump";#N/A,#N/A,FALSE,"Trans Assump";#N/A,#N/A,FALSE,"Combined Income";#N/A,#N/A,FALSE,"Combined Balance"}</definedName>
    <definedName name="wrn.Q1._.QUARTER._.TO._.DATE." hidden="1">{"Q1QTD",#N/A,FALSE,"Q1"}</definedName>
    <definedName name="wrn.Q1F." hidden="1">{#N/A,#N/A,FALSE,"Q1F";"Q1F",#N/A,FALSE,"Q1F"}</definedName>
    <definedName name="wrn.Q2._.QUARTER._.TO._.DATE." hidden="1">{"QUARTER TO DATE",#N/A,FALSE,"Q2"}</definedName>
    <definedName name="wrn.Q2F." hidden="1">{#N/A,#N/A,FALSE,"Q2F";"Q2F",#N/A,FALSE,"Q2F"}</definedName>
    <definedName name="wrn.Q3._.QUARTER._.TO._.DATE." hidden="1">{"QUARTER TO DATE",#N/A,FALSE,"Q3"}</definedName>
    <definedName name="wrn.Q3F." hidden="1">{"Q3F",#N/A,FALSE,"Q3F"}</definedName>
    <definedName name="wrn.Q4._.QUARTER._.TO._.DATE." hidden="1">{"QUARTER TO DATE",#N/A,FALSE,"Q4"}</definedName>
    <definedName name="wrn.Q4F." hidden="1">{"Q4F",#N/A,FALSE,"Q4F"}</definedName>
    <definedName name="wrn.QFR._.Slides." hidden="1">{#N/A,#N/A,FALSE,"QFR P&amp;L Summary ";#N/A,#N/A,FALSE,"QFR Regional Ord&amp;Rev";#N/A,#N/A,FALSE,"QFR Risks &amp; Opport."}</definedName>
    <definedName name="wrn.QQ_Quick_Merge_3yr."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3yr.2" hidden="1">{"Cover",#N/A,FALSE,"Cover";"trans_sum_print",#N/A,FALSE,"Transaction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4yr.2" hidden="1">{"Cover",#N/A,FALSE,"Cover";"trans_sum_print",#N/A,FALSE,"Transaction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5yr.2" hidden="1">{"Cover",#N/A,FALSE,"Cover";"trans_sum_print",#N/A,FALSE,"Transaction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_Quick_Merge_6yr.2"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 hidden="1">{"Cover",#N/A,FALSE,"Cover";"trans_sum_print",#N/A,FALSE,"Transaction Summary";"earnings_impact_3yrQQ",#N/A,FALSE,"Earnings Impact";"accr_dil_3yr",#N/A,FALSE,"accretion dilution"}</definedName>
    <definedName name="wrn.QQQ_Quick_Merge_3yr.2" hidden="1">{"Cover",#N/A,FALSE,"Cover";"trans_sum_print",#N/A,FALSE,"Transaction Summary";"earnings_impact_3yrQQ",#N/A,FALSE,"Earnings Impact";"accr_dil_3yr",#N/A,FALSE,"accretion dilution"}</definedName>
    <definedName name="wrn.QQQ_Quick_Merge_4yr." hidden="1">{"Cover",#N/A,FALSE,"Cover";"trans_sum_print",#N/A,FALSE,"Transaction Summary";"earnings_impact_4yrQQ",#N/A,FALSE,"Earnings Impact";"accr_dil_4yr",#N/A,FALSE,"accretion dilution"}</definedName>
    <definedName name="wrn.QQQ_Quick_Merge_4yr.2" hidden="1">{"Cover",#N/A,FALSE,"Cover";"trans_sum_print",#N/A,FALSE,"Transaction Summary";"earnings_impact_4yrQQ",#N/A,FALSE,"Earnings Impact";"accr_dil_4yr",#N/A,FALSE,"accretion dilution"}</definedName>
    <definedName name="wrn.QQQ_Quick_Merge_5yr." hidden="1">{"Cover",#N/A,FALSE,"Cover";"trans_sum_print",#N/A,FALSE,"Transaction Summary";"earnings_impact_5yrQQ",#N/A,FALSE,"Earnings Impact";"accr_dil_5yr",#N/A,FALSE,"accretion dilution"}</definedName>
    <definedName name="wrn.QQQ_Quick_Merge_5yr.2" hidden="1">{"Cover",#N/A,FALSE,"Cover";"trans_sum_print",#N/A,FALSE,"Transaction Summary";"earnings_impact_5yrQQ",#N/A,FALSE,"Earnings Impact";"accr_dil_5yr",#N/A,FALSE,"accretion dilution"}</definedName>
    <definedName name="wrn.QQQ_Quick_Merge_6yr." hidden="1">{"Cover",#N/A,FALSE,"Cover";"trans_sum_print",#N/A,FALSE,"Transaction Summary";"earnings_impact_6yrQQ",#N/A,FALSE,"Earnings Impact";"accr_dil_6yr",#N/A,FALSE,"accretion dilution"}</definedName>
    <definedName name="wrn.QQQ_Quick_Merge_6yr.2" hidden="1">{"Cover",#N/A,FALSE,"Cover";"trans_sum_print",#N/A,FALSE,"Transaction Summary";"earnings_impact_6yrQQ",#N/A,FALSE,"Earnings Impact";"accr_dil_6yr",#N/A,FALSE,"accretion dilution"}</definedName>
    <definedName name="wrn.Qrtly._.Grp._.Consol." hidden="1">{"QTRLYGrpConsol",#N/A,FALSE,"Grp Consol"}</definedName>
    <definedName name="wrn.Qrtly._.International." hidden="1">{"QTRLYInternational",#N/A,FALSE,"International"}</definedName>
    <definedName name="wrn.QTD." hidden="1">{"QTD",#N/A,FALSE,"SUM"}</definedName>
    <definedName name="wrn.QTD_ALL." hidden="1">{"QTD_LPO2N2",#N/A,FALSE,"QTD";"QTD_HYCO",#N/A,FALSE,"QTD";"QTD_LOUISIANA",#N/A,FALSE,"QTD";"QTD_GENERALH2",#N/A,FALSE,"QTD";"QTD_PACKAGE",#N/A,FALSE,"QTD";"QTD_PRS",#N/A,FALSE,"QTD";"QTD_OTHER",#N/A,FALSE,"QTD"}</definedName>
    <definedName name="wrn.QTD_GENERAL._.H2." hidden="1">{"QTD_GENERALH2",#N/A,FALSE,"QTD"}</definedName>
    <definedName name="wrn.QTD_HYCO." hidden="1">{"QTD_HYCO",#N/A,FALSE,"QTD"}</definedName>
    <definedName name="wrn.QTD_LOUISIANA." hidden="1">{"QTD_LOUISIANA",#N/A,FALSE,"QTD"}</definedName>
    <definedName name="wrn.QTD_LPTEO2N2." hidden="1">{"QTD_LPO2N2",#N/A,FALSE,"QTD"}</definedName>
    <definedName name="wrn.QTD_OTHER." hidden="1">{"QTD_OTHER",#N/A,FALSE,"QTD"}</definedName>
    <definedName name="wrn.QTD_PACKAGE." hidden="1">{"QTD_PACKAGE",#N/A,FALSE,"QTD"}</definedName>
    <definedName name="wrn.QTD_PRS." hidden="1">{"QTD_PRS",#N/A,FALSE,"QTD"}</definedName>
    <definedName name="wrn.Qtr._.3." hidden="1">{"QTR3PL",#N/A,FALSE,"Qtr 3";"QTR3PLYTD",#N/A,FALSE,"Qtr 3";"QTR3BS",#N/A,FALSE,"Qtr 3";"QTR3CF",#N/A,FALSE,"Qtr 3";"QTR3CFYTD",#N/A,FALSE,"Qtr 3";"QTR3PGIPL",#N/A,FALSE,"Qtr 3";"QTR3PGIPLYTD",#N/A,FALSE,"Qtr 3";"QTR3PGIBS",#N/A,FALSE,"Qtr 3";"QTR3PGICF",#N/A,FALSE,"Qtr 3";"QTR3PGICFYTD",#N/A,FALSE,"Qtr 3"}</definedName>
    <definedName name="wrn.QTR1." hidden="1">{"QTR1PGIBS",#N/A,FALSE,"Qtr 1 PGI";"QTR1PGIPL",#N/A,FALSE,"Qtr 1 PGI";"QTR1PGICF",#N/A,FALSE,"Qtr 1 PGI";"QTR1BS",#N/A,FALSE,"Qtr 1 ";"QTR1PL",#N/A,FALSE,"Qtr 1 ";"QTR1CF",#N/A,FALSE,"Qtr 1 "}</definedName>
    <definedName name="wrn.Qtr2." hidden="1">{"QTR2PL",#N/A,FALSE,"Qtr 2";"QTR2PLYTD",#N/A,FALSE,"Qtr 2";"QTR2BS",#N/A,FALSE,"Qtr 2";"QTR2CF",#N/A,FALSE,"Qtr 2";"QTR2CFYTD",#N/A,FALSE,"Qtr 2";"QTR2PGIPL",#N/A,FALSE,"Qtr 2 PGI";"QTR2PGIPLYTD",#N/A,FALSE,"Qtr 2 PGI";"QTR2PGIBS",#N/A,FALSE,"Qtr 2 PGI";"QTR2PGICF",#N/A,FALSE,"Qtr 2 PGI";"QTR2PGICFYTD",#N/A,FALSE,"Qtr 2 PGI"}</definedName>
    <definedName name="wrn.QTRLY." hidden="1">{"QTRLY1999",#N/A,FALSE,"QTRLY";"QTRLY2000",#N/A,FALSE,"QTRLY";"QTRLY2001",#N/A,FALSE,"QTRLY"}</definedName>
    <definedName name="wrn.Qtrly._.Corporate." hidden="1">{"QTRLYCorporate",#N/A,FALSE,"Corporate"}</definedName>
    <definedName name="wrn.Qtrly._.Funding." hidden="1">{"QTRLYFunding",#N/A,FALSE,"Funding"}</definedName>
    <definedName name="wrn.Qtrly._.Grp._.Adjustments." hidden="1">{"QTRLYGrpAdj",#N/A,FALSE,"Grp Adj"}</definedName>
    <definedName name="wrn.Qtrly._.HTUK." hidden="1">{"QTRLYHTUK",#N/A,FALSE,"HTUK"}</definedName>
    <definedName name="wrn.Qtrly._.OIDL." hidden="1">{"QTRLYOIDL",#N/A,FALSE,"OIDL"}</definedName>
    <definedName name="wrn.Qtrly._.Reports." hidden="1">{#N/A,#N/A,FALSE,"Current Qtr";#N/A,#N/A,FALSE,"YTD Qtr";#N/A,#N/A,FALSE,"Prior Qtr"}</definedName>
    <definedName name="wrn.Qtrly._.Trust." hidden="1">{"QTRLYTrust",#N/A,FALSE,"Trust"}</definedName>
    <definedName name="wrn.quart" hidden="1">{#N/A,#N/A,FALSE,"Sheet2"}</definedName>
    <definedName name="wrn.QUARTERLY." hidden="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Summary." hidden="1">{#N/A,#N/A,FALSE,"Quarterly Summary"}</definedName>
    <definedName name="wrn.quarterrep." hidden="1">{#N/A,#N/A,FALSE,"Sheet2"}</definedName>
    <definedName name="wrn.quarterrep2" hidden="1">{#N/A,#N/A,FALSE,"Sheet2"}</definedName>
    <definedName name="wrn.quarterrep3" hidden="1">{#N/A,#N/A,FALSE,"Sheet2"}</definedName>
    <definedName name="wrn.Quarters." hidden="1">{"All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name="wrn.Quick_Merge_3yr."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3yr.2" hidden="1">{"Cover",#N/A,FALSE,"Cover";"trans_sum_debt",#N/A,FALSE,"Transaction_Sum_debt_Stats";"earnings_impact_3yr",#N/A,FALSE,"Earnings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4yr.2" hidden="1">{"Cover",#N/A,FALSE,"Cover";"trans_sum_debt",#N/A,FALSE,"Transaction_Sum_debt_Stats";"earnings_impact_4yr",#N/A,FALSE,"Earnings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5yr.2" hidden="1">{"Cover",#N/A,FALSE,"Cover";"trans_sum_debt",#N/A,FALSE,"Transaction_Sum_debt_Stats";"earnings_impact_5yr",#N/A,FALSE,"Earnings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_Merge_6yr.2" hidden="1">{"Cover",#N/A,FALSE,"Cover";"trans_sum_debt",#N/A,FALSE,"Transaction_Sum_debt_Stats";"earnings_impact_6yr",#N/A,FALSE,"Earnings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Range._.Values." hidden="1">{"page1",#N/A,FALSE,"Range Value - Incl Reclasses";"page2",#N/A,FALSE,"Range Value - Incl Reclasses";"page3",#N/A,FALSE,"Range Value - Incl Reclasses"}</definedName>
    <definedName name="wrn.RAP." hidden="1">{"Y.1",#N/A,TRUE,"SIEMENS";"Y.2",#N/A,TRUE,"ALCATEL";"Y.3",#N/A,TRUE,"MOTOROLA";"Y.4",#N/A,TRUE,"DİĞER";"Y.5",#N/A,TRUE,"LG-5";"Y.6",#N/A,TRUE,"LG-5";"Y.7",#N/A,TRUE,"LG-4";"Y.8",#N/A,TRUE,"LG-4";"Y.10",#N/A,TRUE,"LG-4";"Y.9",#N/A,TRUE,"LG-4";"TERMİNAL",#N/A,TRUE,"TERMİNAL";"DETECON",#N/A,TRUE,"DETECON";"Y.10",#N/A,TRUE,"TEMİNAT";"Y.11",#N/A,TRUE,"TEMİNAT"}</definedName>
    <definedName name="wrn.rapport._.1." hidden="1">{#N/A,#N/A,TRUE,"Forecast &amp; Analysis";#N/A,#N/A,TRUE,"Market Values";#N/A,#N/A,TRUE,"Ratios";#N/A,#N/A,TRUE,"Regressions";#N/A,#N/A,TRUE,"Market Values";#N/A,#N/A,TRUE,"Parameters &amp; Results"}</definedName>
    <definedName name="wrn.ratios." hidden="1">{"ratios",#N/A,FALSE,"Summary Accounts"}</definedName>
    <definedName name="wrn.reagan." hidden="1">{"reagan is",#N/A,FALSE,"CONS IS";"reagan na",#N/A,FALSE,"NOTE PAYMENTS";"reagan bs",#N/A,FALSE,"CONS BS";"reagan cf",#N/A,FALSE,"CONS BS";"reagan ds",#N/A,FALSE,"CONS BS"}</definedName>
    <definedName name="wrn.RECEIVABLES." hidden="1">{#N/A,#N/A,FALSE,"C-1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n._.Report." hidden="1">{"Recon",#N/A,FALSE,"GL Recons";"Recon Detail",#N/A,FALSE,"GL Recons"}</definedName>
    <definedName name="wrn.Reconciliation." hidden="1">{"Reconciliation",#N/A,FALSE,"Page 2"}</definedName>
    <definedName name="wrn.redo." hidden="1">{"overview",#N/A,FALSE,"summary";"net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forcast._.Print." hidden="1">{#N/A,#N/A,FALSE,"RF Inc Stmt";#N/A,#N/A,FALSE,"RF-IS-1";#N/A,#N/A,FALSE,"RF-IS-2"}</definedName>
    <definedName name="wrn.Reforecast." hidden="1">{#N/A,#N/A,FALSE,"Assumptions";#N/A,#N/A,FALSE,"Reforecast";#N/A,#N/A,FALSE,"Inc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wrn.Régression_client." hidden="1">{"reg_edition client",#N/A,FALSE,"Regressions"}</definedName>
    <definedName name="wrn.Régression_travail." hidden="1">{"reg_travail",#N/A,FALSE,"Regressions"}</definedName>
    <definedName name="wrn.regressions._.corrigees." hidden="1">{"regression corrigées",#N/A,FALSE,"Regressions"}</definedName>
    <definedName name="wrn.régressions._.corrigées." hidden="1">{"regression corrigées",#N/A,FALSE,"Regressions"}</definedName>
    <definedName name="wrn.Reisekosten._.und._.Timesheet." hidden="1">{#N/A,#N/A,TRUE,"Time";#N/A,#N/A,TRUE,"VER";#N/A,#N/A,TRUE,"K1_R";#N/A,#N/A,TRUE,"K2_R";#N/A,#N/A,TRUE,"K3_R";#N/A,#N/A,TRUE,"K4_R";#N/A,#N/A,TRUE,"K5_R";#N/A,#N/A,TRUE,"K6_R";#N/A,#N/A,TRUE,"K7_R"}</definedName>
    <definedName name="wrn.Reisekosten._.und._.Timesheets." hidden="1">{#N/A,#N/A,FALSE,"DK1VER";#N/A,#N/A,FALSE,"DK1VER"}</definedName>
    <definedName name="wrn.Relevant."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LEVANTSHEETS." hidden="1">{#N/A,#N/A,FALSE,"AD_Purch";#N/A,#N/A,FALSE,"Projections";#N/A,#N/A,FALSE,"DCF";#N/A,#N/A,FALSE,"Mkt Val"}</definedName>
    <definedName name="wrn.rep." hidden="1">{"test",#N/A,FALSE,"Y";"test2",#N/A,FALSE,"Y"}</definedName>
    <definedName name="wrn.rep_page." hidden="1">{"Annual_Income",#N/A,FALSE,"Report Page";"Balance_Cash_Flow",#N/A,FALSE,"Report Page";"Quarterly_Income",#N/A,FALSE,"Report Page"}</definedName>
    <definedName name="wrn.Replacement._.Cost." hidden="1">{#N/A,#N/A,TRUE,"Cover Repl";#N/A,#N/A,TRUE,"P&amp;L";#N/A,#N/A,TRUE,"P&amp;L (2)";#N/A,#N/A,TRUE,"BS";#N/A,#N/A,TRUE,"Depreciation";#N/A,#N/A,TRUE,"GRAPHS";#N/A,#N/A,TRUE,"DCF EBITDA Multiple";#N/A,#N/A,TRUE,"DCF Perpetual Growth"}</definedName>
    <definedName name="wrn.Report." hidden="1">{#N/A,#N/A,TRUE,"Cover";#N/A,#N/A,TRUE,"Summary";#N/A,#N/A,TRUE,"P&amp;L";#N/A,#N/A,TRUE,"CF";#N/A,#N/A,TRUE,"BS";#N/A,#N/A,TRUE,"CaTV";#N/A,#N/A,TRUE,"Internet";#N/A,#N/A,TRUE,"Network";#N/A,#N/A,TRUE,"Assets &amp; Deferred Rights";#N/A,#N/A,TRUE,"Debt &amp; Obligations"}</definedName>
    <definedName name="wrn.Report._.2." hidden="1">{#N/A,#N/A,TRUE,"Pivots-Employee";#N/A,"Scenerio2",TRUE,"Assumptions Summary"}</definedName>
    <definedName name="wrn.Report._.english." hidden="1">{#N/A,#N/A,FALSE,"Report-Generator";#N/A,#N/A,FALSE,"Page 1 Summary";#N/A,#N/A,FALSE,"Page 2 IRR";#N/A,#N/A,FALSE,"Page 3a Volume Profile";#N/A,#N/A,FALSE,"Page 3b Volume Profile";#N/A,#N/A,FALSE,"Page 3c Volume Profile";#N/A,#N/A,FALSE,"Page 4 Volume Profile, Mix";#N/A,#N/A,FALSE,"Page 5 Product Investment";#N/A,#N/A,FALSE,"Page 6 Variable Costs";#N/A,#N/A,FALSE,"Page 7 Contribution Comparison1";#N/A,#N/A,FALSE,"Page 8 Contribution Comparison2";#N/A,#N/A,FALSE,"Page 9 Contribution Comparison3";#N/A,#N/A,FALSE,"Page 10 IRR Calculation"}</definedName>
    <definedName name="wrn.Report_Page." hidden="1">{"Annual_Income",#N/A,FALSE,"Report Page";"Balance_Cash_Flow",#N/A,FALSE,"Report Page";"Quarterly_Income",#N/A,FALSE,"Report Page"}</definedName>
    <definedName name="wrn.Report_PR_1." hidden="1">{"PR1","pr1",TRUE,"Sch PR-1"}</definedName>
    <definedName name="wrn.Report1." hidden="1">{#N/A,#N/A,FALSE,"IS";#N/A,#N/A,FALSE,"BS";#N/A,#N/A,FALSE,"CF";#N/A,#N/A,FALSE,"CE";#N/A,#N/A,FALSE,"Depr";#N/A,#N/A,FALSE,"APAL"}</definedName>
    <definedName name="wrn.REPORTING._.PACKAGE." hidden="1">{#N/A,#N/A,TRUE,"Cover";#N/A,#N/A,TRUE,"BS";#N/A,#N/A,TRUE,"BS (2)";#N/A,#N/A,TRUE,"BS (3)";#N/A,#N/A,TRUE,"Supp Info-BS";#N/A,#N/A,TRUE,"IS";#N/A,#N/A,TRUE,"IS (2)";#N/A,#N/A,TRUE,"IS (3)";#N/A,#N/A,TRUE,"Supp Info-IS";#N/A,#N/A,TRUE,"CF";#N/A,#N/A,TRUE,"Supp Info-CF";#N/A,#N/A,TRUE,"SH";#N/A,#N/A,TRUE,"Supp Info-SH"}</definedName>
    <definedName name="wrn.Reports_Mo." hidden="1">{#N/A,#N/A,FALSE,"PERFCTRL Report";#N/A,#N/A,FALSE,"PerfCtrl WideRpt";#N/A,#N/A,FALSE,"Rpts(1A)";#N/A,#N/A,FALSE,"MoRpt Detail";#N/A,#N/A,FALSE,"Analysis"}</definedName>
    <definedName name="wrn.Reports_Qtrs." hidden="1">{#N/A,#N/A,FALSE,"PERFCTRL Report";#N/A,#N/A,FALSE,"PerfCtrl WideRpt";#N/A,#N/A,FALSE,"Rpts(1A)";#N/A,#N/A,FALSE,"Analysis";#N/A,#N/A,FALSE,"MoRpt Detail";#N/A,#N/A,FALSE,"Rpt_1A(QTR)";#N/A,#N/A,FALSE,"Anal_QTR"}</definedName>
    <definedName name="wrn.Restricted._.Rpts." hidden="1">{"RptRY",#N/A,FALSE,"CDGy";"RptRQ",#N/A,FALSE,"CDGq";"RptRM",#N/A,FALSE,"CDGm"}</definedName>
    <definedName name="wrn.RESULTADO." hidden="1">{#N/A,#N/A,FALSE,"DRE-2";#N/A,#N/A,FALSE,"DRE";#N/A,#N/A,FALSE,"ANEX-07";#N/A,#N/A,FALSE,"ANEX-08";#N/A,#N/A,FALSE,"ANEX-09";#N/A,#N/A,FALSE,"ANEX-10";#N/A,#N/A,FALSE,"ANEX-11";#N/A,#N/A,FALSE,"ANEX-12";#N/A,#N/A,FALSE,"ANEX-13";#N/A,#N/A,FALSE,"ANEX-14";#N/A,#N/A,FALSE,"BALPTR"}</definedName>
    <definedName name="wrn.resultats_edition._.client." hidden="1">{"résultats_édition client",#N/A,FALSE,"Résultats"}</definedName>
    <definedName name="wrn.Résultats_édition._.client." hidden="1">{"résultats_édition client",#N/A,FALSE,"Résultats"}</definedName>
    <definedName name="wrn.Résultats_travail." hidden="1">{"res_travail",#N/A,FALSE,"Résultats"}</definedName>
    <definedName name="wrn.RESULTS." hidden="1">{#N/A,#N/A,FALSE,"HMF";#N/A,#N/A,FALSE,"FACIL";#N/A,#N/A,FALSE,"HMFINANCE";#N/A,#N/A,FALSE,"HMEUROPE";#N/A,#N/A,FALSE,"HHAB CONSO";#N/A,#N/A,FALSE,"PAB";#N/A,#N/A,FALSE,"MMC";#N/A,#N/A,FALSE,"THAI";#N/A,#N/A,FALSE,"SINPA";#N/A,#N/A,FALSE,"POLAND"}</definedName>
    <definedName name="wrn.RESUME._.ANNEXE." hidden="1">{"RESUME ANNEXE",#N/A,FALSE,"résumé annexe"}</definedName>
    <definedName name="wrn.RESUMENES." hidden="1">{"RESUMEN",#N/A,FALSE,"BASE ANEXOS";"ANEXO 1",#N/A,FALSE,"BASE ANEXOS";"ANEXO 2",#N/A,FALSE,"BASE ANEXOS"}</definedName>
    <definedName name="wrn.REV1." hidden="1">{"FORM1",#N/A,FALSE,"Revenue";"FORMTR",#N/A,FALSE,"Revenue";"FORM3.1",#N/A,FALSE,"Revenue"}</definedName>
    <definedName name="wrn.REVENUE." hidden="1">{"FORM1",#N/A,TRUE,"Revenue";"FORM1.1",#N/A,TRUE,"Revenue";"FORM1.2",#N/A,TRUE,"Revenue";"FORM2",#N/A,TRUE,"Revenue";"FORM2.1",#N/A,TRUE,"Revenue"}</definedName>
    <definedName name="wrn.review." hidden="1">{#N/A,#N/A,FALSE,"FRONTPG";#N/A,#N/A,FALSE,"STATUSREC";#N/A,#N/A,FALSE,"INELIG";#N/A,#N/A,FALSE,"ARACTIV";#N/A,#N/A,FALSE,"ARANAL";#N/A,#N/A,FALSE,"INVANAL";#N/A,#N/A,FALSE,"BALSHT";#N/A,#N/A,FALSE,"INCSTMT";#N/A,#N/A,FALSE,"CASHFLOW";#N/A,#N/A,FALSE,"TREND";#N/A,#N/A,FALSE,"LIAB"}</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kumuliert." hidden="1">{"TeleREVIkumuliert",#N/A,TRUE,"Tele";"GfREVIkumuliert",#N/A,TRUE,"Gf";"MktREVIkumuliert",#N/A,TRUE,"Mkt";"RTLTextREVIkumuliert",#N/A,TRUE,"RTLText";"ATXITVREVIkumuliert",#N/A,TRUE,"ATXITV";"TechREVIkumuliert",#N/A,TRUE,"Tech";"PufferREVIkumuliert",#N/A,TRUE,"Puffer"}</definedName>
    <definedName name="wrn.REVISED." hidden="1">{"REVISED",#N/A,FALSE,"Sheet1"}</definedName>
    <definedName name="wrn.revised._.CEC._.slides." hidden="1">{#N/A,#N/A,FALSE,"Revised cover";#N/A,#N/A,FALSE,"Trends";"main view",#N/A,FALSE,"As Reported";#N/A,#N/A,FALSE,"delegations";#N/A,#N/A,FALSE,"(un) Commited"}</definedName>
    <definedName name="wrn.REVIseparat." hidden="1">{"TeleREVIseparat",#N/A,TRUE,"Tele";"GfREVIseparat",#N/A,TRUE,"Gf";"MktREVIseparat",#N/A,TRUE,"Mkt";"RTLTextREVIseparat",#N/A,TRUE,"RTLText";"ATXITVREVIseparat",#N/A,TRUE,"ATXITV";"TechREVIseparat",#N/A,TRUE,"Tech";"PufferREVIseparat",#N/A,TRUE,"Puffer"}</definedName>
    <definedName name="wrn.Revs." hidden="1">{"Base_rev",#N/A,FALSE,"Proj_IS_Base";"Projrev",#N/A,FALSE,"Proj_IS_wOTLC";"Delta",#N/A,FALSE,"Delta Rev_PV"}</definedName>
    <definedName name="wrn.Riverwood_comp_model." hidden="1">{#N/A,#N/A,FALSE,"Che-Ga";#N/A,#N/A,FALSE,"Iv-Sm";#N/A,#N/A,FALSE,"So-We";#N/A,#N/A,FALSE,"Me-Po";#N/A,#N/A,FALSE,"Be-Bo";#N/A,#N/A,FALSE,"Cha-Ki";#N/A,#N/A,FALSE,"In";#N/A,#N/A,FALSE,"Schedule 23";#N/A,#N/A,FALSE,"Schedule 22";#N/A,#N/A,FALSE,"WACC"}</definedName>
    <definedName name="wrn.Robuster." hidden="1">{#N/A,#N/A,TRUE,"Cover";#N/A,#N/A,TRUE,"Descr";#N/A,#N/A,TRUE,"Control (In)";#N/A,#N/A,TRUE,"Op Margin";#N/A,#N/A,TRUE,"Depn";#N/A,#N/A,TRUE,"Finance";#N/A,#N/A,TRUE,"Tax";#N/A,#N/A,TRUE,"P &amp; L";#N/A,#N/A,TRUE,"CFS";#N/A,#N/A,TRUE,"BS";#N/A,#N/A,TRUE,"DCF";#N/A,#N/A,TRUE,"Ratios"}</definedName>
    <definedName name="wrn.Roll._.Up._.Fields." hidden="1">{"Total",#N/A,FALSE,"Six Fields";"PDP",#N/A,FALSE,"Six Fields";"PNP",#N/A,FALSE,"Six Fields";"PUD",#N/A,FALSE,"Six Fields";"Prob",#N/A,FALSE,"Six Fields"}</definedName>
    <definedName name="wrn.rprt." hidden="1">{#N/A,#N/A,FALSE,"A";#N/A,#N/A,FALSE,"B-1";#N/A,#N/A,FALSE,"WACC";#N/A,#N/A,FALSE,"C-1";#N/A,#N/A,FALSE,"C-2";#N/A,#N/A,FALSE,"D-1";#N/A,#N/A,FALSE,"D-2";#N/A,#N/A,FALSE,"D-3"}</definedName>
    <definedName name="wrn.RPT." hidden="1">{#N/A,#N/A,FALSE,"인원";#N/A,#N/A,FALSE,"비용2";#N/A,#N/A,FALSE,"비용1";#N/A,#N/A,FALSE,"비용";#N/A,#N/A,FALSE,"보증2";#N/A,#N/A,FALSE,"보증1";#N/A,#N/A,FALSE,"보증";#N/A,#N/A,FALSE,"손익1";#N/A,#N/A,FALSE,"손익";#N/A,#N/A,FALSE,"부서별매출";#N/A,#N/A,FALSE,"매출"}</definedName>
    <definedName name="wrn.Rpts_1A." hidden="1">{#N/A,#N/A,FALSE,"Rpts(1A)"}</definedName>
    <definedName name="wrn.Rpts_Monthly." hidden="1">{#N/A,#N/A,FALSE,"Cost(Sales &amp; Prod)";#N/A,#N/A,FALSE,"MonthlyDetail-Year";#N/A,#N/A,FALSE,"Nat'lClass"}</definedName>
    <definedName name="wrn.RustyPresentation." hidden="1">{#N/A,#N/A,TRUE,"TransCore Summary";#N/A,#N/A,TRUE,"TransCore IS";#N/A,#N/A,TRUE,"TransCore Balance";#N/A,#N/A,TRUE,"TransCore Backlog";#N/A,#N/A,TRUE,"Syntonic IS";#N/A,#N/A,TRUE,"Syntonic Bal";#N/A,#N/A,TRUE,"Systems IS";#N/A,#N/A,TRUE,"Systems Bal"}</definedName>
    <definedName name="wrn.RWReport1." hidden="1">{#N/A,"S 0373 ",TRUE,"Sheet1";#N/A,"S 0374 ",TRUE,"Sheet1";#N/A,"S 0375 ",TRUE,"Sheet1";#N/A,"S 0376 ",TRUE,"Sheet1";#N/A,"S 0699 ",TRUE,"Sheet1";#N/A,"S 0705 ",TRUE,"Sheet1";#N/A,"S 0707 ",TRUE,"Sheet1";#N/A,"S 0708 ",TRUE,"Sheet1";#N/A,"S 0709 ",TRUE,"Sheet1";#N/A,"S 0714 ",TRUE,"Sheet1";#N/A,"S 0716 ",TRUE,"Sheet1";#N/A,"S 0719 ",TRUE,"Sheet1";#N/A,"S 0723 ",TRUE,"Sheet1"}</definedName>
    <definedName name="wrn.RWReport1._1" hidden="1">{#N/A,"S 4000 ",TRUE,"Sheet1";#N/A,"S 4001 ",TRUE,"Sheet1";#N/A,"S 4009 ",TRUE,"Sheet1";#N/A,"S 4100 ",TRUE,"Sheet1";#N/A,"S 4200 ",TRUE,"Sheet1";#N/A,"S 4510 ",TRUE,"Sheet1";#N/A,"S 4520 ",TRUE,"Sheet1"}</definedName>
    <definedName name="wrn.SALARY._.CALC._.REPORTS." hidden="1">{"SALDIR",#N/A,FALSE,"WAFER FAB 1 EXPENSE";"SALMGMT",#N/A,FALSE,"WAFER FAB 1 EXPENSE";"SALENGINEERING",#N/A,FALSE,"WAFER FAB 1 EXPENSE";"SALEQUIPSUPPORT",#N/A,FALSE,"WAFER FAB 1 EXPENSE";"SALFABMAT",#N/A,FALSE,"WAFER FAB 1 EXPENSE"}</definedName>
    <definedName name="wrn.SALES." hidden="1">{"SALES",#N/A,FALSE,"B"}</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1" hidden="1">{"(MEASDATA) BY QUARTER",#N/A,FALSE,"measdata";"(PROGDETAIL) BY MONTH",#N/A,FALSE,"progdetail";"(PROGDETAIL) BY QTR",#N/A,FALSE,"progdetail";"(ORDERS) GOR ORDERS",#N/A,FALSE,"Orders";"(DELIVERIES) UNIT SALES",#N/A,FALSE,"Deliveries";"(SEGMENTDETAILS) DATA",#N/A,FALSE,"QTRComments"}</definedName>
    <definedName name="wrn.Sammeleingabe." hidden="1">{#N/A,#N/A,FALSE,"Sammeleingabe"}</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pere." hidden="1">{"risultati",#N/A,FALSE,"Revenues";"ricavi advertising",#N/A,FALSE,"Revenues";"ricavi e-commerce",#N/A,FALSE,"Revenues";"ricavi fee for content",#N/A,FALSE,"Revenues";"costi infrastruttura",#N/A,FALSE,"Costi";"altri costi",#N/A,FALSE,"Costi";"conto economico",#N/A,FALSE,"Conto economico";"Flussi di cassa",#N/A,FALSE,"FCF"}</definedName>
    <definedName name="wrn.SAPkumuliert." hidden="1">{"TeleSAPkumuliert",#N/A,TRUE,"Tele";"GfSAPkumuliert",#N/A,TRUE,"Gf";"MktSAPkumuliert",#N/A,TRUE,"Mkt";"RTLTextSAPkumuliert",#N/A,TRUE,"RTLText";"ATXITVSAPkumuliert",#N/A,TRUE,"ATXITV";"TechSAPkumuliert",#N/A,TRUE,"Tech";"PufferSAPkumuliert",#N/A,TRUE,"Puffer"}</definedName>
    <definedName name="wrn.SAPseparat." hidden="1">{"TeleSAPseparat",#N/A,TRUE,"Tele";"GfSAPseparat",#N/A,TRUE,"Gf";"MktSAPseparat",#N/A,TRUE,"Mkt";"RTLTextSAPseparat",#N/A,TRUE,"RTLText";"ATXITVSAPseparat",#N/A,TRUE,"ATXITV";"TechSAPseparat",#N/A,TRUE,"Tech";"PufferSAPseparat",#N/A,TRUE,"Puffer"}</definedName>
    <definedName name="wrn.SAW._.AND._.SUPPORT." hidden="1">{"SAW",#N/A,FALSE,"ASSEMBLY EXPENSE"}</definedName>
    <definedName name="wrn.SB_PRES." hidden="1">{#N/A,#N/A,TRUE,"Sheet16"}</definedName>
    <definedName name="wrn.sbhk." hidden="1">{"sbhko",#N/A,FALSE,"A";"sbhko2",#N/A,FALSE,"A";"sbhko3",#N/A,FALSE,"A"}</definedName>
    <definedName name="wrn.sbkf." hidden="1">{"sbfk2",#N/A,FALSE,"A";"sbkf3",#N/A,FALSE,"A";"sbkf4",#N/A,FALSE,"A";"sbkf1",#N/A,FALSE,"A"}</definedName>
    <definedName name="wrn.SCA._.Acq.." hidden="1">{#N/A,#N/A,FALSE,"main";#N/A,#N/A,FALSE,"Pooling";#N/A,#N/A,FALSE,"Purchase"}</definedName>
    <definedName name="wrn.SCA._.AcqDisv." hidden="1">{#N/A,#N/A,FALSE,"main";#N/A,#N/A,FALSE,"Purchase"}</definedName>
    <definedName name="wrn.Scenario._.Summary." hidden="1">{#N/A,#N/A,TRUE,"Summary";#N/A,"1",TRUE,"Summary";#N/A,"2",TRUE,"Summary";#N/A,"3",TRUE,"Summary";#N/A,"4",TRUE,"Summary";#N/A,"5",TRUE,"Summary";#N/A,"6",TRUE,"Summary";#N/A,"7",TRUE,"Summary";#N/A,"8",TRUE,"Summary";#N/A,"9",TRUE,"Summary";#N/A,"10",TRUE,"Summary";#N/A,"11",TRUE,"Summary"}</definedName>
    <definedName name="wrn.Schedule_1A." hidden="1">{"Schedule_IA",#N/A,FALSE,"I-A"}</definedName>
    <definedName name="wrn.Schedule_1B." hidden="1">{"Schedule_1B",#N/A,FALSE,"I-B"}</definedName>
    <definedName name="wrn.Schedule_1C." hidden="1">{"Schedule_1C",#N/A,FALSE,"I-C"}</definedName>
    <definedName name="wrn.Schedule_1D." hidden="1">{"Schedule_1D",#N/A,FALSE,"I-D"}</definedName>
    <definedName name="wrn.Schedule_I." hidden="1">{"Schedule_I",#N/A,FALSE,"I"}</definedName>
    <definedName name="wrn.SCM_Report_Controlling." hidden="1">{"SCM_Detail",#N/A,FALSE,"SCM";"SCM_Top",#N/A,FALSE,"SCM"}</definedName>
    <definedName name="wrn.Scott." hidden="1">{#N/A,#N/A,FALSE,"Nat'lClass";#N/A,#N/A,FALSE,"NatlClass2";#N/A,#N/A,FALSE,"Cost(Sales &amp; Prod)";#N/A,#N/A,FALSE,"MonthlyDetail-Year"}</definedName>
    <definedName name="wrn.scrap." hidden="1">{"scrap",#N/A,FALSE,"scrap"}</definedName>
    <definedName name="wrn.scrap0" hidden="1">{"scrap",#N/A,FALSE,"scrap"}</definedName>
    <definedName name="wrn.scrap2" hidden="1">{"scrap",#N/A,FALSE,"scrap"}</definedName>
    <definedName name="wrn.scrap3" hidden="1">{"scrap",#N/A,FALSE,"scrap"}</definedName>
    <definedName name="wrn.scrap4" hidden="1">{"scrap",#N/A,FALSE,"scrap"}</definedName>
    <definedName name="wrn.sdi." hidden="1">{#N/A,#N/A,FALSE,"Customer Base";#N/A,#N/A,FALSE,"Workforce";#N/A,#N/A,FALSE,"cur prod";#N/A,#N/A,FALSE,"in-proc";#N/A,#N/A,FALSE,"Trademark"}</definedName>
    <definedName name="wrn.SecondCalc9798." hidden="1">{#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name="wrn.section._.A." hidden="1">{"pg A1",#N/A,FALSE,"Sum P&amp;L";"pg A2",#N/A,FALSE,"Charts1";"pg A3",#N/A,FALSE,"Sum Cash";"pg A4",#N/A,FALSE,"Charts2";"pg A5",#N/A,FALSE,"Sum BS";"pg A6",#N/A,FALSE,"Sum Invest"}</definedName>
    <definedName name="wrn.section._.B." hidden="1">{"pg B1",#N/A,FALSE,"P&amp;L Detail - Month";"pg B2",#N/A,FALSE,"P&amp;L Detail - YTD";"pg B3",#N/A,FALSE,"Cash Detail - Month";"pg B4",#N/A,FALSE,"Cash Detail - YTD";"pg B5",#N/A,FALSE,"BS Detail - CY";"pg B6",#N/A,FALSE,"BS Detail - PY";"pg B7",#N/A,FALSE,"Headcount Detail"}</definedName>
    <definedName name="wrn.section._.C." hidden="1">{"pg C19",#N/A,FALSE,"WTC - Cover pg";"pg C20",#N/A,FALSE,"WTC - Overview";"pg C21",#N/A,FALSE,"WTC - Charts";"pg C22",#N/A,FALSE,"WTC - Stats";"pg C23",#N/A,FALSE,"WTC - Projects";"pg C24",#N/A,FALSE,"Blank pg"}</definedName>
    <definedName name="wrn.section._.E." hidden="1">{"pg E1",#N/A,FALSE,"Ventures Portfolio";"pg E2",#N/A,FALSE,"Venture - Cash";"pg E3",#N/A,FALSE,"Unrealized Gains";"pg E4",#N/A,FALSE,"Realized Gains"}</definedName>
    <definedName name="wrn.section._.F." hidden="1">{"pg F1",#N/A,FALSE,"Fin Smry1";"pg F2",#N/A,FALSE,"Fin Smry2";"pg F3",#N/A,FALSE,"Fin Smry3";"pg F4",#N/A,FALSE,"Fin Smry4"}</definedName>
    <definedName name="wrn.section._B." hidden="1">{"pg A1",#N/A,FALSE,"Sum P&amp;L";"pg A2",#N/A,FALSE,"Charts1";"pg A3",#N/A,FALSE,"Sum Cash";"pg A4",#N/A,FALSE,"Charts2";"pg A5",#N/A,FALSE,"Sum BS";"pg A6",#N/A,FALSE,"Sum Invest"}</definedName>
    <definedName name="wrn.SemiCap." hidden="1">{#N/A,#N/A,FALSE,"from high";#N/A,#N/A,FALSE,"from low";#N/A,#N/A,FALSE,"Market Cap";#N/A,#N/A,FALSE,"Alpha"}</definedName>
    <definedName name="wrn.sens." hidden="1">{#N/A,#N/A,FALSE,"Sensitivities";#N/A,#N/A,FALSE,"Sensitivities2"}</definedName>
    <definedName name="wrn.sens.2" hidden="1">{#N/A,#N/A,FALSE,"Sensitivities";#N/A,#N/A,FALSE,"Sensitivities2"}</definedName>
    <definedName name="wrn.sens3." hidden="1">{#N/A,#N/A,TRUE,"DCF";#N/A,#N/A,TRUE,"DCF"}</definedName>
    <definedName name="wrn.sensitivity." hidden="1">{"sensitivity",#N/A,FALSE,"Sensitivity"}</definedName>
    <definedName name="wrn.sensitivity._.analyses." hidden="1">{"general",#N/A,FALSE,"Assumptions"}</definedName>
    <definedName name="wrn.SEP." hidden="1">{"SEP",#N/A,FALSE,"SEP"}</definedName>
    <definedName name="wrn.SEPTEMBER." hidden="1">{"Q1SEP",#N/A,FALSE,"Q1"}</definedName>
    <definedName name="wrn.Set." hidden="1">{#N/A,#N/A,FALSE,"High";#N/A,#N/A,FALSE,"Low";#N/A,#N/A,FALSE,"MarketCap";#N/A,#N/A,FALSE,"Alpha"}</definedName>
    <definedName name="wrn.shamrock" hidden="1">{#N/A,#N/A,TRUE,"Tar-Ass";#N/A,#N/A,TRUE,"Tar-Ass LBO";#N/A,#N/A,TRUE,"LBO Ret";#N/A,#N/A,TRUE,"Tar-BS LBO";#N/A,#N/A,TRUE,"Tar-IS LBO";#N/A,#N/A,TRUE,"Tar-CF LBO";#N/A,#N/A,TRUE,"Tar-Debt LBO";#N/A,#N/A,TRUE,"Tar-Int LBO";#N/A,#N/A,TRUE,"Tar-Taxes LBO";#N/A,#N/A,TRUE,"Tar-Val LBO"}</definedName>
    <definedName name="wrn.SHIPMENT." hidden="1">{"SHIPMENT",#N/A,FALSE,"A"}</definedName>
    <definedName name="wrn.SHORT." hidden="1">{"CREDIT STATISTICS",#N/A,FALSE,"STATS";"CF_AND_IS",#N/A,FALSE,"PLAN";"BALSHEET",#N/A,FALSE,"BALANCE SHEET"}</definedName>
    <definedName name="wrn.Short._.Print." hidden="1">{#N/A,#N/A,FALSE,"Summary";#N/A,#N/A,FALSE,"Returns";#N/A,#N/A,FALSE,"Opening BS";#N/A,#N/A,FALSE,"EMO";#N/A,#N/A,FALSE,"BS";#N/A,#N/A,FALSE,"IS";#N/A,#N/A,FALSE,"Metalworking IS";#N/A,#N/A,FALSE,"CFS";#N/A,#N/A,FALSE,"Ratios"}</definedName>
    <definedName name="wrn.Shut_Down." hidden="1">{#N/A,#N/A,FALSE,"Shut-down"}</definedName>
    <definedName name="wrn.Sierra." hidden="1">{#N/A,#N/A,FALSE,"OXHP"}</definedName>
    <definedName name="wrn.Sitzung._.19.._.September._.1996." hidden="1">{"Bilanz grob",#N/A,TRUE,"Planbilanz";"Erfolgsrechnung grob",#N/A,TRUE,"Plan-ER";#N/A,#N/A,TRUE,"Geldfluss";"Bilanz fein",#N/A,TRUE,"Planbilanz";"Erfolgsrechnung fein",#N/A,TRUE,"Plan-ER";#N/A,#N/A,TRUE,"Absatzplan";#N/A,#N/A,TRUE,"Einkaufsplan";#N/A,#N/A,TRUE,"Investitionsplan";#N/A,#N/A,TRUE,"KK Aktionäre"}</definedName>
    <definedName name="wrn.SKSCS1." hidden="1">{#N/A,#N/A,FALSE,"Antony Financials";#N/A,#N/A,FALSE,"Cowboy Financials";#N/A,#N/A,FALSE,"Combined";#N/A,#N/A,FALSE,"Valuematrix";#N/A,#N/A,FALSE,"DCFAntony";#N/A,#N/A,FALSE,"DCFCowboy";#N/A,#N/A,FALSE,"DCFCombined"}</definedName>
    <definedName name="wrn.Slides."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lides.1a" hidden="1">{#N/A,#N/A,FALSE,"Cover";#N/A,#N/A,FALSE,"Process";#N/A,#N/A,FALSE,"Next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name="wrn.small." hidden="1">{#N/A,#N/A,FALSE,"Cover";#N/A,#N/A,FALSE,"Contents-Pg1";#N/A,#N/A,FALSE,"High-Com-pg2";#N/A,#N/A,FALSE,"1 Full";#N/A,#N/A,FALSE,"1chts";#N/A,#N/A,FALSE,"Table 2";#N/A,#N/A,FALSE,"3New Iss";#N/A,#N/A,FALSE,"4Money raised";#N/A,#N/A,FALSE,"5Aim";#N/A,#N/A,FALSE,"AiM charts";#N/A,#N/A,FALSE,"6FT Smll";#N/A,#N/A,FALSE,"11SEATS";#N/A,#N/A,FALSE,"12Notes"}</definedName>
    <definedName name="wrn.SMC." hidden="1">{#N/A,#N/A,TRUE,"Main assumptions";#N/A,#N/A,TRUE,"Subscriber projections";#N/A,#N/A,TRUE,"Revenues";#N/A,#N/A,TRUE,"Opex";#N/A,#N/A,TRUE,"Capex";#N/A,#N/A,TRUE,"Working capital";#N/A,#N/A,TRUE,"P&amp;L";#N/A,#N/A,TRUE,"Cash";#N/A,#N/A,TRUE,"Balance";#N/A,#N/A,TRUE,"Valuation";#N/A,#N/A,TRUE,"Bench"}</definedName>
    <definedName name="wrn.SOE." hidden="1">{"SOE",#N/A,FALSE,"A"}</definedName>
    <definedName name="wrn.Soft._.Drinks." hidden="1">{#N/A,#N/A,FALSE,"Soft Drinks";#N/A,#N/A,FALSE,"Club Soft";#N/A,#N/A,FALSE,"Club Mixers";#N/A,#N/A,FALSE,"TK";#N/A,#N/A,FALSE,"Cidona";#N/A,#N/A,FALSE,"Britvic";#N/A,#N/A,FALSE,"Mi Wadi";#N/A,#N/A,FALSE,"Pepsi";#N/A,#N/A,FALSE,"7UP";#N/A,#N/A,FALSE,"Schweppes";#N/A,#N/A,FALSE,"Wholesale";#N/A,#N/A,FALSE,"Other Soft Drinks"}</definedName>
    <definedName name="wrn.soho._.1." hidden="1">{#N/A,#N/A,FALSE,"soho 2-25"}</definedName>
    <definedName name="wrn.soho._.2." hidden="1">{#N/A,#N/A,FALSE,"soho personal"}</definedName>
    <definedName name="wrn.Sonstige." hidden="1">{#N/A,#N/A,FALSE,"Produkte Erw.";#N/A,#N/A,FALSE,"Produkte Plan";#N/A,#N/A,FALSE,"Leistungen Erw.";#N/A,#N/A,FALSE,"Leistungen Plan";#N/A,#N/A,FALSE,"KA Allg.Kosten (2)";#N/A,#N/A,FALSE,"KA All.Kosten"}</definedName>
    <definedName name="wrn.Sorted._.print." hidden="1">{#N/A,#N/A,FALSE,"CASH FLOWS";#N/A,#N/A,FALSE,"INCOME STATEMENT";#N/A,#N/A,FALSE,"OPERATING EXPENSES";#N/A,#N/A,FALSE,"BALANCE SHEET";#N/A,#N/A,FALSE,"Sales"}</definedName>
    <definedName name="wrn.Source._.Notes." hidden="1">{"IncNotes",#N/A,FALSE,"Inc";"BalNotes",#N/A,FALSE,"Bal";"GCFNotes",#N/A,FALSE,"GCF";"RcDsNotes",#N/A,FALSE,"RcDs";"RevNotes",#N/A,FALSE,"Rev";"WCapNotes",#N/A,FALSE,"WCap";"CapExNotes",#N/A,FALSE,"CapEx";"DebtNotes",#N/A,FALSE,"Debt";"RatNotes",#N/A,FALSE,"Rat";"ValNotes",#N/A,FALSE,"Val"}</definedName>
    <definedName name="wrn.SPEC._.GAS._.CYLS." hidden="1">{"SPEC GAS CYLS",#N/A,FALSE,"SPEC GAS"}</definedName>
    <definedName name="wrn.sspall." hidden="1">{"sspcash",#N/A,FALSE,"EWSINCX";"sspinc",#N/A,FALSE,"EWSINCX";"ssptax",#N/A,FALSE,"EWSINCX";"ssppub",#N/A,FALSE,"EWSINCX";"sspperchgetc",#N/A,FALSE,"EWSINCX";"sspevan",#N/A,FALSE,"EWSINCX";"sspbroad",#N/A,FALSE,"EWSINCX";"sspbroadcont",#N/A,FALSE,"EWSINCX";"sspcable",#N/A,FALSE,"EWSINCX";"sspent",#N/A,FALSE,"EWSINCX"}</definedName>
    <definedName name="wrn.Staff._.cost1998." hidden="1">{#N/A,#N/A,TRUE,"Staffnos &amp; cost"}</definedName>
    <definedName name="wrn.Staff._.cost1998.a" hidden="1">{#N/A,#N/A,TRUE,"Staffnos &amp; cost"}</definedName>
    <definedName name="wrn.Staffcost." hidden="1">{#N/A,#N/A,FALSE,"Staffnos &amp; cost"}</definedName>
    <definedName name="wrn.Staffing." hidden="1">{#N/A,#N/A,TRUE,"Development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1" hidden="1">{#N/A,#N/A,FALSE,"Assessment";#N/A,#N/A,FALSE,"Staffing";#N/A,#N/A,FALSE,"Hires";#N/A,#N/A,FALSE,"Assumptions"}</definedName>
    <definedName name="wrn.STAMPA_BD." hidden="1">{#N/A,#N/A,FALSE,"TOTAL";#N/A,#N/A,FALSE,"FND";#N/A,#N/A,FALSE,"FSD";#N/A,#N/A,FALSE,"OND";#N/A,#N/A,FALSE,"WTD";#N/A,#N/A,FALSE,"MND";#N/A,#N/A,FALSE,"MSD";#N/A,#N/A,FALSE,"MPD";#N/A,#N/A,FALSE,"ISD";#N/A,#N/A,FALSE,"ESD";#N/A,#N/A,FALSE,"OTH";#N/A,#N/A,FALSE,"PSD";#N/A,#N/A,FALSE,"ELIM";#N/A,#N/A,FALSE,"CHART_YTD";#N/A,#N/A,FALSE,"CHART_MONTH"}</definedName>
    <definedName name="wrn.stand_alone." hidden="1">{#N/A,#N/A,FALSE,"CBE";#N/A,#N/A,FALSE,"SWK"}</definedName>
    <definedName name="wrn.STAND_ALONE_BOTH." hidden="1">{"FCB_ALL",#N/A,FALSE,"FCB";"GREY_ALL",#N/A,FALSE,"GREY"}</definedName>
    <definedName name="wrn.Standard." hidden="1">{"Financials",#N/A,FALSE,"Financials";"AVP",#N/A,FALSE,"AVP";"DCF",#N/A,FALSE,"DCF";"CSC",#N/A,FALSE,"CSC";"Deal_Comp",#N/A,FALSE,"DealComp"}</definedName>
    <definedName name="wrn.Standard._.Exhibit." hidden="1">{"Historic Balance Sheet",#N/A,FALSE,"HBAL";"Historic Income",#N/A,FALSE,"HINC";"Historic Cash Flow",#N/A,FALSE,"HCFLOW";"Common Size Balance Sheet",#N/A,FALSE,"CSHBAL";"Common Size Income Statement",#N/A,FALSE,"CSHINC";"Ratios",#N/A,FALSE,"RATIOS"}</definedName>
    <definedName name="wrn.Star._.Sheets." hidden="1">{#N/A,#N/A,FALSE,"Ship Date Information Sheet";#N/A,#N/A,FALSE,"System Milestone Schedule";#N/A,#N/A,FALSE,"Reasons for Missed Milestones";#N/A,#N/A,FALSE,"CES's"}</definedName>
    <definedName name="wrn.Statements." hidden="1">{"Co1statements",#N/A,FALSE,"Cmpy1";"Co2statement",#N/A,FALSE,"Cmpy2";"co1pm",#N/A,FALSE,"Co1PM";"co2PM",#N/A,FALSE,"Co2PM";"value",#N/A,FALSE,"value";"opco",#N/A,FALSE,"NewSparkle";"adjusts",#N/A,FALSE,"Adjustments"}</definedName>
    <definedName name="wrn.Statistical._.Summary." hidden="1">{#N/A,#N/A,FALSE,"summary"}</definedName>
    <definedName name="wrn.statistical_sunnary3" hidden="1">{#N/A,#N/A,FALSE,"summary"}</definedName>
    <definedName name="wrn.Statusbericht._.deutsch." hidden="1">{#N/A,#N/A,FALSE,"Report-Generator";#N/A,#N/A,FALSE,"S.1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name="wrn.STOCKHOLDERS._.EQUITY." hidden="1">{#N/A,#N/A,FALSE,"WW-1 Stockholders' Equity"}</definedName>
    <definedName name="wrn.Strategi." hidden="1">{#N/A,#N/A,FALSE,"PrintS"}</definedName>
    <definedName name="wrn.Structure." hidden="1">{#N/A,#N/A,FALSE,"Structure";#N/A,#N/A,FALSE,"Proj-Cal";#N/A,#N/A,FALSE,"Market"}</definedName>
    <definedName name="wrn.Stundenzettel." hidden="1">{#N/A,#N/A,FALSE,"M1";#N/A,#N/A,FALSE,"K7";#N/A,#N/A,FALSE,"K6";#N/A,#N/A,FALSE,"K5";#N/A,#N/A,FALSE,"K4";#N/A,#N/A,FALSE,"K3";#N/A,#N/A,FALSE,"K2";#N/A,#N/A,FALSE,"K1"}</definedName>
    <definedName name="wrn.Sum." hidden="1">{"Summary",#N/A,FALSE,"Revised"}</definedName>
    <definedName name="wrn.SumIncBalRat." hidden="1">{#N/A,#N/A,FALSE,"Summary";#N/A,#N/A,FALSE,"Income Statement";#N/A,#N/A,FALSE,"Balance Sheet";#N/A,#N/A,FALSE,"Ratios"}</definedName>
    <definedName name="wrn.Summ_Assum_Graphs." hidden="1">{#N/A,#N/A,TRUE,"Initial";#N/A,#N/A,TRUE,"Graphs"}</definedName>
    <definedName name="wrn.summaries." hidden="1">{#N/A,#N/A,FALSE,"YTD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 hidden="1">{#N/A,#N/A,FALSE,"Cover";#N/A,#N/A,FALSE,"Outputs";#N/A,#N/A,FALSE,"Control (In)";"tesco summary",#N/A,FALSE,"Tesco";"Outputs and Co Summaries",#N/A,FALSE,"Sainsbury";"Outputs and Co Summaries",#N/A,FALSE,"Carrefour";"Outputs and Co Summaries",#N/A,FALSE,"Co D";"Outputs and Co Summaries",#N/A,FALSE,"Co E"}</definedName>
    <definedName name="wrn.Summary._.2." hidden="1">{#N/A,#N/A,TRUE,"Model"}</definedName>
    <definedName name="wrn.SUMMARY._.ASSEM._.EXP." hidden="1">{"TOTALASSEMBLYEXPENSE",#N/A,FALSE,"MANUFACTURING EXPENSE SUMMARY"}</definedName>
    <definedName name="wrn.SUMMARY._.FAB._.I._.EXP." hidden="1">{"TOTALWAFERFABEXPENSE",#N/A,FALSE,"MANUFACTURING EXPENSE SUMMARY"}</definedName>
    <definedName name="wrn.SUMMARY._.FAB._.II._.EXP." hidden="1">{"TOTALWAFERFAB2EXPENSE",#N/A,FALSE,"MANUFACTURING EXPENSE SUMMARY"}</definedName>
    <definedName name="wrn.SUMMARY._.FACIL._.EXP." hidden="1">{"TOTALFACILITIESEXPENSE",#N/A,FALSE,"MANUFACTURING EXPENSE SUMMARY"}</definedName>
    <definedName name="wrn.SUMMARY._.MATLS._.EXP." hidden="1">{"TOTALMATERIALSEXPENSE",#N/A,FALSE,"MANUFACTURING EXPENSE SUMMARY"}</definedName>
    <definedName name="wrn.Summary._.output." hidden="1">{#N/A,#N/A,FALSE,"Assump";#N/A,#N/A,FALSE,"Calculations";#N/A,#N/A,FALSE,"P&amp;L";#N/A,#N/A,FALSE,"BS";#N/A,#N/A,FALSE,"Credit"}</definedName>
    <definedName name="wrn.summary._.print." hidden="1">{#N/A,#N/A,TRUE,"title page";#N/A,#N/A,TRUE,"Profit and loss";#N/A,#N/A,TRUE,"Balance sheet";#N/A,#N/A,TRUE,"Cashflow";#N/A,#N/A,TRUE,"Key Metrics"}</definedName>
    <definedName name="wrn.SUMMARY._.QR._.EXP." hidden="1">{"TOTALQAEXPENSE",#N/A,FALSE,"MANUFACTURING EXPENSE SUMMARY"}</definedName>
    <definedName name="wrn.Summary._.reports." hidden="1">{#N/A,#N/A,FALSE,"Commentary";#N/A,#N/A,FALSE,"Executive P &amp; L Summary";#N/A,#N/A,FALSE,"Executive BS Summary &amp; Key Figs";#N/A,#N/A,FALSE,"Head count";#N/A,#N/A,FALSE,"AFE's"}</definedName>
    <definedName name="wrn.SUMMARY._.SUBCNTRT._.EXP." hidden="1">{"TOTALSUBEXPNESE",#N/A,FALSE,"MANUFACTURING EXPENSE SUMMARY"}</definedName>
    <definedName name="wrn.Summary._.with._.short._.outputs." hidden="1">{#N/A,#N/A,FALSE,"Cover";"Short outputs",#N/A,FALSE,"Outputs";#N/A,#N/A,FALSE,"Control (In)";"tesco summary",#N/A,FALSE,"Tesco";"Outputs and Co summaries",#N/A,FALSE,"Sainsbury";"Outputs and Co Summaries",#N/A,FALSE,"Carrefour";"Outputs and Co summaries",#N/A,FALSE,"Co D";"Outputs and Co summaries",#N/A,FALSE,"Co E"}</definedName>
    <definedName name="wrn.summary.2.print" hidden="1">{#N/A,#N/A,TRUE,"title page";#N/A,#N/A,TRUE,"Profit and loss";#N/A,#N/A,TRUE,"Balance sheet";#N/A,#N/A,TRUE,"Cashflow";#N/A,#N/A,TRUE,"Key Metrics"}</definedName>
    <definedName name="wrn.Summary.Decom"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ED" hidden="1">{"View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name="wrn.summary_comsat." hidden="1">{"summary",#N/A,FALSE,"comsat"}</definedName>
    <definedName name="wrn.summary4" hidden="1">{#N/A,#N/A,FALSE,"summary"}</definedName>
    <definedName name="wrn.summary9" hidden="1">{#N/A,#N/A,FALSE,"summary"}</definedName>
    <definedName name="wrn.SummaryPgs." hidden="1">{#N/A,#N/A,FALSE,"CreditStat";#N/A,#N/A,FALSE,"SPbrkup";#N/A,#N/A,FALSE,"MerSPsyn";#N/A,#N/A,FALSE,"MerSPwKCsyn";#N/A,#N/A,FALSE,"MerSPwKCsyn (2)";#N/A,#N/A,FALSE,"CreditStat (2)"}</definedName>
    <definedName name="wrn.SummaryReport." hidden="1">{"matrix",#N/A,TRUE,"Matrix";"forecast",#N/A,TRUE,"Forecast";"incstmt",#N/A,TRUE,"Inc Stmt";"balsheet",#N/A,TRUE,"Bal Sheet";"cashflow",#N/A,TRUE,"Cash Flow";"incmcf",#N/A,TRUE,"Inc mcf";"capsumm",#N/A,TRUE,"Cap Summ";"assump",#N/A,TRUE,"Assum";"epscalc",#N/A,TRUE,"Inc Stmt"}</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ort." hidden="1">{"Support",#N/A,FALSE,"Sorted by database"}</definedName>
    <definedName name="wrn.SWITCH." hidden="1">{"SWITCH",#N/A,FALSE,"REVENUE AND GM "}</definedName>
    <definedName name="wrn.Table._.of._.Contents." hidden="1">{#N/A,#N/A,FALSE,"Table of Contents"}</definedName>
    <definedName name="wrn.TAG." hidden="1">{"TAG1AGMS",#N/A,FALSE,"TAG 1A"}</definedName>
    <definedName name="wrn.Tages" hidden="1">{"Tages_D",#N/A,FALSE,"Tagesbericht";"Tages_PL",#N/A,FALSE,"Tagesbericht"}</definedName>
    <definedName name="wrn.Tagesbericht." hidden="1">{"Tages_D",#N/A,FALSE,"Tagesbericht";"Tages_PL",#N/A,FALSE,"Tagesbericht"}</definedName>
    <definedName name="wrn.Target." hidden="1">{#N/A,#N/A,TRUE,"Tar-Ass";#N/A,#N/A,TRUE,"Tar-IS";#N/A,#N/A,TRUE,"Tar-BS";#N/A,#N/A,TRUE,"Tar-CF";#N/A,#N/A,TRUE,"Tar-Adg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 hidden="1">{"targetdcf",#N/A,FALSE,"Merger consequences";"TARGETASSU",#N/A,FALSE,"Merger consequences";"TERMINAL VALUE",#N/A,FALSE,"Merger consequences"}</definedName>
    <definedName name="wrn.Target._.Summary." hidden="1">{"SUMMARY",#N/A,FALSE,"Sheet1"}</definedName>
    <definedName name="wrn.TargetLBO." hidden="1">{#N/A,#N/A,TRUE,"Tar-Ass";#N/A,#N/A,TRUE,"Tar-Ass LBO";#N/A,#N/A,TRUE,"LBO Ret";#N/A,#N/A,TRUE,"Tar-BS LBO";#N/A,#N/A,TRUE,"Tar-IS LBO";#N/A,#N/A,TRUE,"Tar-CF LBO";#N/A,#N/A,TRUE,"Tar-Debt LBO";#N/A,#N/A,TRUE,"Tar-Int LBO";#N/A,#N/A,TRUE,"Tar-Taxes LBO";#N/A,#N/A,TRUE,"Tar-Val LBO"}</definedName>
    <definedName name="wrn.TargetState." hidden="1">{#N/A,#N/A,FALSE,"Tar-Ass";#N/A,#N/A,FALSE,"Tar-IS";#N/A,#N/A,FALSE,"Tar-BS";#N/A,#N/A,FALSE,"Tar-Adg BS";#N/A,#N/A,FALSE,"Tar-CF"}</definedName>
    <definedName name="wrn.TargetVal." hidden="1">{#N/A,#N/A,TRUE,"Val - sum";#N/A,#N/A,TRUE,"Val - Sum1";#N/A,#N/A,TRUE,"Val - sum2";#N/A,#N/A,TRUE,"Val - Sum3";#N/A,#N/A,TRUE,"Tar-DCF";#N/A,#N/A,TRUE,"Tar-Val LBO";#N/A,#N/A,TRUE,"Tar-Mult Val"}</definedName>
    <definedName name="wrn.Tariff._.Analysis." hidden="1">{"Tarifica91",#N/A,FALSE,"Tariffs";"Tarifica92",#N/A,FALSE,"Tariffs";"Tarifica93",#N/A,FALSE,"Tariffs";"Tarifica94",#N/A,FALSE,"Tariffs";"Tarifica95",#N/A,FALSE,"Tariffs";"Tarifica96",#N/A,FALSE,"Tariffs"}</definedName>
    <definedName name="wrn.Tariff._.Comaprison." hidden="1">{"Tariff Comparison",#N/A,FALSE,"Benchmarking";"Tariff Comparison 2",#N/A,FALSE,"Benchmarking";"Tariff Comparison 3",#N/A,FALSE,"Benchmarking"}</definedName>
    <definedName name="wrn.tavg4a." hidden="1">{"rates",#N/A,FALSE,"tavg4a";"rev",#N/A,FALSE,"tavg4a"}</definedName>
    <definedName name="wrn.TAXATION." hidden="1">{#N/A,#N/A,FALSE,"JJ-1 Reg. Tax";#N/A,#N/A,FALSE,"JJ-2 Tax Jnl. Entry";#N/A,#N/A,FALSE,"JJ-3 Alt Min. Tax";#N/A,#N/A,FALSE,"JJ-4 Tax Checklist";#N/A,#N/A,FALSE,"KK-1 Def. Tax";#N/A,#N/A,FALSE,"KK-2 Rate Recon.";#N/A,#N/A,FALSE,"0800-2 Income Tax Provision";#N/A,#N/A,FALSE,"0800-3 Income Tax Provision H&amp;L"}</definedName>
    <definedName name="wrn.Taxes." hidden="1">{#N/A,#N/A,FALSE,"Taxes"}</definedName>
    <definedName name="wrn.TBB3." hidden="1">{"TBB3 Assns",#N/A,FALSE,"Valuation";"TBB3 assumptions",#N/A,FALSE,"Assumptions";"TBB3 model",#N/A,FALSE,"INCOME"}</definedName>
    <definedName name="wrn.TBB4" hidden="1">{"TBB3 Assns",#N/A,FALSE,"Valuation";"TBB3 assumptions",#N/A,FALSE,"Assumptions";"TBB3 model",#N/A,FALSE,"INCOME"}</definedName>
    <definedName name="wrn.TBB5" hidden="1">{"TBB3 Assns",#N/A,FALSE,"Valuation";"TBB3 assumptions",#N/A,FALSE,"Assumptions";"TBB3 model",#N/A,FALSE,"INCOME"}</definedName>
    <definedName name="wrn.TCR." hidden="1">{#N/A,#N/A,FALSE,"title";#N/A,#N/A,FALSE,"AVE VEH";#N/A,#N/A,FALSE,"METRICS";#N/A,#N/A,FALSE,"Prod Cost";#N/A,#N/A,FALSE,"CMTOTCST";#N/A,#N/A,FALSE,"Roadmap";#N/A,#N/A,FALSE,"Road Text";#N/A,#N/A,FALSE,"VAVE";#N/A,#N/A,FALSE,"Warranty #1";#N/A,#N/A,FALSE,"Warranty #2";#N/A,#N/A,FALSE,"Purchasing"}</definedName>
    <definedName name="wrn.TEC." hidden="1">{"TEC - DVMD",#N/A,FALSE,"Aout_2000";"TEC - projets en cours",#N/A,FALSE,"Aout_2000";"TEC - projets terminés",#N/A,FALSE,"Aout_2000"}</definedName>
    <definedName name="wrn.Ten._.Year." hidden="1">{#N/A,"Ten Year",FALSE,"Assumptions";#N/A,"Ten Year",FALSE,"Annual Summary";#N/A,"Ten Year",FALSE,"Quarterly Summary";#N/A,#N/A,FALSE,"IRR"}</definedName>
    <definedName name="wrn.test." hidden="1">{#N/A,#N/A,FALSE,"Fluktuation TSI"}</definedName>
    <definedName name="wrn.test1." hidden="1">{"atest",#N/A,FALSE,"Tabelle1";#N/A,#N/A,FALSE,"Tabelle2"}</definedName>
    <definedName name="wrn.test3." hidden="1">{"SourcesUses",#N/A,TRUE,#N/A;"TransOverview",#N/A,TRUE,"CFMODEL"}</definedName>
    <definedName name="wrn.test4." hidden="1">{"SourcesUses",#N/A,TRUE,"FundsFlow";"TransOverview",#N/A,TRUE,"FundsFlow"}</definedName>
    <definedName name="wrn.TheWholeEnchilada." hidden="1">{"CSheet",#N/A,FALSE,"C";"SmCap",#N/A,FALSE,"VAL1";"GulfCoast",#N/A,FALSE,"VAL1";"nav",#N/A,FALSE,"NAV";"Summary",#N/A,FALSE,"NAV"}</definedName>
    <definedName name="wrn.Thomas_Case." hidden="1">{#N/A,#N/A,TRUE,"Thomas Case";#N/A,#N/A,TRUE,"Corporate Overhead";#N/A,#N/A,TRUE,"Arizona";#N/A,#N/A,TRUE,"Cal";#N/A,#N/A,TRUE,"Illinois";#N/A,#N/A,TRUE,"Indiana";#N/A,#N/A,TRUE,"Ohio";#N/A,#N/A,TRUE,"Pennsylvania";#N/A,#N/A,TRUE,"Growth";#N/A,#N/A,TRUE,"Anthem";#N/A,#N/A,TRUE,"Pipeline"}</definedName>
    <definedName name="wrn.TMCALL." hidden="1">{"tmccash",#N/A,FALSE,"INCX";"tmcinc",#N/A,FALSE,"INCX";"tmcpretx",#N/A,FALSE,"INCX";"tmcadrev",#N/A,FALSE,"INCX";"tmcbooks",#N/A,FALSE,"INCX"}</definedName>
    <definedName name="wrn.TMRO._.Defence._.Pack." hidden="1">{#N/A,#N/A,FALSE,"Front Page";#N/A,#N/A,FALSE,"Contents";#N/A,#N/A,FALSE,"Deals in month";#N/A,#N/A,FALSE,"Order Tracking";#N/A,#N/A,FALSE,"Orders Committed";#N/A,#N/A,FALSE,"Orders P1-3";#N/A,#N/A,FALSE,"Major Sales Top 20";#N/A,#N/A,FALSE,"HPS Major Sales";#N/A,#N/A,FALSE,"OS Major Sales";#N/A,#N/A,FALSE,"MJ OS Calculation sheet";#N/A,#N/A,FALSE,"MJ HPS Calculation sheet";#N/A,#N/A,FALSE,"OS Rev Track";#N/A,#N/A,FALSE,"OS Committed";#N/A,#N/A,FALSE,"OS P1-3";#N/A,#N/A,FALSE,"HPS Rev Track";#N/A,#N/A,FALSE,"HPS Committed";#N/A,#N/A,FALSE,"HPS P1-3";#N/A,#N/A,FALSE,"Lost Bids";#N/A,#N/A,FALSE,"OSD Offering Bar Chart";#N/A,#N/A,FALSE,"HPS Offering Bar Chart";#N/A,#N/A,FALSE,"Defence Offering Bar Chart";#N/A,#N/A,FALSE,"Ongoing HPS VME Revenue";#N/A,#N/A,FALSE,"Issues "}</definedName>
    <definedName name="wrn.TMRO._.Horizontal._.Pack." hidden="1">{#N/A,#N/A,TRUE,"Front Page";#N/A,#N/A,TRUE,"Contents";#N/A,#N/A,TRUE,"Deals in month";#N/A,#N/A,TRUE,"Order Tracking";#N/A,#N/A,TRUE,"Orders Committed";#N/A,#N/A,TRUE,"Orders P1-3";#N/A,#N/A,TRUE,"Major Sales Top 20";#N/A,#N/A,TRUE,"HPS Major Sales";#N/A,#N/A,TRUE,"OS Major Sales";#N/A,#N/A,TRUE,"MJ OS Calculation sheet";#N/A,#N/A,TRUE,"MJ HPS Calculation sheet";#N/A,#N/A,TRUE,"OS Rev Track";#N/A,#N/A,TRUE,"OS Committed";#N/A,#N/A,TRUE,"OS P1-3";#N/A,#N/A,TRUE,"HPS Rev Track";#N/A,#N/A,TRUE,"HPS Committed";#N/A,#N/A,TRUE,"HPS P1-3";#N/A,#N/A,TRUE,"Lost Bids";#N/A,#N/A,TRUE,"OSD Industry Bar Chart";#N/A,#N/A,TRUE,"HPS Industry Bar Chart";#N/A,#N/A,TRUE,"Ongoing HPS VME Revenue";#N/A,#N/A,TRUE,"Issues "}</definedName>
    <definedName name="wrn.TMRO._.Pack." hidden="1">{#N/A,#N/A,TRUE,"Front Page";#N/A,#N/A,TRUE,"Contents";#N/A,#N/A,TRUE,"Deals in month";#N/A,#N/A,TRUE,"Order Tracking";#N/A,#N/A,TRUE,"Orders Committed";#N/A,#N/A,TRUE,"Orders P1-3";#N/A,#N/A,TRUE,"Major Sales Top 20";#N/A,#N/A,TRUE,"Major Sales";#N/A,#N/A,TRUE,"MJ OS Calculation sheet";#N/A,#N/A,TRUE,"MJ HPS Calculation sheet";#N/A,#N/A,TRUE,"OS Rev Track";#N/A,#N/A,TRUE,"OS Committed";#N/A,#N/A,TRUE,"OS P1-3";#N/A,#N/A,TRUE,"HPS Rev Track";#N/A,#N/A,TRUE,"HPS Committed";#N/A,#N/A,TRUE,"HPS P1-3";#N/A,#N/A,TRUE,"Lost Bids";#N/A,#N/A,TRUE,"OSD Offering Bar Chart";#N/A,#N/A,TRUE,"HPS Offering Bar Chart";#N/A,#N/A,TRUE,"Ongoing HPS VME Revenue";#N/A,#N/A,TRUE,"Issues"}</definedName>
    <definedName name="wrn.TMRO._.Vertical._.Pack." hidden="1">{#N/A,#N/A,TRUE,"Front Page";#N/A,#N/A,TRUE,"Contents";#N/A,#N/A,TRUE,"Deals in month";#N/A,#N/A,TRUE,"Order Tracking";#N/A,#N/A,TRUE,"Orders Committed";#N/A,#N/A,TRUE,"Orders P1-3";#N/A,#N/A,TRUE,"Major Sales Top 20";#N/A,#N/A,TRUE,"HPS Major Sales";#N/A,#N/A,TRUE,"OS Major Sales";#N/A,#N/A,TRUE,"MJ OS Calculation sheet";#N/A,#N/A,TRUE,"MJ HPS Calculation sheet";#N/A,#N/A,TRUE,"OS Rev Track";#N/A,#N/A,TRUE,"OS Committed";#N/A,#N/A,TRUE,"OS P1-3";#N/A,#N/A,TRUE,"HPS Rev Track";#N/A,#N/A,TRUE,"HPS Committed";#N/A,#N/A,TRUE,"HPS P1-3";#N/A,#N/A,TRUE,"Lost Bids";#N/A,#N/A,TRUE,"OSD Offering Bar Chart";#N/A,#N/A,TRUE,"HPS Offering Bar Chart";#N/A,#N/A,TRUE,"Ongoing HPS VME Revenue";#N/A,#N/A,TRUE,"Issues "}</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hidden="1">{"income",#N/A,FALSE,"TOBACCO";"value",#N/A,FALSE,"TOBACCO";"assum1",#N/A,FALSE,"TOBACCO"}</definedName>
    <definedName name="wrn.TODO." hidden="1">{#N/A,#N/A,FALSE,"Indcost";#N/A,#N/A,FALSE,"Plcost";#N/A,#N/A,FALSE,"Mincost";#N/A,#N/A,FALSE,"Produc";#N/A,#N/A,FALSE,"Rev";#N/A,#N/A,FALSE,"Capital";#N/A,#N/A,FALSE,"Wcapital";#N/A,#N/A,FALSE,"Contdep";#N/A,#N/A,FALSE,"Taxdep";#N/A,#N/A,FALSE,"Tax";#N/A,#N/A,FALSE,"S-SDebt";#N/A,#N/A,FALSE,"TotDebt";#N/A,#N/A,FALSE,"Profit";#N/A,#N/A,FALSE,"CFlow";#N/A,#N/A,FALSE,"1996-2012";#N/A,#N/A,FALSE,"Bcesheet"}</definedName>
    <definedName name="wrn.todos." hidden="1">{#N/A,#N/A,FALSE,"Surf";#N/A,#N/A,FALSE,"Surf_Dsl";#N/A,#N/A,FALSE,"Porto";#N/A,#N/A,FALSE,"Porto_Dsl";#N/A,#N/A,FALSE,"Stud_125";#N/A,#N/A,FALSE,"Stud_Dsl";#N/A,#N/A,FALSE,"Tec_125";#N/A,#N/A,FALSE,"Tec_14";#N/A,#N/A,FALSE,"Ghia_125";#N/A,#N/A,FALSE,"Ghia_14";#N/A,#N/A,FALSE,"Fam_13";#N/A,#N/A,FALSE,"BFam_13";#N/A,#N/A,FALSE,"BE146"}</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hidden="1">{#N/A,"TCHEM",FALSE,"BSHIST.XLS"}</definedName>
    <definedName name="wrn.Total._.Company._.Reforecast._.Print." hidden="1">{#N/A,#N/A,FALSE,"RF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employees." hidden="1">{"Marketing",#N/A,FALSE,"O_personnel";"Sales",#N/A,FALSE,"O_personnel";"Finance",#N/A,FALSE,"O_personnel";"Hr",#N/A,FALSE,"O_personnel";"Act",#N/A,FALSE,"O_personnel";"IT",#N/A,FALSE,"O_personnel";"CSR",#N/A,FALSE,"O_personnel";"Logistic",#N/A,FALSE,"O_personnel";"Engineering",#N/A,FALSE,"O_personnel";"New business",#N/A,FALSE,"O_personnel";"wage_cost",#N/A,FALSE,"O_sallery"}</definedName>
    <definedName name="wrn.TOTAL._.FAB._.2._.EXPENSE." hidden="1">{"TOTALFAB",#N/A,FALSE,"WAFER FAB 2 EXPENSE"}</definedName>
    <definedName name="wrn.Total._.Market._.Report." hidden="1">{#N/A,#N/A,FALSE,"Sales Graph";#N/A,#N/A,FALSE,"BUC Graph";#N/A,#N/A,FALSE,"P&amp;L - YTD"}</definedName>
    <definedName name="wrn.Total._.Pack." hidden="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lant." hidden="1">{#N/A,#N/A,FALSE,"Total Plant"}</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hidden="1">{"comp1",#N/A,FALSE,"COMPS";"footnotes",#N/A,FALSE,"COMPS"}</definedName>
    <definedName name="wrn.totalcomp.1" hidden="1">{"comp1",#N/A,FALSE,"COMPS";"footnotes",#N/A,FALSE,"COMPS"}</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pepsum4a." hidden="1">{"pep204a",#N/A,FALSE,"tpepsum4a";"pep205a",#N/A,FALSE,"tpepsum4a";"wpep204a",#N/A,FALSE,"tpepsum4a";"wpep205a",#N/A,FALSE,"tpepsum4a"}</definedName>
    <definedName name="wrn.Track." hidden="1">{#N/A,#N/A,FALSE,"Inc Stmt";#N/A,#N/A,FALSE,"Indirect Costs";#N/A,#N/A,FALSE,"Capital"}</definedName>
    <definedName name="wrn.Trading._.Summary." hidden="1">{#N/A,#N/A,FALSE,"Trading Summary"}</definedName>
    <definedName name="wrn.trans." hidden="1">{#N/A,#N/A,FALSE,"TRANSNEW"}</definedName>
    <definedName name="wrn.trans._.sum." hidden="1">{"trans assumptions",#N/A,FALSE,"Merger";"trans accretion",#N/A,FALSE,"Merger"}</definedName>
    <definedName name="wrn.TRANSPORT._.COSTS." hidden="1">{"TRANSPORT COSTS",#N/A,FALSE,"C.CENTRE"}</definedName>
    <definedName name="wrn.TransPrcd_123." hidden="1">{#N/A,#N/A,TRUE,"TransPrcd 1";#N/A,#N/A,TRUE,"TransPrcd 2";#N/A,#N/A,TRUE,"TransPrcd 3"}</definedName>
    <definedName name="wrn.trball." hidden="1">{"trbcash",#N/A,FALSE,"INCPF";"trbinc",#N/A,FALSE,"INCPF";"trbchic",#N/A,FALSE,"INCPF";"trbadrev",#N/A,FALSE,"INCPF";"trbstns",#N/A,FALSE,"INCPF";"trbtvstns",#N/A,FALSE,"INCPF"}</definedName>
    <definedName name="wrn.Treasury._.Management._.Full._.Print." hidden="1">{"Summary only",#N/A,FALSE,"Loan Summary";"Detail",#N/A,FALSE,"Loan Summary"}</definedName>
    <definedName name="wrn.Trend._.Reports." hidden="1">{#N/A,#N/A,FALSE,"IncStmt_Trend_SmallFormat";#N/A,#N/A,FALSE,"Retail";#N/A,#N/A,FALSE,"AdminExcRest"}</definedName>
    <definedName name="wrn.Trucking." hidden="1">{#N/A,#N/A,FALSE,"Trucking"}</definedName>
    <definedName name="wrn.Tweety." hidden="1">{#N/A,#N/A,FALSE,"A&amp;E";#N/A,#N/A,FALSE,"HighTop";#N/A,#N/A,FALSE,"JG";#N/A,#N/A,FALSE,"RI";#N/A,#N/A,FALSE,"woHT";#N/A,#N/A,FALSE,"woHT&amp;JG"}</definedName>
    <definedName name="wrn.Typhoon." hidden="1">{"Agg Output",#N/A,FALSE,"Operational Drivers Output";"NW Output",#N/A,FALSE,"Operational Drivers Output";"South Output",#N/A,FALSE,"Operational Drivers Output";"Central Output",#N/A,FALSE,"Operational Drivers Output"}</definedName>
    <definedName name="wrn.UK._.GAAP._.BS." hidden="1">{"UKGAAP balance sheet",#N/A,FALSE,"Balance Sheet"}</definedName>
    <definedName name="wrn.Umsatz." hidden="1">{#N/A,#N/A,FALSE,"Umsatz";#N/A,#N/A,FALSE,"Base V.02";#N/A,#N/A,FALSE,"Charts"}</definedName>
    <definedName name="wrn.United._.Scaffolding." hidden="1">{#N/A,#N/A,FALSE,"Balance";#N/A,#N/A,FALSE,"Income";#N/A,#N/A,FALSE,"Equity";#N/A,#N/A,FALSE,"Cash"}</definedName>
    <definedName name="wrn.up." hidden="1">{"up stand alones",#N/A,FALSE,"Acquiror"}</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upstairs." hidden="1">{"histincome",#N/A,FALSE,"hyfins";"closing balance",#N/A,FALSE,"hyfins"}</definedName>
    <definedName name="wrn.upstairs1." hidden="1">{"histincome",#N/A,FALSE,"hyfins";"closing balance",#N/A,FALSE,"hyfins"}</definedName>
    <definedName name="wrn.upstairs2." hidden="1">{"histincome",#N/A,FALSE,"hyfins";"closing balance",#N/A,FALSE,"hyfins"}</definedName>
    <definedName name="wrn.upstairs3." hidden="1">{"histincome",#N/A,FALSE,"hyfins";"closing balance",#N/A,FALSE,"hyfins"}</definedName>
    <definedName name="wrn.USD._.COST." hidden="1">{"USDCOST",#N/A,FALSE,"FC-3 "}</definedName>
    <definedName name="wrn.USD._.FC3." hidden="1">{"USDFC3",#N/A,FALSE,"FC-3 "}</definedName>
    <definedName name="wrn.USW." hidden="1">{"IS",#N/A,FALSE,"IS";"RPTIS",#N/A,FALSE,"RPTIS";"STATS",#N/A,FALSE,"STATS";"BS",#N/A,FALSE,"BS"}</definedName>
    <definedName name="wrn.UTL._.Position." hidden="1">{"UTL effect",#N/A,FALSE,"Sensitivity"}</definedName>
    <definedName name="wrn.VA・VB→PT." hidden="1">{#N/A,"VA",FALSE,"output";#N/A,"VB",FALSE,"output";#N/A,"VS",FALSE,"output";#N/A,"VC",FALSE,"output";#N/A,"VG",FALSE,"output";#N/A,"J1",FALSE,"output";#N/A,"J2",FALSE,"output";#N/A,"PT",FALSE,"output"}</definedName>
    <definedName name="wrn.valderrama." hidden="1">{"valderrama1",#N/A,FALSE,"Pro Forma";"valderrama",#N/A,FALSE,"Pro Forma"}</definedName>
    <definedName name="wrn.valor." hidden="1">{#N/A,#N/A,FALSE,"CA_DR";#N/A,#N/A,FALSE,"CA_Balanço";#N/A,#N/A,FALSE,"CA_Mapa FM";#N/A,#N/A,FALSE,"CA_Valor"}</definedName>
    <definedName name="wrn.VALUATION." hidden="1">{#N/A,#N/A,FALSE,"Valuation Assumptions";#N/A,#N/A,FALSE,"Summary";#N/A,#N/A,FALSE,"DCF";#N/A,#N/A,FALSE,"Valuation";#N/A,#N/A,FALSE,"WACC";#N/A,#N/A,FALSE,"UBVH";#N/A,#N/A,FALSE,"Free Cash Flow"}</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Summary." hidden="1">{#N/A,#N/A,FALSE,"Summary";#N/A,#N/A,FALSE,"Base Materials";#N/A,#N/A,FALSE,"Construction";#N/A,#N/A,FALSE,"Packaging";#N/A,#N/A,FALSE,"Transportation"}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iance." hidden="1">{"Act_vs_Budget",#N/A,FALSE,"QTRDPVAR";"Act_vs_Prior_Year",#N/A,FALSE,"QTRDPVAR"}</definedName>
    <definedName name="wrn.VB→PT." hidden="1">{#N/A,"VB",FALSE,"output";#N/A,"VS",FALSE,"output";#N/A,"VC",FALSE,"output";#N/A,"VG",FALSE,"output";#N/A,"J1",FALSE,"output";#N/A,"PT",FALSE,"output"}</definedName>
    <definedName name="wrn.VC2._.and._.VC3._.Thunderbird." hidden="1">{#N/A,#N/A,FALSE,"Cover";#N/A,#N/A,FALSE,"Assumptions";#N/A,#N/A,FALSE,"Volumes";#N/A,#N/A,FALSE,"Pricing";#N/A,#N/A,FALSE,"TFLE Walk";#N/A,#N/A,FALSE,"Variable Cost";#N/A,#N/A,FALSE,"Sensitivity";#N/A,#N/A,FALSE,"Investment";#N/A,#N/A,FALSE,"Profitability"}</definedName>
    <definedName name="wrn.Wacc." hidden="1">{"Area1",#N/A,FALSE,"OREWACC";"Area2",#N/A,FALSE,"OREWACC"}</definedName>
    <definedName name="wrn.Water." hidden="1">{#N/A,#N/A,FALSE,"Water";#N/A,#N/A,FALSE,"Ballygowan";#N/A,#N/A,FALSE,"Volvic"}</definedName>
    <definedName name="wrn.waternown._.budget.2004" hidden="1">{#N/A,#N/A,TRUE,"Inc. St.";#N/A,#N/A,TRUE,"SalesLabor";#N/A,#N/A,TRUE,"Labor";#N/A,#N/A,TRUE,"TEMP.";#N/A,#N/A,TRUE,"Manuf.";#N/A,#N/A,TRUE,"Repairs";#N/A,#N/A,TRUE,"G&amp;A";#N/A,#N/A,TRUE,"Inv.";#N/A,#N/A,TRUE,"Cap.X";#N/A,#N/A,TRUE,"Leases"}</definedName>
    <definedName name="wrn.WATERTOWN._.BUDGET." hidden="1">{#N/A,#N/A,TRUE,"Inc. St.";#N/A,#N/A,TRUE,"SalesLabor";#N/A,#N/A,TRUE,"Labor";#N/A,#N/A,TRUE,"TEMP.";#N/A,#N/A,TRUE,"Manuf.";#N/A,#N/A,TRUE,"Repairs";#N/A,#N/A,TRUE,"G&amp;A";#N/A,#N/A,TRUE,"Inv.";#N/A,#N/A,TRUE,"Cap.X";#N/A,#N/A,TRUE,"Leases"}</definedName>
    <definedName name="wrn.WCTRNDS." hidden="1">{#N/A,#N/A,FALSE,"WC OMM III";#N/A,#N/A,FALSE,"WC 1995 PLAN";#N/A,#N/A,FALSE,"WC 1995 ADJUSTED"}</definedName>
    <definedName name="wrn.Week._.1." hidden="1">{"Week one Period 4",#N/A,FALSE,"Period 4"}</definedName>
    <definedName name="wrn.Week._.2." hidden="1">{"Week two Period 4",#N/A,FALSE,"Period 4"}</definedName>
    <definedName name="wrn.Week._.3." hidden="1">{"Week three Period 4",#N/A,FALSE,"Period 4"}</definedName>
    <definedName name="wrn.Week._.4." hidden="1">{"Week four Period 4",#N/A,FALSE,"Period 4"}</definedName>
    <definedName name="wrn.weekly." hidden="1">{#N/A,#N/A,FALSE,"Syst Summary";#N/A,#N/A,FALSE,"SO Ontime";#N/A,#N/A,FALSE,"Jobs Past Due";#N/A,#N/A,FALSE,"Jobs OT Comp Sched";#N/A,#N/A,FALSE,"Jobs OT Rlse";#N/A,#N/A,FALSE,"Repair BL";#N/A,#N/A,FALSE,"MRB"}</definedName>
    <definedName name="wrn.Western._.District._.1997._.Capital._.Budget." hidden="1">{#N/A,#N/A,FALSE,"EXP97"}</definedName>
    <definedName name="wrn.Western._.Metal." hidden="1">{#N/A,#N/A,FALSE,"Western";#N/A,#N/A,FALSE,"Inc. St.";#N/A,#N/A,FALSE,"Hist.";#N/A,#N/A,FALSE,"SalesLabor";#N/A,#N/A,FALSE,"Labor";#N/A,#N/A,FALSE,"Manuf.";#N/A,#N/A,FALSE,"Repairs";#N/A,#N/A,FALSE,"G&amp;A";#N/A,#N/A,FALSE,"Inv.";#N/A,#N/A,FALSE,"Cap. X"}</definedName>
    <definedName name="wrn.western._.metal.2004" hidden="1">{#N/A,#N/A,FALSE,"Western";#N/A,#N/A,FALSE,"Inc. St.";#N/A,#N/A,FALSE,"Hist.";#N/A,#N/A,FALSE,"SalesLabor";#N/A,#N/A,FALSE,"Labor";#N/A,#N/A,FALSE,"Manuf.";#N/A,#N/A,FALSE,"Repairs";#N/A,#N/A,FALSE,"G&amp;A";#N/A,#N/A,FALSE,"Inv.";#N/A,#N/A,FALSE,"Cap. X"}</definedName>
    <definedName name="wrn.WGR" hidden="1">{"fleisch",#N/A,FALSE,"WG HK";"food",#N/A,FALSE,"WG HK";"hartwaren",#N/A,FALSE,"WG HK";"weichwaren",#N/A,FALSE,"WG HK"}</definedName>
    <definedName name="wrn.WGRUPPEN." hidden="1">{"fleisch",#N/A,FALSE,"WG HK";"food",#N/A,FALSE,"WG HK";"hartwaren",#N/A,FALSE,"WG HK";"weichwaren",#N/A,FALSE,"WG HK"}</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Model." hidden="1">{#N/A,#N/A,TRUE,"Initial";#N/A,#N/A,TRUE,"CFs_P&amp;L_B&amp;S";#N/A,#N/A,TRUE,"Inv&amp;Fin";#N/A,#N/A,TRUE,"Depreciation";#N/A,#N/A,TRUE,"Energy";#N/A,#N/A,TRUE,"Index";#N/A,#N/A,TRUE,"Graphs";#N/A,#N/A,TRUE,"T_Contest"}</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WineSpirits." hidden="1">{#N/A,#N/A,FALSE,"W&amp;Spirits";#N/A,#N/A,FALSE,"Grants";#N/A,#N/A,FALSE,"CCB"}</definedName>
    <definedName name="wrn.WK." hidden="1">{#N/A,#N/A,FALSE,"PA";#N/A,#N/A,FALSE,"PA (2)";#N/A,#N/A,FALSE,"PA (3)"}</definedName>
    <definedName name="wrn.wkst." hidden="1">{"prt_wksht",#N/A,FALSE,"Sheet1"}</definedName>
    <definedName name="wrn.Wochenbericht." hidden="1">{#N/A,#N/A,FALSE,"WOBE_DE.XLS";#N/A,#N/A,FALSE,"WOB_1.XLS";#N/A,#N/A,FALSE,"WOB_2.XLS";#N/A,#N/A,FALSE,"WOB_3.XLS";#N/A,#N/A,FALSE,"WOB_4.XLS";#N/A,#N/A,FALSE,"WOB_5.XLS"}</definedName>
    <definedName name="wrn.Wochenbericht._.o.._.Deckblatt." hidden="1">{#N/A,#N/A,FALSE,"WOB_1.XLS";#N/A,#N/A,FALSE,"WOB_2.XLS";#N/A,#N/A,FALSE,"WOB_3.XLS";#N/A,#N/A,FALSE,"WOB_4.XLS";#N/A,#N/A,FALSE,"WOB_5.XLS"}</definedName>
    <definedName name="wrn.Working._.Version." hidden="1">{"Working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ingCapGermanGAAP2000_2009." hidden="1">{"WCGGAAP1",#N/A,FALSE,"P&amp;L G GAAP"}</definedName>
    <definedName name="wrn.WorkingCapGermanGAAP2010_2019." hidden="1">{"WCGGAAP2",#N/A,FALSE,"P&amp;L G GAAP"}</definedName>
    <definedName name="wrn.WorkingCapUSGAAP2000_2009." hidden="1">{"WCUSGAAP1",#N/A,FALSE,"P&amp;L US GAAP"}</definedName>
    <definedName name="wrn.WorkingCapUSGAAP2010_2019." hidden="1">{"WCUSGAAP2",#N/A,FALSE,"P&amp;L US GAAP"}</definedName>
    <definedName name="wrn.Worksheets." hidden="1">{#N/A,#N/A,FALSE,"Base Materials";#N/A,#N/A,FALSE,"Construction";#N/A,#N/A,FALSE,"Packaging";#N/A,#N/A,FALSE,"Transportation"}</definedName>
    <definedName name="wrn.wpoall." hidden="1">{"wpocash",#N/A,FALSE,"WPOALLT";"wpoinc",#N/A,FALSE,"WPOALLT";"wpoexcl",#N/A,FALSE,"WPOALLT";"wpocable",#N/A,FALSE,"WPOALLT";"wpobroad",#N/A,FALSE,"WPOALLT";"wpopost",#N/A,FALSE,"WPOALLT";"wponwsweek",#N/A,FALSE,"WPOALLT"}</definedName>
    <definedName name="wrn.WW._.PROFIT._.AND._.LOSS." hidden="1">{#N/A,#N/A,FALSE,"notes";#N/A,#N/A,FALSE,"Perform";#N/A,#N/A,FALSE,"Graphs";#N/A,#N/A,FALSE,"FAMILIES GRAPHS";#N/A,#N/A,FALSE,"WWP&amp;Lsum";#N/A,#N/A,FALSE,"WWP&amp;Lfam";#N/A,#N/A,FALSE,"SALCOMP"}</definedName>
    <definedName name="wrn.WWY." hidden="1">{#N/A,#N/A,FALSE,"WWY"}</definedName>
    <definedName name="wrn.X140." hidden="1">{"page1",#N/A,FALSE,"X140withReclasses";"page2",#N/A,FALSE,"X140withReclasses";"page3",#N/A,FALSE,"X140withReclasses"}</definedName>
    <definedName name="wrn.xrates." hidden="1">{#N/A,#N/A,FALSE,"1996";#N/A,#N/A,FALSE,"1995";#N/A,#N/A,FALSE,"1994"}</definedName>
    <definedName name="wrn.Year._.End." hidden="1">{#N/A,#N/A,FALSE,"Year End"}</definedName>
    <definedName name="wrn.YEAR._.TO._.DATE." hidden="1">{"YEAR TO DATE",#N/A,FALSE,"YTD"}</definedName>
    <definedName name="wrn.Year_Detail." hidden="1">{#N/A,#N/A,FALSE,"MoRpt Detail"}</definedName>
    <definedName name="wrn.YRF." hidden="1">{"YRF",#N/A,FALSE,"YRF"}</definedName>
    <definedName name="wrn.YTD." hidden="1">{"YTD",#N/A,FALSE,"SUM"}</definedName>
    <definedName name="wrn.YTD._.PACKAGE." hidden="1">{"YD PACKAGE",#N/A,FALSE,"YTD"}</definedName>
    <definedName name="wrn.YTD._.PRS." hidden="1">{"YD PRS",#N/A,FALSE,"YTD"}</definedName>
    <definedName name="wrn.YTD_ALL." hidden="1">{"YD LAPO2",#N/A,FALSE,"YTD";"YD LPH2",#N/A,FALSE,"YTD";"YD LOUISIANA",#N/A,FALSE,"YTD";"YD GENERALH2",#N/A,FALSE,"YTD";"YD PRS",#N/A,FALSE,"YTD";"YD PACKAGE",#N/A,FALSE,"YTD";"YD OTHER",#N/A,FALSE,"YTD"}</definedName>
    <definedName name="wrn.YTD_GENERALH2." hidden="1">{"YD GENERALH2",#N/A,FALSE,"YTD"}</definedName>
    <definedName name="wrn.YTD_LAPORTE_O2N2." hidden="1">{"YD LAPO2",#N/A,FALSE,"YTD"}</definedName>
    <definedName name="wrn.YTD_LOUISIANA." hidden="1">{"YD LOUISIANA",#N/A,FALSE,"YTD"}</definedName>
    <definedName name="wrn.YTD_OTHER." hidden="1">{"YD OTHER",#N/A,FALSE,"YTD"}</definedName>
    <definedName name="wrn.YTD_TEXAS._.HYCO." hidden="1">{"YD LPH2",#N/A,FALSE,"YTD"}</definedName>
    <definedName name="wrn.YTDvsBud." hidden="1">{"Pg1",#N/A,FALSE,"OpExYTDvsBud";"Pg2",#N/A,FALSE,"OpExYTDvsBud"}</definedName>
    <definedName name="wrn.YTDvsPY." hidden="1">{"Pa1",#N/A,FALSE,"OpExYTDvsPY";"Pa2",#N/A,FALSE,"OpExYTDvsPY"}</definedName>
    <definedName name="wrn.Y차._.종합." hidden="1">{#N/A,#N/A,TRUE,"Y생산";#N/A,#N/A,TRUE,"Y판매";#N/A,#N/A,TRUE,"Y총물량";#N/A,#N/A,TRUE,"Y능력";#N/A,#N/A,TRUE,"YKD"}</definedName>
    <definedName name="wrn.zweiseitige." hidden="1">{"frefbe1",#N/A,FALSE,"B";"frefbe2",#N/A,FALSE,"B";"frefbe3",#N/A,FALSE,"B";"bkhv1",#N/A,FALSE,"B";"sbkhv1",#N/A,FALSE,"B";"kd1",#N/A,FALSE,"B";"kd2",#N/A,FALSE,"B";"ao",#N/A,FALSE,"B";"nbl1",#N/A,FALSE,"B"}</definedName>
    <definedName name="wrn.ку." hidden="1">{#N/A,#N/A,TRUE,"Лист2"}</definedName>
    <definedName name="wrn.מאזן_בוחן_כללי." hidden="1">{#N/A,#N/A,FALSE,"מאזן בוחן";"כל_מאזן_בוחן",#N/A,FALSE,"מאזן בוחן"}</definedName>
    <definedName name="wrn.סעיפי_מאזן_בוחן."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신규dep._.full._.set." hidden="1">{#N/A,#N/A,FALSE,"신규dep";#N/A,#N/A,FALSE,"신규dep-금형상각후";#N/A,#N/A,FALSE,"신규dep-연구비상각후";#N/A,#N/A,FALSE,"신규dep-기계,공구상각후"}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현대정공구매현황." hidden="1">{#N/A,#N/A,FALSE,"정공"}</definedName>
    <definedName name="wrn.회의0104.XLS." hidden="1">{#N/A,#N/A,TRUE,"매출진척-1";#N/A,#N/A,TRUE,"매출진척-2";#N/A,#N/A,TRUE,"제품실적";#N/A,#N/A,TRUE,"RAC";#N/A,#N/A,TRUE,"PAC ";#N/A,#N/A,TRUE,"재고현황";#N/A,#N/A,TRUE,"공지사항"}</definedName>
    <definedName name="wrn.建付ﾁｪｯｸｼｰﾄ." hidden="1">{#N/A,#N/A,FALSE,"建付HOOD";#N/A,#N/A,FALSE,"建付D00R";#N/A,#N/A,FALSE,"建付DOOR (2)";#N/A,#N/A,FALSE,"建付DOOR (3)";#N/A,#N/A,FALSE,"建付BACK DOOR";#N/A,#N/A,FALSE,"建付OK率";#N/A,#N/A,FALSE,"建付OK率 (2)"}</definedName>
    <definedName name="wrn1.1.1" hidden="1">{#N/A,#N/A,FALSE,"Calc";#N/A,#N/A,FALSE,"Sensitivity";#N/A,#N/A,FALSE,"LT Earn.Dil.";#N/A,#N/A,FALSE,"Dil. AVP"}</definedName>
    <definedName name="wrn1.Bewegungsbilanz" hidden="1">{#N/A,#N/A,FALSE,"Mittelherkunft";#N/A,#N/A,FALSE,"Mittelverwendung"}</definedName>
    <definedName name="wrn1.clearing" hidden="1">{"CLEARING",#N/A,FALSE,"clearing"}</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history" hidden="1">{#N/A,#N/A,FALSE,"model"}</definedName>
    <definedName name="wrn1.PRINT." hidden="1">{"DOWNLOAD",#N/A,FALSE,"GLDownload";"UPLOAD",#N/A,FALSE,"GLUpload"}</definedName>
    <definedName name="wrn1.summary" hidden="1">{#N/A,#N/A,TRUE,"Notes";#N/A,#N/A,TRUE,"Cap Struct";#N/A,#N/A,TRUE,"OBS";#N/A,#N/A,TRUE,"bal Sheet";#N/A,#N/A,TRUE,"Inc stmt";#N/A,#N/A,TRUE,"csh flw";#N/A,#N/A,TRUE,"debt";#N/A,#N/A,TRUE,"detail 96,97";#N/A,#N/A,TRUE,"Covenants"}</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All." hidden="1">{#N/A,#N/A,FALSE,"Structure";#N/A,#N/A,FALSE,"Shares";#N/A,#N/A,FALSE,"Market";#N/A,#N/A,FALSE,"Proj-Cal";#N/A,#N/A,FALSE,"Margins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All_Excl_depr." hidden="1">{"Front_Page",#N/A,TRUE,"Front Page";#N/A,#N/A,TRUE,"Summary";#N/A,#N/A,TRUE,"GenAssump";#N/A,#N/A,TRUE,"Shut-down";"ProdAssump1_2000_2009",#N/A,TRUE,"ProdAssump";"ProdAssump2_2010_2019",#N/A,TRUE,"ProdAssump";"ProdAssump3_2000_2009",#N/A,TRUE,"ProdAssump";"ProdAssump4_2010_2019",#N/A,TRUE,"ProdAssump";"ProdAssump5_2000_2009",#N/A,TRUE,"ProdAssump";"ProdAssump6_2010_2019",#N/A,TRUE,"ProdAssump";"ProdAssump7_2000_2009",#N/A,TRUE,"ProdAssump";"ProdAssump8_2010_2019",#N/A,TRUE,"ProdAssump";"ProdAssump9_2000_2009",#N/A,TRUE,"ProdAssump";"ProdAssump10_2010_2019",#N/A,TRUE,"ProdAssump";"ProdAssump11_2000_2009",#N/A,TRUE,"ProdAssump";"ProdAssump12_2010_2019",#N/A,TRUE,"ProdAssump";"ProdAssump13_2000_2009",#N/A,TRUE,"ProdAssump";"ProdAssump14_2010_2019",#N/A,TRUE,"ProdAssump";"ProdAssump15_2000_2009",#N/A,TRUE,"ProdAssump";"ProdAssump16_2010_2019",#N/A,TRUE,"ProdAssump";"ProdAssumpTotal1",#N/A,TRUE,"ProdAssump";"ProdAssumpTotal2",#N/A,TRUE,"ProdAssump";"ProdQuantities1_2000_2009",#N/A,TRUE,"ProdAssump";"ProdQuantities2_2010_2019",#N/A,TRUE,"ProdAssump";"ProdQuantities3_2000_2009",#N/A,TRUE,"ProdAssump";"ProdQuantities4_2010_2019",#N/A,TRUE,"ProdAssump";"ProdQuantities5_2000_2009",#N/A,TRUE,"ProdAssump";"ProdQuantities6_2010_2019",#N/A,TRUE,"ProdAssump";"ProdQuantities7_2000_2009",#N/A,TRUE,"ProdAssump";"ProdQuantities8_2010_2019",#N/A,TRUE,"ProdAssump";"ProdQuantities9_2000_2009",#N/A,TRUE,"ProdAssump";"ProdQuantities10_2010_2019",#N/A,TRUE,"ProdAssump";"ProdQuantities11_2000_2009",#N/A,TRUE,"ProdAssump";"ProdQuantities12_2010_2019",#N/A,TRUE,"ProdAssump";"ProdQuantitiesTotal2000_2009",#N/A,TRUE,"ProdAssump";"ProdQuantitiesTotal2010_2019",#N/A,TRUE,"ProdAssump";"Capex1",#N/A,TRUE,"ProdAssump";"Capex2",#N/A,TRUE,"ProdAssump";"Capex3",#N/A,TRUE,"ProdAssump";"PLGGAAP1",#N/A,TRUE,"BS US GAAP";"PLGGAAP2",#N/A,TRUE,"BS US GAAP";"PLGGAAP3",#N/A,TRUE,"BS US GAAP";"PLGGAAP4",#N/A,TRUE,"BS US GAAP";"CFGGAAP1a",#N/A,TRUE,"BS US GAAP";"CFGGAAP2a",#N/A,TRUE,"BS US GAAP";"WCGGAAP1",#N/A,TRUE,"BS US GAAP";"WCGGAAP2",#N/A,TRUE,"BS US GAAP";"DebtGGAAP1",#N/A,TRUE,"BS US GAAP";"DebtGGAAP2",#N/A,TRUE,"BS US GAAP";"BSGGAAP1",#N/A,TRUE,"BS G GAAP";"BSGGAAP2",#N/A,TRUE,"BS G GAAP";"PLUSGAAP1",#N/A,TRUE,"P&amp;L US GAAP";"PLUSGAAP2",#N/A,TRUE,"P&amp;L US GAAP";"PLUSGAAP3",#N/A,TRUE,"P&amp;L US GAAP";"PLUSGAAP4",#N/A,TRUE,"P&amp;L US GAAP";"CFUSGAAP1a",#N/A,TRUE,"P&amp;L US GAAP";"CFUSGAAP2a",#N/A,TRUE,"P&amp;L US GAAP";"WCUSGAAP1",#N/A,TRUE,"P&amp;L US GAAP";"WCUSGAAP2",#N/A,TRUE,"P&amp;L US GAAP";"DebtUSGAAP1",#N/A,TRUE,"P&amp;L US GAAP";"DebtUSGAAP2",#N/A,TRUE,"P&amp;L US GAAP";"BSUSGAAP1",#N/A,TRUE,"P&amp;L US GAAP";"BSUSGAAP2",#N/A,TRUE,"P&amp;L US GAAP";"CFUSGAAP1",#N/A,TRUE,"CF US GAAP";"CFUSGAAP2",#N/A,TRUE,"CF US GAAP";"CFGGAAP1",#N/A,TRUE,"CF G GAAP";"CFGGAAP2",#N/A,TRUE,"CF G GAAP"}</definedName>
    <definedName name="wrn2.Analysis." hidden="1">{"ratios",#N/A,FALSE,"Analyse";"multiples",#N/A,FALSE,"Analyse";"places",#N/A,FALSE,"Analyse"}</definedName>
    <definedName name="wrn2.Bplan." hidden="1">{#N/A,#N/A,FALSE,"F_Plan";#N/A,#N/A,FALSE,"Parameter"}</definedName>
    <definedName name="WRN2.Document" hidden="1">{"consolidated",#N/A,FALSE,"Sheet1";"cms",#N/A,FALSE,"Sheet1";"fse",#N/A,FALSE,"Sheet1"}</definedName>
    <definedName name="wrn2.Ensemble_client." hidden="1">{"ratios",#N/A,FALSE,"Analyse";"multiples",#N/A,FALSE,"Analyse";"places",#N/A,FALSE,"Analyse";"résultats_édition client",#N/A,FALSE,"Résultats";"reg_edition client",#N/A,FALSE,"Regressions";"SYNTHESE",#N/A,FALSE,"Synthese"}</definedName>
    <definedName name="wrn2.Ensemble_travail." hidden="1">{"données",#N/A,FALSE,"Input";"ratios",#N/A,FALSE,"Analyse";"multiples",#N/A,FALSE,"Analyse";"places",#N/A,FALSE,"Analyse";"res_travail",#N/A,FALSE,"Résultats";"reg_travail",#N/A,FALSE,"Regressions";"SYNTHESE",#N/A,FALSE,"Synthese"}</definedName>
    <definedName name="wrn2.Input." hidden="1">{"données",#N/A,FALSE,"Input"}</definedName>
    <definedName name="wrn2.Kenngb." hidden="1">{#N/A,#N/A,FALSE,"SKG_SC";#N/A,#N/A,FALSE,"SKG_KP";#N/A,#N/A,FALSE,"SCG_KC";#N/A,#N/A,FALSE,"SKG_PM";#N/A,#N/A,FALSE,"SKG_Asta";#N/A,#N/A,FALSE,"SKG_DE";#N/A,#N/A,FALSE,"SKG_FA";#N/A,#N/A,FALSE,"SKG_EM";#N/A,#N/A,FALSE,"SKG_AK";#N/A,#N/A,FALSE,"SKG_CER";#N/A,#N/A,FALSE,"SKG_BA";#N/A,#N/A,FALSE,"SKG_KO"}</definedName>
    <definedName name="wrn2.regression_client." hidden="1">{"reg_edition client",#N/A,FALSE,"Regressions"}</definedName>
    <definedName name="wrn2.regression_travail." hidden="1">{"reg_travail",#N/A,FALSE,"Regressions"}</definedName>
    <definedName name="wrn2.resultats_travail." hidden="1">{"res_travail",#N/A,FALSE,"Résultats"}</definedName>
    <definedName name="wrn2.summary" hidden="1">{#N/A,#N/A,TRUE,"Notes";#N/A,#N/A,TRUE,"Cap Struct";#N/A,#N/A,TRUE,"OBS";#N/A,#N/A,TRUE,"bal Sheet";#N/A,#N/A,TRUE,"Inc stmt";#N/A,#N/A,TRUE,"csh flw";#N/A,#N/A,TRUE,"debt";#N/A,#N/A,TRUE,"detail 96,97";#N/A,#N/A,TRUE,"Covenants"}</definedName>
    <definedName name="wrn2.Summary." hidden="1">{"SYNTHESE",#N/A,FALSE,"Synthese"}</definedName>
    <definedName name="wrn2a.summary" hidden="1">{#N/A,#N/A,TRUE,"Notes";#N/A,#N/A,TRUE,"Cap Struct";#N/A,#N/A,TRUE,"OBS";#N/A,#N/A,TRUE,"bal Sheet";#N/A,#N/A,TRUE,"Inc stmt";#N/A,#N/A,TRUE,"csh flw";#N/A,#N/A,TRUE,"debt";#N/A,#N/A,TRUE,"detail 96,97";#N/A,#N/A,TRUE,"Covenants"}</definedName>
    <definedName name="wrn3.ALL." hidden="1">{#N/A,#N/A,FALSE,"DCF";#N/A,#N/A,FALSE,"WACC";#N/A,#N/A,FALSE,"Sales_EBIT";#N/A,#N/A,FALSE,"Capex_Depreciation";#N/A,#N/A,FALSE,"WC";#N/A,#N/A,FALSE,"Interest";#N/A,#N/A,FALSE,"Assumptions"}</definedName>
    <definedName name="wrn3.histroic" hidden="1">{#N/A,#N/A,FALSE,"model"}</definedName>
    <definedName name="wrn3.Kenngb." hidden="1">{#N/A,#N/A,FALSE,"SKG_SC";#N/A,#N/A,FALSE,"SKG_KP";#N/A,#N/A,FALSE,"SCG_KC";#N/A,#N/A,FALSE,"SKG_PM";#N/A,#N/A,FALSE,"SKG_Asta";#N/A,#N/A,FALSE,"SKG_DE";#N/A,#N/A,FALSE,"SKG_FA";#N/A,#N/A,FALSE,"SKG_EM";#N/A,#N/A,FALSE,"SKG_AK";#N/A,#N/A,FALSE,"SKG_CER";#N/A,#N/A,FALSE,"SKG_BA";#N/A,#N/A,FALSE,"SKG_KO"}</definedName>
    <definedName name="wrna.dave" hidden="1">{"salaried",#N/A,FALSE,"VLD View (2)"}</definedName>
    <definedName name="wrna.prod" hidden="1">{#N/A,#N/A,FALSE,"1";#N/A,#N/A,FALSE,"2";#N/A,#N/A,FALSE,"16 - 17";#N/A,#N/A,FALSE,"18 - 19";#N/A,#N/A,FALSE,"26";#N/A,#N/A,FALSE,"27";#N/A,#N/A,FALSE,"28"}</definedName>
    <definedName name="wrnaboth" hidden="1">{"detail",#N/A,FALSE,"mfg";"summary",#N/A,FALSE,"mfg"}</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hidden="1">{"detail",#N/A,FALSE,"mfg";"summary",#N/A,FALSE,"mfg"}</definedName>
    <definedName name="wrnavpucspadd" hidden="1">{#N/A,"PURCHM",FALSE,"Business Analysis";#N/A,"SPADD",FALSE,"Business Analysis"}</definedName>
    <definedName name="wrnb.print" hidden="1">{#N/A,#N/A,FALSE,"Model";#N/A,#N/A,FALSE,"Division"}</definedName>
    <definedName name="wrnb213" hidden="1">{"detail",#N/A,FALSE,"mfg";"summary",#N/A,FALSE,"mfg"}</definedName>
    <definedName name="wrnb412" hidden="1">{"detail",#N/A,FALSE,"mfg";"summary",#N/A,FALSE,"mfg"}</definedName>
    <definedName name="wrnboth14a" hidden="1">{"detail",#N/A,FALSE,"mfg";"summary",#N/A,FALSE,"mfg"}</definedName>
    <definedName name="wrn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fy97" hidden="1">{#N/A,#N/A,FALSE,"FY97";#N/A,#N/A,FALSE,"FY98";#N/A,#N/A,FALSE,"FY99";#N/A,#N/A,FALSE,"FY00";#N/A,#N/A,FALSE,"FY01"}</definedName>
    <definedName name="wrnn.print" hidden="1">{#N/A,#N/A,FALSE,"Cover Sheet";#N/A,#N/A,FALSE,"BE 13 Fiesta";#N/A,#N/A,FALSE,"New Fiesta";#N/A,#N/A,FALSE,"Escort";#N/A,#N/A,FALSE,"Mondeo";#N/A,#N/A,FALSE,"Scorpio";#N/A,#N/A,FALSE,"Probe";#N/A,#N/A,FALSE,"Maverick";#N/A,#N/A,FALSE,"Galaxy";#N/A,#N/A,FALSE,"Light vans";#N/A,#N/A,FALSE,"Transit"}</definedName>
    <definedName name="wrnn.print._.Full._.Report" hidden="1">{#N/A,#N/A,TRUE,"Cover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name="WRNP41" hidden="1">{#N/A,"PURCHM",FALSE,"Business Analysis";#N/A,"SPADD",FALSE,"Business Analysis"}</definedName>
    <definedName name="wrnp61" hidden="1">{#N/A,"PURCHM",FALSE,"Business Analysis";#N/A,"SPADD",FALSE,"Business Analysis"}</definedName>
    <definedName name="wrnpav" hidden="1">{#N/A,"PURCHM",FALSE,"Business Analysis";#N/A,"SPADD",FALSE,"Business Analysis"}</definedName>
    <definedName name="wrnpuc213" hidden="1">{#N/A,"PURCHM",FALSE,"Business Analysis";#N/A,"SPADD",FALSE,"Business Analysis"}</definedName>
    <definedName name="wrnpuc2412" hidden="1">{#N/A,"PURCHM",FALSE,"Business Analysis";#N/A,"SPADD",FALSE,"Business Analysis"}</definedName>
    <definedName name="wrnpuc412" hidden="1">{#N/A,"PURCHM",FALSE,"Business Analysis";#N/A,"SPADD",FALSE,"Business Analysis"}</definedName>
    <definedName name="wrnpucs213" hidden="1">{#N/A,"PURCHM",FALSE,"Business Analysis";#N/A,"SPADD",FALSE,"Business Analysis"}</definedName>
    <definedName name="wrnpucspadd32" hidden="1">{#N/A,"PURCHM",FALSE,"Business Analysis";#N/A,"SPADD",FALSE,"Business Analysis"}</definedName>
    <definedName name="wrnpucspaddza103" hidden="1">{#N/A,"PURCHM",FALSE,"Business Analysis";#N/A,"SPADD",FALSE,"Business Analysis"}</definedName>
    <definedName name="wrnpucspvd" hidden="1">{#N/A,"PURCHM",FALSE,"Business Analysis";#N/A,"SPADD",FALSE,"Business Analysis"}</definedName>
    <definedName name="wrnpvcs" hidden="1">{#N/A,"PURCHM",FALSE,"Business Analysis";#N/A,"SPADD",FALSE,"Business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nx01" hidden="1">{#N/A,#N/A,TRUE,"ergebnis"}</definedName>
    <definedName name="WRR" hidden="1">{#N/A,#N/A,FALSE,"Pharm";#N/A,#N/A,FALSE,"WWCM"}</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hidden="1">{#N/A,#N/A,FALSE,"REPORT"}</definedName>
    <definedName name="wrwer" hidden="1">{#N/A,#N/A,FALSE,"Umsatz 99";#N/A,#N/A,FALSE,"ER 99 "}</definedName>
    <definedName name="wrwrwrwr"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hidden="1">{"YD LAPO2",#N/A,FALSE,"YTD"}</definedName>
    <definedName name="ws" hidden="1">{#N/A,#N/A,FALSE,"Aging Summary";#N/A,#N/A,FALSE,"Ratio Analysis";#N/A,#N/A,FALSE,"Test 120 Day Accts";#N/A,#N/A,FALSE,"Tickmarks"}</definedName>
    <definedName name="wsgf" hidden="1">{"Burden (burden)",#N/A,FALSE,"burden"}</definedName>
    <definedName name="wss" hidden="1">{"summary1",#N/A,TRUE,"Comps";"summary2",#N/A,TRUE,"Comps";"summary3",#N/A,TRUE,"Comps"}</definedName>
    <definedName name="wsw" hidden="1">{"'Other IPS'!$A$5","'Other IPS'!$A$4:$K$38"}</definedName>
    <definedName name="wt" hidden="1">{#N/A,#N/A,FALSE,"FY97";#N/A,#N/A,FALSE,"FY98";#N/A,#N/A,FALSE,"FY99";#N/A,#N/A,FALSE,"FY00";#N/A,#N/A,FALSE,"FY01"}</definedName>
    <definedName name="wte" hidden="1">{#N/A,#N/A,FALSE,"Aging Summary";#N/A,#N/A,FALSE,"Ratio Analysis";#N/A,#N/A,FALSE,"Test 120 Day Accts";#N/A,#N/A,FALSE,"Tickmarks"}</definedName>
    <definedName name="wtre" hidden="1">{#N/A,#N/A,FALSE,"Aging Summary";#N/A,#N/A,FALSE,"Ratio Analysis";#N/A,#N/A,FALSE,"Test 120 Day Accts";#N/A,#N/A,FALSE,"Tickmarks"}</definedName>
    <definedName name="wtvr" hidden="1">{#N/A,#N/A,TRUE,"Hist &amp; Proj BS 98-02";#N/A,#N/A,TRUE,"Hist &amp; Proj IS 98-02";#N/A,#N/A,TRUE,"Hist &amp; Proj Oper Exp 98-02";#N/A,#N/A,TRUE,"Hist &amp; Proj CF 99-02";#N/A,#N/A,TRUE,"Mnthly Cash 99";#N/A,#N/A,TRUE,"Mnthly Cash 00";#N/A,#N/A,TRUE,"Mnthly Cash 01";#N/A,#N/A,TRUE,"Mnthly Cash 02";#N/A,#N/A,TRUE,"Mnthly IS 99";#N/A,#N/A,TRUE,"Mnthly IS 00";#N/A,#N/A,TRUE,"Mnthly IS 01";#N/A,#N/A,TRUE,"Mnthly IS 02"}</definedName>
    <definedName name="wv" hidden="1">{#N/A,#N/A,FALSE,"Pharm";#N/A,#N/A,FALSE,"WWCM"}</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LL."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3"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vu.Alle"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nalysis1H95." hidden="1">{TRUE,TRUE,-1.25,-15.5,484.5,276.75,FALSE,TRUE,TRUE,TRUE,0,112,#N/A,156,#N/A,14.21875,18.2941176470588,1,FALSE,FALSE,3,TRUE,1,FALSE,100,"Swvu.Analysis1H95.","ACwvu.Analysis1H95.",#N/A,FALSE,FALSE,0.5,0,0,0,2,"","",TRUE,TRUE,FALSE,FALSE,1,#N/A,1,1,"=R130C94:R170C123",FALSE,"Rwvu.Analysis1H95.",#N/A,FALSE,FALSE,FALSE,1,65532,65532,FALSE,FALSE,TRUE,TRUE,TRUE}</definedName>
    <definedName name="wvu.Analysis1Q95." hidden="1">{TRUE,TRUE,-1.25,-15.5,484.5,276.75,FALSE,TRUE,TRUE,TRUE,0,111,#N/A,58,#N/A,14.21875,18.8888888888889,1,FALSE,FALSE,3,TRUE,1,FALSE,100,"Swvu.Analysis1Q95.","ACwvu.Analysis1Q95.",#N/A,FALSE,FALSE,0.5,0,0,0,2,"","",TRUE,TRUE,FALSE,FALSE,1,#N/A,1,1,"=R130C94:R170C123",FALSE,"Rwvu.Analysis1Q95.",#N/A,FALSE,FALSE,FALSE,1,65532,65532,FALSE,FALSE,TRUE,TRUE,TRUE}</definedName>
    <definedName name="wvu.Analysis2Q95." hidden="1">{TRUE,TRUE,-1.25,-15.5,484.5,276.75,FALSE,TRUE,TRUE,TRUE,0,111,#N/A,120,#N/A,14.21875,17.9411764705882,1,FALSE,FALSE,3,TRUE,1,FALSE,100,"Swvu.Analysis2Q95.","ACwvu.Analysis2Q95.",#N/A,FALSE,FALSE,0.5,0,0,0,2,"","",TRUE,TRUE,FALSE,FALSE,1,#N/A,1,1,"=R130C94:R170C123",FALSE,"Rwvu.Analysis2Q95.",#N/A,FALSE,FALSE,FALSE,1,65532,65532,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Budget_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Credit._.Active." hidden="1">{TRUE,TRUE,-1.25,-15.5,484.5,276.75,FALSE,TRUE,TRUE,TRUE,0,1,#N/A,1,#N/A,6.91071428571429,18.2941176470588,1,FALSE,FALSE,3,TRUE,1,FALSE,100,"Swvu.Credit._.Active.","ACwvu.Credit._.Active.",#N/A,FALSE,FALSE,0.25,0.25,0.5,0.5,2,"","&amp;L&amp;F&amp;C&amp;A&amp;R&amp;D&amp;T",TRUE,FALSE,FALSE,FALSE,1,#N/A,1,8,"=R8C1:R142C23","=R1:R7",#N/A,"Cwvu.Credit._.Active.",FALSE,FALSE,FALSE,1,65534,65534,FALSE,FALSE,TRUE,TRUE,TRUE}</definedName>
    <definedName name="wvu.Credit._.Active1." hidden="1">{TRUE,TRUE,-1.25,-15.5,484.5,276.75,FALSE,TRUE,TRUE,TRUE,0,1,#N/A,1,#N/A,6.91071428571429,18.2941176470588,1,FALSE,FALSE,3,TRUE,1,FALSE,100,"Swvu.Credit._.Active.","ACwvu.Credit._.Active.",#N/A,FALSE,FALSE,0.25,0.25,0.5,0.5,2,"","&amp;L&amp;F&amp;C&amp;A&amp;R&amp;D&amp;T",TRUE,FALSE,FALSE,FALSE,1,#N/A,1,8,"=R8C1:R142C23","=R1:R7",#N/A,"Cwvu.Credit._.Active.",FALSE,FALSE,FALSE,1,65534,65534,FALSE,FALSE,TRUE,TRUE,TRUE}</definedName>
    <definedName name="wvu.Credit._.Additions." hidden="1">{TRUE,TRUE,-1.25,-15.5,484.5,276.75,FALSE,TRUE,TRUE,TRUE,0,1,#N/A,140,#N/A,6.91071428571429,18.1764705882353,1,FALSE,FALSE,3,TRUE,1,FALSE,100,"Swvu.Credit._.Additions.","ACwvu.Credit._.Additions.",#N/A,FALSE,FALSE,0.25,0.25,0.5,0.5,2,"","&amp;L&amp;F&amp;C&amp;A&amp;R&amp;D&amp;T",TRUE,FALSE,FALSE,FALSE,1,#N/A,1,8,"=R155C1:R270C23","=R146:R154",#N/A,"Cwvu.Credit._.Additions.",FALSE,FALSE,FALSE,1,65534,65534,FALSE,FALSE,TRUE,TRUE,TRUE}</definedName>
    <definedName name="wvu.Credit._.Additions1." hidden="1">{TRUE,TRUE,-1.25,-15.5,484.5,276.75,FALSE,TRUE,TRUE,TRUE,0,1,#N/A,140,#N/A,6.91071428571429,18.1764705882353,1,FALSE,FALSE,3,TRUE,1,FALSE,100,"Swvu.Credit._.Additions.","ACwvu.Credit._.Additions.",#N/A,FALSE,FALSE,0.25,0.25,0.5,0.5,2,"","&amp;L&amp;F&amp;C&amp;A&amp;R&amp;D&amp;T",TRUE,FALSE,FALSE,FALSE,1,#N/A,1,8,"=R155C1:R270C23","=R146:R154",#N/A,"Cwvu.Credit._.Additions.",FALSE,FALSE,FALSE,1,65534,65534,FALSE,FALSE,TRUE,TRUE,TRUE}</definedName>
    <definedName name="wvu.daily._.update._.global._.sheet." hidden="1">{TRUE,TRUE,-1.25,-15.5,456.75,276.75,FALSE,FALSE,TRUE,TRUE,0,1,2,1,21,1,4,4,TRUE,TRUE,3,TRUE,1,TRUE,100,"Swvu.daily._.update._.global._.sheet.","ACwvu.daily._.update._.global._.sheet.",#N/A,FALSE,FALSE,0.393700787401575,0.393700787401575,0.984251968503937,0.984251968503937,1,"&amp;CUTILITIES : KEY DATA
&amp;A&amp;R&amp;D","&amp;LNB : Lyonnaise, Viag estimates based upon TED&amp;CPage &amp;P&amp;REuropean Yields are Gross",TRUE,FALSE,FALSE,FALSE,1,#N/A,1,1,FALSE,FALSE,#N/A,#N/A,FALSE,FALSE,FALSE,9,65532,65532,FALSE,FALSE,TRUE,TRUE,TRUE}</definedName>
    <definedName name="wvu.daily._.update._.summary." hidden="1">{TRUE,TRUE,-1.25,-15.5,456.75,276.75,FALSE,FALSE,TRUE,TRUE,0,1,2,1,5,1,4,4,TRUE,TRUE,3,TRUE,1,TRUE,100,"Swvu.daily._.update._.summary.","ACwvu.daily._.update._.summary.",#N/A,FALSE,FALSE,0.393700787401575,0.393700787401575,0.984251968503937,0.984251968503937,2,"&amp;C&amp;A&amp;R&amp;D","&amp;LNB : Lyonnaise, Viag estimates based upon TED&amp;CPage &amp;P&amp;REuropean Yields are Gross",TRUE,FALSE,FALSE,FALSE,1,#N/A,1,1,"=R1C1:R37C16",FALSE,#N/A,#N/A,FALSE,FALSE,FALSE,9,65532,65532,FALSE,FALSE,TRUE,TRUE,TRUE}</definedName>
    <definedName name="wvu.Ergebnis"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Margin._.Summary." hidden="1">{TRUE,TRUE,-1.25,-15.5,484.5,276.75,FALSE,TRUE,TRUE,TRUE,0,91,#N/A,33,#N/A,11.575,18.8823529411765,1,FALSE,FALSE,3,TRUE,1,FALSE,100,"Swvu.Margin._.Summary.","ACwvu.Margin._.Summary.",#N/A,FALSE,FALSE,0.5,0,0,0,2,"","",TRUE,TRUE,FALSE,FALSE,1,#N/A,1,1,"=R130C94:R170C123",FALSE,"Rwvu.Margin._.Summary.",#N/A,FALSE,FALSE,FALSE,1,65532,65532,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PRT."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2"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prt3" hidden="1">{TRUE,TRUE,-2,-16.25,486,278.25,FALSE,TRUE,TRUE,TRUE,0,1,4,4,1,0.973404255319149,0.952380952380952,4,TRUE,TRUE,3,TRUE,1,FALSE,100,"Swvu.PRT.","ACwvu.PRT.",#N/A,FALSE,FALSE,0.01,0.01,0.75,0.1,2,"&amp;R&amp;""Times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 hidden="1">{"assumption 50 50",#N/A,TRUE,"Merger";"has gets cash",#N/A,TRUE,"Merger";"accretion dilution",#N/A,TRUE,"Merger";"comparison credit stats",#N/A,TRUE,"Merger";"pf credit stats",#N/A,TRUE,"Merger";"pf sheets",#N/A,TRUE,"Merger"}</definedName>
    <definedName name="ww.Rele" hidden="1">{#N/A,#N/A,FALSE,"Title Page";#N/A,#N/A,FALSE,"Conclusions";#N/A,#N/A,FALSE,"Assum.";#N/A,#N/A,FALSE,"Sun  DCF-WC-Dep";#N/A,#N/A,FALSE,"MarketValue";#N/A,#N/A,FALSE,"BalSheet";#N/A,#N/A,FALSE,"WACC";#N/A,#N/A,FALSE,"PC+ Info.";#N/A,#N/A,FALSE,"PC+Info_2"}</definedName>
    <definedName name="wwe" hidden="1">{"graph",#N/A,FALSE,"WWJU";"graph",#N/A,FALSE,"WWSEM";"graph",#N/A,FALSE,"GOMJU";"graph",#N/A,FALSE,"GOMSEM";"graph",#N/A,FALSE,"NSJU";"graph",#N/A,FALSE,"NSSEM";"graph",#N/A,FALSE,"WAJU";"graph",#N/A,FALSE,"STOCKPRI";"graph",#N/A,FALSE,"CFTEV";"graph",#N/A,FALSE,"NAV-RCV";"graph",#N/A,FALSE,"CRUDEWW"}</definedName>
    <definedName name="wwe.kkjk" hidden="1">{#N/A,#N/A,FALSE,"Umsatz CH";#N/A,#N/A,FALSE,"ER CH";#N/A,#N/A,FALSE,"EA CH (2) ";#N/A,#N/A,FALSE,"EA CH";#N/A,#N/A,FALSE,"EA CH (3) ";#N/A,#N/A,FALSE,"EA CH (4)";#N/A,#N/A,FALSE,"KA CH";#N/A,#N/A,FALSE,"KA CH  (2)";#N/A,#N/A,FALSE,"KA CH  (3)";#N/A,#N/A,FALSE,"KA CH (4)"}</definedName>
    <definedName name="wwefwefwfe" hidden="1">{"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name="wwt" hidden="1">{"YD LAPO2",#N/A,FALSE,"YTD"}</definedName>
    <definedName name="wwvu.all2" hidden="1">{TRUE,TRUE,-2,-16.25,486,278.25,FALSE,TRUE,TRUE,TRUE,0,1,2,4,1,0.987654320987654,0.952380952380952,3,TRUE,TRUE,3,TRUE,1,FALSE,100,"Swvu.ALL.","ACwvu.ALL.",#N/A,FALSE,FALSE,0.01,0.01,0.5,0.2,2,"&amp;R&amp;""Times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name="www" hidden="1">{"equity comps",#N/A,FALSE,"CS Comps";"equity comps",#N/A,FALSE,"PS Comps";"equity comps",#N/A,FALSE,"GIC_Comps";"equity comps",#N/A,FALSE,"GIC2_Comps";"debt comps",#N/A,FALSE,"CS Comps";"debt comps",#N/A,FALSE,"PS Comps";"debt comps",#N/A,FALSE,"GIC_Comps";"debt comps",#N/A,FALSE,"GIC2_Comps"}</definedName>
    <definedName name="www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1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1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1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1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1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2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2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2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2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2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3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3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3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3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3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4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4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4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4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4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5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5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5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5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_5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www" hidden="1">Main.SAPF4Help()</definedName>
    <definedName name="wwwww" hidden="1">Main.SAPF4Help()</definedName>
    <definedName name="wwwwww" hidden="1">Main.SAPF4Help()</definedName>
    <definedName name="wwwwwwwwwwwww" hidden="1">#REF!</definedName>
    <definedName name="wwwwwwwwwwwwww" hidden="1">{"detail",#N/A,FALSE,"mfg";"summary",#N/A,FALSE,"mfg"}</definedName>
    <definedName name="wx" hidden="1">{#N/A,#N/A,FALSE,"Pharm";#N/A,#N/A,FALSE,"WWCM"}</definedName>
    <definedName name="wxyz" hidden="1">{#N/A,#N/A,FALSE,"Staffnos &amp; cost"}</definedName>
    <definedName name="WYU" hidden="1">{#N/A,#N/A,FALSE,"단축1";#N/A,#N/A,FALSE,"단축2";#N/A,#N/A,FALSE,"단축3";#N/A,#N/A,FALSE,"장축";#N/A,#N/A,FALSE,"4WD"}</definedName>
    <definedName name="x">#REF!</definedName>
    <definedName name="x.1a" hidden="1">#REF!</definedName>
    <definedName name="xbbnhb"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bcb" hidden="1">{#N/A,#N/A,FALSE,"V3 Stab-Geb Index";#N/A,#N/A,FALSE,"Vertrieb";#N/A,#N/A,FALSE,"V Daten";#N/A,#N/A,FALSE,"V-Z-Index";#N/A,#N/A,FALSE,"V-1 Daten";#N/A,#N/A,FALSE,"V-1 Index";#N/A,#N/A,FALSE,"V-2 Index";#N/A,#N/A,FALSE,"V-3 Daten";#N/A,#N/A,FALSE,"V3 Stab-Geb Index";#N/A,#N/A,FALSE,"V-3 VG's Index";#N/A,#N/A,FALSE,"V-4 Index";#N/A,#N/A,FALSE,"V-5 Index"}</definedName>
    <definedName name="xbdf" hidden="1">{"Aktiva_Gittelde",#N/A,TRUE,"Bilanz-Gittelde";"Liabilities_gittelde",#N/A,TRUE,"Bilanz-Gittelde";"GuV_Gittelde",#N/A,TRUE,"GuV-Gittelde";"Aktiva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name="xc" hidden="1">Main.SAPF4Help()</definedName>
    <definedName name="xcbc"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xcbxc" hidden="1">{#N/A,#N/A,FALSE,"bel";#N/A,#N/A,FALSE,"neth"}</definedName>
    <definedName name="xccvbcbvcb" hidden="1">{"comps2",#N/A,FALSE,"AERO";"footnotes",#N/A,FALSE,"AERO"}</definedName>
    <definedName name="xchart1" hidden="1">#REF!</definedName>
    <definedName name="xchart2" hidden="1">#REF!</definedName>
    <definedName name="xchart3" hidden="1">#REF!</definedName>
    <definedName name="xchart4" hidden="1">#REF!</definedName>
    <definedName name="xchart5" hidden="1">#REF!</definedName>
    <definedName name="xcv" hidden="1">{#N/A,#N/A,FALSE,"Pharm";#N/A,#N/A,FALSE,"WWCM"}</definedName>
    <definedName name="xcvb" hidden="1">{#N/A,#N/A,FALSE,"Layout Aktiva";#N/A,#N/A,FALSE,"Layout Passiva"}</definedName>
    <definedName name="xcvbbbbbbbbbbbbbb" hidden="1">Main.SAPF4Help()</definedName>
    <definedName name="xcvbxcvbcx" hidden="1">{#N/A,#N/A,FALSE,"Umsatz EO BP";#N/A,#N/A,FALSE,"Umsatz EO OP";#N/A,#N/A,FALSE,"ER EO BP";#N/A,#N/A,FALSE,"ER EO OP";#N/A,#N/A,FALSE,"EA EO (2)";#N/A,#N/A,FALSE,"EA EO";#N/A,#N/A,FALSE,"EA EO (3)";#N/A,#N/A,FALSE,"EA EO (4)";#N/A,#N/A,FALSE,"KA EO  (2)";#N/A,#N/A,FALSE,"KA EO";#N/A,#N/A,FALSE,"KA EO  (3)";#N/A,#N/A,FALSE,"KA EO (4)"}</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de" hidden="1">{"FY97Total",#N/A,FALSE,"FY97 - Total";"FY98Total",#N/A,FALSE,"FY98 - Total"}</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hidden="1">{#N/A,#N/A,FALSE,"단축1";#N/A,#N/A,FALSE,"단축2";#N/A,#N/A,FALSE,"단축3";#N/A,#N/A,FALSE,"장축";#N/A,#N/A,FALSE,"4WD"}</definedName>
    <definedName name="xf" hidden="1">{#N/A,#N/A,FALSE,"Cover";#N/A,#N/A,FALSE,"Summary";#N/A,#N/A,FALSE,"P&amp;L";#N/A,#N/A,FALSE,"CF";#N/A,#N/A,FALSE,"BS";#N/A,#N/A,FALSE,"BS_Assumptions";#N/A,#N/A,FALSE,"GSM1800 -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name="XFDG" hidden="1">{TRUE,TRUE,-1.25,-15.5,456.75,279.75,FALSE,FALSE,TRUE,TRUE,0,1,18,1,199,6,3,4,TRUE,TRUE,3,TRUE,1,TRUE,100,"Swvu.cash.","ACwvu.cash.",1,FALSE,FALSE,0.511811023622047,0.511811023622047,0.511811023622047,0.511811023622047,1,"","",FALSE,FALSE,FALSE,FALSE,1,#N/A,1,1,#DIV/0!,FALSE,"Rwvu.cash.",#N/A,FALSE,FALSE}</definedName>
    <definedName name="xfge45ztg" hidden="1">{#N/A,#N/A,FALSE,"Finanzbedarfsrechnung"}</definedName>
    <definedName name="XG개" hidden="1">{#N/A,#N/A,FALSE,"단축1";#N/A,#N/A,FALSE,"단축2";#N/A,#N/A,FALSE,"단축3";#N/A,#N/A,FALSE,"장축";#N/A,#N/A,FALSE,"4WD"}</definedName>
    <definedName name="XG개선" hidden="1">{#N/A,#N/A,FALSE,"단축1";#N/A,#N/A,FALSE,"단축2";#N/A,#N/A,FALSE,"단축3";#N/A,#N/A,FALSE,"장축";#N/A,#N/A,FALSE,"4WD"}</definedName>
    <definedName name="XLDW_UID" hidden="1">"us318357"</definedName>
    <definedName name="XLDW_VER" hidden="1">"Office 2000 2.0 with Query Builder"</definedName>
    <definedName name="XLSIMSIM" hidden="1">{"Sim",1,"Output 1","'Incremental Baxter'!$C$47","1","2","100","0"}</definedName>
    <definedName name="xlx" hidden="1">{#N/A,#N/A,FALSE,"PMW Gruppe 99_98";#N/A,#N/A,FALSE,"PMW KG 98_99";#N/A,#N/A,FALSE,"PMW Inc. 99_98";#N/A,#N/A,FALSE,"PMW VTECH 99_98";#N/A,#N/A,FALSE,"PMW Thail. 99_98";#N/A,#N/A,FALSE,"PMW Canada 99_98";#N/A,#N/A,FALSE,"Währungsabw. 99_98"}</definedName>
    <definedName name="xn" hidden="1">{"oct_res_comm",#N/A,FALSE,"VarToBud"}</definedName>
    <definedName name="xpr" hidden="1">{"Area1",#N/A,FALSE,"OREWACC";"Area2",#N/A,FALSE,"OREWACC"}</definedName>
    <definedName name="xref" hidden="1">1</definedName>
    <definedName name="XREF_COLUMN_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8" hidden="1">#REF!</definedName>
    <definedName name="XREF_COLUMN_2" hidden="1">#REF!</definedName>
    <definedName name="XREF_COLUMN_3" hidden="1">#REF!</definedName>
    <definedName name="XREF_COLUMN_4" hidden="1">#REF!</definedName>
    <definedName name="XREF_COLUMN_6" hidden="1">#REF!</definedName>
    <definedName name="XREF_COLUMN_7" hidden="1">#REF!</definedName>
    <definedName name="XREF_COLUMN_9" hidden="1">#REF!</definedName>
    <definedName name="XRefActiveRow" hidden="1">#REF!</definedName>
    <definedName name="XRefColumnsCount" hidden="1">2</definedName>
    <definedName name="XRefCopy1" hidden="1">#REF!</definedName>
    <definedName name="XRefCopy11Row" hidden="1">#REF!</definedName>
    <definedName name="XRefCopy16" hidden="1">#REF!</definedName>
    <definedName name="XRefCopy17" hidden="1">#REF!</definedName>
    <definedName name="XRefCopy17Row" hidden="1">#REF!</definedName>
    <definedName name="XRefCopy18" hidden="1">#REF!</definedName>
    <definedName name="XRefCopy18Row" hidden="1">#REF!</definedName>
    <definedName name="XRefCopy19Row" hidden="1">#REF!</definedName>
    <definedName name="XRefCopy1Row" hidden="1">#REF!</definedName>
    <definedName name="XRefCopy2" hidden="1">#REF!</definedName>
    <definedName name="XRefCopy20Row" hidden="1">#REF!</definedName>
    <definedName name="XRefCopy21" hidden="1">#REF!</definedName>
    <definedName name="XRefCopy25" hidden="1">#REF!</definedName>
    <definedName name="XRefCopy26"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RangeCount" hidden="1">2</definedName>
    <definedName name="XRefPaste1" hidden="1">#REF!</definedName>
    <definedName name="XRefPaste16" hidden="1">#REF!</definedName>
    <definedName name="XRefPaste18Row" hidden="1">#REF!</definedName>
    <definedName name="XRefPaste19Row" hidden="1">#REF!</definedName>
    <definedName name="XRefPaste1Row" hidden="1">#REF!</definedName>
    <definedName name="XRefPaste2" hidden="1">#REF!</definedName>
    <definedName name="XRefPaste21" hidden="1">#REF!</definedName>
    <definedName name="XRefPaste21Row" hidden="1">#REF!</definedName>
    <definedName name="XRefPaste22Row" hidden="1">#REF!</definedName>
    <definedName name="XRefPaste23" hidden="1">#REF!</definedName>
    <definedName name="XRefPaste23Row" hidden="1">#REF!</definedName>
    <definedName name="XRefPaste27Row" hidden="1">#REF!</definedName>
    <definedName name="XRefPaste2Row" hidden="1">#REF!</definedName>
    <definedName name="XRefPaste3"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RangeCount" hidden="1">2</definedName>
    <definedName name="xrm" hidden="1">{"vue1",#N/A,FALSE,"synthese";"vue2",#N/A,FALSE,"synthese"}</definedName>
    <definedName name="xrm2" hidden="1">{"vue1",#N/A,FALSE,"synthese";"vue2",#N/A,FALSE,"synthese"}</definedName>
    <definedName name="xrttd" hidden="1">{"Total",#N/A,FALSE,"Total Proved + Probable";"PDP",#N/A,FALSE,"Total Proved + Probable";"PNP",#N/A,FALSE,"Total Proved + Probable";"PUD",#N/A,FALSE,"Total Proved + Probable";"Prob",#N/A,FALSE,"Total Proved + Probable"}</definedName>
    <definedName name="xs" hidden="1">{"TAG1AGMS",#N/A,FALSE,"TAG 1A"}</definedName>
    <definedName name="xsd" hidden="1">{"detail",#N/A,FALSE,"mfg";"summary",#N/A,FALSE,"mfg"}</definedName>
    <definedName name="xssq" hidden="1">{"FY97Q1 nvs",#N/A,FALSE,"FY97 - Q1";"FY97Q2 nvs",#N/A,FALSE,"FY97 - Q2";"FY97Q3 nvs",#N/A,FALSE,"FY97 - Q3";"FY97Q4 nvs",#N/A,FALSE,"FY97 - Q4"}</definedName>
    <definedName name="xthj"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xtjxz" hidden="1">{#N/A,#N/A,FALSE,"bel";#N/A,#N/A,FALSE,"neth"}</definedName>
    <definedName name="xv" hidden="1">{"Commentary",#N/A,FALSE,"May"}</definedName>
    <definedName name="xx" hidden="1">#REF!</definedName>
    <definedName name="xxcxc" hidden="1">{#N/A,#N/A,FALSE,"Umsatz CH";#N/A,#N/A,FALSE,"ER CH";#N/A,#N/A,FALSE,"EA CH (2) ";#N/A,#N/A,FALSE,"EA CH";#N/A,#N/A,FALSE,"EA CH (3) ";#N/A,#N/A,FALSE,"EA CH (4)";#N/A,#N/A,FALSE,"KA CH";#N/A,#N/A,FALSE,"KA CH  (2)";#N/A,#N/A,FALSE,"KA CH  (3)";#N/A,#N/A,FALSE,"KA CH (4)"}</definedName>
    <definedName name="XXE1" hidden="1">#REF!</definedName>
    <definedName name="XXE1_" hidden="1">#REF!</definedName>
    <definedName name="XXE1K" hidden="1">#REF!</definedName>
    <definedName name="XXE1M" hidden="1">#REF!</definedName>
    <definedName name="XXE1N" hidden="1">#REF!</definedName>
    <definedName name="XXE44" hidden="1">#REF!</definedName>
    <definedName name="XXE44_" hidden="1">#REF!</definedName>
    <definedName name="XXE44K" hidden="1">#REF!</definedName>
    <definedName name="XXE44M" hidden="1">#REF!</definedName>
    <definedName name="XXE44N" hidden="1">#REF!</definedName>
    <definedName name="XXE47" hidden="1">#REF!</definedName>
    <definedName name="XXE47_" hidden="1">#REF!</definedName>
    <definedName name="XXE47K" hidden="1">#REF!</definedName>
    <definedName name="XXE47M" hidden="1">#REF!</definedName>
    <definedName name="XXE47N" hidden="1">#REF!</definedName>
    <definedName name="XXK1" hidden="1">#REF!</definedName>
    <definedName name="XXK1_" hidden="1">#REF!</definedName>
    <definedName name="XXK101" hidden="1">#REF!</definedName>
    <definedName name="XXK101_" hidden="1">#REF!</definedName>
    <definedName name="XXK101K" hidden="1">#REF!</definedName>
    <definedName name="XXK101M" hidden="1">#REF!</definedName>
    <definedName name="XXK101N" hidden="1">#REF!</definedName>
    <definedName name="XXK127" hidden="1">#REF!</definedName>
    <definedName name="XXK127_" hidden="1">#REF!</definedName>
    <definedName name="XXK127K" hidden="1">#REF!</definedName>
    <definedName name="XXK127M" hidden="1">#REF!</definedName>
    <definedName name="XXK127N" hidden="1">#REF!</definedName>
    <definedName name="XXK1K" hidden="1">#REF!</definedName>
    <definedName name="XXK1M" hidden="1">#REF!</definedName>
    <definedName name="XXK1N" hidden="1">#REF!</definedName>
    <definedName name="XXK27" hidden="1">#REF!</definedName>
    <definedName name="XXK27_" hidden="1">#REF!</definedName>
    <definedName name="XXK27K" hidden="1">#REF!</definedName>
    <definedName name="XXK27M" hidden="1">#REF!</definedName>
    <definedName name="XXK27N" hidden="1">#REF!</definedName>
    <definedName name="XXK37" hidden="1">#REF!</definedName>
    <definedName name="XXK37_" hidden="1">#REF!</definedName>
    <definedName name="XXK37K" hidden="1">#REF!</definedName>
    <definedName name="XXK37M" hidden="1">#REF!</definedName>
    <definedName name="XXK37N" hidden="1">#REF!</definedName>
    <definedName name="XXK45" hidden="1">#REF!</definedName>
    <definedName name="XXK45_" hidden="1">#REF!</definedName>
    <definedName name="XXK45K" hidden="1">#REF!</definedName>
    <definedName name="XXK45M" hidden="1">#REF!</definedName>
    <definedName name="XXK45N" hidden="1">#REF!</definedName>
    <definedName name="XXK53" hidden="1">#REF!</definedName>
    <definedName name="XXK53_" hidden="1">#REF!</definedName>
    <definedName name="XXK53K" hidden="1">#REF!</definedName>
    <definedName name="XXK53M" hidden="1">#REF!</definedName>
    <definedName name="XXK53N" hidden="1">#REF!</definedName>
    <definedName name="XXK61" hidden="1">#REF!</definedName>
    <definedName name="XXK61_" hidden="1">#REF!</definedName>
    <definedName name="XXK61K" hidden="1">#REF!</definedName>
    <definedName name="XXK61M" hidden="1">#REF!</definedName>
    <definedName name="XXK61N" hidden="1">#REF!</definedName>
    <definedName name="XXK69" hidden="1">#REF!</definedName>
    <definedName name="XXK69_" hidden="1">#REF!</definedName>
    <definedName name="XXK69K" hidden="1">#REF!</definedName>
    <definedName name="XXK69M" hidden="1">#REF!</definedName>
    <definedName name="XXK69N" hidden="1">#REF!</definedName>
    <definedName name="XXK77" hidden="1">#REF!</definedName>
    <definedName name="XXK77_" hidden="1">#REF!</definedName>
    <definedName name="XXK77K" hidden="1">#REF!</definedName>
    <definedName name="XXK77M" hidden="1">#REF!</definedName>
    <definedName name="XXK77N" hidden="1">#REF!</definedName>
    <definedName name="XXK85" hidden="1">#REF!</definedName>
    <definedName name="XXK85_" hidden="1">#REF!</definedName>
    <definedName name="XXK85K" hidden="1">#REF!</definedName>
    <definedName name="XXK85M" hidden="1">#REF!</definedName>
    <definedName name="XXK85N" hidden="1">#REF!</definedName>
    <definedName name="XXK93" hidden="1">#REF!</definedName>
    <definedName name="XXK93_" hidden="1">#REF!</definedName>
    <definedName name="XXK93K" hidden="1">#REF!</definedName>
    <definedName name="XXK93M" hidden="1">#REF!</definedName>
    <definedName name="XXK93N" hidden="1">#REF!</definedName>
    <definedName name="XXM1" hidden="1">#REF!</definedName>
    <definedName name="XXM1_" hidden="1">#REF!</definedName>
    <definedName name="XXM1K" hidden="1">#REF!</definedName>
    <definedName name="XXM1M" hidden="1">#REF!</definedName>
    <definedName name="XXM1N" hidden="1">#REF!</definedName>
    <definedName name="xxx" hidden="1">#REF!</definedName>
    <definedName name="xxx.gb._Hm." hidden="1">{#N/A,#N/A,FALSE,"Umsatz HM";#N/A,#N/A,FALSE,"ER HM";#N/A,#N/A,FALSE,"EA HM  (2)";#N/A,#N/A,FALSE,"EA HM ";#N/A,#N/A,FALSE,"EA HM  (4)";#N/A,#N/A,FALSE,"EA HM  (3)";#N/A,#N/A,FALSE,"KA HM  (2)";#N/A,#N/A,FALSE,"KA HM";#N/A,#N/A,FALSE,"KA HM  (3)";#N/A,#N/A,FALSE,"KA HM (4)"}</definedName>
    <definedName name="xxx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1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1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1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1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1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2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2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2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2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2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3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3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3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3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3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4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4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4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4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4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5_1"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5_2"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5_3"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5_4"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_5_5"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xxx2" hidden="1">{"oct_res_comm",#N/A,FALSE,"VarToBud"}</definedName>
    <definedName name="xxxx" hidden="1">{"QTR2PGIBS",#N/A,FALSE,"Qtr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xxxxxx" hidden="1">{#N/A,#N/A,FALSE,"Balance Sheet"}</definedName>
    <definedName name="xxxxxxx" hidden="1">{#N/A,#N/A,FALSE,"Coating"}</definedName>
    <definedName name="xxxxxxxx" hidden="1">{"var_page",#N/A,FALSE,"template"}</definedName>
    <definedName name="xxxxxxxxx" hidden="1">{#N/A,#N/A,FALSE,"Distribution"}</definedName>
    <definedName name="xxxxxxxxxx" hidden="1">{#N/A,#N/A,FALSE,"Income"}</definedName>
    <definedName name="xxxxxxxxxxx" hidden="1">{#N/A,#N/A,FALSE,"Main"}</definedName>
    <definedName name="xxxxxxxxxxxx" hidden="1">{#N/A,#N/A,FALSE,"Misc"}</definedName>
    <definedName name="xxxxxxxxxxxxx" hidden="1">{#N/A,#N/A,FALSE,"Natural"}</definedName>
    <definedName name="xxxxxxxxxxxxxx" hidden="1">{#N/A,#N/A,FALSE,"Production"}</definedName>
    <definedName name="xxxxxxxxxxxxxxx" hidden="1">{#N/A,#N/A,FALSE,"Taxes"}</definedName>
    <definedName name="xxxxxxxxxxxxxxxxx" hidden="1">{#N/A,#N/A,FALSE,"Total Plant"}</definedName>
    <definedName name="xxxxxxxxxxxxxxxxxx" hidden="1">{#N/A,#N/A,FALSE,"Trucking"}</definedName>
    <definedName name="XXXXXXXXXXXXXXXXXXXXXXXXXXXX" hidden="1">{"AR",#N/A,FALSE,"ASMGTSUM";"INV",#N/A,FALSE,"ASMGTSUM";"HCCOMP",#N/A,FALSE,"ASMGTSUM";"cap.depr",#N/A,FALSE,"ASMGTSUM"}</definedName>
    <definedName name="xxxxxxxxxxxxxxxxxxxxxxxxxxxxxxxxxxxxxxxxxxxxxxxxxx" hidden="1">{#N/A,#N/A,TRUE,"Deckblatt PMS";#N/A,#N/A,TRUE,"Ergebnis und Cash-flow PMS";#N/A,#N/A,TRUE,"Kennzahlen PMS"}</definedName>
    <definedName name="xy" hidden="1">#REF!</definedName>
    <definedName name="xys" hidden="1">{#N/A,#N/A,TRUE,"Staffnos &amp; cost"}</definedName>
    <definedName name="xyz" hidden="1">#REF!</definedName>
    <definedName name="xyzzz" hidden="1">#REF!</definedName>
    <definedName name="xzbdfghfdgfdx" hidden="1">{#N/A,#N/A,TRUE,"Historicals";#N/A,#N/A,TRUE,"Charts";#N/A,#N/A,TRUE,"Forecasts"}</definedName>
    <definedName name="xzxz" hidden="1">{#N/A,"PURCHM",FALSE,"Business Analysis";#N/A,"SPADD",FALSE,"Business Analysis"}</definedName>
    <definedName name="xzxzx" hidden="1">{#N/A,#N/A,FALSE,"Performance Flash Report"}</definedName>
    <definedName name="xzzx" hidden="1">{#N/A,#N/A,FALSE,"Performance Flash Report"}</definedName>
    <definedName name="xzzzdvdvd" hidden="1">{#N/A,#N/A,FALSE,"Performance Flash Report"}</definedName>
    <definedName name="y" hidden="1">{#N/A,#N/A,FALSE,"Sheet1"}</definedName>
    <definedName name="y0" hidden="1">{"'Demand Units'!$Z$2:$AF$53"}</definedName>
    <definedName name="ya" hidden="1">{#N/A,#N/A,FALSE,"1. PTI Ziele";#N/A,#N/A,FALSE,"2. Zielkatalog ";#N/A,#N/A,FALSE,"3. Masterterminplan"}</definedName>
    <definedName name="Yarim"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ybd" hidden="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ycssd" hidden="1">{"GuVGmbH",#N/A,FALSE,"ratios";"BilanzGmbH",#N/A,FALSE,"ratios";"BilanzKG",#N/A,FALSE,"ratios";"GuVKG",#N/A,FALSE,"ratios"}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 localSheetId="55">#REF!</definedName>
    <definedName name="year">#REF!</definedName>
    <definedName name="year_end" localSheetId="55">#REF!</definedName>
    <definedName name="year_end">#REF!</definedName>
    <definedName name="YEARHIGH" hidden="1">"YEARHIGH"</definedName>
    <definedName name="YEARLOW" hidden="1">"YEARLOW"</definedName>
    <definedName name="yfsjk" hidden="1">{#N/A,#N/A,FALSE,"단축1";#N/A,#N/A,FALSE,"단축2";#N/A,#N/A,FALSE,"단축3";#N/A,#N/A,FALSE,"장축";#N/A,#N/A,FALSE,"4WD"}</definedName>
    <definedName name="yg" hidden="1">{"Polymers Details",#N/A,FALSE,"Current Yr";"Polymer Details",#N/A,FALSE,"Budget";"Polymer Details",#N/A,FALSE,"Prior Year"}</definedName>
    <definedName name="yh" hidden="1">{"Polymers Details",#N/A,FALSE,"Current Yr";"Polymer Details",#N/A,FALSE,"Budget";"Polymer Details",#N/A,FALSE,"Prior Year"}</definedName>
    <definedName name="yhg" hidden="1">2</definedName>
    <definedName name="yhjhj" hidden="1">{"cred comp",#N/A,FALSE,"Comparable Credit Analysis";"IS",#N/A,FALSE,"IS";"Sensitivity",#N/A,FALSE,"Sensitivity";"BS",#N/A,FALSE,"BS";"Bond Summary",#N/A,FALSE,"B Summary";"AD",#N/A,FALSE,"Accretion";"NAV",#N/A,FALSE,"NAV";"SU",#N/A,FALSE,"S&amp;U";"acq. study",#N/A,FALSE,"Acq. Study";"F Charges",#N/A,FALSE,"Fixed Charges"}</definedName>
    <definedName name="yhn" hidden="1">{#N/A,#N/A,FALSE,"Model";#N/A,#N/A,FALSE,"Division"}</definedName>
    <definedName name="yiopy" hidden="1">{"EVA",#N/A,FALSE,"EVA";"WACC",#N/A,FALSE,"WACC"}</definedName>
    <definedName name="YJYTIUK" hidden="1">{"'Demand Units'!$X$11:$AD$45"}</definedName>
    <definedName name="ym" hidden="1">{#N/A,"PURCHM",FALSE,"Business Analysis";#N/A,"SPADD",FALSE,"Business Analysis"}</definedName>
    <definedName name="yn" hidden="1">{"AS REP",#N/A,FALSE,"EEFSNAP2";"PROP",#N/A,FALSE,"EEFSNAP2";"RISKS",#N/A,FALSE,"EEFSNAP2";"VIEW ALL",#N/A,FALSE,"EEFSNAP2"}</definedName>
    <definedName name="yoi" hidden="1">{"sales",#N/A,FALSE,"Sales";"sales existing",#N/A,FALSE,"Sales";"sales rd1",#N/A,FALSE,"Sales";"sales rd2",#N/A,FALSE,"Sales"}</definedName>
    <definedName name="yop" hidden="1">{"vi1",#N/A,FALSE,"Financial Statements";"vi2",#N/A,FALSE,"Financial Statements";#N/A,#N/A,FALSE,"DCF"}</definedName>
    <definedName name="yp" hidden="1">{#N/A,"PURADD",FALSE,"Business Analysis";#N/A,"PURSPP",FALSE,"Business Analysis";#N/A,"CTGIND",FALSE,"Business Analysis";#N/A,"PURCHM",FALSE,"Business Analysis";#N/A,"SPADD",FALSE,"Business Analysis";#N/A,"EPOXY",FALSE,"Business Analysis";#N/A,"PURPER",FALSE,"Business Analysis"}</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e" hidden="1">{"FY97Q1 nvs",#N/A,FALSE,"FY97 - Q1";"FY97Q2 nvs",#N/A,FALSE,"FY97 - Q2";"FY97Q3 nvs",#N/A,FALSE,"FY97 - Q3";"FY97Q4 nvs",#N/A,FALSE,"FY97 - Q4"}</definedName>
    <definedName name="yry" hidden="1">{"consolidated",#N/A,FALSE,"Sheet1";"cms",#N/A,FALSE,"Sheet1";"fse",#N/A,FALSE,"Sheet1"}</definedName>
    <definedName name="yt" hidden="1">{"dcfsummary",#N/A,FALSE,"NHY - DCF Valuation";"agriculture",#N/A,FALSE,"NHY - DCF Valuation";"oilgas",#N/A,FALSE,"NHY - DCF Valuation";"oilgastot",#N/A,FALSE,"NHY - DCF Valuation";"lightmetals",#N/A,FALSE,"NHY - DCF Valuation";"petrochemicals",#N/A,FALSE,"NHY - DCF Valuation";"other",#N/A,FALSE,"NHY - DCF Valuation"}</definedName>
    <definedName name="yteytey" hidden="1">{#N/A,#N/A,TRUE,"Historicals";#N/A,#N/A,TRUE,"Charts";#N/A,#N/A,TRUE,"Forecasts"}</definedName>
    <definedName name="YTGFDF" hidden="1">{"'Demand Units'!$X$11:$AD$45"}</definedName>
    <definedName name="ythfd" hidden="1">{#N/A,#N/A,TRUE,"Historicals";#N/A,#N/A,TRUE,"Charts";#N/A,#N/A,TRUE,"Forecasts"}</definedName>
    <definedName name="ytre" hidden="1">{#N/A,#N/A,TRUE,"Historicals";#N/A,#N/A,TRUE,"Charts";#N/A,#N/A,TRUE,"Forecasts"}</definedName>
    <definedName name="ytrh" hidden="1">{#N/A,#N/A,TRUE,"Historicals";#N/A,#N/A,TRUE,"Charts";#N/A,#N/A,TRUE,"Forecasts"}</definedName>
    <definedName name="ytus"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yty" hidden="1">{#N/A,#N/A,FALSE,"Sheet2"}</definedName>
    <definedName name="ytytyt" hidden="1">{"mgmt forecast",#N/A,FALSE,"Mgmt Forecast";"dcf table",#N/A,FALSE,"Mgmt Forecast";"sensitivity",#N/A,FALSE,"Mgmt Forecast";"table inputs",#N/A,FALSE,"Mgmt Forecast";"calculations",#N/A,FALSE,"Mgmt Forecast"}</definedName>
    <definedName name="yu" hidden="1">{#N/A,#N/A,TRUE,"Cover";#N/A,#N/A,TRUE,"Input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name="yue" hidden="1">{"targetdcf",#N/A,FALSE,"Merger consequences";"TARGETASSU",#N/A,FALSE,"Merger consequences";"TERMINAL VALUE",#N/A,FALSE,"Merger consequences"}</definedName>
    <definedName name="yui" hidden="1">{"Total",#N/A,FALSE,"Six Fields";"PDP",#N/A,FALSE,"Six Fields";"PNP",#N/A,FALSE,"Six Fields";"PUD",#N/A,FALSE,"Six Fields";"Prob",#N/A,FALSE,"Six Fields"}</definedName>
    <definedName name="yuio" hidden="1">{"oct_res_comm",#N/A,FALSE,"VarToBud"}</definedName>
    <definedName name="yuop" hidden="1">{"OTHER",#N/A,FALSE,"CM"}</definedName>
    <definedName name="yus" hidden="1">{"qchm_dcf",#N/A,FALSE,"QCHMDCF2";"qchm_terminal",#N/A,FALSE,"QCHMDCF2"}</definedName>
    <definedName name="yuuiyiu" hidden="1">{"scrap",#N/A,FALSE,"scrap"}</definedName>
    <definedName name="yuuuuuuu" hidden="1">{"ratios",#N/A,FALSE,"Summary Accounts"}</definedName>
    <definedName name="yuy" hidden="1">{"Str Model",#N/A,TRUE,"Store Model";"RevProj By QTR",#N/A,TRUE,"Rev Proj";"RevProj By Yr",#N/A,TRUE,"Rev Proj";"Qtr Model",#N/A,TRUE,"Model";"Bal Sheet",#N/A,TRUE,"Bal Sheet";"Cash Flow",#N/A,TRUE,"Cash Flow";"Yrly Model",#N/A,TRUE,"Income Year"}</definedName>
    <definedName name="yuyuyuyuyuk" hidden="1">{"'Other IPS'!$A$5","'Other IPS'!$A$4:$K$38"}</definedName>
    <definedName name="yv" hidden="1">{"sales growth",#N/A,FALSE,"summary";"oper income",#N/A,FALSE,"summary";"oros rank",#N/A,FALSE,"summary";"net assets",#N/A,FALSE,"summary";"asset turnover",#N/A,FALSE,"summary";"orona",#N/A,FALSE,"summary"}</definedName>
    <definedName name="yvyf" hidden="1">{#N/A,#N/A,FALSE,"Layout Aktiva";#N/A,#N/A,FALSE,"Layout Passiva";#N/A,#N/A,FALSE,"Layout GuV";#N/A,#N/A,FALSE,"Layout Cash Flow";#N/A,#N/A,FALSE,"Mittelherkunft";#N/A,#N/A,FALSE,"Mittelverwendung";#N/A,#N/A,FALSE,"Finanzbedarfsrechnung"}</definedName>
    <definedName name="yw" hidden="1">{#VALUE!,#N/A,FALSE,0}</definedName>
    <definedName name="yws" hidden="1">{#N/A,#N/A,FALSE,"Cover Page";#N/A,#N/A,FALSE,"Facing Page";#N/A,#N/A,FALSE,"Main Page";#N/A,#N/A,FALSE,"Risk-Adjusted";#N/A,#N/A,FALSE,"Profit Improvement"}</definedName>
    <definedName name="yx" hidden="1">{#N/A,#N/A,FALSE,"Profit Status";#N/A,#N/A,FALSE,"Invest";#N/A,#N/A,FALSE,"Revenue";#N/A,#N/A,FALSE,"Variable Cost";#N/A,#N/A,FALSE,"Options &amp; Series"}</definedName>
    <definedName name="yxcxycxy" hidden="1">{#N/A,#N/A,FALSE,"Umsatz 99";#N/A,#N/A,FALSE,"ER 99 "}</definedName>
    <definedName name="yxf"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kcylkxc" hidden="1">{#N/A,#N/A,TRUE,"Cont_Stell";#N/A,#N/A,TRUE,"BTG";#N/A,#N/A,TRUE,"SH";#N/A,#N/A,TRUE,"GUV";#N/A,#N/A,TRUE,"Bilanz";#N/A,#N/A,TRUE,"WC";#N/A,#N/A,TRUE,"Beweg_bil";#N/A,#N/A,TRUE,"Kap_fluß";#N/A,#N/A,TRUE,"KENNZ";#N/A,#N/A,TRUE,"ANALYSE"}</definedName>
    <definedName name="yy" hidden="1">#REF!</definedName>
    <definedName name="yy.7" hidden="1">{#N/A,#N/A,FALSE,"PMW Gruppe 00_99";#N/A,#N/A,FALSE,"PMW KG 00_99";#N/A,#N/A,FALSE,"PMW Inc. 00_99";#N/A,#N/A,FALSE,"PMW VTECH 00_99";#N/A,#N/A,FALSE,"PMW Thail. 00_99";#N/A,#N/A,FALSE,"PMW Canada 00_99";#N/A,#N/A,FALSE,"Währungsabw. 00_99"}</definedName>
    <definedName name="YYHY" hidden="1">{#N/A,#N/A,FALSE,"단축1";#N/A,#N/A,FALSE,"단축2";#N/A,#N/A,FALSE,"단축3";#N/A,#N/A,FALSE,"장축";#N/A,#N/A,FALSE,"4WD"}</definedName>
    <definedName name="yyy" hidden="1">{#N/A,#N/A,FALSE,"Other";#N/A,#N/A,FALSE,"Ace";#N/A,#N/A,FALSE,"Derm"}</definedName>
    <definedName name="yyyy" hidden="1">{#N/A,#N/A,FALSE,"Fluktuation TSI"}</definedName>
    <definedName name="YYYYY" hidden="1">{#N/A,#N/A,FALSE,"단축1";#N/A,#N/A,FALSE,"단축2";#N/A,#N/A,FALSE,"단축3";#N/A,#N/A,FALSE,"장축";#N/A,#N/A,FALSE,"4WD"}</definedName>
    <definedName name="yyyyyuyuy" hidden="1">{"'Other IPS'!$A$5","'Other IPS'!$A$4:$K$38"}</definedName>
    <definedName name="yyyyyy" hidden="1">{"p_l",#N/A,FALSE,"Summary Accounts"}</definedName>
    <definedName name="yyyyyyyyyyyyyyyy" hidden="1">{"Summary",#N/A,FALSE,"Summary";"A&amp;A's",#N/A,FALSE,"Aids &amp; A's";"MajorWorks",#N/A,FALSE,"Major Works";"EstateImps",#N/A,FALSE,"Estate Imps";"CatC",#N/A,FALSE,"Cat C Voids";"CycProg",#N/A,FALSE,"Cyclical Prog inc MR"}</definedName>
    <definedName name="z.l" hidden="1">{#N/A,#N/A,FALSE,"KA CH  (2)"}</definedName>
    <definedName name="Z_030BCFA9_A76B_11D1_B759_08000E21FF8D_.wvu.Cols" hidden="1">#N/A</definedName>
    <definedName name="Z_030BCFA9_A76B_11D1_B759_08000E21FF8D_.wvu.FilterData" hidden="1">#N/A</definedName>
    <definedName name="Z_030BCFA9_A76B_11D1_B759_08000E21FF8D_.wvu.PrintArea" hidden="1">#N/A</definedName>
    <definedName name="Z_030BCFA9_A76B_11D1_B759_08000E21FF8D_.wvu.PrintTitles" hidden="1">#N/A</definedName>
    <definedName name="Z_06AC9F35_FA76_11D3_94DD_00C04FA0B046_.wvu.PrintArea" hidden="1">#REF!</definedName>
    <definedName name="Z_06AF62AE_3F63_11D3_8C95_000000000000_.wvu.PrintArea" hidden="1">#REF!</definedName>
    <definedName name="Z_09C6908F_308D_4EE5_97E9_68B17D542BEF_.wvu.FilterData" hidden="1">#REF!</definedName>
    <definedName name="Z_09C6908F_308D_4EE5_97E9_68B17D542BEF_.wvu.PrintArea" hidden="1">#REF!</definedName>
    <definedName name="Z_09C6908F_308D_4EE5_97E9_68B17D542BEF_.wvu.Rows" hidden="1">#REF!</definedName>
    <definedName name="Z_0B432A8C_F278_11D2_9169_0060B01A6EB2_.wvu.PrintArea" hidden="1">#REF!</definedName>
    <definedName name="Z_0B432DE3_F278_11D2_9169_0060B01A6EB2_.wvu.PrintArea" hidden="1">#REF!</definedName>
    <definedName name="Z_0B432F66_F278_11D2_9169_0060B01A6EB2_.wvu.PrintArea" hidden="1">#REF!</definedName>
    <definedName name="Z_0BDE109E_8E44_11D6_8F2A_0010B588A0E3_.wvu.PrintArea" hidden="1">#REF!</definedName>
    <definedName name="Z_0BDE109E_8E44_11D6_8F2A_0010B588A0E3_.wvu.PrintTitles" hidden="1">#REF!</definedName>
    <definedName name="Z_0BDE109E_8E44_11D6_8F2A_0010B588A0E3_.wvu.Rows" hidden="1">#REF!</definedName>
    <definedName name="Z_0CCEA51C_6B5A_492A_905D_2F185A7C043A_.wvu.PrintArea" hidden="1">#REF!</definedName>
    <definedName name="Z_0CDA9083_E5EE_41FB_B6BD_E03FFF683C40_.wvu.FilterData" hidden="1">#REF!</definedName>
    <definedName name="Z_0E86059D_B79D_11D3_94E0_00C04F602AEF_.wvu.PrintArea" hidden="1">#REF!</definedName>
    <definedName name="Z_0EF37FB7_DAF6_11D3_94D7_00C04FA0B046_.wvu.PrintArea" hidden="1">#REF!</definedName>
    <definedName name="Z_108943D4_F1C1_11D2_806D_00105A0ACAB3_.wvu.Cols" hidden="1">#REF!,#REF!</definedName>
    <definedName name="Z_108943D4_F1C1_11D2_806D_00105A0ACAB3_.wvu.Rows" hidden="1">#REF!,#REF!,#REF!,#REF!,#REF!,#REF!,#REF!,#REF!,#REF!,#REF!</definedName>
    <definedName name="Z_11E42F02_8116_47C6_A60D_8C2FB4F4AE5D_.wvu.Cols" hidden="1">#REF!,#REF!,#REF!</definedName>
    <definedName name="Z_128D8F34_9864_4F93_98E2_12587B58B6EC_.wvu.Cols" hidden="1">#REF!,#REF!,#REF!,#REF!,#REF!</definedName>
    <definedName name="Z_128D8F34_9864_4F93_98E2_12587B58B6EC_.wvu.Rows" hidden="1">#REF!,#REF!,#REF!,#REF!,#REF!,#REF!,#REF!,#REF!,#REF!,#REF!,#REF!,#REF!,#REF!,#REF!,#REF!,#REF!,#REF!,#REF!,#REF!,#REF!,#REF!,#REF!,#REF!,#REF!,#REF!</definedName>
    <definedName name="Z_138E77AE_F8DF_11D3_94E9_00C04F612D61_.wvu.PrintArea" hidden="1">#REF!</definedName>
    <definedName name="Z_138E77CA_F8DF_11D3_94E9_00C04F612D61_.wvu.PrintArea" hidden="1">#REF!</definedName>
    <definedName name="Z_138E7870_F8DF_11D3_94E9_00C04F612D61_.wvu.PrintArea" hidden="1">#REF!</definedName>
    <definedName name="Z_138E7890_F8DF_11D3_94E9_00C04F612D61_.wvu.PrintArea" hidden="1">#REF!</definedName>
    <definedName name="Z_14CF0AE7_82DD_11D2_8012_0060B01A6EB2_.wvu.PrintArea" hidden="1">#REF!</definedName>
    <definedName name="Z_1ACDB192_F033_11D3_94F1_00C04F602AEF_.wvu.PrintArea" hidden="1">#REF!</definedName>
    <definedName name="Z_1CCDDD74_3AAE_11D3_8C8A_000000000000_.wvu.PrintArea" hidden="1">#REF!</definedName>
    <definedName name="Z_2E7403B0_7396_11D2_8061_00105A03258D_.wvu.Cols" hidden="1">#REF!,#REF!</definedName>
    <definedName name="Z_336250C7_C772_11D3_94E8_00C04F602AEF_.wvu.PrintArea" hidden="1">#REF!</definedName>
    <definedName name="Z_3374E370_4024_11D3_8C96_000000000000_.wvu.PrintArea" hidden="1">#REF!</definedName>
    <definedName name="Z_36C1D6DA_94EC_11D2_801D_0060B01A6EB2_.wvu.PrintArea" hidden="1">#REF!</definedName>
    <definedName name="Z_38F40303_FE58_11D3_94DE_00C04FA0B046_.wvu.PrintArea" hidden="1">#REF!</definedName>
    <definedName name="Z_390E4561_86E6_11D3_94D7_00C04F612D61_.wvu.PrintArea" hidden="1">#REF!</definedName>
    <definedName name="Z_39BC5E81_0594_11D1_8C74_006097B34275_.wvu.FilterData" hidden="1">#REF!</definedName>
    <definedName name="Z_39BC5E82_0594_11D1_8C74_006097B34275_.wvu.FilterData" hidden="1">#REF!</definedName>
    <definedName name="Z_3B46133C_A773_4E04_B6B4_47050AB13554_.wvu.Cols" hidden="1">#REF!,#REF!,#REF!</definedName>
    <definedName name="Z_3B46133C_A773_4E04_B6B4_47050AB13554_.wvu.Rows" hidden="1">#REF!</definedName>
    <definedName name="Z_3EE9B1F1_964A_11D3_94D2_00C04F602AEF_.wvu.PrintArea" hidden="1">#REF!</definedName>
    <definedName name="Z_3EE9B283_964A_11D3_94D2_00C04F602AEF_.wvu.PrintArea" hidden="1">#REF!</definedName>
    <definedName name="Z_3EE9B315_964A_11D3_94D2_00C04F602AEF_.wvu.PrintArea" hidden="1">#REF!</definedName>
    <definedName name="Z_3FA1C490_192D_11D3_802B_0060B01A6EB2_.wvu.PrintArea" hidden="1">#REF!</definedName>
    <definedName name="Z_3FA1C663_192D_11D3_802B_0060B01A6EB2_.wvu.PrintArea" hidden="1">#REF!</definedName>
    <definedName name="Z_45C4ADC6_6DE9_11D3_8CD4_006097940621_.wvu.PrintArea" hidden="1">#REF!</definedName>
    <definedName name="Z_47939A2C_A55D_46B4_84FB_3CD5372CD5C0_.wvu.Cols" hidden="1">#REF!,#REF!,#REF!</definedName>
    <definedName name="Z_47939A2C_A55D_46B4_84FB_3CD5372CD5C0_.wvu.Rows" hidden="1">#REF!,#REF!,#REF!,#REF!,#REF!,#REF!,#REF!,#REF!,#REF!,#REF!,#REF!,#REF!,#REF!,#REF!,#REF!,#REF!,#REF!,#REF!,#REF!,#REF!,#REF!,#REF!,#REF!,#REF!,#REF!</definedName>
    <definedName name="Z_4980F475_BD39_11D3_8C84_000000000000_.wvu.PrintArea" hidden="1">#REF!</definedName>
    <definedName name="Z_4B4009D6_E3A8_11D3_94EE_00C04F602AEF_.wvu.PrintAre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6401EE_68F1_11D2_800E_0060B01A6EB2_.wvu.PrintArea" hidden="1">#REF!</definedName>
    <definedName name="Z_4C854AA2_3991_11D1_8C74_006097B34275_.wvu.FilterData" hidden="1">#REF!</definedName>
    <definedName name="Z_4E9FC601_CB8F_11D0_8C74_006097B34275_.wvu.FilterData" hidden="1">#REF!</definedName>
    <definedName name="Z_4ECFD528_4B7B_451F_A1A4_7B24AB7E23C9_.wvu.FilterData" hidden="1">#REF!</definedName>
    <definedName name="Z_526D3161_71B2_11D3_94D5_00C04F612D61_.wvu.PrintArea" hidden="1">#REF!</definedName>
    <definedName name="Z_55752DE4_DAF1_11D2_8029_0060B01A6EB2_.wvu.PrintArea" hidden="1">#REF!</definedName>
    <definedName name="Z_55752FF6_DAF1_11D2_8029_0060B01A6EB2_.wvu.PrintArea" hidden="1">#REF!</definedName>
    <definedName name="Z_557F7523_1502_11D2_8B95_00A0C9B6775A_.wvu.Cols" hidden="1">#REF!</definedName>
    <definedName name="Z_557F7524_1502_11D2_8B95_00A0C9B6775A_.wvu.Cols" hidden="1">#REF!</definedName>
    <definedName name="Z_59DC2A9C_3DF3_11D3_8C92_000000000000_.wvu.PrintArea" hidden="1">#REF!</definedName>
    <definedName name="Z_5C525311_F45E_11D3_A510_64E98A000000_.wvu.Cols" hidden="1">#REF!</definedName>
    <definedName name="Z_5C525311_F45E_11D3_A510_64E98A000000_.wvu.Rows" hidden="1">#REF!</definedName>
    <definedName name="Z_5C712547_8854_11D2_8012_0060B01A6EB2_.wvu.PrintArea" hidden="1">#REF!</definedName>
    <definedName name="Z_5F5BFFB3_BAF2_456B_BC73_9B3894AE395A_.wvu.Rows" hidden="1">#REF!,#REF!,#REF!,#REF!,#REF!,#REF!,#REF!,#REF!</definedName>
    <definedName name="Z_60FA13F0_C7AB_11D5_82BE_0060B0F04987_.wvu.Rows" hidden="1">#REF!</definedName>
    <definedName name="Z_610866E5_E713_11D6_8FBD_0010B588A0E3_.wvu.FilterData" hidden="1">#REF!</definedName>
    <definedName name="Z_61BCD568_73D2_11D6_9A49_00105AE12B1C_.wvu.Rows" hidden="1">#REF!</definedName>
    <definedName name="Z_630A7C8D_C852_11D3_94E8_00C04F602AEF_.wvu.PrintArea" hidden="1">#REF!</definedName>
    <definedName name="Z_658CB600_AA26_498D_A80D_487116058C40_.wvu.Rows" hidden="1">#REF!</definedName>
    <definedName name="Z_6A7F2E18_D622_11D2_96AB_00A024DF258F_.wvu.Rows" hidden="1">#REF!,#REF!,#REF!</definedName>
    <definedName name="Z_6C937EB6_FE55_4850_B615_E11663DDF43A_.wvu.PrintArea" hidden="1">#REF!</definedName>
    <definedName name="Z_6C937EB6_FE55_4850_B615_E11663DDF43A_.wvu.PrintTitles" hidden="1">#REF!,#REF!</definedName>
    <definedName name="Z_6C937EB6_FE55_4850_B615_E11663DDF43A_.wvu.Rows" hidden="1">#REF!,#REF!</definedName>
    <definedName name="Z_6D9C2270_ADC3_11D6_B914_00105AFBA2A2_.wvu.FilterData" hidden="1">#REF!</definedName>
    <definedName name="Z_6D9C2270_ADC3_11D6_B914_00105AFBA2A2_.wvu.PrintTitles" hidden="1">#REF!</definedName>
    <definedName name="Z_6E0ADC42_F22D_11D0_8C74_006097B34275_.wvu.FilterData" hidden="1">#REF!</definedName>
    <definedName name="Z_6F2D40DB_9E62_11D2_801D_0060B01A6EB2_.wvu.PrintArea" hidden="1">#REF!</definedName>
    <definedName name="Z_70D354D2_2FAA_11D3_8C7E_000000000000_.wvu.PrintArea" hidden="1">#REF!</definedName>
    <definedName name="Z_722C8872_BC62_11D3_94DF_00C04F612D61_.wvu.PrintArea" hidden="1">#REF!</definedName>
    <definedName name="Z_722C8A68_BC62_11D3_94DF_00C04F612D61_.wvu.PrintArea" hidden="1">#REF!</definedName>
    <definedName name="Z_722C8C5E_BC62_11D3_94DF_00C04F612D61_.wvu.PrintArea" hidden="1">#REF!</definedName>
    <definedName name="Z_722C8CF0_BC62_11D3_94DF_00C04F612D61_.wvu.PrintArea" hidden="1">#REF!</definedName>
    <definedName name="Z_722C8D93_BC62_11D3_94DF_00C04F612D61_.wvu.PrintArea" hidden="1">#REF!</definedName>
    <definedName name="Z_722C8E2B_BC62_11D3_94DF_00C04F612D61_.wvu.PrintArea" hidden="1">#REF!</definedName>
    <definedName name="Z_722C92F7_BC62_11D3_94DF_00C04F612D61_.wvu.PrintArea" hidden="1">#REF!</definedName>
    <definedName name="Z_76C6FCFC_0459_11D3_8245_00A0C99A3F6C_.wvu.Rows" hidden="1">#REF!</definedName>
    <definedName name="Z_781D38AD_00AD_11D3_916C_0060B01A6EB2_.wvu.PrintArea" hidden="1">#REF!</definedName>
    <definedName name="Z_781D3F23_00AD_11D3_916C_0060B01A6EB2_.wvu.PrintArea" hidden="1">#REF!</definedName>
    <definedName name="Z_795B27E2_B3C0_11D2_801F_0060B01A6EB2_.wvu.PrintArea" hidden="1">#REF!</definedName>
    <definedName name="Z_795B28D1_B3C0_11D2_801F_0060B01A6EB2_.wvu.PrintArea" hidden="1">#REF!</definedName>
    <definedName name="Z_795B2974_B3C0_11D2_801F_0060B01A6EB2_.wvu.PrintArea" hidden="1">#REF!</definedName>
    <definedName name="Z_795B2A17_B3C0_11D2_801F_0060B01A6EB2_.wvu.PrintArea" hidden="1">#REF!</definedName>
    <definedName name="Z_79F71445_F256_11D1_B7A1_006097337DE3_.wvu.Cols" hidden="1">#REF!,#REF!,#REF!,#REF!,#REF!,#REF!,#REF!,#REF!,#REF!,#REF!,#REF!,#REF!</definedName>
    <definedName name="Z_7B1B3191_D02E_4275_8DEC_AC1813D2E4C7_.wvu.Rows" hidden="1">#REF!</definedName>
    <definedName name="Z_7C4D4874_67AD_11D4_B818_0050DA5BC25B_.wvu.Cols" hidden="1">#REF!</definedName>
    <definedName name="Z_7C4D4874_67AD_11D4_B818_0050DA5BC25B_.wvu.Rows" hidden="1">#REF!,#REF!,#REF!,#REF!,#REF!,#REF!,#REF!,#REF!,#REF!,#REF!,#REF!,#REF!</definedName>
    <definedName name="Z_7E0A45E1_0993_11D1_8C74_006097B34275_.wvu.FilterData" hidden="1">#REF!</definedName>
    <definedName name="Z_82212322_246D_11D1_8C74_006097B34275_.wvu.FilterData" hidden="1">#REF!</definedName>
    <definedName name="Z_875F1EBE_BC71_11D3_8C83_000000000000_.wvu.PrintArea" hidden="1">#REF!</definedName>
    <definedName name="Z_87755D72_2DD6_4DE4_B85E_16D559F8F984_.wvu.Cols" hidden="1">#REF!,#REF!,#REF!</definedName>
    <definedName name="Z_87755D72_2DD6_4DE4_B85E_16D559F8F984_.wvu.Rows" hidden="1">#REF!</definedName>
    <definedName name="Z_88CF5AE2_9425_11D2_801C_0060B01A6EB2_.wvu.PrintArea" hidden="1">#REF!</definedName>
    <definedName name="Z_89196099_EBAD_11D3_94DA_00C04FA0B046_.wvu.PrintArea" hidden="1">#REF!</definedName>
    <definedName name="Z_89481651_D00D_11D3_94E3_00C04F612D61_.wvu.PrintArea" hidden="1">#REF!</definedName>
    <definedName name="Z_89A6267D_7FD1_11D2_8012_0060B01A6EB2_.wvu.PrintArea" hidden="1">#REF!</definedName>
    <definedName name="Z_8A9C8C59_0D13_11D3_8026_0060B01A6EB2_.wvu.PrintArea" hidden="1">#REF!</definedName>
    <definedName name="Z_8A9C8F32_0D13_11D3_8026_0060B01A6EB2_.wvu.PrintArea" hidden="1">#REF!</definedName>
    <definedName name="Z_8CF2B6A4_F3B2_11D1_B7A1_006097337DE3_.wvu.Cols" hidden="1">#REF!,#REF!,#REF!,#REF!,#REF!,#REF!,#REF!,#REF!,#REF!,#REF!,#REF!,#REF!</definedName>
    <definedName name="Z_8CF2B6A5_F3B2_11D1_B7A1_006097337DE3_.wvu.Cols" hidden="1">#REF!,#REF!,#REF!,#REF!,#REF!,#REF!,#REF!,#REF!,#REF!,#REF!,#REF!,#REF!</definedName>
    <definedName name="Z_8CF2B6A6_F3B2_11D1_B7A1_006097337DE3_.wvu.Cols" hidden="1">#REF!,#REF!,#REF!,#REF!,#REF!,#REF!,#REF!,#REF!,#REF!,#REF!,#REF!,#REF!</definedName>
    <definedName name="Z_8CF2B6A7_F3B2_11D1_B7A1_006097337DE3_.wvu.Cols" hidden="1">#REF!,#REF!,#REF!,#REF!,#REF!,#REF!,#REF!,#REF!,#REF!,#REF!,#REF!,#REF!</definedName>
    <definedName name="Z_8DE117E5_DE02_11D2_8029_0060B01A6EB2_.wvu.PrintArea" hidden="1">#REF!</definedName>
    <definedName name="Z_9118CF73_A0E0_408F_82FC_D7B84F445576_.wvu.Cols" hidden="1">#REF!</definedName>
    <definedName name="Z_9118CF73_A0E0_408F_82FC_D7B84F445576_.wvu.PrintArea" hidden="1">#REF!</definedName>
    <definedName name="Z_9118CF73_A0E0_408F_82FC_D7B84F445576_.wvu.Rows" hidden="1">#REF!,#REF!</definedName>
    <definedName name="Z_9AB953AD_3105_11D2_8B95_00A0C9B6775A_.wvu.Cols" hidden="1">#REF!</definedName>
    <definedName name="Z_9AB953AD_3105_11D2_8B95_00A0C9B6775A_.wvu.PrintArea" hidden="1">#REF!</definedName>
    <definedName name="Z_9AB953AD_3105_11D2_8B95_00A0C9B6775A_.wvu.PrintTitles" hidden="1">#REF!</definedName>
    <definedName name="Z_9AB953AE_3105_11D2_8B95_00A0C9B6775A_.wvu.Cols" hidden="1">#REF!</definedName>
    <definedName name="Z_9AB953AE_3105_11D2_8B95_00A0C9B6775A_.wvu.PrintArea" hidden="1">#REF!</definedName>
    <definedName name="Z_9AB953AE_3105_11D2_8B95_00A0C9B6775A_.wvu.PrintTitles" hidden="1">#REF!</definedName>
    <definedName name="Z_9AB953AE_3105_11D2_8B95_00A0C9B6775A_.wvu.Rows" hidden="1">#REF!,#REF!,#REF!,#REF!,#REF!,#REF!,#REF!,#REF!,#REF!,#REF!,#REF!,#REF!,#REF!,#REF!,#REF!,#REF!,#REF!,#REF!,#REF!,#REF!,#REF!,#REF!,#REF!,#REF!,#REF!,#REF!,#REF!,#REF!,#REF!,#REF!,#REF!</definedName>
    <definedName name="Z_9AB953AF_3105_11D2_8B95_00A0C9B6775A_.wvu.Cols" hidden="1">#REF!</definedName>
    <definedName name="Z_9AB953AF_3105_11D2_8B95_00A0C9B6775A_.wvu.PrintArea" hidden="1">#REF!</definedName>
    <definedName name="Z_9AB953AF_3105_11D2_8B95_00A0C9B6775A_.wvu.PrintTitles" hidden="1">#REF!</definedName>
    <definedName name="Z_9AB953AF_3105_11D2_8B95_00A0C9B6775A_.wvu.Rows" hidden="1">#REF!,#REF!,#REF!,#REF!,#REF!,#REF!,#REF!,#REF!,#REF!,#REF!,#REF!,#REF!,#REF!,#REF!,#REF!,#REF!,#REF!,#REF!,#REF!,#REF!,#REF!,#REF!,#REF!,#REF!,#REF!,#REF!,#REF!,#REF!,#REF!,#REF!,#REF!</definedName>
    <definedName name="Z_9B6F4435_ABB4_11D2_801F_0060B01A6EB2_.wvu.PrintArea" hidden="1">#REF!</definedName>
    <definedName name="Z_9BE98507_F126_11D3_94E7_00C04F612D61_.wvu.PrintArea" hidden="1">#REF!</definedName>
    <definedName name="Z_A06D4791_FE5D_11D3_94EA_00C04F612D61_.wvu.PrintArea" hidden="1">#REF!</definedName>
    <definedName name="Z_A06D480D_FE5D_11D3_94EA_00C04F612D61_.wvu.PrintArea" hidden="1">#REF!</definedName>
    <definedName name="Z_A06D49B4_FE5D_11D3_94EA_00C04F612D61_.wvu.PrintArea" hidden="1">#REF!</definedName>
    <definedName name="Z_A06D49D0_FE5D_11D3_94EA_00C04F612D61_.wvu.PrintArea" hidden="1">#REF!</definedName>
    <definedName name="Z_A18F811F_B263_11D3_94DE_00C04F602AEF_.wvu.PrintArea" hidden="1">#REF!</definedName>
    <definedName name="Z_A18F8547_B263_11D3_94DE_00C04F602AEF_.wvu.PrintArea" hidden="1">#REF!</definedName>
    <definedName name="Z_A1CC2EEB_9D38_11D3_94D4_00C04F602AEF_.wvu.PrintArea" hidden="1">#REF!</definedName>
    <definedName name="Z_A2860F0F_949B_11D3_94D2_00C04F602AEF_.wvu.PrintArea" hidden="1">#REF!</definedName>
    <definedName name="Z_A2860FA1_949B_11D3_94D2_00C04F602AEF_.wvu.PrintArea" hidden="1">#REF!</definedName>
    <definedName name="Z_A516D8F4_7068_404F_9C19_A1B991EB319C_.wvu.Cols" hidden="1">#REF!,#REF!,#REF!,#REF!,#REF!</definedName>
    <definedName name="Z_AB004A4F_858A_4AC9_ADF0_FD624C01378E_.wvu.PrintArea" hidden="1">#REF!</definedName>
    <definedName name="Z_AB004A4F_858A_4AC9_ADF0_FD624C01378E_.wvu.Rows" hidden="1">#REF!,#REF!,#REF!</definedName>
    <definedName name="Z_ABB84380_5919_11D2_BBB7_00104B2ACF13_.wvu.Rows" hidden="1">#REF!,#REF!,#REF!,#REF!</definedName>
    <definedName name="Z_AEFAD2E8_D55C_11D2_8027_0060B01A6EB2_.wvu.PrintArea" hidden="1">#REF!</definedName>
    <definedName name="Z_AEFAD4A3_D55C_11D2_8027_0060B01A6EB2_.wvu.PrintArea" hidden="1">#REF!</definedName>
    <definedName name="Z_B4680705_EDD3_11D3_94DB_00C04FA0B046_.wvu.PrintArea" hidden="1">#REF!</definedName>
    <definedName name="Z_B468079E_EDD3_11D3_94DB_00C04FA0B046_.wvu.PrintArea" hidden="1">#REF!</definedName>
    <definedName name="Z_B49E3C17_C2B6_11D3_94E0_00C04F612D61_.wvu.PrintArea" hidden="1">#REF!</definedName>
    <definedName name="Z_B8175DE2_E97C_11D0_8C74_006097B34275_.wvu.FilterData" hidden="1">#REF!</definedName>
    <definedName name="Z_B8DFAC8E_92C4_11D3_94D1_00C04F602AEF_.wvu.PrintArea" hidden="1">#REF!</definedName>
    <definedName name="Z_BB3B8A5D_F8E8_11D3_94DC_00C04FA0B046_.wvu.PrintArea" hidden="1">#REF!</definedName>
    <definedName name="Z_BBDA1A24_3814_11D2_8B95_00A0C9B6775A_.wvu.Cols" hidden="1">#REF!</definedName>
    <definedName name="Z_C2023587_E7DF_11D6_8FC0_0010B588A0E3_.wvu.FilterData" hidden="1">#REF!</definedName>
    <definedName name="Z_C20235A6_E7DF_11D6_8FC0_0010B588A0E3_.wvu.FilterData" hidden="1">#REF!</definedName>
    <definedName name="Z_C20235AA_E7DF_11D6_8FC0_0010B588A0E3_.wvu.FilterData" hidden="1">#REF!</definedName>
    <definedName name="Z_C20235B1_E7DF_11D6_8FC0_0010B588A0E3_.wvu.FilterData" hidden="1">#REF!</definedName>
    <definedName name="Z_C20235D8_E7DF_11D6_8FC0_0010B588A0E3_.wvu.FilterData" hidden="1">#REF!</definedName>
    <definedName name="Z_C4E24F0A_F692_11D3_94DB_00C04FA0B046_.wvu.PrintArea" hidden="1">#REF!</definedName>
    <definedName name="Z_CA9BF89C_7273_11D3_94D6_00C04F612D61_.wvu.PrintArea" hidden="1">#REF!</definedName>
    <definedName name="Z_CAFB083F_9067_11D3_94D0_00C04F602AEF_.wvu.PrintArea" hidden="1">#REF!</definedName>
    <definedName name="Z_CAFB08CF_9067_11D3_94D0_00C04F602AEF_.wvu.PrintArea" hidden="1">#REF!</definedName>
    <definedName name="Z_CAFB0A43_9067_11D3_94D0_00C04F602AEF_.wvu.PrintArea" hidden="1">#REF!</definedName>
    <definedName name="Z_D638BD64_F476_11D3_9808_00902750E8D4_.wvu.Rows" hidden="1">#REF!,#REF!,#REF!,#REF!,#REF!,#REF!,#REF!,#REF!,#REF!,#REF!</definedName>
    <definedName name="Z_D6A399A1_3411_11D2_88B3_A98C263D353B_.wvu.Rows" hidden="1">#REF!,#REF!,#REF!,#REF!,#REF!</definedName>
    <definedName name="Z_D6A399A2_3411_11D2_88B3_A98C263D353B_.wvu.Cols" hidden="1">#REF!</definedName>
    <definedName name="Z_D6A399A2_3411_11D2_88B3_A98C263D353B_.wvu.Rows" hidden="1">#REF!,#REF!,#REF!,#REF!,#REF!</definedName>
    <definedName name="Z_D6A399A3_3411_11D2_88B3_A98C263D353B_.wvu.Cols" hidden="1">#REF!,#REF!</definedName>
    <definedName name="Z_D6A399A3_3411_11D2_88B3_A98C263D353B_.wvu.Rows" hidden="1">#REF!,#REF!,#REF!,#REF!,#REF!</definedName>
    <definedName name="Z_D6A399AF_3411_11D2_88B3_A98C263D353B_.wvu.Cols" hidden="1">#REF!</definedName>
    <definedName name="Z_D6A399AF_3411_11D2_88B3_A98C263D353B_.wvu.Rows" hidden="1">#REF!,#REF!,#REF!,#REF!,#REF!</definedName>
    <definedName name="Z_D6A399B0_3411_11D2_88B3_A98C263D353B_.wvu.Cols" hidden="1">#REF!</definedName>
    <definedName name="Z_D74C6D72_E604_11D3_94E6_00C04F612D61_.wvu.PrintArea" hidden="1">#REF!</definedName>
    <definedName name="Z_D74C6F25_E604_11D3_94E6_00C04F612D61_.wvu.PrintArea" hidden="1">#REF!</definedName>
    <definedName name="Z_D74C736A_E604_11D3_94E6_00C04F612D61_.wvu.PrintArea" hidden="1">#REF!</definedName>
    <definedName name="Z_D74C7645_E604_11D3_94E6_00C04F612D61_.wvu.PrintArea" hidden="1">#REF!</definedName>
    <definedName name="Z_D74C777D_E604_11D3_94E6_00C04F612D61_.wvu.PrintArea" hidden="1">#REF!</definedName>
    <definedName name="Z_D74C787B_E604_11D3_94E6_00C04F612D61_.wvu.PrintArea" hidden="1">#REF!</definedName>
    <definedName name="Z_D74C790F_E604_11D3_94E6_00C04F612D61_.wvu.PrintArea" hidden="1">#REF!</definedName>
    <definedName name="Z_D74C7ACD_E604_11D3_94E6_00C04F612D61_.wvu.PrintArea" hidden="1">#REF!</definedName>
    <definedName name="Z_DB425CD1_773A_11D3_94D6_00C04F612D61_.wvu.PrintArea" hidden="1">#REF!</definedName>
    <definedName name="Z_DC9D1C40_07A5_43AB_A11B_52757B1D7BD1_.wvu.Cols" hidden="1">#REF!,#REF!,#REF!</definedName>
    <definedName name="Z_DCA8D884_2605_11D1_A510_006097B38048_.wvu.FilterData" hidden="1">#REF!</definedName>
    <definedName name="Z_DD27408C_6785_11D2_800D_0060B01A6EB2_.wvu.PrintArea" hidden="1">#REF!</definedName>
    <definedName name="Z_E10DD71A_42CC_11D3_8C99_000000000000_.wvu.PrintArea" hidden="1">#REF!</definedName>
    <definedName name="Z_E2699901_D040_11D0_A510_006097B38048_.wvu.FilterData" hidden="1">#REF!</definedName>
    <definedName name="Z_E3359E54_F4E5_11D3_94DB_00C04FA0B046_.wvu.PrintArea" hidden="1">#REF!</definedName>
    <definedName name="Z_E499C1FA_EA01_11D3_94D9_00C04FA0B046_.wvu.PrintArea" hidden="1">#REF!</definedName>
    <definedName name="Z_E8179140_DD91_11D3_94ED_00C04F602AEF_.wvu.PrintArea" hidden="1">#REF!</definedName>
    <definedName name="Z_EEDCBCAC_8399_11D2_8016_0060B01AC4B2_.wvu.PrintArea" hidden="1">#REF!</definedName>
    <definedName name="Z_F2884976_0A0D_11D3_916D_0060B01A6EB2_.wvu.PrintArea" hidden="1">#REF!</definedName>
    <definedName name="Z_FB37AAA2_E08C_11D2_8029_0060B01A6EB2_.wvu.PrintArea" hidden="1">#REF!</definedName>
    <definedName name="Z_FB37B214_E08C_11D2_8029_0060B01A6EB2_.wvu.PrintArea" hidden="1">#REF!</definedName>
    <definedName name="Z_FC0AB258_AC5F_11D3_94DB_00C04F602AEF_.wvu.PrintArea" hidden="1">#REF!</definedName>
    <definedName name="Z_FC0AB2EA_AC5F_11D3_94DB_00C04F602AEF_.wvu.PrintArea" hidden="1">#REF!</definedName>
    <definedName name="Z_FFD9B7F5_04F7_11D6_992D_00104BD16E42_.wvu.Rows" hidden="1">#REF!</definedName>
    <definedName name="za" hidden="1">{#N/A,#N/A,FALSE,"Model";#N/A,#N/A,FALSE,"Division"}</definedName>
    <definedName name="zaCQW" hidden="1">{"turnover",#N/A,FALSE;"profits",#N/A,FALSE;"cash",#N/A,FALSE}</definedName>
    <definedName name="zahlungswVeraenderungen" hidden="1">#REF!</definedName>
    <definedName name="zahlungswVeraenderungen_" hidden="1">#REF!</definedName>
    <definedName name="zahlungswVeraenderungenN" hidden="1">#REF!</definedName>
    <definedName name="zaq" hidden="1">{#N/A,#N/A,FALSE,"Calc";#N/A,#N/A,FALSE,"Sensitivity";#N/A,#N/A,FALSE,"LT Earn.Dil.";#N/A,#N/A,FALSE,"Dil. AVP"}</definedName>
    <definedName name="zaz" hidden="1">{#N/A,"PURCHM",FALSE,"Business Analysis";#N/A,"SPADD",FALSE,"Business Analysis"}</definedName>
    <definedName name="ZDHGKSDLG" hidden="1">{#N/A,#N/A,FALSE,"인원";#N/A,#N/A,FALSE,"비용2";#N/A,#N/A,FALSE,"비용1";#N/A,#N/A,FALSE,"비용";#N/A,#N/A,FALSE,"보증2";#N/A,#N/A,FALSE,"보증1";#N/A,#N/A,FALSE,"보증";#N/A,#N/A,FALSE,"손익1";#N/A,#N/A,FALSE,"손익";#N/A,#N/A,FALSE,"부서별매출";#N/A,#N/A,FALSE,"매출"}</definedName>
    <definedName name="zer" hidden="1">{#N/A,#N/A,FALSE,"Calc";#N/A,#N/A,FALSE,"Sensitivity";#N/A,#N/A,FALSE,"LT Earn.Dil.";#N/A,#N/A,FALSE,"Dil. AVP"}</definedName>
    <definedName name="zezrzrzerz" hidden="1">{"equity comps",#N/A,FALSE,"CS Comps";"equity comps",#N/A,FALSE,"PS Comps";"equity comps",#N/A,FALSE,"GIC_Comps";"equity comps",#N/A,FALSE,"GIC2_Comps"}</definedName>
    <definedName name="zfill" hidden="1">#REF!</definedName>
    <definedName name="zflufu"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zhguz" hidden="1">{"DCF","UPSIDE CASE",FALSE,"Sheet1";"DCF","BASE CASE",FALSE,"Sheet1";"DCF","DOWNSIDE CASE",FALSE,"Sheet1"}</definedName>
    <definedName name="zhj" hidden="1">1/EUReXToPTE</definedName>
    <definedName name="zhu" hidden="1">{#N/A,#N/A,FALSE,"REPORT"}</definedName>
    <definedName name="zhutr" hidden="1">{#N/A,#N/A,FALSE,"REPORT"}</definedName>
    <definedName name="Ziele"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Zinsaufwand" hidden="1">#REF!</definedName>
    <definedName name="Zinsaufwand_" hidden="1">#REF!</definedName>
    <definedName name="ZinsaufwandK" hidden="1">#REF!</definedName>
    <definedName name="ZinsaufwandM" hidden="1">#REF!</definedName>
    <definedName name="ZinsaufwandN" hidden="1">#REF!</definedName>
    <definedName name="ZinsertraegeUndAe" hidden="1">#REF!</definedName>
    <definedName name="ZinsertraegeUndAe_" hidden="1">#REF!</definedName>
    <definedName name="ZinsertraegeUndAeK" hidden="1">#REF!</definedName>
    <definedName name="ZinsertraegeUndAeM" hidden="1">#REF!</definedName>
    <definedName name="ZinsertraegeUndAeN" hidden="1">#REF!</definedName>
    <definedName name="ZIO" hidden="1">{"FY98Q1 var",#N/A,FALSE,"FY98 - Q1";"FY98Q2 var",#N/A,FALSE,"FY98 - Q2";"FY98Q3 var",#N/A,FALSE,"FY98 - Q3";"FY98Q4 var",#N/A,FALSE,"FY98 - Q4"}</definedName>
    <definedName name="zioio" hidden="1">{#N/A,#N/A,FALSE,"Umsatz CH";#N/A,#N/A,FALSE,"ER CH";#N/A,#N/A,FALSE,"EA CH (2) ";#N/A,#N/A,FALSE,"EA CH";#N/A,#N/A,FALSE,"EA CH (3) ";#N/A,#N/A,FALSE,"EA CH (4)";#N/A,#N/A,FALSE,"KA CH";#N/A,#N/A,FALSE,"KA CH  (2)";#N/A,#N/A,FALSE,"KA CH  (3)";#N/A,#N/A,FALSE,"KA CH (4)"}</definedName>
    <definedName name="zl" hidden="1">{#N/A,"PURCHM",FALSE,"Business Analysis";#N/A,"SPADD",FALSE,"Business Analysis"}</definedName>
    <definedName name="zluz"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zm" hidden="1">{"page1",#N/A,FALSE,"GIRLBO";"page2",#N/A,FALSE,"GIRLBO";"page3",#N/A,FALSE,"GIRLBO";"page4",#N/A,FALSE,"GIRLBO";"page5",#N/A,FALSE,"GIRLBO"}</definedName>
    <definedName name="zoiz"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rr" hidden="1">{"FY97Q1 var",#N/A,FALSE,"FY97 - Q1";"FY97Q2 var",#N/A,FALSE,"FY97 - Q2";"FY97Q3 var",#N/A,FALSE,"FY97 - Q3";"FY97Q4 var",#N/A,FALSE,"FY97 - Q4"}</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 hidden="1">{"weichwaren",#N/A,FALSE,"Liste 1";"hartwaren",#N/A,FALSE,"Liste 1";"food",#N/A,FALSE,"Liste 1";"fleisch",#N/A,FALSE,"Liste 1"}</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u" hidden="1">{"GuVGmbH",#N/A,FALSE,"ratios";"BilanzGmbH",#N/A,FALSE,"ratios";"BilanzKG",#N/A,FALSE,"ratios";"GuVKG",#N/A,FALSE,"ratios"}</definedName>
    <definedName name="zu" hidden="1">{"zweis 1",#N/A,FALSE,"B";"zweis2",#N/A,FALSE,"B";"zweis3",#N/A,FALSE,"B";"zweis4",#N/A,FALSE,"B";"zweis5",#N/A,FALSE,"B";"zweis6",#N/A,FALSE,"B";"zweis7",#N/A,FALSE,"B";"zweis8",#N/A,FALSE,"B";"zweis9",#N/A,FALSE,"B"}</definedName>
    <definedName name="zuioitzzu" hidden="1">{#N/A,#N/A,FALSE,"Layout Cash Flow"}</definedName>
    <definedName name="zuizu" hidden="1">{#N/A,#N/A,FALSE,"Layout Cash Flow"}</definedName>
    <definedName name="zuizui" hidden="1">{#N/A,#N/A,FALSE,"Mittelherkunft";#N/A,#N/A,FALSE,"Mittelverwendung"}</definedName>
    <definedName name="zuizuizu" hidden="1">{#N/A,#N/A,FALSE,"Layout Aktiva";#N/A,#N/A,FALSE,"Layout Passiva";#N/A,#N/A,FALSE,"Layout GuV";#N/A,#N/A,FALSE,"Layout Cash Flow";#N/A,#N/A,FALSE,"Mittelherkunft";#N/A,#N/A,FALSE,"Mittelverwendung";#N/A,#N/A,FALSE,"Finanzbedarfsrechnung"}</definedName>
    <definedName name="zulizlizil" hidden="1">{"Ebit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name="zulzulzul" hidden="1">{"WACC",#N/A,FALSE,"Bewertung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name="zut" hidden="1">{#N/A,#N/A,FALSE,"Mittelherkunft";#N/A,#N/A,FALSE,"Mittelverwendung"}</definedName>
    <definedName name="ZX" hidden="1">{#N/A,#N/A,FALSE,"초도품";#N/A,#N/A,FALSE,"초도품 (2)";#N/A,#N/A,FALSE,"초도품 (3)";#N/A,#N/A,FALSE,"초도품 (4)";#N/A,#N/A,FALSE,"초도품 (5)";#N/A,#N/A,FALSE,"초도품 (6)"}</definedName>
    <definedName name="zxc" hidden="1">{"MATERIAL",#N/A,FALSE,"material"}</definedName>
    <definedName name="zxcvb" hidden="1">{#N/A,#N/A,TRUE,"Historicals";#N/A,#N/A,TRUE,"Charts";#N/A,#N/A,TRUE,"Forecasts"}</definedName>
    <definedName name="zxzx" hidden="1">{"oct_res_comm",#N/A,FALSE,"VarToBud"}</definedName>
    <definedName name="ZZ_EVCOMOPTS" hidden="1">10</definedName>
    <definedName name="zza4pg" hidden="1">{#N/A,#N/A,FALSE,"REPORT"}</definedName>
    <definedName name="zzaxz" hidden="1">{"detail",#N/A,FALSE,"mfg";"summary",#N/A,FALSE,"mfg"}</definedName>
    <definedName name="zzee" hidden="1">{#N/A,#N/A,FALSE,"Pharm";#N/A,#N/A,FALSE,"WWCM"}</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oö" hidden="1">{#N/A,#N/A,FALSE,"Layout Cash Flow"}</definedName>
    <definedName name="zzz" hidden="1">{"'Form'!$A$2:$J$81"}</definedName>
    <definedName name="zzz.com" hidden="1">{#N/A,#N/A,FALSE,"Title Page";#N/A,#N/A,FALSE,"Conclusions";#N/A,#N/A,FALSE,"Assum.";#N/A,#N/A,FALSE,"Sun  DCF-WC-Dep";#N/A,#N/A,FALSE,"MarketValue";#N/A,#N/A,FALSE,"BalSheet";#N/A,#N/A,FALSE,"WACC";#N/A,#N/A,FALSE,"PC+ Info.";#N/A,#N/A,FALSE,"PC+Info_2"}</definedName>
    <definedName name="zzzz" hidden="1">Main.SAPF4Help()</definedName>
    <definedName name="zzzzz" hidden="1">{"TAG1AGMS",#N/A,FALSE,"TAG 1A"}</definedName>
    <definedName name="zzzzzz" hidden="1">{"var_page",#N/A,FALSE,"template"}</definedName>
    <definedName name="ZZZZZZDELETEME22" hidden="1">{0,0,0,0;0,0,0,0;0,0,0,0;0,0,0,0;0,0,0,0;0,0,0,0;0,0,0,0;0,0,0,0;0,0,0,0;0,0,0,0;0,0,0,0;0,0,0,0;0,0,0,0;0,0,0,0;0,0,0,0;0,0,0,0;0,0,0,0;0,0,TRUE,0}</definedName>
    <definedName name="ZZZZZZDELETEME26" hidden="1">{0,0,0,0;0,0,0,0;0,0,0,0;0,0,0,0;0,0,0,0;0,0,0,0;0,0,0,0;0,0,0,0;0,0,0,0;0,0,0,0;0,0,0,0;0,0,0,0;0,0,0,0;0,0,0,0;0,0,0,0;0,0,0,0;0,0,0,0;0,0,TRUE,0}</definedName>
    <definedName name="zzzzzzz" hidden="1">Main.SAPF4Help()</definedName>
    <definedName name="あああああ" hidden="1">#REF!</definedName>
    <definedName name="カク9" hidden="1">{"RES-2001",#N/A,FALSE,"BL2000";"A1-2001",#N/A,FALSE,"BL2000";"A2-2001",#N/A,FALSE,"BL2000"}</definedName>
    <definedName name="っＫ" hidden="1">#REF!</definedName>
    <definedName name="ﾘﾌﾀ" hidden="1">#REF!</definedName>
    <definedName name="ﾘﾌﾀｰ" hidden="1">#REF!</definedName>
    <definedName name="わあわ" hidden="1">{"CTO ACUMULADO",#N/A,FALSE,"BASE ANEXOS";"VAR ACUMULADAS",#N/A,FALSE,"BASE ANEXOS"}</definedName>
    <definedName name="אאא" hidden="1">{#N/A,#N/A,FALSE,"מאזן בוחן";"כל_מאזן_בוחן",#N/A,FALSE,"מאזן בוחן"}</definedName>
    <definedName name="בככ"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השקעה" hidden="1">{"REP1",#N/A,FALSE,"ריכוז";"REP2",#N/A,FALSE,"מפורט1";"REP3",#N/A,FALSE,"מפורט1";"REP4",#N/A,FALSE,"מפורט2";"REP5",#N/A,FALSE,"מפורט2";"REP6",#N/A,FALSE,"מפורט2"}</definedName>
    <definedName name="חח" hidden="1">{#N/A,#N/A,FALSE,"מאזן בוחן";"כל_מאזן_בוחן",#N/A,FALSE,"מאזן בוחן"}</definedName>
    <definedName name="לל" hidden="1">{#N/A,#N/A,FALSE,"מאזן בוחן";"כל_מאזן_בוחן",#N/A,FALSE,"מאזן בוחן"}</definedName>
    <definedName name="מ" hidden="1">{"מזומנים",#N/A,FALSE,"מאזן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קרן" hidden="1">{"rep1",#N/A,FALSE,"ריכוז";"REP7",#N/A,FALSE,"מפורט_אזורים_ער""ז";"REP2",#N/A,FALSE,"מפורט1";"REP3",#N/A,FALSE,"מפורט1";"REP4",#N/A,FALSE,"מפורט2";"REP5",#N/A,FALSE,"מפורט2";"REP6",#N/A,FALSE,"מפורט2"}</definedName>
    <definedName name="ㄱ" hidden="1">{#N/A,#N/A,FALSE,"단축1";#N/A,#N/A,FALSE,"단축2";#N/A,#N/A,FALSE,"단축3";#N/A,#N/A,FALSE,"장축";#N/A,#N/A,FALSE,"4WD"}</definedName>
    <definedName name="ㄱㄱ" hidden="1">{#N/A,#N/A,FALSE,"초도품";#N/A,#N/A,FALSE,"초도품 (2)";#N/A,#N/A,FALSE,"초도품 (3)";#N/A,#N/A,FALSE,"초도품 (4)";#N/A,#N/A,FALSE,"초도품 (5)";#N/A,#N/A,FALSE,"초도품 (6)"}</definedName>
    <definedName name="ㄱㅇ" hidden="1">{#N/A,#N/A,FALSE,"단축1";#N/A,#N/A,FALSE,"단축2";#N/A,#N/A,FALSE,"단축3";#N/A,#N/A,FALSE,"장축";#N/A,#N/A,FALSE,"4WD"}</definedName>
    <definedName name="가1" hidden="1">{#N/A,#N/A,TRUE,"Y생산";#N/A,#N/A,TRUE,"Y판매";#N/A,#N/A,TRUE,"Y총물량";#N/A,#N/A,TRUE,"Y능력";#N/A,#N/A,TRUE,"YKD"}</definedName>
    <definedName name="가동비" hidden="1">#N/A</definedName>
    <definedName name="가아ㅓ라어" hidden="1">{#N/A,#N/A,FALSE,"초도품";#N/A,#N/A,FALSE,"초도품 (2)";#N/A,#N/A,FALSE,"초도품 (3)";#N/A,#N/A,FALSE,"초도품 (4)";#N/A,#N/A,FALSE,"초도품 (5)";#N/A,#N/A,FALSE,"초도품 (6)"}</definedName>
    <definedName name="각방안" hidden="1">{#N/A,#N/A,FALSE,"단축1";#N/A,#N/A,FALSE,"단축2";#N/A,#N/A,FALSE,"단축3";#N/A,#N/A,FALSE,"장축";#N/A,#N/A,FALSE,"4WD"}</definedName>
    <definedName name="개발문제범" hidden="1">{#N/A,#N/A,FALSE,"단축1";#N/A,#N/A,FALSE,"단축2";#N/A,#N/A,FALSE,"단축3";#N/A,#N/A,FALSE,"장축";#N/A,#N/A,FALSE,"4WD"}</definedName>
    <definedName name="개발시험종합" hidden="1">#N/A</definedName>
    <definedName name="개발일정수정" hidden="1">{#N/A,#N/A,FALSE,"단축1";#N/A,#N/A,FALSE,"단축2";#N/A,#N/A,FALSE,"단축3";#N/A,#N/A,FALSE,"장축";#N/A,#N/A,FALSE,"4WD"}</definedName>
    <definedName name="개선" hidden="1">{#N/A,#N/A,FALSE,"단축1";#N/A,#N/A,FALSE,"단축2";#N/A,#N/A,FALSE,"단축3";#N/A,#N/A,FALSE,"장축";#N/A,#N/A,FALSE,"4WD"}</definedName>
    <definedName name="개선과정" hidden="1">{#N/A,#N/A,FALSE,"단축1";#N/A,#N/A,FALSE,"단축2";#N/A,#N/A,FALSE,"단축3";#N/A,#N/A,FALSE,"장축";#N/A,#N/A,FALSE,"4WD"}</definedName>
    <definedName name="갤로" hidden="1">{#N/A,#N/A,FALSE,"정공"}</definedName>
    <definedName name="거" hidden="1">{#N/A,#N/A,FALSE,"단축1";#N/A,#N/A,FALSE,"단축2";#N/A,#N/A,FALSE,"단축3";#N/A,#N/A,FALSE,"장축";#N/A,#N/A,FALSE,"4WD"}</definedName>
    <definedName name="거아러" hidden="1">{#N/A,#N/A,FALSE,"단축1";#N/A,#N/A,FALSE,"단축2";#N/A,#N/A,FALSE,"단축3";#N/A,#N/A,FALSE,"장축";#N/A,#N/A,FALSE,"4WD"}</definedName>
    <definedName name="겉장" hidden="1">{#N/A,#N/A,FALSE,"단축1";#N/A,#N/A,FALSE,"단축2";#N/A,#N/A,FALSE,"단축3";#N/A,#N/A,FALSE,"장축";#N/A,#N/A,FALSE,"4WD"}</definedName>
    <definedName name="겉장1" hidden="1">{#N/A,#N/A,FALSE,"단축1";#N/A,#N/A,FALSE,"단축2";#N/A,#N/A,FALSE,"단축3";#N/A,#N/A,FALSE,"장축";#N/A,#N/A,FALSE,"4WD"}</definedName>
    <definedName name="겉지" hidden="1">{#N/A,#N/A,FALSE,"단축1";#N/A,#N/A,FALSE,"단축2";#N/A,#N/A,FALSE,"단축3";#N/A,#N/A,FALSE,"장축";#N/A,#N/A,FALSE,"4WD"}</definedName>
    <definedName name="경리손익" hidden="1">{#N/A,#N/A,FALSE,"정공"}</definedName>
    <definedName name="경비실적" hidden="1">{#N/A,#N/A,FALSE,"정공"}</definedName>
    <definedName name="계획2" hidden="1">{#N/A,#N/A,FALSE,"정공"}</definedName>
    <definedName name="고" hidden="1">{#N/A,#N/A,FALSE,"REPORT"}</definedName>
    <definedName name="공33" hidden="1">{#N/A,#N/A,FALSE,"단축1";#N/A,#N/A,FALSE,"단축2";#N/A,#N/A,FALSE,"단축3";#N/A,#N/A,FALSE,"장축";#N/A,#N/A,FALSE,"4WD"}</definedName>
    <definedName name="공수투입" hidden="1">{#N/A,#N/A,FALSE,"정공"}</definedName>
    <definedName name="구매품목" hidden="1">{#N/A,#N/A,FALSE,"단축1";#N/A,#N/A,FALSE,"단축2";#N/A,#N/A,FALSE,"단축3";#N/A,#N/A,FALSE,"장축";#N/A,#N/A,FALSE,"4WD"}</definedName>
    <definedName name="근거2" hidden="1">{#N/A,#N/A,FALSE,"단축1";#N/A,#N/A,FALSE,"단축2";#N/A,#N/A,FALSE,"단축3";#N/A,#N/A,FALSE,"장축";#N/A,#N/A,FALSE,"4WD"}</definedName>
    <definedName name="금월" hidden="1">{#N/A,#N/A,TRUE,"Y생산";#N/A,#N/A,TRUE,"Y판매";#N/A,#N/A,TRUE,"Y총물량";#N/A,#N/A,TRUE,"Y능력";#N/A,#N/A,TRUE,"YKD"}</definedName>
    <definedName name="기아" hidden="1">{#N/A,#N/A,FALSE,"단축1";#N/A,#N/A,FALSE,"단축2";#N/A,#N/A,FALSE,"단축3";#N/A,#N/A,FALSE,"장축";#N/A,#N/A,FALSE,"4WD"}</definedName>
    <definedName name="기아모텍" hidden="1">{#N/A,#N/A,FALSE,"정공"}</definedName>
    <definedName name="기아전자" hidden="1">{#N/A,#N/A,FALSE,"정공"}</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 hidden="1">{#N/A,#N/A,FALSE,"을지 (4)";#N/A,#N/A,FALSE,"을지 (5)";#N/A,#N/A,FALSE,"을지 (6)"}</definedName>
    <definedName name="ㄴㄴ" hidden="1">{#N/A,#N/A,FALSE,"을지 (4)";#N/A,#N/A,FALSE,"을지 (5)";#N/A,#N/A,FALSE,"을지 (6)"}</definedName>
    <definedName name="ㄴㄴㅁ" hidden="1">#N/A</definedName>
    <definedName name="ㄴㄹ" hidden="1">{#N/A,#N/A,FALSE,"단축1";#N/A,#N/A,FALSE,"단축2";#N/A,#N/A,FALSE,"단축3";#N/A,#N/A,FALSE,"장축";#N/A,#N/A,FALSE,"4WD"}</definedName>
    <definedName name="ㄴㅁㅇㅎㅇ롱로" hidden="1">#REF!</definedName>
    <definedName name="ㄴㅇ" hidden="1">{#N/A,#N/A,TRUE,"Y생산";#N/A,#N/A,TRUE,"Y판매";#N/A,#N/A,TRUE,"Y총물량";#N/A,#N/A,TRUE,"Y능력";#N/A,#N/A,TRUE,"YKD"}</definedName>
    <definedName name="ㄴㅇ먀ㅓ랑나ㅣㅎㅇㄴㅁ" hidden="1">{#N/A,#N/A,FALSE,"단축1";#N/A,#N/A,FALSE,"단축2";#N/A,#N/A,FALSE,"단축3";#N/A,#N/A,FALSE,"장축";#N/A,#N/A,FALSE,"4WD"}</definedName>
    <definedName name="ㄴㅋ" hidden="1">{#N/A,#N/A,FALSE,"단축1";#N/A,#N/A,FALSE,"단축2";#N/A,#N/A,FALSE,"단축3";#N/A,#N/A,FALSE,"장축";#N/A,#N/A,FALSE,"4WD"}</definedName>
    <definedName name="나나아아" hidden="1">{#N/A,#N/A,FALSE,"단축1";#N/A,#N/A,FALSE,"단축2";#N/A,#N/A,FALSE,"단축3";#N/A,#N/A,FALSE,"장축";#N/A,#N/A,FALSE,"4WD"}</definedName>
    <definedName name="납품현황" hidden="1">{#N/A,#N/A,FALSE,"단축1";#N/A,#N/A,FALSE,"단축2";#N/A,#N/A,FALSE,"단축3";#N/A,#N/A,FALSE,"장축";#N/A,#N/A,FALSE,"4WD"}</definedName>
    <definedName name="ㄶㅇ노ㅗㄶ호" hidden="1">{#N/A,#N/A,FALSE,"REPORT"}</definedName>
    <definedName name="ㄷㄷ" hidden="1">{#N/A,#N/A,FALSE,"을지 (4)";#N/A,#N/A,FALSE,"을지 (5)";#N/A,#N/A,FALSE,"을지 (6)"}</definedName>
    <definedName name="ㄷㅇ" hidden="1">{#N/A,#N/A,TRUE,"Y생산";#N/A,#N/A,TRUE,"Y판매";#N/A,#N/A,TRUE,"Y총물량";#N/A,#N/A,TRUE,"Y능력";#N/A,#N/A,TRUE,"YKD"}</definedName>
    <definedName name="다다익선" hidden="1">{#N/A,#N/A,FALSE,"정공"}</definedName>
    <definedName name="다달이" hidden="1">{#N/A,#N/A,FALSE,"정공"}</definedName>
    <definedName name="다라니경" hidden="1">{#N/A,#N/A,FALSE,"정공"}</definedName>
    <definedName name="다라니경을피우자" hidden="1">{#N/A,#N/A,FALSE,"정공"}</definedName>
    <definedName name="단가기준" hidden="1">{#N/A,#N/A,TRUE,"Y생산";#N/A,#N/A,TRUE,"Y판매";#N/A,#N/A,TRUE,"Y총물량";#N/A,#N/A,TRUE,"Y능력";#N/A,#N/A,TRUE,"YKD"}</definedName>
    <definedName name="단기" hidden="1">{#N/A,#N/A,TRUE,"Y생산";#N/A,#N/A,TRUE,"Y판매";#N/A,#N/A,TRUE,"Y총물량";#N/A,#N/A,TRUE,"Y능력";#N/A,#N/A,TRUE,"YKD"}</definedName>
    <definedName name="단말기" hidden="1">{#N/A,#N/A,FALSE,"정공"}</definedName>
    <definedName name="단말기번호" hidden="1">{#N/A,#N/A,FALSE,"정공"}</definedName>
    <definedName name="단알기" hidden="1">{#N/A,#N/A,FALSE,"정공"}</definedName>
    <definedName name="당초기준손이" hidden="1">{#N/A,#N/A,FALSE,"정공"}</definedName>
    <definedName name="당초손익표" hidden="1">{#N/A,#N/A,FALSE,"정공"}</definedName>
    <definedName name="대리님" hidden="1">{#N/A,#N/A,FALSE,"정공"}</definedName>
    <definedName name="대부" hidden="1">{#N/A,#N/A,FALSE,"단축1";#N/A,#N/A,FALSE,"단축2";#N/A,#N/A,FALSE,"단축3";#N/A,#N/A,FALSE,"장축";#N/A,#N/A,FALSE,"4WD"}</definedName>
    <definedName name="대상시트" hidden="1">{#N/A,#N/A,FALSE,"정공"}</definedName>
    <definedName name="대원" hidden="1">#N/A</definedName>
    <definedName name="대원3" hidden="1">#N/A</definedName>
    <definedName name="대원4" hidden="1">#N/A</definedName>
    <definedName name="대책서" hidden="1">{#N/A,#N/A,FALSE,"단축1";#N/A,#N/A,FALSE,"단축2";#N/A,#N/A,FALSE,"단축3";#N/A,#N/A,FALSE,"장축";#N/A,#N/A,FALSE,"4WD"}</definedName>
    <definedName name="두번째" hidden="1">{#N/A,#N/A,FALSE,"정공"}</definedName>
    <definedName name="디젤1" hidden="1">{#N/A,#N/A,FALSE,"단축1";#N/A,#N/A,FALSE,"단축2";#N/A,#N/A,FALSE,"단축3";#N/A,#N/A,FALSE,"장축";#N/A,#N/A,FALSE,"4WD"}</definedName>
    <definedName name="ㄹ" hidden="1">{#N/A,#N/A,FALSE,"을지 (4)";#N/A,#N/A,FALSE,"을지 (5)";#N/A,#N/A,FALSE,"을지 (6)"}</definedName>
    <definedName name="ㄹㅇㅀ" hidden="1">{#N/A,#N/A,FALSE,"단축1";#N/A,#N/A,FALSE,"단축2";#N/A,#N/A,FALSE,"단축3";#N/A,#N/A,FALSE,"장축";#N/A,#N/A,FALSE,"4WD"}</definedName>
    <definedName name="란다리아" hidden="1">{#N/A,#N/A,FALSE,"정공"}</definedName>
    <definedName name="러시아" hidden="1">{#N/A,#N/A,FALSE,"단축1";#N/A,#N/A,FALSE,"단축2";#N/A,#N/A,FALSE,"단축3";#N/A,#N/A,FALSE,"장축";#N/A,#N/A,FALSE,"4WD"}</definedName>
    <definedName name="로커카바문제점" hidden="1">{#N/A,#N/A,FALSE,"단축1";#N/A,#N/A,FALSE,"단축2";#N/A,#N/A,FALSE,"단축3";#N/A,#N/A,FALSE,"장축";#N/A,#N/A,FALSE,"4WD"}</definedName>
    <definedName name="로커카바일정" hidden="1">{#N/A,#N/A,FALSE,"단축1";#N/A,#N/A,FALSE,"단축2";#N/A,#N/A,FALSE,"단축3";#N/A,#N/A,FALSE,"장축";#N/A,#N/A,FALSE,"4WD"}</definedName>
    <definedName name="로커커버" hidden="1">{#N/A,#N/A,FALSE,"단축1";#N/A,#N/A,FALSE,"단축2";#N/A,#N/A,FALSE,"단축3";#N/A,#N/A,FALSE,"장축";#N/A,#N/A,FALSE,"4WD"}</definedName>
    <definedName name="로코커버" hidden="1">{#N/A,#N/A,FALSE,"단축1";#N/A,#N/A,FALSE,"단축2";#N/A,#N/A,FALSE,"단축3";#N/A,#N/A,FALSE,"장축";#N/A,#N/A,FALSE,"4WD"}</definedName>
    <definedName name="리" hidden="1">{#N/A,#N/A,FALSE,"단축1";#N/A,#N/A,FALSE,"단축2";#N/A,#N/A,FALSE,"단축3";#N/A,#N/A,FALSE,"장축";#N/A,#N/A,FALSE,"4WD"}</definedName>
    <definedName name="ㅀㄹ" hidden="1">{#N/A,#N/A,FALSE,"단축1";#N/A,#N/A,FALSE,"단축2";#N/A,#N/A,FALSE,"단축3";#N/A,#N/A,FALSE,"장축";#N/A,#N/A,FALSE,"4WD"}</definedName>
    <definedName name="ㅀ령러" hidden="1">{#N/A,#N/A,FALSE,"단축1";#N/A,#N/A,FALSE,"단축2";#N/A,#N/A,FALSE,"단축3";#N/A,#N/A,FALSE,"장축";#N/A,#N/A,FALSE,"4WD"}</definedName>
    <definedName name="ㅀ미리밀ㅎ밈림" hidden="1">{#N/A,#N/A,FALSE,"을지 (4)";#N/A,#N/A,FALSE,"을지 (5)";#N/A,#N/A,FALSE,"을지 (6)"}</definedName>
    <definedName name="ㅁㄴ" hidden="1">{#N/A,#N/A,FALSE,"단축1";#N/A,#N/A,FALSE,"단축2";#N/A,#N/A,FALSE,"단축3";#N/A,#N/A,FALSE,"장축";#N/A,#N/A,FALSE,"4WD"}</definedName>
    <definedName name="ㅁㄴㅇ" hidden="1">{#N/A,#N/A,FALSE,"단축1";#N/A,#N/A,FALSE,"단축2";#N/A,#N/A,FALSE,"단축3";#N/A,#N/A,FALSE,"장축";#N/A,#N/A,FALSE,"4WD"}</definedName>
    <definedName name="ㅁㄴㅇㄹ" hidden="1">{#N/A,#N/A,FALSE,"단축1";#N/A,#N/A,FALSE,"단축2";#N/A,#N/A,FALSE,"단축3";#N/A,#N/A,FALSE,"장축";#N/A,#N/A,FALSE,"4WD"}</definedName>
    <definedName name="ㅁㄴㅇㅁㄴㅇ" hidden="1">{#N/A,#N/A,FALSE,"단축1";#N/A,#N/A,FALSE,"단축2";#N/A,#N/A,FALSE,"단축3";#N/A,#N/A,FALSE,"장축";#N/A,#N/A,FALSE,"4WD"}</definedName>
    <definedName name="ㅁㄹㅇ" hidden="1">{#N/A,#N/A,FALSE,"단축1";#N/A,#N/A,FALSE,"단축2";#N/A,#N/A,FALSE,"단축3";#N/A,#N/A,FALSE,"장축";#N/A,#N/A,FALSE,"4WD"}</definedName>
    <definedName name="ㅁㅁㅁㅁㅁㅁㅁㅁㅁ" hidden="1">{#N/A,#N/A,FALSE,"단축1";#N/A,#N/A,FALSE,"단축2";#N/A,#N/A,FALSE,"단축3";#N/A,#N/A,FALSE,"장축";#N/A,#N/A,FALSE,"4WD"}</definedName>
    <definedName name="ㅁㅇㄱㅎ" hidden="1">{#N/A,#N/A,FALSE,"단축1";#N/A,#N/A,FALSE,"단축2";#N/A,#N/A,FALSE,"단축3";#N/A,#N/A,FALSE,"장축";#N/A,#N/A,FALSE,"4WD"}</definedName>
    <definedName name="ㅁㅇㄹ" hidden="1">{#N/A,#N/A,FALSE,"단축1";#N/A,#N/A,FALSE,"단축2";#N/A,#N/A,FALSE,"단축3";#N/A,#N/A,FALSE,"장축";#N/A,#N/A,FALSE,"4WD"}</definedName>
    <definedName name="ㅁㅇㅂㅈㄷㄹㅇ" hidden="1">{#N/A,#N/A,FALSE,"단축1";#N/A,#N/A,FALSE,"단축2";#N/A,#N/A,FALSE,"단축3";#N/A,#N/A,FALSE,"장축";#N/A,#N/A,FALSE,"4WD"}</definedName>
    <definedName name="ㅁㅈㅂㅈㅂ" hidden="1">#N/A</definedName>
    <definedName name="마마니" hidden="1">{#N/A,#N/A,FALSE,"단축1";#N/A,#N/A,FALSE,"단축2";#N/A,#N/A,FALSE,"단축3";#N/A,#N/A,FALSE,"장축";#N/A,#N/A,FALSE,"4WD"}</definedName>
    <definedName name="매출기준" hidden="1">{#N/A,#N/A,FALSE,"정공"}</definedName>
    <definedName name="매출손익" hidden="1">{#N/A,#N/A,FALSE,"정공"}</definedName>
    <definedName name="매출전환손익" hidden="1">{#N/A,#N/A,FALSE,"정공"}</definedName>
    <definedName name="매출추1" hidden="1">{#N/A,#N/A,FALSE,"정공"}</definedName>
    <definedName name="매출추정" hidden="1">{#N/A,#N/A,FALSE,"정공"}</definedName>
    <definedName name="목차" hidden="1">{#N/A,#N/A,FALSE,"단축1";#N/A,#N/A,FALSE,"단축2";#N/A,#N/A,FALSE,"단축3";#N/A,#N/A,FALSE,"장축";#N/A,#N/A,FALSE,"4WD"}</definedName>
    <definedName name="목차도" hidden="1">{#N/A,#N/A,FALSE,"정공"}</definedName>
    <definedName name="몰라" hidden="1">{#N/A,#N/A,FALSE,"정공"}</definedName>
    <definedName name="물랴자" hidden="1">{#N/A,#N/A,TRUE,"Y생산";#N/A,#N/A,TRUE,"Y판매";#N/A,#N/A,TRUE,"Y총물량";#N/A,#N/A,TRUE,"Y능력";#N/A,#N/A,TRUE,"YKD"}</definedName>
    <definedName name="물량수" hidden="1">{#N/A,#N/A,TRUE,"Y생산";#N/A,#N/A,TRUE,"Y판매";#N/A,#N/A,TRUE,"Y총물량";#N/A,#N/A,TRUE,"Y능력";#N/A,#N/A,TRUE,"YKD"}</definedName>
    <definedName name="물량수정" hidden="1">{#N/A,#N/A,TRUE,"Y생산";#N/A,#N/A,TRUE,"Y판매";#N/A,#N/A,TRUE,"Y총물량";#N/A,#N/A,TRUE,"Y능력";#N/A,#N/A,TRUE,"YKD"}</definedName>
    <definedName name="물량수정1" hidden="1">{#N/A,#N/A,TRUE,"Y생산";#N/A,#N/A,TRUE,"Y판매";#N/A,#N/A,TRUE,"Y총물량";#N/A,#N/A,TRUE,"Y능력";#N/A,#N/A,TRUE,"YKD"}</definedName>
    <definedName name="물량수정2" hidden="1">{#N/A,#N/A,TRUE,"Y생산";#N/A,#N/A,TRUE,"Y판매";#N/A,#N/A,TRUE,"Y총물량";#N/A,#N/A,TRUE,"Y능력";#N/A,#N/A,TRUE,"YKD"}</definedName>
    <definedName name="물량정" hidden="1">{#N/A,#N/A,TRUE,"Y생산";#N/A,#N/A,TRUE,"Y판매";#N/A,#N/A,TRUE,"Y총물량";#N/A,#N/A,TRUE,"Y능력";#N/A,#N/A,TRUE,"YKD"}</definedName>
    <definedName name="물량조정" hidden="1">{#N/A,#N/A,TRUE,"Y생산";#N/A,#N/A,TRUE,"Y판매";#N/A,#N/A,TRUE,"Y총물량";#N/A,#N/A,TRUE,"Y능력";#N/A,#N/A,TRUE,"YKD"}</definedName>
    <definedName name="물수" hidden="1">{#N/A,#N/A,TRUE,"Y생산";#N/A,#N/A,TRUE,"Y판매";#N/A,#N/A,TRUE,"Y총물량";#N/A,#N/A,TRUE,"Y능력";#N/A,#N/A,TRUE,"YKD"}</definedName>
    <definedName name="미미미아" hidden="1">{#N/A,#N/A,FALSE,"정공"}</definedName>
    <definedName name="미석" hidden="1">{#N/A,#N/A,FALSE,"정공"}</definedName>
    <definedName name="미애" hidden="1">{#N/A,#N/A,FALSE,"REPORT"}</definedName>
    <definedName name="민총2" hidden="1">{#N/A,#N/A,FALSE,"을지 (4)";#N/A,#N/A,FALSE,"을지 (5)";#N/A,#N/A,FALSE,"을지 (6)"}</definedName>
    <definedName name="ㅂ" hidden="1">{#N/A,#N/A,FALSE,"단축1";#N/A,#N/A,FALSE,"단축2";#N/A,#N/A,FALSE,"단축3";#N/A,#N/A,FALSE,"장축";#N/A,#N/A,FALSE,"4WD"}</definedName>
    <definedName name="ㅂㅁ" hidden="1">{#N/A,"PURCHM",FALSE,"Business Analysis";#N/A,"SPADD",FALSE,"Business Analysis"}</definedName>
    <definedName name="ㅂㅂ" hidden="1">{#N/A,#N/A,FALSE,"단축1";#N/A,#N/A,FALSE,"단축2";#N/A,#N/A,FALSE,"단축3";#N/A,#N/A,FALSE,"장축";#N/A,#N/A,FALSE,"4WD"}</definedName>
    <definedName name="ㅂㅂㅂ" hidden="1">{#N/A,#N/A,FALSE,"단축1";#N/A,#N/A,FALSE,"단축2";#N/A,#N/A,FALSE,"단축3";#N/A,#N/A,FALSE,"장축";#N/A,#N/A,FALSE,"4WD"}</definedName>
    <definedName name="바랑라" hidden="1">{#N/A,#N/A,FALSE,"정공"}</definedName>
    <definedName name="바로가기" hidden="1">{#N/A,#N/A,FALSE,"단축1";#N/A,#N/A,FALSE,"단축2";#N/A,#N/A,FALSE,"단축3";#N/A,#N/A,FALSE,"장축";#N/A,#N/A,FALSE,"4WD"}</definedName>
    <definedName name="바바라" hidden="1">{#N/A,#N/A,TRUE,"Y생산";#N/A,#N/A,TRUE,"Y판매";#N/A,#N/A,TRUE,"Y총물량";#N/A,#N/A,TRUE,"Y능력";#N/A,#N/A,TRUE,"YKD"}</definedName>
    <definedName name="바바조" hidden="1">{#N/A,#N/A,FALSE,"단축1";#N/A,#N/A,FALSE,"단축2";#N/A,#N/A,FALSE,"단축3";#N/A,#N/A,FALSE,"장축";#N/A,#N/A,FALSE,"4WD"}</definedName>
    <definedName name="바보상자" hidden="1">{#N/A,#N/A,FALSE,"정공"}</definedName>
    <definedName name="발표양식2" hidden="1">{#N/A,#N/A,FALSE,"단축1";#N/A,#N/A,FALSE,"단축2";#N/A,#N/A,FALSE,"단축3";#N/A,#N/A,FALSE,"장축";#N/A,#N/A,FALSE,"4WD"}</definedName>
    <definedName name="방진고무"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보고" hidden="1">{#N/A,#N/A,FALSE,"단축1";#N/A,#N/A,FALSE,"단축2";#N/A,#N/A,FALSE,"단축3";#N/A,#N/A,FALSE,"장축";#N/A,#N/A,FALSE,"4WD"}</definedName>
    <definedName name="보고서1" hidden="1">{#N/A,#N/A,FALSE,"단축1";#N/A,#N/A,FALSE,"단축2";#N/A,#N/A,FALSE,"단축3";#N/A,#N/A,FALSE,"장축";#N/A,#N/A,FALSE,"4WD"}</definedName>
    <definedName name="볼트수정" hidden="1">{#N/A,#N/A,FALSE,"단축1";#N/A,#N/A,FALSE,"단축2";#N/A,#N/A,FALSE,"단축3";#N/A,#N/A,FALSE,"장축";#N/A,#N/A,FALSE,"4WD"}</definedName>
    <definedName name="분" hidden="1">{#N/A,#N/A,FALSE,"단축1";#N/A,#N/A,FALSE,"단축2";#N/A,#N/A,FALSE,"단축3";#N/A,#N/A,FALSE,"장축";#N/A,#N/A,FALSE,"4WD"}</definedName>
    <definedName name="분기별" hidden="1">{#N/A,#N/A,TRUE,"Y생산";#N/A,#N/A,TRUE,"Y판매";#N/A,#N/A,TRUE,"Y총물량";#N/A,#N/A,TRUE,"Y능력";#N/A,#N/A,TRUE,"YKD"}</definedName>
    <definedName name="비교손익당초" hidden="1">{#N/A,#N/A,FALSE,"정공"}</definedName>
    <definedName name="ㅅㅅ" hidden="1">{#N/A,#N/A,FALSE,"단축1";#N/A,#N/A,FALSE,"단축2";#N/A,#N/A,FALSE,"단축3";#N/A,#N/A,FALSE,"장축";#N/A,#N/A,FALSE,"4WD"}</definedName>
    <definedName name="사다함이" hidden="1">{#N/A,#N/A,FALSE,"정공"}</definedName>
    <definedName name="사무용품" hidden="1">{#N/A,#N/A,FALSE,"초도품";#N/A,#N/A,FALSE,"초도품 (2)";#N/A,#N/A,FALSE,"초도품 (3)";#N/A,#N/A,FALSE,"초도품 (4)";#N/A,#N/A,FALSE,"초도품 (5)";#N/A,#N/A,FALSE,"초도품 (6)"}</definedName>
    <definedName name="사업비교표" hidden="1">{#N/A,#N/A,FALSE,"정공"}</definedName>
    <definedName name="사업추진" hidden="1">{#N/A,#N/A,FALSE,"정공"}</definedName>
    <definedName name="삼성" hidden="1">{#N/A,#N/A,FALSE,"정공"}</definedName>
    <definedName name="삼성2" hidden="1">{#N/A,#N/A,FALSE,"정공"}</definedName>
    <definedName name="상랑니" hidden="1">{#N/A,#N/A,FALSE,"을지 (4)";#N/A,#N/A,FALSE,"을지 (5)";#N/A,#N/A,FALSE,"을지 (6)"}</definedName>
    <definedName name="상로허호" hidden="1">{#N/A,#N/A,FALSE,"정공"}</definedName>
    <definedName name="상품성1" hidden="1">{#N/A,#N/A,FALSE,"단축1";#N/A,#N/A,FALSE,"단축2";#N/A,#N/A,FALSE,"단축3";#N/A,#N/A,FALSE,"장축";#N/A,#N/A,FALSE,"4WD"}</definedName>
    <definedName name="상품성보고" hidden="1">#N/A</definedName>
    <definedName name="새로운" hidden="1">{#N/A,#N/A,FALSE,"단축1";#N/A,#N/A,FALSE,"단축2";#N/A,#N/A,FALSE,"단축3";#N/A,#N/A,FALSE,"장축";#N/A,#N/A,FALSE,"4WD"}</definedName>
    <definedName name="새벽0118" hidden="1">{#N/A,#N/A,FALSE,"단축1";#N/A,#N/A,FALSE,"단축2";#N/A,#N/A,FALSE,"단축3";#N/A,#N/A,FALSE,"장축";#N/A,#N/A,FALSE,"4WD"}</definedName>
    <definedName name="새벽시장발표" hidden="1">{#N/A,#N/A,FALSE,"단축1";#N/A,#N/A,FALSE,"단축2";#N/A,#N/A,FALSE,"단축3";#N/A,#N/A,FALSE,"장축";#N/A,#N/A,FALSE,"4WD"}</definedName>
    <definedName name="새벽시장발표11" hidden="1">{#N/A,#N/A,FALSE,"단축1";#N/A,#N/A,FALSE,"단축2";#N/A,#N/A,FALSE,"단축3";#N/A,#N/A,FALSE,"장축";#N/A,#N/A,FALSE,"4WD"}</definedName>
    <definedName name="새벽시장발표111" hidden="1">{#N/A,#N/A,FALSE,"단축1";#N/A,#N/A,FALSE,"단축2";#N/A,#N/A,FALSE,"단축3";#N/A,#N/A,FALSE,"장축";#N/A,#N/A,FALSE,"4WD"}</definedName>
    <definedName name="새벽시장발표양식" hidden="1">{#N/A,#N/A,FALSE,"단축1";#N/A,#N/A,FALSE,"단축2";#N/A,#N/A,FALSE,"단축3";#N/A,#N/A,FALSE,"장축";#N/A,#N/A,FALSE,"4WD"}</definedName>
    <definedName name="새벽시장발표양식.1" hidden="1">{#N/A,#N/A,FALSE,"단축1";#N/A,#N/A,FALSE,"단축2";#N/A,#N/A,FALSE,"단축3";#N/A,#N/A,FALSE,"장축";#N/A,#N/A,FALSE,"4WD"}</definedName>
    <definedName name="새파일편집" hidden="1">{#N/A,#N/A,FALSE,"정공"}</definedName>
    <definedName name="생산능력" hidden="1">{#N/A,#N/A,FALSE,"정공"}</definedName>
    <definedName name="생산손익" hidden="1">{#N/A,#N/A,FALSE,"정공"}</definedName>
    <definedName name="생산품목" hidden="1">{#N/A,#N/A,FALSE,"정공"}</definedName>
    <definedName name="설비투자" hidden="1">{#N/A,#N/A,FALSE,"정공"}</definedName>
    <definedName name="성능시험2" hidden="1">{#N/A,#N/A,FALSE,"단축1";#N/A,#N/A,FALSE,"단축2";#N/A,#N/A,FALSE,"단축3";#N/A,#N/A,FALSE,"장축";#N/A,#N/A,FALSE,"4WD"}</definedName>
    <definedName name="세왕123" hidden="1">{#N/A,#N/A,FALSE,"단축1";#N/A,#N/A,FALSE,"단축2";#N/A,#N/A,FALSE,"단축3";#N/A,#N/A,FALSE,"장축";#N/A,#N/A,FALSE,"4WD"}</definedName>
    <definedName name="셀리카" hidden="1">#N/A</definedName>
    <definedName name="소뮨" hidden="1">{#N/A,#N/A,FALSE,"단축1";#N/A,#N/A,FALSE,"단축2";#N/A,#N/A,FALSE,"단축3";#N/A,#N/A,FALSE,"장축";#N/A,#N/A,FALSE,"4WD"}</definedName>
    <definedName name="소요기간" hidden="1">{#N/A,#N/A,FALSE,"정공"}</definedName>
    <definedName name="소하프로젝트" hidden="1">{#N/A,#N/A,FALSE,"단축1";#N/A,#N/A,FALSE,"단축2";#N/A,#N/A,FALSE,"단축3";#N/A,#N/A,FALSE,"장축";#N/A,#N/A,FALSE,"4WD"}</definedName>
    <definedName name="손익계산" hidden="1">{#N/A,#N/A,FALSE,"정공"}</definedName>
    <definedName name="송" hidden="1">{#N/A,#N/A,TRUE,"Y생산";#N/A,#N/A,TRUE,"Y판매";#N/A,#N/A,TRUE,"Y총물량";#N/A,#N/A,TRUE,"Y능력";#N/A,#N/A,TRUE,"YKD"}</definedName>
    <definedName name="송익" hidden="1">{#N/A,#N/A,FALSE,"정공"}</definedName>
    <definedName name="송창기" hidden="1">{#N/A,#N/A,TRUE,"Y생산";#N/A,#N/A,TRUE,"Y판매";#N/A,#N/A,TRUE,"Y총물량";#N/A,#N/A,TRUE,"Y능력";#N/A,#N/A,TRUE,"YKD"}</definedName>
    <definedName name="쇼바2" hidden="1">{#N/A,#N/A,FALSE,"단축1";#N/A,#N/A,FALSE,"단축2";#N/A,#N/A,FALSE,"단축3";#N/A,#N/A,FALSE,"장축";#N/A,#N/A,FALSE,"4WD"}</definedName>
    <definedName name="쇼바3" hidden="1">{#N/A,#N/A,FALSE,"단축1";#N/A,#N/A,FALSE,"단축2";#N/A,#N/A,FALSE,"단축3";#N/A,#N/A,FALSE,"장축";#N/A,#N/A,FALSE,"4WD"}</definedName>
    <definedName name="수량추정" hidden="1">{#N/A,#N/A,FALSE,"정공"}</definedName>
    <definedName name="수정물량" hidden="1">{#N/A,#N/A,TRUE,"Y생산";#N/A,#N/A,TRUE,"Y판매";#N/A,#N/A,TRUE,"Y총물량";#N/A,#N/A,TRUE,"Y능력";#N/A,#N/A,TRUE,"YKD"}</definedName>
    <definedName name="수정손익" hidden="1">{#N/A,#N/A,FALSE,"정공"}</definedName>
    <definedName name="수통" hidden="1">{#N/A,#N/A,FALSE,"단축1";#N/A,#N/A,FALSE,"단축2";#N/A,#N/A,FALSE,"단축3";#N/A,#N/A,FALSE,"장축";#N/A,#N/A,FALSE,"4WD"}</definedName>
    <definedName name="신기술_신공법"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차품질일정" hidden="1">{#N/A,#N/A,FALSE,"단축1";#N/A,#N/A,FALSE,"단축2";#N/A,#N/A,FALSE,"단축3";#N/A,#N/A,FALSE,"장축";#N/A,#N/A,FALSE,"4WD"}</definedName>
    <definedName name="실적집계" hidden="1">{#N/A,#N/A,FALSE,"단축1";#N/A,#N/A,FALSE,"단축2";#N/A,#N/A,FALSE,"단축3";#N/A,#N/A,FALSE,"장축";#N/A,#N/A,FALSE,"4WD"}</definedName>
    <definedName name="ㅇ" hidden="1">{#N/A,#N/A,FALSE,"초도품";#N/A,#N/A,FALSE,"초도품 (2)";#N/A,#N/A,FALSE,"초도품 (3)";#N/A,#N/A,FALSE,"초도품 (4)";#N/A,#N/A,FALSE,"초도품 (5)";#N/A,#N/A,FALSE,"초도품 (6)"}</definedName>
    <definedName name="ㅇADKFJDA" hidden="1">{#N/A,#N/A,FALSE,"을지 (4)";#N/A,#N/A,FALSE,"을지 (5)";#N/A,#N/A,FALSE,"을지 (6)"}</definedName>
    <definedName name="ㅇㄹ" hidden="1">{#N/A,#N/A,FALSE,"단축1";#N/A,#N/A,FALSE,"단축2";#N/A,#N/A,FALSE,"단축3";#N/A,#N/A,FALSE,"장축";#N/A,#N/A,FALSE,"4WD"}</definedName>
    <definedName name="ㅇㄹㄴ" hidden="1">{#N/A,#N/A,FALSE,"단축1";#N/A,#N/A,FALSE,"단축2";#N/A,#N/A,FALSE,"단축3";#N/A,#N/A,FALSE,"장축";#N/A,#N/A,FALSE,"4WD"}</definedName>
    <definedName name="ㅇㄹㅇㄹㅇ" hidden="1">{#N/A,#N/A,FALSE,"정공"}</definedName>
    <definedName name="ㅇ롱" hidden="1">{#N/A,#N/A,FALSE,"단축1";#N/A,#N/A,FALSE,"단축2";#N/A,#N/A,FALSE,"단축3";#N/A,#N/A,FALSE,"장축";#N/A,#N/A,FALSE,"4WD"}</definedName>
    <definedName name="ㅇ류" hidden="1">{#N/A,#N/A,FALSE,"단축1";#N/A,#N/A,FALSE,"단축2";#N/A,#N/A,FALSE,"단축3";#N/A,#N/A,FALSE,"장축";#N/A,#N/A,FALSE,"4WD"}</definedName>
    <definedName name="ㅇ륭" hidden="1">{#N/A,#N/A,FALSE,"단축1";#N/A,#N/A,FALSE,"단축2";#N/A,#N/A,FALSE,"단축3";#N/A,#N/A,FALSE,"장축";#N/A,#N/A,FALSE,"4WD"}</definedName>
    <definedName name="ㅇㅀ호" hidden="1">{#N/A,#N/A,FALSE,"단축1";#N/A,#N/A,FALSE,"단축2";#N/A,#N/A,FALSE,"단축3";#N/A,#N/A,FALSE,"장축";#N/A,#N/A,FALSE,"4WD"}</definedName>
    <definedName name="ㅇㅁㄴㅇ" hidden="1">{#N/A,#N/A,FALSE,"단축1";#N/A,#N/A,FALSE,"단축2";#N/A,#N/A,FALSE,"단축3";#N/A,#N/A,FALSE,"장축";#N/A,#N/A,FALSE,"4WD"}</definedName>
    <definedName name="ㅇㅇ" hidden="1">{#N/A,#N/A,FALSE,"단축1";#N/A,#N/A,FALSE,"단축2";#N/A,#N/A,FALSE,"단축3";#N/A,#N/A,FALSE,"장축";#N/A,#N/A,FALSE,"4WD"}</definedName>
    <definedName name="ㅇㅇㅇ" hidden="1">{#N/A,#N/A,FALSE,"신규dep";#N/A,#N/A,FALSE,"신규dep-금형상각후";#N/A,#N/A,FALSE,"신규dep-연구비상각후";#N/A,#N/A,FALSE,"신규dep-기계,공구상각후"}</definedName>
    <definedName name="ㅇㅇㅇㅇ" hidden="1">{#N/A,#N/A,FALSE,"단축1";#N/A,#N/A,FALSE,"단축2";#N/A,#N/A,FALSE,"단축3";#N/A,#N/A,FALSE,"장축";#N/A,#N/A,FALSE,"4WD"}</definedName>
    <definedName name="ㅇㅎㄹ" hidden="1">{#N/A,#N/A,FALSE,"단축1";#N/A,#N/A,FALSE,"단축2";#N/A,#N/A,FALSE,"단축3";#N/A,#N/A,FALSE,"장축";#N/A,#N/A,FALSE,"4WD"}</definedName>
    <definedName name="아니면말고" hidden="1">{#N/A,#N/A,FALSE,"정공"}</definedName>
    <definedName name="아니오" hidden="1">{#N/A,#N/A,FALSE,"정공"}</definedName>
    <definedName name="안현모" hidden="1">{#N/A,#N/A,FALSE,"단축1";#N/A,#N/A,FALSE,"단축2";#N/A,#N/A,FALSE,"단축3";#N/A,#N/A,FALSE,"장축";#N/A,#N/A,FALSE,"4WD"}</definedName>
    <definedName name="앗서" hidden="1">{#N/A,#N/A,FALSE,"정공"}</definedName>
    <definedName name="액슬" hidden="1">{#N/A,#N/A,FALSE,"단축1";#N/A,#N/A,FALSE,"단축2";#N/A,#N/A,FALSE,"단축3";#N/A,#N/A,FALSE,"장축";#N/A,#N/A,FALSE,"4WD"}</definedName>
    <definedName name="약식손익" hidden="1">{#N/A,#N/A,FALSE,"정공"}</definedName>
    <definedName name="약정잉자" hidden="1">{#N/A,#N/A,FALSE,"정공"}</definedName>
    <definedName name="양" hidden="1">{#N/A,#N/A,FALSE,"단축1";#N/A,#N/A,FALSE,"단축2";#N/A,#N/A,FALSE,"단축3";#N/A,#N/A,FALSE,"장축";#N/A,#N/A,FALSE,"4WD"}</definedName>
    <definedName name="양대호" hidden="1">{#N/A,#N/A,FALSE,"단축1";#N/A,#N/A,FALSE,"단축2";#N/A,#N/A,FALSE,"단축3";#N/A,#N/A,FALSE,"장축";#N/A,#N/A,FALSE,"4WD"}</definedName>
    <definedName name="양식" hidden="1">{#N/A,#N/A,FALSE,"단축1";#N/A,#N/A,FALSE,"단축2";#N/A,#N/A,FALSE,"단축3";#N/A,#N/A,FALSE,"장축";#N/A,#N/A,FALSE,"4WD"}</definedName>
    <definedName name="양식1" hidden="1">{#N/A,#N/A,FALSE,"단축1";#N/A,#N/A,FALSE,"단축2";#N/A,#N/A,FALSE,"단축3";#N/A,#N/A,FALSE,"장축";#N/A,#N/A,FALSE,"4WD"}</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업무보고용" hidden="1">{#N/A,#N/A,FALSE,"정공"}</definedName>
    <definedName name="업체" hidden="1">{#N/A,#N/A,FALSE,"단축1";#N/A,#N/A,FALSE,"단축2";#N/A,#N/A,FALSE,"단축3";#N/A,#N/A,FALSE,"장축";#N/A,#N/A,FALSE,"4WD"}</definedName>
    <definedName name="업체방문" hidden="1">{#N/A,#N/A,FALSE,"단축1";#N/A,#N/A,FALSE,"단축2";#N/A,#N/A,FALSE,"단축3";#N/A,#N/A,FALSE,"장축";#N/A,#N/A,FALSE,"4WD"}</definedName>
    <definedName name="업체카파" hidden="1">{#N/A,#N/A,FALSE,"단축1";#N/A,#N/A,FALSE,"단축2";#N/A,#N/A,FALSE,"단축3";#N/A,#N/A,FALSE,"장축";#N/A,#N/A,FALSE,"4WD"}</definedName>
    <definedName name="에어벤트" hidden="1">{#N/A,#N/A,FALSE,"단축1";#N/A,#N/A,FALSE,"단축2";#N/A,#N/A,FALSE,"단축3";#N/A,#N/A,FALSE,"장축";#N/A,#N/A,FALSE,"4WD"}</definedName>
    <definedName name="엔진" hidden="1">{#N/A,#N/A,FALSE,"단축1";#N/A,#N/A,FALSE,"단축2";#N/A,#N/A,FALSE,"단축3";#N/A,#N/A,FALSE,"장축";#N/A,#N/A,FALSE,"4WD"}</definedName>
    <definedName name="연료펌프" hidden="1">#REF!</definedName>
    <definedName name="연주얀" hidden="1">{#N/A,#N/A,FALSE,"정공"}</definedName>
    <definedName name="예산" hidden="1">{#N/A,#N/A,FALSE,"단축1";#N/A,#N/A,FALSE,"단축2";#N/A,#N/A,FALSE,"단축3";#N/A,#N/A,FALSE,"장축";#N/A,#N/A,FALSE,"4WD"}</definedName>
    <definedName name="오" hidden="1">{#N/A,#N/A,FALSE,"단축1";#N/A,#N/A,FALSE,"단축2";#N/A,#N/A,FALSE,"단축3";#N/A,#N/A,FALSE,"장축";#N/A,#N/A,FALSE,"4WD"}</definedName>
    <definedName name="오성협" hidden="1">{#N/A,#N/A,TRUE,"Y생산";#N/A,#N/A,TRUE,"Y판매";#N/A,#N/A,TRUE,"Y총물량";#N/A,#N/A,TRUE,"Y능력";#N/A,#N/A,TRUE,"YKD"}</definedName>
    <definedName name="오어나" hidden="1">{#N/A,#N/A,FALSE,"단축1";#N/A,#N/A,FALSE,"단축2";#N/A,#N/A,FALSE,"단축3";#N/A,#N/A,FALSE,"장축";#N/A,#N/A,FALSE,"4WD"}</definedName>
    <definedName name="요약" hidden="1">#REF!</definedName>
    <definedName name="요약3" hidden="1">{#N/A,#N/A,FALSE,"정공"}</definedName>
    <definedName name="요약5" hidden="1">{#N/A,#N/A,FALSE,"정공"}</definedName>
    <definedName name="요약총괄" hidden="1">{#N/A,#N/A,FALSE,"정공"}</definedName>
    <definedName name="용도차" hidden="1">{#N/A,#N/A,FALSE,"단축1";#N/A,#N/A,FALSE,"단축2";#N/A,#N/A,FALSE,"단축3";#N/A,#N/A,FALSE,"장축";#N/A,#N/A,FALSE,"4WD"}</definedName>
    <definedName name="운영구도2" hidden="1">{#N/A,#N/A,FALSE,"단축1";#N/A,#N/A,FALSE,"단축2";#N/A,#N/A,FALSE,"단축3";#N/A,#N/A,FALSE,"장축";#N/A,#N/A,FALSE,"4WD"}</definedName>
    <definedName name="운영구도3" hidden="1">{#N/A,#N/A,FALSE,"단축1";#N/A,#N/A,FALSE,"단축2";#N/A,#N/A,FALSE,"단축3";#N/A,#N/A,FALSE,"장축";#N/A,#N/A,FALSE,"4WD"}</definedName>
    <definedName name="욷" hidden="1">{#N/A,#N/A,FALSE,"단축1";#N/A,#N/A,FALSE,"단축2";#N/A,#N/A,FALSE,"단축3";#N/A,#N/A,FALSE,"장축";#N/A,#N/A,FALSE,"4WD"}</definedName>
    <definedName name="원가관리라" hidden="1">{#N/A,#N/A,FALSE,"정공"}</definedName>
    <definedName name="원가적용" hidden="1">{#N/A,#N/A,FALSE,"정공"}</definedName>
    <definedName name="원단운영안" hidden="1">{#N/A,#N/A,FALSE,"단축1";#N/A,#N/A,FALSE,"단축2";#N/A,#N/A,FALSE,"단축3";#N/A,#N/A,FALSE,"장축";#N/A,#N/A,FALSE,"4WD"}</definedName>
    <definedName name="원자재종합" hidden="1">{#N/A,#N/A,FALSE,"단축1";#N/A,#N/A,FALSE,"단축2";#N/A,#N/A,FALSE,"단축3";#N/A,#N/A,FALSE,"장축";#N/A,#N/A,FALSE,"4WD"}</definedName>
    <definedName name="월별원가절감상세" hidden="1">{#N/A,#N/A,FALSE,"정공"}</definedName>
    <definedName name="유럽" hidden="1">{#N/A,#N/A,FALSE,"단축1";#N/A,#N/A,FALSE,"단축2";#N/A,#N/A,FALSE,"단축3";#N/A,#N/A,FALSE,"장축";#N/A,#N/A,FALSE,"4WD"}</definedName>
    <definedName name="유형" hidden="1">{#N/A,#N/A,TRUE,"Y생산";#N/A,#N/A,TRUE,"Y판매";#N/A,#N/A,TRUE,"Y총물량";#N/A,#N/A,TRUE,"Y능력";#N/A,#N/A,TRUE,"YKD"}</definedName>
    <definedName name="이" hidden="1">{"vol data",#N/A,FALSE,"Datasheet";"vol graph",#N/A,FALSE,"Volume";"price data",#N/A,FALSE,"Datasheet";"price graph",#N/A,FALSE,"Price";"dp data",#N/A,FALSE,"Datasheet";"dp graph",#N/A,FALSE,"DirectProfit"}</definedName>
    <definedName name="이란" hidden="1">{#N/A,#N/A,FALSE,"단축1";#N/A,#N/A,FALSE,"단축2";#N/A,#N/A,FALSE,"단축3";#N/A,#N/A,FALSE,"장축";#N/A,#N/A,FALSE,"4WD"}</definedName>
    <definedName name="이이" hidden="1">{#N/A,#N/A,FALSE,"을지 (4)";#N/A,#N/A,FALSE,"을지 (5)";#N/A,#N/A,FALSE,"을지 (6)"}</definedName>
    <definedName name="이이잉" hidden="1">{#N/A,#N/A,FALSE,"단축1";#N/A,#N/A,FALSE,"단축2";#N/A,#N/A,FALSE,"단축3";#N/A,#N/A,FALSE,"장축";#N/A,#N/A,FALSE,"4WD"}</definedName>
    <definedName name="이혁준" hidden="1">{#N/A,#N/A,FALSE,"단축1";#N/A,#N/A,FALSE,"단축2";#N/A,#N/A,FALSE,"단축3";#N/A,#N/A,FALSE,"장축";#N/A,#N/A,FALSE,"4WD"}</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 hidden="1">{#N/A,#N/A,FALSE,"단축1";#N/A,#N/A,FALSE,"단축2";#N/A,#N/A,FALSE,"단축3";#N/A,#N/A,FALSE,"장축";#N/A,#N/A,FALSE,"4WD"}</definedName>
    <definedName name="일이ㅏㄹ" hidden="1">{#N/A,#N/A,FALSE,"단축1";#N/A,#N/A,FALSE,"단축2";#N/A,#N/A,FALSE,"단축3";#N/A,#N/A,FALSE,"장축";#N/A,#N/A,FALSE,"4WD"}</definedName>
    <definedName name="임동원" hidden="1">{#N/A,#N/A,FALSE,"정공"}</definedName>
    <definedName name="ㅈㄷㄴ" hidden="1">{#N/A,#N/A,FALSE,"단축1";#N/A,#N/A,FALSE,"단축2";#N/A,#N/A,FALSE,"단축3";#N/A,#N/A,FALSE,"장축";#N/A,#N/A,FALSE,"4WD"}</definedName>
    <definedName name="ㅈㄹ" hidden="1">{#N/A,#N/A,FALSE,"단축1";#N/A,#N/A,FALSE,"단축2";#N/A,#N/A,FALSE,"단축3";#N/A,#N/A,FALSE,"장축";#N/A,#N/A,FALSE,"4WD"}</definedName>
    <definedName name="ㅈㅈ" hidden="1">{#N/A,#N/A,FALSE,"을지 (4)";#N/A,#N/A,FALSE,"을지 (5)";#N/A,#N/A,FALSE,"을지 (6)"}</definedName>
    <definedName name="ㅈㅈㅈ" hidden="1">{#N/A,#N/A,FALSE,"단축1";#N/A,#N/A,FALSE,"단축2";#N/A,#N/A,FALSE,"단축3";#N/A,#N/A,FALSE,"장축";#N/A,#N/A,FALSE,"4WD"}</definedName>
    <definedName name="자료정리" hidden="1">{#N/A,#N/A,FALSE,"단축1";#N/A,#N/A,FALSE,"단축2";#N/A,#N/A,FALSE,"단축3";#N/A,#N/A,FALSE,"장축";#N/A,#N/A,FALSE,"4WD"}</definedName>
    <definedName name="자본금" hidden="1">{#N/A,#N/A,FALSE,"정공"}</definedName>
    <definedName name="자잦" hidden="1">{#N/A,#N/A,FALSE,"단축1";#N/A,#N/A,FALSE,"단축2";#N/A,#N/A,FALSE,"단축3";#N/A,#N/A,FALSE,"장축";#N/A,#N/A,FALSE,"4WD"}</definedName>
    <definedName name="잔다르크" hidden="1">{#N/A,#N/A,FALSE,"정공"}</definedName>
    <definedName name="전2" hidden="1">{#N/A,#N/A,FALSE,"정공"}</definedName>
    <definedName name="전략" hidden="1">{#N/A,#N/A,FALSE,"정공"}</definedName>
    <definedName name="전략2" hidden="1">{#N/A,#N/A,FALSE,"정공"}</definedName>
    <definedName name="전략투" hidden="1">{#N/A,#N/A,FALSE,"정공"}</definedName>
    <definedName name="전자" hidden="1">{#N/A,#N/A,FALSE,"단축1";#N/A,#N/A,FALSE,"단축2";#N/A,#N/A,FALSE,"단축3";#N/A,#N/A,FALSE,"장축";#N/A,#N/A,FALSE,"4WD"}</definedName>
    <definedName name="전체2" hidden="1">{#N/A,#N/A,FALSE,"단축1";#N/A,#N/A,FALSE,"단축2";#N/A,#N/A,FALSE,"단축3";#N/A,#N/A,FALSE,"장축";#N/A,#N/A,FALSE,"4WD"}</definedName>
    <definedName name="전체종합2" hidden="1">{#N/A,#N/A,FALSE,"단축1";#N/A,#N/A,FALSE,"단축2";#N/A,#N/A,FALSE,"단축3";#N/A,#N/A,FALSE,"장축";#N/A,#N/A,FALSE,"4WD"}</definedName>
    <definedName name="전체현황" hidden="1">{#N/A,#N/A,FALSE,"단축1";#N/A,#N/A,FALSE,"단축2";#N/A,#N/A,FALSE,"단축3";#N/A,#N/A,FALSE,"장축";#N/A,#N/A,FALSE,"4WD"}</definedName>
    <definedName name="절감내역상세" hidden="1">{#N/A,#N/A,FALSE,"정공"}</definedName>
    <definedName name="절감반기계획對실적" hidden="1">{#N/A,#N/A,FALSE,"정공"}</definedName>
    <definedName name="정비대수" hidden="1">{#N/A,#N/A,FALSE,"인원";#N/A,#N/A,FALSE,"비용2";#N/A,#N/A,FALSE,"비용1";#N/A,#N/A,FALSE,"비용";#N/A,#N/A,FALSE,"보증2";#N/A,#N/A,FALSE,"보증1";#N/A,#N/A,FALSE,"보증";#N/A,#N/A,FALSE,"손익1";#N/A,#N/A,FALSE,"손익";#N/A,#N/A,FALSE,"부서별매출";#N/A,#N/A,FALSE,"매출"}</definedName>
    <definedName name="젖" hidden="1">{#N/A,#N/A,FALSE,"단축1";#N/A,#N/A,FALSE,"단축2";#N/A,#N/A,FALSE,"단축3";#N/A,#N/A,FALSE,"장축";#N/A,#N/A,FALSE,"4WD"}</definedName>
    <definedName name="제1안" hidden="1">{#N/A,#N/A,TRUE,"매출진척-1";#N/A,#N/A,TRUE,"매출진척-2";#N/A,#N/A,TRUE,"제품실적";#N/A,#N/A,TRUE,"RAC";#N/A,#N/A,TRUE,"PAC ";#N/A,#N/A,TRUE,"재고현황";#N/A,#N/A,TRUE,"공지사항"}</definedName>
    <definedName name="제원종합" hidden="1">#N/A</definedName>
    <definedName name="제작현황" hidden="1">{#N/A,#N/A,FALSE,"단축1";#N/A,#N/A,FALSE,"단축2";#N/A,#N/A,FALSE,"단축3";#N/A,#N/A,FALSE,"장축";#N/A,#N/A,FALSE,"4WD"}</definedName>
    <definedName name="조립치구" hidden="1">{#N/A,#N/A,FALSE,"단축1";#N/A,#N/A,FALSE,"단축2";#N/A,#N/A,FALSE,"단축3";#N/A,#N/A,FALSE,"장축";#N/A,#N/A,FALSE,"4WD"}</definedName>
    <definedName name="조정후손익" hidden="1">{#N/A,#N/A,FALSE,"정공"}</definedName>
    <definedName name="조직3" hidden="1">{#N/A,#N/A,FALSE,"정공"}</definedName>
    <definedName name="조직도" hidden="1">{#N/A,#N/A,FALSE,"을지 (4)";#N/A,#N/A,FALSE,"을지 (5)";#N/A,#N/A,FALSE,"을지 (6)"}</definedName>
    <definedName name="종합미래2" hidden="1">{#N/A,#N/A,FALSE,"정공"}</definedName>
    <definedName name="주요업무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중앙" hidden="1">{#N/A,#N/A,FALSE,"단축1";#N/A,#N/A,FALSE,"단축2";#N/A,#N/A,FALSE,"단축3";#N/A,#N/A,FALSE,"장축";#N/A,#N/A,FALSE,"4WD"}</definedName>
    <definedName name="진출의사보유" hidden="1">{#N/A,#N/A,FALSE,"단축1";#N/A,#N/A,FALSE,"단축2";#N/A,#N/A,FALSE,"단축3";#N/A,#N/A,FALSE,"장축";#N/A,#N/A,FALSE,"4WD"}</definedName>
    <definedName name="진행현황" hidden="1">{#N/A,#N/A,FALSE,"단축1";#N/A,#N/A,FALSE,"단축2";#N/A,#N/A,FALSE,"단축3";#N/A,#N/A,FALSE,"장축";#N/A,#N/A,FALSE,"4WD"}</definedName>
    <definedName name="차례" hidden="1">{#N/A,#N/A,FALSE,"단축1";#N/A,#N/A,FALSE,"단축2";#N/A,#N/A,FALSE,"단축3";#N/A,#N/A,FALSE,"장축";#N/A,#N/A,FALSE,"4WD"}</definedName>
    <definedName name="차트" hidden="1">{#N/A,#N/A,FALSE,"정공"}</definedName>
    <definedName name="첨" hidden="1">{#N/A,#N/A,FALSE,"단축1";#N/A,#N/A,FALSE,"단축2";#N/A,#N/A,FALSE,"단축3";#N/A,#N/A,FALSE,"장축";#N/A,#N/A,FALSE,"4WD"}</definedName>
    <definedName name="첨부101" hidden="1">{#N/A,#N/A,FALSE,"단축1";#N/A,#N/A,FALSE,"단축2";#N/A,#N/A,FALSE,"단축3";#N/A,#N/A,FALSE,"장축";#N/A,#N/A,FALSE,"4WD"}</definedName>
    <definedName name="총괄_신세대" hidden="1">{#N/A,#N/A,FALSE,"정공"}</definedName>
    <definedName name="총무3" hidden="1">{#N/A,#N/A,FALSE,"단축1";#N/A,#N/A,FALSE,"단축2";#N/A,#N/A,FALSE,"단축3";#N/A,#N/A,FALSE,"장축";#N/A,#N/A,FALSE,"4WD"}</definedName>
    <definedName name="최영" hidden="1">{#N/A,#N/A,FALSE,"정공"}</definedName>
    <definedName name="추진전략" hidden="1">{#N/A,#N/A,FALSE,"정공"}</definedName>
    <definedName name="ㅋㅇㅍ" hidden="1">{#N/A,#N/A,FALSE,"단축1";#N/A,#N/A,FALSE,"단축2";#N/A,#N/A,FALSE,"단축3";#N/A,#N/A,FALSE,"장축";#N/A,#N/A,FALSE,"4WD"}</definedName>
    <definedName name="ㅋㅋ" hidden="1">{#N/A,#N/A,TRUE,"Y생산";#N/A,#N/A,TRUE,"Y판매";#N/A,#N/A,TRUE,"Y총물량";#N/A,#N/A,TRUE,"Y능력";#N/A,#N/A,TRUE,"YKD"}</definedName>
    <definedName name="ㅋㅋㅋ" hidden="1">{#N/A,#N/A,TRUE,"매출진척-1";#N/A,#N/A,TRUE,"매출진척-2";#N/A,#N/A,TRUE,"제품실적";#N/A,#N/A,TRUE,"RAC";#N/A,#N/A,TRUE,"PAC ";#N/A,#N/A,TRUE,"재고현황";#N/A,#N/A,TRUE,"공지사항"}</definedName>
    <definedName name="카메라" hidden="1">{#N/A,#N/A,FALSE,"단축1";#N/A,#N/A,FALSE,"단축2";#N/A,#N/A,FALSE,"단축3";#N/A,#N/A,FALSE,"장축";#N/A,#N/A,FALSE,"4WD"}</definedName>
    <definedName name="크랑" hidden="1">{#N/A,#N/A,FALSE,"단축1";#N/A,#N/A,FALSE,"단축2";#N/A,#N/A,FALSE,"단축3";#N/A,#N/A,FALSE,"장축";#N/A,#N/A,FALSE,"4WD"}</definedName>
    <definedName name="키프코" hidden="1">{#N/A,#N/A,FALSE,"을지 (4)";#N/A,#N/A,FALSE,"을지 (5)";#N/A,#N/A,FALSE,"을지 (6)"}</definedName>
    <definedName name="ㅌㅊ" hidden="1">{#N/A,#N/A,FALSE,"단축1";#N/A,#N/A,FALSE,"단축2";#N/A,#N/A,FALSE,"단축3";#N/A,#N/A,FALSE,"장축";#N/A,#N/A,FALSE,"4WD"}</definedName>
    <definedName name="통합1장" hidden="1">{#N/A,#N/A,FALSE,"단축1";#N/A,#N/A,FALSE,"단축2";#N/A,#N/A,FALSE,"단축3";#N/A,#N/A,FALSE,"장축";#N/A,#N/A,FALSE,"4WD"}</definedName>
    <definedName name="투자비000" hidden="1">{#N/A,#N/A,FALSE,"단축1";#N/A,#N/A,FALSE,"단축2";#N/A,#N/A,FALSE,"단축3";#N/A,#N/A,FALSE,"장축";#N/A,#N/A,FALSE,"4WD"}</definedName>
    <definedName name="투자비복" hidden="1">{#N/A,#N/A,FALSE,"단축1";#N/A,#N/A,FALSE,"단축2";#N/A,#N/A,FALSE,"단축3";#N/A,#N/A,FALSE,"장축";#N/A,#N/A,FALSE,"4WD"}</definedName>
    <definedName name="투자비실적" hidden="1">{#N/A,#N/A,FALSE,"단축1";#N/A,#N/A,FALSE,"단축2";#N/A,#N/A,FALSE,"단축3";#N/A,#N/A,FALSE,"장축";#N/A,#N/A,FALSE,"4WD"}</definedName>
    <definedName name="ㅍ" hidden="1">{#N/A,#N/A,FALSE,"단축1";#N/A,#N/A,FALSE,"단축2";#N/A,#N/A,FALSE,"단축3";#N/A,#N/A,FALSE,"장축";#N/A,#N/A,FALSE,"4WD"}</definedName>
    <definedName name="판도라상자" hidden="1">{#N/A,#N/A,FALSE,"정공"}</definedName>
    <definedName name="판매보증" hidden="1">{#N/A,#N/A,FALSE,"인원";#N/A,#N/A,FALSE,"비용2";#N/A,#N/A,FALSE,"비용1";#N/A,#N/A,FALSE,"비용";#N/A,#N/A,FALSE,"보증2";#N/A,#N/A,FALSE,"보증1";#N/A,#N/A,FALSE,"보증";#N/A,#N/A,FALSE,"손익1";#N/A,#N/A,FALSE,"손익";#N/A,#N/A,FALSE,"부서별매출";#N/A,#N/A,FALSE,"매출"}</definedName>
    <definedName name="판촉지원적립금" hidden="1">{#N/A,#N/A,TRUE,"매출진척-1";#N/A,#N/A,TRUE,"매출진척-2";#N/A,#N/A,TRUE,"제품실적";#N/A,#N/A,TRUE,"RAC";#N/A,#N/A,TRUE,"PAC ";#N/A,#N/A,TRUE,"재고현황";#N/A,#N/A,TRUE,"공지사항"}</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#N/A</definedName>
    <definedName name="품" hidden="1">{#N/A,#N/A,FALSE,"단축1";#N/A,#N/A,FALSE,"단축2";#N/A,#N/A,FALSE,"단축3";#N/A,#N/A,FALSE,"장축";#N/A,#N/A,FALSE,"4WD"}</definedName>
    <definedName name="품질시스템인증수수료" hidden="1">{#N/A,#N/A,FALSE,"초도품";#N/A,#N/A,FALSE,"초도품 (2)";#N/A,#N/A,FALSE,"초도품 (3)";#N/A,#N/A,FALSE,"초도품 (4)";#N/A,#N/A,FALSE,"초도품 (5)";#N/A,#N/A,FALSE,"초도품 (6)"}</definedName>
    <definedName name="품확" hidden="1">{#N/A,#N/A,FALSE,"단축1";#N/A,#N/A,FALSE,"단축2";#N/A,#N/A,FALSE,"단축3";#N/A,#N/A,FALSE,"장축";#N/A,#N/A,FALSE,"4WD"}</definedName>
    <definedName name="프레스" hidden="1">{#N/A,#N/A,FALSE,"단축1";#N/A,#N/A,FALSE,"단축2";#N/A,#N/A,FALSE,"단축3";#N/A,#N/A,FALSE,"장축";#N/A,#N/A,FALSE,"4WD"}</definedName>
    <definedName name="프렌지" hidden="1">{#N/A,#N/A,FALSE,"단축1";#N/A,#N/A,FALSE,"단축2";#N/A,#N/A,FALSE,"단축3";#N/A,#N/A,FALSE,"장축";#N/A,#N/A,FALSE,"4WD"}</definedName>
    <definedName name="프로젝트" hidden="1">#REF!</definedName>
    <definedName name="ㅎ" hidden="1">{#N/A,#N/A,FALSE,"을지 (4)";#N/A,#N/A,FALSE,"을지 (5)";#N/A,#N/A,FALSE,"을지 (6)"}</definedName>
    <definedName name="ㅎㄹㅇ" hidden="1">{#N/A,#N/A,FALSE,"단축1";#N/A,#N/A,FALSE,"단축2";#N/A,#N/A,FALSE,"단축3";#N/A,#N/A,FALSE,"장축";#N/A,#N/A,FALSE,"4WD"}</definedName>
    <definedName name="ㅎㅎ" hidden="1">{#N/A,#N/A,FALSE,"을지 (4)";#N/A,#N/A,FALSE,"을지 (5)";#N/A,#N/A,FALSE,"을지 (6)"}</definedName>
    <definedName name="ㅎ호ㅓㅓㅗ" hidden="1">{#N/A,#N/A,FALSE,"단축1";#N/A,#N/A,FALSE,"단축2";#N/A,#N/A,FALSE,"단축3";#N/A,#N/A,FALSE,"장축";#N/A,#N/A,FALSE,"4WD"}</definedName>
    <definedName name="하라라" hidden="1">{#N/A,#N/A,FALSE,"단축1";#N/A,#N/A,FALSE,"단축2";#N/A,#N/A,FALSE,"단축3";#N/A,#N/A,FALSE,"장축";#N/A,#N/A,FALSE,"4WD"}</definedName>
    <definedName name="하하" hidden="1">{#N/A,#N/A,FALSE,"초도품";#N/A,#N/A,FALSE,"초도품 (2)";#N/A,#N/A,FALSE,"초도품 (3)";#N/A,#N/A,FALSE,"초도품 (4)";#N/A,#N/A,FALSE,"초도품 (5)";#N/A,#N/A,FALSE,"초도품 (6)"}</definedName>
    <definedName name="하하핳하하하" hidden="1">{#N/A,#N/A,FALSE,"단축1";#N/A,#N/A,FALSE,"단축2";#N/A,#N/A,FALSE,"단축3";#N/A,#N/A,FALSE,"장축";#N/A,#N/A,FALSE,"4WD"}</definedName>
    <definedName name="하하호호" hidden="1">{#N/A,#N/A,FALSE,"단축1";#N/A,#N/A,FALSE,"단축2";#N/A,#N/A,FALSE,"단축3";#N/A,#N/A,FALSE,"장축";#N/A,#N/A,FALSE,"4WD"}</definedName>
    <definedName name="한영사전" hidden="1">{#N/A,#N/A,TRUE,"Y생산";#N/A,#N/A,TRUE,"Y판매";#N/A,#N/A,TRUE,"Y총물량";#N/A,#N/A,TRUE,"Y능력";#N/A,#N/A,TRUE,"YKD"}</definedName>
    <definedName name="한총2" hidden="1">{#N/A,#N/A,FALSE,"을지 (4)";#N/A,#N/A,FALSE,"을지 (5)";#N/A,#N/A,FALSE,"을지 (6)"}</definedName>
    <definedName name="향후계획1" hidden="1">{#N/A,#N/A,FALSE,"단축1";#N/A,#N/A,FALSE,"단축2";#N/A,#N/A,FALSE,"단축3";#N/A,#N/A,FALSE,"장축";#N/A,#N/A,FALSE,"4WD"}</definedName>
    <definedName name="현대" hidden="1">{#N/A,#N/A,FALSE,"정공"}</definedName>
    <definedName name="협의" hidden="1">{#N/A,#N/A,FALSE,"단축1";#N/A,#N/A,FALSE,"단축2";#N/A,#N/A,FALSE,"단축3";#N/A,#N/A,FALSE,"장축";#N/A,#N/A,FALSE,"4WD"}</definedName>
    <definedName name="회장1" hidden="1">{#N/A,#N/A,FALSE,"단축1";#N/A,#N/A,FALSE,"단축2";#N/A,#N/A,FALSE,"단축3";#N/A,#N/A,FALSE,"장축";#N/A,#N/A,FALSE,"4WD"}</definedName>
    <definedName name="회장님" hidden="1">{#N/A,#N/A,FALSE,"단축1";#N/A,#N/A,FALSE,"단축2";#N/A,#N/A,FALSE,"단축3";#N/A,#N/A,FALSE,"장축";#N/A,#N/A,FALSE,"4WD"}</definedName>
    <definedName name="후훟" hidden="1">{#N/A,#N/A,FALSE,"초도품";#N/A,#N/A,FALSE,"초도품 (2)";#N/A,#N/A,FALSE,"초도품 (3)";#N/A,#N/A,FALSE,"초도품 (4)";#N/A,#N/A,FALSE,"초도품 (5)";#N/A,#N/A,FALSE,"초도품 (6)"}</definedName>
    <definedName name="ㅏ" hidden="1">{#N/A,#N/A,FALSE,"을지 (4)";#N/A,#N/A,FALSE,"을지 (5)";#N/A,#N/A,FALSE,"을지 (6)"}</definedName>
    <definedName name="ㅏ휴" hidden="1">{#N/A,#N/A,FALSE,"초도품";#N/A,#N/A,FALSE,"초도품 (2)";#N/A,#N/A,FALSE,"초도품 (3)";#N/A,#N/A,FALSE,"초도품 (4)";#N/A,#N/A,FALSE,"초도품 (5)";#N/A,#N/A,FALSE,"초도품 (6)"}</definedName>
    <definedName name="ㅏㅏㅏ" hidden="1">{#N/A,#N/A,FALSE,"단축1";#N/A,#N/A,FALSE,"단축2";#N/A,#N/A,FALSE,"단축3";#N/A,#N/A,FALSE,"장축";#N/A,#N/A,FALSE,"4WD"}</definedName>
    <definedName name="ㅏㅣㅣㅣ" hidden="1">{#N/A,#N/A,FALSE,"단축1";#N/A,#N/A,FALSE,"단축2";#N/A,#N/A,FALSE,"단축3";#N/A,#N/A,FALSE,"장축";#N/A,#N/A,FALSE,"4WD"}</definedName>
    <definedName name="ㅐㅐ" hidden="1">{#N/A,#N/A,FALSE,"을지 (4)";#N/A,#N/A,FALSE,"을지 (5)";#N/A,#N/A,FALSE,"을지 (6)"}</definedName>
    <definedName name="ㅑ" hidden="1">{#N/A,#N/A,FALSE,"단축1";#N/A,#N/A,FALSE,"단축2";#N/A,#N/A,FALSE,"단축3";#N/A,#N/A,FALSE,"장축";#N/A,#N/A,FALSE,"4WD"}</definedName>
    <definedName name="ㅑㅑㅑ" hidden="1">{#N/A,#N/A,FALSE,"초도품";#N/A,#N/A,FALSE,"초도품 (2)";#N/A,#N/A,FALSE,"초도품 (3)";#N/A,#N/A,FALSE,"초도품 (4)";#N/A,#N/A,FALSE,"초도품 (5)";#N/A,#N/A,FALSE,"초도품 (6)"}</definedName>
    <definedName name="ㅓ" hidden="1">{#N/A,#N/A,FALSE,"초도품";#N/A,#N/A,FALSE,"초도품 (2)";#N/A,#N/A,FALSE,"초도품 (3)";#N/A,#N/A,FALSE,"초도품 (4)";#N/A,#N/A,FALSE,"초도품 (5)";#N/A,#N/A,FALSE,"초도품 (6)"}</definedName>
    <definedName name="ㅓㅏㅗ" hidden="1">{#N/A,#N/A,FALSE,"초도품";#N/A,#N/A,FALSE,"초도품 (2)";#N/A,#N/A,FALSE,"초도품 (3)";#N/A,#N/A,FALSE,"초도품 (4)";#N/A,#N/A,FALSE,"초도품 (5)";#N/A,#N/A,FALSE,"초도품 (6)"}</definedName>
    <definedName name="ㅓㅏㅣㅕㅑㅔ" hidden="1">{#N/A,#N/A,FALSE,"단축1";#N/A,#N/A,FALSE,"단축2";#N/A,#N/A,FALSE,"단축3";#N/A,#N/A,FALSE,"장축";#N/A,#N/A,FALSE,"4WD"}</definedName>
    <definedName name="ㅔ" hidden="1">{#N/A,#N/A,FALSE,"단축1";#N/A,#N/A,FALSE,"단축2";#N/A,#N/A,FALSE,"단축3";#N/A,#N/A,FALSE,"장축";#N/A,#N/A,FALSE,"4WD"}</definedName>
    <definedName name="ㅔㅔ" hidden="1">{#N/A,#N/A,FALSE,"초도품";#N/A,#N/A,FALSE,"초도품 (2)";#N/A,#N/A,FALSE,"초도품 (3)";#N/A,#N/A,FALSE,"초도품 (4)";#N/A,#N/A,FALSE,"초도품 (5)";#N/A,#N/A,FALSE,"초도품 (6)"}</definedName>
    <definedName name="ㅔㅔㅔ" hidden="1">#N/A</definedName>
    <definedName name="ㅔㅔㅔㅔ" hidden="1">{#N/A,#N/A,FALSE,"을지 (4)";#N/A,#N/A,FALSE,"을지 (5)";#N/A,#N/A,FALSE,"을지 (6)"}</definedName>
    <definedName name="ㅕ" hidden="1">{#N/A,#N/A,FALSE,"단축1";#N/A,#N/A,FALSE,"단축2";#N/A,#N/A,FALSE,"단축3";#N/A,#N/A,FALSE,"장축";#N/A,#N/A,FALSE,"4WD"}</definedName>
    <definedName name="ㅕㅕ" hidden="1">{#N/A,#N/A,FALSE,"단축1";#N/A,#N/A,FALSE,"단축2";#N/A,#N/A,FALSE,"단축3";#N/A,#N/A,FALSE,"장축";#N/A,#N/A,FALSE,"4WD"}</definedName>
    <definedName name="ㅕㅕㅕ" hidden="1">{#N/A,#N/A,FALSE,"을지 (4)";#N/A,#N/A,FALSE,"을지 (5)";#N/A,#N/A,FALSE,"을지 (6)"}</definedName>
    <definedName name="ㅗㅓㅏ" hidden="1">#REF!</definedName>
    <definedName name="ㅗㅓㅏㅣ" hidden="1">{#N/A,#N/A,FALSE,"단축1";#N/A,#N/A,FALSE,"단축2";#N/A,#N/A,FALSE,"단축3";#N/A,#N/A,FALSE,"장축";#N/A,#N/A,FALSE,"4WD"}</definedName>
    <definedName name="ㅗㅓㅐㅓㅐ" hidden="1">#N/A</definedName>
    <definedName name="ㅗㅗ"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ㅛㅛㅛㅛㅛㅛ" hidden="1">{#N/A,#N/A,FALSE,"단축1";#N/A,#N/A,FALSE,"단축2";#N/A,#N/A,FALSE,"단축3";#N/A,#N/A,FALSE,"장축";#N/A,#N/A,FALSE,"4WD"}</definedName>
    <definedName name="ㅜ" hidden="1">{#N/A,#N/A,FALSE,"단축1";#N/A,#N/A,FALSE,"단축2";#N/A,#N/A,FALSE,"단축3";#N/A,#N/A,FALSE,"장축";#N/A,#N/A,FALSE,"4WD"}</definedName>
    <definedName name="ㅠㅍㅇㅌㄹ" hidden="1">{#N/A,#N/A,FALSE,"단축1";#N/A,#N/A,FALSE,"단축2";#N/A,#N/A,FALSE,"단축3";#N/A,#N/A,FALSE,"장축";#N/A,#N/A,FALSE,"4WD"}</definedName>
    <definedName name="ㅡ" hidden="1">{#N/A,#N/A,FALSE,"단축1";#N/A,#N/A,FALSE,"단축2";#N/A,#N/A,FALSE,"단축3";#N/A,#N/A,FALSE,"장축";#N/A,#N/A,FALSE,"4WD"}</definedName>
    <definedName name="ㅡㅡㅡ" hidden="1">#N/A</definedName>
    <definedName name="ㅣ" hidden="1">#N/A</definedName>
    <definedName name="ㅣㅏㅡ" hidden="1">{#N/A,#N/A,FALSE,"을지 (4)";#N/A,#N/A,FALSE,"을지 (5)";#N/A,#N/A,FALSE,"을지 (6)"}</definedName>
    <definedName name="ㅣㅣ" hidden="1">{#N/A,#N/A,FALSE,"을지 (4)";#N/A,#N/A,FALSE,"을지 (5)";#N/A,#N/A,FALSE,"을지 (6)"}</definedName>
    <definedName name="ㅣㅣㅣ" hidden="1">{#N/A,#N/A,FALSE,"단축1";#N/A,#N/A,FALSE,"단축2";#N/A,#N/A,FALSE,"단축3";#N/A,#N/A,FALSE,"장축";#N/A,#N/A,FALSE,"4WD"}</definedName>
    <definedName name="倉田" hidden="1">{#N/A,"VA",FALSE,"output";#N/A,"VB",FALSE,"output";#N/A,"VS",FALSE,"output";#N/A,"VC",FALSE,"output";#N/A,"VG",FALSE,"output";#N/A,"J1",FALSE,"output";#N/A,"J2",FALSE,"output";#N/A,"PT",FALSE,"output"}</definedName>
    <definedName name="内製日程" hidden="1">#REF!</definedName>
    <definedName name="変更" hidden="1">{#VALUE!,#N/A,FALSE,0;#N/A,#N/A,FALSE,0;#N/A,#N/A,FALSE,0;#N/A,#N/A,FALSE,0}</definedName>
    <definedName name="損益・資金推移" hidden="1">#REF!</definedName>
    <definedName name="改" hidden="1">{#VALUE!,#N/A,FALSE,0;#N/A,#N/A,FALSE,0;#N/A,#N/A,FALSE,0;#N/A,#N/A,FALSE,0}</definedName>
    <definedName name="方針書" hidden="1">{"PL2000",#N/A,FALSE,"BL2000"}</definedName>
    <definedName name="方針書A" hidden="1">{"RES-2001",#N/A,FALSE,"BL2000";"A1-2001",#N/A,FALSE,"BL2000";"A2-2001",#N/A,FALSE,"BL2000"}</definedName>
    <definedName name="方針書Attachment" hidden="1">{"RES-2000",#N/A,FALSE,"BL2000";"A1-2000",#N/A,FALSE,"BL2000";"A2-2000",#N/A,FALSE,"BL2000"}</definedName>
    <definedName name="日程２" hidden="1">#REF!</definedName>
    <definedName name="比例費" hidden="1">255</definedName>
    <definedName name="波形" hidden="1">#REF!</definedName>
    <definedName name="田中" hidden="1">{#N/A,"VA",FALSE,"output";#N/A,"VB",FALSE,"output";#N/A,"VS",FALSE,"output";#N/A,"VC",FALSE,"output";#N/A,"VG",FALSE,"output";#N/A,"J1",FALSE,"output";#N/A,"J2",FALSE,"output";#N/A,"PT",FALSE,"output"}</definedName>
    <definedName name="目標" hidden="1">{#N/A,"VA",FALSE,"output";#N/A,"VB",FALSE,"output";#N/A,"VS",FALSE,"output";#N/A,"VC",FALSE,"output";#N/A,"VG",FALSE,"output";#N/A,"J1",FALSE,"output";#N/A,"J2",FALSE,"output";#N/A,"PT",FALSE,"output"}</definedName>
    <definedName name="直接固定費" hidden="1">{"COMNUS2000",#N/A,FALSE,"BL2000"}</definedName>
    <definedName name="英語" hidden="1">{#VALUE!,#N/A,FALSE,0;#N/A,#N/A,FALSE,0;#N/A,#N/A,FALSE,0;#N/A,#N/A,FALSE,0}</definedName>
    <definedName name="長野" hidden="1">{#N/A,#N/A,TRUE,"RIDE";#N/A,#N/A,TRUE,"STEERING";#N/A,#N/A,TRUE,"HANDLING";#N/A,#N/A,TRUE,"BRAKING"}</definedName>
    <definedName name="開発日程" hidden="1">#REF!</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9" i="21" l="1"/>
  <c r="P87" i="21"/>
  <c r="F87" i="21"/>
  <c r="G87" i="21"/>
  <c r="H87" i="21"/>
  <c r="I87" i="21"/>
  <c r="L336" i="45"/>
  <c r="D336" i="45" l="1"/>
  <c r="E43" i="22"/>
  <c r="E31" i="22"/>
  <c r="H55" i="21"/>
  <c r="I55" i="21"/>
  <c r="E97" i="21"/>
  <c r="F97" i="21"/>
  <c r="N172" i="67"/>
  <c r="E60" i="21"/>
  <c r="E44" i="21"/>
  <c r="F44" i="21"/>
  <c r="E43" i="21"/>
  <c r="K136" i="67"/>
  <c r="E27" i="21"/>
  <c r="E26" i="21"/>
  <c r="E19" i="21"/>
  <c r="E18" i="21"/>
  <c r="J135" i="67"/>
  <c r="E11" i="21"/>
  <c r="E10" i="21"/>
  <c r="E9" i="21"/>
  <c r="N160" i="67"/>
  <c r="M160" i="67"/>
  <c r="N159" i="67"/>
  <c r="M159" i="67"/>
  <c r="N158" i="67"/>
  <c r="M158" i="67"/>
  <c r="N157" i="67"/>
  <c r="M157" i="67"/>
  <c r="N156" i="67"/>
  <c r="M156" i="67"/>
  <c r="N155" i="67"/>
  <c r="N162" i="67" s="1"/>
  <c r="N169" i="67" s="1"/>
  <c r="M155" i="67"/>
  <c r="N154" i="67"/>
  <c r="M154" i="67"/>
  <c r="N153" i="67"/>
  <c r="M153" i="67"/>
  <c r="M162" i="67" s="1"/>
  <c r="M169" i="67" s="1"/>
  <c r="N152" i="67"/>
  <c r="M152" i="67"/>
  <c r="N138" i="67"/>
  <c r="M138" i="67"/>
  <c r="L138" i="67"/>
  <c r="K138" i="67"/>
  <c r="J138" i="67"/>
  <c r="I138" i="67"/>
  <c r="N137" i="67"/>
  <c r="M137" i="67"/>
  <c r="L137" i="67"/>
  <c r="K137" i="67"/>
  <c r="J137" i="67"/>
  <c r="I137" i="67"/>
  <c r="N136" i="67"/>
  <c r="M136" i="67"/>
  <c r="L136" i="67"/>
  <c r="J136" i="67"/>
  <c r="I136" i="67"/>
  <c r="N135" i="67"/>
  <c r="M135" i="67"/>
  <c r="L135" i="67"/>
  <c r="K135" i="67"/>
  <c r="I135" i="67"/>
  <c r="N134" i="67"/>
  <c r="M134" i="67"/>
  <c r="L134" i="67"/>
  <c r="K134" i="67"/>
  <c r="J134" i="67"/>
  <c r="I134" i="67"/>
  <c r="N133" i="67"/>
  <c r="N140" i="67" s="1"/>
  <c r="M133" i="67"/>
  <c r="M140" i="67" s="1"/>
  <c r="L133" i="67"/>
  <c r="L140" i="67" s="1"/>
  <c r="L141" i="67" s="1"/>
  <c r="K133" i="67"/>
  <c r="J133" i="67"/>
  <c r="J140" i="67" s="1"/>
  <c r="J141" i="67" s="1"/>
  <c r="I133" i="67"/>
  <c r="I140" i="67" s="1"/>
  <c r="I141" i="67" s="1"/>
  <c r="M129" i="67"/>
  <c r="N86" i="67"/>
  <c r="M86" i="67"/>
  <c r="L86" i="67"/>
  <c r="K86" i="67"/>
  <c r="J86" i="67"/>
  <c r="I86" i="67"/>
  <c r="N83" i="67"/>
  <c r="M83" i="67"/>
  <c r="L83" i="67"/>
  <c r="K83" i="67"/>
  <c r="J83" i="67"/>
  <c r="I83" i="67"/>
  <c r="N80" i="67"/>
  <c r="M80" i="67"/>
  <c r="L80" i="67"/>
  <c r="K80" i="67"/>
  <c r="J80" i="67"/>
  <c r="I80" i="67"/>
  <c r="N73" i="67"/>
  <c r="M73" i="67"/>
  <c r="L73" i="67"/>
  <c r="K73" i="67"/>
  <c r="J73" i="67"/>
  <c r="I73" i="67"/>
  <c r="N69" i="67"/>
  <c r="M69" i="67"/>
  <c r="L69" i="67"/>
  <c r="K69" i="67"/>
  <c r="J69" i="67"/>
  <c r="I69" i="67"/>
  <c r="N66" i="67"/>
  <c r="M66" i="67"/>
  <c r="L66" i="67"/>
  <c r="K66" i="67"/>
  <c r="J66" i="67"/>
  <c r="I66" i="67"/>
  <c r="N61" i="67"/>
  <c r="M61" i="67"/>
  <c r="L61" i="67"/>
  <c r="K61" i="67"/>
  <c r="J61" i="67"/>
  <c r="I61" i="67"/>
  <c r="N58" i="67"/>
  <c r="M58" i="67"/>
  <c r="L58" i="67"/>
  <c r="K58" i="67"/>
  <c r="J58" i="67"/>
  <c r="I58" i="67"/>
  <c r="N51" i="67"/>
  <c r="M51" i="67"/>
  <c r="L51" i="67"/>
  <c r="K51" i="67"/>
  <c r="J51" i="67"/>
  <c r="I51" i="67"/>
  <c r="N38" i="67"/>
  <c r="M38" i="67"/>
  <c r="L38" i="67"/>
  <c r="K38" i="67"/>
  <c r="J38" i="67"/>
  <c r="I38" i="67"/>
  <c r="N33" i="67"/>
  <c r="M33" i="67"/>
  <c r="L33" i="67"/>
  <c r="K33" i="67"/>
  <c r="J33" i="67"/>
  <c r="I33" i="67"/>
  <c r="N24" i="67"/>
  <c r="M24" i="67"/>
  <c r="L24" i="67"/>
  <c r="K24" i="67"/>
  <c r="J24" i="67"/>
  <c r="I24" i="67"/>
  <c r="N20" i="67"/>
  <c r="M20" i="67"/>
  <c r="L20" i="67"/>
  <c r="K20" i="67"/>
  <c r="J20" i="67"/>
  <c r="I20" i="67"/>
  <c r="N12" i="67"/>
  <c r="M12" i="67"/>
  <c r="L12" i="67"/>
  <c r="K12" i="67"/>
  <c r="J12" i="67"/>
  <c r="I12" i="67"/>
  <c r="N8" i="67"/>
  <c r="N125" i="67" s="1"/>
  <c r="M8" i="67"/>
  <c r="M125" i="67" s="1"/>
  <c r="L8" i="67"/>
  <c r="L125" i="67" s="1"/>
  <c r="K8" i="67"/>
  <c r="K125" i="67" s="1"/>
  <c r="J8" i="67"/>
  <c r="J125" i="67" s="1"/>
  <c r="I8" i="67"/>
  <c r="I125" i="67" s="1"/>
  <c r="E51" i="21" l="1"/>
  <c r="E62" i="21" s="1"/>
  <c r="K140" i="67"/>
  <c r="K141" i="67" s="1"/>
  <c r="E145" i="67"/>
  <c r="N145" i="67" s="1"/>
  <c r="N147" i="67" s="1"/>
  <c r="N167" i="67" s="1"/>
  <c r="N141" i="67"/>
  <c r="M141" i="67"/>
  <c r="D145" i="67" s="1"/>
  <c r="M145" i="67" s="1"/>
  <c r="M147" i="67" s="1"/>
  <c r="M167" i="67" s="1"/>
  <c r="M172" i="67" s="1"/>
  <c r="F27" i="54" l="1"/>
  <c r="F26" i="54"/>
  <c r="F25" i="54"/>
  <c r="F24" i="54"/>
  <c r="F23" i="54"/>
  <c r="F22" i="54"/>
  <c r="H45" i="21"/>
  <c r="I45" i="21"/>
  <c r="AS4" i="52"/>
  <c r="G13" i="55"/>
  <c r="G12" i="55"/>
  <c r="G11" i="55"/>
  <c r="G10" i="55"/>
  <c r="G9" i="55"/>
  <c r="I26" i="9"/>
  <c r="AQ462" i="66" l="1"/>
  <c r="AP462" i="66"/>
  <c r="AQ461" i="66"/>
  <c r="AP461" i="66"/>
  <c r="AQ460" i="66"/>
  <c r="AP460" i="66"/>
  <c r="AQ459" i="66"/>
  <c r="AP459" i="66"/>
  <c r="AQ458" i="66"/>
  <c r="AP458" i="66"/>
  <c r="AQ457" i="66"/>
  <c r="AP457" i="66"/>
  <c r="AQ456" i="66"/>
  <c r="AP456" i="66"/>
  <c r="AQ455" i="66"/>
  <c r="AP455" i="66"/>
  <c r="AQ454" i="66"/>
  <c r="AP454" i="66"/>
  <c r="AQ453" i="66"/>
  <c r="AP453" i="66"/>
  <c r="AQ452" i="66"/>
  <c r="AP452" i="66"/>
  <c r="AQ451" i="66"/>
  <c r="AP451" i="66"/>
  <c r="AQ450" i="66"/>
  <c r="AP450" i="66"/>
  <c r="AQ449" i="66"/>
  <c r="AP449" i="66"/>
  <c r="AQ448" i="66"/>
  <c r="AP448" i="66"/>
  <c r="AQ447" i="66"/>
  <c r="AP447" i="66"/>
  <c r="AQ446" i="66"/>
  <c r="AP446" i="66"/>
  <c r="AQ445" i="66"/>
  <c r="AP445" i="66"/>
  <c r="AQ444" i="66"/>
  <c r="AP444" i="66"/>
  <c r="AQ443" i="66"/>
  <c r="AP443" i="66"/>
  <c r="AQ442" i="66"/>
  <c r="AP442" i="66"/>
  <c r="AQ441" i="66"/>
  <c r="AP441" i="66"/>
  <c r="AQ440" i="66"/>
  <c r="AP440" i="66"/>
  <c r="AQ439" i="66"/>
  <c r="AP439" i="66"/>
  <c r="AQ438" i="66"/>
  <c r="AP438" i="66"/>
  <c r="AQ437" i="66"/>
  <c r="AP437" i="66"/>
  <c r="AQ436" i="66"/>
  <c r="AP436" i="66"/>
  <c r="AQ435" i="66"/>
  <c r="AP435" i="66"/>
  <c r="AQ434" i="66"/>
  <c r="AP434" i="66"/>
  <c r="AQ433" i="66"/>
  <c r="AP433" i="66"/>
  <c r="AQ432" i="66"/>
  <c r="AP432" i="66"/>
  <c r="AQ431" i="66"/>
  <c r="AP431" i="66"/>
  <c r="AQ430" i="66"/>
  <c r="AP430" i="66"/>
  <c r="AQ429" i="66"/>
  <c r="AP429" i="66"/>
  <c r="AQ428" i="66"/>
  <c r="AP428" i="66"/>
  <c r="AQ427" i="66"/>
  <c r="AP427" i="66"/>
  <c r="AQ426" i="66"/>
  <c r="AP426" i="66"/>
  <c r="AQ425" i="66"/>
  <c r="AP425" i="66"/>
  <c r="AQ424" i="66"/>
  <c r="AP424" i="66"/>
  <c r="AQ423" i="66"/>
  <c r="AP423" i="66"/>
  <c r="AQ422" i="66"/>
  <c r="AP422" i="66"/>
  <c r="AQ421" i="66"/>
  <c r="AP421" i="66"/>
  <c r="AQ420" i="66"/>
  <c r="AP420" i="66"/>
  <c r="AQ419" i="66"/>
  <c r="AP419" i="66"/>
  <c r="AQ418" i="66"/>
  <c r="AP418" i="66"/>
  <c r="AQ417" i="66"/>
  <c r="AP417" i="66"/>
  <c r="AQ416" i="66"/>
  <c r="AP416" i="66"/>
  <c r="AQ415" i="66"/>
  <c r="AP415" i="66"/>
  <c r="AQ414" i="66"/>
  <c r="AP414" i="66"/>
  <c r="AQ413" i="66"/>
  <c r="AP413" i="66"/>
  <c r="AQ412" i="66"/>
  <c r="AP412" i="66"/>
  <c r="AQ411" i="66"/>
  <c r="AP411" i="66"/>
  <c r="AQ410" i="66"/>
  <c r="AP410" i="66"/>
  <c r="AQ409" i="66"/>
  <c r="AP409" i="66"/>
  <c r="AQ408" i="66"/>
  <c r="AP408" i="66"/>
  <c r="AQ407" i="66"/>
  <c r="AP407" i="66"/>
  <c r="AQ406" i="66"/>
  <c r="AP406" i="66"/>
  <c r="AQ405" i="66"/>
  <c r="AP405" i="66"/>
  <c r="AQ404" i="66"/>
  <c r="AP404" i="66"/>
  <c r="AQ403" i="66"/>
  <c r="AP403" i="66"/>
  <c r="AQ402" i="66"/>
  <c r="AP402" i="66"/>
  <c r="AQ401" i="66"/>
  <c r="AP401" i="66"/>
  <c r="AQ400" i="66"/>
  <c r="AP400" i="66"/>
  <c r="AQ399" i="66"/>
  <c r="AP399" i="66"/>
  <c r="AQ398" i="66"/>
  <c r="AP398" i="66"/>
  <c r="AQ397" i="66"/>
  <c r="AP397" i="66"/>
  <c r="AQ396" i="66"/>
  <c r="AP396" i="66"/>
  <c r="AQ395" i="66"/>
  <c r="AP395" i="66"/>
  <c r="AQ394" i="66"/>
  <c r="AP394" i="66"/>
  <c r="AQ393" i="66"/>
  <c r="AP393" i="66"/>
  <c r="AQ392" i="66"/>
  <c r="AP392" i="66"/>
  <c r="AQ391" i="66"/>
  <c r="AP391" i="66"/>
  <c r="AQ390" i="66"/>
  <c r="AP390" i="66"/>
  <c r="AQ389" i="66"/>
  <c r="AP389" i="66"/>
  <c r="AQ388" i="66"/>
  <c r="AP388" i="66"/>
  <c r="AQ387" i="66"/>
  <c r="AP387" i="66"/>
  <c r="AQ386" i="66"/>
  <c r="AP386" i="66"/>
  <c r="AQ385" i="66"/>
  <c r="AP385" i="66"/>
  <c r="AQ384" i="66"/>
  <c r="AP384" i="66"/>
  <c r="AQ383" i="66"/>
  <c r="AP383" i="66"/>
  <c r="AQ382" i="66"/>
  <c r="AP382" i="66"/>
  <c r="AQ381" i="66"/>
  <c r="AP381" i="66"/>
  <c r="AQ380" i="66"/>
  <c r="AP380" i="66"/>
  <c r="AQ379" i="66"/>
  <c r="AP379" i="66"/>
  <c r="AQ378" i="66"/>
  <c r="AP378" i="66"/>
  <c r="AQ377" i="66"/>
  <c r="AP377" i="66"/>
  <c r="AQ376" i="66"/>
  <c r="AP376" i="66"/>
  <c r="AQ375" i="66"/>
  <c r="AP375" i="66"/>
  <c r="AQ374" i="66"/>
  <c r="AP374" i="66"/>
  <c r="AQ373" i="66"/>
  <c r="AP373" i="66"/>
  <c r="AQ372" i="66"/>
  <c r="AP372" i="66"/>
  <c r="AQ371" i="66"/>
  <c r="AP371" i="66"/>
  <c r="AQ370" i="66"/>
  <c r="AP370" i="66"/>
  <c r="AQ369" i="66"/>
  <c r="AP369" i="66"/>
  <c r="AQ368" i="66"/>
  <c r="AP368" i="66"/>
  <c r="AQ367" i="66"/>
  <c r="AP367" i="66"/>
  <c r="AQ366" i="66"/>
  <c r="AP366" i="66"/>
  <c r="AQ365" i="66"/>
  <c r="AP365" i="66"/>
  <c r="AQ364" i="66"/>
  <c r="AP364" i="66"/>
  <c r="AQ363" i="66"/>
  <c r="AP363" i="66"/>
  <c r="AQ362" i="66"/>
  <c r="AP362" i="66"/>
  <c r="AQ361" i="66"/>
  <c r="AP361" i="66"/>
  <c r="AQ360" i="66"/>
  <c r="AP360" i="66"/>
  <c r="AQ359" i="66"/>
  <c r="AP359" i="66"/>
  <c r="AQ358" i="66"/>
  <c r="AP358" i="66"/>
  <c r="AQ357" i="66"/>
  <c r="AP357" i="66"/>
  <c r="AQ356" i="66"/>
  <c r="AP356" i="66"/>
  <c r="AQ355" i="66"/>
  <c r="AP355" i="66"/>
  <c r="AQ354" i="66"/>
  <c r="AP354" i="66"/>
  <c r="AQ353" i="66"/>
  <c r="AP353" i="66"/>
  <c r="AQ352" i="66"/>
  <c r="AP352" i="66"/>
  <c r="AQ351" i="66"/>
  <c r="AP351" i="66"/>
  <c r="AQ350" i="66"/>
  <c r="AP350" i="66"/>
  <c r="AQ349" i="66"/>
  <c r="AP349" i="66"/>
  <c r="AQ348" i="66"/>
  <c r="AP348" i="66"/>
  <c r="AQ347" i="66"/>
  <c r="AP347" i="66"/>
  <c r="AQ346" i="66"/>
  <c r="AP346" i="66"/>
  <c r="AQ345" i="66"/>
  <c r="AP345" i="66"/>
  <c r="AQ344" i="66"/>
  <c r="AP344" i="66"/>
  <c r="AQ343" i="66"/>
  <c r="AP343" i="66"/>
  <c r="AQ342" i="66"/>
  <c r="AP342" i="66"/>
  <c r="AQ341" i="66"/>
  <c r="AP341" i="66"/>
  <c r="AQ340" i="66"/>
  <c r="AP340" i="66"/>
  <c r="AQ339" i="66"/>
  <c r="AP339" i="66"/>
  <c r="AQ338" i="66"/>
  <c r="AP338" i="66"/>
  <c r="AQ337" i="66"/>
  <c r="AP337" i="66"/>
  <c r="AQ336" i="66"/>
  <c r="AP336" i="66"/>
  <c r="AQ335" i="66"/>
  <c r="AP335" i="66"/>
  <c r="AQ334" i="66"/>
  <c r="AP334" i="66"/>
  <c r="AQ333" i="66"/>
  <c r="AP333" i="66"/>
  <c r="AQ332" i="66"/>
  <c r="AP332" i="66"/>
  <c r="AQ331" i="66"/>
  <c r="AP331" i="66"/>
  <c r="AQ330" i="66"/>
  <c r="AP330" i="66"/>
  <c r="AQ329" i="66"/>
  <c r="AP329" i="66"/>
  <c r="AQ328" i="66"/>
  <c r="AP328" i="66"/>
  <c r="AQ327" i="66"/>
  <c r="AP327" i="66"/>
  <c r="AQ326" i="66"/>
  <c r="AP326" i="66"/>
  <c r="AQ325" i="66"/>
  <c r="AP325" i="66"/>
  <c r="AQ324" i="66"/>
  <c r="AP324" i="66"/>
  <c r="AQ323" i="66"/>
  <c r="AP323" i="66"/>
  <c r="AQ322" i="66"/>
  <c r="AP322" i="66"/>
  <c r="AQ321" i="66"/>
  <c r="AP321" i="66"/>
  <c r="AQ320" i="66"/>
  <c r="AP320" i="66"/>
  <c r="AQ319" i="66"/>
  <c r="AP319" i="66"/>
  <c r="AQ318" i="66"/>
  <c r="AP318" i="66"/>
  <c r="AQ317" i="66"/>
  <c r="AP317" i="66"/>
  <c r="AQ316" i="66"/>
  <c r="AP316" i="66"/>
  <c r="AQ315" i="66"/>
  <c r="AP315" i="66"/>
  <c r="AQ314" i="66"/>
  <c r="AP314" i="66"/>
  <c r="AQ313" i="66"/>
  <c r="AP313" i="66"/>
  <c r="AQ312" i="66"/>
  <c r="AP312" i="66"/>
  <c r="AQ311" i="66"/>
  <c r="AP311" i="66"/>
  <c r="AQ310" i="66"/>
  <c r="AP310" i="66"/>
  <c r="AQ309" i="66"/>
  <c r="AP309" i="66"/>
  <c r="AQ308" i="66"/>
  <c r="AP308" i="66"/>
  <c r="AQ307" i="66"/>
  <c r="AP307" i="66"/>
  <c r="AQ306" i="66"/>
  <c r="AP306" i="66"/>
  <c r="AQ305" i="66"/>
  <c r="AP305" i="66"/>
  <c r="AQ304" i="66"/>
  <c r="AP304" i="66"/>
  <c r="AQ303" i="66"/>
  <c r="AP303" i="66"/>
  <c r="AQ302" i="66"/>
  <c r="AP302" i="66"/>
  <c r="AQ301" i="66"/>
  <c r="AP301" i="66"/>
  <c r="AQ300" i="66"/>
  <c r="AP300" i="66"/>
  <c r="AQ299" i="66"/>
  <c r="AP299" i="66"/>
  <c r="AQ298" i="66"/>
  <c r="AP298" i="66"/>
  <c r="AQ297" i="66"/>
  <c r="AP297" i="66"/>
  <c r="AQ296" i="66"/>
  <c r="AP296" i="66"/>
  <c r="AQ295" i="66"/>
  <c r="AP295" i="66"/>
  <c r="AQ294" i="66"/>
  <c r="AP294" i="66"/>
  <c r="AQ293" i="66"/>
  <c r="AP293" i="66"/>
  <c r="AQ292" i="66"/>
  <c r="AP292" i="66"/>
  <c r="AQ291" i="66"/>
  <c r="AP291" i="66"/>
  <c r="AQ290" i="66"/>
  <c r="AP290" i="66"/>
  <c r="AQ289" i="66"/>
  <c r="AP289" i="66"/>
  <c r="AQ288" i="66"/>
  <c r="AP288" i="66"/>
  <c r="AQ287" i="66"/>
  <c r="AP287" i="66"/>
  <c r="AQ286" i="66"/>
  <c r="AP286" i="66"/>
  <c r="AQ285" i="66"/>
  <c r="AP285" i="66"/>
  <c r="AQ284" i="66"/>
  <c r="AP284" i="66"/>
  <c r="AQ283" i="66"/>
  <c r="AP283" i="66"/>
  <c r="AQ282" i="66"/>
  <c r="AP282" i="66"/>
  <c r="AQ281" i="66"/>
  <c r="AP281" i="66"/>
  <c r="AQ280" i="66"/>
  <c r="AP280" i="66"/>
  <c r="AQ279" i="66"/>
  <c r="AP279" i="66"/>
  <c r="AQ278" i="66"/>
  <c r="AP278" i="66"/>
  <c r="AQ277" i="66"/>
  <c r="AP277" i="66"/>
  <c r="AQ276" i="66"/>
  <c r="AP276" i="66"/>
  <c r="AQ275" i="66"/>
  <c r="AP275" i="66"/>
  <c r="AQ274" i="66"/>
  <c r="AP274" i="66"/>
  <c r="AQ273" i="66"/>
  <c r="AP273" i="66"/>
  <c r="AQ272" i="66"/>
  <c r="AP272" i="66"/>
  <c r="AQ271" i="66"/>
  <c r="AP271" i="66"/>
  <c r="AQ270" i="66"/>
  <c r="AP270" i="66"/>
  <c r="AQ269" i="66"/>
  <c r="AP269" i="66"/>
  <c r="AQ268" i="66"/>
  <c r="AP268" i="66"/>
  <c r="AQ267" i="66"/>
  <c r="AP267" i="66"/>
  <c r="AQ266" i="66"/>
  <c r="AP266" i="66"/>
  <c r="AQ265" i="66"/>
  <c r="AP265" i="66"/>
  <c r="AQ264" i="66"/>
  <c r="AP264" i="66"/>
  <c r="AQ263" i="66"/>
  <c r="AP263" i="66"/>
  <c r="AQ262" i="66"/>
  <c r="AP262" i="66"/>
  <c r="AQ261" i="66"/>
  <c r="AP261" i="66"/>
  <c r="AQ260" i="66"/>
  <c r="AP260" i="66"/>
  <c r="AQ259" i="66"/>
  <c r="AP259" i="66"/>
  <c r="AQ258" i="66"/>
  <c r="AP258" i="66"/>
  <c r="AQ257" i="66"/>
  <c r="AP257" i="66"/>
  <c r="AQ256" i="66"/>
  <c r="AP256" i="66"/>
  <c r="AQ255" i="66"/>
  <c r="AP255" i="66"/>
  <c r="AQ254" i="66"/>
  <c r="AP254" i="66"/>
  <c r="AQ253" i="66"/>
  <c r="AP253" i="66"/>
  <c r="AQ252" i="66"/>
  <c r="AP252" i="66"/>
  <c r="AQ251" i="66"/>
  <c r="AP251" i="66"/>
  <c r="AQ250" i="66"/>
  <c r="AP250" i="66"/>
  <c r="AQ249" i="66"/>
  <c r="AP249" i="66"/>
  <c r="AQ248" i="66"/>
  <c r="AP248" i="66"/>
  <c r="AQ247" i="66"/>
  <c r="AP247" i="66"/>
  <c r="AQ246" i="66"/>
  <c r="AP246" i="66"/>
  <c r="AQ245" i="66"/>
  <c r="AP245" i="66"/>
  <c r="AQ244" i="66"/>
  <c r="AP244" i="66"/>
  <c r="AQ243" i="66"/>
  <c r="AP243" i="66"/>
  <c r="AQ242" i="66"/>
  <c r="AP242" i="66"/>
  <c r="AQ241" i="66"/>
  <c r="AP241" i="66"/>
  <c r="AQ240" i="66"/>
  <c r="AP240" i="66"/>
  <c r="AQ239" i="66"/>
  <c r="AP239" i="66"/>
  <c r="AQ238" i="66"/>
  <c r="AP238" i="66"/>
  <c r="AQ237" i="66"/>
  <c r="AP237" i="66"/>
  <c r="AQ236" i="66"/>
  <c r="AP236" i="66"/>
  <c r="AQ235" i="66"/>
  <c r="AP235" i="66"/>
  <c r="AQ234" i="66"/>
  <c r="AP234" i="66"/>
  <c r="AQ233" i="66"/>
  <c r="AP233" i="66"/>
  <c r="AQ232" i="66"/>
  <c r="AP232" i="66"/>
  <c r="AQ231" i="66"/>
  <c r="AP231" i="66"/>
  <c r="AQ230" i="66"/>
  <c r="AP230" i="66"/>
  <c r="AQ229" i="66"/>
  <c r="AP229" i="66"/>
  <c r="AQ228" i="66"/>
  <c r="AP228" i="66"/>
  <c r="AQ227" i="66"/>
  <c r="AP227" i="66"/>
  <c r="AQ226" i="66"/>
  <c r="AP226" i="66"/>
  <c r="AQ225" i="66"/>
  <c r="AP225" i="66"/>
  <c r="AQ224" i="66"/>
  <c r="AP224" i="66"/>
  <c r="AQ223" i="66"/>
  <c r="AP223" i="66"/>
  <c r="AQ222" i="66"/>
  <c r="AP222" i="66"/>
  <c r="AQ221" i="66"/>
  <c r="AP221" i="66"/>
  <c r="AQ220" i="66"/>
  <c r="AP220" i="66"/>
  <c r="AQ219" i="66"/>
  <c r="AP219" i="66"/>
  <c r="AQ218" i="66"/>
  <c r="AP218" i="66"/>
  <c r="AQ217" i="66"/>
  <c r="AP217" i="66"/>
  <c r="AQ216" i="66"/>
  <c r="AP216" i="66"/>
  <c r="AQ215" i="66"/>
  <c r="AP215" i="66"/>
  <c r="AQ214" i="66"/>
  <c r="AP214" i="66"/>
  <c r="AQ213" i="66"/>
  <c r="AP213" i="66"/>
  <c r="AQ212" i="66"/>
  <c r="AP212" i="66"/>
  <c r="AQ211" i="66"/>
  <c r="AP211" i="66"/>
  <c r="AQ210" i="66"/>
  <c r="AP210" i="66"/>
  <c r="AQ209" i="66"/>
  <c r="AP209" i="66"/>
  <c r="AQ208" i="66"/>
  <c r="AP208" i="66"/>
  <c r="AQ207" i="66"/>
  <c r="AP207" i="66"/>
  <c r="AQ206" i="66"/>
  <c r="AP206" i="66"/>
  <c r="AQ205" i="66"/>
  <c r="AP205" i="66"/>
  <c r="AQ204" i="66"/>
  <c r="AP204" i="66"/>
  <c r="AQ203" i="66"/>
  <c r="AP203" i="66"/>
  <c r="AQ202" i="66"/>
  <c r="AP202" i="66"/>
  <c r="AQ201" i="66"/>
  <c r="AP201" i="66"/>
  <c r="AQ200" i="66"/>
  <c r="AP200" i="66"/>
  <c r="AQ199" i="66"/>
  <c r="AP199" i="66"/>
  <c r="AQ198" i="66"/>
  <c r="AP198" i="66"/>
  <c r="AQ197" i="66"/>
  <c r="AP197" i="66"/>
  <c r="AQ196" i="66"/>
  <c r="AP196" i="66"/>
  <c r="AQ195" i="66"/>
  <c r="AP195" i="66"/>
  <c r="AQ194" i="66"/>
  <c r="AP194" i="66"/>
  <c r="AQ193" i="66"/>
  <c r="AP193" i="66"/>
  <c r="AQ192" i="66"/>
  <c r="AP192" i="66"/>
  <c r="AQ191" i="66"/>
  <c r="AP191" i="66"/>
  <c r="AQ190" i="66"/>
  <c r="AP190" i="66"/>
  <c r="AQ189" i="66"/>
  <c r="AP189" i="66"/>
  <c r="AQ188" i="66"/>
  <c r="AP188" i="66"/>
  <c r="AQ187" i="66"/>
  <c r="AP187" i="66"/>
  <c r="AQ186" i="66"/>
  <c r="AP186" i="66"/>
  <c r="AQ185" i="66"/>
  <c r="AP185" i="66"/>
  <c r="AQ184" i="66"/>
  <c r="AP184" i="66"/>
  <c r="AQ183" i="66"/>
  <c r="AP183" i="66"/>
  <c r="AQ182" i="66"/>
  <c r="AP182" i="66"/>
  <c r="AQ181" i="66"/>
  <c r="AP181" i="66"/>
  <c r="AQ180" i="66"/>
  <c r="AP180" i="66"/>
  <c r="AQ179" i="66"/>
  <c r="AP179" i="66"/>
  <c r="AQ178" i="66"/>
  <c r="AP178" i="66"/>
  <c r="AQ177" i="66"/>
  <c r="AP177" i="66"/>
  <c r="AQ176" i="66"/>
  <c r="AP176" i="66"/>
  <c r="AQ175" i="66"/>
  <c r="AP175" i="66"/>
  <c r="AQ174" i="66"/>
  <c r="AP174" i="66"/>
  <c r="AQ173" i="66"/>
  <c r="AP173" i="66"/>
  <c r="AQ172" i="66"/>
  <c r="AP172" i="66"/>
  <c r="AQ171" i="66"/>
  <c r="AP171" i="66"/>
  <c r="AQ170" i="66"/>
  <c r="AP170" i="66"/>
  <c r="AQ169" i="66"/>
  <c r="AP169" i="66"/>
  <c r="AQ168" i="66"/>
  <c r="AP168" i="66"/>
  <c r="AQ167" i="66"/>
  <c r="AP167" i="66"/>
  <c r="AQ166" i="66"/>
  <c r="AP166" i="66"/>
  <c r="AQ165" i="66"/>
  <c r="AP165" i="66"/>
  <c r="AQ164" i="66"/>
  <c r="AP164" i="66"/>
  <c r="AQ163" i="66"/>
  <c r="AP163" i="66"/>
  <c r="AQ162" i="66"/>
  <c r="AP162" i="66"/>
  <c r="AQ161" i="66"/>
  <c r="AP161" i="66"/>
  <c r="AQ160" i="66"/>
  <c r="AP160" i="66"/>
  <c r="AQ159" i="66"/>
  <c r="AP159" i="66"/>
  <c r="AQ158" i="66"/>
  <c r="AP158" i="66"/>
  <c r="AQ157" i="66"/>
  <c r="AP157" i="66"/>
  <c r="AQ156" i="66"/>
  <c r="AP156" i="66"/>
  <c r="AQ155" i="66"/>
  <c r="AP155" i="66"/>
  <c r="AQ154" i="66"/>
  <c r="AP154" i="66"/>
  <c r="AQ153" i="66"/>
  <c r="AP153" i="66"/>
  <c r="AQ152" i="66"/>
  <c r="AP152" i="66"/>
  <c r="AQ151" i="66"/>
  <c r="AP151" i="66"/>
  <c r="AQ150" i="66"/>
  <c r="AP150" i="66"/>
  <c r="AQ149" i="66"/>
  <c r="AP149" i="66"/>
  <c r="AQ148" i="66"/>
  <c r="AP148" i="66"/>
  <c r="AQ147" i="66"/>
  <c r="AP147" i="66"/>
  <c r="AQ146" i="66"/>
  <c r="AP146" i="66"/>
  <c r="AQ145" i="66"/>
  <c r="AP145" i="66"/>
  <c r="AQ144" i="66"/>
  <c r="AP144" i="66"/>
  <c r="AQ143" i="66"/>
  <c r="AP143" i="66"/>
  <c r="AQ142" i="66"/>
  <c r="AP142" i="66"/>
  <c r="AQ141" i="66"/>
  <c r="AP141" i="66"/>
  <c r="AQ140" i="66"/>
  <c r="AP140" i="66"/>
  <c r="AQ139" i="66"/>
  <c r="AP139" i="66"/>
  <c r="AQ138" i="66"/>
  <c r="AP138" i="66"/>
  <c r="AQ137" i="66"/>
  <c r="AP137" i="66"/>
  <c r="AQ136" i="66"/>
  <c r="AP136" i="66"/>
  <c r="AQ135" i="66"/>
  <c r="AP135" i="66"/>
  <c r="AQ134" i="66"/>
  <c r="AP134" i="66"/>
  <c r="AQ133" i="66"/>
  <c r="AP133" i="66"/>
  <c r="AQ132" i="66"/>
  <c r="AP132" i="66"/>
  <c r="AQ131" i="66"/>
  <c r="AP131" i="66"/>
  <c r="AQ130" i="66"/>
  <c r="AP130" i="66"/>
  <c r="AQ129" i="66"/>
  <c r="AP129" i="66"/>
  <c r="AQ128" i="66"/>
  <c r="AP128" i="66"/>
  <c r="AQ127" i="66"/>
  <c r="AP127" i="66"/>
  <c r="AQ126" i="66"/>
  <c r="AP126" i="66"/>
  <c r="AQ125" i="66"/>
  <c r="AP125" i="66"/>
  <c r="AQ124" i="66"/>
  <c r="AP124" i="66"/>
  <c r="AQ123" i="66"/>
  <c r="AP123" i="66"/>
  <c r="AQ122" i="66"/>
  <c r="AP122" i="66"/>
  <c r="AQ121" i="66"/>
  <c r="AP121" i="66"/>
  <c r="AQ120" i="66"/>
  <c r="AP120" i="66"/>
  <c r="AQ119" i="66"/>
  <c r="AP119" i="66"/>
  <c r="AQ118" i="66"/>
  <c r="AP118" i="66"/>
  <c r="AQ117" i="66"/>
  <c r="AP117" i="66"/>
  <c r="AQ116" i="66"/>
  <c r="AP116" i="66"/>
  <c r="AQ115" i="66"/>
  <c r="AP115" i="66"/>
  <c r="AQ114" i="66"/>
  <c r="AP114" i="66"/>
  <c r="AQ113" i="66"/>
  <c r="AP113" i="66"/>
  <c r="AQ112" i="66"/>
  <c r="AP112" i="66"/>
  <c r="AQ111" i="66"/>
  <c r="AP111" i="66"/>
  <c r="AQ110" i="66"/>
  <c r="AP110" i="66"/>
  <c r="AQ109" i="66"/>
  <c r="AP109" i="66"/>
  <c r="AQ108" i="66"/>
  <c r="AP108" i="66"/>
  <c r="AQ107" i="66"/>
  <c r="AP107" i="66"/>
  <c r="AQ106" i="66"/>
  <c r="AP106" i="66"/>
  <c r="AQ105" i="66"/>
  <c r="AP105" i="66"/>
  <c r="AQ104" i="66"/>
  <c r="AP104" i="66"/>
  <c r="AQ103" i="66"/>
  <c r="AP103" i="66"/>
  <c r="AQ102" i="66"/>
  <c r="AP102" i="66"/>
  <c r="AQ101" i="66"/>
  <c r="AP101" i="66"/>
  <c r="AQ100" i="66"/>
  <c r="AP100" i="66"/>
  <c r="AQ99" i="66"/>
  <c r="AP99" i="66"/>
  <c r="AQ98" i="66"/>
  <c r="AP98" i="66"/>
  <c r="AQ97" i="66"/>
  <c r="AP97" i="66"/>
  <c r="AQ96" i="66"/>
  <c r="AP96" i="66"/>
  <c r="AQ95" i="66"/>
  <c r="AP95" i="66"/>
  <c r="AQ94" i="66"/>
  <c r="AP94" i="66"/>
  <c r="AQ93" i="66"/>
  <c r="AP93" i="66"/>
  <c r="AQ92" i="66"/>
  <c r="AP92" i="66"/>
  <c r="AQ91" i="66"/>
  <c r="AP91" i="66"/>
  <c r="AQ90" i="66"/>
  <c r="AP90" i="66"/>
  <c r="AQ89" i="66"/>
  <c r="AP89" i="66"/>
  <c r="AQ88" i="66"/>
  <c r="AP88" i="66"/>
  <c r="AQ87" i="66"/>
  <c r="AP87" i="66"/>
  <c r="AQ86" i="66"/>
  <c r="AP86" i="66"/>
  <c r="AQ85" i="66"/>
  <c r="AP85" i="66"/>
  <c r="AQ84" i="66"/>
  <c r="AP84" i="66"/>
  <c r="AQ83" i="66"/>
  <c r="AP83" i="66"/>
  <c r="AQ82" i="66"/>
  <c r="AP82" i="66"/>
  <c r="AQ81" i="66"/>
  <c r="AP81" i="66"/>
  <c r="AQ80" i="66"/>
  <c r="AP80" i="66"/>
  <c r="AQ79" i="66"/>
  <c r="AP79" i="66"/>
  <c r="AQ78" i="66"/>
  <c r="AP78" i="66"/>
  <c r="AQ77" i="66"/>
  <c r="AP77" i="66"/>
  <c r="AQ76" i="66"/>
  <c r="AP76" i="66"/>
  <c r="AQ75" i="66"/>
  <c r="AP75" i="66"/>
  <c r="AQ74" i="66"/>
  <c r="AP74" i="66"/>
  <c r="AQ73" i="66"/>
  <c r="AP73" i="66"/>
  <c r="AQ72" i="66"/>
  <c r="AP72" i="66"/>
  <c r="AQ71" i="66"/>
  <c r="AP71" i="66"/>
  <c r="AQ70" i="66"/>
  <c r="AP70" i="66"/>
  <c r="AQ69" i="66"/>
  <c r="AP69" i="66"/>
  <c r="AQ68" i="66"/>
  <c r="AP68" i="66"/>
  <c r="AQ67" i="66"/>
  <c r="AP67" i="66"/>
  <c r="AQ66" i="66"/>
  <c r="AP66" i="66"/>
  <c r="AQ65" i="66"/>
  <c r="AP65" i="66"/>
  <c r="AQ64" i="66"/>
  <c r="AP64" i="66"/>
  <c r="AQ63" i="66"/>
  <c r="AP63" i="66"/>
  <c r="AQ62" i="66"/>
  <c r="AP62" i="66"/>
  <c r="AQ61" i="66"/>
  <c r="AP61" i="66"/>
  <c r="AQ60" i="66"/>
  <c r="AP60" i="66"/>
  <c r="AQ59" i="66"/>
  <c r="AP59" i="66"/>
  <c r="AQ58" i="66"/>
  <c r="AP58" i="66"/>
  <c r="AQ57" i="66"/>
  <c r="AP57" i="66"/>
  <c r="AQ56" i="66"/>
  <c r="AP56" i="66"/>
  <c r="AQ55" i="66"/>
  <c r="AP55" i="66"/>
  <c r="AQ54" i="66"/>
  <c r="AP54" i="66"/>
  <c r="AQ53" i="66"/>
  <c r="AP53" i="66"/>
  <c r="AQ52" i="66"/>
  <c r="AP52" i="66"/>
  <c r="AQ51" i="66"/>
  <c r="AP51" i="66"/>
  <c r="AQ50" i="66"/>
  <c r="AP50" i="66"/>
  <c r="AQ49" i="66"/>
  <c r="AP49" i="66"/>
  <c r="AQ48" i="66"/>
  <c r="AP48" i="66"/>
  <c r="AQ47" i="66"/>
  <c r="AP47" i="66"/>
  <c r="AQ46" i="66"/>
  <c r="AP46" i="66"/>
  <c r="AQ45" i="66"/>
  <c r="AP45" i="66"/>
  <c r="AQ44" i="66"/>
  <c r="AP44" i="66"/>
  <c r="AQ43" i="66"/>
  <c r="AP43" i="66"/>
  <c r="AQ42" i="66"/>
  <c r="AP42" i="66"/>
  <c r="AQ41" i="66"/>
  <c r="AP41" i="66"/>
  <c r="AQ40" i="66"/>
  <c r="AP40" i="66"/>
  <c r="AQ39" i="66"/>
  <c r="AP39" i="66"/>
  <c r="AQ38" i="66"/>
  <c r="AP38" i="66"/>
  <c r="AQ37" i="66"/>
  <c r="AP37" i="66"/>
  <c r="AQ36" i="66"/>
  <c r="AP36" i="66"/>
  <c r="AQ35" i="66"/>
  <c r="AP35" i="66"/>
  <c r="AQ34" i="66"/>
  <c r="AP34" i="66"/>
  <c r="AQ33" i="66"/>
  <c r="AP33" i="66"/>
  <c r="AQ32" i="66"/>
  <c r="AP32" i="66"/>
  <c r="AQ31" i="66"/>
  <c r="AP31" i="66"/>
  <c r="AQ30" i="66"/>
  <c r="AP30" i="66"/>
  <c r="AQ29" i="66"/>
  <c r="AP29" i="66"/>
  <c r="AQ28" i="66"/>
  <c r="AP28" i="66"/>
  <c r="AQ27" i="66"/>
  <c r="AP27" i="66"/>
  <c r="AQ26" i="66"/>
  <c r="AP26" i="66"/>
  <c r="AQ25" i="66"/>
  <c r="AP25" i="66"/>
  <c r="AQ24" i="66"/>
  <c r="AP24" i="66"/>
  <c r="AQ23" i="66"/>
  <c r="AP23" i="66"/>
  <c r="AQ22" i="66"/>
  <c r="AP22" i="66"/>
  <c r="AQ21" i="66"/>
  <c r="AP21" i="66"/>
  <c r="AQ20" i="66"/>
  <c r="AP20" i="66"/>
  <c r="AQ19" i="66"/>
  <c r="AP19" i="66"/>
  <c r="AQ18" i="66"/>
  <c r="AP18" i="66"/>
  <c r="AQ17" i="66"/>
  <c r="AP17" i="66"/>
  <c r="AQ16" i="66"/>
  <c r="AP16" i="66"/>
  <c r="AQ15" i="66"/>
  <c r="AP15" i="66"/>
  <c r="AQ14" i="66"/>
  <c r="AP14" i="66"/>
  <c r="AQ13" i="66"/>
  <c r="AP13" i="66"/>
  <c r="AQ12" i="66"/>
  <c r="AP12" i="66"/>
  <c r="AQ11" i="66"/>
  <c r="AP11" i="66"/>
  <c r="AQ10" i="66"/>
  <c r="AP10" i="66"/>
  <c r="AQ9" i="66"/>
  <c r="AP9" i="66"/>
  <c r="AQ8" i="66"/>
  <c r="AP8" i="66"/>
  <c r="AQ7" i="66"/>
  <c r="AP7" i="66"/>
  <c r="AQ6" i="66"/>
  <c r="AP6" i="66"/>
  <c r="AQ5" i="66"/>
  <c r="AP5" i="66"/>
  <c r="AQ4" i="66"/>
  <c r="AP4" i="66"/>
  <c r="AQ3" i="66"/>
  <c r="AP3" i="66"/>
  <c r="AQ64" i="65"/>
  <c r="AP64" i="65"/>
  <c r="AQ63" i="65"/>
  <c r="AP63" i="65"/>
  <c r="AQ62" i="65"/>
  <c r="AP62" i="65"/>
  <c r="AQ61" i="65"/>
  <c r="AP61" i="65"/>
  <c r="AQ60" i="65"/>
  <c r="AP60" i="65"/>
  <c r="AQ59" i="65"/>
  <c r="AP59" i="65"/>
  <c r="AQ58" i="65"/>
  <c r="AP58" i="65"/>
  <c r="AQ57" i="65"/>
  <c r="AP57" i="65"/>
  <c r="AP56" i="65"/>
  <c r="AP55" i="65"/>
  <c r="AQ54" i="65"/>
  <c r="AP54" i="65"/>
  <c r="AQ53" i="65"/>
  <c r="AP53" i="65"/>
  <c r="AQ52" i="65"/>
  <c r="AP52" i="65"/>
  <c r="AQ51" i="65"/>
  <c r="AP51" i="65"/>
  <c r="AQ50" i="65"/>
  <c r="AP50" i="65"/>
  <c r="AT4" i="65" s="1"/>
  <c r="AQ49" i="65"/>
  <c r="AP49" i="65"/>
  <c r="AQ48" i="65"/>
  <c r="AP48" i="65"/>
  <c r="AQ47" i="65"/>
  <c r="AP47" i="65"/>
  <c r="AQ46" i="65"/>
  <c r="AP46" i="65"/>
  <c r="AQ45" i="65"/>
  <c r="AP45" i="65"/>
  <c r="AQ44" i="65"/>
  <c r="AP44" i="65"/>
  <c r="AQ43" i="65"/>
  <c r="AP43" i="65"/>
  <c r="AQ42" i="65"/>
  <c r="AP42" i="65"/>
  <c r="AQ41" i="65"/>
  <c r="AP41" i="65"/>
  <c r="AQ40" i="65"/>
  <c r="AP40" i="65"/>
  <c r="AQ39" i="65"/>
  <c r="AP39" i="65"/>
  <c r="AQ38" i="65"/>
  <c r="AP38" i="65"/>
  <c r="AQ37" i="65"/>
  <c r="AP37" i="65"/>
  <c r="AQ36" i="65"/>
  <c r="AP36" i="65"/>
  <c r="AQ35" i="65"/>
  <c r="AP35" i="65"/>
  <c r="AQ34" i="65"/>
  <c r="AP34" i="65"/>
  <c r="AQ33" i="65"/>
  <c r="AP33" i="65"/>
  <c r="AQ32" i="65"/>
  <c r="AP32" i="65"/>
  <c r="AQ31" i="65"/>
  <c r="AP31" i="65"/>
  <c r="AQ30" i="65"/>
  <c r="AP30" i="65"/>
  <c r="AP29" i="65"/>
  <c r="AP28" i="65"/>
  <c r="AQ27" i="65"/>
  <c r="AP27" i="65"/>
  <c r="AQ26" i="65"/>
  <c r="AP26" i="65"/>
  <c r="AQ25" i="65"/>
  <c r="AP25" i="65"/>
  <c r="AQ24" i="65"/>
  <c r="AP24" i="65"/>
  <c r="AQ23" i="65"/>
  <c r="AP23" i="65"/>
  <c r="AQ22" i="65"/>
  <c r="AP22" i="65"/>
  <c r="AQ21" i="65"/>
  <c r="AP21" i="65"/>
  <c r="AQ20" i="65"/>
  <c r="AP20" i="65"/>
  <c r="AQ19" i="65"/>
  <c r="AP19" i="65"/>
  <c r="AQ18" i="65"/>
  <c r="AP18" i="65"/>
  <c r="AQ17" i="65"/>
  <c r="AP17" i="65"/>
  <c r="AQ16" i="65"/>
  <c r="AP16" i="65"/>
  <c r="AQ15" i="65"/>
  <c r="AP15" i="65"/>
  <c r="AQ14" i="65"/>
  <c r="AP14" i="65"/>
  <c r="AQ13" i="65"/>
  <c r="AP13" i="65"/>
  <c r="AQ12" i="65"/>
  <c r="AP12" i="65"/>
  <c r="AQ11" i="65"/>
  <c r="AP11" i="65"/>
  <c r="AQ10" i="65"/>
  <c r="AP10" i="65"/>
  <c r="AQ9" i="65"/>
  <c r="AP9" i="65"/>
  <c r="AQ8" i="65"/>
  <c r="AP8" i="65"/>
  <c r="AQ7" i="65"/>
  <c r="AP7" i="65"/>
  <c r="AQ6" i="65"/>
  <c r="AP6" i="65"/>
  <c r="AQ5" i="65"/>
  <c r="AP5" i="65"/>
  <c r="AT7" i="65" s="1"/>
  <c r="AQ4" i="65"/>
  <c r="AP4" i="65"/>
  <c r="AQ3" i="65"/>
  <c r="AT3" i="65" s="1"/>
  <c r="AP3" i="65"/>
  <c r="J36" i="13"/>
  <c r="H36" i="13"/>
  <c r="G36" i="13"/>
  <c r="F36" i="13"/>
  <c r="AT7" i="66" l="1"/>
  <c r="G13" i="54" s="1"/>
  <c r="AT4" i="66"/>
  <c r="G10" i="54" s="1"/>
  <c r="AT6" i="66"/>
  <c r="G12" i="54" s="1"/>
  <c r="AW2" i="66"/>
  <c r="AT3" i="66"/>
  <c r="G9" i="54" s="1"/>
  <c r="AT5" i="66"/>
  <c r="G11" i="54" s="1"/>
  <c r="AT5" i="65"/>
  <c r="AW2" i="65"/>
  <c r="AT6" i="65"/>
  <c r="E19" i="22"/>
  <c r="E20" i="22" s="1"/>
  <c r="E21" i="22" s="1"/>
  <c r="E30" i="22" s="1"/>
  <c r="C54" i="16"/>
  <c r="C42" i="16"/>
  <c r="C22" i="16"/>
  <c r="I19" i="16"/>
  <c r="G18" i="16"/>
  <c r="F18" i="16"/>
  <c r="I20" i="16"/>
  <c r="E44" i="22" l="1"/>
  <c r="E45" i="22" s="1"/>
  <c r="AT8" i="66"/>
  <c r="AT8" i="65"/>
  <c r="AV41" i="64"/>
  <c r="AU41" i="64"/>
  <c r="AU34" i="64"/>
  <c r="AV32" i="64"/>
  <c r="AU32" i="64"/>
  <c r="AV23" i="64"/>
  <c r="AV35" i="64" s="1"/>
  <c r="AV37" i="64" s="1"/>
  <c r="AV40" i="64" s="1"/>
  <c r="AV43" i="64" s="1"/>
  <c r="AU23" i="64"/>
  <c r="AU20" i="64"/>
  <c r="AU19" i="64"/>
  <c r="AU16" i="64" s="1"/>
  <c r="AU22" i="64" s="1"/>
  <c r="AU35" i="64" s="1"/>
  <c r="AU37" i="64" s="1"/>
  <c r="AU40" i="64" s="1"/>
  <c r="AU43" i="64" s="1"/>
  <c r="AV18" i="64"/>
  <c r="AU18" i="64"/>
  <c r="AU17" i="64"/>
  <c r="I21" i="22" l="1"/>
  <c r="E13" i="16"/>
  <c r="E14" i="16" s="1"/>
  <c r="E15" i="16" s="1"/>
  <c r="E16" i="16" s="1"/>
  <c r="H16" i="16"/>
  <c r="F19" i="16"/>
  <c r="G19" i="16"/>
  <c r="H13" i="16"/>
  <c r="I14" i="16"/>
  <c r="I22" i="16" s="1"/>
  <c r="H14" i="16"/>
  <c r="H51" i="16" s="1"/>
  <c r="G14" i="16"/>
  <c r="G51" i="16" s="1"/>
  <c r="F14" i="16"/>
  <c r="G12" i="16"/>
  <c r="AX41" i="63"/>
  <c r="AW41" i="63"/>
  <c r="AV41" i="63"/>
  <c r="AU41" i="63"/>
  <c r="AT41" i="63"/>
  <c r="AS41" i="63"/>
  <c r="AX34" i="63"/>
  <c r="AX32" i="63"/>
  <c r="AX23" i="63" s="1"/>
  <c r="AW32" i="63"/>
  <c r="AW23" i="63" s="1"/>
  <c r="AV23" i="63"/>
  <c r="AU23" i="63"/>
  <c r="AT23" i="63"/>
  <c r="AS23" i="63"/>
  <c r="AX20" i="63"/>
  <c r="AW20" i="63"/>
  <c r="AV20" i="63"/>
  <c r="AU20" i="63"/>
  <c r="AT20" i="63"/>
  <c r="AS20" i="63"/>
  <c r="AX18" i="63"/>
  <c r="AW18" i="63"/>
  <c r="AV18" i="63"/>
  <c r="AU18" i="63"/>
  <c r="AT18" i="63"/>
  <c r="AS18" i="63"/>
  <c r="AX17" i="63"/>
  <c r="AX19" i="63" s="1"/>
  <c r="AW17" i="63"/>
  <c r="AW19" i="63" s="1"/>
  <c r="AV17" i="63"/>
  <c r="AV19" i="63" s="1"/>
  <c r="AU17" i="63"/>
  <c r="AU19" i="63" s="1"/>
  <c r="AU16" i="63" s="1"/>
  <c r="AU22" i="63" s="1"/>
  <c r="AU35" i="63" s="1"/>
  <c r="AU37" i="63" s="1"/>
  <c r="AU40" i="63" s="1"/>
  <c r="AU43" i="63" s="1"/>
  <c r="AT17" i="63"/>
  <c r="AT19" i="63" s="1"/>
  <c r="AS17" i="63"/>
  <c r="AS19" i="63" s="1"/>
  <c r="AS16" i="63" s="1"/>
  <c r="AS22" i="63" s="1"/>
  <c r="AS35" i="63" s="1"/>
  <c r="AS37" i="63" s="1"/>
  <c r="AS40" i="63" s="1"/>
  <c r="AS43" i="63" s="1"/>
  <c r="F22" i="16" l="1"/>
  <c r="G22" i="16"/>
  <c r="E17" i="16"/>
  <c r="E18" i="16" s="1"/>
  <c r="E19" i="16" s="1"/>
  <c r="E20" i="16" s="1"/>
  <c r="E21" i="16" s="1"/>
  <c r="E29" i="16" s="1"/>
  <c r="F51" i="16"/>
  <c r="I51" i="16"/>
  <c r="AT16" i="63"/>
  <c r="AT22" i="63" s="1"/>
  <c r="AT35" i="63" s="1"/>
  <c r="AT37" i="63" s="1"/>
  <c r="AT40" i="63" s="1"/>
  <c r="AT43" i="63" s="1"/>
  <c r="AV16" i="63"/>
  <c r="AV22" i="63" s="1"/>
  <c r="AV35" i="63" s="1"/>
  <c r="AV37" i="63" s="1"/>
  <c r="AV40" i="63" s="1"/>
  <c r="AV43" i="63" s="1"/>
  <c r="AX16" i="63"/>
  <c r="AX22" i="63" s="1"/>
  <c r="AX35" i="63" s="1"/>
  <c r="AX37" i="63" s="1"/>
  <c r="AX40" i="63" s="1"/>
  <c r="AX43" i="63" s="1"/>
  <c r="AW16" i="63"/>
  <c r="AW22" i="63" s="1"/>
  <c r="AW35" i="63" s="1"/>
  <c r="AW37" i="63" s="1"/>
  <c r="AW40" i="63" s="1"/>
  <c r="AW43" i="63" s="1"/>
  <c r="J5" i="13" l="1"/>
  <c r="D476" i="45" l="1"/>
  <c r="D474" i="45"/>
  <c r="D475" i="45"/>
  <c r="D473" i="45"/>
  <c r="F3" i="4"/>
  <c r="I44" i="21"/>
  <c r="J63" i="13"/>
  <c r="J57" i="13"/>
  <c r="D472" i="45" l="1"/>
  <c r="I113" i="8"/>
  <c r="I284" i="45"/>
  <c r="I248" i="45"/>
  <c r="I246" i="45"/>
  <c r="I244" i="45"/>
  <c r="I241" i="45"/>
  <c r="I239" i="45"/>
  <c r="I236" i="45"/>
  <c r="I232" i="45"/>
  <c r="I230" i="45"/>
  <c r="I228" i="45"/>
  <c r="I227" i="45"/>
  <c r="I224" i="45"/>
  <c r="I222" i="45"/>
  <c r="I221" i="45"/>
  <c r="I218" i="45"/>
  <c r="I217" i="45"/>
  <c r="I213" i="45"/>
  <c r="I211" i="45"/>
  <c r="I210" i="45"/>
  <c r="I208" i="45"/>
  <c r="I205" i="45"/>
  <c r="I203" i="45"/>
  <c r="I200" i="45"/>
  <c r="I196" i="45"/>
  <c r="I194" i="45"/>
  <c r="I192" i="45"/>
  <c r="I191" i="45"/>
  <c r="I188" i="45"/>
  <c r="I186" i="45"/>
  <c r="I185" i="45"/>
  <c r="I182" i="45"/>
  <c r="I181" i="45"/>
  <c r="I177" i="45"/>
  <c r="I175" i="45"/>
  <c r="I174" i="45"/>
  <c r="I172" i="45"/>
  <c r="I169" i="45"/>
  <c r="I167" i="45"/>
  <c r="I164" i="45"/>
  <c r="I160" i="45"/>
  <c r="I158" i="45"/>
  <c r="I156" i="45"/>
  <c r="I153" i="45"/>
  <c r="I148" i="45"/>
  <c r="I64" i="45"/>
  <c r="AT304" i="45"/>
  <c r="I304" i="45" s="1"/>
  <c r="AS304" i="45"/>
  <c r="AR304" i="45"/>
  <c r="H304" i="45"/>
  <c r="G304" i="45"/>
  <c r="AT262" i="45"/>
  <c r="I262" i="45" s="1"/>
  <c r="AS262" i="45"/>
  <c r="AR262" i="45"/>
  <c r="H262" i="45"/>
  <c r="G262" i="45"/>
  <c r="AS96" i="45"/>
  <c r="AR96" i="45"/>
  <c r="AT96" i="45"/>
  <c r="I96" i="45" s="1"/>
  <c r="H96" i="45"/>
  <c r="G96" i="45"/>
  <c r="AR65" i="45"/>
  <c r="AT328" i="45"/>
  <c r="I328" i="45" s="1"/>
  <c r="AS328" i="45"/>
  <c r="AT327" i="45"/>
  <c r="I327" i="45" s="1"/>
  <c r="AS327" i="45"/>
  <c r="AT326" i="45"/>
  <c r="I326" i="45" s="1"/>
  <c r="AS326" i="45"/>
  <c r="AT325" i="45"/>
  <c r="I325" i="45" s="1"/>
  <c r="AS325" i="45"/>
  <c r="AT324" i="45"/>
  <c r="I324" i="45" s="1"/>
  <c r="AS324" i="45"/>
  <c r="AT323" i="45"/>
  <c r="I323" i="45" s="1"/>
  <c r="AS323" i="45"/>
  <c r="AT322" i="45"/>
  <c r="I322" i="45" s="1"/>
  <c r="AS322" i="45"/>
  <c r="AT321" i="45"/>
  <c r="I321" i="45" s="1"/>
  <c r="AS321" i="45"/>
  <c r="AT320" i="45"/>
  <c r="I320" i="45" s="1"/>
  <c r="AS320" i="45"/>
  <c r="AT319" i="45"/>
  <c r="I319" i="45" s="1"/>
  <c r="AS319" i="45"/>
  <c r="AT318" i="45"/>
  <c r="I318" i="45" s="1"/>
  <c r="AS318" i="45"/>
  <c r="AT317" i="45"/>
  <c r="I317" i="45" s="1"/>
  <c r="AS317" i="45"/>
  <c r="AT316" i="45"/>
  <c r="I316" i="45" s="1"/>
  <c r="AS316" i="45"/>
  <c r="AT315" i="45"/>
  <c r="I315" i="45" s="1"/>
  <c r="AS315" i="45"/>
  <c r="AT314" i="45"/>
  <c r="I314" i="45" s="1"/>
  <c r="AS314" i="45"/>
  <c r="AT313" i="45"/>
  <c r="I313" i="45" s="1"/>
  <c r="AS313" i="45"/>
  <c r="AT312" i="45"/>
  <c r="I312" i="45" s="1"/>
  <c r="AS312" i="45"/>
  <c r="AT311" i="45"/>
  <c r="I311" i="45" s="1"/>
  <c r="AS311" i="45"/>
  <c r="AT310" i="45"/>
  <c r="I310" i="45" s="1"/>
  <c r="AS310" i="45"/>
  <c r="AT309" i="45"/>
  <c r="I309" i="45" s="1"/>
  <c r="AS309" i="45"/>
  <c r="AT308" i="45"/>
  <c r="I308" i="45" s="1"/>
  <c r="AS308" i="45"/>
  <c r="AT307" i="45"/>
  <c r="I307" i="45" s="1"/>
  <c r="AS307" i="45"/>
  <c r="AT306" i="45"/>
  <c r="I306" i="45" s="1"/>
  <c r="AS306" i="45"/>
  <c r="AT305" i="45"/>
  <c r="I305" i="45" s="1"/>
  <c r="AS305" i="45"/>
  <c r="AT303" i="45"/>
  <c r="I303" i="45" s="1"/>
  <c r="AS303" i="45"/>
  <c r="AT302" i="45"/>
  <c r="I302" i="45" s="1"/>
  <c r="AS302" i="45"/>
  <c r="AT301" i="45"/>
  <c r="I301" i="45" s="1"/>
  <c r="AS301" i="45"/>
  <c r="AT300" i="45"/>
  <c r="I300" i="45" s="1"/>
  <c r="AS300" i="45"/>
  <c r="AT299" i="45"/>
  <c r="I299" i="45" s="1"/>
  <c r="AS299" i="45"/>
  <c r="AT298" i="45"/>
  <c r="AS298" i="45"/>
  <c r="AT297" i="45"/>
  <c r="I297" i="45" s="1"/>
  <c r="I476" i="45" s="1"/>
  <c r="AS297" i="45"/>
  <c r="AT296" i="45"/>
  <c r="I296" i="45" s="1"/>
  <c r="I475" i="45" s="1"/>
  <c r="AS296" i="45"/>
  <c r="AT295" i="45"/>
  <c r="I295" i="45" s="1"/>
  <c r="AS295" i="45"/>
  <c r="AT294" i="45"/>
  <c r="I294" i="45" s="1"/>
  <c r="AS294" i="45"/>
  <c r="AT293" i="45"/>
  <c r="I293" i="45" s="1"/>
  <c r="AS293" i="45"/>
  <c r="AT292" i="45"/>
  <c r="I292" i="45" s="1"/>
  <c r="AS292" i="45"/>
  <c r="AT291" i="45"/>
  <c r="I291" i="45" s="1"/>
  <c r="AS291" i="45"/>
  <c r="AT290" i="45"/>
  <c r="I290" i="45" s="1"/>
  <c r="AS290" i="45"/>
  <c r="AT289" i="45"/>
  <c r="I289" i="45" s="1"/>
  <c r="AS289" i="45"/>
  <c r="AT288" i="45"/>
  <c r="I288" i="45" s="1"/>
  <c r="AS288" i="45"/>
  <c r="AT287" i="45"/>
  <c r="I287" i="45" s="1"/>
  <c r="AS287" i="45"/>
  <c r="AT286" i="45"/>
  <c r="I286" i="45" s="1"/>
  <c r="AS286" i="45"/>
  <c r="AT285" i="45"/>
  <c r="I285" i="45" s="1"/>
  <c r="AS285" i="45"/>
  <c r="AT283" i="45"/>
  <c r="I283" i="45" s="1"/>
  <c r="AS283" i="45"/>
  <c r="AT282" i="45"/>
  <c r="I282" i="45" s="1"/>
  <c r="AS282" i="45"/>
  <c r="AT281" i="45"/>
  <c r="I281" i="45" s="1"/>
  <c r="AS281" i="45"/>
  <c r="AT280" i="45"/>
  <c r="I280" i="45" s="1"/>
  <c r="AS280" i="45"/>
  <c r="AT279" i="45"/>
  <c r="I279" i="45" s="1"/>
  <c r="AS279" i="45"/>
  <c r="AT278" i="45"/>
  <c r="I278" i="45" s="1"/>
  <c r="AS278" i="45"/>
  <c r="AT277" i="45"/>
  <c r="I277" i="45" s="1"/>
  <c r="AS277" i="45"/>
  <c r="AT276" i="45"/>
  <c r="I276" i="45" s="1"/>
  <c r="AS276" i="45"/>
  <c r="AT275" i="45"/>
  <c r="I275" i="45" s="1"/>
  <c r="AS275" i="45"/>
  <c r="AT274" i="45"/>
  <c r="I274" i="45" s="1"/>
  <c r="AS274" i="45"/>
  <c r="AT273" i="45"/>
  <c r="I273" i="45" s="1"/>
  <c r="AS273" i="45"/>
  <c r="AT272" i="45"/>
  <c r="I272" i="45" s="1"/>
  <c r="AS272" i="45"/>
  <c r="AT271" i="45"/>
  <c r="I271" i="45" s="1"/>
  <c r="AS271" i="45"/>
  <c r="AT270" i="45"/>
  <c r="I270" i="45" s="1"/>
  <c r="AS270" i="45"/>
  <c r="AT269" i="45"/>
  <c r="I269" i="45" s="1"/>
  <c r="AS269" i="45"/>
  <c r="AT268" i="45"/>
  <c r="I268" i="45" s="1"/>
  <c r="AS268" i="45"/>
  <c r="AT267" i="45"/>
  <c r="I267" i="45" s="1"/>
  <c r="AS267" i="45"/>
  <c r="AT266" i="45"/>
  <c r="I266" i="45" s="1"/>
  <c r="AS266" i="45"/>
  <c r="AT265" i="45"/>
  <c r="I265" i="45" s="1"/>
  <c r="AS265" i="45"/>
  <c r="AT264" i="45"/>
  <c r="I264" i="45" s="1"/>
  <c r="AS264" i="45"/>
  <c r="AT263" i="45"/>
  <c r="I263" i="45" s="1"/>
  <c r="AS263" i="45"/>
  <c r="AT261" i="45"/>
  <c r="I261" i="45" s="1"/>
  <c r="AS261" i="45"/>
  <c r="AT260" i="45"/>
  <c r="I260" i="45" s="1"/>
  <c r="AS260" i="45"/>
  <c r="AT259" i="45"/>
  <c r="I259" i="45" s="1"/>
  <c r="AS259" i="45"/>
  <c r="AT258" i="45"/>
  <c r="I258" i="45" s="1"/>
  <c r="AS258" i="45"/>
  <c r="AT257" i="45"/>
  <c r="I257" i="45" s="1"/>
  <c r="AS257" i="45"/>
  <c r="AT256" i="45"/>
  <c r="I256" i="45" s="1"/>
  <c r="AS256" i="45"/>
  <c r="AT255" i="45"/>
  <c r="I255" i="45" s="1"/>
  <c r="AS255" i="45"/>
  <c r="AT254" i="45"/>
  <c r="I254" i="45" s="1"/>
  <c r="AS254" i="45"/>
  <c r="AT253" i="45"/>
  <c r="I253" i="45" s="1"/>
  <c r="AS253" i="45"/>
  <c r="AT252" i="45"/>
  <c r="I252" i="45" s="1"/>
  <c r="AS252" i="45"/>
  <c r="AT251" i="45"/>
  <c r="I251" i="45" s="1"/>
  <c r="AS251" i="45"/>
  <c r="AT250" i="45"/>
  <c r="I250" i="45" s="1"/>
  <c r="AS250" i="45"/>
  <c r="AT249" i="45"/>
  <c r="I249" i="45" s="1"/>
  <c r="AS249" i="45"/>
  <c r="AT247" i="45"/>
  <c r="I247" i="45" s="1"/>
  <c r="AS247" i="45"/>
  <c r="AT245" i="45"/>
  <c r="I245" i="45" s="1"/>
  <c r="AS245" i="45"/>
  <c r="AT243" i="45"/>
  <c r="I243" i="45" s="1"/>
  <c r="AS243" i="45"/>
  <c r="AT242" i="45"/>
  <c r="I242" i="45" s="1"/>
  <c r="AS242" i="45"/>
  <c r="AT240" i="45"/>
  <c r="I240" i="45" s="1"/>
  <c r="AS240" i="45"/>
  <c r="AT238" i="45"/>
  <c r="I238" i="45" s="1"/>
  <c r="AS238" i="45"/>
  <c r="AT237" i="45"/>
  <c r="I237" i="45" s="1"/>
  <c r="AS237" i="45"/>
  <c r="AT235" i="45"/>
  <c r="I235" i="45" s="1"/>
  <c r="AS235" i="45"/>
  <c r="AT234" i="45"/>
  <c r="I234" i="45" s="1"/>
  <c r="AS234" i="45"/>
  <c r="AT233" i="45"/>
  <c r="I233" i="45" s="1"/>
  <c r="AS233" i="45"/>
  <c r="AT231" i="45"/>
  <c r="I231" i="45" s="1"/>
  <c r="AS231" i="45"/>
  <c r="AT229" i="45"/>
  <c r="I229" i="45" s="1"/>
  <c r="AS229" i="45"/>
  <c r="AT226" i="45"/>
  <c r="I226" i="45" s="1"/>
  <c r="AS226" i="45"/>
  <c r="AT225" i="45"/>
  <c r="I225" i="45" s="1"/>
  <c r="AS225" i="45"/>
  <c r="AT223" i="45"/>
  <c r="I223" i="45" s="1"/>
  <c r="AS223" i="45"/>
  <c r="AT220" i="45"/>
  <c r="I220" i="45" s="1"/>
  <c r="AS220" i="45"/>
  <c r="AT219" i="45"/>
  <c r="I219" i="45" s="1"/>
  <c r="AS219" i="45"/>
  <c r="AT216" i="45"/>
  <c r="I216" i="45" s="1"/>
  <c r="AS216" i="45"/>
  <c r="AT215" i="45"/>
  <c r="I215" i="45" s="1"/>
  <c r="AS215" i="45"/>
  <c r="AT214" i="45"/>
  <c r="I214" i="45" s="1"/>
  <c r="AS214" i="45"/>
  <c r="AT212" i="45"/>
  <c r="I212" i="45" s="1"/>
  <c r="AS212" i="45"/>
  <c r="AT209" i="45"/>
  <c r="I209" i="45" s="1"/>
  <c r="AS209" i="45"/>
  <c r="AT207" i="45"/>
  <c r="I207" i="45" s="1"/>
  <c r="AS207" i="45"/>
  <c r="AT206" i="45"/>
  <c r="I206" i="45" s="1"/>
  <c r="AS206" i="45"/>
  <c r="AT204" i="45"/>
  <c r="I204" i="45" s="1"/>
  <c r="AS204" i="45"/>
  <c r="AT202" i="45"/>
  <c r="I202" i="45" s="1"/>
  <c r="AS202" i="45"/>
  <c r="AT201" i="45"/>
  <c r="I201" i="45" s="1"/>
  <c r="AS201" i="45"/>
  <c r="AT199" i="45"/>
  <c r="I199" i="45" s="1"/>
  <c r="AS199" i="45"/>
  <c r="AT198" i="45"/>
  <c r="I198" i="45" s="1"/>
  <c r="AS198" i="45"/>
  <c r="AT197" i="45"/>
  <c r="I197" i="45" s="1"/>
  <c r="AS197" i="45"/>
  <c r="AT195" i="45"/>
  <c r="I195" i="45" s="1"/>
  <c r="AS195" i="45"/>
  <c r="AT193" i="45"/>
  <c r="I193" i="45" s="1"/>
  <c r="AS193" i="45"/>
  <c r="AT190" i="45"/>
  <c r="I190" i="45" s="1"/>
  <c r="AS190" i="45"/>
  <c r="AT189" i="45"/>
  <c r="I189" i="45" s="1"/>
  <c r="AS189" i="45"/>
  <c r="AT187" i="45"/>
  <c r="I187" i="45" s="1"/>
  <c r="AS187" i="45"/>
  <c r="AT184" i="45"/>
  <c r="I184" i="45" s="1"/>
  <c r="AS184" i="45"/>
  <c r="AT183" i="45"/>
  <c r="I183" i="45" s="1"/>
  <c r="AS183" i="45"/>
  <c r="AT180" i="45"/>
  <c r="I180" i="45" s="1"/>
  <c r="AS180" i="45"/>
  <c r="AT179" i="45"/>
  <c r="I179" i="45" s="1"/>
  <c r="AS179" i="45"/>
  <c r="AT178" i="45"/>
  <c r="I178" i="45" s="1"/>
  <c r="AS178" i="45"/>
  <c r="AT176" i="45"/>
  <c r="I176" i="45" s="1"/>
  <c r="AS176" i="45"/>
  <c r="AT173" i="45"/>
  <c r="I173" i="45" s="1"/>
  <c r="AS173" i="45"/>
  <c r="AT171" i="45"/>
  <c r="I171" i="45" s="1"/>
  <c r="AS171" i="45"/>
  <c r="AT170" i="45"/>
  <c r="I170" i="45" s="1"/>
  <c r="AS170" i="45"/>
  <c r="AT168" i="45"/>
  <c r="I168" i="45" s="1"/>
  <c r="AS168" i="45"/>
  <c r="AT166" i="45"/>
  <c r="I166" i="45" s="1"/>
  <c r="AS166" i="45"/>
  <c r="AT165" i="45"/>
  <c r="I165" i="45" s="1"/>
  <c r="AS165" i="45"/>
  <c r="AT163" i="45"/>
  <c r="I163" i="45" s="1"/>
  <c r="AS163" i="45"/>
  <c r="AT162" i="45"/>
  <c r="I162" i="45" s="1"/>
  <c r="AS162" i="45"/>
  <c r="AT161" i="45"/>
  <c r="I161" i="45" s="1"/>
  <c r="AS161" i="45"/>
  <c r="AT159" i="45"/>
  <c r="I159" i="45" s="1"/>
  <c r="AS159" i="45"/>
  <c r="AT157" i="45"/>
  <c r="I157" i="45" s="1"/>
  <c r="AS157" i="45"/>
  <c r="AT155" i="45"/>
  <c r="I155" i="45" s="1"/>
  <c r="AS155" i="45"/>
  <c r="AT154" i="45"/>
  <c r="I154" i="45" s="1"/>
  <c r="AS154" i="45"/>
  <c r="AT152" i="45"/>
  <c r="I152" i="45" s="1"/>
  <c r="AS152" i="45"/>
  <c r="AT151" i="45"/>
  <c r="I151" i="45" s="1"/>
  <c r="AS151" i="45"/>
  <c r="AT150" i="45"/>
  <c r="I150" i="45" s="1"/>
  <c r="AS150" i="45"/>
  <c r="AT149" i="45"/>
  <c r="I149" i="45" s="1"/>
  <c r="AS149" i="45"/>
  <c r="AT147" i="45"/>
  <c r="I147" i="45" s="1"/>
  <c r="AS147" i="45"/>
  <c r="AT146" i="45"/>
  <c r="I146" i="45" s="1"/>
  <c r="AS146" i="45"/>
  <c r="AT145" i="45"/>
  <c r="I145" i="45" s="1"/>
  <c r="AS145" i="45"/>
  <c r="AT144" i="45"/>
  <c r="I144" i="45" s="1"/>
  <c r="AS144" i="45"/>
  <c r="AT143" i="45"/>
  <c r="I143" i="45" s="1"/>
  <c r="AS143" i="45"/>
  <c r="AT142" i="45"/>
  <c r="I142" i="45" s="1"/>
  <c r="AS142" i="45"/>
  <c r="AT141" i="45"/>
  <c r="I141" i="45" s="1"/>
  <c r="AS141" i="45"/>
  <c r="AT140" i="45"/>
  <c r="I140" i="45" s="1"/>
  <c r="AS140" i="45"/>
  <c r="AT139" i="45"/>
  <c r="I139" i="45" s="1"/>
  <c r="AS139" i="45"/>
  <c r="AT138" i="45"/>
  <c r="I138" i="45" s="1"/>
  <c r="AS138" i="45"/>
  <c r="AT137" i="45"/>
  <c r="I137" i="45" s="1"/>
  <c r="AS137" i="45"/>
  <c r="AT136" i="45"/>
  <c r="I136" i="45" s="1"/>
  <c r="AS136" i="45"/>
  <c r="AT135" i="45"/>
  <c r="I135" i="45" s="1"/>
  <c r="AS135" i="45"/>
  <c r="AT134" i="45"/>
  <c r="I134" i="45" s="1"/>
  <c r="AS134" i="45"/>
  <c r="AT133" i="45"/>
  <c r="I133" i="45" s="1"/>
  <c r="AS133" i="45"/>
  <c r="AT132" i="45"/>
  <c r="I132" i="45" s="1"/>
  <c r="AS132" i="45"/>
  <c r="AT131" i="45"/>
  <c r="I131" i="45" s="1"/>
  <c r="AS131" i="45"/>
  <c r="AT130" i="45"/>
  <c r="I130" i="45" s="1"/>
  <c r="AS130" i="45"/>
  <c r="AT129" i="45"/>
  <c r="I129" i="45" s="1"/>
  <c r="AS129" i="45"/>
  <c r="AT128" i="45"/>
  <c r="I128" i="45" s="1"/>
  <c r="AS128" i="45"/>
  <c r="AT127" i="45"/>
  <c r="I127" i="45" s="1"/>
  <c r="AS127" i="45"/>
  <c r="AT126" i="45"/>
  <c r="I126" i="45" s="1"/>
  <c r="AS126" i="45"/>
  <c r="AT125" i="45"/>
  <c r="I125" i="45" s="1"/>
  <c r="AS125" i="45"/>
  <c r="AT124" i="45"/>
  <c r="I124" i="45" s="1"/>
  <c r="AS124" i="45"/>
  <c r="AT123" i="45"/>
  <c r="I123" i="45" s="1"/>
  <c r="AS123" i="45"/>
  <c r="AT122" i="45"/>
  <c r="I122" i="45" s="1"/>
  <c r="AS122" i="45"/>
  <c r="AT121" i="45"/>
  <c r="I121" i="45" s="1"/>
  <c r="AS121" i="45"/>
  <c r="AT120" i="45"/>
  <c r="I120" i="45" s="1"/>
  <c r="AS120" i="45"/>
  <c r="AT119" i="45"/>
  <c r="I119" i="45" s="1"/>
  <c r="AS119" i="45"/>
  <c r="AT118" i="45"/>
  <c r="I118" i="45" s="1"/>
  <c r="AS118" i="45"/>
  <c r="AT117" i="45"/>
  <c r="I117" i="45" s="1"/>
  <c r="AS117" i="45"/>
  <c r="AT116" i="45"/>
  <c r="I116" i="45" s="1"/>
  <c r="AS116" i="45"/>
  <c r="AT115" i="45"/>
  <c r="I115" i="45" s="1"/>
  <c r="I474" i="45" s="1"/>
  <c r="AS115" i="45"/>
  <c r="AT114" i="45"/>
  <c r="I114" i="45" s="1"/>
  <c r="I473" i="45" s="1"/>
  <c r="AS114" i="45"/>
  <c r="AT113" i="45"/>
  <c r="I113" i="45" s="1"/>
  <c r="AS113" i="45"/>
  <c r="AT112" i="45"/>
  <c r="I112" i="45" s="1"/>
  <c r="AS112" i="45"/>
  <c r="AT111" i="45"/>
  <c r="I111" i="45" s="1"/>
  <c r="AS111" i="45"/>
  <c r="AT110" i="45"/>
  <c r="I110" i="45" s="1"/>
  <c r="AS110" i="45"/>
  <c r="AT109" i="45"/>
  <c r="I109" i="45" s="1"/>
  <c r="AS109" i="45"/>
  <c r="AT108" i="45"/>
  <c r="I108" i="45" s="1"/>
  <c r="AS108" i="45"/>
  <c r="AT107" i="45"/>
  <c r="I107" i="45" s="1"/>
  <c r="AS107" i="45"/>
  <c r="AT106" i="45"/>
  <c r="I106" i="45" s="1"/>
  <c r="AS106" i="45"/>
  <c r="AT105" i="45"/>
  <c r="I105" i="45" s="1"/>
  <c r="AS105" i="45"/>
  <c r="AT104" i="45"/>
  <c r="I104" i="45" s="1"/>
  <c r="AS104" i="45"/>
  <c r="AT103" i="45"/>
  <c r="I103" i="45" s="1"/>
  <c r="AS103" i="45"/>
  <c r="AT102" i="45"/>
  <c r="I102" i="45" s="1"/>
  <c r="AS102" i="45"/>
  <c r="AT101" i="45"/>
  <c r="I101" i="45" s="1"/>
  <c r="AS101" i="45"/>
  <c r="AT100" i="45"/>
  <c r="I100" i="45" s="1"/>
  <c r="AS100" i="45"/>
  <c r="AT99" i="45"/>
  <c r="I99" i="45" s="1"/>
  <c r="AS99" i="45"/>
  <c r="AT98" i="45"/>
  <c r="I98" i="45" s="1"/>
  <c r="AS98" i="45"/>
  <c r="AT97" i="45"/>
  <c r="I97" i="45" s="1"/>
  <c r="AS97" i="45"/>
  <c r="AT95" i="45"/>
  <c r="I95" i="45" s="1"/>
  <c r="AS95" i="45"/>
  <c r="AT94" i="45"/>
  <c r="I94" i="45" s="1"/>
  <c r="AS94" i="45"/>
  <c r="AT93" i="45"/>
  <c r="I93" i="45" s="1"/>
  <c r="AS93" i="45"/>
  <c r="AT92" i="45"/>
  <c r="I92" i="45" s="1"/>
  <c r="AS92" i="45"/>
  <c r="AT91" i="45"/>
  <c r="I91" i="45" s="1"/>
  <c r="AS91" i="45"/>
  <c r="AT90" i="45"/>
  <c r="I90" i="45" s="1"/>
  <c r="AS90" i="45"/>
  <c r="AT89" i="45"/>
  <c r="I89" i="45" s="1"/>
  <c r="AS89" i="45"/>
  <c r="AT88" i="45"/>
  <c r="I88" i="45" s="1"/>
  <c r="AS88" i="45"/>
  <c r="AT87" i="45"/>
  <c r="I87" i="45" s="1"/>
  <c r="AS87" i="45"/>
  <c r="AT86" i="45"/>
  <c r="I86" i="45" s="1"/>
  <c r="AS86" i="45"/>
  <c r="AT85" i="45"/>
  <c r="I85" i="45" s="1"/>
  <c r="AS85" i="45"/>
  <c r="AT84" i="45"/>
  <c r="I84" i="45" s="1"/>
  <c r="AS84" i="45"/>
  <c r="AT83" i="45"/>
  <c r="I83" i="45" s="1"/>
  <c r="AS83" i="45"/>
  <c r="AT82" i="45"/>
  <c r="I82" i="45" s="1"/>
  <c r="AS82" i="45"/>
  <c r="AT81" i="45"/>
  <c r="I81" i="45" s="1"/>
  <c r="AS81" i="45"/>
  <c r="AT80" i="45"/>
  <c r="I80" i="45" s="1"/>
  <c r="AS80" i="45"/>
  <c r="AT79" i="45"/>
  <c r="I79" i="45" s="1"/>
  <c r="AS79" i="45"/>
  <c r="AT78" i="45"/>
  <c r="I78" i="45" s="1"/>
  <c r="AS78" i="45"/>
  <c r="AT77" i="45"/>
  <c r="I77" i="45" s="1"/>
  <c r="AS77" i="45"/>
  <c r="AT76" i="45"/>
  <c r="I76" i="45" s="1"/>
  <c r="AS76" i="45"/>
  <c r="AT75" i="45"/>
  <c r="I75" i="45" s="1"/>
  <c r="AS75" i="45"/>
  <c r="AT74" i="45"/>
  <c r="I74" i="45" s="1"/>
  <c r="AS74" i="45"/>
  <c r="AT73" i="45"/>
  <c r="I73" i="45" s="1"/>
  <c r="AS73" i="45"/>
  <c r="AT72" i="45"/>
  <c r="I72" i="45" s="1"/>
  <c r="AS72" i="45"/>
  <c r="AT71" i="45"/>
  <c r="I71" i="45" s="1"/>
  <c r="AS71" i="45"/>
  <c r="AT70" i="45"/>
  <c r="I70" i="45" s="1"/>
  <c r="AS70" i="45"/>
  <c r="AT69" i="45"/>
  <c r="I69" i="45" s="1"/>
  <c r="AS69" i="45"/>
  <c r="AT68" i="45"/>
  <c r="I68" i="45" s="1"/>
  <c r="AS68" i="45"/>
  <c r="AT67" i="45"/>
  <c r="I67" i="45" s="1"/>
  <c r="AS67" i="45"/>
  <c r="AT66" i="45"/>
  <c r="I66" i="45" s="1"/>
  <c r="AS66" i="45"/>
  <c r="AT65" i="45"/>
  <c r="I65" i="45" s="1"/>
  <c r="AS65" i="45"/>
  <c r="AT63" i="45"/>
  <c r="I63" i="45" s="1"/>
  <c r="AS63" i="45"/>
  <c r="AT62" i="45"/>
  <c r="I62" i="45" s="1"/>
  <c r="AS62" i="45"/>
  <c r="AT61" i="45"/>
  <c r="I61" i="45" s="1"/>
  <c r="AS61" i="45"/>
  <c r="AT60" i="45"/>
  <c r="I60" i="45" s="1"/>
  <c r="AS60" i="45"/>
  <c r="AT59" i="45"/>
  <c r="I59" i="45" s="1"/>
  <c r="AS59" i="45"/>
  <c r="AT58" i="45"/>
  <c r="I58" i="45" s="1"/>
  <c r="AS58" i="45"/>
  <c r="AT57" i="45"/>
  <c r="I57" i="45" s="1"/>
  <c r="AS57" i="45"/>
  <c r="AT56" i="45"/>
  <c r="I56" i="45" s="1"/>
  <c r="AS56" i="45"/>
  <c r="AT55" i="45"/>
  <c r="I55" i="45" s="1"/>
  <c r="AS55" i="45"/>
  <c r="AT54" i="45"/>
  <c r="I54" i="45" s="1"/>
  <c r="AS54" i="45"/>
  <c r="AT53" i="45"/>
  <c r="I53" i="45" s="1"/>
  <c r="AS53" i="45"/>
  <c r="AT52" i="45"/>
  <c r="I52" i="45" s="1"/>
  <c r="AS52" i="45"/>
  <c r="AT51" i="45"/>
  <c r="AS51" i="45"/>
  <c r="AT50" i="45"/>
  <c r="I50" i="45" s="1"/>
  <c r="AS50" i="45"/>
  <c r="AT49" i="45"/>
  <c r="AS49" i="45"/>
  <c r="AT48" i="45"/>
  <c r="I48" i="45" s="1"/>
  <c r="AS48" i="45"/>
  <c r="AT47" i="45"/>
  <c r="I47" i="45" s="1"/>
  <c r="AS47" i="45"/>
  <c r="AT46" i="45"/>
  <c r="I46" i="45" s="1"/>
  <c r="AS46" i="45"/>
  <c r="AT45" i="45"/>
  <c r="I45" i="45" s="1"/>
  <c r="AS45" i="45"/>
  <c r="AT44" i="45"/>
  <c r="I44" i="45" s="1"/>
  <c r="AS44" i="45"/>
  <c r="AT43" i="45"/>
  <c r="AS43" i="45"/>
  <c r="AT42" i="45"/>
  <c r="I42" i="45" s="1"/>
  <c r="AS42" i="45"/>
  <c r="AT41" i="45"/>
  <c r="I41" i="45" s="1"/>
  <c r="AS41" i="45"/>
  <c r="AT40" i="45"/>
  <c r="I40" i="45" s="1"/>
  <c r="AS40" i="45"/>
  <c r="AT39" i="45"/>
  <c r="I39" i="45" s="1"/>
  <c r="AS39" i="45"/>
  <c r="AT38" i="45"/>
  <c r="I38" i="45" s="1"/>
  <c r="AS38" i="45"/>
  <c r="AT37" i="45"/>
  <c r="I37" i="45" s="1"/>
  <c r="AS37" i="45"/>
  <c r="AT36" i="45"/>
  <c r="I36" i="45" s="1"/>
  <c r="AS36" i="45"/>
  <c r="AT35" i="45"/>
  <c r="AS35" i="45"/>
  <c r="AT34" i="45"/>
  <c r="I34" i="45" s="1"/>
  <c r="AS34" i="45"/>
  <c r="AT33" i="45"/>
  <c r="I33" i="45" s="1"/>
  <c r="AS33" i="45"/>
  <c r="AT32" i="45"/>
  <c r="AS32" i="45"/>
  <c r="AT31" i="45"/>
  <c r="AS31" i="45"/>
  <c r="AT30" i="45"/>
  <c r="I30" i="45" s="1"/>
  <c r="AS30" i="45"/>
  <c r="AT29" i="45"/>
  <c r="I29" i="45" s="1"/>
  <c r="AS29" i="45"/>
  <c r="AT28" i="45"/>
  <c r="I28" i="45" s="1"/>
  <c r="AS28" i="45"/>
  <c r="AT27" i="45"/>
  <c r="I27" i="45" s="1"/>
  <c r="AS27" i="45"/>
  <c r="AT26" i="45"/>
  <c r="AS26" i="45"/>
  <c r="AT25" i="45"/>
  <c r="I25" i="45" s="1"/>
  <c r="AS25" i="45"/>
  <c r="AT24" i="45"/>
  <c r="AS24" i="45"/>
  <c r="AT23" i="45"/>
  <c r="AS23" i="45"/>
  <c r="AT22" i="45"/>
  <c r="I22" i="45" s="1"/>
  <c r="AS22" i="45"/>
  <c r="AT21" i="45"/>
  <c r="I21" i="45" s="1"/>
  <c r="AS21" i="45"/>
  <c r="AT20" i="45"/>
  <c r="I20" i="45" s="1"/>
  <c r="AS20" i="45"/>
  <c r="AT19" i="45"/>
  <c r="AS19" i="45"/>
  <c r="AT18" i="45"/>
  <c r="I18" i="45" s="1"/>
  <c r="AS18" i="45"/>
  <c r="AT17" i="45"/>
  <c r="AS17" i="45"/>
  <c r="AT16" i="45"/>
  <c r="I16" i="45" s="1"/>
  <c r="AS16" i="45"/>
  <c r="AT15" i="45"/>
  <c r="AS15" i="45"/>
  <c r="AT14" i="45"/>
  <c r="AS14" i="45"/>
  <c r="AT13" i="45"/>
  <c r="I13" i="45" s="1"/>
  <c r="AS13" i="45"/>
  <c r="AT12" i="45"/>
  <c r="I12" i="45" s="1"/>
  <c r="AS12" i="45"/>
  <c r="AT11" i="45"/>
  <c r="AS11" i="45"/>
  <c r="AT10" i="45"/>
  <c r="I10" i="45" s="1"/>
  <c r="AS10" i="45"/>
  <c r="AT9" i="45"/>
  <c r="AS9" i="45"/>
  <c r="AT8" i="45"/>
  <c r="I8" i="45" s="1"/>
  <c r="AS8" i="45"/>
  <c r="AT7" i="45"/>
  <c r="I7" i="45" s="1"/>
  <c r="AS7" i="45"/>
  <c r="AT6" i="45"/>
  <c r="I6" i="45" s="1"/>
  <c r="AS6" i="45"/>
  <c r="AT5" i="45"/>
  <c r="I5" i="45" s="1"/>
  <c r="AS5" i="45"/>
  <c r="AT4" i="45"/>
  <c r="AS4" i="45"/>
  <c r="AT3" i="45"/>
  <c r="I3" i="45" s="1"/>
  <c r="AS3" i="45"/>
  <c r="AT2" i="45"/>
  <c r="AS2" i="45"/>
  <c r="N4" i="61"/>
  <c r="N5" i="61"/>
  <c r="N6" i="61"/>
  <c r="N7" i="61"/>
  <c r="N8" i="61"/>
  <c r="N9" i="61"/>
  <c r="N10" i="61"/>
  <c r="N11" i="61"/>
  <c r="N12" i="61"/>
  <c r="N13" i="61"/>
  <c r="N14" i="61"/>
  <c r="N15" i="61"/>
  <c r="N16" i="61"/>
  <c r="N17" i="61"/>
  <c r="N18" i="61"/>
  <c r="N19" i="61"/>
  <c r="N20" i="61"/>
  <c r="N21" i="61"/>
  <c r="N22" i="61"/>
  <c r="N23" i="61"/>
  <c r="N24" i="61"/>
  <c r="N25" i="61"/>
  <c r="N26" i="61"/>
  <c r="N27" i="61"/>
  <c r="N28" i="61"/>
  <c r="N29" i="61"/>
  <c r="N30" i="61"/>
  <c r="N31" i="61"/>
  <c r="N32" i="61"/>
  <c r="N33" i="61"/>
  <c r="N34" i="61"/>
  <c r="N35" i="61"/>
  <c r="N36" i="61"/>
  <c r="N37" i="61"/>
  <c r="N38" i="61"/>
  <c r="N39" i="61"/>
  <c r="N40" i="61"/>
  <c r="N41" i="61"/>
  <c r="N42" i="61"/>
  <c r="N43" i="61"/>
  <c r="N44" i="61"/>
  <c r="N45" i="61"/>
  <c r="N46" i="61"/>
  <c r="N47" i="61"/>
  <c r="N48" i="61"/>
  <c r="N49" i="61"/>
  <c r="N50" i="61"/>
  <c r="N51" i="61"/>
  <c r="N52" i="61"/>
  <c r="N53" i="61"/>
  <c r="N54" i="61"/>
  <c r="N55" i="61"/>
  <c r="N56" i="61"/>
  <c r="N57" i="61"/>
  <c r="N58" i="61"/>
  <c r="N59" i="61"/>
  <c r="N60" i="61"/>
  <c r="N61" i="61"/>
  <c r="N62" i="61"/>
  <c r="N63" i="61"/>
  <c r="N64" i="61"/>
  <c r="N65" i="61"/>
  <c r="N66" i="61"/>
  <c r="N67" i="61"/>
  <c r="N68" i="61"/>
  <c r="N69" i="61"/>
  <c r="N70" i="61"/>
  <c r="N71" i="61"/>
  <c r="N72" i="61"/>
  <c r="N73" i="61"/>
  <c r="N74" i="61"/>
  <c r="N75" i="61"/>
  <c r="N76" i="61"/>
  <c r="N77" i="61"/>
  <c r="N78" i="61"/>
  <c r="N79" i="61"/>
  <c r="N80" i="61"/>
  <c r="N81" i="61"/>
  <c r="N82" i="61"/>
  <c r="N83" i="61"/>
  <c r="N84" i="61"/>
  <c r="N85" i="61"/>
  <c r="N86" i="61"/>
  <c r="N87" i="61"/>
  <c r="N88" i="61"/>
  <c r="N89" i="61"/>
  <c r="N90" i="61"/>
  <c r="N91" i="61"/>
  <c r="N92" i="61"/>
  <c r="N93" i="61"/>
  <c r="N94" i="61"/>
  <c r="N95" i="61"/>
  <c r="N96" i="61"/>
  <c r="N97" i="61"/>
  <c r="N98" i="61"/>
  <c r="N99" i="61"/>
  <c r="N100" i="61"/>
  <c r="N101" i="61"/>
  <c r="N102" i="61"/>
  <c r="N103" i="61"/>
  <c r="N104" i="61"/>
  <c r="N105" i="61"/>
  <c r="N106" i="61"/>
  <c r="N107" i="61"/>
  <c r="N108" i="61"/>
  <c r="N109" i="61"/>
  <c r="N110" i="61"/>
  <c r="N111" i="61"/>
  <c r="N112" i="61"/>
  <c r="N113" i="61"/>
  <c r="N114" i="61"/>
  <c r="N115" i="61"/>
  <c r="N116" i="61"/>
  <c r="N117" i="61"/>
  <c r="N118" i="61"/>
  <c r="N119" i="61"/>
  <c r="N120" i="61"/>
  <c r="N121" i="61"/>
  <c r="N122" i="61"/>
  <c r="N123" i="61"/>
  <c r="N124" i="61"/>
  <c r="N125" i="61"/>
  <c r="N126" i="61"/>
  <c r="N127" i="61"/>
  <c r="N128" i="61"/>
  <c r="N129" i="61"/>
  <c r="N130" i="61"/>
  <c r="N131" i="61"/>
  <c r="N132" i="61"/>
  <c r="N133" i="61"/>
  <c r="N134" i="61"/>
  <c r="N135" i="61"/>
  <c r="N136" i="61"/>
  <c r="N137" i="61"/>
  <c r="N138" i="61"/>
  <c r="N139" i="61"/>
  <c r="N140" i="61"/>
  <c r="N141" i="61"/>
  <c r="N142" i="61"/>
  <c r="N143" i="61"/>
  <c r="N144" i="61"/>
  <c r="N145" i="61"/>
  <c r="N146" i="61"/>
  <c r="N147" i="61"/>
  <c r="N148" i="61"/>
  <c r="N149" i="61"/>
  <c r="N150" i="61"/>
  <c r="N151" i="61"/>
  <c r="N152" i="61"/>
  <c r="N153" i="61"/>
  <c r="N154" i="61"/>
  <c r="N155" i="61"/>
  <c r="N156" i="61"/>
  <c r="N157" i="61"/>
  <c r="N158" i="61"/>
  <c r="N159" i="61"/>
  <c r="N160" i="61"/>
  <c r="N161" i="61"/>
  <c r="N162" i="61"/>
  <c r="N163" i="61"/>
  <c r="N164" i="61"/>
  <c r="N165" i="61"/>
  <c r="N166" i="61"/>
  <c r="N167" i="61"/>
  <c r="N168" i="61"/>
  <c r="N169" i="61"/>
  <c r="N170" i="61"/>
  <c r="N171" i="61"/>
  <c r="N172" i="61"/>
  <c r="N173" i="61"/>
  <c r="N174" i="61"/>
  <c r="N175" i="61"/>
  <c r="N176" i="61"/>
  <c r="N177" i="61"/>
  <c r="N178" i="61"/>
  <c r="N179" i="61"/>
  <c r="N180" i="61"/>
  <c r="N181" i="61"/>
  <c r="N182" i="61"/>
  <c r="N183" i="61"/>
  <c r="N184" i="61"/>
  <c r="N185" i="61"/>
  <c r="N186" i="61"/>
  <c r="N187" i="61"/>
  <c r="N188" i="61"/>
  <c r="N189" i="61"/>
  <c r="N190" i="61"/>
  <c r="N191" i="61"/>
  <c r="N192" i="61"/>
  <c r="N193" i="61"/>
  <c r="N194" i="61"/>
  <c r="N195" i="61"/>
  <c r="N196" i="61"/>
  <c r="N197" i="61"/>
  <c r="N198" i="61"/>
  <c r="N199" i="61"/>
  <c r="N200" i="61"/>
  <c r="N201" i="61"/>
  <c r="N202" i="61"/>
  <c r="N203" i="61"/>
  <c r="N204" i="61"/>
  <c r="N205" i="61"/>
  <c r="N206" i="61"/>
  <c r="N207" i="61"/>
  <c r="N208" i="61"/>
  <c r="N209" i="61"/>
  <c r="N210" i="61"/>
  <c r="N211" i="61"/>
  <c r="N212" i="61"/>
  <c r="N213" i="61"/>
  <c r="N214" i="61"/>
  <c r="N215" i="61"/>
  <c r="N216" i="61"/>
  <c r="N217" i="61"/>
  <c r="N218" i="61"/>
  <c r="N219" i="61"/>
  <c r="N220" i="61"/>
  <c r="N221" i="61"/>
  <c r="N222" i="61"/>
  <c r="N223" i="61"/>
  <c r="N224" i="61"/>
  <c r="N225" i="61"/>
  <c r="N226" i="61"/>
  <c r="N227" i="61"/>
  <c r="N228" i="61"/>
  <c r="N229" i="61"/>
  <c r="N230" i="61"/>
  <c r="N231" i="61"/>
  <c r="N232" i="61"/>
  <c r="N233" i="61"/>
  <c r="N234" i="61"/>
  <c r="N235" i="61"/>
  <c r="N236" i="61"/>
  <c r="N237" i="61"/>
  <c r="N238" i="61"/>
  <c r="N239" i="61"/>
  <c r="N240" i="61"/>
  <c r="N241" i="61"/>
  <c r="N242" i="61"/>
  <c r="N243" i="61"/>
  <c r="N244" i="61"/>
  <c r="N245" i="61"/>
  <c r="N246" i="61"/>
  <c r="N247" i="61"/>
  <c r="N248" i="61"/>
  <c r="N249" i="61"/>
  <c r="N250" i="61"/>
  <c r="N251" i="61"/>
  <c r="N252" i="61"/>
  <c r="N253" i="61"/>
  <c r="N254" i="61"/>
  <c r="N255" i="61"/>
  <c r="N256" i="61"/>
  <c r="N257" i="61"/>
  <c r="N258" i="61"/>
  <c r="N259" i="61"/>
  <c r="N260" i="61"/>
  <c r="N261" i="61"/>
  <c r="N262" i="61"/>
  <c r="N263" i="61"/>
  <c r="N264" i="61"/>
  <c r="N265" i="61"/>
  <c r="N266" i="61"/>
  <c r="N267" i="61"/>
  <c r="N3" i="61"/>
  <c r="N262" i="60"/>
  <c r="N261" i="60"/>
  <c r="N260" i="60"/>
  <c r="N259" i="60"/>
  <c r="N258" i="60"/>
  <c r="N257" i="60"/>
  <c r="N256" i="60"/>
  <c r="N255" i="60"/>
  <c r="N254" i="60"/>
  <c r="N253" i="60"/>
  <c r="N252" i="60"/>
  <c r="N251" i="60"/>
  <c r="N250" i="60"/>
  <c r="N249" i="60"/>
  <c r="N248" i="60"/>
  <c r="N247" i="60"/>
  <c r="N246" i="60"/>
  <c r="N245" i="60"/>
  <c r="N244" i="60"/>
  <c r="N243" i="60"/>
  <c r="N242" i="60"/>
  <c r="N241" i="60"/>
  <c r="N240" i="60"/>
  <c r="N239" i="60"/>
  <c r="N238" i="60"/>
  <c r="N237" i="60"/>
  <c r="N236" i="60"/>
  <c r="N235" i="60"/>
  <c r="N234" i="60"/>
  <c r="N233" i="60"/>
  <c r="N232" i="60"/>
  <c r="N231" i="60"/>
  <c r="N230" i="60"/>
  <c r="N229" i="60"/>
  <c r="N228" i="60"/>
  <c r="N227" i="60"/>
  <c r="N226" i="60"/>
  <c r="N225" i="60"/>
  <c r="N224" i="60"/>
  <c r="N223" i="60"/>
  <c r="N222" i="60"/>
  <c r="N221" i="60"/>
  <c r="N220" i="60"/>
  <c r="N219" i="60"/>
  <c r="N218" i="60"/>
  <c r="N217" i="60"/>
  <c r="N216" i="60"/>
  <c r="N215" i="60"/>
  <c r="N214" i="60"/>
  <c r="N213" i="60"/>
  <c r="N212" i="60"/>
  <c r="N211" i="60"/>
  <c r="N210" i="60"/>
  <c r="N209" i="60"/>
  <c r="N208" i="60"/>
  <c r="N207" i="60"/>
  <c r="N206" i="60"/>
  <c r="N205" i="60"/>
  <c r="N204" i="60"/>
  <c r="N203" i="60"/>
  <c r="N202" i="60"/>
  <c r="N201" i="60"/>
  <c r="N200" i="60"/>
  <c r="N199" i="60"/>
  <c r="N198" i="60"/>
  <c r="N197" i="60"/>
  <c r="N196" i="60"/>
  <c r="N195" i="60"/>
  <c r="N194" i="60"/>
  <c r="N193" i="60"/>
  <c r="N192" i="60"/>
  <c r="N191" i="60"/>
  <c r="N190" i="60"/>
  <c r="N189" i="60"/>
  <c r="N188" i="60"/>
  <c r="N187" i="60"/>
  <c r="N186" i="60"/>
  <c r="N185" i="60"/>
  <c r="N184" i="60"/>
  <c r="N183" i="60"/>
  <c r="N182" i="60"/>
  <c r="N181" i="60"/>
  <c r="N180" i="60"/>
  <c r="N179" i="60"/>
  <c r="N178" i="60"/>
  <c r="N177" i="60"/>
  <c r="N176" i="60"/>
  <c r="N175" i="60"/>
  <c r="N174" i="60"/>
  <c r="N173" i="60"/>
  <c r="N172" i="60"/>
  <c r="N171" i="60"/>
  <c r="N170" i="60"/>
  <c r="N169" i="60"/>
  <c r="N168" i="60"/>
  <c r="N167" i="60"/>
  <c r="N166" i="60"/>
  <c r="N165" i="60"/>
  <c r="N164" i="60"/>
  <c r="N163" i="60"/>
  <c r="N162" i="60"/>
  <c r="N161" i="60"/>
  <c r="N160" i="60"/>
  <c r="N159" i="60"/>
  <c r="N158" i="60"/>
  <c r="N157" i="60"/>
  <c r="N156" i="60"/>
  <c r="N155" i="60"/>
  <c r="N154" i="60"/>
  <c r="N153" i="60"/>
  <c r="N152" i="60"/>
  <c r="N151" i="60"/>
  <c r="N150" i="60"/>
  <c r="N149" i="60"/>
  <c r="N148" i="60"/>
  <c r="N147" i="60"/>
  <c r="N146" i="60"/>
  <c r="N145" i="60"/>
  <c r="N144" i="60"/>
  <c r="N143" i="60"/>
  <c r="N142" i="60"/>
  <c r="N141" i="60"/>
  <c r="N140" i="60"/>
  <c r="N139" i="60"/>
  <c r="N138" i="60"/>
  <c r="N137" i="60"/>
  <c r="N136" i="60"/>
  <c r="N135" i="60"/>
  <c r="N134" i="60"/>
  <c r="N133" i="60"/>
  <c r="N132" i="60"/>
  <c r="N131" i="60"/>
  <c r="N130" i="60"/>
  <c r="N129" i="60"/>
  <c r="N128" i="60"/>
  <c r="N127" i="60"/>
  <c r="N126" i="60"/>
  <c r="N125" i="60"/>
  <c r="N124" i="60"/>
  <c r="N123" i="60"/>
  <c r="N122" i="60"/>
  <c r="N121" i="60"/>
  <c r="N120" i="60"/>
  <c r="N119" i="60"/>
  <c r="N118" i="60"/>
  <c r="N117" i="60"/>
  <c r="N116" i="60"/>
  <c r="N115" i="60"/>
  <c r="N114" i="60"/>
  <c r="N113" i="60"/>
  <c r="N112" i="60"/>
  <c r="N111" i="60"/>
  <c r="N110" i="60"/>
  <c r="N109" i="60"/>
  <c r="N108" i="60"/>
  <c r="N107" i="60"/>
  <c r="N106" i="60"/>
  <c r="N105" i="60"/>
  <c r="N104" i="60"/>
  <c r="N103" i="60"/>
  <c r="N102" i="60"/>
  <c r="N101" i="60"/>
  <c r="N100" i="60"/>
  <c r="N99" i="60"/>
  <c r="N98" i="60"/>
  <c r="N97" i="60"/>
  <c r="N96" i="60"/>
  <c r="N95" i="60"/>
  <c r="N94" i="60"/>
  <c r="N93" i="60"/>
  <c r="N92" i="60"/>
  <c r="N91" i="60"/>
  <c r="N90" i="60"/>
  <c r="N89" i="60"/>
  <c r="N88" i="60"/>
  <c r="N87" i="60"/>
  <c r="N86" i="60"/>
  <c r="N85" i="60"/>
  <c r="N84" i="60"/>
  <c r="N83" i="60"/>
  <c r="N82" i="60"/>
  <c r="N81" i="60"/>
  <c r="N80" i="60"/>
  <c r="N79" i="60"/>
  <c r="N78" i="60"/>
  <c r="N77" i="60"/>
  <c r="N76" i="60"/>
  <c r="N75" i="60"/>
  <c r="N74" i="60"/>
  <c r="N73" i="60"/>
  <c r="N72" i="60"/>
  <c r="N71" i="60"/>
  <c r="N70" i="60"/>
  <c r="N69" i="60"/>
  <c r="N68" i="60"/>
  <c r="N67" i="60"/>
  <c r="N66" i="60"/>
  <c r="N65" i="60"/>
  <c r="N64" i="60"/>
  <c r="N63" i="60"/>
  <c r="N62" i="60"/>
  <c r="N61" i="60"/>
  <c r="N60" i="60"/>
  <c r="N59" i="60"/>
  <c r="N58" i="60"/>
  <c r="N57" i="60"/>
  <c r="N56" i="60"/>
  <c r="N55" i="60"/>
  <c r="N54" i="60"/>
  <c r="N53" i="60"/>
  <c r="N52" i="60"/>
  <c r="N51" i="60"/>
  <c r="N50" i="60"/>
  <c r="N49" i="60"/>
  <c r="N48" i="60"/>
  <c r="N47" i="60"/>
  <c r="N46" i="60"/>
  <c r="N45" i="60"/>
  <c r="N44" i="60"/>
  <c r="N43" i="60"/>
  <c r="N42" i="60"/>
  <c r="N41" i="60"/>
  <c r="N40" i="60"/>
  <c r="N39" i="60"/>
  <c r="N38" i="60"/>
  <c r="N37" i="60"/>
  <c r="N36" i="60"/>
  <c r="N35" i="60"/>
  <c r="N34" i="60"/>
  <c r="N33" i="60"/>
  <c r="N32" i="60"/>
  <c r="N31" i="60"/>
  <c r="N30" i="60"/>
  <c r="N29" i="60"/>
  <c r="N28" i="60"/>
  <c r="N27" i="60"/>
  <c r="N26" i="60"/>
  <c r="N25" i="60"/>
  <c r="N24" i="60"/>
  <c r="N23" i="60"/>
  <c r="N22" i="60"/>
  <c r="N21" i="60"/>
  <c r="N20" i="60"/>
  <c r="N19" i="60"/>
  <c r="N18" i="60"/>
  <c r="N17" i="60"/>
  <c r="N16" i="60"/>
  <c r="N15" i="60"/>
  <c r="N14" i="60"/>
  <c r="N13" i="60"/>
  <c r="N12" i="60"/>
  <c r="N11" i="60"/>
  <c r="N10" i="60"/>
  <c r="N9" i="60"/>
  <c r="N8" i="60"/>
  <c r="N7" i="60"/>
  <c r="N6" i="60"/>
  <c r="N5" i="60"/>
  <c r="N4" i="60"/>
  <c r="N3" i="60"/>
  <c r="AR149" i="45"/>
  <c r="AR328" i="45"/>
  <c r="AR327" i="45"/>
  <c r="AR326" i="45"/>
  <c r="AR325" i="45"/>
  <c r="AR324" i="45"/>
  <c r="AR323" i="45"/>
  <c r="AR322" i="45"/>
  <c r="AR321" i="45"/>
  <c r="AR320" i="45"/>
  <c r="AR319" i="45"/>
  <c r="AR318" i="45"/>
  <c r="AR317" i="45"/>
  <c r="AR316" i="45"/>
  <c r="AR315" i="45"/>
  <c r="AR314" i="45"/>
  <c r="AR313" i="45"/>
  <c r="AR312" i="45"/>
  <c r="AR311" i="45"/>
  <c r="AR310" i="45"/>
  <c r="AR309" i="45"/>
  <c r="AR308" i="45"/>
  <c r="AR307" i="45"/>
  <c r="AR306" i="45"/>
  <c r="AR305" i="45"/>
  <c r="AR303" i="45"/>
  <c r="AR302" i="45"/>
  <c r="AR301" i="45"/>
  <c r="AR300" i="45"/>
  <c r="AR299" i="45"/>
  <c r="AR298" i="45"/>
  <c r="AR297" i="45"/>
  <c r="AR296" i="45"/>
  <c r="AR295" i="45"/>
  <c r="AR294" i="45"/>
  <c r="AR293" i="45"/>
  <c r="AR292" i="45"/>
  <c r="AR291" i="45"/>
  <c r="AR290" i="45"/>
  <c r="AR289" i="45"/>
  <c r="AR288" i="45"/>
  <c r="AR287" i="45"/>
  <c r="AR286" i="45"/>
  <c r="AR285" i="45"/>
  <c r="AR283" i="45"/>
  <c r="AR282" i="45"/>
  <c r="AR281" i="45"/>
  <c r="AR280" i="45"/>
  <c r="AR279" i="45"/>
  <c r="AR278" i="45"/>
  <c r="AR277" i="45"/>
  <c r="AR276" i="45"/>
  <c r="AR275" i="45"/>
  <c r="AR274" i="45"/>
  <c r="AR273" i="45"/>
  <c r="AR272" i="45"/>
  <c r="AR271" i="45"/>
  <c r="AR270" i="45"/>
  <c r="AR269" i="45"/>
  <c r="AR268" i="45"/>
  <c r="AR267" i="45"/>
  <c r="AR266" i="45"/>
  <c r="AR265" i="45"/>
  <c r="AR264" i="45"/>
  <c r="AR263" i="45"/>
  <c r="AR261" i="45"/>
  <c r="AR260" i="45"/>
  <c r="AR259" i="45"/>
  <c r="AR258" i="45"/>
  <c r="AR257" i="45"/>
  <c r="AR256" i="45"/>
  <c r="AR255" i="45"/>
  <c r="AR254" i="45"/>
  <c r="AR253" i="45"/>
  <c r="AR252" i="45"/>
  <c r="AR251" i="45"/>
  <c r="AR250" i="45"/>
  <c r="AR249" i="45"/>
  <c r="AR247" i="45"/>
  <c r="AR245" i="45"/>
  <c r="AR243" i="45"/>
  <c r="AR242" i="45"/>
  <c r="AR240" i="45"/>
  <c r="AR238" i="45"/>
  <c r="AR237" i="45"/>
  <c r="AR235" i="45"/>
  <c r="AR234" i="45"/>
  <c r="AR233" i="45"/>
  <c r="AR231" i="45"/>
  <c r="AR229" i="45"/>
  <c r="AR226" i="45"/>
  <c r="AR225" i="45"/>
  <c r="AR223" i="45"/>
  <c r="AR220" i="45"/>
  <c r="AR219" i="45"/>
  <c r="AR216" i="45"/>
  <c r="AR215" i="45"/>
  <c r="AR214" i="45"/>
  <c r="AR212" i="45"/>
  <c r="AR209" i="45"/>
  <c r="AR207" i="45"/>
  <c r="AR206" i="45"/>
  <c r="AR204" i="45"/>
  <c r="AR202" i="45"/>
  <c r="AR201" i="45"/>
  <c r="AR199" i="45"/>
  <c r="AR198" i="45"/>
  <c r="AR197" i="45"/>
  <c r="AR195" i="45"/>
  <c r="AR193" i="45"/>
  <c r="AR190" i="45"/>
  <c r="AR189" i="45"/>
  <c r="AR187" i="45"/>
  <c r="AR184" i="45"/>
  <c r="AR183" i="45"/>
  <c r="AR180" i="45"/>
  <c r="AR179" i="45"/>
  <c r="AR178" i="45"/>
  <c r="AR176" i="45"/>
  <c r="AR173" i="45"/>
  <c r="AR171" i="45"/>
  <c r="AR170" i="45"/>
  <c r="AR168" i="45"/>
  <c r="AR166" i="45"/>
  <c r="AR165" i="45"/>
  <c r="AR163" i="45"/>
  <c r="AR162" i="45"/>
  <c r="AR161" i="45"/>
  <c r="AR159" i="45"/>
  <c r="AR157" i="45"/>
  <c r="AR155" i="45"/>
  <c r="AR154" i="45"/>
  <c r="AR152" i="45"/>
  <c r="AR151" i="45"/>
  <c r="AR150" i="45"/>
  <c r="AR147" i="45"/>
  <c r="AR146" i="45"/>
  <c r="AR145" i="45"/>
  <c r="AR144" i="45"/>
  <c r="AR143" i="45"/>
  <c r="AR142" i="45"/>
  <c r="AR141" i="45"/>
  <c r="AR140" i="45"/>
  <c r="AR139" i="45"/>
  <c r="AR138" i="45"/>
  <c r="AR137" i="45"/>
  <c r="AR136" i="45"/>
  <c r="AR135" i="45"/>
  <c r="AR134" i="45"/>
  <c r="AR133" i="45"/>
  <c r="AR132" i="45"/>
  <c r="AR131" i="45"/>
  <c r="AR130" i="45"/>
  <c r="AR129" i="45"/>
  <c r="AR128" i="45"/>
  <c r="AR127" i="45"/>
  <c r="AR126" i="45"/>
  <c r="AR125" i="45"/>
  <c r="AR124" i="45"/>
  <c r="AR123" i="45"/>
  <c r="AR122" i="45"/>
  <c r="AR121" i="45"/>
  <c r="AR120" i="45"/>
  <c r="AR119" i="45"/>
  <c r="AR118" i="45"/>
  <c r="AR117" i="45"/>
  <c r="AR116" i="45"/>
  <c r="AR115" i="45"/>
  <c r="AR114" i="45"/>
  <c r="AR113" i="45"/>
  <c r="AR112" i="45"/>
  <c r="AR111" i="45"/>
  <c r="AR110" i="45"/>
  <c r="AR109" i="45"/>
  <c r="AR108" i="45"/>
  <c r="AR107" i="45"/>
  <c r="AR106" i="45"/>
  <c r="AR105" i="45"/>
  <c r="AR104" i="45"/>
  <c r="AR103" i="45"/>
  <c r="AR102" i="45"/>
  <c r="AR101" i="45"/>
  <c r="AR100" i="45"/>
  <c r="AR99" i="45"/>
  <c r="AR98" i="45"/>
  <c r="AR97" i="45"/>
  <c r="AR95" i="45"/>
  <c r="AR94" i="45"/>
  <c r="AR93" i="45"/>
  <c r="AR92" i="45"/>
  <c r="AR91" i="45"/>
  <c r="AR90" i="45"/>
  <c r="AR89" i="45"/>
  <c r="AR88" i="45"/>
  <c r="AR87" i="45"/>
  <c r="AR86" i="45"/>
  <c r="AR85" i="45"/>
  <c r="AR84" i="45"/>
  <c r="AR83" i="45"/>
  <c r="AR82" i="45"/>
  <c r="AR81" i="45"/>
  <c r="AR80" i="45"/>
  <c r="AR79" i="45"/>
  <c r="AR78" i="45"/>
  <c r="AR77" i="45"/>
  <c r="AR76" i="45"/>
  <c r="AR75" i="45"/>
  <c r="AR74" i="45"/>
  <c r="AR73" i="45"/>
  <c r="AR72" i="45"/>
  <c r="AR71" i="45"/>
  <c r="AR70" i="45"/>
  <c r="AR69" i="45"/>
  <c r="AR68" i="45"/>
  <c r="AR67" i="45"/>
  <c r="AR66" i="45"/>
  <c r="AR63" i="45"/>
  <c r="AR62" i="45"/>
  <c r="AR61" i="45"/>
  <c r="AR60" i="45"/>
  <c r="AR59" i="45"/>
  <c r="AR58" i="45"/>
  <c r="AR57" i="45"/>
  <c r="AR56" i="45"/>
  <c r="AR55" i="45"/>
  <c r="AR54" i="45"/>
  <c r="AR53" i="45"/>
  <c r="AR52" i="45"/>
  <c r="AR51" i="45"/>
  <c r="AR50" i="45"/>
  <c r="AR49" i="45"/>
  <c r="AR48" i="45"/>
  <c r="AR47" i="45"/>
  <c r="AR46" i="45"/>
  <c r="AR45" i="45"/>
  <c r="AR44" i="45"/>
  <c r="AR43" i="45"/>
  <c r="AR42" i="45"/>
  <c r="AR41" i="45"/>
  <c r="AR40" i="45"/>
  <c r="AR39" i="45"/>
  <c r="AR38" i="45"/>
  <c r="AR37" i="45"/>
  <c r="AR36" i="45"/>
  <c r="AR35" i="45"/>
  <c r="AR34" i="45"/>
  <c r="AR33" i="45"/>
  <c r="AR32" i="45"/>
  <c r="AR31" i="45"/>
  <c r="AR30" i="45"/>
  <c r="AR29" i="45"/>
  <c r="AR28" i="45"/>
  <c r="AR27" i="45"/>
  <c r="AR26" i="45"/>
  <c r="AR25" i="45"/>
  <c r="AR24" i="45"/>
  <c r="AR23" i="45"/>
  <c r="AR22" i="45"/>
  <c r="AR21" i="45"/>
  <c r="AR20" i="45"/>
  <c r="AR19" i="45"/>
  <c r="AR18" i="45"/>
  <c r="AR17" i="45"/>
  <c r="AR16" i="45"/>
  <c r="AR15" i="45"/>
  <c r="AR14" i="45"/>
  <c r="AR13" i="45"/>
  <c r="AR12" i="45"/>
  <c r="AR11" i="45"/>
  <c r="AR10" i="45"/>
  <c r="AR9" i="45"/>
  <c r="AR8" i="45"/>
  <c r="AR7" i="45"/>
  <c r="AR6" i="45"/>
  <c r="AR5" i="45"/>
  <c r="AR4" i="45"/>
  <c r="AR3" i="45"/>
  <c r="AR2" i="45"/>
  <c r="N68" i="59"/>
  <c r="N69" i="59"/>
  <c r="N70" i="59"/>
  <c r="N71" i="59"/>
  <c r="N72" i="59"/>
  <c r="N73" i="59"/>
  <c r="N74" i="59"/>
  <c r="N75" i="59"/>
  <c r="N76" i="59"/>
  <c r="N77" i="59"/>
  <c r="N78" i="59"/>
  <c r="N79" i="59"/>
  <c r="N80" i="59"/>
  <c r="N81" i="59"/>
  <c r="N82" i="59"/>
  <c r="N83" i="59"/>
  <c r="N84" i="59"/>
  <c r="N85" i="59"/>
  <c r="N86" i="59"/>
  <c r="N87" i="59"/>
  <c r="N88" i="59"/>
  <c r="N89" i="59"/>
  <c r="N90" i="59"/>
  <c r="N91" i="59"/>
  <c r="N92" i="59"/>
  <c r="N93" i="59"/>
  <c r="N94" i="59"/>
  <c r="N95" i="59"/>
  <c r="N96" i="59"/>
  <c r="N97" i="59"/>
  <c r="N98" i="59"/>
  <c r="N99" i="59"/>
  <c r="N100" i="59"/>
  <c r="N101" i="59"/>
  <c r="N102" i="59"/>
  <c r="N103" i="59"/>
  <c r="N104" i="59"/>
  <c r="N105" i="59"/>
  <c r="N106" i="59"/>
  <c r="N107" i="59"/>
  <c r="N108" i="59"/>
  <c r="N109" i="59"/>
  <c r="N110" i="59"/>
  <c r="N111" i="59"/>
  <c r="N112" i="59"/>
  <c r="N113" i="59"/>
  <c r="N114" i="59"/>
  <c r="N115" i="59"/>
  <c r="N116" i="59"/>
  <c r="N117" i="59"/>
  <c r="N118" i="59"/>
  <c r="N119" i="59"/>
  <c r="N120" i="59"/>
  <c r="N121" i="59"/>
  <c r="N122" i="59"/>
  <c r="N123" i="59"/>
  <c r="N124" i="59"/>
  <c r="N125" i="59"/>
  <c r="N126" i="59"/>
  <c r="N127" i="59"/>
  <c r="N128" i="59"/>
  <c r="N129" i="59"/>
  <c r="N130" i="59"/>
  <c r="N131" i="59"/>
  <c r="N132" i="59"/>
  <c r="N133" i="59"/>
  <c r="N134" i="59"/>
  <c r="N135" i="59"/>
  <c r="N136" i="59"/>
  <c r="N137" i="59"/>
  <c r="N138" i="59"/>
  <c r="N139" i="59"/>
  <c r="N140" i="59"/>
  <c r="N141" i="59"/>
  <c r="N142" i="59"/>
  <c r="N143" i="59"/>
  <c r="N144" i="59"/>
  <c r="N145" i="59"/>
  <c r="N146" i="59"/>
  <c r="N147" i="59"/>
  <c r="N148" i="59"/>
  <c r="N149" i="59"/>
  <c r="N150" i="59"/>
  <c r="N151" i="59"/>
  <c r="N152" i="59"/>
  <c r="N153" i="59"/>
  <c r="N154" i="59"/>
  <c r="N155" i="59"/>
  <c r="N156" i="59"/>
  <c r="N157" i="59"/>
  <c r="N158" i="59"/>
  <c r="N159" i="59"/>
  <c r="N160" i="59"/>
  <c r="N161" i="59"/>
  <c r="N162" i="59"/>
  <c r="N163" i="59"/>
  <c r="N164" i="59"/>
  <c r="N165" i="59"/>
  <c r="N166" i="59"/>
  <c r="N167" i="59"/>
  <c r="N168" i="59"/>
  <c r="N169" i="59"/>
  <c r="N170" i="59"/>
  <c r="N171" i="59"/>
  <c r="N172" i="59"/>
  <c r="N173" i="59"/>
  <c r="N174" i="59"/>
  <c r="N175" i="59"/>
  <c r="N176" i="59"/>
  <c r="N177" i="59"/>
  <c r="N178" i="59"/>
  <c r="N179" i="59"/>
  <c r="N180" i="59"/>
  <c r="N181" i="59"/>
  <c r="N182" i="59"/>
  <c r="N183" i="59"/>
  <c r="N184" i="59"/>
  <c r="N185" i="59"/>
  <c r="N186" i="59"/>
  <c r="N187" i="59"/>
  <c r="N188" i="59"/>
  <c r="N189" i="59"/>
  <c r="N190" i="59"/>
  <c r="N191" i="59"/>
  <c r="N192" i="59"/>
  <c r="N193" i="59"/>
  <c r="N194" i="59"/>
  <c r="N195" i="59"/>
  <c r="N196" i="59"/>
  <c r="N197" i="59"/>
  <c r="N198" i="59"/>
  <c r="N199" i="59"/>
  <c r="N200" i="59"/>
  <c r="N201" i="59"/>
  <c r="N202" i="59"/>
  <c r="N203" i="59"/>
  <c r="N204" i="59"/>
  <c r="N205" i="59"/>
  <c r="N206" i="59"/>
  <c r="N207" i="59"/>
  <c r="N208" i="59"/>
  <c r="N209" i="59"/>
  <c r="N210" i="59"/>
  <c r="N211" i="59"/>
  <c r="N212" i="59"/>
  <c r="N213" i="59"/>
  <c r="N214" i="59"/>
  <c r="N215" i="59"/>
  <c r="N216" i="59"/>
  <c r="N217" i="59"/>
  <c r="N218" i="59"/>
  <c r="N219" i="59"/>
  <c r="N220" i="59"/>
  <c r="N221" i="59"/>
  <c r="N222" i="59"/>
  <c r="N223" i="59"/>
  <c r="N224" i="59"/>
  <c r="N225" i="59"/>
  <c r="N226" i="59"/>
  <c r="N227" i="59"/>
  <c r="N228" i="59"/>
  <c r="N229" i="59"/>
  <c r="N230" i="59"/>
  <c r="N231" i="59"/>
  <c r="N232" i="59"/>
  <c r="N233" i="59"/>
  <c r="N234" i="59"/>
  <c r="N235" i="59"/>
  <c r="N236" i="59"/>
  <c r="N237" i="59"/>
  <c r="N238" i="59"/>
  <c r="N239" i="59"/>
  <c r="N240" i="59"/>
  <c r="N241" i="59"/>
  <c r="N242" i="59"/>
  <c r="N243" i="59"/>
  <c r="N244" i="59"/>
  <c r="N245" i="59"/>
  <c r="N246" i="59"/>
  <c r="N247" i="59"/>
  <c r="N248" i="59"/>
  <c r="N249" i="59"/>
  <c r="N250" i="59"/>
  <c r="N251" i="59"/>
  <c r="N252" i="59"/>
  <c r="N253" i="59"/>
  <c r="N254" i="59"/>
  <c r="N255" i="59"/>
  <c r="N256" i="59"/>
  <c r="N257" i="59"/>
  <c r="N258" i="59"/>
  <c r="N259" i="59"/>
  <c r="N260" i="59"/>
  <c r="N261" i="59"/>
  <c r="N67" i="59"/>
  <c r="N66" i="59"/>
  <c r="N65" i="59"/>
  <c r="N64" i="59"/>
  <c r="N63" i="59"/>
  <c r="N62" i="59"/>
  <c r="N61" i="59"/>
  <c r="N60" i="59"/>
  <c r="N59" i="59"/>
  <c r="N58" i="59"/>
  <c r="N57" i="59"/>
  <c r="N56" i="59"/>
  <c r="N55" i="59"/>
  <c r="N54" i="59"/>
  <c r="N53" i="59"/>
  <c r="N52" i="59"/>
  <c r="N51" i="59"/>
  <c r="N50" i="59"/>
  <c r="N49" i="59"/>
  <c r="N48" i="59"/>
  <c r="N47" i="59"/>
  <c r="N46" i="59"/>
  <c r="N45" i="59"/>
  <c r="N44" i="59"/>
  <c r="N43" i="59"/>
  <c r="N42" i="59"/>
  <c r="N41" i="59"/>
  <c r="N40" i="59"/>
  <c r="N39" i="59"/>
  <c r="N38" i="59"/>
  <c r="N37" i="59"/>
  <c r="N36" i="59"/>
  <c r="N35" i="59"/>
  <c r="N34" i="59"/>
  <c r="N33" i="59"/>
  <c r="N32" i="59"/>
  <c r="N31" i="59"/>
  <c r="N30" i="59"/>
  <c r="N29" i="59"/>
  <c r="N28" i="59"/>
  <c r="N27" i="59"/>
  <c r="N26" i="59"/>
  <c r="N25" i="59"/>
  <c r="N24" i="59"/>
  <c r="N23" i="59"/>
  <c r="N22" i="59"/>
  <c r="N21" i="59"/>
  <c r="N20" i="59"/>
  <c r="N19" i="59"/>
  <c r="N18" i="59"/>
  <c r="N17" i="59"/>
  <c r="N16" i="59"/>
  <c r="N15" i="59"/>
  <c r="N14" i="59"/>
  <c r="N13" i="59"/>
  <c r="N12" i="59"/>
  <c r="N11" i="59"/>
  <c r="N10" i="59"/>
  <c r="N9" i="59"/>
  <c r="N8" i="59"/>
  <c r="N7" i="59"/>
  <c r="N6" i="59"/>
  <c r="N5" i="59"/>
  <c r="N4" i="59"/>
  <c r="N3" i="59"/>
  <c r="I26" i="8" l="1"/>
  <c r="I27" i="8"/>
  <c r="I472" i="45"/>
  <c r="I4" i="45"/>
  <c r="I24" i="45"/>
  <c r="I2" i="45"/>
  <c r="L335" i="45" s="1"/>
  <c r="L337" i="45" s="1"/>
  <c r="I14" i="45"/>
  <c r="I26" i="45"/>
  <c r="I32" i="45"/>
  <c r="I19" i="45"/>
  <c r="I31" i="45"/>
  <c r="I43" i="45"/>
  <c r="I49" i="45"/>
  <c r="I9" i="45"/>
  <c r="I15" i="45"/>
  <c r="I51" i="45"/>
  <c r="I11" i="45"/>
  <c r="I17" i="45"/>
  <c r="I23" i="45"/>
  <c r="I35" i="45"/>
  <c r="I298" i="45"/>
  <c r="AS329" i="45"/>
  <c r="AT329" i="45"/>
  <c r="AR329" i="45"/>
  <c r="F9" i="8"/>
  <c r="F17" i="8"/>
  <c r="F13" i="8"/>
  <c r="F11" i="8"/>
  <c r="F10" i="8"/>
  <c r="G17" i="54" l="1"/>
  <c r="G108" i="45"/>
  <c r="A21" i="22"/>
  <c r="H843" i="58"/>
  <c r="G843" i="58"/>
  <c r="I843" i="58" s="1"/>
  <c r="AR839" i="58"/>
  <c r="AP839" i="58"/>
  <c r="AR838" i="58"/>
  <c r="AP838" i="58"/>
  <c r="AR837" i="58"/>
  <c r="AP837" i="58"/>
  <c r="AR836" i="58"/>
  <c r="AP836" i="58"/>
  <c r="AR835" i="58"/>
  <c r="AP835" i="58"/>
  <c r="AR834" i="58"/>
  <c r="AP834" i="58"/>
  <c r="AR833" i="58"/>
  <c r="AP833" i="58"/>
  <c r="AR832" i="58"/>
  <c r="AP832" i="58"/>
  <c r="AR831" i="58"/>
  <c r="AP831" i="58"/>
  <c r="AR830" i="58"/>
  <c r="AP830" i="58"/>
  <c r="AR829" i="58"/>
  <c r="AP829" i="58"/>
  <c r="AR828" i="58"/>
  <c r="AP828" i="58"/>
  <c r="AR827" i="58"/>
  <c r="AP827" i="58"/>
  <c r="AR826" i="58"/>
  <c r="AP826" i="58"/>
  <c r="AR825" i="58"/>
  <c r="AP825" i="58"/>
  <c r="AR824" i="58"/>
  <c r="AP824" i="58"/>
  <c r="AR823" i="58"/>
  <c r="AP823" i="58"/>
  <c r="AR822" i="58"/>
  <c r="AP822" i="58"/>
  <c r="AR821" i="58"/>
  <c r="AP821" i="58"/>
  <c r="AR820" i="58"/>
  <c r="AP820" i="58"/>
  <c r="AR819" i="58"/>
  <c r="AP819" i="58"/>
  <c r="AR818" i="58"/>
  <c r="AP818" i="58"/>
  <c r="AR817" i="58"/>
  <c r="AP817" i="58"/>
  <c r="AR816" i="58"/>
  <c r="AP816" i="58"/>
  <c r="AR815" i="58"/>
  <c r="AP815" i="58"/>
  <c r="AR814" i="58"/>
  <c r="AP814" i="58"/>
  <c r="AR813" i="58"/>
  <c r="AP813" i="58"/>
  <c r="AR812" i="58"/>
  <c r="AP812" i="58"/>
  <c r="AR811" i="58"/>
  <c r="AP811" i="58"/>
  <c r="AR810" i="58"/>
  <c r="AP810" i="58"/>
  <c r="AR809" i="58"/>
  <c r="AP809" i="58"/>
  <c r="AR808" i="58"/>
  <c r="AP808" i="58"/>
  <c r="AR807" i="58"/>
  <c r="AP807" i="58"/>
  <c r="AR806" i="58"/>
  <c r="AP806" i="58"/>
  <c r="AR805" i="58"/>
  <c r="AP805" i="58"/>
  <c r="AR804" i="58"/>
  <c r="AP804" i="58"/>
  <c r="AR803" i="58"/>
  <c r="AP803" i="58"/>
  <c r="AR802" i="58"/>
  <c r="AP802" i="58"/>
  <c r="AR801" i="58"/>
  <c r="AP801" i="58"/>
  <c r="AR800" i="58"/>
  <c r="AP800" i="58"/>
  <c r="AR799" i="58"/>
  <c r="AP799" i="58"/>
  <c r="AR798" i="58"/>
  <c r="AP798" i="58"/>
  <c r="AR797" i="58"/>
  <c r="AP797" i="58"/>
  <c r="AR796" i="58"/>
  <c r="AP796" i="58"/>
  <c r="AR795" i="58"/>
  <c r="AP795" i="58"/>
  <c r="AR794" i="58"/>
  <c r="AP794" i="58"/>
  <c r="AR793" i="58"/>
  <c r="AP793" i="58"/>
  <c r="AR792" i="58"/>
  <c r="AP792" i="58"/>
  <c r="AR791" i="58"/>
  <c r="AP791" i="58"/>
  <c r="AR790" i="58"/>
  <c r="AP790" i="58"/>
  <c r="AR789" i="58"/>
  <c r="AP789" i="58"/>
  <c r="AR788" i="58"/>
  <c r="AP788" i="58"/>
  <c r="AR787" i="58"/>
  <c r="AP787" i="58"/>
  <c r="AR786" i="58"/>
  <c r="AP786" i="58"/>
  <c r="AR785" i="58"/>
  <c r="AP785" i="58"/>
  <c r="AR784" i="58"/>
  <c r="AP784" i="58"/>
  <c r="AR783" i="58"/>
  <c r="AP783" i="58"/>
  <c r="AR782" i="58"/>
  <c r="AP782" i="58"/>
  <c r="AR781" i="58"/>
  <c r="AP781" i="58"/>
  <c r="AR780" i="58"/>
  <c r="AP780" i="58"/>
  <c r="AR779" i="58"/>
  <c r="AP779" i="58"/>
  <c r="AR778" i="58"/>
  <c r="AP778" i="58"/>
  <c r="AR777" i="58"/>
  <c r="AP777" i="58"/>
  <c r="AR776" i="58"/>
  <c r="AP776" i="58"/>
  <c r="AR775" i="58"/>
  <c r="AP775" i="58"/>
  <c r="AR774" i="58"/>
  <c r="AP774" i="58"/>
  <c r="AR773" i="58"/>
  <c r="AP773" i="58"/>
  <c r="AR772" i="58"/>
  <c r="AP772" i="58"/>
  <c r="AR771" i="58"/>
  <c r="AP771" i="58"/>
  <c r="AR770" i="58"/>
  <c r="AP770" i="58"/>
  <c r="AR769" i="58"/>
  <c r="AP769" i="58"/>
  <c r="AR768" i="58"/>
  <c r="AP768" i="58"/>
  <c r="AR767" i="58"/>
  <c r="AP767" i="58"/>
  <c r="AR766" i="58"/>
  <c r="AP766" i="58"/>
  <c r="AR765" i="58"/>
  <c r="AP765" i="58"/>
  <c r="AR764" i="58"/>
  <c r="AP764" i="58"/>
  <c r="AR763" i="58"/>
  <c r="AP763" i="58"/>
  <c r="AR762" i="58"/>
  <c r="AP762" i="58"/>
  <c r="AR761" i="58"/>
  <c r="AP761" i="58"/>
  <c r="AR760" i="58"/>
  <c r="AP760" i="58"/>
  <c r="AR759" i="58"/>
  <c r="AP759" i="58"/>
  <c r="AR758" i="58"/>
  <c r="AP758" i="58"/>
  <c r="AR757" i="58"/>
  <c r="AP757" i="58"/>
  <c r="AR756" i="58"/>
  <c r="AP756" i="58"/>
  <c r="AR755" i="58"/>
  <c r="AP755" i="58"/>
  <c r="AR754" i="58"/>
  <c r="AP754" i="58"/>
  <c r="AR753" i="58"/>
  <c r="AP753" i="58"/>
  <c r="AR752" i="58"/>
  <c r="AP752" i="58"/>
  <c r="AR751" i="58"/>
  <c r="AP751" i="58"/>
  <c r="AR750" i="58"/>
  <c r="AP750" i="58"/>
  <c r="AR749" i="58"/>
  <c r="AP749" i="58"/>
  <c r="AR748" i="58"/>
  <c r="AP748" i="58"/>
  <c r="AR747" i="58"/>
  <c r="AP747" i="58"/>
  <c r="AR746" i="58"/>
  <c r="AP746" i="58"/>
  <c r="AR745" i="58"/>
  <c r="AP745" i="58"/>
  <c r="AR744" i="58"/>
  <c r="AP744" i="58"/>
  <c r="AR743" i="58"/>
  <c r="AP743" i="58"/>
  <c r="AR742" i="58"/>
  <c r="AP742" i="58"/>
  <c r="AR741" i="58"/>
  <c r="AP741" i="58"/>
  <c r="AR740" i="58"/>
  <c r="AP740" i="58"/>
  <c r="AR739" i="58"/>
  <c r="AP739" i="58"/>
  <c r="AR738" i="58"/>
  <c r="AP738" i="58"/>
  <c r="AR737" i="58"/>
  <c r="AP737" i="58"/>
  <c r="AR736" i="58"/>
  <c r="AP736" i="58"/>
  <c r="AR735" i="58"/>
  <c r="AP735" i="58"/>
  <c r="AR734" i="58"/>
  <c r="AP734" i="58"/>
  <c r="AR733" i="58"/>
  <c r="AP733" i="58"/>
  <c r="AR732" i="58"/>
  <c r="AP732" i="58"/>
  <c r="AR731" i="58"/>
  <c r="AP731" i="58"/>
  <c r="AR730" i="58"/>
  <c r="AP730" i="58"/>
  <c r="AR729" i="58"/>
  <c r="AP729" i="58"/>
  <c r="AR728" i="58"/>
  <c r="AP728" i="58"/>
  <c r="AR727" i="58"/>
  <c r="AP727" i="58"/>
  <c r="AR726" i="58"/>
  <c r="AP726" i="58"/>
  <c r="AR725" i="58"/>
  <c r="AP725" i="58"/>
  <c r="AR724" i="58"/>
  <c r="AP724" i="58"/>
  <c r="AR723" i="58"/>
  <c r="AP723" i="58"/>
  <c r="AR722" i="58"/>
  <c r="AP722" i="58"/>
  <c r="AR721" i="58"/>
  <c r="AP721" i="58"/>
  <c r="AR720" i="58"/>
  <c r="AP720" i="58"/>
  <c r="AR719" i="58"/>
  <c r="AP719" i="58"/>
  <c r="AR718" i="58"/>
  <c r="AP718" i="58"/>
  <c r="AR717" i="58"/>
  <c r="AP717" i="58"/>
  <c r="AR716" i="58"/>
  <c r="AP716" i="58"/>
  <c r="AR715" i="58"/>
  <c r="AP715" i="58"/>
  <c r="AR714" i="58"/>
  <c r="AP714" i="58"/>
  <c r="AR713" i="58"/>
  <c r="AP713" i="58"/>
  <c r="AR712" i="58"/>
  <c r="AP712" i="58"/>
  <c r="AR711" i="58"/>
  <c r="AP711" i="58"/>
  <c r="AR710" i="58"/>
  <c r="AP710" i="58"/>
  <c r="AR709" i="58"/>
  <c r="AP709" i="58"/>
  <c r="AR708" i="58"/>
  <c r="AP708" i="58"/>
  <c r="AR707" i="58"/>
  <c r="AP707" i="58"/>
  <c r="AR706" i="58"/>
  <c r="AP706" i="58"/>
  <c r="AR705" i="58"/>
  <c r="AP705" i="58"/>
  <c r="AR704" i="58"/>
  <c r="AP704" i="58"/>
  <c r="AR703" i="58"/>
  <c r="AP703" i="58"/>
  <c r="AR702" i="58"/>
  <c r="AP702" i="58"/>
  <c r="AR701" i="58"/>
  <c r="AP701" i="58"/>
  <c r="AR700" i="58"/>
  <c r="AP700" i="58"/>
  <c r="AR699" i="58"/>
  <c r="AP699" i="58"/>
  <c r="AR698" i="58"/>
  <c r="AP698" i="58"/>
  <c r="AR697" i="58"/>
  <c r="AP697" i="58"/>
  <c r="AR696" i="58"/>
  <c r="AP696" i="58"/>
  <c r="AR695" i="58"/>
  <c r="AP695" i="58"/>
  <c r="AR694" i="58"/>
  <c r="AP694" i="58"/>
  <c r="AR693" i="58"/>
  <c r="AP693" i="58"/>
  <c r="AR692" i="58"/>
  <c r="AP692" i="58"/>
  <c r="AR691" i="58"/>
  <c r="AP691" i="58"/>
  <c r="AR690" i="58"/>
  <c r="AP690" i="58"/>
  <c r="AR689" i="58"/>
  <c r="AP689" i="58"/>
  <c r="AR688" i="58"/>
  <c r="AP688" i="58"/>
  <c r="AR687" i="58"/>
  <c r="AP687" i="58"/>
  <c r="AR686" i="58"/>
  <c r="AP686" i="58"/>
  <c r="AR685" i="58"/>
  <c r="AP685" i="58"/>
  <c r="AR684" i="58"/>
  <c r="AP684" i="58"/>
  <c r="AR683" i="58"/>
  <c r="AP683" i="58"/>
  <c r="AR682" i="58"/>
  <c r="AP682" i="58"/>
  <c r="AR681" i="58"/>
  <c r="AP681" i="58"/>
  <c r="AR680" i="58"/>
  <c r="AP680" i="58"/>
  <c r="AR679" i="58"/>
  <c r="AP679" i="58"/>
  <c r="AR678" i="58"/>
  <c r="AP678" i="58"/>
  <c r="AR677" i="58"/>
  <c r="AP677" i="58"/>
  <c r="AR676" i="58"/>
  <c r="AP676" i="58"/>
  <c r="AR675" i="58"/>
  <c r="AP675" i="58"/>
  <c r="AR674" i="58"/>
  <c r="AP674" i="58"/>
  <c r="AR673" i="58"/>
  <c r="AP673" i="58"/>
  <c r="AR672" i="58"/>
  <c r="AP672" i="58"/>
  <c r="AR671" i="58"/>
  <c r="AP671" i="58"/>
  <c r="AR670" i="58"/>
  <c r="AP670" i="58"/>
  <c r="AR669" i="58"/>
  <c r="AP669" i="58"/>
  <c r="AR668" i="58"/>
  <c r="AP668" i="58"/>
  <c r="AR667" i="58"/>
  <c r="AP667" i="58"/>
  <c r="AR666" i="58"/>
  <c r="AP666" i="58"/>
  <c r="AR665" i="58"/>
  <c r="AP665" i="58"/>
  <c r="AR664" i="58"/>
  <c r="AP664" i="58"/>
  <c r="AR663" i="58"/>
  <c r="AP663" i="58"/>
  <c r="AR662" i="58"/>
  <c r="AP662" i="58"/>
  <c r="AR661" i="58"/>
  <c r="AP661" i="58"/>
  <c r="AR660" i="58"/>
  <c r="AP660" i="58"/>
  <c r="AR659" i="58"/>
  <c r="AP659" i="58"/>
  <c r="AR658" i="58"/>
  <c r="AP658" i="58"/>
  <c r="AR657" i="58"/>
  <c r="AP657" i="58"/>
  <c r="AR656" i="58"/>
  <c r="AP656" i="58"/>
  <c r="AR655" i="58"/>
  <c r="AP655" i="58"/>
  <c r="AR654" i="58"/>
  <c r="AP654" i="58"/>
  <c r="AR653" i="58"/>
  <c r="AP653" i="58"/>
  <c r="AR652" i="58"/>
  <c r="AP652" i="58"/>
  <c r="AR651" i="58"/>
  <c r="AP651" i="58"/>
  <c r="AR650" i="58"/>
  <c r="AP650" i="58"/>
  <c r="AR649" i="58"/>
  <c r="AP649" i="58"/>
  <c r="AR648" i="58"/>
  <c r="AP648" i="58"/>
  <c r="AR647" i="58"/>
  <c r="AP647" i="58"/>
  <c r="AR646" i="58"/>
  <c r="AP646" i="58"/>
  <c r="AR645" i="58"/>
  <c r="AP645" i="58"/>
  <c r="AR644" i="58"/>
  <c r="AP644" i="58"/>
  <c r="AR643" i="58"/>
  <c r="AP643" i="58"/>
  <c r="AR642" i="58"/>
  <c r="AP642" i="58"/>
  <c r="AR641" i="58"/>
  <c r="AP641" i="58"/>
  <c r="AR640" i="58"/>
  <c r="AP640" i="58"/>
  <c r="AR639" i="58"/>
  <c r="AP639" i="58"/>
  <c r="AR638" i="58"/>
  <c r="AP638" i="58"/>
  <c r="AR637" i="58"/>
  <c r="AP637" i="58"/>
  <c r="AR636" i="58"/>
  <c r="AP636" i="58"/>
  <c r="AR635" i="58"/>
  <c r="AP635" i="58"/>
  <c r="AR634" i="58"/>
  <c r="AP634" i="58"/>
  <c r="AR633" i="58"/>
  <c r="AP633" i="58"/>
  <c r="AR632" i="58"/>
  <c r="AP632" i="58"/>
  <c r="AR631" i="58"/>
  <c r="AP631" i="58"/>
  <c r="AR630" i="58"/>
  <c r="AP630" i="58"/>
  <c r="AR629" i="58"/>
  <c r="AP629" i="58"/>
  <c r="AR628" i="58"/>
  <c r="AP628" i="58"/>
  <c r="AR627" i="58"/>
  <c r="AP627" i="58"/>
  <c r="AR626" i="58"/>
  <c r="AP626" i="58"/>
  <c r="AR625" i="58"/>
  <c r="AP625" i="58"/>
  <c r="AR624" i="58"/>
  <c r="AP624" i="58"/>
  <c r="AR623" i="58"/>
  <c r="AP623" i="58"/>
  <c r="AR622" i="58"/>
  <c r="AP622" i="58"/>
  <c r="AR621" i="58"/>
  <c r="AP621" i="58"/>
  <c r="AR620" i="58"/>
  <c r="AP620" i="58"/>
  <c r="AR619" i="58"/>
  <c r="AP619" i="58"/>
  <c r="AR618" i="58"/>
  <c r="AP618" i="58"/>
  <c r="AR617" i="58"/>
  <c r="AP617" i="58"/>
  <c r="AR616" i="58"/>
  <c r="AP616" i="58"/>
  <c r="AR615" i="58"/>
  <c r="AP615" i="58"/>
  <c r="AR614" i="58"/>
  <c r="AP614" i="58"/>
  <c r="AR613" i="58"/>
  <c r="AP613" i="58"/>
  <c r="AR612" i="58"/>
  <c r="AP612" i="58"/>
  <c r="AR611" i="58"/>
  <c r="AP611" i="58"/>
  <c r="AR610" i="58"/>
  <c r="AP610" i="58"/>
  <c r="AR609" i="58"/>
  <c r="AP609" i="58"/>
  <c r="AR608" i="58"/>
  <c r="AP608" i="58"/>
  <c r="AR607" i="58"/>
  <c r="AP607" i="58"/>
  <c r="AR606" i="58"/>
  <c r="AP606" i="58"/>
  <c r="AR605" i="58"/>
  <c r="AP605" i="58"/>
  <c r="AR604" i="58"/>
  <c r="AP604" i="58"/>
  <c r="AR603" i="58"/>
  <c r="AP603" i="58"/>
  <c r="AR602" i="58"/>
  <c r="AP602" i="58"/>
  <c r="AR601" i="58"/>
  <c r="AP601" i="58"/>
  <c r="AR600" i="58"/>
  <c r="AP600" i="58"/>
  <c r="AR599" i="58"/>
  <c r="AP599" i="58"/>
  <c r="AR598" i="58"/>
  <c r="AP598" i="58"/>
  <c r="AR597" i="58"/>
  <c r="AP597" i="58"/>
  <c r="AR596" i="58"/>
  <c r="AP596" i="58"/>
  <c r="AR595" i="58"/>
  <c r="AP595" i="58"/>
  <c r="AR594" i="58"/>
  <c r="AP594" i="58"/>
  <c r="AR593" i="58"/>
  <c r="AP593" i="58"/>
  <c r="AR592" i="58"/>
  <c r="AP592" i="58"/>
  <c r="AR591" i="58"/>
  <c r="AP591" i="58"/>
  <c r="AR590" i="58"/>
  <c r="AP590" i="58"/>
  <c r="AR589" i="58"/>
  <c r="AP589" i="58"/>
  <c r="AR588" i="58"/>
  <c r="AP588" i="58"/>
  <c r="AR587" i="58"/>
  <c r="AP587" i="58"/>
  <c r="AR586" i="58"/>
  <c r="AP586" i="58"/>
  <c r="AR585" i="58"/>
  <c r="AP585" i="58"/>
  <c r="AR584" i="58"/>
  <c r="AP584" i="58"/>
  <c r="AR583" i="58"/>
  <c r="AP583" i="58"/>
  <c r="AR582" i="58"/>
  <c r="AP582" i="58"/>
  <c r="AR581" i="58"/>
  <c r="AP581" i="58"/>
  <c r="AR580" i="58"/>
  <c r="AP580" i="58"/>
  <c r="AR579" i="58"/>
  <c r="AP579" i="58"/>
  <c r="AR578" i="58"/>
  <c r="AP578" i="58"/>
  <c r="AR577" i="58"/>
  <c r="AP577" i="58"/>
  <c r="AR576" i="58"/>
  <c r="AP576" i="58"/>
  <c r="AR575" i="58"/>
  <c r="AP575" i="58"/>
  <c r="AR574" i="58"/>
  <c r="AP574" i="58"/>
  <c r="AR573" i="58"/>
  <c r="AP573" i="58"/>
  <c r="AR572" i="58"/>
  <c r="AP572" i="58"/>
  <c r="AR571" i="58"/>
  <c r="AP571" i="58"/>
  <c r="AR570" i="58"/>
  <c r="AP570" i="58"/>
  <c r="AR569" i="58"/>
  <c r="AP569" i="58"/>
  <c r="AR568" i="58"/>
  <c r="AP568" i="58"/>
  <c r="AR567" i="58"/>
  <c r="AP567" i="58"/>
  <c r="AR566" i="58"/>
  <c r="AP566" i="58"/>
  <c r="AR565" i="58"/>
  <c r="AP565" i="58"/>
  <c r="AR564" i="58"/>
  <c r="AP564" i="58"/>
  <c r="AR563" i="58"/>
  <c r="AP563" i="58"/>
  <c r="AR562" i="58"/>
  <c r="AP562" i="58"/>
  <c r="AR561" i="58"/>
  <c r="AP561" i="58"/>
  <c r="AR560" i="58"/>
  <c r="AP560" i="58"/>
  <c r="AR559" i="58"/>
  <c r="AP559" i="58"/>
  <c r="AR558" i="58"/>
  <c r="AP558" i="58"/>
  <c r="AR557" i="58"/>
  <c r="AP557" i="58"/>
  <c r="AR556" i="58"/>
  <c r="AP556" i="58"/>
  <c r="AR555" i="58"/>
  <c r="AP555" i="58"/>
  <c r="AR554" i="58"/>
  <c r="AP554" i="58"/>
  <c r="AR553" i="58"/>
  <c r="AP553" i="58"/>
  <c r="AR552" i="58"/>
  <c r="AP552" i="58"/>
  <c r="AR551" i="58"/>
  <c r="AP551" i="58"/>
  <c r="AR550" i="58"/>
  <c r="AP550" i="58"/>
  <c r="AR549" i="58"/>
  <c r="AP549" i="58"/>
  <c r="AR548" i="58"/>
  <c r="AP548" i="58"/>
  <c r="AR547" i="58"/>
  <c r="AP547" i="58"/>
  <c r="AR546" i="58"/>
  <c r="AP546" i="58"/>
  <c r="AR545" i="58"/>
  <c r="AP545" i="58"/>
  <c r="AR544" i="58"/>
  <c r="AP544" i="58"/>
  <c r="AR543" i="58"/>
  <c r="AP543" i="58"/>
  <c r="AR542" i="58"/>
  <c r="AP542" i="58"/>
  <c r="AR541" i="58"/>
  <c r="AP541" i="58"/>
  <c r="AR540" i="58"/>
  <c r="AP540" i="58"/>
  <c r="AR539" i="58"/>
  <c r="AP539" i="58"/>
  <c r="AR538" i="58"/>
  <c r="AP538" i="58"/>
  <c r="AR537" i="58"/>
  <c r="AP537" i="58"/>
  <c r="AR536" i="58"/>
  <c r="AP536" i="58"/>
  <c r="AR535" i="58"/>
  <c r="AP535" i="58"/>
  <c r="AR534" i="58"/>
  <c r="AP534" i="58"/>
  <c r="AR533" i="58"/>
  <c r="AP533" i="58"/>
  <c r="AR532" i="58"/>
  <c r="AP532" i="58"/>
  <c r="AR531" i="58"/>
  <c r="AP531" i="58"/>
  <c r="AR530" i="58"/>
  <c r="AP530" i="58"/>
  <c r="AR529" i="58"/>
  <c r="AP529" i="58"/>
  <c r="AR528" i="58"/>
  <c r="AP528" i="58"/>
  <c r="AR527" i="58"/>
  <c r="AP527" i="58"/>
  <c r="AR526" i="58"/>
  <c r="AP526" i="58"/>
  <c r="AR525" i="58"/>
  <c r="AP525" i="58"/>
  <c r="AR524" i="58"/>
  <c r="AP524" i="58"/>
  <c r="AR523" i="58"/>
  <c r="AP523" i="58"/>
  <c r="AR522" i="58"/>
  <c r="AP522" i="58"/>
  <c r="AR521" i="58"/>
  <c r="AP521" i="58"/>
  <c r="AR520" i="58"/>
  <c r="AP520" i="58"/>
  <c r="AR519" i="58"/>
  <c r="AP519" i="58"/>
  <c r="AR518" i="58"/>
  <c r="AP518" i="58"/>
  <c r="AR517" i="58"/>
  <c r="AP517" i="58"/>
  <c r="AR516" i="58"/>
  <c r="AP516" i="58"/>
  <c r="AR515" i="58"/>
  <c r="AP515" i="58"/>
  <c r="AR514" i="58"/>
  <c r="AP514" i="58"/>
  <c r="AR513" i="58"/>
  <c r="AP513" i="58"/>
  <c r="AR512" i="58"/>
  <c r="AP512" i="58"/>
  <c r="AR511" i="58"/>
  <c r="AP511" i="58"/>
  <c r="AR510" i="58"/>
  <c r="AP510" i="58"/>
  <c r="AR509" i="58"/>
  <c r="AP509" i="58"/>
  <c r="AR508" i="58"/>
  <c r="AP508" i="58"/>
  <c r="AR507" i="58"/>
  <c r="AP507" i="58"/>
  <c r="AR506" i="58"/>
  <c r="AP506" i="58"/>
  <c r="AR505" i="58"/>
  <c r="AP505" i="58"/>
  <c r="AR504" i="58"/>
  <c r="AP504" i="58"/>
  <c r="AR503" i="58"/>
  <c r="AP503" i="58"/>
  <c r="AR502" i="58"/>
  <c r="AP502" i="58"/>
  <c r="AR501" i="58"/>
  <c r="AP501" i="58"/>
  <c r="AR500" i="58"/>
  <c r="AP500" i="58"/>
  <c r="AR499" i="58"/>
  <c r="AP499" i="58"/>
  <c r="AR498" i="58"/>
  <c r="AP498" i="58"/>
  <c r="AR497" i="58"/>
  <c r="AP497" i="58"/>
  <c r="AR496" i="58"/>
  <c r="AP496" i="58"/>
  <c r="AR495" i="58"/>
  <c r="AP495" i="58"/>
  <c r="AR494" i="58"/>
  <c r="AP494" i="58"/>
  <c r="AR493" i="58"/>
  <c r="AP493" i="58"/>
  <c r="AR492" i="58"/>
  <c r="AP492" i="58"/>
  <c r="AR491" i="58"/>
  <c r="AP491" i="58"/>
  <c r="AR490" i="58"/>
  <c r="AP490" i="58"/>
  <c r="AR489" i="58"/>
  <c r="AP489" i="58"/>
  <c r="AR488" i="58"/>
  <c r="AP488" i="58"/>
  <c r="AR487" i="58"/>
  <c r="AP487" i="58"/>
  <c r="AR486" i="58"/>
  <c r="AP486" i="58"/>
  <c r="AR485" i="58"/>
  <c r="AP485" i="58"/>
  <c r="AR484" i="58"/>
  <c r="AP484" i="58"/>
  <c r="AR483" i="58"/>
  <c r="AP483" i="58"/>
  <c r="AR482" i="58"/>
  <c r="AP482" i="58"/>
  <c r="AR481" i="58"/>
  <c r="AP481" i="58"/>
  <c r="AR480" i="58"/>
  <c r="AP480" i="58"/>
  <c r="AR479" i="58"/>
  <c r="AP479" i="58"/>
  <c r="AR478" i="58"/>
  <c r="AP478" i="58"/>
  <c r="AR477" i="58"/>
  <c r="AP477" i="58"/>
  <c r="AR476" i="58"/>
  <c r="AP476" i="58"/>
  <c r="AR475" i="58"/>
  <c r="AP475" i="58"/>
  <c r="AR474" i="58"/>
  <c r="AP474" i="58"/>
  <c r="AR473" i="58"/>
  <c r="AP473" i="58"/>
  <c r="AR472" i="58"/>
  <c r="AP472" i="58"/>
  <c r="AR471" i="58"/>
  <c r="AP471" i="58"/>
  <c r="AR470" i="58"/>
  <c r="AP470" i="58"/>
  <c r="AR469" i="58"/>
  <c r="AP469" i="58"/>
  <c r="AR468" i="58"/>
  <c r="AP468" i="58"/>
  <c r="AR467" i="58"/>
  <c r="AP467" i="58"/>
  <c r="AR466" i="58"/>
  <c r="AP466" i="58"/>
  <c r="AR465" i="58"/>
  <c r="AP465" i="58"/>
  <c r="AR464" i="58"/>
  <c r="AP464" i="58"/>
  <c r="AR463" i="58"/>
  <c r="AP463" i="58"/>
  <c r="AR462" i="58"/>
  <c r="AP462" i="58"/>
  <c r="AR461" i="58"/>
  <c r="AP461" i="58"/>
  <c r="AR460" i="58"/>
  <c r="AP460" i="58"/>
  <c r="AR459" i="58"/>
  <c r="AP459" i="58"/>
  <c r="AR458" i="58"/>
  <c r="AP458" i="58"/>
  <c r="AR457" i="58"/>
  <c r="AP457" i="58"/>
  <c r="AR456" i="58"/>
  <c r="AP456" i="58"/>
  <c r="AR455" i="58"/>
  <c r="AP455" i="58"/>
  <c r="AR454" i="58"/>
  <c r="AP454" i="58"/>
  <c r="AR453" i="58"/>
  <c r="AP453" i="58"/>
  <c r="AR452" i="58"/>
  <c r="AP452" i="58"/>
  <c r="AR451" i="58"/>
  <c r="AP451" i="58"/>
  <c r="AR450" i="58"/>
  <c r="AP450" i="58"/>
  <c r="AR449" i="58"/>
  <c r="AP449" i="58"/>
  <c r="AR448" i="58"/>
  <c r="AP448" i="58"/>
  <c r="AR447" i="58"/>
  <c r="AP447" i="58"/>
  <c r="AR446" i="58"/>
  <c r="AP446" i="58"/>
  <c r="AR445" i="58"/>
  <c r="AP445" i="58"/>
  <c r="AR444" i="58"/>
  <c r="AP444" i="58"/>
  <c r="AR443" i="58"/>
  <c r="AP443" i="58"/>
  <c r="AR442" i="58"/>
  <c r="AP442" i="58"/>
  <c r="AR441" i="58"/>
  <c r="AP441" i="58"/>
  <c r="AR440" i="58"/>
  <c r="AP440" i="58"/>
  <c r="AR439" i="58"/>
  <c r="AP439" i="58"/>
  <c r="AR438" i="58"/>
  <c r="AP438" i="58"/>
  <c r="AR437" i="58"/>
  <c r="AP437" i="58"/>
  <c r="AR436" i="58"/>
  <c r="AP436" i="58"/>
  <c r="AR435" i="58"/>
  <c r="AP435" i="58"/>
  <c r="AR434" i="58"/>
  <c r="AP434" i="58"/>
  <c r="AR433" i="58"/>
  <c r="AP433" i="58"/>
  <c r="AR432" i="58"/>
  <c r="AP432" i="58"/>
  <c r="AR431" i="58"/>
  <c r="AP431" i="58"/>
  <c r="AR430" i="58"/>
  <c r="AP430" i="58"/>
  <c r="AR429" i="58"/>
  <c r="AP429" i="58"/>
  <c r="AR428" i="58"/>
  <c r="AP428" i="58"/>
  <c r="AR427" i="58"/>
  <c r="AP427" i="58"/>
  <c r="AR426" i="58"/>
  <c r="AP426" i="58"/>
  <c r="AR425" i="58"/>
  <c r="AP425" i="58"/>
  <c r="AR424" i="58"/>
  <c r="AP424" i="58"/>
  <c r="AR423" i="58"/>
  <c r="AP423" i="58"/>
  <c r="AR422" i="58"/>
  <c r="AP422" i="58"/>
  <c r="AR421" i="58"/>
  <c r="AP421" i="58"/>
  <c r="AR420" i="58"/>
  <c r="AP420" i="58"/>
  <c r="AR419" i="58"/>
  <c r="AP419" i="58"/>
  <c r="AR418" i="58"/>
  <c r="AP418" i="58"/>
  <c r="AR417" i="58"/>
  <c r="AP417" i="58"/>
  <c r="AR416" i="58"/>
  <c r="AP416" i="58"/>
  <c r="AR415" i="58"/>
  <c r="AP415" i="58"/>
  <c r="AR414" i="58"/>
  <c r="AP414" i="58"/>
  <c r="AR413" i="58"/>
  <c r="AP413" i="58"/>
  <c r="AR412" i="58"/>
  <c r="AP412" i="58"/>
  <c r="AR411" i="58"/>
  <c r="AP411" i="58"/>
  <c r="AR410" i="58"/>
  <c r="AP410" i="58"/>
  <c r="AR409" i="58"/>
  <c r="AP409" i="58"/>
  <c r="AR408" i="58"/>
  <c r="AP408" i="58"/>
  <c r="AR407" i="58"/>
  <c r="AP407" i="58"/>
  <c r="AR406" i="58"/>
  <c r="AP406" i="58"/>
  <c r="AR405" i="58"/>
  <c r="AP405" i="58"/>
  <c r="AR404" i="58"/>
  <c r="AP404" i="58"/>
  <c r="AR403" i="58"/>
  <c r="AP403" i="58"/>
  <c r="AR402" i="58"/>
  <c r="AP402" i="58"/>
  <c r="AR401" i="58"/>
  <c r="AP401" i="58"/>
  <c r="AR400" i="58"/>
  <c r="AP400" i="58"/>
  <c r="AR399" i="58"/>
  <c r="AP399" i="58"/>
  <c r="AR398" i="58"/>
  <c r="AP398" i="58"/>
  <c r="AR397" i="58"/>
  <c r="AP397" i="58"/>
  <c r="AR396" i="58"/>
  <c r="AP396" i="58"/>
  <c r="AR395" i="58"/>
  <c r="AP395" i="58"/>
  <c r="AR394" i="58"/>
  <c r="AP394" i="58"/>
  <c r="AR393" i="58"/>
  <c r="AP393" i="58"/>
  <c r="AR392" i="58"/>
  <c r="AP392" i="58"/>
  <c r="AR391" i="58"/>
  <c r="AP391" i="58"/>
  <c r="AR390" i="58"/>
  <c r="AP390" i="58"/>
  <c r="AR389" i="58"/>
  <c r="AP389" i="58"/>
  <c r="AR388" i="58"/>
  <c r="AP388" i="58"/>
  <c r="AR387" i="58"/>
  <c r="AP387" i="58"/>
  <c r="AR386" i="58"/>
  <c r="AP386" i="58"/>
  <c r="AR385" i="58"/>
  <c r="AP385" i="58"/>
  <c r="AR384" i="58"/>
  <c r="AP384" i="58"/>
  <c r="AR383" i="58"/>
  <c r="AP383" i="58"/>
  <c r="AR382" i="58"/>
  <c r="AP382" i="58"/>
  <c r="AR381" i="58"/>
  <c r="AP381" i="58"/>
  <c r="AR380" i="58"/>
  <c r="AP380" i="58"/>
  <c r="AR379" i="58"/>
  <c r="AP379" i="58"/>
  <c r="AR378" i="58"/>
  <c r="AP378" i="58"/>
  <c r="AR377" i="58"/>
  <c r="AP377" i="58"/>
  <c r="AR376" i="58"/>
  <c r="AP376" i="58"/>
  <c r="AR375" i="58"/>
  <c r="AP375" i="58"/>
  <c r="AR374" i="58"/>
  <c r="AP374" i="58"/>
  <c r="AR373" i="58"/>
  <c r="AP373" i="58"/>
  <c r="AR372" i="58"/>
  <c r="AP372" i="58"/>
  <c r="AR371" i="58"/>
  <c r="AP371" i="58"/>
  <c r="AR370" i="58"/>
  <c r="AP370" i="58"/>
  <c r="AR369" i="58"/>
  <c r="AP369" i="58"/>
  <c r="AR368" i="58"/>
  <c r="AP368" i="58"/>
  <c r="AR367" i="58"/>
  <c r="AP367" i="58"/>
  <c r="AR366" i="58"/>
  <c r="AP366" i="58"/>
  <c r="AR365" i="58"/>
  <c r="AP365" i="58"/>
  <c r="AR364" i="58"/>
  <c r="AP364" i="58"/>
  <c r="AR363" i="58"/>
  <c r="AP363" i="58"/>
  <c r="AR362" i="58"/>
  <c r="AP362" i="58"/>
  <c r="AR361" i="58"/>
  <c r="AP361" i="58"/>
  <c r="AR360" i="58"/>
  <c r="AP360" i="58"/>
  <c r="AR359" i="58"/>
  <c r="AP359" i="58"/>
  <c r="AR358" i="58"/>
  <c r="AP358" i="58"/>
  <c r="AR357" i="58"/>
  <c r="AP357" i="58"/>
  <c r="AR356" i="58"/>
  <c r="AP356" i="58"/>
  <c r="AR355" i="58"/>
  <c r="AP355" i="58"/>
  <c r="AR354" i="58"/>
  <c r="AP354" i="58"/>
  <c r="AR353" i="58"/>
  <c r="AP353" i="58"/>
  <c r="AR352" i="58"/>
  <c r="AP352" i="58"/>
  <c r="AR351" i="58"/>
  <c r="AP351" i="58"/>
  <c r="AR350" i="58"/>
  <c r="AP350" i="58"/>
  <c r="AR349" i="58"/>
  <c r="AP349" i="58"/>
  <c r="AR348" i="58"/>
  <c r="AP348" i="58"/>
  <c r="AR347" i="58"/>
  <c r="AP347" i="58"/>
  <c r="AR346" i="58"/>
  <c r="AP346" i="58"/>
  <c r="AR345" i="58"/>
  <c r="AP345" i="58"/>
  <c r="AR344" i="58"/>
  <c r="AP344" i="58"/>
  <c r="AR343" i="58"/>
  <c r="AP343" i="58"/>
  <c r="AR342" i="58"/>
  <c r="AP342" i="58"/>
  <c r="AR341" i="58"/>
  <c r="AP341" i="58"/>
  <c r="AR340" i="58"/>
  <c r="AP340" i="58"/>
  <c r="AR339" i="58"/>
  <c r="AP339" i="58"/>
  <c r="AR338" i="58"/>
  <c r="AP338" i="58"/>
  <c r="AR337" i="58"/>
  <c r="AP337" i="58"/>
  <c r="AR336" i="58"/>
  <c r="AP336" i="58"/>
  <c r="AR335" i="58"/>
  <c r="AP335" i="58"/>
  <c r="AR334" i="58"/>
  <c r="AP334" i="58"/>
  <c r="AR333" i="58"/>
  <c r="AP333" i="58"/>
  <c r="AR332" i="58"/>
  <c r="AP332" i="58"/>
  <c r="AR331" i="58"/>
  <c r="AP331" i="58"/>
  <c r="AR330" i="58"/>
  <c r="AP330" i="58"/>
  <c r="AR329" i="58"/>
  <c r="AP329" i="58"/>
  <c r="AR328" i="58"/>
  <c r="AP328" i="58"/>
  <c r="AR327" i="58"/>
  <c r="AP327" i="58"/>
  <c r="AR326" i="58"/>
  <c r="AP326" i="58"/>
  <c r="AR325" i="58"/>
  <c r="AP325" i="58"/>
  <c r="AR324" i="58"/>
  <c r="AP324" i="58"/>
  <c r="AR323" i="58"/>
  <c r="AP323" i="58"/>
  <c r="AR322" i="58"/>
  <c r="AP322" i="58"/>
  <c r="AR321" i="58"/>
  <c r="AP321" i="58"/>
  <c r="AR320" i="58"/>
  <c r="AP320" i="58"/>
  <c r="AR319" i="58"/>
  <c r="AP319" i="58"/>
  <c r="AR318" i="58"/>
  <c r="AP318" i="58"/>
  <c r="AR317" i="58"/>
  <c r="AP317" i="58"/>
  <c r="AR316" i="58"/>
  <c r="AP316" i="58"/>
  <c r="AR315" i="58"/>
  <c r="AP315" i="58"/>
  <c r="AR314" i="58"/>
  <c r="AP314" i="58"/>
  <c r="AR313" i="58"/>
  <c r="AP313" i="58"/>
  <c r="AR312" i="58"/>
  <c r="AP312" i="58"/>
  <c r="AR311" i="58"/>
  <c r="AP311" i="58"/>
  <c r="AR310" i="58"/>
  <c r="AP310" i="58"/>
  <c r="AR309" i="58"/>
  <c r="AP309" i="58"/>
  <c r="AR308" i="58"/>
  <c r="AP308" i="58"/>
  <c r="AR307" i="58"/>
  <c r="AP307" i="58"/>
  <c r="AR306" i="58"/>
  <c r="AP306" i="58"/>
  <c r="AR305" i="58"/>
  <c r="AP305" i="58"/>
  <c r="AR304" i="58"/>
  <c r="AP304" i="58"/>
  <c r="AR303" i="58"/>
  <c r="AP303" i="58"/>
  <c r="AR302" i="58"/>
  <c r="AP302" i="58"/>
  <c r="AR301" i="58"/>
  <c r="AP301" i="58"/>
  <c r="AR300" i="58"/>
  <c r="AP300" i="58"/>
  <c r="AR299" i="58"/>
  <c r="AP299" i="58"/>
  <c r="AR298" i="58"/>
  <c r="AP298" i="58"/>
  <c r="AR297" i="58"/>
  <c r="AP297" i="58"/>
  <c r="AR296" i="58"/>
  <c r="AP296" i="58"/>
  <c r="AR295" i="58"/>
  <c r="AP295" i="58"/>
  <c r="AR294" i="58"/>
  <c r="AP294" i="58"/>
  <c r="AR293" i="58"/>
  <c r="AP293" i="58"/>
  <c r="AR292" i="58"/>
  <c r="AP292" i="58"/>
  <c r="AR291" i="58"/>
  <c r="AP291" i="58"/>
  <c r="AR290" i="58"/>
  <c r="AP290" i="58"/>
  <c r="AR289" i="58"/>
  <c r="AP289" i="58"/>
  <c r="AR288" i="58"/>
  <c r="AP288" i="58"/>
  <c r="AR287" i="58"/>
  <c r="AP287" i="58"/>
  <c r="AR286" i="58"/>
  <c r="AP286" i="58"/>
  <c r="AR285" i="58"/>
  <c r="AP285" i="58"/>
  <c r="AR284" i="58"/>
  <c r="AP284" i="58"/>
  <c r="AR283" i="58"/>
  <c r="AP283" i="58"/>
  <c r="AR282" i="58"/>
  <c r="AP282" i="58"/>
  <c r="AR281" i="58"/>
  <c r="AP281" i="58"/>
  <c r="AR280" i="58"/>
  <c r="AP280" i="58"/>
  <c r="AR279" i="58"/>
  <c r="AP279" i="58"/>
  <c r="AR278" i="58"/>
  <c r="AP278" i="58"/>
  <c r="AR277" i="58"/>
  <c r="AP277" i="58"/>
  <c r="AR276" i="58"/>
  <c r="AP276" i="58"/>
  <c r="AR275" i="58"/>
  <c r="AP275" i="58"/>
  <c r="AR274" i="58"/>
  <c r="AP274" i="58"/>
  <c r="AR273" i="58"/>
  <c r="AP273" i="58"/>
  <c r="AR272" i="58"/>
  <c r="AP272" i="58"/>
  <c r="AR271" i="58"/>
  <c r="AP271" i="58"/>
  <c r="AR270" i="58"/>
  <c r="AP270" i="58"/>
  <c r="AR269" i="58"/>
  <c r="AP269" i="58"/>
  <c r="AR268" i="58"/>
  <c r="AP268" i="58"/>
  <c r="AR267" i="58"/>
  <c r="AP267" i="58"/>
  <c r="AR266" i="58"/>
  <c r="AP266" i="58"/>
  <c r="AR265" i="58"/>
  <c r="AP265" i="58"/>
  <c r="AR264" i="58"/>
  <c r="AP264" i="58"/>
  <c r="AR263" i="58"/>
  <c r="AP263" i="58"/>
  <c r="AR262" i="58"/>
  <c r="AP262" i="58"/>
  <c r="AR261" i="58"/>
  <c r="AP261" i="58"/>
  <c r="AR260" i="58"/>
  <c r="AP260" i="58"/>
  <c r="AR259" i="58"/>
  <c r="AP259" i="58"/>
  <c r="AR258" i="58"/>
  <c r="AP258" i="58"/>
  <c r="AR257" i="58"/>
  <c r="AP257" i="58"/>
  <c r="AR256" i="58"/>
  <c r="AP256" i="58"/>
  <c r="AR255" i="58"/>
  <c r="AP255" i="58"/>
  <c r="AR254" i="58"/>
  <c r="AP254" i="58"/>
  <c r="AR253" i="58"/>
  <c r="AP253" i="58"/>
  <c r="AR252" i="58"/>
  <c r="AP252" i="58"/>
  <c r="AR251" i="58"/>
  <c r="AP251" i="58"/>
  <c r="AR250" i="58"/>
  <c r="AP250" i="58"/>
  <c r="AR249" i="58"/>
  <c r="AP249" i="58"/>
  <c r="AR248" i="58"/>
  <c r="AP248" i="58"/>
  <c r="AR247" i="58"/>
  <c r="AP247" i="58"/>
  <c r="AR246" i="58"/>
  <c r="AP246" i="58"/>
  <c r="AR245" i="58"/>
  <c r="AP245" i="58"/>
  <c r="AR244" i="58"/>
  <c r="AP244" i="58"/>
  <c r="AR243" i="58"/>
  <c r="AP243" i="58"/>
  <c r="AR242" i="58"/>
  <c r="AP242" i="58"/>
  <c r="AR241" i="58"/>
  <c r="AP241" i="58"/>
  <c r="AR240" i="58"/>
  <c r="AP240" i="58"/>
  <c r="AR239" i="58"/>
  <c r="AP239" i="58"/>
  <c r="AR238" i="58"/>
  <c r="AP238" i="58"/>
  <c r="AR237" i="58"/>
  <c r="AP237" i="58"/>
  <c r="AR236" i="58"/>
  <c r="AP236" i="58"/>
  <c r="AR235" i="58"/>
  <c r="AP235" i="58"/>
  <c r="AR234" i="58"/>
  <c r="AP234" i="58"/>
  <c r="AR233" i="58"/>
  <c r="AP233" i="58"/>
  <c r="AR232" i="58"/>
  <c r="AP232" i="58"/>
  <c r="AR231" i="58"/>
  <c r="AP231" i="58"/>
  <c r="AR230" i="58"/>
  <c r="AP230" i="58"/>
  <c r="AR229" i="58"/>
  <c r="AP229" i="58"/>
  <c r="AR228" i="58"/>
  <c r="AP228" i="58"/>
  <c r="AR227" i="58"/>
  <c r="AP227" i="58"/>
  <c r="AR226" i="58"/>
  <c r="AP226" i="58"/>
  <c r="AR225" i="58"/>
  <c r="AP225" i="58"/>
  <c r="AR224" i="58"/>
  <c r="AP224" i="58"/>
  <c r="AR223" i="58"/>
  <c r="AP223" i="58"/>
  <c r="AR222" i="58"/>
  <c r="AP222" i="58"/>
  <c r="AR221" i="58"/>
  <c r="AP221" i="58"/>
  <c r="AR220" i="58"/>
  <c r="AP220" i="58"/>
  <c r="AR219" i="58"/>
  <c r="AP219" i="58"/>
  <c r="AR218" i="58"/>
  <c r="AP218" i="58"/>
  <c r="AR217" i="58"/>
  <c r="AP217" i="58"/>
  <c r="AR216" i="58"/>
  <c r="AP216" i="58"/>
  <c r="AR215" i="58"/>
  <c r="AP215" i="58"/>
  <c r="AR214" i="58"/>
  <c r="AP214" i="58"/>
  <c r="AR213" i="58"/>
  <c r="AP213" i="58"/>
  <c r="AR212" i="58"/>
  <c r="AP212" i="58"/>
  <c r="AR211" i="58"/>
  <c r="AP211" i="58"/>
  <c r="AR210" i="58"/>
  <c r="AP210" i="58"/>
  <c r="AR209" i="58"/>
  <c r="AP209" i="58"/>
  <c r="AR208" i="58"/>
  <c r="AP208" i="58"/>
  <c r="AR207" i="58"/>
  <c r="AP207" i="58"/>
  <c r="AR206" i="58"/>
  <c r="AP206" i="58"/>
  <c r="AR205" i="58"/>
  <c r="AP205" i="58"/>
  <c r="AR204" i="58"/>
  <c r="AP204" i="58"/>
  <c r="AR203" i="58"/>
  <c r="AP203" i="58"/>
  <c r="AR202" i="58"/>
  <c r="AP202" i="58"/>
  <c r="AR201" i="58"/>
  <c r="AP201" i="58"/>
  <c r="AR200" i="58"/>
  <c r="AP200" i="58"/>
  <c r="AR199" i="58"/>
  <c r="AP199" i="58"/>
  <c r="AR198" i="58"/>
  <c r="AP198" i="58"/>
  <c r="AR197" i="58"/>
  <c r="AP197" i="58"/>
  <c r="AR196" i="58"/>
  <c r="AP196" i="58"/>
  <c r="AR195" i="58"/>
  <c r="AP195" i="58"/>
  <c r="AR194" i="58"/>
  <c r="AP194" i="58"/>
  <c r="AR193" i="58"/>
  <c r="AP193" i="58"/>
  <c r="AR192" i="58"/>
  <c r="AP192" i="58"/>
  <c r="AR191" i="58"/>
  <c r="AP191" i="58"/>
  <c r="AR190" i="58"/>
  <c r="AP190" i="58"/>
  <c r="AR189" i="58"/>
  <c r="AP189" i="58"/>
  <c r="AR188" i="58"/>
  <c r="AP188" i="58"/>
  <c r="AR187" i="58"/>
  <c r="AP187" i="58"/>
  <c r="AR186" i="58"/>
  <c r="AP186" i="58"/>
  <c r="AR185" i="58"/>
  <c r="AP185" i="58"/>
  <c r="AR184" i="58"/>
  <c r="AP184" i="58"/>
  <c r="AR183" i="58"/>
  <c r="AP183" i="58"/>
  <c r="AR182" i="58"/>
  <c r="AP182" i="58"/>
  <c r="AR181" i="58"/>
  <c r="AP181" i="58"/>
  <c r="AR180" i="58"/>
  <c r="AP180" i="58"/>
  <c r="AR179" i="58"/>
  <c r="AP179" i="58"/>
  <c r="AR178" i="58"/>
  <c r="AP178" i="58"/>
  <c r="AR177" i="58"/>
  <c r="AP177" i="58"/>
  <c r="AR176" i="58"/>
  <c r="AP176" i="58"/>
  <c r="AR175" i="58"/>
  <c r="AP175" i="58"/>
  <c r="AR174" i="58"/>
  <c r="AP174" i="58"/>
  <c r="AR173" i="58"/>
  <c r="AP173" i="58"/>
  <c r="AR172" i="58"/>
  <c r="AP172" i="58"/>
  <c r="AR171" i="58"/>
  <c r="AP171" i="58"/>
  <c r="AR170" i="58"/>
  <c r="AP170" i="58"/>
  <c r="AR169" i="58"/>
  <c r="AP169" i="58"/>
  <c r="AR168" i="58"/>
  <c r="AP168" i="58"/>
  <c r="AR167" i="58"/>
  <c r="AP167" i="58"/>
  <c r="AR166" i="58"/>
  <c r="AP166" i="58"/>
  <c r="AR165" i="58"/>
  <c r="AP165" i="58"/>
  <c r="AR164" i="58"/>
  <c r="AP164" i="58"/>
  <c r="AR163" i="58"/>
  <c r="AP163" i="58"/>
  <c r="AR162" i="58"/>
  <c r="AP162" i="58"/>
  <c r="AR161" i="58"/>
  <c r="AP161" i="58"/>
  <c r="AR160" i="58"/>
  <c r="AP160" i="58"/>
  <c r="AR159" i="58"/>
  <c r="AP159" i="58"/>
  <c r="AR158" i="58"/>
  <c r="AP158" i="58"/>
  <c r="AR157" i="58"/>
  <c r="AP157" i="58"/>
  <c r="AR156" i="58"/>
  <c r="AP156" i="58"/>
  <c r="AR155" i="58"/>
  <c r="AP155" i="58"/>
  <c r="AR154" i="58"/>
  <c r="AP154" i="58"/>
  <c r="AR153" i="58"/>
  <c r="AP153" i="58"/>
  <c r="AR152" i="58"/>
  <c r="AP152" i="58"/>
  <c r="AR151" i="58"/>
  <c r="AP151" i="58"/>
  <c r="AR150" i="58"/>
  <c r="AP150" i="58"/>
  <c r="AR149" i="58"/>
  <c r="AP149" i="58"/>
  <c r="AR148" i="58"/>
  <c r="AP148" i="58"/>
  <c r="AR147" i="58"/>
  <c r="AP147" i="58"/>
  <c r="AR146" i="58"/>
  <c r="AP146" i="58"/>
  <c r="AR145" i="58"/>
  <c r="AP145" i="58"/>
  <c r="AR144" i="58"/>
  <c r="AP144" i="58"/>
  <c r="AR143" i="58"/>
  <c r="AP143" i="58"/>
  <c r="AR142" i="58"/>
  <c r="AP142" i="58"/>
  <c r="AR141" i="58"/>
  <c r="AP141" i="58"/>
  <c r="AR140" i="58"/>
  <c r="AP140" i="58"/>
  <c r="AR139" i="58"/>
  <c r="AP139" i="58"/>
  <c r="AR138" i="58"/>
  <c r="AP138" i="58"/>
  <c r="AR137" i="58"/>
  <c r="AP137" i="58"/>
  <c r="AR136" i="58"/>
  <c r="AP136" i="58"/>
  <c r="AR135" i="58"/>
  <c r="AP135" i="58"/>
  <c r="AR134" i="58"/>
  <c r="AP134" i="58"/>
  <c r="AR133" i="58"/>
  <c r="AP133" i="58"/>
  <c r="AR132" i="58"/>
  <c r="AP132" i="58"/>
  <c r="AR131" i="58"/>
  <c r="AP131" i="58"/>
  <c r="AR130" i="58"/>
  <c r="AP130" i="58"/>
  <c r="AR129" i="58"/>
  <c r="AP129" i="58"/>
  <c r="AR128" i="58"/>
  <c r="AP128" i="58"/>
  <c r="AR127" i="58"/>
  <c r="AP127" i="58"/>
  <c r="AR126" i="58"/>
  <c r="AP126" i="58"/>
  <c r="AR125" i="58"/>
  <c r="AP125" i="58"/>
  <c r="AR124" i="58"/>
  <c r="AP124" i="58"/>
  <c r="AR123" i="58"/>
  <c r="AP123" i="58"/>
  <c r="AR122" i="58"/>
  <c r="AP122" i="58"/>
  <c r="AR121" i="58"/>
  <c r="AP121" i="58"/>
  <c r="AR120" i="58"/>
  <c r="AP120" i="58"/>
  <c r="AR119" i="58"/>
  <c r="AP119" i="58"/>
  <c r="AR118" i="58"/>
  <c r="AP118" i="58"/>
  <c r="AR117" i="58"/>
  <c r="AP117" i="58"/>
  <c r="AR116" i="58"/>
  <c r="AP116" i="58"/>
  <c r="AR115" i="58"/>
  <c r="AP115" i="58"/>
  <c r="AR114" i="58"/>
  <c r="AP114" i="58"/>
  <c r="AR113" i="58"/>
  <c r="AP113" i="58"/>
  <c r="AR112" i="58"/>
  <c r="AP112" i="58"/>
  <c r="AR111" i="58"/>
  <c r="AP111" i="58"/>
  <c r="AR110" i="58"/>
  <c r="AP110" i="58"/>
  <c r="AR109" i="58"/>
  <c r="AP109" i="58"/>
  <c r="AR108" i="58"/>
  <c r="AP108" i="58"/>
  <c r="AR107" i="58"/>
  <c r="AP107" i="58"/>
  <c r="AR106" i="58"/>
  <c r="AP106" i="58"/>
  <c r="AR105" i="58"/>
  <c r="AP105" i="58"/>
  <c r="AR104" i="58"/>
  <c r="AP104" i="58"/>
  <c r="AR103" i="58"/>
  <c r="AP103" i="58"/>
  <c r="AR102" i="58"/>
  <c r="AP102" i="58"/>
  <c r="AR101" i="58"/>
  <c r="AP101" i="58"/>
  <c r="AR100" i="58"/>
  <c r="AP100" i="58"/>
  <c r="AR99" i="58"/>
  <c r="AP99" i="58"/>
  <c r="AR98" i="58"/>
  <c r="AP98" i="58"/>
  <c r="AR97" i="58"/>
  <c r="AP97" i="58"/>
  <c r="AR96" i="58"/>
  <c r="AP96" i="58"/>
  <c r="AR95" i="58"/>
  <c r="AP95" i="58"/>
  <c r="AR94" i="58"/>
  <c r="AP94" i="58"/>
  <c r="AR93" i="58"/>
  <c r="AP93" i="58"/>
  <c r="AR92" i="58"/>
  <c r="AP92" i="58"/>
  <c r="AR91" i="58"/>
  <c r="AP91" i="58"/>
  <c r="AR90" i="58"/>
  <c r="AP90" i="58"/>
  <c r="AR89" i="58"/>
  <c r="AP89" i="58"/>
  <c r="AR88" i="58"/>
  <c r="AP88" i="58"/>
  <c r="AR87" i="58"/>
  <c r="AP87" i="58"/>
  <c r="AR86" i="58"/>
  <c r="AP86" i="58"/>
  <c r="AR85" i="58"/>
  <c r="AP85" i="58"/>
  <c r="AR84" i="58"/>
  <c r="AP84" i="58"/>
  <c r="AR83" i="58"/>
  <c r="AP83" i="58"/>
  <c r="AR82" i="58"/>
  <c r="AP82" i="58"/>
  <c r="AR81" i="58"/>
  <c r="AP81" i="58"/>
  <c r="AR80" i="58"/>
  <c r="AP80" i="58"/>
  <c r="AR79" i="58"/>
  <c r="AP79" i="58"/>
  <c r="AR78" i="58"/>
  <c r="AP78" i="58"/>
  <c r="AR77" i="58"/>
  <c r="AP77" i="58"/>
  <c r="AR76" i="58"/>
  <c r="AP76" i="58"/>
  <c r="AR75" i="58"/>
  <c r="AP75" i="58"/>
  <c r="AR74" i="58"/>
  <c r="AP74" i="58"/>
  <c r="AR73" i="58"/>
  <c r="AP73" i="58"/>
  <c r="AR72" i="58"/>
  <c r="AP72" i="58"/>
  <c r="AR71" i="58"/>
  <c r="AP71" i="58"/>
  <c r="AR70" i="58"/>
  <c r="AP70" i="58"/>
  <c r="AR69" i="58"/>
  <c r="AP69" i="58"/>
  <c r="AR68" i="58"/>
  <c r="AP68" i="58"/>
  <c r="AR67" i="58"/>
  <c r="AP67" i="58"/>
  <c r="AR66" i="58"/>
  <c r="AP66" i="58"/>
  <c r="AR65" i="58"/>
  <c r="AP65" i="58"/>
  <c r="AR64" i="58"/>
  <c r="AP64" i="58"/>
  <c r="AR63" i="58"/>
  <c r="AP63" i="58"/>
  <c r="AR62" i="58"/>
  <c r="AP62" i="58"/>
  <c r="AR61" i="58"/>
  <c r="AP61" i="58"/>
  <c r="AR60" i="58"/>
  <c r="AP60" i="58"/>
  <c r="AR59" i="58"/>
  <c r="AP59" i="58"/>
  <c r="AR58" i="58"/>
  <c r="AP58" i="58"/>
  <c r="AR57" i="58"/>
  <c r="AP57" i="58"/>
  <c r="AR56" i="58"/>
  <c r="AP56" i="58"/>
  <c r="AR55" i="58"/>
  <c r="AP55" i="58"/>
  <c r="AR54" i="58"/>
  <c r="AP54" i="58"/>
  <c r="AR53" i="58"/>
  <c r="AP53" i="58"/>
  <c r="AR52" i="58"/>
  <c r="AP52" i="58"/>
  <c r="AR51" i="58"/>
  <c r="AP51" i="58"/>
  <c r="AR50" i="58"/>
  <c r="AP50" i="58"/>
  <c r="AR49" i="58"/>
  <c r="AP49" i="58"/>
  <c r="AR48" i="58"/>
  <c r="AP48" i="58"/>
  <c r="AR47" i="58"/>
  <c r="AP47" i="58"/>
  <c r="AR46" i="58"/>
  <c r="AP46" i="58"/>
  <c r="AR45" i="58"/>
  <c r="AP45" i="58"/>
  <c r="AR44" i="58"/>
  <c r="AP44" i="58"/>
  <c r="AR43" i="58"/>
  <c r="AP43" i="58"/>
  <c r="AR42" i="58"/>
  <c r="AP42" i="58"/>
  <c r="AR41" i="58"/>
  <c r="AP41" i="58"/>
  <c r="AR40" i="58"/>
  <c r="AP40" i="58"/>
  <c r="AR39" i="58"/>
  <c r="AP39" i="58"/>
  <c r="AR38" i="58"/>
  <c r="AP38" i="58"/>
  <c r="AR37" i="58"/>
  <c r="AP37" i="58"/>
  <c r="AR36" i="58"/>
  <c r="AP36" i="58"/>
  <c r="AR35" i="58"/>
  <c r="AP35" i="58"/>
  <c r="AR34" i="58"/>
  <c r="AP34" i="58"/>
  <c r="AR33" i="58"/>
  <c r="AP33" i="58"/>
  <c r="AR32" i="58"/>
  <c r="AP32" i="58"/>
  <c r="AR31" i="58"/>
  <c r="AP31" i="58"/>
  <c r="AR30" i="58"/>
  <c r="AP30" i="58"/>
  <c r="AR29" i="58"/>
  <c r="AP29" i="58"/>
  <c r="AR28" i="58"/>
  <c r="AP28" i="58"/>
  <c r="AR27" i="58"/>
  <c r="AP27" i="58"/>
  <c r="AR26" i="58"/>
  <c r="AP26" i="58"/>
  <c r="AR25" i="58"/>
  <c r="AP25" i="58"/>
  <c r="AR24" i="58"/>
  <c r="AP24" i="58"/>
  <c r="AR23" i="58"/>
  <c r="AP23" i="58"/>
  <c r="AR22" i="58"/>
  <c r="AP22" i="58"/>
  <c r="AR21" i="58"/>
  <c r="AP21" i="58"/>
  <c r="AR20" i="58"/>
  <c r="AP20" i="58"/>
  <c r="AR19" i="58"/>
  <c r="AP19" i="58"/>
  <c r="AR18" i="58"/>
  <c r="AP18" i="58"/>
  <c r="AR17" i="58"/>
  <c r="AP17" i="58"/>
  <c r="AR16" i="58"/>
  <c r="AP16" i="58"/>
  <c r="AR15" i="58"/>
  <c r="AP15" i="58"/>
  <c r="AR14" i="58"/>
  <c r="AP14" i="58"/>
  <c r="AU13" i="58"/>
  <c r="AR13" i="58"/>
  <c r="AP13" i="58"/>
  <c r="AR12" i="58"/>
  <c r="AP12" i="58"/>
  <c r="AR11" i="58"/>
  <c r="AP11" i="58"/>
  <c r="AR10" i="58"/>
  <c r="AP10" i="58"/>
  <c r="AR9" i="58"/>
  <c r="AP9" i="58"/>
  <c r="AR8" i="58"/>
  <c r="AP8" i="58"/>
  <c r="AR7" i="58"/>
  <c r="AP7" i="58"/>
  <c r="AR6" i="58"/>
  <c r="AP6" i="58"/>
  <c r="AU5" i="58"/>
  <c r="AX5" i="58" s="1"/>
  <c r="AR5" i="58"/>
  <c r="AR843" i="58" s="1"/>
  <c r="AP5" i="58"/>
  <c r="AU6" i="58" s="1"/>
  <c r="AX6" i="58" s="1"/>
  <c r="AR4" i="58"/>
  <c r="AP4" i="58"/>
  <c r="AR3" i="58"/>
  <c r="AP3" i="58"/>
  <c r="AR847" i="58" l="1"/>
  <c r="AU8" i="58"/>
  <c r="AX8" i="58" s="1"/>
  <c r="AU14" i="58"/>
  <c r="AU16" i="58" s="1"/>
  <c r="AU7" i="58"/>
  <c r="AX7" i="58" s="1"/>
  <c r="AU4" i="58"/>
  <c r="AX4" i="58" s="1"/>
  <c r="AU10" i="58" l="1"/>
  <c r="G14" i="54" l="1"/>
  <c r="G14" i="55"/>
  <c r="H163" i="56"/>
  <c r="I163" i="56" s="1"/>
  <c r="G163" i="56"/>
  <c r="AR159" i="56"/>
  <c r="AP159" i="56"/>
  <c r="AR158" i="56"/>
  <c r="AP158" i="56"/>
  <c r="AR157" i="56"/>
  <c r="AP157" i="56"/>
  <c r="AR156" i="56"/>
  <c r="AP156" i="56"/>
  <c r="AR155" i="56"/>
  <c r="AP155" i="56"/>
  <c r="AR154" i="56"/>
  <c r="AP154" i="56"/>
  <c r="AR153" i="56"/>
  <c r="AP153" i="56"/>
  <c r="AR152" i="56"/>
  <c r="AP152" i="56"/>
  <c r="AR151" i="56"/>
  <c r="AP151" i="56"/>
  <c r="AR150" i="56"/>
  <c r="AP150" i="56"/>
  <c r="AR149" i="56"/>
  <c r="AP149" i="56"/>
  <c r="AR148" i="56"/>
  <c r="AP148" i="56"/>
  <c r="AR147" i="56"/>
  <c r="AP147" i="56"/>
  <c r="AR146" i="56"/>
  <c r="AP146" i="56"/>
  <c r="AR145" i="56"/>
  <c r="AP145" i="56"/>
  <c r="AR144" i="56"/>
  <c r="AP144" i="56"/>
  <c r="AR143" i="56"/>
  <c r="AP143" i="56"/>
  <c r="AR142" i="56"/>
  <c r="AP142" i="56"/>
  <c r="AR141" i="56"/>
  <c r="AP141" i="56"/>
  <c r="AR140" i="56"/>
  <c r="AP140" i="56"/>
  <c r="AR139" i="56"/>
  <c r="AP139" i="56"/>
  <c r="AR138" i="56"/>
  <c r="AP138" i="56"/>
  <c r="AR137" i="56"/>
  <c r="AP137" i="56"/>
  <c r="AR136" i="56"/>
  <c r="AP136" i="56"/>
  <c r="AR135" i="56"/>
  <c r="AP135" i="56"/>
  <c r="AR134" i="56"/>
  <c r="AP134" i="56"/>
  <c r="AR133" i="56"/>
  <c r="AP133" i="56"/>
  <c r="AR132" i="56"/>
  <c r="AP132" i="56"/>
  <c r="AR131" i="56"/>
  <c r="AP131" i="56"/>
  <c r="AR130" i="56"/>
  <c r="AP130" i="56"/>
  <c r="AR129" i="56"/>
  <c r="AP129" i="56"/>
  <c r="AR128" i="56"/>
  <c r="AP128" i="56"/>
  <c r="AR127" i="56"/>
  <c r="AP127" i="56"/>
  <c r="AR126" i="56"/>
  <c r="AP126" i="56"/>
  <c r="AR125" i="56"/>
  <c r="AP125" i="56"/>
  <c r="AR124" i="56"/>
  <c r="AP124" i="56"/>
  <c r="AR123" i="56"/>
  <c r="AP123" i="56"/>
  <c r="AR122" i="56"/>
  <c r="AP122" i="56"/>
  <c r="AR121" i="56"/>
  <c r="AP121" i="56"/>
  <c r="AR120" i="56"/>
  <c r="AP120" i="56"/>
  <c r="AR119" i="56"/>
  <c r="AP119" i="56"/>
  <c r="AR118" i="56"/>
  <c r="AP118" i="56"/>
  <c r="AR117" i="56"/>
  <c r="AP117" i="56"/>
  <c r="AR116" i="56"/>
  <c r="AP116" i="56"/>
  <c r="AR115" i="56"/>
  <c r="AP115" i="56"/>
  <c r="AR114" i="56"/>
  <c r="AP114" i="56"/>
  <c r="AR113" i="56"/>
  <c r="AP113" i="56"/>
  <c r="AR112" i="56"/>
  <c r="AP112" i="56"/>
  <c r="AR111" i="56"/>
  <c r="AP111" i="56"/>
  <c r="AR110" i="56"/>
  <c r="AP110" i="56"/>
  <c r="AR109" i="56"/>
  <c r="AP109" i="56"/>
  <c r="AR108" i="56"/>
  <c r="AP108" i="56"/>
  <c r="AR107" i="56"/>
  <c r="AP107" i="56"/>
  <c r="AR106" i="56"/>
  <c r="AP106" i="56"/>
  <c r="AR105" i="56"/>
  <c r="AP105" i="56"/>
  <c r="AR104" i="56"/>
  <c r="AP104" i="56"/>
  <c r="AR103" i="56"/>
  <c r="AP103" i="56"/>
  <c r="AR102" i="56"/>
  <c r="AP102" i="56"/>
  <c r="AR101" i="56"/>
  <c r="AP101" i="56"/>
  <c r="AR100" i="56"/>
  <c r="AP100" i="56"/>
  <c r="AR99" i="56"/>
  <c r="AP99" i="56"/>
  <c r="AR98" i="56"/>
  <c r="AP98" i="56"/>
  <c r="AR97" i="56"/>
  <c r="AP97" i="56"/>
  <c r="AR96" i="56"/>
  <c r="AP96" i="56"/>
  <c r="AR95" i="56"/>
  <c r="AP95" i="56"/>
  <c r="AR94" i="56"/>
  <c r="AP94" i="56"/>
  <c r="AR93" i="56"/>
  <c r="AP93" i="56"/>
  <c r="AR92" i="56"/>
  <c r="AP92" i="56"/>
  <c r="AR91" i="56"/>
  <c r="AP91" i="56"/>
  <c r="AR90" i="56"/>
  <c r="AP90" i="56"/>
  <c r="AR89" i="56"/>
  <c r="AP89" i="56"/>
  <c r="AR88" i="56"/>
  <c r="AP88" i="56"/>
  <c r="AR87" i="56"/>
  <c r="AP87" i="56"/>
  <c r="AR86" i="56"/>
  <c r="AP86" i="56"/>
  <c r="AR85" i="56"/>
  <c r="AP85" i="56"/>
  <c r="AR84" i="56"/>
  <c r="AP84" i="56"/>
  <c r="AR83" i="56"/>
  <c r="AP83" i="56"/>
  <c r="AR82" i="56"/>
  <c r="AP82" i="56"/>
  <c r="AR81" i="56"/>
  <c r="AP81" i="56"/>
  <c r="AR80" i="56"/>
  <c r="AP80" i="56"/>
  <c r="AR79" i="56"/>
  <c r="AP79" i="56"/>
  <c r="AR78" i="56"/>
  <c r="AP78" i="56"/>
  <c r="AR77" i="56"/>
  <c r="AP77" i="56"/>
  <c r="AR76" i="56"/>
  <c r="AP76" i="56"/>
  <c r="AR75" i="56"/>
  <c r="AP75" i="56"/>
  <c r="AR74" i="56"/>
  <c r="AP74" i="56"/>
  <c r="AR73" i="56"/>
  <c r="AP73" i="56"/>
  <c r="AR72" i="56"/>
  <c r="AP72" i="56"/>
  <c r="AR71" i="56"/>
  <c r="AP71" i="56"/>
  <c r="AR70" i="56"/>
  <c r="AP70" i="56"/>
  <c r="AR69" i="56"/>
  <c r="AP69" i="56"/>
  <c r="AR68" i="56"/>
  <c r="AP68" i="56"/>
  <c r="AR67" i="56"/>
  <c r="AP67" i="56"/>
  <c r="AR66" i="56"/>
  <c r="AP66" i="56"/>
  <c r="AR65" i="56"/>
  <c r="AP65" i="56"/>
  <c r="AR64" i="56"/>
  <c r="AP64" i="56"/>
  <c r="AR63" i="56"/>
  <c r="AP63" i="56"/>
  <c r="AR62" i="56"/>
  <c r="AP62" i="56"/>
  <c r="AR61" i="56"/>
  <c r="AP61" i="56"/>
  <c r="AR60" i="56"/>
  <c r="AP60" i="56"/>
  <c r="AR59" i="56"/>
  <c r="AP59" i="56"/>
  <c r="AR58" i="56"/>
  <c r="AP58" i="56"/>
  <c r="AR57" i="56"/>
  <c r="AP57" i="56"/>
  <c r="AR56" i="56"/>
  <c r="AP56" i="56"/>
  <c r="AR55" i="56"/>
  <c r="AP55" i="56"/>
  <c r="AR54" i="56"/>
  <c r="AP54" i="56"/>
  <c r="AR53" i="56"/>
  <c r="AP53" i="56"/>
  <c r="AR52" i="56"/>
  <c r="AP52" i="56"/>
  <c r="AR51" i="56"/>
  <c r="AP51" i="56"/>
  <c r="AR50" i="56"/>
  <c r="AP50" i="56"/>
  <c r="AR49" i="56"/>
  <c r="AP49" i="56"/>
  <c r="AR48" i="56"/>
  <c r="AP48" i="56"/>
  <c r="AR47" i="56"/>
  <c r="AP47" i="56"/>
  <c r="AR46" i="56"/>
  <c r="AP46" i="56"/>
  <c r="AR45" i="56"/>
  <c r="AP45" i="56"/>
  <c r="AR44" i="56"/>
  <c r="AP44" i="56"/>
  <c r="AR43" i="56"/>
  <c r="AP43" i="56"/>
  <c r="AR42" i="56"/>
  <c r="AP42" i="56"/>
  <c r="AR41" i="56"/>
  <c r="AP41" i="56"/>
  <c r="AR40" i="56"/>
  <c r="AP40" i="56"/>
  <c r="AR39" i="56"/>
  <c r="AP39" i="56"/>
  <c r="AR38" i="56"/>
  <c r="AP38" i="56"/>
  <c r="AR37" i="56"/>
  <c r="AP37" i="56"/>
  <c r="AR36" i="56"/>
  <c r="AP36" i="56"/>
  <c r="AR35" i="56"/>
  <c r="AP35" i="56"/>
  <c r="AR34" i="56"/>
  <c r="AP34" i="56"/>
  <c r="AR33" i="56"/>
  <c r="AP33" i="56"/>
  <c r="AR32" i="56"/>
  <c r="AP32" i="56"/>
  <c r="AR31" i="56"/>
  <c r="AP31" i="56"/>
  <c r="AR30" i="56"/>
  <c r="AP30" i="56"/>
  <c r="AR29" i="56"/>
  <c r="AP29" i="56"/>
  <c r="AR28" i="56"/>
  <c r="AP28" i="56"/>
  <c r="AR27" i="56"/>
  <c r="AP27" i="56"/>
  <c r="AR26" i="56"/>
  <c r="AP26" i="56"/>
  <c r="AR25" i="56"/>
  <c r="AP25" i="56"/>
  <c r="AR24" i="56"/>
  <c r="AP24" i="56"/>
  <c r="AR23" i="56"/>
  <c r="AP23" i="56"/>
  <c r="AR22" i="56"/>
  <c r="AP22" i="56"/>
  <c r="AR21" i="56"/>
  <c r="AP21" i="56"/>
  <c r="AR20" i="56"/>
  <c r="AP20" i="56"/>
  <c r="AR19" i="56"/>
  <c r="AP19" i="56"/>
  <c r="AR18" i="56"/>
  <c r="AP18" i="56"/>
  <c r="AR17" i="56"/>
  <c r="AP17" i="56"/>
  <c r="AR16" i="56"/>
  <c r="AP16" i="56"/>
  <c r="AR15" i="56"/>
  <c r="AP15" i="56"/>
  <c r="AU14" i="56"/>
  <c r="AR14" i="56"/>
  <c r="AP14" i="56"/>
  <c r="AR13" i="56"/>
  <c r="AP13" i="56"/>
  <c r="AR12" i="56"/>
  <c r="AP12" i="56"/>
  <c r="AR11" i="56"/>
  <c r="AP11" i="56"/>
  <c r="AR10" i="56"/>
  <c r="AP10" i="56"/>
  <c r="AR9" i="56"/>
  <c r="AP9" i="56"/>
  <c r="AR8" i="56"/>
  <c r="AP8" i="56"/>
  <c r="AR7" i="56"/>
  <c r="AP7" i="56"/>
  <c r="AR6" i="56"/>
  <c r="AP6" i="56"/>
  <c r="AR5" i="56"/>
  <c r="AP5" i="56"/>
  <c r="AR4" i="56"/>
  <c r="AP4" i="56"/>
  <c r="AR3" i="56"/>
  <c r="AR163" i="56" s="1"/>
  <c r="AP3" i="56"/>
  <c r="AU7" i="56" s="1"/>
  <c r="AX7" i="56" s="1"/>
  <c r="G27" i="54" l="1"/>
  <c r="G26" i="54"/>
  <c r="G25" i="54"/>
  <c r="G23" i="54"/>
  <c r="G24" i="54"/>
  <c r="G22" i="54"/>
  <c r="AU5" i="56"/>
  <c r="AX5" i="56" s="1"/>
  <c r="AU13" i="56"/>
  <c r="AU16" i="56" s="1"/>
  <c r="AU4" i="56"/>
  <c r="AX4" i="56" s="1"/>
  <c r="AU8" i="56"/>
  <c r="AX8" i="56" s="1"/>
  <c r="AU6" i="56"/>
  <c r="AX6" i="56" s="1"/>
  <c r="AU10" i="56" l="1"/>
  <c r="AF445" i="45" l="1"/>
  <c r="AH446" i="45" s="1"/>
  <c r="AK446" i="45" s="1"/>
  <c r="V445" i="45"/>
  <c r="D461" i="45"/>
  <c r="D460" i="45"/>
  <c r="D459" i="45"/>
  <c r="D458" i="45"/>
  <c r="D457" i="45"/>
  <c r="I54" i="16"/>
  <c r="H54" i="16"/>
  <c r="G54" i="16"/>
  <c r="F54" i="16"/>
  <c r="F22" i="13"/>
  <c r="R28" i="24" l="1"/>
  <c r="AD22" i="24"/>
  <c r="AE22" i="24" s="1"/>
  <c r="R42" i="24"/>
  <c r="S42" i="24" s="1"/>
  <c r="T42" i="24" s="1"/>
  <c r="U42" i="24" s="1"/>
  <c r="V42" i="24" s="1"/>
  <c r="W42" i="24" s="1"/>
  <c r="AD24" i="24"/>
  <c r="AE24" i="24" s="1"/>
  <c r="AF24" i="24" s="1"/>
  <c r="R26" i="24"/>
  <c r="S26" i="24" s="1"/>
  <c r="T26" i="24" s="1"/>
  <c r="U26" i="24" s="1"/>
  <c r="V26" i="24" s="1"/>
  <c r="AP28" i="24"/>
  <c r="AQ28" i="24" s="1"/>
  <c r="AR28" i="24" s="1"/>
  <c r="AD16" i="24"/>
  <c r="AE16" i="24" s="1"/>
  <c r="AF16" i="24" s="1"/>
  <c r="AP43" i="24"/>
  <c r="AQ43" i="24" s="1"/>
  <c r="R43" i="24"/>
  <c r="S43" i="24" s="1"/>
  <c r="T43" i="24" s="1"/>
  <c r="AP25" i="24"/>
  <c r="AQ25" i="24" s="1"/>
  <c r="R30" i="24"/>
  <c r="S30" i="24" s="1"/>
  <c r="R49" i="24"/>
  <c r="S49" i="24" s="1"/>
  <c r="R41" i="24"/>
  <c r="S41" i="24" s="1"/>
  <c r="T41" i="24" s="1"/>
  <c r="AP35" i="24"/>
  <c r="AQ35" i="24" s="1"/>
  <c r="R35" i="24"/>
  <c r="S35" i="24" s="1"/>
  <c r="T35" i="24" s="1"/>
  <c r="U35" i="24" s="1"/>
  <c r="V35" i="24" s="1"/>
  <c r="AD29" i="24"/>
  <c r="AE29" i="24" s="1"/>
  <c r="AF29" i="24" s="1"/>
  <c r="AG29" i="24" s="1"/>
  <c r="S28" i="24"/>
  <c r="T28" i="24" s="1"/>
  <c r="U28" i="24" s="1"/>
  <c r="V28" i="24" s="1"/>
  <c r="AP27" i="24"/>
  <c r="R27" i="24"/>
  <c r="S27" i="24" s="1"/>
  <c r="T27" i="24" s="1"/>
  <c r="AD28" i="24"/>
  <c r="AE28" i="24" s="1"/>
  <c r="R22" i="24"/>
  <c r="S22" i="24" s="1"/>
  <c r="T22" i="24" s="1"/>
  <c r="R29" i="24"/>
  <c r="S29" i="24" s="1"/>
  <c r="AP40" i="24"/>
  <c r="AQ40" i="24" s="1"/>
  <c r="AP23" i="24"/>
  <c r="AQ23" i="24" s="1"/>
  <c r="R23" i="24"/>
  <c r="S23" i="24" s="1"/>
  <c r="R48" i="24"/>
  <c r="S48" i="24" s="1"/>
  <c r="T48" i="24" s="1"/>
  <c r="AP21" i="24"/>
  <c r="AQ21" i="24" s="1"/>
  <c r="AR21" i="24" s="1"/>
  <c r="AP48" i="24"/>
  <c r="AQ48" i="24" s="1"/>
  <c r="R21" i="24"/>
  <c r="S21" i="24" s="1"/>
  <c r="T21" i="24" s="1"/>
  <c r="U21" i="24" s="1"/>
  <c r="AD10" i="24"/>
  <c r="AE10" i="24" s="1"/>
  <c r="AF10" i="24" s="1"/>
  <c r="AG10" i="24" s="1"/>
  <c r="AP10" i="24"/>
  <c r="AQ10" i="24" s="1"/>
  <c r="AR10" i="24" s="1"/>
  <c r="R16" i="24"/>
  <c r="S16" i="24" s="1"/>
  <c r="AP16" i="24"/>
  <c r="AQ16" i="24" s="1"/>
  <c r="AR16" i="24" s="1"/>
  <c r="AD40" i="24"/>
  <c r="AE40" i="24" s="1"/>
  <c r="AD48" i="24"/>
  <c r="AE48" i="24" s="1"/>
  <c r="AD42" i="24"/>
  <c r="AE42" i="24" s="1"/>
  <c r="AF42" i="24" s="1"/>
  <c r="AP49" i="24"/>
  <c r="AQ49" i="24" s="1"/>
  <c r="AD43" i="24"/>
  <c r="AE43" i="24" s="1"/>
  <c r="R40" i="24"/>
  <c r="S40" i="24" s="1"/>
  <c r="T40" i="24" s="1"/>
  <c r="AD30" i="24"/>
  <c r="AE30" i="24" s="1"/>
  <c r="AF30" i="24" s="1"/>
  <c r="AP41" i="24"/>
  <c r="AQ41" i="24" s="1"/>
  <c r="AR41" i="24" s="1"/>
  <c r="AP24" i="24"/>
  <c r="AQ24" i="24" s="1"/>
  <c r="AD25" i="24"/>
  <c r="AE25" i="24" s="1"/>
  <c r="AF25" i="24" s="1"/>
  <c r="AG25" i="24" s="1"/>
  <c r="AD35" i="24"/>
  <c r="AE35" i="24" s="1"/>
  <c r="AP42" i="24"/>
  <c r="AQ42" i="24" s="1"/>
  <c r="AR42" i="24" s="1"/>
  <c r="AS42" i="24" s="1"/>
  <c r="AD26" i="24"/>
  <c r="AE26" i="24" s="1"/>
  <c r="AF26" i="24" s="1"/>
  <c r="AD21" i="24"/>
  <c r="AE21" i="24" s="1"/>
  <c r="AP22" i="24"/>
  <c r="AQ22" i="24" s="1"/>
  <c r="AR22" i="24" s="1"/>
  <c r="AD27" i="24"/>
  <c r="AE27" i="24" s="1"/>
  <c r="AF27" i="24" s="1"/>
  <c r="AP30" i="24"/>
  <c r="AQ30" i="24" s="1"/>
  <c r="AR30" i="24" s="1"/>
  <c r="AS30" i="24" s="1"/>
  <c r="AP29" i="24"/>
  <c r="AQ29" i="24" s="1"/>
  <c r="AD49" i="24"/>
  <c r="AE49" i="24" s="1"/>
  <c r="R24" i="24"/>
  <c r="S24" i="24" s="1"/>
  <c r="AD23" i="24"/>
  <c r="AE23" i="24" s="1"/>
  <c r="AF23" i="24" s="1"/>
  <c r="AP26" i="24"/>
  <c r="AQ26" i="24" s="1"/>
  <c r="AR26" i="24" s="1"/>
  <c r="R25" i="24"/>
  <c r="S25" i="24" s="1"/>
  <c r="T25" i="24" s="1"/>
  <c r="U25" i="24" s="1"/>
  <c r="AD41" i="24"/>
  <c r="AE41" i="24" s="1"/>
  <c r="AF41" i="24" s="1"/>
  <c r="AG41" i="24" s="1"/>
  <c r="AQ27" i="24"/>
  <c r="AR27" i="24" s="1"/>
  <c r="R10" i="24"/>
  <c r="S10" i="24" s="1"/>
  <c r="T10" i="24" s="1"/>
  <c r="U10" i="24" s="1"/>
  <c r="V10" i="24" s="1"/>
  <c r="AF43" i="24"/>
  <c r="AG43" i="24" s="1"/>
  <c r="T16" i="24"/>
  <c r="U16" i="24" s="1"/>
  <c r="AF35" i="24"/>
  <c r="AG35" i="24" s="1"/>
  <c r="AT30" i="24"/>
  <c r="AU30" i="24" s="1"/>
  <c r="AH29" i="24"/>
  <c r="AI29" i="24" s="1"/>
  <c r="AF28" i="24"/>
  <c r="AG28" i="24" s="1"/>
  <c r="AH28" i="24" s="1"/>
  <c r="AH10" i="24"/>
  <c r="AG27" i="24"/>
  <c r="AH27" i="24" s="1"/>
  <c r="AR49" i="24"/>
  <c r="AS49" i="24" s="1"/>
  <c r="AG24" i="24"/>
  <c r="AH24" i="24" s="1"/>
  <c r="AS41" i="24"/>
  <c r="AT41" i="24" s="1"/>
  <c r="AU41" i="24" s="1"/>
  <c r="AV41" i="24" s="1"/>
  <c r="AW41" i="24" s="1"/>
  <c r="AR35" i="24"/>
  <c r="AS35" i="24" s="1"/>
  <c r="U48" i="24"/>
  <c r="V48" i="24" s="1"/>
  <c r="W48" i="24" s="1"/>
  <c r="AF22" i="24"/>
  <c r="AS28" i="24"/>
  <c r="AT28" i="24" s="1"/>
  <c r="AU28" i="24" s="1"/>
  <c r="AV28" i="24" s="1"/>
  <c r="AR24" i="24"/>
  <c r="AS24" i="24" s="1"/>
  <c r="AR43" i="24"/>
  <c r="AS43" i="24" s="1"/>
  <c r="AT43" i="24" s="1"/>
  <c r="AS16" i="24"/>
  <c r="AT16" i="24" s="1"/>
  <c r="I32" i="9"/>
  <c r="I10" i="9"/>
  <c r="I48" i="9"/>
  <c r="I46" i="9"/>
  <c r="I50" i="9"/>
  <c r="I11" i="9"/>
  <c r="I24" i="9"/>
  <c r="I18" i="9"/>
  <c r="AW3" i="65" s="1"/>
  <c r="AW4" i="65" s="1"/>
  <c r="I16" i="9"/>
  <c r="I17" i="9"/>
  <c r="I43" i="9"/>
  <c r="I25" i="9"/>
  <c r="I45" i="9"/>
  <c r="AG22" i="24"/>
  <c r="AH22" i="24" s="1"/>
  <c r="I31" i="9"/>
  <c r="I9" i="9"/>
  <c r="AJ29" i="24"/>
  <c r="AK29" i="24" s="1"/>
  <c r="I44" i="9"/>
  <c r="I19" i="9"/>
  <c r="G27" i="55"/>
  <c r="F27" i="55"/>
  <c r="D27" i="55"/>
  <c r="C27" i="55"/>
  <c r="H169" i="52"/>
  <c r="G169" i="52"/>
  <c r="AP165" i="52"/>
  <c r="AP164" i="52"/>
  <c r="AP163" i="52"/>
  <c r="AP162" i="52"/>
  <c r="AP161" i="52"/>
  <c r="AP160" i="52"/>
  <c r="AP159" i="52"/>
  <c r="AP158" i="52"/>
  <c r="AP157" i="52"/>
  <c r="AP156" i="52"/>
  <c r="AP155" i="52"/>
  <c r="AP154" i="52"/>
  <c r="AP153" i="52"/>
  <c r="AP152" i="52"/>
  <c r="AP151" i="52"/>
  <c r="AP150" i="52"/>
  <c r="AP149" i="52"/>
  <c r="AP148" i="52"/>
  <c r="AP147" i="52"/>
  <c r="AP146" i="52"/>
  <c r="AP145" i="52"/>
  <c r="AP144" i="52"/>
  <c r="AP143" i="52"/>
  <c r="AP142" i="52"/>
  <c r="AP141" i="52"/>
  <c r="AP138" i="52"/>
  <c r="AP137" i="52"/>
  <c r="AP136" i="52"/>
  <c r="AP135" i="52"/>
  <c r="AP134" i="52"/>
  <c r="AP133" i="52"/>
  <c r="AP132" i="52"/>
  <c r="AP131" i="52"/>
  <c r="AP130" i="52"/>
  <c r="AP129" i="52"/>
  <c r="AP128" i="52"/>
  <c r="AP127" i="52"/>
  <c r="AP126" i="52"/>
  <c r="AP125" i="52"/>
  <c r="AP124" i="52"/>
  <c r="AP123" i="52"/>
  <c r="AP122" i="52"/>
  <c r="AP121" i="52"/>
  <c r="AP120" i="52"/>
  <c r="AP119" i="52"/>
  <c r="AP118" i="52"/>
  <c r="AP117" i="52"/>
  <c r="AP116" i="52"/>
  <c r="AP115" i="52"/>
  <c r="AP114" i="52"/>
  <c r="AP113" i="52"/>
  <c r="AP112" i="52"/>
  <c r="AP111" i="52"/>
  <c r="AP110" i="52"/>
  <c r="AP109" i="52"/>
  <c r="AP108" i="52"/>
  <c r="AP107" i="52"/>
  <c r="AP106" i="52"/>
  <c r="AP105" i="52"/>
  <c r="AP104" i="52"/>
  <c r="AP103" i="52"/>
  <c r="AP102" i="52"/>
  <c r="AP101" i="52"/>
  <c r="AP100" i="52"/>
  <c r="AP99" i="52"/>
  <c r="AP98" i="52"/>
  <c r="AP97" i="52"/>
  <c r="AP96" i="52"/>
  <c r="AP95" i="52"/>
  <c r="AP94" i="52"/>
  <c r="AP93" i="52"/>
  <c r="AP92" i="52"/>
  <c r="AP91" i="52"/>
  <c r="AP90" i="52"/>
  <c r="AP89" i="52"/>
  <c r="AP88" i="52"/>
  <c r="AP87" i="52"/>
  <c r="AP86" i="52"/>
  <c r="AP85" i="52"/>
  <c r="AP84" i="52"/>
  <c r="AP83" i="52"/>
  <c r="AP82" i="52"/>
  <c r="AP81" i="52"/>
  <c r="AP80" i="52"/>
  <c r="AP79" i="52"/>
  <c r="AP78" i="52"/>
  <c r="AP77" i="52"/>
  <c r="AP76" i="52"/>
  <c r="AP75" i="52"/>
  <c r="AP74" i="52"/>
  <c r="AP73" i="52"/>
  <c r="AP72" i="52"/>
  <c r="AP71" i="52"/>
  <c r="AP70" i="52"/>
  <c r="AP69" i="52"/>
  <c r="AP68" i="52"/>
  <c r="AP67" i="52"/>
  <c r="AP66" i="52"/>
  <c r="AP65" i="52"/>
  <c r="AP64" i="52"/>
  <c r="AP63" i="52"/>
  <c r="AP62" i="52"/>
  <c r="AP61" i="52"/>
  <c r="AP60" i="52"/>
  <c r="AP59" i="52"/>
  <c r="AP58" i="52"/>
  <c r="AP57" i="52"/>
  <c r="AP56" i="52"/>
  <c r="AP55" i="52"/>
  <c r="AP54" i="52"/>
  <c r="AP53" i="52"/>
  <c r="AP52" i="52"/>
  <c r="AP51" i="52"/>
  <c r="AP50" i="52"/>
  <c r="AP49" i="52"/>
  <c r="AP48" i="52"/>
  <c r="AP47" i="52"/>
  <c r="AP46" i="52"/>
  <c r="AP45" i="52"/>
  <c r="AP44" i="52"/>
  <c r="AP43" i="52"/>
  <c r="AP42" i="52"/>
  <c r="AP41" i="52"/>
  <c r="AP40" i="52"/>
  <c r="AP39" i="52"/>
  <c r="AP38" i="52"/>
  <c r="AP37" i="52"/>
  <c r="AP36" i="52"/>
  <c r="AP35" i="52"/>
  <c r="AP34" i="52"/>
  <c r="AP33" i="52"/>
  <c r="AP32" i="52"/>
  <c r="AP31" i="52"/>
  <c r="AP30" i="52"/>
  <c r="AP29" i="52"/>
  <c r="AP28" i="52"/>
  <c r="AP27" i="52"/>
  <c r="AP26" i="52"/>
  <c r="AP25" i="52"/>
  <c r="AP24" i="52"/>
  <c r="AP23" i="52"/>
  <c r="AP22" i="52"/>
  <c r="AP21" i="52"/>
  <c r="AP20" i="52"/>
  <c r="AP19" i="52"/>
  <c r="AP18" i="52"/>
  <c r="AP17" i="52"/>
  <c r="AP16" i="52"/>
  <c r="AP15" i="52"/>
  <c r="AP14" i="52"/>
  <c r="AP13" i="52"/>
  <c r="AP12" i="52"/>
  <c r="AP11" i="52"/>
  <c r="AP10" i="52"/>
  <c r="AP9" i="52"/>
  <c r="AP8" i="52"/>
  <c r="AS7" i="52"/>
  <c r="AV7" i="52" s="1"/>
  <c r="F12" i="55" s="1"/>
  <c r="AP7" i="52"/>
  <c r="AS6" i="52"/>
  <c r="AV6" i="52" s="1"/>
  <c r="F11" i="55" s="1"/>
  <c r="AP6" i="52"/>
  <c r="AP5" i="52"/>
  <c r="AS8" i="52" s="1"/>
  <c r="AV8" i="52" s="1"/>
  <c r="F13" i="55" s="1"/>
  <c r="AP4" i="52"/>
  <c r="AP3" i="52"/>
  <c r="H536" i="50"/>
  <c r="G536" i="50"/>
  <c r="I536" i="50" s="1"/>
  <c r="AP81" i="50"/>
  <c r="AP166" i="50"/>
  <c r="AP494" i="50"/>
  <c r="AP507" i="50"/>
  <c r="AP518" i="50"/>
  <c r="AP115" i="50"/>
  <c r="AP114" i="50"/>
  <c r="AP113" i="50"/>
  <c r="AP506" i="50"/>
  <c r="AP129" i="50"/>
  <c r="AP128" i="50"/>
  <c r="AP127" i="50"/>
  <c r="AP126" i="50"/>
  <c r="AP148" i="50"/>
  <c r="AP147" i="50"/>
  <c r="AP146" i="50"/>
  <c r="AP145" i="50"/>
  <c r="AP184" i="50"/>
  <c r="AP183" i="50"/>
  <c r="AP182" i="50"/>
  <c r="AP12" i="50"/>
  <c r="AP9" i="50"/>
  <c r="AP3" i="50"/>
  <c r="AP185" i="50"/>
  <c r="AP493" i="50"/>
  <c r="AP64" i="50"/>
  <c r="AP492" i="50"/>
  <c r="AP491" i="50"/>
  <c r="AP49" i="50"/>
  <c r="AP490" i="50"/>
  <c r="AP489" i="50"/>
  <c r="AP117" i="50"/>
  <c r="AP488" i="50"/>
  <c r="AP38" i="50"/>
  <c r="AP95" i="50"/>
  <c r="AP97" i="50"/>
  <c r="AP94" i="50"/>
  <c r="AP51" i="50"/>
  <c r="AP86" i="50"/>
  <c r="AP487" i="50"/>
  <c r="AP65" i="50"/>
  <c r="AP486" i="50"/>
  <c r="AP150" i="50"/>
  <c r="AP107" i="50"/>
  <c r="AP485" i="50"/>
  <c r="AP195" i="50"/>
  <c r="AP484" i="50"/>
  <c r="AP109" i="50"/>
  <c r="AP118" i="50"/>
  <c r="AP116" i="50"/>
  <c r="AP92" i="50"/>
  <c r="AP91" i="50"/>
  <c r="AP61" i="50"/>
  <c r="AP53" i="50"/>
  <c r="AP483" i="50"/>
  <c r="AP155" i="50"/>
  <c r="AP159" i="50"/>
  <c r="AP482" i="50"/>
  <c r="AP26" i="50"/>
  <c r="AP163" i="50"/>
  <c r="AP481" i="50"/>
  <c r="AP23" i="50"/>
  <c r="AP480" i="50"/>
  <c r="AP479" i="50"/>
  <c r="AP101" i="50"/>
  <c r="AP100" i="50"/>
  <c r="AP69" i="50"/>
  <c r="AP188" i="50"/>
  <c r="AP169" i="50"/>
  <c r="AP98" i="50"/>
  <c r="AP178" i="50"/>
  <c r="AP478" i="50"/>
  <c r="AP196" i="50"/>
  <c r="AP477" i="50"/>
  <c r="AP175" i="50"/>
  <c r="AP476" i="50"/>
  <c r="AP15" i="50"/>
  <c r="AP99" i="50"/>
  <c r="AP24" i="50"/>
  <c r="AP90" i="50"/>
  <c r="AP138" i="50"/>
  <c r="AP475" i="50"/>
  <c r="AP87" i="50"/>
  <c r="AP162" i="50"/>
  <c r="AP180" i="50"/>
  <c r="AP179" i="50"/>
  <c r="AP103" i="50"/>
  <c r="AP137" i="50"/>
  <c r="AP79" i="50"/>
  <c r="AP78" i="50"/>
  <c r="AP28" i="50"/>
  <c r="AP168" i="50"/>
  <c r="AP170" i="50"/>
  <c r="AP474" i="50"/>
  <c r="AP60" i="50"/>
  <c r="AP63" i="50"/>
  <c r="AP89" i="50"/>
  <c r="AP59" i="50"/>
  <c r="AP58" i="50"/>
  <c r="AP88" i="50"/>
  <c r="AP473" i="50"/>
  <c r="AP57" i="50"/>
  <c r="AP56" i="50"/>
  <c r="AP55" i="50"/>
  <c r="AP156" i="50"/>
  <c r="AP167" i="50"/>
  <c r="AP135" i="50"/>
  <c r="AP35" i="50"/>
  <c r="AP472" i="50"/>
  <c r="AP471" i="50"/>
  <c r="AP62" i="50"/>
  <c r="AP75" i="50"/>
  <c r="AP66" i="50"/>
  <c r="AP76" i="50"/>
  <c r="AP80" i="50"/>
  <c r="AP11" i="50"/>
  <c r="AP25" i="50"/>
  <c r="AP470" i="50"/>
  <c r="AP469" i="50"/>
  <c r="AP50" i="50"/>
  <c r="AP468" i="50"/>
  <c r="AP467" i="50"/>
  <c r="AP165" i="50"/>
  <c r="AP18" i="50"/>
  <c r="AP466" i="50"/>
  <c r="AP465" i="50"/>
  <c r="AP34" i="50"/>
  <c r="AP464" i="50"/>
  <c r="AP463" i="50"/>
  <c r="AP158" i="50"/>
  <c r="AP6" i="50"/>
  <c r="AP134" i="50"/>
  <c r="AP462" i="50"/>
  <c r="AP154" i="50"/>
  <c r="AP461" i="50"/>
  <c r="AP110" i="50"/>
  <c r="AP104" i="50"/>
  <c r="AP460" i="50"/>
  <c r="AP47" i="50"/>
  <c r="AP174" i="50"/>
  <c r="AP459" i="50"/>
  <c r="AP131" i="50"/>
  <c r="AP46" i="50"/>
  <c r="AP458" i="50"/>
  <c r="AP457" i="50"/>
  <c r="AP5" i="50"/>
  <c r="AP19" i="50"/>
  <c r="AP456" i="50"/>
  <c r="AP455" i="50"/>
  <c r="AP77" i="50"/>
  <c r="AP71" i="50"/>
  <c r="AP22" i="50"/>
  <c r="AP74" i="50"/>
  <c r="AP454" i="50"/>
  <c r="AP52" i="50"/>
  <c r="AP453" i="50"/>
  <c r="AP160" i="50"/>
  <c r="AP93" i="50"/>
  <c r="AP452" i="50"/>
  <c r="AP451" i="50"/>
  <c r="AP42" i="50"/>
  <c r="AP83" i="50"/>
  <c r="AP450" i="50"/>
  <c r="AP177" i="50"/>
  <c r="AP449" i="50"/>
  <c r="AP153" i="50"/>
  <c r="AP43" i="50"/>
  <c r="AP7" i="50"/>
  <c r="AP84" i="50"/>
  <c r="AP448" i="50"/>
  <c r="AP447" i="50"/>
  <c r="AP102" i="50"/>
  <c r="AP132" i="50"/>
  <c r="AP96" i="50"/>
  <c r="AP446" i="50"/>
  <c r="AP189" i="50"/>
  <c r="AP445" i="50"/>
  <c r="AP70" i="50"/>
  <c r="AP54" i="50"/>
  <c r="AP444" i="50"/>
  <c r="AP106" i="50"/>
  <c r="AP443" i="50"/>
  <c r="AP186" i="50"/>
  <c r="AP442" i="50"/>
  <c r="AP173" i="50"/>
  <c r="AP441" i="50"/>
  <c r="AP14" i="50"/>
  <c r="AP161" i="50"/>
  <c r="AP16" i="50"/>
  <c r="AP67" i="50"/>
  <c r="AP440" i="50"/>
  <c r="AP20" i="50"/>
  <c r="AP439" i="50"/>
  <c r="AP438" i="50"/>
  <c r="AP119" i="50"/>
  <c r="AP437" i="50"/>
  <c r="AP502" i="50"/>
  <c r="AP144" i="50"/>
  <c r="AP143" i="50"/>
  <c r="AP142" i="50"/>
  <c r="AP520" i="50"/>
  <c r="AP17" i="50"/>
  <c r="AP516" i="50"/>
  <c r="AP515" i="50"/>
  <c r="AP512" i="50"/>
  <c r="AP125" i="50"/>
  <c r="AP124" i="50"/>
  <c r="AP123" i="50"/>
  <c r="AP524" i="50"/>
  <c r="AP152" i="50"/>
  <c r="AP197" i="50"/>
  <c r="AP436" i="50"/>
  <c r="AP435" i="50"/>
  <c r="AP531" i="50"/>
  <c r="AP149" i="50"/>
  <c r="AP523" i="50"/>
  <c r="AP519" i="50"/>
  <c r="AP105" i="50"/>
  <c r="AP434" i="50"/>
  <c r="AP130" i="50"/>
  <c r="AP73" i="50"/>
  <c r="AP513" i="50"/>
  <c r="AP133" i="50"/>
  <c r="AP200" i="50"/>
  <c r="AP32" i="50"/>
  <c r="AP433" i="50"/>
  <c r="AP432" i="50"/>
  <c r="AP532" i="50"/>
  <c r="AP530" i="50"/>
  <c r="AP431" i="50"/>
  <c r="AP430" i="50"/>
  <c r="AP157" i="50"/>
  <c r="AP511" i="50"/>
  <c r="AP429" i="50"/>
  <c r="AP428" i="50"/>
  <c r="AP514" i="50"/>
  <c r="AP427" i="50"/>
  <c r="AP426" i="50"/>
  <c r="AP164" i="50"/>
  <c r="AP425" i="50"/>
  <c r="AP424" i="50"/>
  <c r="AP423" i="50"/>
  <c r="AP13" i="50"/>
  <c r="AP504" i="50"/>
  <c r="AP112" i="50"/>
  <c r="AP122" i="50"/>
  <c r="AP121" i="50"/>
  <c r="AP10" i="50"/>
  <c r="AP30" i="50"/>
  <c r="AP151" i="50"/>
  <c r="AP191" i="50"/>
  <c r="AP190" i="50"/>
  <c r="AP201" i="50"/>
  <c r="AP422" i="50"/>
  <c r="AP176" i="50"/>
  <c r="AP199" i="50"/>
  <c r="AP198" i="50"/>
  <c r="AP194" i="50"/>
  <c r="AP193" i="50"/>
  <c r="AP192" i="50"/>
  <c r="AP525" i="50"/>
  <c r="AP172" i="50"/>
  <c r="AP421" i="50"/>
  <c r="AP141" i="50"/>
  <c r="AP140" i="50"/>
  <c r="AP139" i="50"/>
  <c r="AP45" i="50"/>
  <c r="AP420" i="50"/>
  <c r="AP419" i="50"/>
  <c r="AP108" i="50"/>
  <c r="AP171" i="50"/>
  <c r="AP418" i="50"/>
  <c r="AP500" i="50"/>
  <c r="AP203" i="50"/>
  <c r="AP417" i="50"/>
  <c r="AP136" i="50"/>
  <c r="AS6" i="50" s="1"/>
  <c r="AV6" i="50" s="1"/>
  <c r="F11" i="54" s="1"/>
  <c r="AP416" i="50"/>
  <c r="AP82" i="50"/>
  <c r="AP415" i="50"/>
  <c r="AP72" i="50"/>
  <c r="AP414" i="50"/>
  <c r="AP8" i="50"/>
  <c r="AP120" i="50"/>
  <c r="AP111" i="50"/>
  <c r="AP526" i="50"/>
  <c r="AP413" i="50"/>
  <c r="AP412" i="50"/>
  <c r="AP529" i="50"/>
  <c r="AP411" i="50"/>
  <c r="AP410" i="50"/>
  <c r="AP4" i="50"/>
  <c r="AP44" i="50"/>
  <c r="AP409" i="50"/>
  <c r="AP408" i="50"/>
  <c r="AS7" i="50" s="1"/>
  <c r="AV7" i="50" s="1"/>
  <c r="F12" i="54" s="1"/>
  <c r="AP21" i="50"/>
  <c r="AP407" i="50"/>
  <c r="AP406" i="50"/>
  <c r="AP27" i="50"/>
  <c r="AP405" i="50"/>
  <c r="AP404" i="50"/>
  <c r="AP403" i="50"/>
  <c r="AP402" i="50"/>
  <c r="AP401" i="50"/>
  <c r="AP400" i="50"/>
  <c r="AP399" i="50"/>
  <c r="AP398" i="50"/>
  <c r="AP397" i="50"/>
  <c r="AP396" i="50"/>
  <c r="AP395" i="50"/>
  <c r="AP68" i="50"/>
  <c r="AP394" i="50"/>
  <c r="AP393" i="50"/>
  <c r="AP31" i="50"/>
  <c r="AP392" i="50"/>
  <c r="AP391" i="50"/>
  <c r="AP390" i="50"/>
  <c r="AP389" i="50"/>
  <c r="AP388" i="50"/>
  <c r="AP387" i="50"/>
  <c r="AP386" i="50"/>
  <c r="AP385" i="50"/>
  <c r="AP384" i="50"/>
  <c r="AP383" i="50"/>
  <c r="AP382" i="50"/>
  <c r="AP381" i="50"/>
  <c r="AP380" i="50"/>
  <c r="AP37" i="50"/>
  <c r="AP379" i="50"/>
  <c r="AP378" i="50"/>
  <c r="AP377" i="50"/>
  <c r="AP376" i="50"/>
  <c r="AP375" i="50"/>
  <c r="AP374" i="50"/>
  <c r="AP373" i="50"/>
  <c r="AP372" i="50"/>
  <c r="AP371" i="50"/>
  <c r="AP370" i="50"/>
  <c r="AP369" i="50"/>
  <c r="AP368" i="50"/>
  <c r="AP367" i="50"/>
  <c r="AP202" i="50"/>
  <c r="AP33" i="50"/>
  <c r="AP366" i="50"/>
  <c r="AP365" i="50"/>
  <c r="AP505" i="50"/>
  <c r="AP29" i="50"/>
  <c r="AP364" i="50"/>
  <c r="AP363" i="50"/>
  <c r="AP362" i="50"/>
  <c r="AP361" i="50"/>
  <c r="AP360" i="50"/>
  <c r="AP359" i="50"/>
  <c r="AP358" i="50"/>
  <c r="AP357" i="50"/>
  <c r="AP356" i="50"/>
  <c r="AP355" i="50"/>
  <c r="AP354" i="50"/>
  <c r="AP353" i="50"/>
  <c r="AP352" i="50"/>
  <c r="AP351" i="50"/>
  <c r="AP350" i="50"/>
  <c r="AP48" i="50"/>
  <c r="AP349" i="50"/>
  <c r="AP495" i="50"/>
  <c r="AP521" i="50"/>
  <c r="AP348" i="50"/>
  <c r="AP36" i="50"/>
  <c r="AP347" i="50"/>
  <c r="AP346" i="50"/>
  <c r="AP345" i="50"/>
  <c r="AP344" i="50"/>
  <c r="AP343" i="50"/>
  <c r="AP342" i="50"/>
  <c r="AP341" i="50"/>
  <c r="AP340" i="50"/>
  <c r="AP339" i="50"/>
  <c r="AP338" i="50"/>
  <c r="AP337" i="50"/>
  <c r="AP336" i="50"/>
  <c r="AP335" i="50"/>
  <c r="AP334" i="50"/>
  <c r="AP333" i="50"/>
  <c r="AP332" i="50"/>
  <c r="AP331" i="50"/>
  <c r="AP330" i="50"/>
  <c r="AP329" i="50"/>
  <c r="AP328" i="50"/>
  <c r="AP327" i="50"/>
  <c r="AP510" i="50"/>
  <c r="AP181" i="50"/>
  <c r="AP40" i="50"/>
  <c r="AP326" i="50"/>
  <c r="AP325" i="50"/>
  <c r="AP324" i="50"/>
  <c r="AP323" i="50"/>
  <c r="AP322" i="50"/>
  <c r="AP321" i="50"/>
  <c r="AP320" i="50"/>
  <c r="AP319" i="50"/>
  <c r="AP318" i="50"/>
  <c r="AP317" i="50"/>
  <c r="AP316" i="50"/>
  <c r="AP315" i="50"/>
  <c r="AP314" i="50"/>
  <c r="AP313" i="50"/>
  <c r="AP312" i="50"/>
  <c r="AP311" i="50"/>
  <c r="AP310" i="50"/>
  <c r="AP309" i="50"/>
  <c r="AP308" i="50"/>
  <c r="AP307" i="50"/>
  <c r="AP306" i="50"/>
  <c r="AP305" i="50"/>
  <c r="AP304" i="50"/>
  <c r="AP303" i="50"/>
  <c r="AP302" i="50"/>
  <c r="AP39" i="50"/>
  <c r="AP301" i="50"/>
  <c r="AP300" i="50"/>
  <c r="AP299" i="50"/>
  <c r="AP298" i="50"/>
  <c r="AP297" i="50"/>
  <c r="AP296" i="50"/>
  <c r="AP295" i="50"/>
  <c r="AP294" i="50"/>
  <c r="AP293" i="50"/>
  <c r="AP292" i="50"/>
  <c r="AP291" i="50"/>
  <c r="AP290" i="50"/>
  <c r="AP289" i="50"/>
  <c r="AP288" i="50"/>
  <c r="AP287" i="50"/>
  <c r="AP286" i="50"/>
  <c r="AP285" i="50"/>
  <c r="AP284" i="50"/>
  <c r="AP283" i="50"/>
  <c r="AP282" i="50"/>
  <c r="AP281" i="50"/>
  <c r="AP280" i="50"/>
  <c r="AP279" i="50"/>
  <c r="AP278" i="50"/>
  <c r="AP277" i="50"/>
  <c r="AP508" i="50"/>
  <c r="AP41" i="50"/>
  <c r="AP276" i="50"/>
  <c r="AP275" i="50"/>
  <c r="AP274" i="50"/>
  <c r="AP273" i="50"/>
  <c r="AP272" i="50"/>
  <c r="AP271" i="50"/>
  <c r="AP270" i="50"/>
  <c r="AP269" i="50"/>
  <c r="AP268" i="50"/>
  <c r="AP267" i="50"/>
  <c r="AP266" i="50"/>
  <c r="AP265" i="50"/>
  <c r="AP264" i="50"/>
  <c r="AP263" i="50"/>
  <c r="AP262" i="50"/>
  <c r="AP261" i="50"/>
  <c r="AP260" i="50"/>
  <c r="AP259" i="50"/>
  <c r="AP258" i="50"/>
  <c r="AP257" i="50"/>
  <c r="AP256" i="50"/>
  <c r="AP255" i="50"/>
  <c r="AP254" i="50"/>
  <c r="AP253" i="50"/>
  <c r="AP252" i="50"/>
  <c r="AP251" i="50"/>
  <c r="AP250" i="50"/>
  <c r="AP249" i="50"/>
  <c r="AP187" i="50"/>
  <c r="AP248" i="50"/>
  <c r="AP503" i="50"/>
  <c r="AP499" i="50"/>
  <c r="AP85" i="50"/>
  <c r="AP247" i="50"/>
  <c r="AP246" i="50"/>
  <c r="AP245" i="50"/>
  <c r="AP244" i="50"/>
  <c r="AP243" i="50"/>
  <c r="AP242" i="50"/>
  <c r="AP241" i="50"/>
  <c r="AP240" i="50"/>
  <c r="AP239" i="50"/>
  <c r="AP238" i="50"/>
  <c r="AP237" i="50"/>
  <c r="AP236" i="50"/>
  <c r="AP235" i="50"/>
  <c r="AP234" i="50"/>
  <c r="AP233" i="50"/>
  <c r="AP232" i="50"/>
  <c r="AP231" i="50"/>
  <c r="AP230" i="50"/>
  <c r="AP229" i="50"/>
  <c r="AP228" i="50"/>
  <c r="AP227" i="50"/>
  <c r="AP226" i="50"/>
  <c r="AP225" i="50"/>
  <c r="AP224" i="50"/>
  <c r="AP223" i="50"/>
  <c r="AP222" i="50"/>
  <c r="AP221" i="50"/>
  <c r="AP220" i="50"/>
  <c r="AP219" i="50"/>
  <c r="AP218" i="50"/>
  <c r="AP217" i="50"/>
  <c r="AP216" i="50"/>
  <c r="AP215" i="50"/>
  <c r="AP214" i="50"/>
  <c r="AP213" i="50"/>
  <c r="AP212" i="50"/>
  <c r="AP211" i="50"/>
  <c r="AP210" i="50"/>
  <c r="AP209" i="50"/>
  <c r="AS8" i="50" s="1"/>
  <c r="AV8" i="50" s="1"/>
  <c r="F13" i="54" s="1"/>
  <c r="AP496" i="50"/>
  <c r="AP527" i="50"/>
  <c r="AP509" i="50"/>
  <c r="AP208" i="50"/>
  <c r="AP528" i="50"/>
  <c r="AP207" i="50"/>
  <c r="AP206" i="50"/>
  <c r="AP522" i="50"/>
  <c r="AP205" i="50"/>
  <c r="AP204" i="50"/>
  <c r="AP501" i="50"/>
  <c r="AS5" i="50"/>
  <c r="AV5" i="50" s="1"/>
  <c r="F10" i="54" s="1"/>
  <c r="AP498" i="50"/>
  <c r="AP497" i="50"/>
  <c r="AP517" i="50"/>
  <c r="H44" i="21"/>
  <c r="H20" i="22" s="1"/>
  <c r="G44" i="21"/>
  <c r="G20" i="22" s="1"/>
  <c r="F20" i="22"/>
  <c r="AR25" i="24" l="1"/>
  <c r="AS25" i="24" s="1"/>
  <c r="AT25" i="24" s="1"/>
  <c r="AF40" i="24"/>
  <c r="AG40" i="24" s="1"/>
  <c r="AG26" i="24"/>
  <c r="AH26" i="24" s="1"/>
  <c r="AR40" i="24"/>
  <c r="AS40" i="24" s="1"/>
  <c r="AT40" i="24" s="1"/>
  <c r="AU40" i="24" s="1"/>
  <c r="AS27" i="24"/>
  <c r="AT27" i="24" s="1"/>
  <c r="T29" i="24"/>
  <c r="U29" i="24" s="1"/>
  <c r="U22" i="24"/>
  <c r="V22" i="24" s="1"/>
  <c r="W22" i="24" s="1"/>
  <c r="X22" i="24" s="1"/>
  <c r="Y22" i="24" s="1"/>
  <c r="Z22" i="24" s="1"/>
  <c r="AA22" i="24" s="1"/>
  <c r="AB22" i="24" s="1"/>
  <c r="AC22" i="24" s="1"/>
  <c r="V21" i="24"/>
  <c r="W21" i="24" s="1"/>
  <c r="X21" i="24" s="1"/>
  <c r="T23" i="24"/>
  <c r="U23" i="24" s="1"/>
  <c r="U41" i="24"/>
  <c r="V41" i="24" s="1"/>
  <c r="W41" i="24" s="1"/>
  <c r="U43" i="24"/>
  <c r="AT35" i="24"/>
  <c r="AU35" i="24" s="1"/>
  <c r="AH40" i="24"/>
  <c r="AI40" i="24" s="1"/>
  <c r="AJ40" i="24" s="1"/>
  <c r="AI22" i="24"/>
  <c r="AJ22" i="24" s="1"/>
  <c r="AK22" i="24" s="1"/>
  <c r="AL22" i="24" s="1"/>
  <c r="AM22" i="24" s="1"/>
  <c r="AN22" i="24" s="1"/>
  <c r="AO22" i="24" s="1"/>
  <c r="AI26" i="24"/>
  <c r="AJ26" i="24" s="1"/>
  <c r="X42" i="24"/>
  <c r="Y42" i="24" s="1"/>
  <c r="Z42" i="24" s="1"/>
  <c r="AA42" i="24" s="1"/>
  <c r="AB42" i="24" s="1"/>
  <c r="AC42" i="24" s="1"/>
  <c r="AV30" i="24"/>
  <c r="AW30" i="24" s="1"/>
  <c r="AX30" i="24" s="1"/>
  <c r="AY30" i="24" s="1"/>
  <c r="AR48" i="24"/>
  <c r="AS48" i="24" s="1"/>
  <c r="AT48" i="24" s="1"/>
  <c r="T24" i="24"/>
  <c r="U24" i="24" s="1"/>
  <c r="V24" i="24" s="1"/>
  <c r="W24" i="24" s="1"/>
  <c r="AH43" i="24"/>
  <c r="AI43" i="24" s="1"/>
  <c r="AU27" i="24"/>
  <c r="AV27" i="24" s="1"/>
  <c r="AW27" i="24" s="1"/>
  <c r="AX27" i="24" s="1"/>
  <c r="AS10" i="24"/>
  <c r="AT10" i="24" s="1"/>
  <c r="AU10" i="24" s="1"/>
  <c r="AV10" i="24" s="1"/>
  <c r="AW10" i="24" s="1"/>
  <c r="AR29" i="24"/>
  <c r="AS29" i="24" s="1"/>
  <c r="AT29" i="24" s="1"/>
  <c r="AS21" i="24"/>
  <c r="AT21" i="24" s="1"/>
  <c r="AU21" i="24" s="1"/>
  <c r="AL29" i="24"/>
  <c r="AM29" i="24" s="1"/>
  <c r="AN29" i="24" s="1"/>
  <c r="AO29" i="24" s="1"/>
  <c r="AV40" i="24"/>
  <c r="AW40" i="24" s="1"/>
  <c r="AX40" i="24" s="1"/>
  <c r="U27" i="24"/>
  <c r="AG16" i="24"/>
  <c r="AH16" i="24" s="1"/>
  <c r="AS26" i="24"/>
  <c r="AT26" i="24" s="1"/>
  <c r="AU43" i="24"/>
  <c r="AV43" i="24" s="1"/>
  <c r="AW43" i="24" s="1"/>
  <c r="X48" i="24"/>
  <c r="Y48" i="24" s="1"/>
  <c r="Z48" i="24" s="1"/>
  <c r="AA48" i="24" s="1"/>
  <c r="AB48" i="24" s="1"/>
  <c r="AC48" i="24" s="1"/>
  <c r="AU25" i="24"/>
  <c r="AI10" i="24"/>
  <c r="V16" i="24"/>
  <c r="AU16" i="24"/>
  <c r="AV16" i="24" s="1"/>
  <c r="T30" i="24"/>
  <c r="U30" i="24" s="1"/>
  <c r="AK26" i="24"/>
  <c r="AL26" i="24" s="1"/>
  <c r="AM26" i="24" s="1"/>
  <c r="AN26" i="24" s="1"/>
  <c r="AO26" i="24" s="1"/>
  <c r="AH35" i="24"/>
  <c r="AT49" i="24"/>
  <c r="AU49" i="24" s="1"/>
  <c r="AS22" i="24"/>
  <c r="AT22" i="24" s="1"/>
  <c r="AG23" i="24"/>
  <c r="V27" i="24"/>
  <c r="W27" i="24" s="1"/>
  <c r="V25" i="24"/>
  <c r="W25" i="24" s="1"/>
  <c r="X25" i="24" s="1"/>
  <c r="AF48" i="24"/>
  <c r="AG48" i="24" s="1"/>
  <c r="AH48" i="24" s="1"/>
  <c r="AF21" i="24"/>
  <c r="W10" i="24"/>
  <c r="AK40" i="24"/>
  <c r="AL40" i="24" s="1"/>
  <c r="AM40" i="24" s="1"/>
  <c r="AN40" i="24" s="1"/>
  <c r="AO40" i="24" s="1"/>
  <c r="AR23" i="24"/>
  <c r="AU26" i="24"/>
  <c r="AI24" i="24"/>
  <c r="AJ24" i="24" s="1"/>
  <c r="AK24" i="24" s="1"/>
  <c r="AL24" i="24" s="1"/>
  <c r="AM24" i="24" s="1"/>
  <c r="AT42" i="24"/>
  <c r="AU42" i="24" s="1"/>
  <c r="AV42" i="24" s="1"/>
  <c r="AT24" i="24"/>
  <c r="AU24" i="24" s="1"/>
  <c r="AV24" i="24" s="1"/>
  <c r="AU48" i="24"/>
  <c r="W26" i="24"/>
  <c r="W28" i="24"/>
  <c r="X28" i="24" s="1"/>
  <c r="AI27" i="24"/>
  <c r="T49" i="24"/>
  <c r="AX41" i="24"/>
  <c r="AY41" i="24" s="1"/>
  <c r="AZ41" i="24" s="1"/>
  <c r="BA41" i="24" s="1"/>
  <c r="AI28" i="24"/>
  <c r="AJ28" i="24" s="1"/>
  <c r="AK28" i="24" s="1"/>
  <c r="W35" i="24"/>
  <c r="AF49" i="24"/>
  <c r="AW28" i="24"/>
  <c r="AG42" i="24"/>
  <c r="U40" i="24"/>
  <c r="AH41" i="24"/>
  <c r="AG30" i="24"/>
  <c r="AH25" i="24"/>
  <c r="I169" i="52"/>
  <c r="AS5" i="52"/>
  <c r="AV5" i="52" s="1"/>
  <c r="F10" i="55" s="1"/>
  <c r="H21" i="22" s="1"/>
  <c r="AV4" i="52"/>
  <c r="F9" i="55" s="1"/>
  <c r="AP169" i="52"/>
  <c r="AP536" i="50"/>
  <c r="G19" i="54"/>
  <c r="AP540" i="50"/>
  <c r="AS13" i="50"/>
  <c r="AS16" i="50" s="1"/>
  <c r="AS13" i="52"/>
  <c r="AS14" i="50"/>
  <c r="AS14" i="52"/>
  <c r="AS4" i="50"/>
  <c r="AV4" i="50" s="1"/>
  <c r="F9" i="54" s="1"/>
  <c r="F14" i="54" s="1"/>
  <c r="AJ335" i="45"/>
  <c r="AK335" i="45"/>
  <c r="AL335" i="45"/>
  <c r="AM335" i="45"/>
  <c r="AN335" i="45"/>
  <c r="AO335" i="45"/>
  <c r="AI335" i="45"/>
  <c r="F24" i="22"/>
  <c r="G24" i="22"/>
  <c r="H24" i="22"/>
  <c r="I24" i="22"/>
  <c r="F25" i="22"/>
  <c r="G25" i="22"/>
  <c r="H25" i="22"/>
  <c r="I25" i="22"/>
  <c r="AX16" i="24" l="1"/>
  <c r="AY16" i="24" s="1"/>
  <c r="AZ16" i="24" s="1"/>
  <c r="BA16" i="24" s="1"/>
  <c r="AW16" i="24"/>
  <c r="AV35" i="24"/>
  <c r="AW35" i="24" s="1"/>
  <c r="AX35" i="24" s="1"/>
  <c r="AY35" i="24" s="1"/>
  <c r="AZ35" i="24" s="1"/>
  <c r="BA35" i="24" s="1"/>
  <c r="V29" i="24"/>
  <c r="W29" i="24" s="1"/>
  <c r="X29" i="24" s="1"/>
  <c r="X24" i="24"/>
  <c r="Y24" i="24" s="1"/>
  <c r="Z24" i="24" s="1"/>
  <c r="AA24" i="24" s="1"/>
  <c r="AB24" i="24" s="1"/>
  <c r="AC24" i="24" s="1"/>
  <c r="Y21" i="24"/>
  <c r="Z21" i="24" s="1"/>
  <c r="AA21" i="24" s="1"/>
  <c r="V43" i="24"/>
  <c r="W43" i="24" s="1"/>
  <c r="X43" i="24" s="1"/>
  <c r="Y43" i="24" s="1"/>
  <c r="Z43" i="24" s="1"/>
  <c r="AA43" i="24" s="1"/>
  <c r="AB43" i="24" s="1"/>
  <c r="AC43" i="24" s="1"/>
  <c r="V23" i="24"/>
  <c r="AY40" i="24"/>
  <c r="AZ40" i="24" s="1"/>
  <c r="BA40" i="24" s="1"/>
  <c r="AX10" i="24"/>
  <c r="AY10" i="24" s="1"/>
  <c r="AZ10" i="24" s="1"/>
  <c r="BA10" i="24" s="1"/>
  <c r="AU29" i="24"/>
  <c r="AV29" i="24" s="1"/>
  <c r="AW29" i="24" s="1"/>
  <c r="AX29" i="24" s="1"/>
  <c r="AY29" i="24" s="1"/>
  <c r="AZ29" i="24" s="1"/>
  <c r="BA29" i="24" s="1"/>
  <c r="AJ43" i="24"/>
  <c r="AZ30" i="24"/>
  <c r="BA30" i="24" s="1"/>
  <c r="V30" i="24"/>
  <c r="W30" i="24" s="1"/>
  <c r="X30" i="24" s="1"/>
  <c r="Y30" i="24" s="1"/>
  <c r="Y28" i="24"/>
  <c r="Z28" i="24" s="1"/>
  <c r="AA28" i="24" s="1"/>
  <c r="AB28" i="24" s="1"/>
  <c r="AC28" i="24" s="1"/>
  <c r="AI48" i="24"/>
  <c r="AJ48" i="24" s="1"/>
  <c r="AK48" i="24" s="1"/>
  <c r="AL48" i="24" s="1"/>
  <c r="AM48" i="24" s="1"/>
  <c r="AN48" i="24" s="1"/>
  <c r="AO48" i="24" s="1"/>
  <c r="AS23" i="24"/>
  <c r="AT23" i="24" s="1"/>
  <c r="AU23" i="24" s="1"/>
  <c r="AI16" i="24"/>
  <c r="AJ16" i="24" s="1"/>
  <c r="AK16" i="24" s="1"/>
  <c r="AL16" i="24" s="1"/>
  <c r="AM16" i="24" s="1"/>
  <c r="AN16" i="24" s="1"/>
  <c r="AO16" i="24" s="1"/>
  <c r="AV25" i="24"/>
  <c r="AW25" i="24" s="1"/>
  <c r="AX25" i="24" s="1"/>
  <c r="AY25" i="24" s="1"/>
  <c r="AZ25" i="24" s="1"/>
  <c r="BA25" i="24" s="1"/>
  <c r="AH23" i="24"/>
  <c r="AI23" i="24" s="1"/>
  <c r="AJ23" i="24" s="1"/>
  <c r="AK23" i="24" s="1"/>
  <c r="AU22" i="24"/>
  <c r="AV22" i="24" s="1"/>
  <c r="AI35" i="24"/>
  <c r="AJ35" i="24" s="1"/>
  <c r="AK35" i="24" s="1"/>
  <c r="X10" i="24"/>
  <c r="Y10" i="24" s="1"/>
  <c r="Z10" i="24" s="1"/>
  <c r="AX43" i="24"/>
  <c r="AY43" i="24" s="1"/>
  <c r="AZ43" i="24" s="1"/>
  <c r="BA43" i="24" s="1"/>
  <c r="X27" i="24"/>
  <c r="AG21" i="24"/>
  <c r="X26" i="24"/>
  <c r="Y26" i="24" s="1"/>
  <c r="W16" i="24"/>
  <c r="AV49" i="24"/>
  <c r="AW49" i="24" s="1"/>
  <c r="AX49" i="24" s="1"/>
  <c r="AY49" i="24" s="1"/>
  <c r="AZ49" i="24" s="1"/>
  <c r="BA49" i="24" s="1"/>
  <c r="AV26" i="24"/>
  <c r="AW26" i="24" s="1"/>
  <c r="AJ10" i="24"/>
  <c r="AK10" i="24" s="1"/>
  <c r="AL10" i="24" s="1"/>
  <c r="AM10" i="24" s="1"/>
  <c r="AN10" i="24" s="1"/>
  <c r="AO10" i="24" s="1"/>
  <c r="Y25" i="24"/>
  <c r="Z25" i="24" s="1"/>
  <c r="AA25" i="24" s="1"/>
  <c r="AB25" i="24" s="1"/>
  <c r="AC25" i="24" s="1"/>
  <c r="AV21" i="24"/>
  <c r="AW21" i="24" s="1"/>
  <c r="AX21" i="24" s="1"/>
  <c r="AH30" i="24"/>
  <c r="AI30" i="24" s="1"/>
  <c r="AI41" i="24"/>
  <c r="AJ41" i="24" s="1"/>
  <c r="AK41" i="24" s="1"/>
  <c r="AL41" i="24" s="1"/>
  <c r="AM41" i="24" s="1"/>
  <c r="AW24" i="24"/>
  <c r="AX24" i="24" s="1"/>
  <c r="X41" i="24"/>
  <c r="Y41" i="24" s="1"/>
  <c r="Z41" i="24" s="1"/>
  <c r="AH42" i="24"/>
  <c r="AI42" i="24" s="1"/>
  <c r="AG49" i="24"/>
  <c r="AH49" i="24" s="1"/>
  <c r="AJ27" i="24"/>
  <c r="AK27" i="24" s="1"/>
  <c r="U49" i="24"/>
  <c r="AX28" i="24"/>
  <c r="AY28" i="24" s="1"/>
  <c r="AZ28" i="24" s="1"/>
  <c r="BA28" i="24" s="1"/>
  <c r="AL28" i="24"/>
  <c r="AM28" i="24" s="1"/>
  <c r="AN28" i="24" s="1"/>
  <c r="AO28" i="24" s="1"/>
  <c r="X35" i="24"/>
  <c r="Y35" i="24" s="1"/>
  <c r="AN24" i="24"/>
  <c r="AO24" i="24" s="1"/>
  <c r="AI25" i="24"/>
  <c r="V40" i="24"/>
  <c r="W40" i="24" s="1"/>
  <c r="X40" i="24" s="1"/>
  <c r="AV48" i="24"/>
  <c r="AW48" i="24" s="1"/>
  <c r="AW42" i="24"/>
  <c r="AX42" i="24" s="1"/>
  <c r="AY42" i="24" s="1"/>
  <c r="AZ42" i="24" s="1"/>
  <c r="BA42" i="24" s="1"/>
  <c r="AY27" i="24"/>
  <c r="AZ27" i="24" s="1"/>
  <c r="BA27" i="24" s="1"/>
  <c r="F14" i="55"/>
  <c r="F21" i="55" s="1"/>
  <c r="G19" i="55"/>
  <c r="F18" i="55"/>
  <c r="F17" i="55"/>
  <c r="AS10" i="52"/>
  <c r="F20" i="55"/>
  <c r="F19" i="55"/>
  <c r="F28" i="55"/>
  <c r="G30" i="54"/>
  <c r="G29" i="54"/>
  <c r="AS10" i="50"/>
  <c r="AS16" i="52"/>
  <c r="F6" i="48"/>
  <c r="E6" i="48"/>
  <c r="D5" i="48"/>
  <c r="D6" i="48"/>
  <c r="D4" i="48"/>
  <c r="C6" i="48"/>
  <c r="C5" i="48"/>
  <c r="C4" i="48"/>
  <c r="B6" i="48"/>
  <c r="B5" i="48"/>
  <c r="B4" i="48"/>
  <c r="Y29" i="24" l="1"/>
  <c r="Z29" i="24" s="1"/>
  <c r="AA29" i="24" s="1"/>
  <c r="AB29" i="24" s="1"/>
  <c r="AC29" i="24" s="1"/>
  <c r="Z30" i="24"/>
  <c r="AA30" i="24" s="1"/>
  <c r="AB30" i="24" s="1"/>
  <c r="AC30" i="24" s="1"/>
  <c r="AB21" i="24"/>
  <c r="AC21" i="24" s="1"/>
  <c r="W23" i="24"/>
  <c r="X23" i="24" s="1"/>
  <c r="Y23" i="24" s="1"/>
  <c r="AK43" i="24"/>
  <c r="AL43" i="24" s="1"/>
  <c r="AJ42" i="24"/>
  <c r="AV23" i="24"/>
  <c r="AW22" i="24"/>
  <c r="AX22" i="24" s="1"/>
  <c r="AY22" i="24" s="1"/>
  <c r="AZ22" i="24" s="1"/>
  <c r="BA22" i="24" s="1"/>
  <c r="Z26" i="24"/>
  <c r="AA26" i="24" s="1"/>
  <c r="AB26" i="24" s="1"/>
  <c r="AC26" i="24" s="1"/>
  <c r="AX26" i="24"/>
  <c r="AY26" i="24" s="1"/>
  <c r="AZ26" i="24" s="1"/>
  <c r="BA26" i="24" s="1"/>
  <c r="Y27" i="24"/>
  <c r="Z27" i="24" s="1"/>
  <c r="AA27" i="24" s="1"/>
  <c r="AN41" i="24"/>
  <c r="AO41" i="24" s="1"/>
  <c r="AY21" i="24"/>
  <c r="AZ21" i="24" s="1"/>
  <c r="BA21" i="24" s="1"/>
  <c r="AA10" i="24"/>
  <c r="AB10" i="24" s="1"/>
  <c r="AC10" i="24" s="1"/>
  <c r="AL23" i="24"/>
  <c r="AM23" i="24" s="1"/>
  <c r="AN23" i="24" s="1"/>
  <c r="AO23" i="24" s="1"/>
  <c r="X16" i="24"/>
  <c r="Y16" i="24" s="1"/>
  <c r="Z16" i="24" s="1"/>
  <c r="AH21" i="24"/>
  <c r="AI21" i="24" s="1"/>
  <c r="AJ21" i="24" s="1"/>
  <c r="AL35" i="24"/>
  <c r="AM35" i="24" s="1"/>
  <c r="AN35" i="24" s="1"/>
  <c r="AO35" i="24" s="1"/>
  <c r="AJ30" i="24"/>
  <c r="Y40" i="24"/>
  <c r="Z40" i="24" s="1"/>
  <c r="AY24" i="24"/>
  <c r="AZ24" i="24" s="1"/>
  <c r="BA24" i="24" s="1"/>
  <c r="AJ25" i="24"/>
  <c r="AK25" i="24" s="1"/>
  <c r="AL25" i="24" s="1"/>
  <c r="V49" i="24"/>
  <c r="AK42" i="24"/>
  <c r="AL42" i="24" s="1"/>
  <c r="AL27" i="24"/>
  <c r="AM27" i="24" s="1"/>
  <c r="AN27" i="24" s="1"/>
  <c r="AO27" i="24" s="1"/>
  <c r="AA41" i="24"/>
  <c r="AB41" i="24" s="1"/>
  <c r="AC41" i="24" s="1"/>
  <c r="AX48" i="24"/>
  <c r="AY48" i="24" s="1"/>
  <c r="AZ48" i="24" s="1"/>
  <c r="BA48" i="24" s="1"/>
  <c r="Z35" i="24"/>
  <c r="AA35" i="24" s="1"/>
  <c r="AB35" i="24" s="1"/>
  <c r="AC35" i="24" s="1"/>
  <c r="AI49" i="24"/>
  <c r="F29" i="55"/>
  <c r="G20" i="55"/>
  <c r="G18" i="55"/>
  <c r="G28" i="55"/>
  <c r="G17" i="55"/>
  <c r="G21" i="55"/>
  <c r="F21" i="22"/>
  <c r="G21" i="22"/>
  <c r="F23" i="22"/>
  <c r="G23" i="22"/>
  <c r="H23" i="22"/>
  <c r="I23" i="22"/>
  <c r="C19" i="22"/>
  <c r="C20" i="22"/>
  <c r="C21" i="22"/>
  <c r="C23" i="22"/>
  <c r="C13" i="22"/>
  <c r="F31" i="16"/>
  <c r="F33" i="16" s="1"/>
  <c r="Z23" i="24" l="1"/>
  <c r="AA23" i="24" s="1"/>
  <c r="AB23" i="24" s="1"/>
  <c r="AC23" i="24" s="1"/>
  <c r="AM43" i="24"/>
  <c r="AN43" i="24" s="1"/>
  <c r="AO43" i="24" s="1"/>
  <c r="AW23" i="24"/>
  <c r="AX23" i="24" s="1"/>
  <c r="AY23" i="24" s="1"/>
  <c r="AZ23" i="24" s="1"/>
  <c r="BA23" i="24" s="1"/>
  <c r="W49" i="24"/>
  <c r="X49" i="24" s="1"/>
  <c r="Y49" i="24" s="1"/>
  <c r="Z49" i="24" s="1"/>
  <c r="AB27" i="24"/>
  <c r="AC27" i="24" s="1"/>
  <c r="AK21" i="24"/>
  <c r="AL21" i="24" s="1"/>
  <c r="AA16" i="24"/>
  <c r="AB16" i="24" s="1"/>
  <c r="AC16" i="24" s="1"/>
  <c r="AJ49" i="24"/>
  <c r="AK49" i="24" s="1"/>
  <c r="AL49" i="24" s="1"/>
  <c r="AM49" i="24" s="1"/>
  <c r="AN49" i="24" s="1"/>
  <c r="AO49" i="24" s="1"/>
  <c r="AA40" i="24"/>
  <c r="AB40" i="24" s="1"/>
  <c r="AC40" i="24" s="1"/>
  <c r="AK30" i="24"/>
  <c r="AL30" i="24" s="1"/>
  <c r="AM30" i="24" s="1"/>
  <c r="AN30" i="24" s="1"/>
  <c r="AO30" i="24" s="1"/>
  <c r="AM42" i="24"/>
  <c r="AN42" i="24" s="1"/>
  <c r="AO42" i="24" s="1"/>
  <c r="AM25" i="24"/>
  <c r="AN25" i="24" s="1"/>
  <c r="AO25" i="24" s="1"/>
  <c r="G29" i="55"/>
  <c r="J62" i="15"/>
  <c r="J61" i="15"/>
  <c r="J56" i="15"/>
  <c r="J55" i="15"/>
  <c r="J54" i="15"/>
  <c r="J53" i="15"/>
  <c r="J48" i="15"/>
  <c r="J23" i="15"/>
  <c r="J43" i="15"/>
  <c r="J42" i="15"/>
  <c r="J41" i="15"/>
  <c r="J40" i="15"/>
  <c r="J39" i="15"/>
  <c r="J38" i="15"/>
  <c r="J37" i="15"/>
  <c r="J36" i="15"/>
  <c r="J35" i="15"/>
  <c r="J34" i="15"/>
  <c r="J29" i="15"/>
  <c r="J22" i="15"/>
  <c r="K22" i="15" s="1"/>
  <c r="J21" i="15"/>
  <c r="K21" i="15" s="1"/>
  <c r="J20" i="15"/>
  <c r="M20" i="15" s="1"/>
  <c r="J19" i="15"/>
  <c r="K19" i="15" s="1"/>
  <c r="J18" i="15"/>
  <c r="K18" i="15" s="1"/>
  <c r="J17" i="15"/>
  <c r="J15" i="15"/>
  <c r="M15" i="15" s="1"/>
  <c r="J14" i="15"/>
  <c r="M14" i="15" s="1"/>
  <c r="J13" i="15"/>
  <c r="E62" i="15"/>
  <c r="E61" i="15"/>
  <c r="E56" i="15"/>
  <c r="E55" i="15"/>
  <c r="E54" i="15"/>
  <c r="E53" i="15"/>
  <c r="E48" i="15"/>
  <c r="E43" i="15"/>
  <c r="E42" i="15"/>
  <c r="E41" i="15"/>
  <c r="E40" i="15"/>
  <c r="E39" i="15"/>
  <c r="E38" i="15"/>
  <c r="E37" i="15"/>
  <c r="E36" i="15"/>
  <c r="E35" i="15"/>
  <c r="E34" i="15"/>
  <c r="E29" i="15"/>
  <c r="E23" i="15"/>
  <c r="E22" i="15"/>
  <c r="E21" i="15"/>
  <c r="E20" i="15"/>
  <c r="E19" i="15"/>
  <c r="E18" i="15"/>
  <c r="E17" i="15"/>
  <c r="E15" i="15"/>
  <c r="E14" i="15"/>
  <c r="E13" i="15"/>
  <c r="C35" i="15"/>
  <c r="C36" i="15"/>
  <c r="C37" i="15"/>
  <c r="C38" i="15"/>
  <c r="C39" i="15"/>
  <c r="C40" i="15"/>
  <c r="C41" i="15"/>
  <c r="C42" i="15"/>
  <c r="C43" i="15"/>
  <c r="C44" i="15"/>
  <c r="C34" i="15"/>
  <c r="AA49" i="24" l="1"/>
  <c r="AB49" i="24" s="1"/>
  <c r="AC49" i="24" s="1"/>
  <c r="AM21" i="24"/>
  <c r="AN21" i="24" s="1"/>
  <c r="AO21" i="24" s="1"/>
  <c r="E33" i="16"/>
  <c r="M21" i="15"/>
  <c r="J16" i="15"/>
  <c r="M16" i="15" s="1"/>
  <c r="M18" i="15"/>
  <c r="M17" i="15"/>
  <c r="K17" i="15"/>
  <c r="K14" i="15"/>
  <c r="K13" i="15"/>
  <c r="M13" i="15"/>
  <c r="K15" i="15"/>
  <c r="K20" i="15"/>
  <c r="M19" i="15"/>
  <c r="M22" i="15"/>
  <c r="E16" i="15"/>
  <c r="E37" i="16" l="1"/>
  <c r="J12" i="15"/>
  <c r="J28" i="15" s="1"/>
  <c r="J33" i="15" s="1"/>
  <c r="J47" i="15" s="1"/>
  <c r="K16" i="15"/>
  <c r="E12" i="15"/>
  <c r="E28" i="15" s="1"/>
  <c r="E39" i="16" l="1"/>
  <c r="F36" i="16"/>
  <c r="F28" i="16"/>
  <c r="F27" i="16"/>
  <c r="F35" i="16"/>
  <c r="F13" i="14"/>
  <c r="F12" i="14"/>
  <c r="F11" i="14"/>
  <c r="F10" i="14"/>
  <c r="F9" i="14"/>
  <c r="E40" i="16" l="1"/>
  <c r="E46" i="16" s="1"/>
  <c r="E47" i="16" s="1"/>
  <c r="E48" i="16" s="1"/>
  <c r="E49" i="16" s="1"/>
  <c r="E50" i="16" s="1"/>
  <c r="F37" i="16"/>
  <c r="F29" i="16"/>
  <c r="F42" i="16" s="1"/>
  <c r="H65" i="13"/>
  <c r="G65" i="13"/>
  <c r="J65" i="13"/>
  <c r="H63" i="13"/>
  <c r="J59" i="13"/>
  <c r="H57" i="13"/>
  <c r="H59" i="13" s="1"/>
  <c r="G57" i="13"/>
  <c r="G59" i="13" s="1"/>
  <c r="E53" i="16" l="1"/>
  <c r="J67" i="13"/>
  <c r="H67" i="13"/>
  <c r="I62" i="16"/>
  <c r="H62" i="16"/>
  <c r="G62" i="16"/>
  <c r="F62" i="16"/>
  <c r="B431" i="45" l="1"/>
  <c r="B440" i="45" s="1"/>
  <c r="B432" i="45"/>
  <c r="B441" i="45" s="1"/>
  <c r="B433" i="45"/>
  <c r="B442" i="45" s="1"/>
  <c r="B434" i="45"/>
  <c r="B443" i="45" s="1"/>
  <c r="B435" i="45"/>
  <c r="B444" i="45" s="1"/>
  <c r="B430" i="45"/>
  <c r="B439" i="45" s="1"/>
  <c r="E426" i="45"/>
  <c r="E425" i="45"/>
  <c r="E424" i="45"/>
  <c r="E423" i="45"/>
  <c r="E422" i="45"/>
  <c r="E421" i="45"/>
  <c r="E427" i="45" s="1"/>
  <c r="E113" i="45" l="1"/>
  <c r="E112" i="45"/>
  <c r="E111" i="45"/>
  <c r="E110" i="45"/>
  <c r="E109" i="45"/>
  <c r="E108" i="45"/>
  <c r="E107" i="45"/>
  <c r="E100" i="45"/>
  <c r="F27" i="8" s="1"/>
  <c r="E101" i="45"/>
  <c r="E102" i="45"/>
  <c r="E103" i="45"/>
  <c r="E104" i="45"/>
  <c r="E105" i="45"/>
  <c r="E106" i="45"/>
  <c r="E99" i="45"/>
  <c r="F26" i="8" s="1"/>
  <c r="E60" i="16" l="1"/>
  <c r="A19" i="22"/>
  <c r="A20" i="22"/>
  <c r="F43" i="21"/>
  <c r="F18" i="8" a="1"/>
  <c r="F18" i="8" s="1"/>
  <c r="F14" i="8"/>
  <c r="F12" i="8" s="1"/>
  <c r="F15" i="8"/>
  <c r="F16" i="8"/>
  <c r="F19" i="22" l="1"/>
  <c r="F27" i="22" s="1"/>
  <c r="F51" i="21"/>
  <c r="C42" i="13"/>
  <c r="C41" i="13"/>
  <c r="C29" i="13"/>
  <c r="Q51" i="28"/>
  <c r="Q49" i="28"/>
  <c r="Q45" i="28"/>
  <c r="I12" i="41"/>
  <c r="I11" i="41"/>
  <c r="I10" i="41"/>
  <c r="F10" i="22" l="1"/>
  <c r="F14" i="22"/>
  <c r="C14" i="22"/>
  <c r="C10" i="22"/>
  <c r="C11" i="22"/>
  <c r="C12" i="22"/>
  <c r="AP9" i="24"/>
  <c r="AD9" i="24"/>
  <c r="R9" i="24"/>
  <c r="S3" i="24" s="1"/>
  <c r="AA44" i="28"/>
  <c r="AB44" i="28"/>
  <c r="AL44" i="28"/>
  <c r="I64" i="10" s="1"/>
  <c r="AM44" i="28"/>
  <c r="AN44" i="28"/>
  <c r="AX44" i="28"/>
  <c r="R44" i="28"/>
  <c r="CN51" i="28"/>
  <c r="CN49" i="28"/>
  <c r="CN48" i="28"/>
  <c r="CN47" i="28"/>
  <c r="CN46" i="28"/>
  <c r="CN45" i="28"/>
  <c r="CN44" i="28"/>
  <c r="U44" i="28" s="1"/>
  <c r="CN33" i="28"/>
  <c r="CN32" i="28"/>
  <c r="CN25" i="28"/>
  <c r="CN24" i="28"/>
  <c r="CN19" i="28"/>
  <c r="CN18" i="28"/>
  <c r="CN17" i="28"/>
  <c r="CN16" i="28"/>
  <c r="CN11" i="28"/>
  <c r="CN10" i="28"/>
  <c r="CN9" i="28"/>
  <c r="AX24" i="28" l="1"/>
  <c r="AL24" i="28"/>
  <c r="Z24" i="28"/>
  <c r="AK24" i="28"/>
  <c r="AJ24" i="28"/>
  <c r="W24" i="28"/>
  <c r="V24" i="28"/>
  <c r="AS24" i="28"/>
  <c r="AG24" i="28"/>
  <c r="U24" i="28"/>
  <c r="AR24" i="28"/>
  <c r="AF24" i="28"/>
  <c r="T24" i="28"/>
  <c r="AQ24" i="28"/>
  <c r="AE24" i="28"/>
  <c r="S24" i="28"/>
  <c r="AP24" i="28"/>
  <c r="AD24" i="28"/>
  <c r="R24" i="28"/>
  <c r="AM24" i="28"/>
  <c r="Y24" i="28"/>
  <c r="X24" i="28"/>
  <c r="AT24" i="28"/>
  <c r="AO24" i="28"/>
  <c r="AC24" i="28"/>
  <c r="AA24" i="28"/>
  <c r="AI24" i="28"/>
  <c r="AH24" i="28"/>
  <c r="AN24" i="28"/>
  <c r="AB24" i="28"/>
  <c r="AW24" i="28"/>
  <c r="AV24" i="28"/>
  <c r="AU24" i="28"/>
  <c r="AZ24" i="28"/>
  <c r="BA24" i="28"/>
  <c r="AY24" i="28"/>
  <c r="AR32" i="28"/>
  <c r="AF32" i="28"/>
  <c r="T32" i="28"/>
  <c r="AQ32" i="28"/>
  <c r="AE32" i="28"/>
  <c r="S32" i="28"/>
  <c r="R32" i="28"/>
  <c r="AM32" i="28"/>
  <c r="AA32" i="28"/>
  <c r="AX32" i="28"/>
  <c r="AL32" i="28"/>
  <c r="Z32" i="28"/>
  <c r="AW32" i="28"/>
  <c r="AK32" i="28"/>
  <c r="Y32" i="28"/>
  <c r="AV32" i="28"/>
  <c r="AJ32" i="28"/>
  <c r="X32" i="28"/>
  <c r="AG32" i="28"/>
  <c r="AO32" i="28"/>
  <c r="AC32" i="28"/>
  <c r="AN32" i="28"/>
  <c r="AU32" i="28"/>
  <c r="AI32" i="28"/>
  <c r="W32" i="28"/>
  <c r="AP32" i="28"/>
  <c r="AT32" i="28"/>
  <c r="AH32" i="28"/>
  <c r="V32" i="28"/>
  <c r="AS32" i="28"/>
  <c r="U32" i="28"/>
  <c r="AD32" i="28"/>
  <c r="AB32" i="28"/>
  <c r="BA32" i="28"/>
  <c r="AY32" i="28"/>
  <c r="AZ32" i="28"/>
  <c r="Y44" i="28"/>
  <c r="AO25" i="28"/>
  <c r="AC25" i="28"/>
  <c r="AN25" i="28"/>
  <c r="AK25" i="28"/>
  <c r="AV25" i="28"/>
  <c r="AJ25" i="28"/>
  <c r="X25" i="28"/>
  <c r="AU25" i="28"/>
  <c r="AI25" i="28"/>
  <c r="W25" i="28"/>
  <c r="AT25" i="28"/>
  <c r="AH25" i="28"/>
  <c r="V25" i="28"/>
  <c r="AS25" i="28"/>
  <c r="AG25" i="28"/>
  <c r="U25" i="28"/>
  <c r="AP25" i="28"/>
  <c r="AM25" i="28"/>
  <c r="Z25" i="28"/>
  <c r="AR25" i="28"/>
  <c r="AF25" i="28"/>
  <c r="T25" i="28"/>
  <c r="AD25" i="28"/>
  <c r="AB25" i="28"/>
  <c r="AA25" i="28"/>
  <c r="AL25" i="28"/>
  <c r="AW25" i="28"/>
  <c r="AQ25" i="28"/>
  <c r="AE25" i="28"/>
  <c r="S25" i="28"/>
  <c r="R25" i="28"/>
  <c r="AX25" i="28"/>
  <c r="Y25" i="28"/>
  <c r="BA25" i="28"/>
  <c r="AY25" i="28"/>
  <c r="AZ25" i="28"/>
  <c r="BA10" i="28"/>
  <c r="AZ10" i="28"/>
  <c r="AY10" i="28"/>
  <c r="V44" i="28"/>
  <c r="AY45" i="28"/>
  <c r="BA45" i="28"/>
  <c r="AZ45" i="28"/>
  <c r="AN45" i="28"/>
  <c r="AB45" i="28"/>
  <c r="AM45" i="28"/>
  <c r="AX45" i="28"/>
  <c r="Z45" i="28"/>
  <c r="Y45" i="28"/>
  <c r="AA45" i="28"/>
  <c r="AL45" i="28"/>
  <c r="AV45" i="28"/>
  <c r="AU45" i="28"/>
  <c r="U45" i="28"/>
  <c r="AO45" i="28"/>
  <c r="X45" i="28"/>
  <c r="AT45" i="28"/>
  <c r="AW45" i="28"/>
  <c r="AK45" i="28"/>
  <c r="AI45" i="28"/>
  <c r="AH45" i="28"/>
  <c r="AG45" i="28"/>
  <c r="AE45" i="28"/>
  <c r="AJ45" i="28"/>
  <c r="W45" i="28"/>
  <c r="V45" i="28"/>
  <c r="AQ45" i="28"/>
  <c r="S45" i="28"/>
  <c r="AS45" i="28"/>
  <c r="AR45" i="28"/>
  <c r="AF45" i="28"/>
  <c r="T45" i="28"/>
  <c r="AP45" i="28"/>
  <c r="AD45" i="28"/>
  <c r="R45" i="28"/>
  <c r="AC45" i="28"/>
  <c r="AI44" i="28"/>
  <c r="AZ44" i="28"/>
  <c r="AY44" i="28"/>
  <c r="BA44" i="28"/>
  <c r="AZ47" i="28"/>
  <c r="BA47" i="28"/>
  <c r="AY47" i="28"/>
  <c r="AT47" i="28"/>
  <c r="AH47" i="28"/>
  <c r="V47" i="28"/>
  <c r="AG47" i="28"/>
  <c r="U47" i="28"/>
  <c r="AS47" i="28"/>
  <c r="AR47" i="28"/>
  <c r="AF47" i="28"/>
  <c r="T47" i="28"/>
  <c r="W47" i="28"/>
  <c r="AQ47" i="28"/>
  <c r="AE47" i="28"/>
  <c r="S47" i="28"/>
  <c r="AA47" i="28"/>
  <c r="AP47" i="28"/>
  <c r="AD47" i="28"/>
  <c r="R47" i="28"/>
  <c r="AN47" i="28"/>
  <c r="AM47" i="28"/>
  <c r="AO47" i="28"/>
  <c r="AC47" i="28"/>
  <c r="AB47" i="28"/>
  <c r="AI47" i="28"/>
  <c r="AX47" i="28"/>
  <c r="AL47" i="28"/>
  <c r="Z47" i="28"/>
  <c r="AK47" i="28"/>
  <c r="AU47" i="28"/>
  <c r="AW47" i="28"/>
  <c r="Y47" i="28"/>
  <c r="AV47" i="28"/>
  <c r="AJ47" i="28"/>
  <c r="X47" i="28"/>
  <c r="AF44" i="28"/>
  <c r="T44" i="28"/>
  <c r="AU33" i="28"/>
  <c r="AI33" i="28"/>
  <c r="W33" i="28"/>
  <c r="AT33" i="28"/>
  <c r="AH33" i="28"/>
  <c r="V33" i="28"/>
  <c r="U33" i="28"/>
  <c r="T33" i="28"/>
  <c r="S33" i="28"/>
  <c r="AP33" i="28"/>
  <c r="AD33" i="28"/>
  <c r="R33" i="28"/>
  <c r="AO33" i="28"/>
  <c r="AC33" i="28"/>
  <c r="AN33" i="28"/>
  <c r="AB33" i="28"/>
  <c r="AM33" i="28"/>
  <c r="AA33" i="28"/>
  <c r="X33" i="28"/>
  <c r="AX33" i="28"/>
  <c r="AL33" i="28"/>
  <c r="Z33" i="28"/>
  <c r="AJ33" i="28"/>
  <c r="AG33" i="28"/>
  <c r="AR33" i="28"/>
  <c r="AQ33" i="28"/>
  <c r="AW33" i="28"/>
  <c r="AK33" i="28"/>
  <c r="Y33" i="28"/>
  <c r="AS33" i="28"/>
  <c r="AF33" i="28"/>
  <c r="AE33" i="28"/>
  <c r="AV33" i="28"/>
  <c r="BA33" i="28"/>
  <c r="AY33" i="28"/>
  <c r="AZ33" i="28"/>
  <c r="AZ9" i="28"/>
  <c r="BA9" i="28"/>
  <c r="AY9" i="28"/>
  <c r="AN9" i="28"/>
  <c r="AB9" i="28"/>
  <c r="AM9" i="28"/>
  <c r="AH9" i="28"/>
  <c r="AA9" i="28"/>
  <c r="V9" i="28"/>
  <c r="AX9" i="28"/>
  <c r="AL9" i="28"/>
  <c r="Z9" i="28"/>
  <c r="AW9" i="28"/>
  <c r="AK9" i="28"/>
  <c r="Y9" i="28"/>
  <c r="AV9" i="28"/>
  <c r="AJ9" i="28"/>
  <c r="X9" i="28"/>
  <c r="AU9" i="28"/>
  <c r="AI9" i="28"/>
  <c r="W9" i="28"/>
  <c r="AG9" i="28"/>
  <c r="AT9" i="28"/>
  <c r="AS9" i="28"/>
  <c r="U9" i="28"/>
  <c r="AO9" i="28"/>
  <c r="AR9" i="28"/>
  <c r="AF9" i="28"/>
  <c r="T9" i="28"/>
  <c r="AC9" i="28"/>
  <c r="AQ9" i="28"/>
  <c r="AE9" i="28"/>
  <c r="S9" i="28"/>
  <c r="AP9" i="28"/>
  <c r="AD9" i="28"/>
  <c r="R9" i="28"/>
  <c r="AO17" i="28"/>
  <c r="AC17" i="28"/>
  <c r="AM17" i="28"/>
  <c r="AV17" i="28"/>
  <c r="AJ17" i="28"/>
  <c r="X17" i="28"/>
  <c r="AU17" i="28"/>
  <c r="AI17" i="28"/>
  <c r="W17" i="28"/>
  <c r="AT17" i="28"/>
  <c r="AH17" i="28"/>
  <c r="V17" i="28"/>
  <c r="AS17" i="28"/>
  <c r="AG17" i="28"/>
  <c r="U17" i="28"/>
  <c r="AF17" i="28"/>
  <c r="AD17" i="28"/>
  <c r="AB17" i="28"/>
  <c r="AA17" i="28"/>
  <c r="Z17" i="28"/>
  <c r="AW17" i="28"/>
  <c r="AR17" i="28"/>
  <c r="T17" i="28"/>
  <c r="R17" i="28"/>
  <c r="AN17" i="28"/>
  <c r="AL17" i="28"/>
  <c r="AK17" i="28"/>
  <c r="AQ17" i="28"/>
  <c r="AE17" i="28"/>
  <c r="S17" i="28"/>
  <c r="AP17" i="28"/>
  <c r="AX17" i="28"/>
  <c r="Y17" i="28"/>
  <c r="AY17" i="28"/>
  <c r="AZ17" i="28"/>
  <c r="BA17" i="28"/>
  <c r="AQ44" i="28"/>
  <c r="S44" i="28"/>
  <c r="AK44" i="28"/>
  <c r="AZ46" i="28"/>
  <c r="AY46" i="28"/>
  <c r="BA46" i="28"/>
  <c r="AQ46" i="28"/>
  <c r="AE46" i="28"/>
  <c r="S46" i="28"/>
  <c r="AP46" i="28"/>
  <c r="R46" i="28"/>
  <c r="AO46" i="28"/>
  <c r="Z46" i="28"/>
  <c r="Y46" i="28"/>
  <c r="AD46" i="28"/>
  <c r="AK46" i="28"/>
  <c r="AV46" i="28"/>
  <c r="AC46" i="28"/>
  <c r="AN46" i="28"/>
  <c r="AB46" i="28"/>
  <c r="AM46" i="28"/>
  <c r="AA46" i="28"/>
  <c r="AX46" i="28"/>
  <c r="AL46" i="28"/>
  <c r="AW46" i="28"/>
  <c r="AJ46" i="28"/>
  <c r="V46" i="28"/>
  <c r="AR46" i="28"/>
  <c r="X46" i="28"/>
  <c r="AF46" i="28"/>
  <c r="AU46" i="28"/>
  <c r="AI46" i="28"/>
  <c r="W46" i="28"/>
  <c r="AT46" i="28"/>
  <c r="AH46" i="28"/>
  <c r="T46" i="28"/>
  <c r="AS46" i="28"/>
  <c r="AG46" i="28"/>
  <c r="U46" i="28"/>
  <c r="BA51" i="28"/>
  <c r="AZ51" i="28"/>
  <c r="AY51" i="28"/>
  <c r="AX51" i="28"/>
  <c r="AL51" i="28"/>
  <c r="Z51" i="28"/>
  <c r="AW51" i="28"/>
  <c r="Y51" i="28"/>
  <c r="AK51" i="28"/>
  <c r="S51" i="28"/>
  <c r="AV51" i="28"/>
  <c r="AJ51" i="28"/>
  <c r="X51" i="28"/>
  <c r="AU51" i="28"/>
  <c r="AI51" i="28"/>
  <c r="W51" i="28"/>
  <c r="AR51" i="28"/>
  <c r="AT51" i="28"/>
  <c r="AH51" i="28"/>
  <c r="V51" i="28"/>
  <c r="T51" i="28"/>
  <c r="AQ51" i="28"/>
  <c r="AS51" i="28"/>
  <c r="AG51" i="28"/>
  <c r="U51" i="28"/>
  <c r="AF51" i="28"/>
  <c r="AE51" i="28"/>
  <c r="AM51" i="28"/>
  <c r="AP51" i="28"/>
  <c r="AD51" i="28"/>
  <c r="R51" i="28"/>
  <c r="AO51" i="28"/>
  <c r="AC51" i="28"/>
  <c r="AN51" i="28"/>
  <c r="AB51" i="28"/>
  <c r="AA51" i="28"/>
  <c r="Z44" i="28"/>
  <c r="AW44" i="28"/>
  <c r="AV44" i="28"/>
  <c r="AJ44" i="28"/>
  <c r="X44" i="28"/>
  <c r="AU44" i="28"/>
  <c r="W44" i="28"/>
  <c r="AT44" i="28"/>
  <c r="AH44" i="28"/>
  <c r="BA11" i="28"/>
  <c r="AZ11" i="28"/>
  <c r="AY11" i="28"/>
  <c r="AQ11" i="28"/>
  <c r="AE11" i="28"/>
  <c r="S11" i="28"/>
  <c r="AP11" i="28"/>
  <c r="AD11" i="28"/>
  <c r="R11" i="28"/>
  <c r="T11" i="28"/>
  <c r="AO11" i="28"/>
  <c r="AC11" i="28"/>
  <c r="Y11" i="28"/>
  <c r="AF11" i="28"/>
  <c r="AN11" i="28"/>
  <c r="AB11" i="28"/>
  <c r="AM11" i="28"/>
  <c r="AA11" i="28"/>
  <c r="AX11" i="28"/>
  <c r="AL11" i="28"/>
  <c r="Z11" i="28"/>
  <c r="AW11" i="28"/>
  <c r="AK11" i="28"/>
  <c r="AV11" i="28"/>
  <c r="AJ11" i="28"/>
  <c r="X11" i="28"/>
  <c r="AU11" i="28"/>
  <c r="AI11" i="28"/>
  <c r="W11" i="28"/>
  <c r="AT11" i="28"/>
  <c r="AH11" i="28"/>
  <c r="V11" i="28"/>
  <c r="AS11" i="28"/>
  <c r="AG11" i="28"/>
  <c r="U11" i="28"/>
  <c r="AR11" i="28"/>
  <c r="AS44" i="28"/>
  <c r="AG44" i="28"/>
  <c r="AX16" i="28"/>
  <c r="AL16" i="28"/>
  <c r="Z16" i="28"/>
  <c r="Y16" i="28"/>
  <c r="X16" i="28"/>
  <c r="W16" i="28"/>
  <c r="AT16" i="28"/>
  <c r="AS16" i="28"/>
  <c r="AG16" i="28"/>
  <c r="U16" i="28"/>
  <c r="AR16" i="28"/>
  <c r="AF16" i="28"/>
  <c r="T16" i="28"/>
  <c r="AP16" i="28"/>
  <c r="AD16" i="28"/>
  <c r="R16" i="28"/>
  <c r="AO16" i="28"/>
  <c r="AA16" i="28"/>
  <c r="AH16" i="28"/>
  <c r="AC16" i="28"/>
  <c r="AB16" i="28"/>
  <c r="AK16" i="28"/>
  <c r="AV16" i="28"/>
  <c r="AI16" i="28"/>
  <c r="AQ16" i="28"/>
  <c r="S16" i="28"/>
  <c r="AN16" i="28"/>
  <c r="AM16" i="28"/>
  <c r="AW16" i="28"/>
  <c r="AJ16" i="28"/>
  <c r="AU16" i="28"/>
  <c r="V16" i="28"/>
  <c r="AE16" i="28"/>
  <c r="AY16" i="28"/>
  <c r="BA16" i="28"/>
  <c r="AZ16" i="28"/>
  <c r="AR44" i="28"/>
  <c r="BA49" i="28"/>
  <c r="AZ49" i="28"/>
  <c r="AY49" i="28"/>
  <c r="AV49" i="28"/>
  <c r="AJ49" i="28"/>
  <c r="X49" i="28"/>
  <c r="AU49" i="28"/>
  <c r="W49" i="28"/>
  <c r="AD49" i="28"/>
  <c r="AI49" i="28"/>
  <c r="AT49" i="28"/>
  <c r="AH49" i="28"/>
  <c r="V49" i="28"/>
  <c r="AS49" i="28"/>
  <c r="AG49" i="28"/>
  <c r="U49" i="28"/>
  <c r="R49" i="28"/>
  <c r="AO49" i="28"/>
  <c r="AR49" i="28"/>
  <c r="AF49" i="28"/>
  <c r="T49" i="28"/>
  <c r="AW49" i="28"/>
  <c r="AQ49" i="28"/>
  <c r="AE49" i="28"/>
  <c r="S49" i="28"/>
  <c r="AK49" i="28"/>
  <c r="AP49" i="28"/>
  <c r="AC49" i="28"/>
  <c r="AN49" i="28"/>
  <c r="AB49" i="28"/>
  <c r="AM49" i="28"/>
  <c r="AA49" i="28"/>
  <c r="Y49" i="28"/>
  <c r="AX49" i="28"/>
  <c r="AL49" i="28"/>
  <c r="Z49" i="28"/>
  <c r="AE44" i="28"/>
  <c r="AR18" i="28"/>
  <c r="AF18" i="28"/>
  <c r="T18" i="28"/>
  <c r="AE18" i="28"/>
  <c r="AC18" i="28"/>
  <c r="AB18" i="28"/>
  <c r="AM18" i="28"/>
  <c r="AA18" i="28"/>
  <c r="AX18" i="28"/>
  <c r="AL18" i="28"/>
  <c r="Z18" i="28"/>
  <c r="AW18" i="28"/>
  <c r="AK18" i="28"/>
  <c r="Y18" i="28"/>
  <c r="AV18" i="28"/>
  <c r="AJ18" i="28"/>
  <c r="X18" i="28"/>
  <c r="AU18" i="28"/>
  <c r="AG18" i="28"/>
  <c r="AQ18" i="28"/>
  <c r="AP18" i="28"/>
  <c r="AO18" i="28"/>
  <c r="AI18" i="28"/>
  <c r="W18" i="28"/>
  <c r="U18" i="28"/>
  <c r="AD18" i="28"/>
  <c r="AT18" i="28"/>
  <c r="AH18" i="28"/>
  <c r="V18" i="28"/>
  <c r="AS18" i="28"/>
  <c r="S18" i="28"/>
  <c r="R18" i="28"/>
  <c r="AN18" i="28"/>
  <c r="BA18" i="28"/>
  <c r="AY18" i="28"/>
  <c r="AZ18" i="28"/>
  <c r="AP44" i="28"/>
  <c r="AD44" i="28"/>
  <c r="AU19" i="28"/>
  <c r="AU68" i="28" s="1"/>
  <c r="AI19" i="28"/>
  <c r="W19" i="28"/>
  <c r="AT19" i="28"/>
  <c r="AT68" i="28" s="1"/>
  <c r="U19" i="28"/>
  <c r="AP19" i="28"/>
  <c r="AP68" i="28" s="1"/>
  <c r="AD19" i="28"/>
  <c r="R19" i="28"/>
  <c r="AO19" i="28"/>
  <c r="AC19" i="28"/>
  <c r="AN19" i="28"/>
  <c r="AB19" i="28"/>
  <c r="AM19" i="28"/>
  <c r="AA19" i="28"/>
  <c r="AJ19" i="28"/>
  <c r="AR19" i="28"/>
  <c r="AR68" i="28" s="1"/>
  <c r="AE19" i="28"/>
  <c r="AX19" i="28"/>
  <c r="AX68" i="28" s="1"/>
  <c r="AL19" i="28"/>
  <c r="Z19" i="28"/>
  <c r="Z68" i="28" s="1"/>
  <c r="X19" i="28"/>
  <c r="V19" i="28"/>
  <c r="AS19" i="28"/>
  <c r="AS68" i="28" s="1"/>
  <c r="T19" i="28"/>
  <c r="S19" i="28"/>
  <c r="AW19" i="28"/>
  <c r="AW68" i="28" s="1"/>
  <c r="AK19" i="28"/>
  <c r="Y19" i="28"/>
  <c r="AV19" i="28"/>
  <c r="AV68" i="28" s="1"/>
  <c r="AH19" i="28"/>
  <c r="AG19" i="28"/>
  <c r="AF19" i="28"/>
  <c r="AQ19" i="28"/>
  <c r="AQ68" i="28" s="1"/>
  <c r="AZ19" i="28"/>
  <c r="AZ68" i="28" s="1"/>
  <c r="BA19" i="28"/>
  <c r="BA68" i="28" s="1"/>
  <c r="AY19" i="28"/>
  <c r="AY68" i="28" s="1"/>
  <c r="AO44" i="28"/>
  <c r="AP2" i="28" s="1"/>
  <c r="AC44" i="28"/>
  <c r="AQ9" i="24"/>
  <c r="AR9" i="24" s="1"/>
  <c r="AS9" i="24" s="1"/>
  <c r="AT9" i="24" s="1"/>
  <c r="AP10" i="28"/>
  <c r="AD10" i="28"/>
  <c r="R10" i="28"/>
  <c r="U10" i="28"/>
  <c r="AO10" i="28"/>
  <c r="AC10" i="28"/>
  <c r="AN10" i="28"/>
  <c r="AB10" i="28"/>
  <c r="AG10" i="28"/>
  <c r="AM10" i="28"/>
  <c r="AA10" i="28"/>
  <c r="AS10" i="28"/>
  <c r="AX10" i="28"/>
  <c r="AL10" i="28"/>
  <c r="Z10" i="28"/>
  <c r="AW10" i="28"/>
  <c r="AK10" i="28"/>
  <c r="Y10" i="28"/>
  <c r="AV10" i="28"/>
  <c r="AJ10" i="28"/>
  <c r="X10" i="28"/>
  <c r="AH10" i="28"/>
  <c r="AU10" i="28"/>
  <c r="AI10" i="28"/>
  <c r="W10" i="28"/>
  <c r="V10" i="28"/>
  <c r="AT10" i="28"/>
  <c r="AR10" i="28"/>
  <c r="AF10" i="28"/>
  <c r="T10" i="28"/>
  <c r="AQ10" i="28"/>
  <c r="AE10" i="28"/>
  <c r="S10" i="28"/>
  <c r="S9" i="24"/>
  <c r="AE9" i="24"/>
  <c r="AF9" i="24" s="1"/>
  <c r="AG9" i="24" s="1"/>
  <c r="AH9" i="24" s="1"/>
  <c r="I55" i="10" l="1"/>
  <c r="I13" i="10"/>
  <c r="I51" i="10"/>
  <c r="I14" i="10"/>
  <c r="I12" i="10"/>
  <c r="AA68" i="28"/>
  <c r="AF68" i="28"/>
  <c r="T68" i="28"/>
  <c r="AI68" i="28"/>
  <c r="W68" i="28"/>
  <c r="AM68" i="28"/>
  <c r="AD68" i="28"/>
  <c r="AG68" i="28"/>
  <c r="AJ68" i="28"/>
  <c r="X68" i="28"/>
  <c r="AN68" i="28"/>
  <c r="AH68" i="28"/>
  <c r="V68" i="28"/>
  <c r="AB68" i="28"/>
  <c r="AL68" i="28"/>
  <c r="AC68" i="28"/>
  <c r="AE68" i="28"/>
  <c r="AK68" i="28"/>
  <c r="AO2" i="28"/>
  <c r="AO68" i="28"/>
  <c r="Y68" i="28"/>
  <c r="I25" i="10"/>
  <c r="AO3" i="28"/>
  <c r="I30" i="10"/>
  <c r="I31" i="10"/>
  <c r="I24" i="10"/>
  <c r="I19" i="10"/>
  <c r="CN87" i="28"/>
  <c r="I16" i="10"/>
  <c r="I17" i="10"/>
  <c r="AI9" i="24"/>
  <c r="AJ9" i="24" s="1"/>
  <c r="T9" i="24"/>
  <c r="AU9" i="24"/>
  <c r="AV9" i="24" s="1"/>
  <c r="AW9" i="24" s="1"/>
  <c r="I18" i="10" l="1"/>
  <c r="AK9" i="24"/>
  <c r="AL9" i="24" s="1"/>
  <c r="AM9" i="24" s="1"/>
  <c r="U9" i="24"/>
  <c r="V9" i="24" s="1"/>
  <c r="AX9" i="24"/>
  <c r="AY9" i="24" l="1"/>
  <c r="AZ9" i="24" s="1"/>
  <c r="BA9" i="24" s="1"/>
  <c r="W9" i="24"/>
  <c r="AN9" i="24"/>
  <c r="AO9" i="24" s="1"/>
  <c r="B416" i="45"/>
  <c r="B417" i="45"/>
  <c r="B415" i="45"/>
  <c r="E412" i="45"/>
  <c r="E410" i="45"/>
  <c r="E411" i="45"/>
  <c r="B404" i="45"/>
  <c r="B405" i="45"/>
  <c r="B406" i="45"/>
  <c r="B407" i="45"/>
  <c r="B403" i="45"/>
  <c r="E397" i="45"/>
  <c r="G397" i="45"/>
  <c r="H397" i="45"/>
  <c r="E398" i="45"/>
  <c r="G398" i="45"/>
  <c r="H398" i="45"/>
  <c r="E399" i="45"/>
  <c r="G399" i="45"/>
  <c r="H399" i="45"/>
  <c r="E400" i="45"/>
  <c r="G400" i="45"/>
  <c r="H400" i="45"/>
  <c r="G396" i="45"/>
  <c r="H396" i="45"/>
  <c r="E396" i="45"/>
  <c r="E393" i="45"/>
  <c r="E392" i="45"/>
  <c r="I392" i="45"/>
  <c r="I393" i="45"/>
  <c r="B387" i="45"/>
  <c r="B388" i="45"/>
  <c r="B389" i="45"/>
  <c r="B386" i="45"/>
  <c r="H406" i="45" l="1"/>
  <c r="G406" i="45"/>
  <c r="H403" i="45"/>
  <c r="H407" i="45"/>
  <c r="H405" i="45"/>
  <c r="H404" i="45"/>
  <c r="G404" i="45"/>
  <c r="G407" i="45"/>
  <c r="X9" i="24"/>
  <c r="G403" i="45"/>
  <c r="G405" i="45"/>
  <c r="J31" i="41"/>
  <c r="I31" i="41"/>
  <c r="J29" i="41"/>
  <c r="I29" i="41"/>
  <c r="J28" i="41"/>
  <c r="I28" i="41"/>
  <c r="J26" i="41"/>
  <c r="I26" i="41"/>
  <c r="J24" i="41"/>
  <c r="I24" i="41"/>
  <c r="Y9" i="24" l="1"/>
  <c r="E92" i="21"/>
  <c r="Z9" i="24" l="1"/>
  <c r="AA9" i="24" s="1"/>
  <c r="AB9" i="24" s="1"/>
  <c r="AC9" i="24" s="1"/>
  <c r="C14" i="10"/>
  <c r="C35" i="10"/>
  <c r="C53" i="10" l="1"/>
  <c r="C52" i="10"/>
  <c r="C54" i="10"/>
  <c r="C13" i="10"/>
  <c r="C12" i="10"/>
  <c r="D38" i="34" l="1"/>
  <c r="D39" i="34"/>
  <c r="D40" i="34"/>
  <c r="D41" i="34"/>
  <c r="D42" i="34"/>
  <c r="F52" i="8"/>
  <c r="B350" i="45" l="1"/>
  <c r="B351" i="45"/>
  <c r="B352" i="45"/>
  <c r="B353" i="45"/>
  <c r="B354" i="45"/>
  <c r="B355" i="45"/>
  <c r="B356" i="45"/>
  <c r="B349" i="45"/>
  <c r="B371" i="45"/>
  <c r="B372" i="45"/>
  <c r="B373" i="45"/>
  <c r="B374" i="45"/>
  <c r="B376" i="45"/>
  <c r="B365" i="45"/>
  <c r="B375" i="45" s="1"/>
  <c r="B360" i="45"/>
  <c r="B370" i="45" s="1"/>
  <c r="L51" i="46" l="1"/>
  <c r="L50" i="46"/>
  <c r="L49" i="46"/>
  <c r="L37" i="46"/>
  <c r="L36" i="46"/>
  <c r="L35" i="46"/>
  <c r="L27" i="46"/>
  <c r="L26" i="46"/>
  <c r="L19" i="46"/>
  <c r="L18" i="46"/>
  <c r="L17" i="46"/>
  <c r="L11" i="46"/>
  <c r="L10" i="46"/>
  <c r="L9" i="46"/>
  <c r="I53" i="46"/>
  <c r="I52" i="46"/>
  <c r="H52" i="46"/>
  <c r="I51" i="46"/>
  <c r="H51" i="46"/>
  <c r="I50" i="46"/>
  <c r="H50" i="46"/>
  <c r="I49" i="46"/>
  <c r="H49" i="46"/>
  <c r="I48" i="46"/>
  <c r="H48" i="46"/>
  <c r="I47" i="46"/>
  <c r="H47" i="46"/>
  <c r="I46" i="46"/>
  <c r="H46" i="46"/>
  <c r="I44" i="46"/>
  <c r="H44" i="46"/>
  <c r="I43" i="46"/>
  <c r="H43" i="46"/>
  <c r="I42" i="46"/>
  <c r="H42" i="46"/>
  <c r="I41" i="46"/>
  <c r="H41" i="46"/>
  <c r="I40" i="46"/>
  <c r="H40" i="46"/>
  <c r="I39" i="46"/>
  <c r="H39" i="46"/>
  <c r="I38" i="46"/>
  <c r="H38" i="46"/>
  <c r="I37" i="46"/>
  <c r="H37" i="46"/>
  <c r="I36" i="46"/>
  <c r="H36" i="46"/>
  <c r="I35" i="46"/>
  <c r="H35" i="46"/>
  <c r="I34" i="46"/>
  <c r="H34" i="46"/>
  <c r="I33" i="46"/>
  <c r="H33" i="46"/>
  <c r="I32" i="46"/>
  <c r="H32" i="46"/>
  <c r="I31" i="46"/>
  <c r="H31" i="46"/>
  <c r="I30" i="46"/>
  <c r="H30" i="46"/>
  <c r="I29" i="46"/>
  <c r="H29" i="46"/>
  <c r="I28" i="46"/>
  <c r="H28" i="46"/>
  <c r="I27" i="46"/>
  <c r="H27" i="46"/>
  <c r="I26" i="46"/>
  <c r="H26" i="46"/>
  <c r="I24" i="46"/>
  <c r="H24" i="46"/>
  <c r="I23" i="46"/>
  <c r="H23" i="46"/>
  <c r="I22" i="46"/>
  <c r="H22" i="46"/>
  <c r="I21" i="46"/>
  <c r="H21" i="46"/>
  <c r="I20" i="46"/>
  <c r="H20" i="46"/>
  <c r="I19" i="46"/>
  <c r="H19" i="46"/>
  <c r="I18" i="46"/>
  <c r="H18" i="46"/>
  <c r="I17" i="46"/>
  <c r="H17" i="46"/>
  <c r="I16" i="46"/>
  <c r="H16" i="46"/>
  <c r="I15" i="46"/>
  <c r="H15" i="46"/>
  <c r="I14" i="46"/>
  <c r="H14" i="46"/>
  <c r="I13" i="46"/>
  <c r="H13" i="46"/>
  <c r="I12" i="46"/>
  <c r="H12" i="46"/>
  <c r="I11" i="46"/>
  <c r="H11" i="46"/>
  <c r="I10" i="46"/>
  <c r="H10" i="46"/>
  <c r="I9" i="46"/>
  <c r="H9" i="46"/>
  <c r="I8" i="46"/>
  <c r="H8" i="46"/>
  <c r="I7" i="46"/>
  <c r="H7" i="46"/>
  <c r="I6" i="46"/>
  <c r="H6" i="46"/>
  <c r="I4" i="46"/>
  <c r="I2" i="46"/>
  <c r="F51" i="46"/>
  <c r="F50" i="46"/>
  <c r="F49" i="46"/>
  <c r="F37" i="46"/>
  <c r="F36" i="46"/>
  <c r="F35" i="46"/>
  <c r="F27" i="46"/>
  <c r="F26" i="46"/>
  <c r="F19" i="46"/>
  <c r="F18" i="46"/>
  <c r="F17" i="46"/>
  <c r="F11" i="46"/>
  <c r="F10" i="46"/>
  <c r="F9" i="46"/>
  <c r="C4" i="46"/>
  <c r="C2" i="46"/>
  <c r="V12" i="34"/>
  <c r="G28" i="34"/>
  <c r="G27" i="34"/>
  <c r="G26" i="34"/>
  <c r="G25" i="34"/>
  <c r="G24" i="34"/>
  <c r="D30" i="34"/>
  <c r="C30" i="34"/>
  <c r="D29" i="34"/>
  <c r="L29" i="34" s="1"/>
  <c r="C29" i="34"/>
  <c r="K29" i="34" s="1"/>
  <c r="D28" i="34"/>
  <c r="L28" i="34" s="1"/>
  <c r="C28" i="34"/>
  <c r="K28" i="34" s="1"/>
  <c r="D27" i="34"/>
  <c r="L27" i="34" s="1"/>
  <c r="T27" i="34" s="1"/>
  <c r="C27" i="34"/>
  <c r="K27" i="34" s="1"/>
  <c r="S27" i="34" s="1"/>
  <c r="D26" i="34"/>
  <c r="L26" i="34" s="1"/>
  <c r="T26" i="34" s="1"/>
  <c r="C26" i="34"/>
  <c r="K26" i="34" s="1"/>
  <c r="S26" i="34" s="1"/>
  <c r="D25" i="34"/>
  <c r="L25" i="34" s="1"/>
  <c r="T25" i="34" s="1"/>
  <c r="C25" i="34"/>
  <c r="K25" i="34" s="1"/>
  <c r="S25" i="34" s="1"/>
  <c r="D24" i="34"/>
  <c r="L24" i="34" s="1"/>
  <c r="T24" i="34" s="1"/>
  <c r="C24" i="34"/>
  <c r="K24" i="34" s="1"/>
  <c r="S24" i="34" s="1"/>
  <c r="D23" i="34"/>
  <c r="C23" i="34"/>
  <c r="D22" i="34"/>
  <c r="C22" i="34"/>
  <c r="G260" i="42"/>
  <c r="V46" i="34" s="1"/>
  <c r="F260" i="42"/>
  <c r="N46" i="34" s="1"/>
  <c r="E260" i="42"/>
  <c r="F58" i="8" s="1"/>
  <c r="F11" i="10" s="1"/>
  <c r="D260" i="42"/>
  <c r="G245" i="42"/>
  <c r="V45" i="34" s="1"/>
  <c r="F245" i="42"/>
  <c r="N45" i="34" s="1"/>
  <c r="E245" i="42"/>
  <c r="F57" i="8" s="1"/>
  <c r="F10" i="10" s="1"/>
  <c r="D245" i="42"/>
  <c r="G235" i="42"/>
  <c r="V39" i="34" s="1"/>
  <c r="F235" i="42"/>
  <c r="N39" i="34" s="1"/>
  <c r="E235" i="42"/>
  <c r="F51" i="8" s="1"/>
  <c r="D235" i="42"/>
  <c r="G232" i="42"/>
  <c r="V38" i="34" s="1"/>
  <c r="F232" i="42"/>
  <c r="N38" i="34" s="1"/>
  <c r="E232" i="42"/>
  <c r="F50" i="8" s="1"/>
  <c r="D232" i="42"/>
  <c r="G225" i="42"/>
  <c r="F225" i="42"/>
  <c r="E225" i="42"/>
  <c r="D225" i="42"/>
  <c r="G223" i="42"/>
  <c r="F223" i="42"/>
  <c r="N32" i="34" s="1"/>
  <c r="E223" i="42"/>
  <c r="F44" i="8" s="1"/>
  <c r="D223" i="42"/>
  <c r="G213" i="42"/>
  <c r="F213" i="42"/>
  <c r="E213" i="42"/>
  <c r="D213" i="42"/>
  <c r="G211" i="42"/>
  <c r="F211" i="42"/>
  <c r="E211" i="42"/>
  <c r="F21" i="14" s="1"/>
  <c r="D211" i="42"/>
  <c r="G207" i="42"/>
  <c r="F207" i="42"/>
  <c r="E207" i="42"/>
  <c r="F14" i="14" s="1"/>
  <c r="D207" i="42"/>
  <c r="G201" i="42"/>
  <c r="F201" i="42"/>
  <c r="E201" i="42"/>
  <c r="D201" i="42"/>
  <c r="G183" i="42"/>
  <c r="V25" i="34" s="1"/>
  <c r="F183" i="42"/>
  <c r="N25" i="34" s="1"/>
  <c r="E183" i="42"/>
  <c r="F34" i="8" s="1"/>
  <c r="D183" i="42"/>
  <c r="G178" i="42"/>
  <c r="V28" i="34" s="1"/>
  <c r="F178" i="42"/>
  <c r="N28" i="34" s="1"/>
  <c r="E178" i="42"/>
  <c r="F37" i="8" s="1"/>
  <c r="D178" i="42"/>
  <c r="G164" i="42"/>
  <c r="V26" i="34" s="1"/>
  <c r="F164" i="42"/>
  <c r="N26" i="34" s="1"/>
  <c r="E164" i="42"/>
  <c r="F35" i="8" s="1"/>
  <c r="D164" i="42"/>
  <c r="G112" i="42"/>
  <c r="V23" i="34" s="1"/>
  <c r="F112" i="42"/>
  <c r="N23" i="34" s="1"/>
  <c r="E112" i="42"/>
  <c r="F32" i="8" s="1"/>
  <c r="D112" i="42"/>
  <c r="G108" i="42"/>
  <c r="V27" i="34" s="1"/>
  <c r="F108" i="42"/>
  <c r="N27" i="34" s="1"/>
  <c r="E108" i="42"/>
  <c r="F36" i="8" s="1"/>
  <c r="D108" i="42"/>
  <c r="G104" i="42"/>
  <c r="F104" i="42"/>
  <c r="E104" i="42"/>
  <c r="D104" i="42"/>
  <c r="G102" i="42"/>
  <c r="V22" i="34" s="1"/>
  <c r="F102" i="42"/>
  <c r="N22" i="34" s="1"/>
  <c r="E102" i="42"/>
  <c r="D102" i="42"/>
  <c r="G95" i="42"/>
  <c r="F95" i="42"/>
  <c r="E95" i="42"/>
  <c r="D95" i="42"/>
  <c r="G89" i="42"/>
  <c r="G96" i="42" s="1"/>
  <c r="V21" i="34" s="1"/>
  <c r="F89" i="42"/>
  <c r="E89" i="42"/>
  <c r="F17" i="13" s="1"/>
  <c r="D89" i="42"/>
  <c r="G65" i="42"/>
  <c r="F65" i="42"/>
  <c r="E65" i="42"/>
  <c r="D65" i="42"/>
  <c r="G60" i="42"/>
  <c r="F60" i="42"/>
  <c r="E60" i="42"/>
  <c r="D60" i="42"/>
  <c r="G44" i="42"/>
  <c r="F44" i="42"/>
  <c r="E44" i="42"/>
  <c r="D44" i="42"/>
  <c r="G35" i="42"/>
  <c r="F35" i="42"/>
  <c r="E35" i="42"/>
  <c r="D35" i="42"/>
  <c r="G33" i="42"/>
  <c r="F33" i="42"/>
  <c r="E33" i="42"/>
  <c r="D33" i="42"/>
  <c r="G28" i="42"/>
  <c r="F28" i="42"/>
  <c r="N12" i="34" s="1"/>
  <c r="E28" i="42"/>
  <c r="F19" i="8" s="1"/>
  <c r="D28" i="42"/>
  <c r="G23" i="42"/>
  <c r="V11" i="34" s="1"/>
  <c r="F23" i="42"/>
  <c r="E23" i="42"/>
  <c r="D23" i="42"/>
  <c r="I35" i="9"/>
  <c r="H35" i="9"/>
  <c r="J33" i="46" s="1"/>
  <c r="L33" i="46" s="1"/>
  <c r="G35" i="9"/>
  <c r="D33" i="46" s="1"/>
  <c r="F33" i="46" s="1"/>
  <c r="I34" i="9"/>
  <c r="H34" i="9"/>
  <c r="J32" i="46" s="1"/>
  <c r="L32" i="46" s="1"/>
  <c r="G34" i="9"/>
  <c r="D32" i="46" s="1"/>
  <c r="F32" i="46" s="1"/>
  <c r="I33" i="9"/>
  <c r="H33" i="9"/>
  <c r="J31" i="46" s="1"/>
  <c r="L31" i="46" s="1"/>
  <c r="G33" i="9"/>
  <c r="D31" i="46" s="1"/>
  <c r="F31" i="46" s="1"/>
  <c r="J24" i="46"/>
  <c r="L24" i="46" s="1"/>
  <c r="D24" i="46"/>
  <c r="J23" i="46"/>
  <c r="L23" i="46" s="1"/>
  <c r="D23" i="46"/>
  <c r="F23" i="46" s="1"/>
  <c r="J49" i="8"/>
  <c r="I49" i="8"/>
  <c r="H49" i="8"/>
  <c r="G49" i="8"/>
  <c r="M37" i="34" s="1"/>
  <c r="J20" i="8"/>
  <c r="I20" i="8"/>
  <c r="H20" i="8"/>
  <c r="G20" i="8"/>
  <c r="G45" i="42" l="1"/>
  <c r="V29" i="34" s="1"/>
  <c r="D66" i="42"/>
  <c r="F45" i="42"/>
  <c r="N29" i="34" s="1"/>
  <c r="F22" i="14"/>
  <c r="V32" i="34"/>
  <c r="U37" i="34"/>
  <c r="G53" i="15"/>
  <c r="E45" i="42"/>
  <c r="F38" i="8" s="1"/>
  <c r="F46" i="13"/>
  <c r="F39" i="8"/>
  <c r="F51" i="14" s="1"/>
  <c r="F31" i="8"/>
  <c r="L97" i="42"/>
  <c r="F66" i="42"/>
  <c r="N16" i="34" s="1"/>
  <c r="G66" i="42"/>
  <c r="V16" i="34" s="1"/>
  <c r="E66" i="42"/>
  <c r="F25" i="8" s="1"/>
  <c r="Q107" i="28"/>
  <c r="F24" i="8"/>
  <c r="V15" i="34"/>
  <c r="N43" i="34"/>
  <c r="N30" i="34"/>
  <c r="V20" i="34"/>
  <c r="V43" i="34"/>
  <c r="D45" i="42"/>
  <c r="D46" i="42" s="1"/>
  <c r="D67" i="42" s="1"/>
  <c r="D69" i="42" s="1"/>
  <c r="E96" i="42"/>
  <c r="F30" i="8" s="1"/>
  <c r="F51" i="13" s="1"/>
  <c r="F96" i="42"/>
  <c r="N21" i="34" s="1"/>
  <c r="G46" i="42"/>
  <c r="G67" i="42" s="1"/>
  <c r="E24" i="42"/>
  <c r="F24" i="42"/>
  <c r="G24" i="42"/>
  <c r="N11" i="34"/>
  <c r="D214" i="42"/>
  <c r="D96" i="42"/>
  <c r="F214" i="42"/>
  <c r="G214" i="42"/>
  <c r="E214" i="42"/>
  <c r="V30" i="34"/>
  <c r="F24" i="46"/>
  <c r="F46" i="42" l="1"/>
  <c r="F270" i="42" s="1"/>
  <c r="E46" i="42"/>
  <c r="E47" i="42" s="1"/>
  <c r="D215" i="42"/>
  <c r="D217" i="42" s="1"/>
  <c r="D268" i="42"/>
  <c r="F47" i="42"/>
  <c r="G270" i="42"/>
  <c r="G268" i="42"/>
  <c r="F268" i="42"/>
  <c r="F67" i="42"/>
  <c r="G68" i="42" s="1"/>
  <c r="V31" i="34"/>
  <c r="V36" i="34" s="1"/>
  <c r="V44" i="34" s="1"/>
  <c r="V47" i="34" s="1"/>
  <c r="G269" i="42"/>
  <c r="D269" i="42"/>
  <c r="D270" i="42"/>
  <c r="G215" i="42"/>
  <c r="G69" i="42"/>
  <c r="AQ329" i="45"/>
  <c r="AP329" i="45"/>
  <c r="AO329" i="45"/>
  <c r="AN329" i="45"/>
  <c r="AM329" i="45"/>
  <c r="AL329" i="45"/>
  <c r="AK329" i="45"/>
  <c r="AJ329" i="45"/>
  <c r="AI329" i="45"/>
  <c r="I329" i="45" s="1"/>
  <c r="I47" i="9" s="1"/>
  <c r="AH329" i="45"/>
  <c r="H329" i="45" s="1"/>
  <c r="AG329" i="45"/>
  <c r="AF329" i="45"/>
  <c r="AE329" i="45"/>
  <c r="AD329" i="45"/>
  <c r="AC329" i="45"/>
  <c r="AB329" i="45"/>
  <c r="AA329" i="45"/>
  <c r="Z329" i="45"/>
  <c r="Y329" i="45"/>
  <c r="X329" i="45"/>
  <c r="W329" i="45"/>
  <c r="V329" i="45"/>
  <c r="G329" i="45" s="1"/>
  <c r="U329" i="45"/>
  <c r="T329" i="45"/>
  <c r="S329" i="45"/>
  <c r="R329" i="45"/>
  <c r="Q329" i="45"/>
  <c r="P329" i="45"/>
  <c r="O329" i="45"/>
  <c r="N329" i="45"/>
  <c r="M329" i="45"/>
  <c r="L329" i="45"/>
  <c r="K329" i="45"/>
  <c r="H328" i="45"/>
  <c r="G328" i="45"/>
  <c r="H327" i="45"/>
  <c r="G327" i="45"/>
  <c r="H326" i="45"/>
  <c r="G326" i="45"/>
  <c r="H325" i="45"/>
  <c r="G325" i="45"/>
  <c r="H324" i="45"/>
  <c r="G324" i="45"/>
  <c r="H323" i="45"/>
  <c r="G323" i="45"/>
  <c r="H322" i="45"/>
  <c r="G322" i="45"/>
  <c r="H321" i="45"/>
  <c r="G321" i="45"/>
  <c r="H320" i="45"/>
  <c r="G320" i="45"/>
  <c r="H319" i="45"/>
  <c r="G319" i="45"/>
  <c r="H318" i="45"/>
  <c r="G318" i="45"/>
  <c r="H317" i="45"/>
  <c r="G317" i="45"/>
  <c r="H316" i="45"/>
  <c r="G316" i="45"/>
  <c r="H315" i="45"/>
  <c r="G315" i="45"/>
  <c r="H314" i="45"/>
  <c r="G314" i="45"/>
  <c r="H313" i="45"/>
  <c r="G313" i="45"/>
  <c r="H312" i="45"/>
  <c r="G312" i="45"/>
  <c r="H311" i="45"/>
  <c r="G311" i="45"/>
  <c r="H310" i="45"/>
  <c r="H16" i="8" s="1"/>
  <c r="G20" i="15" s="1"/>
  <c r="G310" i="45"/>
  <c r="G16" i="8" s="1"/>
  <c r="H309" i="45"/>
  <c r="H15" i="8" s="1"/>
  <c r="G19" i="15" s="1"/>
  <c r="G309" i="45"/>
  <c r="G15" i="8" s="1"/>
  <c r="H308" i="45"/>
  <c r="H14" i="8" s="1"/>
  <c r="G18" i="15" s="1"/>
  <c r="G308" i="45"/>
  <c r="G14" i="8" s="1"/>
  <c r="H307" i="45"/>
  <c r="G307" i="45"/>
  <c r="G13" i="8" s="1"/>
  <c r="H306" i="45"/>
  <c r="G306" i="45"/>
  <c r="G11" i="8" s="1"/>
  <c r="H305" i="45"/>
  <c r="G305" i="45"/>
  <c r="G10" i="8" s="1"/>
  <c r="H303" i="45"/>
  <c r="G303" i="45"/>
  <c r="H302" i="45"/>
  <c r="G302" i="45"/>
  <c r="G17" i="8" s="1"/>
  <c r="H301" i="45"/>
  <c r="G301" i="45"/>
  <c r="H300" i="45"/>
  <c r="G300" i="45"/>
  <c r="H299" i="45"/>
  <c r="G299" i="45"/>
  <c r="H298" i="45"/>
  <c r="H9" i="8" s="1"/>
  <c r="G298" i="45"/>
  <c r="G9" i="8" s="1"/>
  <c r="H297" i="45"/>
  <c r="H476" i="45" s="1"/>
  <c r="G297" i="45"/>
  <c r="G476" i="45" s="1"/>
  <c r="H296" i="45"/>
  <c r="H475" i="45" s="1"/>
  <c r="G296" i="45"/>
  <c r="G475" i="45" s="1"/>
  <c r="H295" i="45"/>
  <c r="G295" i="45"/>
  <c r="H294" i="45"/>
  <c r="G294" i="45"/>
  <c r="H293" i="45"/>
  <c r="G293" i="45"/>
  <c r="H292" i="45"/>
  <c r="G292" i="45"/>
  <c r="H291" i="45"/>
  <c r="H9" i="14" s="1"/>
  <c r="G291" i="45"/>
  <c r="G9" i="14" s="1"/>
  <c r="H290" i="45"/>
  <c r="G290" i="45"/>
  <c r="H289" i="45"/>
  <c r="G289" i="45"/>
  <c r="H288" i="45"/>
  <c r="G288" i="45"/>
  <c r="H287" i="45"/>
  <c r="H10" i="14" s="1"/>
  <c r="G287" i="45"/>
  <c r="G10" i="14" s="1"/>
  <c r="H286" i="45"/>
  <c r="G286" i="45"/>
  <c r="H285" i="45"/>
  <c r="G285" i="45"/>
  <c r="H284" i="45"/>
  <c r="G284" i="45"/>
  <c r="H283" i="45"/>
  <c r="G283" i="45"/>
  <c r="H282" i="45"/>
  <c r="G282" i="45"/>
  <c r="H281" i="45"/>
  <c r="G281" i="45"/>
  <c r="H280" i="45"/>
  <c r="G280" i="45"/>
  <c r="H279" i="45"/>
  <c r="G279" i="45"/>
  <c r="H278" i="45"/>
  <c r="H52" i="8" s="1"/>
  <c r="G278" i="45"/>
  <c r="G52" i="8" s="1"/>
  <c r="M40" i="34" s="1"/>
  <c r="O40" i="34" s="1"/>
  <c r="H277" i="45"/>
  <c r="G277" i="45"/>
  <c r="H276" i="45"/>
  <c r="G276" i="45"/>
  <c r="H275" i="45"/>
  <c r="G275" i="45"/>
  <c r="H274" i="45"/>
  <c r="G274" i="45"/>
  <c r="H273" i="45"/>
  <c r="G273" i="45"/>
  <c r="H272" i="45"/>
  <c r="G272" i="45"/>
  <c r="H271" i="45"/>
  <c r="G271" i="45"/>
  <c r="H270" i="45"/>
  <c r="G270" i="45"/>
  <c r="H269" i="45"/>
  <c r="G269" i="45"/>
  <c r="J33" i="8"/>
  <c r="H268" i="45"/>
  <c r="H33" i="8" s="1"/>
  <c r="G268" i="45"/>
  <c r="G33" i="8" s="1"/>
  <c r="M24" i="34" s="1"/>
  <c r="O24" i="34" s="1"/>
  <c r="H267" i="45"/>
  <c r="G267" i="45"/>
  <c r="H266" i="45"/>
  <c r="G266" i="45"/>
  <c r="H265" i="45"/>
  <c r="G265" i="45"/>
  <c r="H264" i="45"/>
  <c r="G264" i="45"/>
  <c r="H263" i="45"/>
  <c r="G263" i="45"/>
  <c r="H261" i="45"/>
  <c r="G261" i="45"/>
  <c r="H260" i="45"/>
  <c r="G260" i="45"/>
  <c r="H259" i="45"/>
  <c r="G259" i="45"/>
  <c r="H258" i="45"/>
  <c r="G258" i="45"/>
  <c r="H257" i="45"/>
  <c r="G257" i="45"/>
  <c r="H256" i="45"/>
  <c r="G256" i="45"/>
  <c r="H255" i="45"/>
  <c r="G255" i="45"/>
  <c r="H254" i="45"/>
  <c r="G254" i="45"/>
  <c r="H253" i="45"/>
  <c r="G253" i="45"/>
  <c r="J426" i="45"/>
  <c r="H252" i="45"/>
  <c r="H426" i="45" s="1"/>
  <c r="G252" i="45"/>
  <c r="G426" i="45" s="1"/>
  <c r="G435" i="45" s="1"/>
  <c r="H251" i="45"/>
  <c r="G251" i="45"/>
  <c r="H250" i="45"/>
  <c r="G250" i="45"/>
  <c r="H249" i="45"/>
  <c r="G249" i="45"/>
  <c r="H248" i="45"/>
  <c r="G248" i="45"/>
  <c r="H247" i="45"/>
  <c r="G247" i="45"/>
  <c r="H246" i="45"/>
  <c r="G246" i="45"/>
  <c r="H245" i="45"/>
  <c r="G245" i="45"/>
  <c r="H244" i="45"/>
  <c r="G244" i="45"/>
  <c r="H243" i="45"/>
  <c r="G243" i="45"/>
  <c r="H242" i="45"/>
  <c r="G242" i="45"/>
  <c r="H241" i="45"/>
  <c r="G241" i="45"/>
  <c r="H240" i="45"/>
  <c r="G240" i="45"/>
  <c r="H239" i="45"/>
  <c r="G239" i="45"/>
  <c r="H238" i="45"/>
  <c r="G238" i="45"/>
  <c r="H237" i="45"/>
  <c r="G237" i="45"/>
  <c r="H236" i="45"/>
  <c r="G236" i="45"/>
  <c r="H235" i="45"/>
  <c r="G235" i="45"/>
  <c r="H234" i="45"/>
  <c r="G234" i="45"/>
  <c r="H233" i="45"/>
  <c r="G233" i="45"/>
  <c r="H232" i="45"/>
  <c r="G232" i="45"/>
  <c r="H231" i="45"/>
  <c r="G231" i="45"/>
  <c r="H230" i="45"/>
  <c r="G230" i="45"/>
  <c r="H229" i="45"/>
  <c r="G229" i="45"/>
  <c r="H228" i="45"/>
  <c r="G228" i="45"/>
  <c r="H227" i="45"/>
  <c r="G227" i="45"/>
  <c r="H226" i="45"/>
  <c r="G226" i="45"/>
  <c r="H225" i="45"/>
  <c r="G225" i="45"/>
  <c r="H224" i="45"/>
  <c r="G224" i="45"/>
  <c r="H223" i="45"/>
  <c r="G223" i="45"/>
  <c r="H222" i="45"/>
  <c r="G222" i="45"/>
  <c r="H221" i="45"/>
  <c r="G221" i="45"/>
  <c r="H220" i="45"/>
  <c r="G220" i="45"/>
  <c r="H219" i="45"/>
  <c r="G219" i="45"/>
  <c r="H218" i="45"/>
  <c r="G218" i="45"/>
  <c r="H217" i="45"/>
  <c r="G217" i="45"/>
  <c r="H216" i="45"/>
  <c r="G216" i="45"/>
  <c r="H215" i="45"/>
  <c r="G215" i="45"/>
  <c r="H214" i="45"/>
  <c r="G214" i="45"/>
  <c r="H213" i="45"/>
  <c r="G213" i="45"/>
  <c r="H212" i="45"/>
  <c r="G212" i="45"/>
  <c r="H211" i="45"/>
  <c r="G211" i="45"/>
  <c r="H210" i="45"/>
  <c r="G210" i="45"/>
  <c r="H209" i="45"/>
  <c r="G209" i="45"/>
  <c r="H208" i="45"/>
  <c r="G208" i="45"/>
  <c r="H207" i="45"/>
  <c r="G207" i="45"/>
  <c r="H206" i="45"/>
  <c r="G206" i="45"/>
  <c r="H205" i="45"/>
  <c r="G205" i="45"/>
  <c r="H204" i="45"/>
  <c r="G204" i="45"/>
  <c r="H203" i="45"/>
  <c r="G203" i="45"/>
  <c r="H202" i="45"/>
  <c r="G202" i="45"/>
  <c r="H201" i="45"/>
  <c r="G201" i="45"/>
  <c r="H200" i="45"/>
  <c r="G200" i="45"/>
  <c r="H199" i="45"/>
  <c r="G199" i="45"/>
  <c r="H198" i="45"/>
  <c r="G198" i="45"/>
  <c r="H197" i="45"/>
  <c r="G197" i="45"/>
  <c r="H196" i="45"/>
  <c r="G196" i="45"/>
  <c r="H195" i="45"/>
  <c r="G195" i="45"/>
  <c r="H194" i="45"/>
  <c r="G194" i="45"/>
  <c r="H193" i="45"/>
  <c r="G193" i="45"/>
  <c r="H192" i="45"/>
  <c r="G192" i="45"/>
  <c r="H191" i="45"/>
  <c r="G191" i="45"/>
  <c r="H190" i="45"/>
  <c r="G190" i="45"/>
  <c r="H189" i="45"/>
  <c r="G189" i="45"/>
  <c r="H188" i="45"/>
  <c r="G188" i="45"/>
  <c r="H187" i="45"/>
  <c r="G187" i="45"/>
  <c r="H186" i="45"/>
  <c r="G186" i="45"/>
  <c r="H185" i="45"/>
  <c r="G185" i="45"/>
  <c r="H184" i="45"/>
  <c r="G184" i="45"/>
  <c r="H183" i="45"/>
  <c r="G183" i="45"/>
  <c r="H182" i="45"/>
  <c r="G182" i="45"/>
  <c r="H181" i="45"/>
  <c r="G181" i="45"/>
  <c r="H180" i="45"/>
  <c r="G180" i="45"/>
  <c r="H179" i="45"/>
  <c r="G179" i="45"/>
  <c r="H178" i="45"/>
  <c r="G178" i="45"/>
  <c r="H177" i="45"/>
  <c r="G177" i="45"/>
  <c r="H176" i="45"/>
  <c r="G176" i="45"/>
  <c r="H175" i="45"/>
  <c r="G175" i="45"/>
  <c r="H174" i="45"/>
  <c r="G174" i="45"/>
  <c r="H173" i="45"/>
  <c r="G173" i="45"/>
  <c r="H172" i="45"/>
  <c r="G172" i="45"/>
  <c r="H171" i="45"/>
  <c r="G171" i="45"/>
  <c r="H170" i="45"/>
  <c r="G170" i="45"/>
  <c r="H169" i="45"/>
  <c r="G169" i="45"/>
  <c r="H168" i="45"/>
  <c r="G168" i="45"/>
  <c r="H167" i="45"/>
  <c r="G167" i="45"/>
  <c r="H166" i="45"/>
  <c r="G166" i="45"/>
  <c r="H165" i="45"/>
  <c r="G165" i="45"/>
  <c r="H164" i="45"/>
  <c r="G164" i="45"/>
  <c r="H163" i="45"/>
  <c r="G163" i="45"/>
  <c r="H162" i="45"/>
  <c r="G162" i="45"/>
  <c r="H161" i="45"/>
  <c r="G161" i="45"/>
  <c r="H160" i="45"/>
  <c r="G160" i="45"/>
  <c r="H159" i="45"/>
  <c r="G159" i="45"/>
  <c r="H158" i="45"/>
  <c r="G158" i="45"/>
  <c r="H157" i="45"/>
  <c r="G157" i="45"/>
  <c r="H156" i="45"/>
  <c r="G156" i="45"/>
  <c r="H155" i="45"/>
  <c r="G155" i="45"/>
  <c r="H154" i="45"/>
  <c r="G154" i="45"/>
  <c r="H153" i="45"/>
  <c r="G153" i="45"/>
  <c r="H152" i="45"/>
  <c r="G152" i="45"/>
  <c r="H151" i="45"/>
  <c r="G151" i="45"/>
  <c r="H150" i="45"/>
  <c r="G150" i="45"/>
  <c r="H149" i="45"/>
  <c r="G149" i="45"/>
  <c r="H148" i="45"/>
  <c r="G148" i="45"/>
  <c r="H147" i="45"/>
  <c r="H11" i="14" s="1"/>
  <c r="G147" i="45"/>
  <c r="G11" i="14" s="1"/>
  <c r="H146" i="45"/>
  <c r="G146" i="45"/>
  <c r="H145" i="45"/>
  <c r="G145" i="45"/>
  <c r="H144" i="45"/>
  <c r="G144" i="45"/>
  <c r="H143" i="45"/>
  <c r="G143" i="45"/>
  <c r="H142" i="45"/>
  <c r="G142" i="45"/>
  <c r="H141" i="45"/>
  <c r="G141" i="45"/>
  <c r="H140" i="45"/>
  <c r="G140" i="45"/>
  <c r="H139" i="45"/>
  <c r="G139" i="45"/>
  <c r="H138" i="45"/>
  <c r="G138" i="45"/>
  <c r="H137" i="45"/>
  <c r="G137" i="45"/>
  <c r="H136" i="45"/>
  <c r="G136" i="45"/>
  <c r="H135" i="45"/>
  <c r="G135" i="45"/>
  <c r="H134" i="45"/>
  <c r="G134" i="45"/>
  <c r="H133" i="45"/>
  <c r="G133" i="45"/>
  <c r="H132" i="45"/>
  <c r="G132" i="45"/>
  <c r="H131" i="45"/>
  <c r="G131" i="45"/>
  <c r="H130" i="45"/>
  <c r="G130" i="45"/>
  <c r="H129" i="45"/>
  <c r="G129" i="45"/>
  <c r="H128" i="45"/>
  <c r="G128" i="45"/>
  <c r="H127" i="45"/>
  <c r="G127" i="45"/>
  <c r="H126" i="45"/>
  <c r="G126" i="45"/>
  <c r="H125" i="45"/>
  <c r="G125" i="45"/>
  <c r="H124" i="45"/>
  <c r="G124" i="45"/>
  <c r="H123" i="45"/>
  <c r="G123" i="45"/>
  <c r="H122" i="45"/>
  <c r="G122" i="45"/>
  <c r="H121" i="45"/>
  <c r="G121" i="45"/>
  <c r="H120" i="45"/>
  <c r="G120" i="45"/>
  <c r="H119" i="45"/>
  <c r="G119" i="45"/>
  <c r="H118" i="45"/>
  <c r="G118" i="45"/>
  <c r="H117" i="45"/>
  <c r="G117" i="45"/>
  <c r="H116" i="45"/>
  <c r="G116" i="45"/>
  <c r="H115" i="45"/>
  <c r="H474" i="45" s="1"/>
  <c r="G115" i="45"/>
  <c r="G474" i="45" s="1"/>
  <c r="H114" i="45"/>
  <c r="H473" i="45" s="1"/>
  <c r="G114" i="45"/>
  <c r="G473" i="45" s="1"/>
  <c r="H113" i="45"/>
  <c r="G113" i="45"/>
  <c r="H112" i="45"/>
  <c r="G112" i="45"/>
  <c r="H111" i="45"/>
  <c r="G111" i="45"/>
  <c r="H110" i="45"/>
  <c r="G110" i="45"/>
  <c r="H109" i="45"/>
  <c r="G109" i="45"/>
  <c r="H108" i="45"/>
  <c r="H107" i="45"/>
  <c r="G107" i="45"/>
  <c r="H106" i="45"/>
  <c r="G106" i="45"/>
  <c r="H105" i="45"/>
  <c r="G105" i="45"/>
  <c r="H104" i="45"/>
  <c r="G104" i="45"/>
  <c r="H103" i="45"/>
  <c r="G103" i="45"/>
  <c r="H102" i="45"/>
  <c r="G102" i="45"/>
  <c r="H101" i="45"/>
  <c r="G101" i="45"/>
  <c r="H100" i="45"/>
  <c r="G100" i="45"/>
  <c r="G27" i="8" s="1"/>
  <c r="H99" i="45"/>
  <c r="H26" i="8" s="1"/>
  <c r="G99" i="45"/>
  <c r="H98" i="45"/>
  <c r="G98" i="45"/>
  <c r="H97" i="45"/>
  <c r="G97" i="45"/>
  <c r="H95" i="45"/>
  <c r="G95" i="45"/>
  <c r="H94" i="45"/>
  <c r="G94" i="45"/>
  <c r="H93" i="45"/>
  <c r="G93" i="45"/>
  <c r="H92" i="45"/>
  <c r="G92" i="45"/>
  <c r="H91" i="45"/>
  <c r="G91" i="45"/>
  <c r="H90" i="45"/>
  <c r="G90" i="45"/>
  <c r="H89" i="45"/>
  <c r="G89" i="45"/>
  <c r="H88" i="45"/>
  <c r="G88" i="45"/>
  <c r="H87" i="45"/>
  <c r="G87" i="45"/>
  <c r="H86" i="45"/>
  <c r="G86" i="45"/>
  <c r="H85" i="45"/>
  <c r="G85" i="45"/>
  <c r="H84" i="45"/>
  <c r="G84" i="45"/>
  <c r="H83" i="45"/>
  <c r="G83" i="45"/>
  <c r="H82" i="45"/>
  <c r="G82" i="45"/>
  <c r="H81" i="45"/>
  <c r="G81" i="45"/>
  <c r="H80" i="45"/>
  <c r="G80" i="45"/>
  <c r="H79" i="45"/>
  <c r="G79" i="45"/>
  <c r="H78" i="45"/>
  <c r="G78" i="45"/>
  <c r="H77" i="45"/>
  <c r="G77" i="45"/>
  <c r="H76" i="45"/>
  <c r="G76" i="45"/>
  <c r="H75" i="45"/>
  <c r="G75" i="45"/>
  <c r="H74" i="45"/>
  <c r="G74" i="45"/>
  <c r="H73" i="45"/>
  <c r="G73" i="45"/>
  <c r="H72" i="45"/>
  <c r="G72" i="45"/>
  <c r="H71" i="45"/>
  <c r="G71" i="45"/>
  <c r="H70" i="45"/>
  <c r="G70" i="45"/>
  <c r="H69" i="45"/>
  <c r="G69" i="45"/>
  <c r="H68" i="45"/>
  <c r="G68" i="45"/>
  <c r="H67" i="45"/>
  <c r="G67" i="45"/>
  <c r="H66" i="45"/>
  <c r="G66" i="45"/>
  <c r="H65" i="45"/>
  <c r="G65" i="45"/>
  <c r="H64" i="45"/>
  <c r="G64" i="45"/>
  <c r="H63" i="45"/>
  <c r="G63" i="45"/>
  <c r="H62" i="45"/>
  <c r="G62" i="45"/>
  <c r="H61" i="45"/>
  <c r="G61" i="45"/>
  <c r="H60" i="45"/>
  <c r="G60" i="45"/>
  <c r="H59" i="45"/>
  <c r="G59" i="45"/>
  <c r="H58" i="45"/>
  <c r="G58" i="45"/>
  <c r="H57" i="45"/>
  <c r="G57" i="45"/>
  <c r="H56" i="45"/>
  <c r="G56" i="45"/>
  <c r="H55" i="45"/>
  <c r="G55" i="45"/>
  <c r="H54" i="45"/>
  <c r="G54" i="45"/>
  <c r="H53" i="45"/>
  <c r="G53" i="45"/>
  <c r="H52" i="45"/>
  <c r="G52" i="45"/>
  <c r="H51" i="45"/>
  <c r="G51" i="45"/>
  <c r="J411" i="45"/>
  <c r="H50" i="45"/>
  <c r="H411" i="45" s="1"/>
  <c r="G50" i="45"/>
  <c r="G411" i="45" s="1"/>
  <c r="G416" i="45" s="1"/>
  <c r="H49" i="45"/>
  <c r="G49" i="45"/>
  <c r="H48" i="45"/>
  <c r="G48" i="45"/>
  <c r="H47" i="45"/>
  <c r="G47" i="45"/>
  <c r="H46" i="45"/>
  <c r="G46" i="45"/>
  <c r="H45" i="45"/>
  <c r="G45" i="45"/>
  <c r="H44" i="45"/>
  <c r="G44" i="45"/>
  <c r="H43" i="45"/>
  <c r="G43" i="45"/>
  <c r="H42" i="45"/>
  <c r="G42" i="45"/>
  <c r="H41" i="45"/>
  <c r="G41" i="45"/>
  <c r="H40" i="45"/>
  <c r="G40" i="45"/>
  <c r="H39" i="45"/>
  <c r="G39" i="45"/>
  <c r="H38" i="45"/>
  <c r="G38" i="45"/>
  <c r="H37" i="45"/>
  <c r="G37" i="45"/>
  <c r="H36" i="45"/>
  <c r="G36" i="45"/>
  <c r="H35" i="45"/>
  <c r="G35" i="45"/>
  <c r="J392" i="45"/>
  <c r="H34" i="45"/>
  <c r="H392" i="45" s="1"/>
  <c r="G34" i="45"/>
  <c r="G392" i="45" s="1"/>
  <c r="H33" i="45"/>
  <c r="G33" i="45"/>
  <c r="H32" i="45"/>
  <c r="G32" i="45"/>
  <c r="I14" i="22"/>
  <c r="H31" i="45"/>
  <c r="H48" i="9" s="1"/>
  <c r="G31" i="45"/>
  <c r="G48" i="9" s="1"/>
  <c r="H30" i="45"/>
  <c r="G30" i="45"/>
  <c r="H29" i="45"/>
  <c r="G29" i="45"/>
  <c r="H28" i="45"/>
  <c r="G28" i="45"/>
  <c r="H27" i="45"/>
  <c r="G27" i="45"/>
  <c r="H26" i="45"/>
  <c r="G26" i="45"/>
  <c r="H25" i="45"/>
  <c r="G25" i="45"/>
  <c r="H24" i="45"/>
  <c r="F17" i="54" s="1"/>
  <c r="G24" i="45"/>
  <c r="H23" i="45"/>
  <c r="H25" i="9" s="1"/>
  <c r="J22" i="46" s="1"/>
  <c r="G23" i="45"/>
  <c r="G25" i="9" s="1"/>
  <c r="D22" i="46" s="1"/>
  <c r="H22" i="45"/>
  <c r="G22" i="45"/>
  <c r="J400" i="45"/>
  <c r="J407" i="45" s="1"/>
  <c r="H21" i="45"/>
  <c r="G21" i="45"/>
  <c r="J399" i="45"/>
  <c r="J406" i="45" s="1"/>
  <c r="H20" i="45"/>
  <c r="G20" i="45"/>
  <c r="H19" i="45"/>
  <c r="H50" i="9" s="1"/>
  <c r="J14" i="10" s="1"/>
  <c r="G19" i="45"/>
  <c r="G50" i="9" s="1"/>
  <c r="J397" i="45"/>
  <c r="J404" i="45" s="1"/>
  <c r="H18" i="45"/>
  <c r="G18" i="45"/>
  <c r="J396" i="45"/>
  <c r="J403" i="45" s="1"/>
  <c r="H17" i="45"/>
  <c r="G17" i="45"/>
  <c r="H16" i="45"/>
  <c r="G16" i="45"/>
  <c r="H15" i="45"/>
  <c r="G15" i="45"/>
  <c r="I11" i="22"/>
  <c r="H14" i="45"/>
  <c r="H45" i="9" s="1"/>
  <c r="H11" i="22" s="1"/>
  <c r="G14" i="45"/>
  <c r="G45" i="9" s="1"/>
  <c r="G11" i="22" s="1"/>
  <c r="H13" i="45"/>
  <c r="G13" i="45"/>
  <c r="H12" i="45"/>
  <c r="G12" i="45"/>
  <c r="I10" i="22"/>
  <c r="H11" i="45"/>
  <c r="H44" i="9" s="1"/>
  <c r="G11" i="45"/>
  <c r="G44" i="9" s="1"/>
  <c r="H10" i="45"/>
  <c r="G10" i="45"/>
  <c r="H9" i="45"/>
  <c r="G9" i="45"/>
  <c r="H8" i="45"/>
  <c r="G8" i="45"/>
  <c r="H7" i="45"/>
  <c r="G7" i="45"/>
  <c r="H6" i="45"/>
  <c r="G6" i="45"/>
  <c r="H5" i="45"/>
  <c r="G5" i="45"/>
  <c r="H4" i="45"/>
  <c r="G4" i="45"/>
  <c r="H3" i="45"/>
  <c r="G3" i="45"/>
  <c r="H2" i="45"/>
  <c r="G2" i="45"/>
  <c r="AN178" i="44"/>
  <c r="AM178" i="44"/>
  <c r="AL178" i="44"/>
  <c r="AK178" i="44"/>
  <c r="AJ178" i="44"/>
  <c r="AI178" i="44"/>
  <c r="AH178" i="44"/>
  <c r="AG178" i="44"/>
  <c r="AF178" i="44"/>
  <c r="AE178" i="44"/>
  <c r="AE180" i="44" s="1"/>
  <c r="AD178" i="44"/>
  <c r="AC178" i="44"/>
  <c r="AB178" i="44"/>
  <c r="AA178" i="44"/>
  <c r="Z178" i="44"/>
  <c r="Y178" i="44"/>
  <c r="X178" i="44"/>
  <c r="W178" i="44"/>
  <c r="V178" i="44"/>
  <c r="U178" i="44"/>
  <c r="T178" i="44"/>
  <c r="S178" i="44"/>
  <c r="S180" i="44" s="1"/>
  <c r="R178" i="44"/>
  <c r="Q178" i="44"/>
  <c r="P178" i="44"/>
  <c r="O178" i="44"/>
  <c r="N178" i="44"/>
  <c r="M178" i="44"/>
  <c r="L178" i="44"/>
  <c r="K178" i="44"/>
  <c r="J178" i="44"/>
  <c r="I178" i="44"/>
  <c r="H178" i="44"/>
  <c r="G178" i="44"/>
  <c r="G177" i="44"/>
  <c r="F177" i="44"/>
  <c r="E177" i="44"/>
  <c r="AK174" i="44"/>
  <c r="X174" i="44"/>
  <c r="AN173" i="44"/>
  <c r="G173" i="44" s="1"/>
  <c r="AM173" i="44"/>
  <c r="AL173" i="44"/>
  <c r="AK173" i="44"/>
  <c r="AJ173" i="44"/>
  <c r="AJ174" i="44" s="1"/>
  <c r="AI173" i="44"/>
  <c r="AH173" i="44"/>
  <c r="AG173" i="44"/>
  <c r="AF173" i="44"/>
  <c r="AE173" i="44"/>
  <c r="F173" i="44" s="1"/>
  <c r="AD173" i="44"/>
  <c r="AC173" i="44"/>
  <c r="AB173" i="44"/>
  <c r="AA173" i="44"/>
  <c r="Z173" i="44"/>
  <c r="Y173" i="44"/>
  <c r="X173" i="44"/>
  <c r="W173" i="44"/>
  <c r="V173" i="44"/>
  <c r="U173" i="44"/>
  <c r="T173" i="44"/>
  <c r="S173" i="44"/>
  <c r="E173" i="44" s="1"/>
  <c r="R173" i="44"/>
  <c r="Q173" i="44"/>
  <c r="P173" i="44"/>
  <c r="O173" i="44"/>
  <c r="N173" i="44"/>
  <c r="M173" i="44"/>
  <c r="L173" i="44"/>
  <c r="L174" i="44" s="1"/>
  <c r="K173" i="44"/>
  <c r="J173" i="44"/>
  <c r="I173" i="44"/>
  <c r="H173" i="44"/>
  <c r="G172" i="44"/>
  <c r="F172" i="44"/>
  <c r="E172" i="44"/>
  <c r="AN169" i="44"/>
  <c r="AM169" i="44"/>
  <c r="AL169" i="44"/>
  <c r="AL174" i="44" s="1"/>
  <c r="AK169" i="44"/>
  <c r="AJ169" i="44"/>
  <c r="AI169" i="44"/>
  <c r="AH169" i="44"/>
  <c r="AG169" i="44"/>
  <c r="AF169" i="44"/>
  <c r="AE169" i="44"/>
  <c r="AD169" i="44"/>
  <c r="AC169" i="44"/>
  <c r="AB169" i="44"/>
  <c r="AA169" i="44"/>
  <c r="Z169" i="44"/>
  <c r="Y169" i="44"/>
  <c r="X169" i="44"/>
  <c r="W169" i="44"/>
  <c r="V169" i="44"/>
  <c r="U169" i="44"/>
  <c r="T169" i="44"/>
  <c r="S169" i="44"/>
  <c r="S171" i="44" s="1"/>
  <c r="R169" i="44"/>
  <c r="Q169" i="44"/>
  <c r="P169" i="44"/>
  <c r="O169" i="44"/>
  <c r="N169" i="44"/>
  <c r="M169" i="44"/>
  <c r="L169" i="44"/>
  <c r="K169" i="44"/>
  <c r="J169" i="44"/>
  <c r="I169" i="44"/>
  <c r="H169" i="44"/>
  <c r="G169" i="44"/>
  <c r="E169" i="44"/>
  <c r="G168" i="44"/>
  <c r="F168" i="44"/>
  <c r="E168" i="44"/>
  <c r="G167" i="44"/>
  <c r="F167" i="44"/>
  <c r="E167" i="44"/>
  <c r="G166" i="44"/>
  <c r="F166" i="44"/>
  <c r="E166" i="44"/>
  <c r="G165" i="44"/>
  <c r="F165" i="44"/>
  <c r="E165" i="44"/>
  <c r="G164" i="44"/>
  <c r="F164" i="44"/>
  <c r="E164" i="44"/>
  <c r="G163" i="44"/>
  <c r="F163" i="44"/>
  <c r="E163" i="44"/>
  <c r="G162" i="44"/>
  <c r="F162" i="44"/>
  <c r="E162" i="44"/>
  <c r="G161" i="44"/>
  <c r="F161" i="44"/>
  <c r="E161" i="44"/>
  <c r="G160" i="44"/>
  <c r="F160" i="44"/>
  <c r="E160" i="44"/>
  <c r="G159" i="44"/>
  <c r="F159" i="44"/>
  <c r="E159" i="44"/>
  <c r="G158" i="44"/>
  <c r="F158" i="44"/>
  <c r="E158" i="44"/>
  <c r="G157" i="44"/>
  <c r="F157" i="44"/>
  <c r="E157" i="44"/>
  <c r="G156" i="44"/>
  <c r="F156" i="44"/>
  <c r="E156" i="44"/>
  <c r="G155" i="44"/>
  <c r="F155" i="44"/>
  <c r="E155" i="44"/>
  <c r="G154" i="44"/>
  <c r="F154" i="44"/>
  <c r="E154" i="44"/>
  <c r="G153" i="44"/>
  <c r="F153" i="44"/>
  <c r="E153" i="44"/>
  <c r="G152" i="44"/>
  <c r="F152" i="44"/>
  <c r="E152" i="44"/>
  <c r="G151" i="44"/>
  <c r="F151" i="44"/>
  <c r="E151" i="44"/>
  <c r="G150" i="44"/>
  <c r="F150" i="44"/>
  <c r="E150" i="44"/>
  <c r="G149" i="44"/>
  <c r="F149" i="44"/>
  <c r="E149" i="44"/>
  <c r="AN146" i="44"/>
  <c r="AN174" i="44" s="1"/>
  <c r="G174" i="44" s="1"/>
  <c r="AM146" i="44"/>
  <c r="AL146" i="44"/>
  <c r="AK146" i="44"/>
  <c r="AJ146" i="44"/>
  <c r="AI146" i="44"/>
  <c r="AH146" i="44"/>
  <c r="AG146" i="44"/>
  <c r="AG174" i="44" s="1"/>
  <c r="AF146" i="44"/>
  <c r="AE146" i="44"/>
  <c r="AD146" i="44"/>
  <c r="AC146" i="44"/>
  <c r="AB146" i="44"/>
  <c r="AB174" i="44" s="1"/>
  <c r="AA146" i="44"/>
  <c r="AA174" i="44" s="1"/>
  <c r="Z146" i="44"/>
  <c r="Z174" i="44" s="1"/>
  <c r="Y146" i="44"/>
  <c r="Y174" i="44" s="1"/>
  <c r="X146" i="44"/>
  <c r="W146" i="44"/>
  <c r="W174" i="44" s="1"/>
  <c r="V146" i="44"/>
  <c r="U146" i="44"/>
  <c r="T146" i="44"/>
  <c r="S146" i="44"/>
  <c r="R146" i="44"/>
  <c r="Q146" i="44"/>
  <c r="P146" i="44"/>
  <c r="P174" i="44" s="1"/>
  <c r="O146" i="44"/>
  <c r="N146" i="44"/>
  <c r="N174" i="44" s="1"/>
  <c r="M146" i="44"/>
  <c r="M174" i="44" s="1"/>
  <c r="L146" i="44"/>
  <c r="K146" i="44"/>
  <c r="J146" i="44"/>
  <c r="J174" i="44" s="1"/>
  <c r="I146" i="44"/>
  <c r="I174" i="44" s="1"/>
  <c r="H146" i="44"/>
  <c r="E146" i="44"/>
  <c r="G145" i="44"/>
  <c r="F145" i="44"/>
  <c r="E145" i="44"/>
  <c r="G144" i="44"/>
  <c r="F144" i="44"/>
  <c r="E144" i="44"/>
  <c r="S141" i="44"/>
  <c r="S143" i="44" s="1"/>
  <c r="G141" i="44"/>
  <c r="AN138" i="44"/>
  <c r="G138" i="44" s="1"/>
  <c r="AM138" i="44"/>
  <c r="AL138" i="44"/>
  <c r="AK138" i="44"/>
  <c r="AJ138" i="44"/>
  <c r="AI138" i="44"/>
  <c r="AH138" i="44"/>
  <c r="AG138" i="44"/>
  <c r="AF138" i="44"/>
  <c r="AE138" i="44"/>
  <c r="AD138" i="44"/>
  <c r="AC138" i="44"/>
  <c r="AB138" i="44"/>
  <c r="AA138" i="44"/>
  <c r="Z138" i="44"/>
  <c r="Y138" i="44"/>
  <c r="X138" i="44"/>
  <c r="W138" i="44"/>
  <c r="V138" i="44"/>
  <c r="V141" i="44" s="1"/>
  <c r="U138" i="44"/>
  <c r="U141" i="44" s="1"/>
  <c r="T138" i="44"/>
  <c r="S138" i="44"/>
  <c r="S140" i="44" s="1"/>
  <c r="R138" i="44"/>
  <c r="Q138" i="44"/>
  <c r="P138" i="44"/>
  <c r="O138" i="44"/>
  <c r="N138" i="44"/>
  <c r="M138" i="44"/>
  <c r="L138" i="44"/>
  <c r="K138" i="44"/>
  <c r="J138" i="44"/>
  <c r="I138" i="44"/>
  <c r="I141" i="44" s="1"/>
  <c r="H138" i="44"/>
  <c r="E138" i="44"/>
  <c r="G137" i="44"/>
  <c r="F137" i="44"/>
  <c r="E137" i="44"/>
  <c r="G136" i="44"/>
  <c r="F136" i="44"/>
  <c r="E136" i="44"/>
  <c r="G135" i="44"/>
  <c r="F135" i="44"/>
  <c r="E135" i="44"/>
  <c r="G134" i="44"/>
  <c r="F134" i="44"/>
  <c r="E134" i="44"/>
  <c r="G133" i="44"/>
  <c r="F133" i="44"/>
  <c r="E133" i="44"/>
  <c r="AE132" i="44"/>
  <c r="AN130" i="44"/>
  <c r="G130" i="44" s="1"/>
  <c r="AM130" i="44"/>
  <c r="AL130" i="44"/>
  <c r="AK130" i="44"/>
  <c r="AK141" i="44" s="1"/>
  <c r="AJ130" i="44"/>
  <c r="AJ141" i="44" s="1"/>
  <c r="AI130" i="44"/>
  <c r="AI141" i="44" s="1"/>
  <c r="AH130" i="44"/>
  <c r="AG130" i="44"/>
  <c r="AF130" i="44"/>
  <c r="AE130" i="44"/>
  <c r="AD130" i="44"/>
  <c r="AC130" i="44"/>
  <c r="AB130" i="44"/>
  <c r="AA130" i="44"/>
  <c r="Z130" i="44"/>
  <c r="Y130" i="44"/>
  <c r="X130" i="44"/>
  <c r="W130" i="44"/>
  <c r="W141" i="44" s="1"/>
  <c r="V130" i="44"/>
  <c r="U130" i="44"/>
  <c r="T130" i="44"/>
  <c r="S130" i="44"/>
  <c r="S132" i="44" s="1"/>
  <c r="R130" i="44"/>
  <c r="Q130" i="44"/>
  <c r="P130" i="44"/>
  <c r="O130" i="44"/>
  <c r="N130" i="44"/>
  <c r="M130" i="44"/>
  <c r="L130" i="44"/>
  <c r="K130" i="44"/>
  <c r="J130" i="44"/>
  <c r="I130" i="44"/>
  <c r="H130" i="44"/>
  <c r="H141" i="44" s="1"/>
  <c r="F130" i="44"/>
  <c r="E130" i="44"/>
  <c r="G129" i="44"/>
  <c r="F129" i="44"/>
  <c r="E129" i="44"/>
  <c r="G128" i="44"/>
  <c r="F128" i="44"/>
  <c r="E128" i="44"/>
  <c r="S127" i="44"/>
  <c r="AN125" i="44"/>
  <c r="AN141" i="44" s="1"/>
  <c r="AM125" i="44"/>
  <c r="AM141" i="44" s="1"/>
  <c r="AL125" i="44"/>
  <c r="AL141" i="44" s="1"/>
  <c r="AK125" i="44"/>
  <c r="AJ125" i="44"/>
  <c r="AI125" i="44"/>
  <c r="AH125" i="44"/>
  <c r="AG125" i="44"/>
  <c r="AG141" i="44" s="1"/>
  <c r="AF125" i="44"/>
  <c r="AE125" i="44"/>
  <c r="AE127" i="44" s="1"/>
  <c r="AD125" i="44"/>
  <c r="AD141" i="44" s="1"/>
  <c r="AC125" i="44"/>
  <c r="AB125" i="44"/>
  <c r="AB141" i="44" s="1"/>
  <c r="AA125" i="44"/>
  <c r="AA141" i="44" s="1"/>
  <c r="Z125" i="44"/>
  <c r="Z141" i="44" s="1"/>
  <c r="Y125" i="44"/>
  <c r="X125" i="44"/>
  <c r="W125" i="44"/>
  <c r="V125" i="44"/>
  <c r="U125" i="44"/>
  <c r="T125" i="44"/>
  <c r="S125" i="44"/>
  <c r="R125" i="44"/>
  <c r="Q125" i="44"/>
  <c r="P125" i="44"/>
  <c r="P141" i="44" s="1"/>
  <c r="O125" i="44"/>
  <c r="N125" i="44"/>
  <c r="N141" i="44" s="1"/>
  <c r="M125" i="44"/>
  <c r="L125" i="44"/>
  <c r="K125" i="44"/>
  <c r="J125" i="44"/>
  <c r="I125" i="44"/>
  <c r="H125" i="44"/>
  <c r="E125" i="44"/>
  <c r="G124" i="44"/>
  <c r="F124" i="44"/>
  <c r="E124" i="44"/>
  <c r="AN118" i="44"/>
  <c r="G118" i="44" s="1"/>
  <c r="AM118" i="44"/>
  <c r="AL118" i="44"/>
  <c r="AK118" i="44"/>
  <c r="AJ118" i="44"/>
  <c r="AI118" i="44"/>
  <c r="AH118" i="44"/>
  <c r="AG118" i="44"/>
  <c r="AF118" i="44"/>
  <c r="AE118" i="44"/>
  <c r="AE120" i="44" s="1"/>
  <c r="AD118" i="44"/>
  <c r="AC118" i="44"/>
  <c r="AB118" i="44"/>
  <c r="AA118" i="44"/>
  <c r="Z118" i="44"/>
  <c r="Y118" i="44"/>
  <c r="X118" i="44"/>
  <c r="W118" i="44"/>
  <c r="V118" i="44"/>
  <c r="U118" i="44"/>
  <c r="T118" i="44"/>
  <c r="S118" i="44"/>
  <c r="S120" i="44" s="1"/>
  <c r="R118" i="44"/>
  <c r="Q118" i="44"/>
  <c r="P118" i="44"/>
  <c r="O118" i="44"/>
  <c r="N118" i="44"/>
  <c r="M118" i="44"/>
  <c r="L118" i="44"/>
  <c r="K118" i="44"/>
  <c r="J118" i="44"/>
  <c r="I118" i="44"/>
  <c r="H118" i="44"/>
  <c r="F118" i="44"/>
  <c r="G117" i="44"/>
  <c r="F117" i="44"/>
  <c r="E117" i="44"/>
  <c r="AN114" i="44"/>
  <c r="G114" i="44" s="1"/>
  <c r="AM114" i="44"/>
  <c r="AL114" i="44"/>
  <c r="AK114" i="44"/>
  <c r="AJ114" i="44"/>
  <c r="AI114" i="44"/>
  <c r="AH114" i="44"/>
  <c r="AG114" i="44"/>
  <c r="AF114" i="44"/>
  <c r="AE114" i="44"/>
  <c r="AE116" i="44" s="1"/>
  <c r="AD114" i="44"/>
  <c r="AC114" i="44"/>
  <c r="AB114" i="44"/>
  <c r="AA114" i="44"/>
  <c r="Z114" i="44"/>
  <c r="Y114" i="44"/>
  <c r="X114" i="44"/>
  <c r="W114" i="44"/>
  <c r="V114" i="44"/>
  <c r="U114" i="44"/>
  <c r="T114" i="44"/>
  <c r="S114" i="44"/>
  <c r="S116" i="44" s="1"/>
  <c r="R114" i="44"/>
  <c r="Q114" i="44"/>
  <c r="P114" i="44"/>
  <c r="O114" i="44"/>
  <c r="N114" i="44"/>
  <c r="M114" i="44"/>
  <c r="L114" i="44"/>
  <c r="K114" i="44"/>
  <c r="J114" i="44"/>
  <c r="I114" i="44"/>
  <c r="H114" i="44"/>
  <c r="F114" i="44"/>
  <c r="E114" i="44"/>
  <c r="G113" i="44"/>
  <c r="F113" i="44"/>
  <c r="E113" i="44"/>
  <c r="AE107" i="44"/>
  <c r="AN105" i="44"/>
  <c r="G105" i="44" s="1"/>
  <c r="AM105" i="44"/>
  <c r="AL105" i="44"/>
  <c r="AK105" i="44"/>
  <c r="AJ105" i="44"/>
  <c r="AI105" i="44"/>
  <c r="AH105" i="44"/>
  <c r="AG105" i="44"/>
  <c r="AF105" i="44"/>
  <c r="AE105" i="44"/>
  <c r="AD105" i="44"/>
  <c r="AC105" i="44"/>
  <c r="AB105" i="44"/>
  <c r="AA105" i="44"/>
  <c r="Z105" i="44"/>
  <c r="Y105" i="44"/>
  <c r="X105" i="44"/>
  <c r="W105" i="44"/>
  <c r="V105" i="44"/>
  <c r="U105" i="44"/>
  <c r="T105" i="44"/>
  <c r="S105" i="44"/>
  <c r="S107" i="44" s="1"/>
  <c r="R105" i="44"/>
  <c r="Q105" i="44"/>
  <c r="P105" i="44"/>
  <c r="O105" i="44"/>
  <c r="N105" i="44"/>
  <c r="M105" i="44"/>
  <c r="L105" i="44"/>
  <c r="K105" i="44"/>
  <c r="J105" i="44"/>
  <c r="I105" i="44"/>
  <c r="H105" i="44"/>
  <c r="F105" i="44"/>
  <c r="G104" i="44"/>
  <c r="F104" i="44"/>
  <c r="E104" i="44"/>
  <c r="AN98" i="44"/>
  <c r="AM98" i="44"/>
  <c r="AL98" i="44"/>
  <c r="AK98" i="44"/>
  <c r="AJ98" i="44"/>
  <c r="AI98" i="44"/>
  <c r="AH98" i="44"/>
  <c r="AG98" i="44"/>
  <c r="AF98" i="44"/>
  <c r="AE98" i="44"/>
  <c r="AE100" i="44" s="1"/>
  <c r="AD98" i="44"/>
  <c r="AC98" i="44"/>
  <c r="AB98" i="44"/>
  <c r="AA98" i="44"/>
  <c r="Z98" i="44"/>
  <c r="Y98" i="44"/>
  <c r="X98" i="44"/>
  <c r="W98" i="44"/>
  <c r="V98" i="44"/>
  <c r="U98" i="44"/>
  <c r="T98" i="44"/>
  <c r="S98" i="44"/>
  <c r="S100" i="44" s="1"/>
  <c r="R98" i="44"/>
  <c r="Q98" i="44"/>
  <c r="P98" i="44"/>
  <c r="O98" i="44"/>
  <c r="N98" i="44"/>
  <c r="M98" i="44"/>
  <c r="L98" i="44"/>
  <c r="K98" i="44"/>
  <c r="J98" i="44"/>
  <c r="I98" i="44"/>
  <c r="H98" i="44"/>
  <c r="G98" i="44"/>
  <c r="F98" i="44"/>
  <c r="E98" i="44"/>
  <c r="G97" i="44"/>
  <c r="F97" i="44"/>
  <c r="E97" i="44"/>
  <c r="G96" i="44"/>
  <c r="F96" i="44"/>
  <c r="E96" i="44"/>
  <c r="G95" i="44"/>
  <c r="F95" i="44"/>
  <c r="E95" i="44"/>
  <c r="G94" i="44"/>
  <c r="F94" i="44"/>
  <c r="E94" i="44"/>
  <c r="G93" i="44"/>
  <c r="F93" i="44"/>
  <c r="E93" i="44"/>
  <c r="AA90" i="44"/>
  <c r="R90" i="44"/>
  <c r="M90" i="44"/>
  <c r="AN87" i="44"/>
  <c r="AM87" i="44"/>
  <c r="AM90" i="44" s="1"/>
  <c r="AL87" i="44"/>
  <c r="AL90" i="44" s="1"/>
  <c r="AK87" i="44"/>
  <c r="AK90" i="44" s="1"/>
  <c r="AJ87" i="44"/>
  <c r="AJ90" i="44" s="1"/>
  <c r="AI87" i="44"/>
  <c r="AI90" i="44" s="1"/>
  <c r="AH87" i="44"/>
  <c r="AH90" i="44" s="1"/>
  <c r="AG87" i="44"/>
  <c r="AG90" i="44" s="1"/>
  <c r="AF87" i="44"/>
  <c r="AF90" i="44" s="1"/>
  <c r="AE87" i="44"/>
  <c r="AE90" i="44" s="1"/>
  <c r="AE92" i="44" s="1"/>
  <c r="AD87" i="44"/>
  <c r="AD90" i="44" s="1"/>
  <c r="AC87" i="44"/>
  <c r="AC90" i="44" s="1"/>
  <c r="AB87" i="44"/>
  <c r="AB90" i="44" s="1"/>
  <c r="AA87" i="44"/>
  <c r="Z87" i="44"/>
  <c r="Z90" i="44" s="1"/>
  <c r="Y87" i="44"/>
  <c r="Y90" i="44" s="1"/>
  <c r="X87" i="44"/>
  <c r="X90" i="44" s="1"/>
  <c r="W87" i="44"/>
  <c r="W90" i="44" s="1"/>
  <c r="V87" i="44"/>
  <c r="V90" i="44" s="1"/>
  <c r="U87" i="44"/>
  <c r="U90" i="44" s="1"/>
  <c r="T87" i="44"/>
  <c r="T90" i="44" s="1"/>
  <c r="S87" i="44"/>
  <c r="S89" i="44" s="1"/>
  <c r="R87" i="44"/>
  <c r="Q87" i="44"/>
  <c r="Q90" i="44" s="1"/>
  <c r="P87" i="44"/>
  <c r="P90" i="44" s="1"/>
  <c r="O87" i="44"/>
  <c r="O90" i="44" s="1"/>
  <c r="N87" i="44"/>
  <c r="N90" i="44" s="1"/>
  <c r="M87" i="44"/>
  <c r="L87" i="44"/>
  <c r="L90" i="44" s="1"/>
  <c r="K87" i="44"/>
  <c r="K90" i="44" s="1"/>
  <c r="J87" i="44"/>
  <c r="J90" i="44" s="1"/>
  <c r="I87" i="44"/>
  <c r="I90" i="44" s="1"/>
  <c r="H87" i="44"/>
  <c r="H90" i="44" s="1"/>
  <c r="F87" i="44"/>
  <c r="G86" i="44"/>
  <c r="F86" i="44"/>
  <c r="E86" i="44"/>
  <c r="N83" i="44"/>
  <c r="M83" i="44"/>
  <c r="AN80" i="44"/>
  <c r="G80" i="44" s="1"/>
  <c r="AM80" i="44"/>
  <c r="AL80" i="44"/>
  <c r="AL83" i="44" s="1"/>
  <c r="AK80" i="44"/>
  <c r="AJ80" i="44"/>
  <c r="AI80" i="44"/>
  <c r="AH80" i="44"/>
  <c r="AG80" i="44"/>
  <c r="AF80" i="44"/>
  <c r="AE80" i="44"/>
  <c r="AE82" i="44" s="1"/>
  <c r="AD80" i="44"/>
  <c r="AC80" i="44"/>
  <c r="AC83" i="44" s="1"/>
  <c r="AB80" i="44"/>
  <c r="AB83" i="44" s="1"/>
  <c r="AA80" i="44"/>
  <c r="Z80" i="44"/>
  <c r="Y80" i="44"/>
  <c r="Y83" i="44" s="1"/>
  <c r="X80" i="44"/>
  <c r="W80" i="44"/>
  <c r="V80" i="44"/>
  <c r="U80" i="44"/>
  <c r="T80" i="44"/>
  <c r="S80" i="44"/>
  <c r="S82" i="44" s="1"/>
  <c r="R80" i="44"/>
  <c r="Q80" i="44"/>
  <c r="P80" i="44"/>
  <c r="O80" i="44"/>
  <c r="N80" i="44"/>
  <c r="M80" i="44"/>
  <c r="L80" i="44"/>
  <c r="K80" i="44"/>
  <c r="J80" i="44"/>
  <c r="I80" i="44"/>
  <c r="H80" i="44"/>
  <c r="F80" i="44"/>
  <c r="E80" i="44"/>
  <c r="G79" i="44"/>
  <c r="F79" i="44"/>
  <c r="E79" i="44"/>
  <c r="G78" i="44"/>
  <c r="F78" i="44"/>
  <c r="E78" i="44"/>
  <c r="G77" i="44"/>
  <c r="F77" i="44"/>
  <c r="E77" i="44"/>
  <c r="G76" i="44"/>
  <c r="F76" i="44"/>
  <c r="E76" i="44"/>
  <c r="G75" i="44"/>
  <c r="F75" i="44"/>
  <c r="E75" i="44"/>
  <c r="G74" i="44"/>
  <c r="F74" i="44"/>
  <c r="E74" i="44"/>
  <c r="G73" i="44"/>
  <c r="F73" i="44"/>
  <c r="E73" i="44"/>
  <c r="G72" i="44"/>
  <c r="F72" i="44"/>
  <c r="E72" i="44"/>
  <c r="G71" i="44"/>
  <c r="F71" i="44"/>
  <c r="E71" i="44"/>
  <c r="G70" i="44"/>
  <c r="F70" i="44"/>
  <c r="E70" i="44"/>
  <c r="AN67" i="44"/>
  <c r="AM67" i="44"/>
  <c r="AM83" i="44" s="1"/>
  <c r="AL67" i="44"/>
  <c r="AK67" i="44"/>
  <c r="AJ67" i="44"/>
  <c r="AJ83" i="44" s="1"/>
  <c r="AI67" i="44"/>
  <c r="AH67" i="44"/>
  <c r="AG67" i="44"/>
  <c r="AG83" i="44" s="1"/>
  <c r="AF67" i="44"/>
  <c r="AF83" i="44" s="1"/>
  <c r="AE67" i="44"/>
  <c r="AE69" i="44" s="1"/>
  <c r="AD67" i="44"/>
  <c r="AC67" i="44"/>
  <c r="AB67" i="44"/>
  <c r="AA67" i="44"/>
  <c r="AA83" i="44" s="1"/>
  <c r="Z67" i="44"/>
  <c r="Y67" i="44"/>
  <c r="X67" i="44"/>
  <c r="W67" i="44"/>
  <c r="V67" i="44"/>
  <c r="V83" i="44" s="1"/>
  <c r="U67" i="44"/>
  <c r="T67" i="44"/>
  <c r="S67" i="44"/>
  <c r="R67" i="44"/>
  <c r="Q67" i="44"/>
  <c r="P67" i="44"/>
  <c r="O67" i="44"/>
  <c r="O83" i="44" s="1"/>
  <c r="N67" i="44"/>
  <c r="M67" i="44"/>
  <c r="L67" i="44"/>
  <c r="L83" i="44" s="1"/>
  <c r="K67" i="44"/>
  <c r="J67" i="44"/>
  <c r="I67" i="44"/>
  <c r="H67" i="44"/>
  <c r="H83" i="44" s="1"/>
  <c r="G67" i="44"/>
  <c r="G66" i="44"/>
  <c r="F66" i="44"/>
  <c r="E66" i="44"/>
  <c r="G65" i="44"/>
  <c r="F65" i="44"/>
  <c r="E65" i="44"/>
  <c r="G64" i="44"/>
  <c r="F64" i="44"/>
  <c r="E64" i="44"/>
  <c r="AN58" i="44"/>
  <c r="AM58" i="44"/>
  <c r="AL58" i="44"/>
  <c r="AK58" i="44"/>
  <c r="AJ58" i="44"/>
  <c r="AI58" i="44"/>
  <c r="AH58" i="44"/>
  <c r="AG58" i="44"/>
  <c r="AF58" i="44"/>
  <c r="AE58" i="44"/>
  <c r="AE60" i="44" s="1"/>
  <c r="AD58" i="44"/>
  <c r="AC58" i="44"/>
  <c r="AB58" i="44"/>
  <c r="AA58" i="44"/>
  <c r="Z58" i="44"/>
  <c r="Y58" i="44"/>
  <c r="X58" i="44"/>
  <c r="W58" i="44"/>
  <c r="V58" i="44"/>
  <c r="U58" i="44"/>
  <c r="T58" i="44"/>
  <c r="S58" i="44"/>
  <c r="S60" i="44" s="1"/>
  <c r="R58" i="44"/>
  <c r="Q58" i="44"/>
  <c r="P58" i="44"/>
  <c r="O58" i="44"/>
  <c r="N58" i="44"/>
  <c r="M58" i="44"/>
  <c r="L58" i="44"/>
  <c r="K58" i="44"/>
  <c r="J58" i="44"/>
  <c r="I58" i="44"/>
  <c r="H58" i="44"/>
  <c r="G58" i="44"/>
  <c r="G57" i="44"/>
  <c r="F57" i="44"/>
  <c r="E57" i="44"/>
  <c r="G56" i="44"/>
  <c r="F56" i="44"/>
  <c r="E56" i="44"/>
  <c r="AN53" i="44"/>
  <c r="G53" i="44" s="1"/>
  <c r="AM53" i="44"/>
  <c r="AL53" i="44"/>
  <c r="AK53" i="44"/>
  <c r="AJ53" i="44"/>
  <c r="AI53" i="44"/>
  <c r="AH53" i="44"/>
  <c r="AG53" i="44"/>
  <c r="AF53" i="44"/>
  <c r="AE53" i="44"/>
  <c r="AE55" i="44" s="1"/>
  <c r="AD53" i="44"/>
  <c r="AC53" i="44"/>
  <c r="AB53" i="44"/>
  <c r="AA53" i="44"/>
  <c r="Z53" i="44"/>
  <c r="Y53" i="44"/>
  <c r="X53" i="44"/>
  <c r="W53" i="44"/>
  <c r="V53" i="44"/>
  <c r="U53" i="44"/>
  <c r="T53" i="44"/>
  <c r="S53" i="44"/>
  <c r="S55" i="44" s="1"/>
  <c r="R53" i="44"/>
  <c r="Q53" i="44"/>
  <c r="P53" i="44"/>
  <c r="O53" i="44"/>
  <c r="N53" i="44"/>
  <c r="M53" i="44"/>
  <c r="L53" i="44"/>
  <c r="K53" i="44"/>
  <c r="J53" i="44"/>
  <c r="I53" i="44"/>
  <c r="H53" i="44"/>
  <c r="F53" i="44"/>
  <c r="E53" i="44"/>
  <c r="G52" i="44"/>
  <c r="F52" i="44"/>
  <c r="E52" i="44"/>
  <c r="G51" i="44"/>
  <c r="F51" i="44"/>
  <c r="E51" i="44"/>
  <c r="AE50" i="44"/>
  <c r="S50" i="44"/>
  <c r="AN48" i="44"/>
  <c r="G48" i="44" s="1"/>
  <c r="AM48" i="44"/>
  <c r="AL48" i="44"/>
  <c r="AK48" i="44"/>
  <c r="AJ48" i="44"/>
  <c r="AI48" i="44"/>
  <c r="AH48" i="44"/>
  <c r="AG48" i="44"/>
  <c r="AF48" i="44"/>
  <c r="AE48" i="44"/>
  <c r="AD48" i="44"/>
  <c r="AC48" i="44"/>
  <c r="AB48" i="44"/>
  <c r="AA48" i="44"/>
  <c r="Z48" i="44"/>
  <c r="Y48" i="44"/>
  <c r="X48" i="44"/>
  <c r="W48" i="44"/>
  <c r="V48" i="44"/>
  <c r="U48" i="44"/>
  <c r="T48" i="44"/>
  <c r="S48" i="44"/>
  <c r="R48" i="44"/>
  <c r="Q48" i="44"/>
  <c r="P48" i="44"/>
  <c r="O48" i="44"/>
  <c r="N48" i="44"/>
  <c r="M48" i="44"/>
  <c r="L48" i="44"/>
  <c r="K48" i="44"/>
  <c r="J48" i="44"/>
  <c r="I48" i="44"/>
  <c r="H48" i="44"/>
  <c r="F48" i="44"/>
  <c r="E48" i="44"/>
  <c r="G47" i="44"/>
  <c r="F47" i="44"/>
  <c r="E47" i="44"/>
  <c r="AN44" i="44"/>
  <c r="G44" i="44" s="1"/>
  <c r="AM44" i="44"/>
  <c r="AM61" i="44" s="1"/>
  <c r="AL44" i="44"/>
  <c r="AL61" i="44" s="1"/>
  <c r="AL101" i="44" s="1"/>
  <c r="AK44" i="44"/>
  <c r="AJ44" i="44"/>
  <c r="AI44" i="44"/>
  <c r="AH44" i="44"/>
  <c r="AG44" i="44"/>
  <c r="AF44" i="44"/>
  <c r="AE44" i="44"/>
  <c r="AD44" i="44"/>
  <c r="AC44" i="44"/>
  <c r="AB44" i="44"/>
  <c r="AB61" i="44" s="1"/>
  <c r="AA44" i="44"/>
  <c r="AA61" i="44" s="1"/>
  <c r="Z44" i="44"/>
  <c r="Z61" i="44" s="1"/>
  <c r="Y44" i="44"/>
  <c r="X44" i="44"/>
  <c r="X61" i="44" s="1"/>
  <c r="W44" i="44"/>
  <c r="V44" i="44"/>
  <c r="U44" i="44"/>
  <c r="T44" i="44"/>
  <c r="S44" i="44"/>
  <c r="E44" i="44" s="1"/>
  <c r="R44" i="44"/>
  <c r="Q44" i="44"/>
  <c r="P44" i="44"/>
  <c r="O44" i="44"/>
  <c r="O61" i="44" s="1"/>
  <c r="N44" i="44"/>
  <c r="N61" i="44" s="1"/>
  <c r="N101" i="44" s="1"/>
  <c r="M44" i="44"/>
  <c r="L44" i="44"/>
  <c r="K44" i="44"/>
  <c r="J44" i="44"/>
  <c r="I44" i="44"/>
  <c r="H44" i="44"/>
  <c r="F44" i="44"/>
  <c r="G43" i="44"/>
  <c r="F43" i="44"/>
  <c r="E43" i="44"/>
  <c r="AJ37" i="44"/>
  <c r="AH37" i="44"/>
  <c r="T37" i="44"/>
  <c r="AN34" i="44"/>
  <c r="G34" i="44" s="1"/>
  <c r="AM34" i="44"/>
  <c r="AL34" i="44"/>
  <c r="AK34" i="44"/>
  <c r="AJ34" i="44"/>
  <c r="AI34" i="44"/>
  <c r="AI37" i="44" s="1"/>
  <c r="AH34" i="44"/>
  <c r="AG34" i="44"/>
  <c r="AF34" i="44"/>
  <c r="AE34" i="44"/>
  <c r="F34" i="44" s="1"/>
  <c r="AD34" i="44"/>
  <c r="AC34" i="44"/>
  <c r="AB34" i="44"/>
  <c r="AA34" i="44"/>
  <c r="Z34" i="44"/>
  <c r="Y34" i="44"/>
  <c r="X34" i="44"/>
  <c r="W34" i="44"/>
  <c r="V34" i="44"/>
  <c r="U34" i="44"/>
  <c r="T34" i="44"/>
  <c r="S34" i="44"/>
  <c r="E34" i="44" s="1"/>
  <c r="R34" i="44"/>
  <c r="Q34" i="44"/>
  <c r="P34" i="44"/>
  <c r="O34" i="44"/>
  <c r="N34" i="44"/>
  <c r="N37" i="44" s="1"/>
  <c r="M34" i="44"/>
  <c r="L34" i="44"/>
  <c r="K34" i="44"/>
  <c r="J34" i="44"/>
  <c r="I34" i="44"/>
  <c r="H34" i="44"/>
  <c r="G33" i="44"/>
  <c r="F33" i="44"/>
  <c r="E33" i="44"/>
  <c r="S32" i="44"/>
  <c r="AN30" i="44"/>
  <c r="AN37" i="44" s="1"/>
  <c r="G37" i="44" s="1"/>
  <c r="AM30" i="44"/>
  <c r="AL30" i="44"/>
  <c r="AK30" i="44"/>
  <c r="AK37" i="44" s="1"/>
  <c r="AJ30" i="44"/>
  <c r="AI30" i="44"/>
  <c r="AH30" i="44"/>
  <c r="AG30" i="44"/>
  <c r="AG37" i="44" s="1"/>
  <c r="AF30" i="44"/>
  <c r="AF37" i="44" s="1"/>
  <c r="AE30" i="44"/>
  <c r="AD30" i="44"/>
  <c r="AD37" i="44" s="1"/>
  <c r="AC30" i="44"/>
  <c r="AC37" i="44" s="1"/>
  <c r="AB30" i="44"/>
  <c r="AA30" i="44"/>
  <c r="Z30" i="44"/>
  <c r="Y30" i="44"/>
  <c r="Y37" i="44" s="1"/>
  <c r="X30" i="44"/>
  <c r="W30" i="44"/>
  <c r="V30" i="44"/>
  <c r="V37" i="44" s="1"/>
  <c r="U30" i="44"/>
  <c r="U37" i="44" s="1"/>
  <c r="T30" i="44"/>
  <c r="S30" i="44"/>
  <c r="R30" i="44"/>
  <c r="Q30" i="44"/>
  <c r="Q37" i="44" s="1"/>
  <c r="P30" i="44"/>
  <c r="P37" i="44" s="1"/>
  <c r="O30" i="44"/>
  <c r="N30" i="44"/>
  <c r="M30" i="44"/>
  <c r="M37" i="44" s="1"/>
  <c r="L30" i="44"/>
  <c r="K30" i="44"/>
  <c r="J30" i="44"/>
  <c r="J37" i="44" s="1"/>
  <c r="I30" i="44"/>
  <c r="I37" i="44" s="1"/>
  <c r="H30" i="44"/>
  <c r="H37" i="44" s="1"/>
  <c r="E30" i="44"/>
  <c r="G29" i="44"/>
  <c r="F29" i="44"/>
  <c r="E29" i="44"/>
  <c r="AE28" i="44"/>
  <c r="AD26" i="44"/>
  <c r="AN25" i="44"/>
  <c r="G25" i="44" s="1"/>
  <c r="AM25" i="44"/>
  <c r="AL25" i="44"/>
  <c r="AK25" i="44"/>
  <c r="AJ25" i="44"/>
  <c r="AI25" i="44"/>
  <c r="AH25" i="44"/>
  <c r="AG25" i="44"/>
  <c r="AF25" i="44"/>
  <c r="AE25" i="44"/>
  <c r="AD25" i="44"/>
  <c r="AC25" i="44"/>
  <c r="AB25" i="44"/>
  <c r="AA25" i="44"/>
  <c r="Z25" i="44"/>
  <c r="Y25" i="44"/>
  <c r="X25" i="44"/>
  <c r="W25" i="44"/>
  <c r="V25" i="44"/>
  <c r="U25" i="44"/>
  <c r="T25" i="44"/>
  <c r="S25" i="44"/>
  <c r="E25" i="44" s="1"/>
  <c r="R25" i="44"/>
  <c r="Q25" i="44"/>
  <c r="P25" i="44"/>
  <c r="O25" i="44"/>
  <c r="N25" i="44"/>
  <c r="M25" i="44"/>
  <c r="L25" i="44"/>
  <c r="K25" i="44"/>
  <c r="J25" i="44"/>
  <c r="I25" i="44"/>
  <c r="H25" i="44"/>
  <c r="F25" i="44"/>
  <c r="G24" i="44"/>
  <c r="F24" i="44"/>
  <c r="E24" i="44"/>
  <c r="AN21" i="44"/>
  <c r="G21" i="44" s="1"/>
  <c r="AM21" i="44"/>
  <c r="AL21" i="44"/>
  <c r="AK21" i="44"/>
  <c r="AJ21" i="44"/>
  <c r="AI21" i="44"/>
  <c r="AH21" i="44"/>
  <c r="AG21" i="44"/>
  <c r="AF21" i="44"/>
  <c r="AE21" i="44"/>
  <c r="AE23" i="44" s="1"/>
  <c r="AD21" i="44"/>
  <c r="AC21" i="44"/>
  <c r="AB21" i="44"/>
  <c r="AA21" i="44"/>
  <c r="Z21" i="44"/>
  <c r="Y21" i="44"/>
  <c r="X21" i="44"/>
  <c r="W21" i="44"/>
  <c r="V21" i="44"/>
  <c r="U21" i="44"/>
  <c r="T21" i="44"/>
  <c r="S21" i="44"/>
  <c r="S23" i="44" s="1"/>
  <c r="R21" i="44"/>
  <c r="Q21" i="44"/>
  <c r="P21" i="44"/>
  <c r="O21" i="44"/>
  <c r="N21" i="44"/>
  <c r="M21" i="44"/>
  <c r="L21" i="44"/>
  <c r="K21" i="44"/>
  <c r="J21" i="44"/>
  <c r="I21" i="44"/>
  <c r="H21" i="44"/>
  <c r="E21" i="44"/>
  <c r="G20" i="44"/>
  <c r="F20" i="44"/>
  <c r="E20" i="44"/>
  <c r="G19" i="44"/>
  <c r="F19" i="44"/>
  <c r="E19" i="44"/>
  <c r="G18" i="44"/>
  <c r="F18" i="44"/>
  <c r="E18" i="44"/>
  <c r="AN15" i="44"/>
  <c r="AM15" i="44"/>
  <c r="AM26" i="44" s="1"/>
  <c r="AL15" i="44"/>
  <c r="AK15" i="44"/>
  <c r="AJ15" i="44"/>
  <c r="AI15" i="44"/>
  <c r="AH15" i="44"/>
  <c r="AG15" i="44"/>
  <c r="AF15" i="44"/>
  <c r="AF26" i="44" s="1"/>
  <c r="AE15" i="44"/>
  <c r="AE26" i="44" s="1"/>
  <c r="F26" i="44" s="1"/>
  <c r="AD15" i="44"/>
  <c r="AC15" i="44"/>
  <c r="AC26" i="44" s="1"/>
  <c r="AB15" i="44"/>
  <c r="AA15" i="44"/>
  <c r="AA26" i="44" s="1"/>
  <c r="Z15" i="44"/>
  <c r="Z26" i="44" s="1"/>
  <c r="Y15" i="44"/>
  <c r="Y26" i="44" s="1"/>
  <c r="X15" i="44"/>
  <c r="W15" i="44"/>
  <c r="V15" i="44"/>
  <c r="U15" i="44"/>
  <c r="T15" i="44"/>
  <c r="S15" i="44"/>
  <c r="E15" i="44" s="1"/>
  <c r="R15" i="44"/>
  <c r="Q15" i="44"/>
  <c r="P15" i="44"/>
  <c r="P26" i="44" s="1"/>
  <c r="O15" i="44"/>
  <c r="O26" i="44" s="1"/>
  <c r="N15" i="44"/>
  <c r="N26" i="44" s="1"/>
  <c r="M15" i="44"/>
  <c r="L15" i="44"/>
  <c r="K15" i="44"/>
  <c r="K26" i="44" s="1"/>
  <c r="J15" i="44"/>
  <c r="I15" i="44"/>
  <c r="H15" i="44"/>
  <c r="F15" i="44"/>
  <c r="G14" i="44"/>
  <c r="F14" i="44"/>
  <c r="E14" i="44"/>
  <c r="AN8" i="44"/>
  <c r="G8" i="44" s="1"/>
  <c r="AM8" i="44"/>
  <c r="AL8" i="44"/>
  <c r="AK8" i="44"/>
  <c r="AJ8" i="44"/>
  <c r="AJ11" i="44" s="1"/>
  <c r="AI8" i="44"/>
  <c r="AH8" i="44"/>
  <c r="AG8" i="44"/>
  <c r="AF8" i="44"/>
  <c r="AE8" i="44"/>
  <c r="AE10" i="44" s="1"/>
  <c r="AD8" i="44"/>
  <c r="AC8" i="44"/>
  <c r="AB8" i="44"/>
  <c r="AA8" i="44"/>
  <c r="AA11" i="44" s="1"/>
  <c r="Z8" i="44"/>
  <c r="Y8" i="44"/>
  <c r="X8" i="44"/>
  <c r="W8" i="44"/>
  <c r="W11" i="44" s="1"/>
  <c r="V8" i="44"/>
  <c r="U8" i="44"/>
  <c r="T8" i="44"/>
  <c r="S8" i="44"/>
  <c r="S10" i="44" s="1"/>
  <c r="R8" i="44"/>
  <c r="Q8" i="44"/>
  <c r="P8" i="44"/>
  <c r="O8" i="44"/>
  <c r="N8" i="44"/>
  <c r="M8" i="44"/>
  <c r="L8" i="44"/>
  <c r="L11" i="44" s="1"/>
  <c r="K8" i="44"/>
  <c r="K11" i="44" s="1"/>
  <c r="J8" i="44"/>
  <c r="I8" i="44"/>
  <c r="H8" i="44"/>
  <c r="H11" i="44" s="1"/>
  <c r="G7" i="44"/>
  <c r="F7" i="44"/>
  <c r="E7" i="44"/>
  <c r="AN4" i="44"/>
  <c r="AN11" i="44" s="1"/>
  <c r="G11" i="44" s="1"/>
  <c r="AM4" i="44"/>
  <c r="AM11" i="44" s="1"/>
  <c r="AL4" i="44"/>
  <c r="AK4" i="44"/>
  <c r="AK11" i="44" s="1"/>
  <c r="AJ4" i="44"/>
  <c r="AI4" i="44"/>
  <c r="AH4" i="44"/>
  <c r="AH11" i="44" s="1"/>
  <c r="AG4" i="44"/>
  <c r="AF4" i="44"/>
  <c r="AE4" i="44"/>
  <c r="AD4" i="44"/>
  <c r="AD11" i="44" s="1"/>
  <c r="AC4" i="44"/>
  <c r="AC11" i="44" s="1"/>
  <c r="AB4" i="44"/>
  <c r="AB11" i="44" s="1"/>
  <c r="AA4" i="44"/>
  <c r="Z4" i="44"/>
  <c r="Z11" i="44" s="1"/>
  <c r="Y4" i="44"/>
  <c r="Y11" i="44" s="1"/>
  <c r="Y40" i="44" s="1"/>
  <c r="X4" i="44"/>
  <c r="W4" i="44"/>
  <c r="V4" i="44"/>
  <c r="U4" i="44"/>
  <c r="T4" i="44"/>
  <c r="S4" i="44"/>
  <c r="R4" i="44"/>
  <c r="R11" i="44" s="1"/>
  <c r="Q4" i="44"/>
  <c r="Q11" i="44" s="1"/>
  <c r="P4" i="44"/>
  <c r="P11" i="44" s="1"/>
  <c r="O4" i="44"/>
  <c r="N4" i="44"/>
  <c r="M4" i="44"/>
  <c r="M11" i="44" s="1"/>
  <c r="L4" i="44"/>
  <c r="K4" i="44"/>
  <c r="J4" i="44"/>
  <c r="J11" i="44" s="1"/>
  <c r="I4" i="44"/>
  <c r="H4" i="44"/>
  <c r="E4" i="44"/>
  <c r="G3" i="44"/>
  <c r="F3" i="44"/>
  <c r="E3" i="44"/>
  <c r="AN296" i="43"/>
  <c r="AM296" i="43"/>
  <c r="AL296" i="43"/>
  <c r="AK296" i="43"/>
  <c r="AJ296" i="43"/>
  <c r="AI296" i="43"/>
  <c r="AH296" i="43"/>
  <c r="AG296" i="43"/>
  <c r="AF296" i="43"/>
  <c r="AE296" i="43"/>
  <c r="AD296" i="43"/>
  <c r="AC296" i="43"/>
  <c r="AB296" i="43"/>
  <c r="AB297" i="43" s="1"/>
  <c r="AA296" i="43"/>
  <c r="Z296" i="43"/>
  <c r="Y296" i="43"/>
  <c r="X296" i="43"/>
  <c r="W296" i="43"/>
  <c r="V296" i="43"/>
  <c r="U296" i="43"/>
  <c r="T296" i="43"/>
  <c r="S296" i="43"/>
  <c r="R296" i="43"/>
  <c r="Q296" i="43"/>
  <c r="P296" i="43"/>
  <c r="O296" i="43"/>
  <c r="N296" i="43"/>
  <c r="M296" i="43"/>
  <c r="L296" i="43"/>
  <c r="K296" i="43"/>
  <c r="J296" i="43"/>
  <c r="I296" i="43"/>
  <c r="H296" i="43"/>
  <c r="G295" i="43"/>
  <c r="F295" i="43"/>
  <c r="E295" i="43"/>
  <c r="G294" i="43"/>
  <c r="F294" i="43"/>
  <c r="E294" i="43"/>
  <c r="G293" i="43"/>
  <c r="F293" i="43"/>
  <c r="E293" i="43"/>
  <c r="G292" i="43"/>
  <c r="F292" i="43"/>
  <c r="E292" i="43"/>
  <c r="G291" i="43"/>
  <c r="F291" i="43"/>
  <c r="E291" i="43"/>
  <c r="G290" i="43"/>
  <c r="F290" i="43"/>
  <c r="E290" i="43"/>
  <c r="G289" i="43"/>
  <c r="F289" i="43"/>
  <c r="E289" i="43"/>
  <c r="G288" i="43"/>
  <c r="F288" i="43"/>
  <c r="E288" i="43"/>
  <c r="G287" i="43"/>
  <c r="F287" i="43"/>
  <c r="E287" i="43"/>
  <c r="G286" i="43"/>
  <c r="F286" i="43"/>
  <c r="E286" i="43"/>
  <c r="G285" i="43"/>
  <c r="F285" i="43"/>
  <c r="E285" i="43"/>
  <c r="G284" i="43"/>
  <c r="F284" i="43"/>
  <c r="E284" i="43"/>
  <c r="G283" i="43"/>
  <c r="F283" i="43"/>
  <c r="E283" i="43"/>
  <c r="G282" i="43"/>
  <c r="F282" i="43"/>
  <c r="E282" i="43"/>
  <c r="G281" i="43"/>
  <c r="F281" i="43"/>
  <c r="E281" i="43"/>
  <c r="G280" i="43"/>
  <c r="F280" i="43"/>
  <c r="E280" i="43"/>
  <c r="AN277" i="43"/>
  <c r="AM277" i="43"/>
  <c r="AL277" i="43"/>
  <c r="AK277" i="43"/>
  <c r="AJ277" i="43"/>
  <c r="AI277" i="43"/>
  <c r="AH277" i="43"/>
  <c r="AG277" i="43"/>
  <c r="AF277" i="43"/>
  <c r="AE277" i="43"/>
  <c r="AD277" i="43"/>
  <c r="AC277" i="43"/>
  <c r="AB277" i="43"/>
  <c r="AA277" i="43"/>
  <c r="Z277" i="43"/>
  <c r="Y277" i="43"/>
  <c r="X277" i="43"/>
  <c r="W277" i="43"/>
  <c r="V277" i="43"/>
  <c r="U277" i="43"/>
  <c r="T277" i="43"/>
  <c r="S277" i="43"/>
  <c r="R277" i="43"/>
  <c r="Q277" i="43"/>
  <c r="P277" i="43"/>
  <c r="O277" i="43"/>
  <c r="N277" i="43"/>
  <c r="M277" i="43"/>
  <c r="L277" i="43"/>
  <c r="K277" i="43"/>
  <c r="J277" i="43"/>
  <c r="I277" i="43"/>
  <c r="H277" i="43"/>
  <c r="G276" i="43"/>
  <c r="F276" i="43"/>
  <c r="E276" i="43"/>
  <c r="G275" i="43"/>
  <c r="F275" i="43"/>
  <c r="E275" i="43"/>
  <c r="G274" i="43"/>
  <c r="F274" i="43"/>
  <c r="E274" i="43"/>
  <c r="G273" i="43"/>
  <c r="F273" i="43"/>
  <c r="E273" i="43"/>
  <c r="G272" i="43"/>
  <c r="F272" i="43"/>
  <c r="E272" i="43"/>
  <c r="G271" i="43"/>
  <c r="F271" i="43"/>
  <c r="E271" i="43"/>
  <c r="G270" i="43"/>
  <c r="F270" i="43"/>
  <c r="E270" i="43"/>
  <c r="G269" i="43"/>
  <c r="F269" i="43"/>
  <c r="E269" i="43"/>
  <c r="AN266" i="43"/>
  <c r="AM266" i="43"/>
  <c r="AL266" i="43"/>
  <c r="AK266" i="43"/>
  <c r="AJ266" i="43"/>
  <c r="AI266" i="43"/>
  <c r="AH266" i="43"/>
  <c r="AG266" i="43"/>
  <c r="AF266" i="43"/>
  <c r="AE266" i="43"/>
  <c r="AD266" i="43"/>
  <c r="AC266" i="43"/>
  <c r="AB266" i="43"/>
  <c r="AA266" i="43"/>
  <c r="Z266" i="43"/>
  <c r="Y266" i="43"/>
  <c r="X266" i="43"/>
  <c r="W266" i="43"/>
  <c r="V266" i="43"/>
  <c r="U266" i="43"/>
  <c r="T266" i="43"/>
  <c r="S266" i="43"/>
  <c r="R266" i="43"/>
  <c r="Q266" i="43"/>
  <c r="P266" i="43"/>
  <c r="O266" i="43"/>
  <c r="N266" i="43"/>
  <c r="M266" i="43"/>
  <c r="L266" i="43"/>
  <c r="K266" i="43"/>
  <c r="J266" i="43"/>
  <c r="I266" i="43"/>
  <c r="H266" i="43"/>
  <c r="G265" i="43"/>
  <c r="F265" i="43"/>
  <c r="E265" i="43"/>
  <c r="G264" i="43"/>
  <c r="F264" i="43"/>
  <c r="E264" i="43"/>
  <c r="G263" i="43"/>
  <c r="F263" i="43"/>
  <c r="E263" i="43"/>
  <c r="AN260" i="43"/>
  <c r="AM260" i="43"/>
  <c r="AL260" i="43"/>
  <c r="AK260" i="43"/>
  <c r="AJ260" i="43"/>
  <c r="AI260" i="43"/>
  <c r="AH260" i="43"/>
  <c r="AG260" i="43"/>
  <c r="AF260" i="43"/>
  <c r="AE260" i="43"/>
  <c r="AD260" i="43"/>
  <c r="AC260" i="43"/>
  <c r="AB260" i="43"/>
  <c r="AA260" i="43"/>
  <c r="Z260" i="43"/>
  <c r="Y260" i="43"/>
  <c r="X260" i="43"/>
  <c r="W260" i="43"/>
  <c r="V260" i="43"/>
  <c r="U260" i="43"/>
  <c r="T260" i="43"/>
  <c r="S260" i="43"/>
  <c r="R260" i="43"/>
  <c r="Q260" i="43"/>
  <c r="P260" i="43"/>
  <c r="O260" i="43"/>
  <c r="N260" i="43"/>
  <c r="M260" i="43"/>
  <c r="L260" i="43"/>
  <c r="K260" i="43"/>
  <c r="J260" i="43"/>
  <c r="I260" i="43"/>
  <c r="H260" i="43"/>
  <c r="F260" i="43"/>
  <c r="G259" i="43"/>
  <c r="G260" i="43" s="1"/>
  <c r="F259" i="43"/>
  <c r="E259" i="43"/>
  <c r="G258" i="43"/>
  <c r="F258" i="43"/>
  <c r="E258" i="43"/>
  <c r="E260" i="43" s="1"/>
  <c r="AN252" i="43"/>
  <c r="AM252" i="43"/>
  <c r="AL252" i="43"/>
  <c r="AK252" i="43"/>
  <c r="AJ252" i="43"/>
  <c r="AI252" i="43"/>
  <c r="AH252" i="43"/>
  <c r="AG252" i="43"/>
  <c r="AF252" i="43"/>
  <c r="AE252" i="43"/>
  <c r="AD252" i="43"/>
  <c r="AC252" i="43"/>
  <c r="AB252" i="43"/>
  <c r="AA252" i="43"/>
  <c r="Z252" i="43"/>
  <c r="Y252" i="43"/>
  <c r="X252" i="43"/>
  <c r="W252" i="43"/>
  <c r="V252" i="43"/>
  <c r="U252" i="43"/>
  <c r="T252" i="43"/>
  <c r="S252" i="43"/>
  <c r="R252" i="43"/>
  <c r="Q252" i="43"/>
  <c r="P252" i="43"/>
  <c r="O252" i="43"/>
  <c r="N252" i="43"/>
  <c r="M252" i="43"/>
  <c r="L252" i="43"/>
  <c r="K252" i="43"/>
  <c r="J252" i="43"/>
  <c r="I252" i="43"/>
  <c r="H252" i="43"/>
  <c r="G251" i="43"/>
  <c r="F251" i="43"/>
  <c r="E251" i="43"/>
  <c r="G250" i="43"/>
  <c r="F250" i="43"/>
  <c r="E250" i="43"/>
  <c r="G249" i="43"/>
  <c r="F249" i="43"/>
  <c r="E249" i="43"/>
  <c r="G248" i="43"/>
  <c r="F248" i="43"/>
  <c r="E248" i="43"/>
  <c r="G247" i="43"/>
  <c r="F247" i="43"/>
  <c r="E247" i="43"/>
  <c r="AN241" i="43"/>
  <c r="AM241" i="43"/>
  <c r="AL241" i="43"/>
  <c r="AK241" i="43"/>
  <c r="AJ241" i="43"/>
  <c r="AI241" i="43"/>
  <c r="AH241" i="43"/>
  <c r="AG241" i="43"/>
  <c r="AF241" i="43"/>
  <c r="AE241" i="43"/>
  <c r="AD241" i="43"/>
  <c r="AC241" i="43"/>
  <c r="AC242" i="43" s="1"/>
  <c r="AB241" i="43"/>
  <c r="AB306" i="43" s="1"/>
  <c r="AA241" i="43"/>
  <c r="Z241" i="43"/>
  <c r="Y241" i="43"/>
  <c r="X241" i="43"/>
  <c r="W241" i="43"/>
  <c r="V241" i="43"/>
  <c r="U241" i="43"/>
  <c r="T241" i="43"/>
  <c r="S241" i="43"/>
  <c r="R241" i="43"/>
  <c r="Q241" i="43"/>
  <c r="P241" i="43"/>
  <c r="O241" i="43"/>
  <c r="N241" i="43"/>
  <c r="M241" i="43"/>
  <c r="L241" i="43"/>
  <c r="K241" i="43"/>
  <c r="J241" i="43"/>
  <c r="I241" i="43"/>
  <c r="H241" i="43"/>
  <c r="G240" i="43"/>
  <c r="F240" i="43"/>
  <c r="E240" i="43"/>
  <c r="G239" i="43"/>
  <c r="F239" i="43"/>
  <c r="E239" i="43"/>
  <c r="G238" i="43"/>
  <c r="F238" i="43"/>
  <c r="E238" i="43"/>
  <c r="G237" i="43"/>
  <c r="F237" i="43"/>
  <c r="E237" i="43"/>
  <c r="G236" i="43"/>
  <c r="F236" i="43"/>
  <c r="E236" i="43"/>
  <c r="G235" i="43"/>
  <c r="F235" i="43"/>
  <c r="E235" i="43"/>
  <c r="G234" i="43"/>
  <c r="F234" i="43"/>
  <c r="E234" i="43"/>
  <c r="G233" i="43"/>
  <c r="F233" i="43"/>
  <c r="E233" i="43"/>
  <c r="G232" i="43"/>
  <c r="F232" i="43"/>
  <c r="E232" i="43"/>
  <c r="G231" i="43"/>
  <c r="F231" i="43"/>
  <c r="E231" i="43"/>
  <c r="G230" i="43"/>
  <c r="F230" i="43"/>
  <c r="E230" i="43"/>
  <c r="G229" i="43"/>
  <c r="F229" i="43"/>
  <c r="E229" i="43"/>
  <c r="G228" i="43"/>
  <c r="F228" i="43"/>
  <c r="E228" i="43"/>
  <c r="G227" i="43"/>
  <c r="F227" i="43"/>
  <c r="E227" i="43"/>
  <c r="G226" i="43"/>
  <c r="F226" i="43"/>
  <c r="E226" i="43"/>
  <c r="G225" i="43"/>
  <c r="F225" i="43"/>
  <c r="E225" i="43"/>
  <c r="G224" i="43"/>
  <c r="F224" i="43"/>
  <c r="E224" i="43"/>
  <c r="G223" i="43"/>
  <c r="F223" i="43"/>
  <c r="E223" i="43"/>
  <c r="G222" i="43"/>
  <c r="F222" i="43"/>
  <c r="E222" i="43"/>
  <c r="G221" i="43"/>
  <c r="F221" i="43"/>
  <c r="E221" i="43"/>
  <c r="G220" i="43"/>
  <c r="F220" i="43"/>
  <c r="E220" i="43"/>
  <c r="G219" i="43"/>
  <c r="F219" i="43"/>
  <c r="E219" i="43"/>
  <c r="G218" i="43"/>
  <c r="F218" i="43"/>
  <c r="E218" i="43"/>
  <c r="G217" i="43"/>
  <c r="F217" i="43"/>
  <c r="E217" i="43"/>
  <c r="G216" i="43"/>
  <c r="F216" i="43"/>
  <c r="E216" i="43"/>
  <c r="G215" i="43"/>
  <c r="F215" i="43"/>
  <c r="E215" i="43"/>
  <c r="G214" i="43"/>
  <c r="F214" i="43"/>
  <c r="E214" i="43"/>
  <c r="G213" i="43"/>
  <c r="F213" i="43"/>
  <c r="E213" i="43"/>
  <c r="G212" i="43"/>
  <c r="F212" i="43"/>
  <c r="E212" i="43"/>
  <c r="G211" i="43"/>
  <c r="F211" i="43"/>
  <c r="E211" i="43"/>
  <c r="G210" i="43"/>
  <c r="F210" i="43"/>
  <c r="E210" i="43"/>
  <c r="G209" i="43"/>
  <c r="F209" i="43"/>
  <c r="E209" i="43"/>
  <c r="G208" i="43"/>
  <c r="F208" i="43"/>
  <c r="E208" i="43"/>
  <c r="G207" i="43"/>
  <c r="F207" i="43"/>
  <c r="E207" i="43"/>
  <c r="G206" i="43"/>
  <c r="F206" i="43"/>
  <c r="E206" i="43"/>
  <c r="G205" i="43"/>
  <c r="F205" i="43"/>
  <c r="E205" i="43"/>
  <c r="G204" i="43"/>
  <c r="F204" i="43"/>
  <c r="E204" i="43"/>
  <c r="G203" i="43"/>
  <c r="F203" i="43"/>
  <c r="E203" i="43"/>
  <c r="G202" i="43"/>
  <c r="F202" i="43"/>
  <c r="E202" i="43"/>
  <c r="G201" i="43"/>
  <c r="F201" i="43"/>
  <c r="E201" i="43"/>
  <c r="G200" i="43"/>
  <c r="F200" i="43"/>
  <c r="E200" i="43"/>
  <c r="G199" i="43"/>
  <c r="F199" i="43"/>
  <c r="E199" i="43"/>
  <c r="G198" i="43"/>
  <c r="F198" i="43"/>
  <c r="E198" i="43"/>
  <c r="G197" i="43"/>
  <c r="F197" i="43"/>
  <c r="E197" i="43"/>
  <c r="G196" i="43"/>
  <c r="F196" i="43"/>
  <c r="E196" i="43"/>
  <c r="G195" i="43"/>
  <c r="F195" i="43"/>
  <c r="E195" i="43"/>
  <c r="G194" i="43"/>
  <c r="F194" i="43"/>
  <c r="E194" i="43"/>
  <c r="G193" i="43"/>
  <c r="F193" i="43"/>
  <c r="E193" i="43"/>
  <c r="G192" i="43"/>
  <c r="F192" i="43"/>
  <c r="E192" i="43"/>
  <c r="G191" i="43"/>
  <c r="F191" i="43"/>
  <c r="E191" i="43"/>
  <c r="G190" i="43"/>
  <c r="F190" i="43"/>
  <c r="E190" i="43"/>
  <c r="G189" i="43"/>
  <c r="F189" i="43"/>
  <c r="E189" i="43"/>
  <c r="G188" i="43"/>
  <c r="F188" i="43"/>
  <c r="E188" i="43"/>
  <c r="G187" i="43"/>
  <c r="F187" i="43"/>
  <c r="E187" i="43"/>
  <c r="G186" i="43"/>
  <c r="F186" i="43"/>
  <c r="E186" i="43"/>
  <c r="G185" i="43"/>
  <c r="F185" i="43"/>
  <c r="E185" i="43"/>
  <c r="G184" i="43"/>
  <c r="F184" i="43"/>
  <c r="E184" i="43"/>
  <c r="G183" i="43"/>
  <c r="F183" i="43"/>
  <c r="E183" i="43"/>
  <c r="G182" i="43"/>
  <c r="F182" i="43"/>
  <c r="E182" i="43"/>
  <c r="G181" i="43"/>
  <c r="F181" i="43"/>
  <c r="E181" i="43"/>
  <c r="G180" i="43"/>
  <c r="F180" i="43"/>
  <c r="E180" i="43"/>
  <c r="G179" i="43"/>
  <c r="F179" i="43"/>
  <c r="E179" i="43"/>
  <c r="G178" i="43"/>
  <c r="F178" i="43"/>
  <c r="E178" i="43"/>
  <c r="G177" i="43"/>
  <c r="F177" i="43"/>
  <c r="E177" i="43"/>
  <c r="G176" i="43"/>
  <c r="F176" i="43"/>
  <c r="E176" i="43"/>
  <c r="G175" i="43"/>
  <c r="F175" i="43"/>
  <c r="E175" i="43"/>
  <c r="G174" i="43"/>
  <c r="F174" i="43"/>
  <c r="E174" i="43"/>
  <c r="G173" i="43"/>
  <c r="F173" i="43"/>
  <c r="E173" i="43"/>
  <c r="G172" i="43"/>
  <c r="F172" i="43"/>
  <c r="E172" i="43"/>
  <c r="G171" i="43"/>
  <c r="F171" i="43"/>
  <c r="E171" i="43"/>
  <c r="G170" i="43"/>
  <c r="F170" i="43"/>
  <c r="E170" i="43"/>
  <c r="G169" i="43"/>
  <c r="F169" i="43"/>
  <c r="E169" i="43"/>
  <c r="G168" i="43"/>
  <c r="F168" i="43"/>
  <c r="E168" i="43"/>
  <c r="G167" i="43"/>
  <c r="F167" i="43"/>
  <c r="E167" i="43"/>
  <c r="G166" i="43"/>
  <c r="F166" i="43"/>
  <c r="E166" i="43"/>
  <c r="G165" i="43"/>
  <c r="F165" i="43"/>
  <c r="E165" i="43"/>
  <c r="G164" i="43"/>
  <c r="F164" i="43"/>
  <c r="E164" i="43"/>
  <c r="G163" i="43"/>
  <c r="F163" i="43"/>
  <c r="E163" i="43"/>
  <c r="G162" i="43"/>
  <c r="F162" i="43"/>
  <c r="E162" i="43"/>
  <c r="G161" i="43"/>
  <c r="F161" i="43"/>
  <c r="E161" i="43"/>
  <c r="G160" i="43"/>
  <c r="F160" i="43"/>
  <c r="E160" i="43"/>
  <c r="G159" i="43"/>
  <c r="F159" i="43"/>
  <c r="E159" i="43"/>
  <c r="G158" i="43"/>
  <c r="F158" i="43"/>
  <c r="E158" i="43"/>
  <c r="G157" i="43"/>
  <c r="F157" i="43"/>
  <c r="E157" i="43"/>
  <c r="G156" i="43"/>
  <c r="F156" i="43"/>
  <c r="E156" i="43"/>
  <c r="G155" i="43"/>
  <c r="F155" i="43"/>
  <c r="E155" i="43"/>
  <c r="G154" i="43"/>
  <c r="F154" i="43"/>
  <c r="E154" i="43"/>
  <c r="G153" i="43"/>
  <c r="F153" i="43"/>
  <c r="E153" i="43"/>
  <c r="G152" i="43"/>
  <c r="F152" i="43"/>
  <c r="E152" i="43"/>
  <c r="G151" i="43"/>
  <c r="F151" i="43"/>
  <c r="E151" i="43"/>
  <c r="G150" i="43"/>
  <c r="F150" i="43"/>
  <c r="E150" i="43"/>
  <c r="G149" i="43"/>
  <c r="F149" i="43"/>
  <c r="E149" i="43"/>
  <c r="G148" i="43"/>
  <c r="F148" i="43"/>
  <c r="E148" i="43"/>
  <c r="G147" i="43"/>
  <c r="F147" i="43"/>
  <c r="E147" i="43"/>
  <c r="G146" i="43"/>
  <c r="F146" i="43"/>
  <c r="E146" i="43"/>
  <c r="G145" i="43"/>
  <c r="F145" i="43"/>
  <c r="E145" i="43"/>
  <c r="G144" i="43"/>
  <c r="F144" i="43"/>
  <c r="E144" i="43"/>
  <c r="G143" i="43"/>
  <c r="F143" i="43"/>
  <c r="E143" i="43"/>
  <c r="G142" i="43"/>
  <c r="F142" i="43"/>
  <c r="E142" i="43"/>
  <c r="G141" i="43"/>
  <c r="F141" i="43"/>
  <c r="E141" i="43"/>
  <c r="G140" i="43"/>
  <c r="F140" i="43"/>
  <c r="E140" i="43"/>
  <c r="G139" i="43"/>
  <c r="F139" i="43"/>
  <c r="E139" i="43"/>
  <c r="G138" i="43"/>
  <c r="F138" i="43"/>
  <c r="E138" i="43"/>
  <c r="G137" i="43"/>
  <c r="F137" i="43"/>
  <c r="E137" i="43"/>
  <c r="G136" i="43"/>
  <c r="F136" i="43"/>
  <c r="E136" i="43"/>
  <c r="G135" i="43"/>
  <c r="F135" i="43"/>
  <c r="E135" i="43"/>
  <c r="G134" i="43"/>
  <c r="F134" i="43"/>
  <c r="E134" i="43"/>
  <c r="G133" i="43"/>
  <c r="F133" i="43"/>
  <c r="E133" i="43"/>
  <c r="G132" i="43"/>
  <c r="F132" i="43"/>
  <c r="E132" i="43"/>
  <c r="G131" i="43"/>
  <c r="F131" i="43"/>
  <c r="E131" i="43"/>
  <c r="G130" i="43"/>
  <c r="F130" i="43"/>
  <c r="E130" i="43"/>
  <c r="G129" i="43"/>
  <c r="F129" i="43"/>
  <c r="E129" i="43"/>
  <c r="G128" i="43"/>
  <c r="F128" i="43"/>
  <c r="E128" i="43"/>
  <c r="G127" i="43"/>
  <c r="F127" i="43"/>
  <c r="E127" i="43"/>
  <c r="G126" i="43"/>
  <c r="F126" i="43"/>
  <c r="E126" i="43"/>
  <c r="G125" i="43"/>
  <c r="F125" i="43"/>
  <c r="E125" i="43"/>
  <c r="G124" i="43"/>
  <c r="F124" i="43"/>
  <c r="E124" i="43"/>
  <c r="G123" i="43"/>
  <c r="F123" i="43"/>
  <c r="E123" i="43"/>
  <c r="G122" i="43"/>
  <c r="F122" i="43"/>
  <c r="E122" i="43"/>
  <c r="G121" i="43"/>
  <c r="F121" i="43"/>
  <c r="E121" i="43"/>
  <c r="G120" i="43"/>
  <c r="F120" i="43"/>
  <c r="E120" i="43"/>
  <c r="G119" i="43"/>
  <c r="F119" i="43"/>
  <c r="E119" i="43"/>
  <c r="G118" i="43"/>
  <c r="F118" i="43"/>
  <c r="E118" i="43"/>
  <c r="G117" i="43"/>
  <c r="F117" i="43"/>
  <c r="E117" i="43"/>
  <c r="G116" i="43"/>
  <c r="F116" i="43"/>
  <c r="E116" i="43"/>
  <c r="G115" i="43"/>
  <c r="F115" i="43"/>
  <c r="E115" i="43"/>
  <c r="G114" i="43"/>
  <c r="F114" i="43"/>
  <c r="E114" i="43"/>
  <c r="G113" i="43"/>
  <c r="F113" i="43"/>
  <c r="E113" i="43"/>
  <c r="G112" i="43"/>
  <c r="F112" i="43"/>
  <c r="E112" i="43"/>
  <c r="G111" i="43"/>
  <c r="F111" i="43"/>
  <c r="E111" i="43"/>
  <c r="G110" i="43"/>
  <c r="F110" i="43"/>
  <c r="E110" i="43"/>
  <c r="G109" i="43"/>
  <c r="F109" i="43"/>
  <c r="E109" i="43"/>
  <c r="G108" i="43"/>
  <c r="F108" i="43"/>
  <c r="E108" i="43"/>
  <c r="G107" i="43"/>
  <c r="F107" i="43"/>
  <c r="E107" i="43"/>
  <c r="G106" i="43"/>
  <c r="F106" i="43"/>
  <c r="E106" i="43"/>
  <c r="G105" i="43"/>
  <c r="F105" i="43"/>
  <c r="E105" i="43"/>
  <c r="G104" i="43"/>
  <c r="F104" i="43"/>
  <c r="E104" i="43"/>
  <c r="G103" i="43"/>
  <c r="F103" i="43"/>
  <c r="E103" i="43"/>
  <c r="G102" i="43"/>
  <c r="F102" i="43"/>
  <c r="E102" i="43"/>
  <c r="G101" i="43"/>
  <c r="F101" i="43"/>
  <c r="E101" i="43"/>
  <c r="G100" i="43"/>
  <c r="F100" i="43"/>
  <c r="E100" i="43"/>
  <c r="G99" i="43"/>
  <c r="F99" i="43"/>
  <c r="E99" i="43"/>
  <c r="G98" i="43"/>
  <c r="F98" i="43"/>
  <c r="E98" i="43"/>
  <c r="G97" i="43"/>
  <c r="F97" i="43"/>
  <c r="E97" i="43"/>
  <c r="G96" i="43"/>
  <c r="F96" i="43"/>
  <c r="E96" i="43"/>
  <c r="E241" i="43" s="1"/>
  <c r="G95" i="43"/>
  <c r="F95" i="43"/>
  <c r="E95" i="43"/>
  <c r="G94" i="43"/>
  <c r="F94" i="43"/>
  <c r="E94" i="43"/>
  <c r="AN91" i="43"/>
  <c r="AM91" i="43"/>
  <c r="AL91" i="43"/>
  <c r="AK91" i="43"/>
  <c r="AJ91" i="43"/>
  <c r="AI91" i="43"/>
  <c r="AH91" i="43"/>
  <c r="AG91" i="43"/>
  <c r="AF91" i="43"/>
  <c r="AE91" i="43"/>
  <c r="AD91" i="43"/>
  <c r="AC91" i="43"/>
  <c r="AB91" i="43"/>
  <c r="AA91" i="43"/>
  <c r="Z91" i="43"/>
  <c r="Y91" i="43"/>
  <c r="X91" i="43"/>
  <c r="W91" i="43"/>
  <c r="V91" i="43"/>
  <c r="U91" i="43"/>
  <c r="T91" i="43"/>
  <c r="S91" i="43"/>
  <c r="R91" i="43"/>
  <c r="Q91" i="43"/>
  <c r="P91" i="43"/>
  <c r="O91" i="43"/>
  <c r="N91" i="43"/>
  <c r="M91" i="43"/>
  <c r="L91" i="43"/>
  <c r="K91" i="43"/>
  <c r="J91" i="43"/>
  <c r="I91" i="43"/>
  <c r="H91" i="43"/>
  <c r="G90" i="43"/>
  <c r="F90" i="43"/>
  <c r="E90" i="43"/>
  <c r="G89" i="43"/>
  <c r="F89" i="43"/>
  <c r="E89" i="43"/>
  <c r="G88" i="43"/>
  <c r="F88" i="43"/>
  <c r="E88" i="43"/>
  <c r="G87" i="43"/>
  <c r="F87" i="43"/>
  <c r="E87" i="43"/>
  <c r="G86" i="43"/>
  <c r="F86" i="43"/>
  <c r="E86" i="43"/>
  <c r="G85" i="43"/>
  <c r="F85" i="43"/>
  <c r="E85" i="43"/>
  <c r="G84" i="43"/>
  <c r="F84" i="43"/>
  <c r="E84" i="43"/>
  <c r="G83" i="43"/>
  <c r="F83" i="43"/>
  <c r="E83" i="43"/>
  <c r="G82" i="43"/>
  <c r="F82" i="43"/>
  <c r="E82" i="43"/>
  <c r="G81" i="43"/>
  <c r="F81" i="43"/>
  <c r="E81" i="43"/>
  <c r="G80" i="43"/>
  <c r="F80" i="43"/>
  <c r="E80" i="43"/>
  <c r="G79" i="43"/>
  <c r="F79" i="43"/>
  <c r="E79" i="43"/>
  <c r="G78" i="43"/>
  <c r="F78" i="43"/>
  <c r="E78" i="43"/>
  <c r="G77" i="43"/>
  <c r="F77" i="43"/>
  <c r="E77" i="43"/>
  <c r="G76" i="43"/>
  <c r="F76" i="43"/>
  <c r="E76" i="43"/>
  <c r="G75" i="43"/>
  <c r="F75" i="43"/>
  <c r="E75" i="43"/>
  <c r="G74" i="43"/>
  <c r="F74" i="43"/>
  <c r="E74" i="43"/>
  <c r="G73" i="43"/>
  <c r="F73" i="43"/>
  <c r="E73" i="43"/>
  <c r="G72" i="43"/>
  <c r="F72" i="43"/>
  <c r="E72" i="43"/>
  <c r="G71" i="43"/>
  <c r="F71" i="43"/>
  <c r="E71" i="43"/>
  <c r="G70" i="43"/>
  <c r="F70" i="43"/>
  <c r="E70" i="43"/>
  <c r="G69" i="43"/>
  <c r="F69" i="43"/>
  <c r="E69" i="43"/>
  <c r="G68" i="43"/>
  <c r="F68" i="43"/>
  <c r="E68" i="43"/>
  <c r="E91" i="43" s="1"/>
  <c r="AC65" i="43"/>
  <c r="AB65" i="43"/>
  <c r="AN62" i="43"/>
  <c r="AM62" i="43"/>
  <c r="AL62" i="43"/>
  <c r="AK62" i="43"/>
  <c r="AJ62" i="43"/>
  <c r="AI62" i="43"/>
  <c r="AH62" i="43"/>
  <c r="AG62" i="43"/>
  <c r="AF62" i="43"/>
  <c r="AE62" i="43"/>
  <c r="AD62" i="43"/>
  <c r="AC62" i="43"/>
  <c r="AB62" i="43"/>
  <c r="AA62" i="43"/>
  <c r="Z62" i="43"/>
  <c r="Y62" i="43"/>
  <c r="X62" i="43"/>
  <c r="W62" i="43"/>
  <c r="V62" i="43"/>
  <c r="U62" i="43"/>
  <c r="T62" i="43"/>
  <c r="S62" i="43"/>
  <c r="R62" i="43"/>
  <c r="Q62" i="43"/>
  <c r="P62" i="43"/>
  <c r="O62" i="43"/>
  <c r="N62" i="43"/>
  <c r="M62" i="43"/>
  <c r="L62" i="43"/>
  <c r="K62" i="43"/>
  <c r="J62" i="43"/>
  <c r="I62" i="43"/>
  <c r="H62" i="43"/>
  <c r="G61" i="43"/>
  <c r="F61" i="43"/>
  <c r="E61" i="43"/>
  <c r="G60" i="43"/>
  <c r="F60" i="43"/>
  <c r="E60" i="43"/>
  <c r="G59" i="43"/>
  <c r="F59" i="43"/>
  <c r="E59" i="43"/>
  <c r="G58" i="43"/>
  <c r="F58" i="43"/>
  <c r="E58" i="43"/>
  <c r="G57" i="43"/>
  <c r="F57" i="43"/>
  <c r="E57" i="43"/>
  <c r="G56" i="43"/>
  <c r="F56" i="43"/>
  <c r="E56" i="43"/>
  <c r="G55" i="43"/>
  <c r="F55" i="43"/>
  <c r="E55" i="43"/>
  <c r="G54" i="43"/>
  <c r="F54" i="43"/>
  <c r="E54" i="43"/>
  <c r="G53" i="43"/>
  <c r="F53" i="43"/>
  <c r="E53" i="43"/>
  <c r="G52" i="43"/>
  <c r="F52" i="43"/>
  <c r="E52" i="43"/>
  <c r="G51" i="43"/>
  <c r="F51" i="43"/>
  <c r="E51" i="43"/>
  <c r="G50" i="43"/>
  <c r="F50" i="43"/>
  <c r="E50" i="43"/>
  <c r="G49" i="43"/>
  <c r="F49" i="43"/>
  <c r="E49" i="43"/>
  <c r="G48" i="43"/>
  <c r="F48" i="43"/>
  <c r="E48" i="43"/>
  <c r="G47" i="43"/>
  <c r="F47" i="43"/>
  <c r="F62" i="43" s="1"/>
  <c r="E47" i="43"/>
  <c r="T44" i="43"/>
  <c r="G43" i="43"/>
  <c r="F43" i="43"/>
  <c r="E43" i="43"/>
  <c r="G42" i="43"/>
  <c r="F42" i="43"/>
  <c r="E42" i="43"/>
  <c r="G41" i="43"/>
  <c r="F41" i="43"/>
  <c r="E41" i="43"/>
  <c r="G40" i="43"/>
  <c r="F40" i="43"/>
  <c r="E40" i="43"/>
  <c r="G39" i="43"/>
  <c r="F39" i="43"/>
  <c r="E39" i="43"/>
  <c r="G38" i="43"/>
  <c r="F38" i="43"/>
  <c r="E38" i="43"/>
  <c r="G37" i="43"/>
  <c r="F37" i="43"/>
  <c r="E37" i="43"/>
  <c r="G36" i="43"/>
  <c r="F36" i="43"/>
  <c r="E36" i="43"/>
  <c r="G35" i="43"/>
  <c r="F35" i="43"/>
  <c r="E35" i="43"/>
  <c r="G34" i="43"/>
  <c r="F34" i="43"/>
  <c r="E34" i="43"/>
  <c r="G33" i="43"/>
  <c r="F33" i="43"/>
  <c r="E33" i="43"/>
  <c r="G32" i="43"/>
  <c r="F32" i="43"/>
  <c r="E32" i="43"/>
  <c r="G31" i="43"/>
  <c r="F31" i="43"/>
  <c r="E31" i="43"/>
  <c r="G30" i="43"/>
  <c r="F30" i="43"/>
  <c r="E30" i="43"/>
  <c r="G29" i="43"/>
  <c r="F29" i="43"/>
  <c r="E29" i="43"/>
  <c r="G28" i="43"/>
  <c r="F28" i="43"/>
  <c r="E28" i="43"/>
  <c r="AN26" i="43"/>
  <c r="AM26" i="43"/>
  <c r="AL26" i="43"/>
  <c r="AK26" i="43"/>
  <c r="AJ26" i="43"/>
  <c r="AI26" i="43"/>
  <c r="AH26" i="43"/>
  <c r="AH44" i="43" s="1"/>
  <c r="AH92" i="43" s="1"/>
  <c r="AG26" i="43"/>
  <c r="AG44" i="43" s="1"/>
  <c r="AF26" i="43"/>
  <c r="AF44" i="43" s="1"/>
  <c r="AE26" i="43"/>
  <c r="AE44" i="43" s="1"/>
  <c r="AD26" i="43"/>
  <c r="AC26" i="43"/>
  <c r="AB26" i="43"/>
  <c r="AA26" i="43"/>
  <c r="Z26" i="43"/>
  <c r="Y26" i="43"/>
  <c r="X26" i="43"/>
  <c r="W26" i="43"/>
  <c r="V26" i="43"/>
  <c r="U26" i="43"/>
  <c r="T26" i="43"/>
  <c r="S26" i="43"/>
  <c r="R26" i="43"/>
  <c r="Q26" i="43"/>
  <c r="P26" i="43"/>
  <c r="O26" i="43"/>
  <c r="N26" i="43"/>
  <c r="M26" i="43"/>
  <c r="L26" i="43"/>
  <c r="K26" i="43"/>
  <c r="J26" i="43"/>
  <c r="I26" i="43"/>
  <c r="H26" i="43"/>
  <c r="F26" i="43"/>
  <c r="G25" i="43"/>
  <c r="F25" i="43"/>
  <c r="E25" i="43"/>
  <c r="G24" i="43"/>
  <c r="G26" i="43" s="1"/>
  <c r="F24" i="43"/>
  <c r="E24" i="43"/>
  <c r="E26" i="43" s="1"/>
  <c r="AH22" i="43"/>
  <c r="AG22" i="43"/>
  <c r="AF22" i="43"/>
  <c r="AE22" i="43"/>
  <c r="AD22" i="43"/>
  <c r="Q22" i="43"/>
  <c r="AN21" i="43"/>
  <c r="AM21" i="43"/>
  <c r="AL21" i="43"/>
  <c r="AK21" i="43"/>
  <c r="AK44" i="43" s="1"/>
  <c r="AK63" i="43" s="1"/>
  <c r="AJ21" i="43"/>
  <c r="AI21" i="43"/>
  <c r="AH21" i="43"/>
  <c r="AG21" i="43"/>
  <c r="AF21" i="43"/>
  <c r="AE21" i="43"/>
  <c r="AD21" i="43"/>
  <c r="AC21" i="43"/>
  <c r="AC44" i="43" s="1"/>
  <c r="AB21" i="43"/>
  <c r="AB44" i="43" s="1"/>
  <c r="AB261" i="43" s="1"/>
  <c r="AA21" i="43"/>
  <c r="AA44" i="43" s="1"/>
  <c r="AA65" i="43" s="1"/>
  <c r="Z21" i="43"/>
  <c r="Y21" i="43"/>
  <c r="X21" i="43"/>
  <c r="W21" i="43"/>
  <c r="V21" i="43"/>
  <c r="U21" i="43"/>
  <c r="T21" i="43"/>
  <c r="S21" i="43"/>
  <c r="S44" i="43" s="1"/>
  <c r="R21" i="43"/>
  <c r="R22" i="43" s="1"/>
  <c r="Q21" i="43"/>
  <c r="P21" i="43"/>
  <c r="P22" i="43" s="1"/>
  <c r="O21" i="43"/>
  <c r="O44" i="43" s="1"/>
  <c r="O65" i="43" s="1"/>
  <c r="N21" i="43"/>
  <c r="N44" i="43" s="1"/>
  <c r="N65" i="43" s="1"/>
  <c r="M21" i="43"/>
  <c r="M44" i="43" s="1"/>
  <c r="M267" i="43" s="1"/>
  <c r="L21" i="43"/>
  <c r="K21" i="43"/>
  <c r="J21" i="43"/>
  <c r="I21" i="43"/>
  <c r="H21" i="43"/>
  <c r="G20" i="43"/>
  <c r="F20" i="43"/>
  <c r="E20" i="43"/>
  <c r="G19" i="43"/>
  <c r="F19" i="43"/>
  <c r="E19" i="43"/>
  <c r="G18" i="43"/>
  <c r="F18" i="43"/>
  <c r="E18" i="43"/>
  <c r="G17" i="43"/>
  <c r="F17" i="43"/>
  <c r="E17" i="43"/>
  <c r="G16" i="43"/>
  <c r="F16" i="43"/>
  <c r="E16" i="43"/>
  <c r="G15" i="43"/>
  <c r="F15" i="43"/>
  <c r="E15" i="43"/>
  <c r="G14" i="43"/>
  <c r="F14" i="43"/>
  <c r="E14" i="43"/>
  <c r="G13" i="43"/>
  <c r="F13" i="43"/>
  <c r="E13" i="43"/>
  <c r="G12" i="43"/>
  <c r="F12" i="43"/>
  <c r="E12" i="43"/>
  <c r="G11" i="43"/>
  <c r="F11" i="43"/>
  <c r="E11" i="43"/>
  <c r="G10" i="43"/>
  <c r="F10" i="43"/>
  <c r="E10" i="43"/>
  <c r="G9" i="43"/>
  <c r="F9" i="43"/>
  <c r="E9" i="43"/>
  <c r="G8" i="43"/>
  <c r="F8" i="43"/>
  <c r="E8" i="43"/>
  <c r="G7" i="43"/>
  <c r="F7" i="43"/>
  <c r="E7" i="43"/>
  <c r="G6" i="43"/>
  <c r="F6" i="43"/>
  <c r="E6" i="43"/>
  <c r="G5" i="43"/>
  <c r="F5" i="43"/>
  <c r="E5" i="43"/>
  <c r="G4" i="43"/>
  <c r="F4" i="43"/>
  <c r="E4" i="43"/>
  <c r="G3" i="43"/>
  <c r="F3" i="43"/>
  <c r="E3" i="43"/>
  <c r="G112" i="41"/>
  <c r="K48" i="46" s="1"/>
  <c r="F112" i="41"/>
  <c r="E112" i="41"/>
  <c r="D112" i="41"/>
  <c r="G109" i="41"/>
  <c r="K30" i="46" s="1"/>
  <c r="K38" i="46" s="1"/>
  <c r="F109" i="41"/>
  <c r="E30" i="46" s="1"/>
  <c r="E109" i="41"/>
  <c r="F32" i="9" s="1"/>
  <c r="Q33" i="28" s="1"/>
  <c r="D109" i="41"/>
  <c r="G84" i="41"/>
  <c r="K15" i="46" s="1"/>
  <c r="F84" i="41"/>
  <c r="E15" i="46" s="1"/>
  <c r="E84" i="41"/>
  <c r="D84" i="41"/>
  <c r="G82" i="41"/>
  <c r="K16" i="46" s="1"/>
  <c r="F82" i="41"/>
  <c r="E16" i="46" s="1"/>
  <c r="E82" i="41"/>
  <c r="F19" i="9" s="1"/>
  <c r="Q19" i="28" s="1"/>
  <c r="Q68" i="28" s="1"/>
  <c r="G79" i="41"/>
  <c r="K29" i="46" s="1"/>
  <c r="F79" i="41"/>
  <c r="E29" i="46" s="1"/>
  <c r="E79" i="41"/>
  <c r="F31" i="9" s="1"/>
  <c r="Q32" i="28" s="1"/>
  <c r="D79" i="41"/>
  <c r="G73" i="41"/>
  <c r="K44" i="46" s="1"/>
  <c r="F73" i="41"/>
  <c r="E44" i="46" s="1"/>
  <c r="E73" i="41"/>
  <c r="F46" i="9" s="1"/>
  <c r="D73" i="41"/>
  <c r="G70" i="41"/>
  <c r="F70" i="41"/>
  <c r="E43" i="46" s="1"/>
  <c r="E70" i="41"/>
  <c r="F45" i="9" s="1"/>
  <c r="D70" i="41"/>
  <c r="G66" i="41"/>
  <c r="F66" i="41"/>
  <c r="E66" i="41"/>
  <c r="D66" i="41"/>
  <c r="G64" i="41"/>
  <c r="F64" i="41"/>
  <c r="E64" i="41"/>
  <c r="D64" i="41"/>
  <c r="G60" i="41"/>
  <c r="K22" i="46" s="1"/>
  <c r="F60" i="41"/>
  <c r="E22" i="46" s="1"/>
  <c r="E60" i="41"/>
  <c r="F25" i="9" s="1"/>
  <c r="Q25" i="28" s="1"/>
  <c r="D60" i="41"/>
  <c r="G57" i="41"/>
  <c r="K41" i="46" s="1"/>
  <c r="F57" i="41"/>
  <c r="E41" i="46" s="1"/>
  <c r="E57" i="41"/>
  <c r="F43" i="9" s="1"/>
  <c r="D57" i="41"/>
  <c r="G50" i="41"/>
  <c r="G51" i="41" s="1"/>
  <c r="K46" i="46" s="1"/>
  <c r="F50" i="41"/>
  <c r="F51" i="41" s="1"/>
  <c r="E50" i="41"/>
  <c r="E51" i="41" s="1"/>
  <c r="D50" i="41"/>
  <c r="D51" i="41" s="1"/>
  <c r="G47" i="41"/>
  <c r="F47" i="41"/>
  <c r="E47" i="41"/>
  <c r="D47" i="41"/>
  <c r="G37" i="41"/>
  <c r="K14" i="46" s="1"/>
  <c r="F37" i="41"/>
  <c r="E14" i="46" s="1"/>
  <c r="E37" i="41"/>
  <c r="F17" i="9" s="1"/>
  <c r="Q17" i="28" s="1"/>
  <c r="Q96" i="28" s="1"/>
  <c r="D37" i="41"/>
  <c r="G32" i="41"/>
  <c r="F32" i="41"/>
  <c r="E32" i="41"/>
  <c r="D32" i="41"/>
  <c r="G30" i="41"/>
  <c r="F30" i="41"/>
  <c r="E30" i="41"/>
  <c r="D30" i="41"/>
  <c r="G27" i="41"/>
  <c r="F27" i="41"/>
  <c r="E27" i="41"/>
  <c r="D27" i="41"/>
  <c r="G25" i="41"/>
  <c r="F25" i="41"/>
  <c r="E25" i="41"/>
  <c r="D25" i="41"/>
  <c r="G21" i="41"/>
  <c r="F21" i="41"/>
  <c r="E21" i="41"/>
  <c r="D21" i="41"/>
  <c r="G19" i="41"/>
  <c r="F19" i="41"/>
  <c r="E19" i="41"/>
  <c r="D19" i="41"/>
  <c r="G16" i="41"/>
  <c r="F16" i="41"/>
  <c r="E16" i="41"/>
  <c r="D16" i="41"/>
  <c r="G13" i="41"/>
  <c r="F13" i="41"/>
  <c r="E13" i="41"/>
  <c r="D13" i="41"/>
  <c r="G9" i="41"/>
  <c r="F9" i="41"/>
  <c r="E9" i="41"/>
  <c r="D9" i="41"/>
  <c r="G6" i="41"/>
  <c r="F6" i="41"/>
  <c r="E6" i="41"/>
  <c r="D6" i="41"/>
  <c r="G4" i="41"/>
  <c r="F4" i="41"/>
  <c r="E4" i="41"/>
  <c r="E7" i="41" s="1"/>
  <c r="F9" i="9" s="1"/>
  <c r="Q9" i="28" s="1"/>
  <c r="D4" i="41"/>
  <c r="D37" i="21"/>
  <c r="D36" i="21"/>
  <c r="C37" i="21"/>
  <c r="C36" i="21"/>
  <c r="I13" i="41" l="1"/>
  <c r="H27" i="8"/>
  <c r="G26" i="8"/>
  <c r="F19" i="54"/>
  <c r="F30" i="54" s="1"/>
  <c r="H472" i="45"/>
  <c r="G472" i="45"/>
  <c r="H459" i="45"/>
  <c r="I331" i="45"/>
  <c r="G459" i="45"/>
  <c r="G466" i="45" s="1"/>
  <c r="H10" i="8"/>
  <c r="G14" i="15" s="1"/>
  <c r="H11" i="8"/>
  <c r="G15" i="15" s="1"/>
  <c r="H15" i="15" s="1"/>
  <c r="H17" i="8"/>
  <c r="G21" i="15" s="1"/>
  <c r="H13" i="8"/>
  <c r="G17" i="15" s="1"/>
  <c r="H17" i="15" s="1"/>
  <c r="G21" i="14"/>
  <c r="G461" i="45"/>
  <c r="G468" i="45" s="1"/>
  <c r="H461" i="45"/>
  <c r="G460" i="45"/>
  <c r="G467" i="45" s="1"/>
  <c r="G458" i="45"/>
  <c r="G465" i="45" s="1"/>
  <c r="H458" i="45"/>
  <c r="H460" i="45"/>
  <c r="G457" i="45"/>
  <c r="G464" i="45" s="1"/>
  <c r="H457" i="45"/>
  <c r="F269" i="42"/>
  <c r="E269" i="42"/>
  <c r="E268" i="42"/>
  <c r="G47" i="42"/>
  <c r="E336" i="45"/>
  <c r="E363" i="45" s="1"/>
  <c r="E67" i="42"/>
  <c r="E215" i="42" s="1"/>
  <c r="E270" i="42"/>
  <c r="H332" i="45"/>
  <c r="H331" i="45"/>
  <c r="H333" i="45"/>
  <c r="F22" i="46"/>
  <c r="L22" i="46"/>
  <c r="Q46" i="28"/>
  <c r="F11" i="22"/>
  <c r="F12" i="10"/>
  <c r="F12" i="22"/>
  <c r="Q47" i="28"/>
  <c r="F13" i="10"/>
  <c r="E38" i="46"/>
  <c r="H21" i="14"/>
  <c r="G12" i="14"/>
  <c r="H12" i="14"/>
  <c r="H13" i="14"/>
  <c r="F66" i="10"/>
  <c r="Q44" i="28"/>
  <c r="F18" i="15"/>
  <c r="H18" i="15"/>
  <c r="U24" i="34"/>
  <c r="W24" i="34" s="1"/>
  <c r="G37" i="15"/>
  <c r="H19" i="15"/>
  <c r="F19" i="15"/>
  <c r="F20" i="15"/>
  <c r="H20" i="15"/>
  <c r="U40" i="34"/>
  <c r="G56" i="15"/>
  <c r="E69" i="42"/>
  <c r="G13" i="14"/>
  <c r="H14" i="14"/>
  <c r="G14" i="14"/>
  <c r="D226" i="42"/>
  <c r="D246" i="42" s="1"/>
  <c r="J422" i="45"/>
  <c r="J424" i="45"/>
  <c r="G422" i="45"/>
  <c r="G431" i="45" s="1"/>
  <c r="H422" i="45"/>
  <c r="G424" i="45"/>
  <c r="G433" i="45" s="1"/>
  <c r="H424" i="45"/>
  <c r="G421" i="45"/>
  <c r="G423" i="45"/>
  <c r="G432" i="45" s="1"/>
  <c r="G425" i="45"/>
  <c r="G434" i="45" s="1"/>
  <c r="H421" i="45"/>
  <c r="H423" i="45"/>
  <c r="H425" i="45"/>
  <c r="H435" i="45"/>
  <c r="J421" i="45"/>
  <c r="J423" i="45"/>
  <c r="J425" i="45"/>
  <c r="J435" i="45"/>
  <c r="F69" i="42"/>
  <c r="G12" i="8"/>
  <c r="G18" i="8"/>
  <c r="G13" i="15"/>
  <c r="H18" i="8"/>
  <c r="G22" i="15" s="1"/>
  <c r="F215" i="42"/>
  <c r="F216" i="42" s="1"/>
  <c r="J42" i="46"/>
  <c r="L42" i="46" s="1"/>
  <c r="H10" i="22"/>
  <c r="D46" i="46"/>
  <c r="F46" i="46" s="1"/>
  <c r="G14" i="22"/>
  <c r="G16" i="9"/>
  <c r="D13" i="46" s="1"/>
  <c r="J46" i="46"/>
  <c r="L46" i="46" s="1"/>
  <c r="H14" i="22"/>
  <c r="D42" i="46"/>
  <c r="F42" i="46" s="1"/>
  <c r="G10" i="22"/>
  <c r="J416" i="45"/>
  <c r="G412" i="45"/>
  <c r="G417" i="45" s="1"/>
  <c r="H412" i="45"/>
  <c r="J412" i="45"/>
  <c r="H416" i="45"/>
  <c r="G410" i="45"/>
  <c r="G415" i="45" s="1"/>
  <c r="H410" i="45"/>
  <c r="J410" i="45"/>
  <c r="J398" i="45"/>
  <c r="J405" i="45" s="1"/>
  <c r="G393" i="45"/>
  <c r="H393" i="45"/>
  <c r="J393" i="45"/>
  <c r="D22" i="41"/>
  <c r="J36" i="8"/>
  <c r="J19" i="8"/>
  <c r="G19" i="8"/>
  <c r="M12" i="34" s="1"/>
  <c r="D110" i="41"/>
  <c r="J12" i="10"/>
  <c r="J48" i="46"/>
  <c r="L48" i="46" s="1"/>
  <c r="H14" i="10"/>
  <c r="D48" i="46"/>
  <c r="F48" i="46" s="1"/>
  <c r="G14" i="10"/>
  <c r="J25" i="10"/>
  <c r="G34" i="8"/>
  <c r="M25" i="34" s="1"/>
  <c r="O25" i="34" s="1"/>
  <c r="D43" i="46"/>
  <c r="F43" i="46" s="1"/>
  <c r="G12" i="10"/>
  <c r="J43" i="46"/>
  <c r="H12" i="10"/>
  <c r="H57" i="8"/>
  <c r="H31" i="9"/>
  <c r="J29" i="46" s="1"/>
  <c r="L29" i="46" s="1"/>
  <c r="G31" i="9"/>
  <c r="D29" i="46" s="1"/>
  <c r="F29" i="46" s="1"/>
  <c r="AF261" i="43"/>
  <c r="Z101" i="44"/>
  <c r="AG261" i="43"/>
  <c r="K40" i="44"/>
  <c r="L40" i="44"/>
  <c r="AD242" i="43"/>
  <c r="AM40" i="44"/>
  <c r="G33" i="41"/>
  <c r="W61" i="44"/>
  <c r="AB101" i="44"/>
  <c r="E48" i="41"/>
  <c r="F24" i="9"/>
  <c r="AJ44" i="43"/>
  <c r="AJ63" i="43" s="1"/>
  <c r="O11" i="44"/>
  <c r="O40" i="44" s="1"/>
  <c r="M26" i="44"/>
  <c r="O37" i="44"/>
  <c r="AA37" i="44"/>
  <c r="AA40" i="44" s="1"/>
  <c r="AA108" i="44" s="1"/>
  <c r="AM37" i="44"/>
  <c r="M61" i="44"/>
  <c r="M101" i="44" s="1"/>
  <c r="Y61" i="44"/>
  <c r="AK61" i="44"/>
  <c r="J61" i="44"/>
  <c r="E87" i="44"/>
  <c r="E118" i="44"/>
  <c r="O174" i="44"/>
  <c r="AM174" i="44"/>
  <c r="G48" i="41"/>
  <c r="K21" i="46"/>
  <c r="K28" i="46" s="1"/>
  <c r="K39" i="46" s="1"/>
  <c r="O101" i="44"/>
  <c r="G80" i="41"/>
  <c r="K43" i="46"/>
  <c r="G91" i="43"/>
  <c r="G252" i="43"/>
  <c r="G296" i="43"/>
  <c r="G4" i="44"/>
  <c r="Q26" i="44"/>
  <c r="S17" i="44"/>
  <c r="S37" i="44"/>
  <c r="S36" i="44"/>
  <c r="Q61" i="44"/>
  <c r="AC61" i="44"/>
  <c r="AC101" i="44" s="1"/>
  <c r="S46" i="44"/>
  <c r="S90" i="44"/>
  <c r="E90" i="44" s="1"/>
  <c r="T141" i="44"/>
  <c r="G146" i="44"/>
  <c r="E252" i="43"/>
  <c r="AC253" i="43"/>
  <c r="E277" i="43"/>
  <c r="E296" i="43"/>
  <c r="T11" i="44"/>
  <c r="AF11" i="44"/>
  <c r="E8" i="44"/>
  <c r="R26" i="44"/>
  <c r="AE17" i="44"/>
  <c r="R37" i="44"/>
  <c r="R61" i="44"/>
  <c r="AD61" i="44"/>
  <c r="Z83" i="44"/>
  <c r="T83" i="44"/>
  <c r="E105" i="44"/>
  <c r="R174" i="44"/>
  <c r="F91" i="43"/>
  <c r="F277" i="43"/>
  <c r="S61" i="44"/>
  <c r="AH141" i="44"/>
  <c r="F48" i="41"/>
  <c r="E21" i="46"/>
  <c r="E28" i="46" s="1"/>
  <c r="P306" i="43"/>
  <c r="P40" i="44"/>
  <c r="F90" i="44"/>
  <c r="AC40" i="44"/>
  <c r="AA101" i="44"/>
  <c r="AC174" i="44"/>
  <c r="E110" i="41"/>
  <c r="F18" i="9"/>
  <c r="Q18" i="28" s="1"/>
  <c r="AD306" i="43"/>
  <c r="AD40" i="44"/>
  <c r="AB26" i="44"/>
  <c r="AB37" i="44"/>
  <c r="P61" i="44"/>
  <c r="AD174" i="44"/>
  <c r="H61" i="44"/>
  <c r="H101" i="44" s="1"/>
  <c r="AF61" i="44"/>
  <c r="AN83" i="44"/>
  <c r="G83" i="44" s="1"/>
  <c r="J83" i="44"/>
  <c r="K141" i="44"/>
  <c r="H174" i="44"/>
  <c r="AF174" i="44"/>
  <c r="E68" i="41"/>
  <c r="F67" i="9" s="1"/>
  <c r="H44" i="43"/>
  <c r="S22" i="43"/>
  <c r="Q44" i="43"/>
  <c r="R44" i="43"/>
  <c r="M65" i="43"/>
  <c r="I11" i="44"/>
  <c r="K37" i="44"/>
  <c r="W37" i="44"/>
  <c r="I61" i="44"/>
  <c r="U61" i="44"/>
  <c r="AG61" i="44"/>
  <c r="AG101" i="44" s="1"/>
  <c r="E58" i="44"/>
  <c r="Q83" i="44"/>
  <c r="K83" i="44"/>
  <c r="L141" i="44"/>
  <c r="X141" i="44"/>
  <c r="K174" i="44"/>
  <c r="E178" i="44"/>
  <c r="AE61" i="44"/>
  <c r="J141" i="44"/>
  <c r="P44" i="43"/>
  <c r="P304" i="43" s="1"/>
  <c r="G62" i="43"/>
  <c r="G277" i="43"/>
  <c r="T61" i="44"/>
  <c r="P83" i="44"/>
  <c r="AH83" i="44"/>
  <c r="E47" i="46"/>
  <c r="I44" i="43"/>
  <c r="U44" i="43"/>
  <c r="T22" i="43"/>
  <c r="AD44" i="43"/>
  <c r="F241" i="43"/>
  <c r="F296" i="43"/>
  <c r="X11" i="44"/>
  <c r="V11" i="44"/>
  <c r="L37" i="44"/>
  <c r="X37" i="44"/>
  <c r="V61" i="44"/>
  <c r="V101" i="44" s="1"/>
  <c r="AH61" i="44"/>
  <c r="F58" i="44"/>
  <c r="R83" i="44"/>
  <c r="AD83" i="44"/>
  <c r="X83" i="44"/>
  <c r="X101" i="44" s="1"/>
  <c r="M141" i="44"/>
  <c r="Y141" i="44"/>
  <c r="E141" i="44"/>
  <c r="V174" i="44"/>
  <c r="F178" i="44"/>
  <c r="AB242" i="43"/>
  <c r="V44" i="43"/>
  <c r="V92" i="43" s="1"/>
  <c r="G241" i="43"/>
  <c r="K61" i="44"/>
  <c r="AI61" i="44"/>
  <c r="D7" i="41"/>
  <c r="W44" i="43"/>
  <c r="AI44" i="43"/>
  <c r="H305" i="43"/>
  <c r="N306" i="43"/>
  <c r="E266" i="43"/>
  <c r="N11" i="44"/>
  <c r="AL11" i="44"/>
  <c r="L26" i="44"/>
  <c r="Z37" i="44"/>
  <c r="Z40" i="44" s="1"/>
  <c r="Z108" i="44" s="1"/>
  <c r="AL37" i="44"/>
  <c r="L61" i="44"/>
  <c r="L101" i="44" s="1"/>
  <c r="AJ61" i="44"/>
  <c r="AJ101" i="44" s="1"/>
  <c r="AE89" i="44"/>
  <c r="G32" i="8"/>
  <c r="M23" i="34" s="1"/>
  <c r="J32" i="8"/>
  <c r="G44" i="8"/>
  <c r="H340" i="45"/>
  <c r="H343" i="45"/>
  <c r="H339" i="45"/>
  <c r="H344" i="45"/>
  <c r="H341" i="45"/>
  <c r="H345" i="45"/>
  <c r="H342" i="45"/>
  <c r="H32" i="8"/>
  <c r="I14" i="8"/>
  <c r="H11" i="9"/>
  <c r="H13" i="22" s="1"/>
  <c r="H19" i="9"/>
  <c r="H18" i="9" s="1"/>
  <c r="J44" i="8"/>
  <c r="H16" i="9"/>
  <c r="J13" i="46" s="1"/>
  <c r="G36" i="8"/>
  <c r="M27" i="34" s="1"/>
  <c r="O27" i="34" s="1"/>
  <c r="H36" i="8"/>
  <c r="J9" i="8"/>
  <c r="H50" i="8"/>
  <c r="J51" i="8"/>
  <c r="H31" i="8"/>
  <c r="H34" i="8"/>
  <c r="J34" i="8"/>
  <c r="I12" i="21"/>
  <c r="G50" i="8"/>
  <c r="M38" i="34" s="1"/>
  <c r="J38" i="8"/>
  <c r="G58" i="8"/>
  <c r="H19" i="8"/>
  <c r="J34" i="46"/>
  <c r="L34" i="46" s="1"/>
  <c r="H9" i="9"/>
  <c r="J6" i="46" s="1"/>
  <c r="G43" i="9"/>
  <c r="D41" i="46" s="1"/>
  <c r="F41" i="46" s="1"/>
  <c r="G32" i="9"/>
  <c r="D30" i="46" s="1"/>
  <c r="H30" i="8"/>
  <c r="G34" i="15" s="1"/>
  <c r="J31" i="8"/>
  <c r="H32" i="9"/>
  <c r="J30" i="46" s="1"/>
  <c r="J30" i="8"/>
  <c r="I10" i="8"/>
  <c r="H51" i="8"/>
  <c r="H38" i="8"/>
  <c r="G30" i="8"/>
  <c r="J58" i="8"/>
  <c r="G10" i="9"/>
  <c r="G24" i="9"/>
  <c r="G18" i="21" s="1"/>
  <c r="G31" i="8"/>
  <c r="M22" i="34" s="1"/>
  <c r="H10" i="9"/>
  <c r="G11" i="9"/>
  <c r="G13" i="22" s="1"/>
  <c r="H24" i="9"/>
  <c r="H18" i="21" s="1"/>
  <c r="G19" i="9"/>
  <c r="G35" i="8"/>
  <c r="M26" i="34" s="1"/>
  <c r="O26" i="34" s="1"/>
  <c r="H58" i="8"/>
  <c r="G62" i="15" s="1"/>
  <c r="H43" i="9"/>
  <c r="J41" i="46" s="1"/>
  <c r="G39" i="8"/>
  <c r="G25" i="8"/>
  <c r="M16" i="34" s="1"/>
  <c r="H35" i="8"/>
  <c r="G37" i="8"/>
  <c r="M28" i="34" s="1"/>
  <c r="I31" i="21"/>
  <c r="H25" i="8"/>
  <c r="J35" i="8"/>
  <c r="H37" i="8"/>
  <c r="D34" i="46"/>
  <c r="F34" i="46" s="1"/>
  <c r="G9" i="9"/>
  <c r="D6" i="46" s="1"/>
  <c r="G17" i="9"/>
  <c r="D14" i="46" s="1"/>
  <c r="F14" i="46" s="1"/>
  <c r="J25" i="8"/>
  <c r="J37" i="8"/>
  <c r="H39" i="8"/>
  <c r="G43" i="15" s="1"/>
  <c r="J39" i="8"/>
  <c r="G46" i="9"/>
  <c r="H17" i="9"/>
  <c r="F35" i="54" s="1"/>
  <c r="F36" i="54" s="1"/>
  <c r="G57" i="8"/>
  <c r="J50" i="8"/>
  <c r="H46" i="9"/>
  <c r="H12" i="22" s="1"/>
  <c r="G35" i="54"/>
  <c r="G36" i="54" s="1"/>
  <c r="I12" i="22"/>
  <c r="G51" i="8"/>
  <c r="M39" i="34" s="1"/>
  <c r="J57" i="8"/>
  <c r="G38" i="8"/>
  <c r="M29" i="34" s="1"/>
  <c r="I11" i="14"/>
  <c r="H44" i="8"/>
  <c r="I17" i="8"/>
  <c r="G17" i="41"/>
  <c r="G22" i="41"/>
  <c r="K8" i="46" s="1"/>
  <c r="G68" i="41"/>
  <c r="K53" i="46" s="1"/>
  <c r="D48" i="41"/>
  <c r="E17" i="41"/>
  <c r="F10" i="9" s="1"/>
  <c r="Q10" i="28" s="1"/>
  <c r="D33" i="41"/>
  <c r="G7" i="41"/>
  <c r="K6" i="46" s="1"/>
  <c r="E33" i="41"/>
  <c r="F16" i="9" s="1"/>
  <c r="Q16" i="28" s="1"/>
  <c r="E80" i="41"/>
  <c r="E22" i="41"/>
  <c r="F33" i="41"/>
  <c r="F110" i="41"/>
  <c r="F80" i="41"/>
  <c r="D17" i="41"/>
  <c r="F22" i="41"/>
  <c r="E8" i="46" s="1"/>
  <c r="G110" i="41"/>
  <c r="E216" i="42"/>
  <c r="E217" i="42"/>
  <c r="E226" i="42"/>
  <c r="G226" i="42"/>
  <c r="G217" i="42"/>
  <c r="I9" i="14"/>
  <c r="I15" i="8"/>
  <c r="I426" i="45"/>
  <c r="I435" i="45" s="1"/>
  <c r="I16" i="8"/>
  <c r="I11" i="8"/>
  <c r="I33" i="8"/>
  <c r="I10" i="14"/>
  <c r="I52" i="8"/>
  <c r="I13" i="8"/>
  <c r="R63" i="43"/>
  <c r="R261" i="43"/>
  <c r="R45" i="43"/>
  <c r="R267" i="43"/>
  <c r="R65" i="43"/>
  <c r="T304" i="43"/>
  <c r="AH304" i="43"/>
  <c r="M242" i="43"/>
  <c r="S278" i="43"/>
  <c r="S261" i="43"/>
  <c r="S45" i="43"/>
  <c r="S65" i="43"/>
  <c r="S304" i="43"/>
  <c r="S63" i="43"/>
  <c r="U92" i="43"/>
  <c r="AI92" i="43"/>
  <c r="U253" i="43"/>
  <c r="AI253" i="43"/>
  <c r="AG278" i="43"/>
  <c r="AG45" i="43"/>
  <c r="AG65" i="43"/>
  <c r="AG63" i="43"/>
  <c r="O244" i="43"/>
  <c r="O66" i="43"/>
  <c r="Q242" i="43"/>
  <c r="Q306" i="43"/>
  <c r="AE242" i="43"/>
  <c r="AE306" i="43"/>
  <c r="K108" i="44"/>
  <c r="AE37" i="44"/>
  <c r="F30" i="44"/>
  <c r="AE32" i="44"/>
  <c r="T253" i="43"/>
  <c r="T45" i="43"/>
  <c r="T65" i="43"/>
  <c r="T267" i="43"/>
  <c r="T278" i="43"/>
  <c r="T63" i="43"/>
  <c r="K267" i="43"/>
  <c r="AN267" i="43"/>
  <c r="U297" i="43"/>
  <c r="U45" i="43"/>
  <c r="U65" i="43"/>
  <c r="U267" i="43"/>
  <c r="AI297" i="43"/>
  <c r="AI267" i="43"/>
  <c r="AI45" i="43"/>
  <c r="AI65" i="43"/>
  <c r="AH267" i="43"/>
  <c r="AH278" i="43"/>
  <c r="AH45" i="43"/>
  <c r="AH65" i="43"/>
  <c r="AH242" i="43"/>
  <c r="AH253" i="43"/>
  <c r="AH63" i="43"/>
  <c r="K63" i="43"/>
  <c r="Y63" i="43"/>
  <c r="AA244" i="43"/>
  <c r="AA66" i="43"/>
  <c r="K305" i="43"/>
  <c r="R306" i="43"/>
  <c r="R242" i="43"/>
  <c r="AF242" i="43"/>
  <c r="AF306" i="43"/>
  <c r="M278" i="43"/>
  <c r="AA278" i="43"/>
  <c r="X40" i="44"/>
  <c r="L108" i="44"/>
  <c r="M244" i="43"/>
  <c r="M66" i="43"/>
  <c r="H65" i="43"/>
  <c r="H253" i="43"/>
  <c r="H267" i="43"/>
  <c r="V45" i="43"/>
  <c r="V65" i="43"/>
  <c r="V267" i="43"/>
  <c r="V278" i="43"/>
  <c r="AJ45" i="43"/>
  <c r="AJ305" i="43"/>
  <c r="AJ278" i="43"/>
  <c r="AJ65" i="43"/>
  <c r="AJ267" i="43"/>
  <c r="AB244" i="43"/>
  <c r="AB66" i="43"/>
  <c r="AN92" i="43"/>
  <c r="AN305" i="43"/>
  <c r="S306" i="43"/>
  <c r="S242" i="43"/>
  <c r="AG306" i="43"/>
  <c r="AG242" i="43"/>
  <c r="N278" i="43"/>
  <c r="AB278" i="43"/>
  <c r="H278" i="43"/>
  <c r="M253" i="43"/>
  <c r="AF63" i="43"/>
  <c r="AF267" i="43"/>
  <c r="AF45" i="43"/>
  <c r="AF65" i="43"/>
  <c r="N244" i="43"/>
  <c r="N66" i="43"/>
  <c r="I45" i="43"/>
  <c r="I65" i="43"/>
  <c r="I92" i="43"/>
  <c r="I278" i="43"/>
  <c r="I242" i="43"/>
  <c r="W45" i="43"/>
  <c r="W65" i="43"/>
  <c r="W278" i="43"/>
  <c r="W92" i="43"/>
  <c r="AK45" i="43"/>
  <c r="AK278" i="43"/>
  <c r="AK65" i="43"/>
  <c r="AK92" i="43"/>
  <c r="AC244" i="43"/>
  <c r="AC66" i="43"/>
  <c r="M305" i="43"/>
  <c r="M92" i="43"/>
  <c r="AA305" i="43"/>
  <c r="AA92" i="43"/>
  <c r="F17" i="41"/>
  <c r="E7" i="46" s="1"/>
  <c r="D80" i="41"/>
  <c r="E21" i="43"/>
  <c r="E44" i="43" s="1"/>
  <c r="E278" i="43" s="1"/>
  <c r="J44" i="43"/>
  <c r="J22" i="43"/>
  <c r="X44" i="43"/>
  <c r="X297" i="43" s="1"/>
  <c r="X22" i="43"/>
  <c r="AL44" i="43"/>
  <c r="AL92" i="43" s="1"/>
  <c r="AL22" i="43"/>
  <c r="N45" i="43"/>
  <c r="H63" i="43"/>
  <c r="N305" i="43"/>
  <c r="N92" i="43"/>
  <c r="AB305" i="43"/>
  <c r="AB92" i="43"/>
  <c r="N253" i="43"/>
  <c r="Q297" i="43"/>
  <c r="AE297" i="43"/>
  <c r="Y108" i="44"/>
  <c r="F7" i="41"/>
  <c r="E6" i="46" s="1"/>
  <c r="F21" i="43"/>
  <c r="K44" i="43"/>
  <c r="K22" i="43"/>
  <c r="Y44" i="43"/>
  <c r="Y92" i="43" s="1"/>
  <c r="Y22" i="43"/>
  <c r="AM44" i="43"/>
  <c r="AM278" i="43" s="1"/>
  <c r="AM22" i="43"/>
  <c r="P45" i="43"/>
  <c r="P65" i="43"/>
  <c r="P297" i="43"/>
  <c r="P92" i="43"/>
  <c r="AD45" i="43"/>
  <c r="AD297" i="43"/>
  <c r="AD65" i="43"/>
  <c r="AD92" i="43"/>
  <c r="O304" i="43"/>
  <c r="O63" i="43"/>
  <c r="AC304" i="43"/>
  <c r="AC63" i="43"/>
  <c r="I63" i="43"/>
  <c r="R92" i="43"/>
  <c r="O253" i="43"/>
  <c r="AA253" i="43"/>
  <c r="T261" i="43"/>
  <c r="AH261" i="43"/>
  <c r="R297" i="43"/>
  <c r="AF297" i="43"/>
  <c r="R304" i="43"/>
  <c r="G15" i="44"/>
  <c r="AN26" i="44"/>
  <c r="D68" i="41"/>
  <c r="G21" i="43"/>
  <c r="M22" i="43"/>
  <c r="L44" i="43"/>
  <c r="L261" i="43" s="1"/>
  <c r="L22" i="43"/>
  <c r="AA22" i="43"/>
  <c r="Z44" i="43"/>
  <c r="Z267" i="43" s="1"/>
  <c r="Z22" i="43"/>
  <c r="AN44" i="43"/>
  <c r="AN242" i="43" s="1"/>
  <c r="AN22" i="43"/>
  <c r="Q267" i="43"/>
  <c r="Q261" i="43"/>
  <c r="Q45" i="43"/>
  <c r="Q65" i="43"/>
  <c r="Q92" i="43"/>
  <c r="AE267" i="43"/>
  <c r="AE45" i="43"/>
  <c r="AE65" i="43"/>
  <c r="AE261" i="43"/>
  <c r="AE92" i="43"/>
  <c r="P63" i="43"/>
  <c r="AD63" i="43"/>
  <c r="AD304" i="43"/>
  <c r="U63" i="43"/>
  <c r="S92" i="43"/>
  <c r="P253" i="43"/>
  <c r="AB253" i="43"/>
  <c r="U261" i="43"/>
  <c r="AI261" i="43"/>
  <c r="O108" i="44"/>
  <c r="AC108" i="44"/>
  <c r="AE171" i="44"/>
  <c r="F169" i="44"/>
  <c r="AA267" i="43"/>
  <c r="AA242" i="43"/>
  <c r="AB45" i="43"/>
  <c r="Q304" i="43"/>
  <c r="Q63" i="43"/>
  <c r="AE304" i="43"/>
  <c r="AE63" i="43"/>
  <c r="V63" i="43"/>
  <c r="T92" i="43"/>
  <c r="V261" i="43"/>
  <c r="Z305" i="43"/>
  <c r="F68" i="41"/>
  <c r="E53" i="46" s="1"/>
  <c r="N261" i="43"/>
  <c r="N297" i="43"/>
  <c r="AF304" i="43"/>
  <c r="W63" i="43"/>
  <c r="AF92" i="43"/>
  <c r="Q40" i="44"/>
  <c r="AE6" i="44"/>
  <c r="AE11" i="44"/>
  <c r="F4" i="44"/>
  <c r="O278" i="43"/>
  <c r="O92" i="43"/>
  <c r="O261" i="43"/>
  <c r="O242" i="43"/>
  <c r="O45" i="43"/>
  <c r="O297" i="43"/>
  <c r="AC278" i="43"/>
  <c r="AC92" i="43"/>
  <c r="AC297" i="43"/>
  <c r="AC45" i="43"/>
  <c r="AC261" i="43"/>
  <c r="E62" i="43"/>
  <c r="AG304" i="43"/>
  <c r="AI63" i="43"/>
  <c r="AG92" i="43"/>
  <c r="S253" i="43"/>
  <c r="AG253" i="43"/>
  <c r="V40" i="44"/>
  <c r="V108" i="44" s="1"/>
  <c r="M304" i="43"/>
  <c r="AA304" i="43"/>
  <c r="O306" i="43"/>
  <c r="AC306" i="43"/>
  <c r="AN253" i="43"/>
  <c r="I267" i="43"/>
  <c r="W267" i="43"/>
  <c r="AK267" i="43"/>
  <c r="K278" i="43"/>
  <c r="Y278" i="43"/>
  <c r="V305" i="43"/>
  <c r="N40" i="44"/>
  <c r="N108" i="44" s="1"/>
  <c r="AB40" i="44"/>
  <c r="AB108" i="44" s="1"/>
  <c r="J26" i="44"/>
  <c r="J40" i="44" s="1"/>
  <c r="X26" i="44"/>
  <c r="AL26" i="44"/>
  <c r="AL40" i="44" s="1"/>
  <c r="AL108" i="44" s="1"/>
  <c r="N304" i="43"/>
  <c r="AB304" i="43"/>
  <c r="AN278" i="43"/>
  <c r="AN90" i="44"/>
  <c r="G90" i="44" s="1"/>
  <c r="G87" i="44"/>
  <c r="AD253" i="43"/>
  <c r="S39" i="44"/>
  <c r="E37" i="44"/>
  <c r="P101" i="44"/>
  <c r="P108" i="44" s="1"/>
  <c r="AD101" i="44"/>
  <c r="AD108" i="44" s="1"/>
  <c r="U22" i="43"/>
  <c r="AI22" i="43"/>
  <c r="O305" i="43"/>
  <c r="AC305" i="43"/>
  <c r="T306" i="43"/>
  <c r="AH306" i="43"/>
  <c r="Q253" i="43"/>
  <c r="AE253" i="43"/>
  <c r="I261" i="43"/>
  <c r="W261" i="43"/>
  <c r="AK261" i="43"/>
  <c r="F266" i="43"/>
  <c r="N267" i="43"/>
  <c r="AB267" i="43"/>
  <c r="P278" i="43"/>
  <c r="AD278" i="43"/>
  <c r="T297" i="43"/>
  <c r="AH297" i="43"/>
  <c r="S11" i="44"/>
  <c r="AG11" i="44"/>
  <c r="AG40" i="44" s="1"/>
  <c r="AG108" i="44" s="1"/>
  <c r="Q101" i="44"/>
  <c r="F61" i="44"/>
  <c r="S83" i="44"/>
  <c r="S69" i="44"/>
  <c r="Q174" i="44"/>
  <c r="AE148" i="44"/>
  <c r="AE174" i="44"/>
  <c r="V22" i="43"/>
  <c r="AJ22" i="43"/>
  <c r="P305" i="43"/>
  <c r="AD305" i="43"/>
  <c r="H92" i="43"/>
  <c r="U306" i="43"/>
  <c r="U242" i="43"/>
  <c r="AI306" i="43"/>
  <c r="AI242" i="43"/>
  <c r="N242" i="43"/>
  <c r="R253" i="43"/>
  <c r="AF253" i="43"/>
  <c r="G266" i="43"/>
  <c r="O267" i="43"/>
  <c r="AC267" i="43"/>
  <c r="Q278" i="43"/>
  <c r="AE278" i="43"/>
  <c r="T40" i="44"/>
  <c r="T108" i="44" s="1"/>
  <c r="R101" i="44"/>
  <c r="AF101" i="44"/>
  <c r="E67" i="44"/>
  <c r="AJ261" i="43"/>
  <c r="AF40" i="44"/>
  <c r="AF108" i="44" s="1"/>
  <c r="I22" i="43"/>
  <c r="W22" i="43"/>
  <c r="AK22" i="43"/>
  <c r="Q305" i="43"/>
  <c r="AE305" i="43"/>
  <c r="H306" i="43"/>
  <c r="H242" i="43"/>
  <c r="V306" i="43"/>
  <c r="V242" i="43"/>
  <c r="AJ306" i="43"/>
  <c r="AJ242" i="43"/>
  <c r="K261" i="43"/>
  <c r="Y261" i="43"/>
  <c r="P267" i="43"/>
  <c r="AD267" i="43"/>
  <c r="R278" i="43"/>
  <c r="AF278" i="43"/>
  <c r="H297" i="43"/>
  <c r="V297" i="43"/>
  <c r="AJ297" i="43"/>
  <c r="U11" i="44"/>
  <c r="U40" i="44" s="1"/>
  <c r="AI11" i="44"/>
  <c r="E61" i="44"/>
  <c r="U83" i="44"/>
  <c r="U101" i="44" s="1"/>
  <c r="AI83" i="44"/>
  <c r="AI101" i="44" s="1"/>
  <c r="AE140" i="44"/>
  <c r="F138" i="44"/>
  <c r="S148" i="44"/>
  <c r="S174" i="44"/>
  <c r="AG297" i="43"/>
  <c r="U304" i="43"/>
  <c r="AI304" i="43"/>
  <c r="M63" i="43"/>
  <c r="AA63" i="43"/>
  <c r="R305" i="43"/>
  <c r="AF305" i="43"/>
  <c r="I306" i="43"/>
  <c r="W306" i="43"/>
  <c r="W242" i="43"/>
  <c r="AK306" i="43"/>
  <c r="AK242" i="43"/>
  <c r="P242" i="43"/>
  <c r="F252" i="43"/>
  <c r="I297" i="43"/>
  <c r="W297" i="43"/>
  <c r="AK297" i="43"/>
  <c r="T101" i="44"/>
  <c r="AH101" i="44"/>
  <c r="AN61" i="44"/>
  <c r="F146" i="44"/>
  <c r="T174" i="44"/>
  <c r="AH174" i="44"/>
  <c r="R40" i="44"/>
  <c r="R108" i="44" s="1"/>
  <c r="H304" i="43"/>
  <c r="V304" i="43"/>
  <c r="AJ304" i="43"/>
  <c r="N63" i="43"/>
  <c r="AB63" i="43"/>
  <c r="S305" i="43"/>
  <c r="AG305" i="43"/>
  <c r="K92" i="43"/>
  <c r="M261" i="43"/>
  <c r="AA261" i="43"/>
  <c r="AL297" i="43"/>
  <c r="S26" i="44"/>
  <c r="AG26" i="44"/>
  <c r="AE36" i="44"/>
  <c r="S63" i="44"/>
  <c r="I83" i="44"/>
  <c r="I101" i="44" s="1"/>
  <c r="W83" i="44"/>
  <c r="AK83" i="44"/>
  <c r="U174" i="44"/>
  <c r="AI174" i="44"/>
  <c r="I304" i="43"/>
  <c r="W304" i="43"/>
  <c r="AK304" i="43"/>
  <c r="T305" i="43"/>
  <c r="AH305" i="43"/>
  <c r="K306" i="43"/>
  <c r="Y306" i="43"/>
  <c r="S267" i="43"/>
  <c r="AG267" i="43"/>
  <c r="U278" i="43"/>
  <c r="AI278" i="43"/>
  <c r="T26" i="44"/>
  <c r="AH26" i="44"/>
  <c r="AH40" i="44" s="1"/>
  <c r="AH108" i="44" s="1"/>
  <c r="AE63" i="44"/>
  <c r="H261" i="43"/>
  <c r="S297" i="43"/>
  <c r="J304" i="43"/>
  <c r="U305" i="43"/>
  <c r="AI305" i="43"/>
  <c r="T242" i="43"/>
  <c r="I253" i="43"/>
  <c r="W253" i="43"/>
  <c r="AK253" i="43"/>
  <c r="U26" i="44"/>
  <c r="AI26" i="44"/>
  <c r="W101" i="44"/>
  <c r="AK101" i="44"/>
  <c r="O141" i="44"/>
  <c r="AC141" i="44"/>
  <c r="N22" i="43"/>
  <c r="AB22" i="43"/>
  <c r="K304" i="43"/>
  <c r="Y304" i="43"/>
  <c r="AM304" i="43"/>
  <c r="M306" i="43"/>
  <c r="AA306" i="43"/>
  <c r="P261" i="43"/>
  <c r="AD261" i="43"/>
  <c r="M297" i="43"/>
  <c r="AA297" i="43"/>
  <c r="M40" i="44"/>
  <c r="M108" i="44" s="1"/>
  <c r="H26" i="44"/>
  <c r="H40" i="44" s="1"/>
  <c r="H108" i="44" s="1"/>
  <c r="V26" i="44"/>
  <c r="AJ26" i="44"/>
  <c r="AJ40" i="44" s="1"/>
  <c r="AJ108" i="44" s="1"/>
  <c r="Q141" i="44"/>
  <c r="AE141" i="44"/>
  <c r="F125" i="44"/>
  <c r="O22" i="43"/>
  <c r="AC22" i="43"/>
  <c r="L304" i="43"/>
  <c r="AN304" i="43"/>
  <c r="I305" i="43"/>
  <c r="W305" i="43"/>
  <c r="AK305" i="43"/>
  <c r="Y242" i="43"/>
  <c r="I26" i="44"/>
  <c r="I40" i="44" s="1"/>
  <c r="W26" i="44"/>
  <c r="W40" i="44" s="1"/>
  <c r="W108" i="44" s="1"/>
  <c r="AK26" i="44"/>
  <c r="AK40" i="44" s="1"/>
  <c r="AK108" i="44" s="1"/>
  <c r="K101" i="44"/>
  <c r="Y101" i="44"/>
  <c r="AM101" i="44"/>
  <c r="AM108" i="44" s="1"/>
  <c r="R141" i="44"/>
  <c r="AF141" i="44"/>
  <c r="F8" i="44"/>
  <c r="F21" i="44"/>
  <c r="F67" i="44"/>
  <c r="AE46" i="44"/>
  <c r="AE83" i="44"/>
  <c r="AE101" i="44" s="1"/>
  <c r="G125" i="44"/>
  <c r="G30" i="44"/>
  <c r="D51" i="21"/>
  <c r="D27" i="22" s="1"/>
  <c r="CL47" i="40"/>
  <c r="F25" i="25"/>
  <c r="M36" i="22"/>
  <c r="L36" i="22"/>
  <c r="K36" i="22"/>
  <c r="J36" i="22"/>
  <c r="M26" i="22"/>
  <c r="L26" i="22"/>
  <c r="K26" i="22"/>
  <c r="J26" i="22"/>
  <c r="I26" i="22"/>
  <c r="H26" i="22"/>
  <c r="G26" i="22"/>
  <c r="F26" i="22"/>
  <c r="D26" i="22"/>
  <c r="C26" i="22"/>
  <c r="M25" i="22"/>
  <c r="L25" i="22"/>
  <c r="K25" i="22"/>
  <c r="J25" i="22"/>
  <c r="D25" i="22"/>
  <c r="C25" i="22"/>
  <c r="M24" i="22"/>
  <c r="L24" i="22"/>
  <c r="K24" i="22"/>
  <c r="J24" i="22"/>
  <c r="D24" i="22"/>
  <c r="C24" i="22"/>
  <c r="M51" i="21"/>
  <c r="L51" i="21"/>
  <c r="K51" i="21"/>
  <c r="J51" i="21"/>
  <c r="M23" i="22"/>
  <c r="L23" i="22"/>
  <c r="K23" i="22"/>
  <c r="J23" i="22"/>
  <c r="M22" i="22"/>
  <c r="L22" i="22"/>
  <c r="K22" i="22"/>
  <c r="J22" i="22"/>
  <c r="M19" i="22"/>
  <c r="L19" i="22"/>
  <c r="K19" i="22"/>
  <c r="J19" i="22"/>
  <c r="C27" i="22"/>
  <c r="D23" i="22"/>
  <c r="D19" i="22"/>
  <c r="M34" i="21"/>
  <c r="L34" i="21"/>
  <c r="K34" i="21"/>
  <c r="J34" i="21"/>
  <c r="I34" i="21"/>
  <c r="H34" i="21"/>
  <c r="G34" i="21"/>
  <c r="F34" i="21"/>
  <c r="E34" i="21"/>
  <c r="M33" i="21"/>
  <c r="L33" i="21"/>
  <c r="K33" i="21"/>
  <c r="J33" i="21"/>
  <c r="I33" i="21"/>
  <c r="H33" i="21"/>
  <c r="G33" i="21"/>
  <c r="F33" i="21"/>
  <c r="E33" i="21"/>
  <c r="M32" i="21"/>
  <c r="L32" i="21"/>
  <c r="K32" i="21"/>
  <c r="J32" i="21"/>
  <c r="I32" i="21"/>
  <c r="H32" i="21"/>
  <c r="G32" i="21"/>
  <c r="F32" i="21"/>
  <c r="E32" i="21"/>
  <c r="M31" i="21"/>
  <c r="L31" i="21"/>
  <c r="K31" i="21"/>
  <c r="J31" i="21"/>
  <c r="F31" i="21"/>
  <c r="E31" i="21"/>
  <c r="M30" i="21"/>
  <c r="L30" i="21"/>
  <c r="K30" i="21"/>
  <c r="J30" i="21"/>
  <c r="I30" i="21"/>
  <c r="H30" i="21"/>
  <c r="G30" i="21"/>
  <c r="F30" i="21"/>
  <c r="E30" i="21"/>
  <c r="M29" i="21"/>
  <c r="L29" i="21"/>
  <c r="K29" i="21"/>
  <c r="J29" i="21"/>
  <c r="I29" i="21"/>
  <c r="H29" i="21"/>
  <c r="G29" i="21"/>
  <c r="F29" i="21"/>
  <c r="E29" i="21"/>
  <c r="M28" i="21"/>
  <c r="L28" i="21"/>
  <c r="K28" i="21"/>
  <c r="J28" i="21"/>
  <c r="I28" i="21"/>
  <c r="H28" i="21"/>
  <c r="G28" i="21"/>
  <c r="F28" i="21"/>
  <c r="E28" i="21"/>
  <c r="M27" i="21"/>
  <c r="L27" i="21"/>
  <c r="K27" i="21"/>
  <c r="J27" i="21"/>
  <c r="F27" i="21"/>
  <c r="M26" i="21"/>
  <c r="L26" i="21"/>
  <c r="K26" i="21"/>
  <c r="J26" i="21"/>
  <c r="F26" i="21"/>
  <c r="M24" i="21"/>
  <c r="L24" i="21"/>
  <c r="K24" i="21"/>
  <c r="J24" i="21"/>
  <c r="I24" i="21"/>
  <c r="H24" i="21"/>
  <c r="G24" i="21"/>
  <c r="F24" i="21"/>
  <c r="E24" i="21"/>
  <c r="M23" i="21"/>
  <c r="L23" i="21"/>
  <c r="K23" i="21"/>
  <c r="J23" i="21"/>
  <c r="I23" i="21"/>
  <c r="H23" i="21"/>
  <c r="G23" i="21"/>
  <c r="F23" i="21"/>
  <c r="E23" i="21"/>
  <c r="M22" i="21"/>
  <c r="L22" i="21"/>
  <c r="K22" i="21"/>
  <c r="J22" i="21"/>
  <c r="I22" i="21"/>
  <c r="H22" i="21"/>
  <c r="G22" i="21"/>
  <c r="F22" i="21"/>
  <c r="E22" i="21"/>
  <c r="M21" i="21"/>
  <c r="L21" i="21"/>
  <c r="K21" i="21"/>
  <c r="J21" i="21"/>
  <c r="M20" i="21"/>
  <c r="L20" i="21"/>
  <c r="K20" i="21"/>
  <c r="J20" i="21"/>
  <c r="I20" i="21"/>
  <c r="H20" i="21"/>
  <c r="G20" i="21"/>
  <c r="F20" i="21"/>
  <c r="E20" i="21"/>
  <c r="M19" i="21"/>
  <c r="L19" i="21"/>
  <c r="K19" i="21"/>
  <c r="J19" i="21"/>
  <c r="I19" i="21"/>
  <c r="H19" i="21"/>
  <c r="G19" i="21"/>
  <c r="F19" i="21"/>
  <c r="E93" i="21"/>
  <c r="M18" i="21"/>
  <c r="L18" i="21"/>
  <c r="K18" i="21"/>
  <c r="J18" i="21"/>
  <c r="M60" i="21"/>
  <c r="L60" i="21"/>
  <c r="K60" i="21"/>
  <c r="J60" i="21"/>
  <c r="D60" i="21"/>
  <c r="C60" i="21"/>
  <c r="D35" i="21"/>
  <c r="D34" i="21"/>
  <c r="D33" i="21"/>
  <c r="D32" i="21"/>
  <c r="D31" i="21"/>
  <c r="D30" i="21"/>
  <c r="D29" i="21"/>
  <c r="D28" i="21"/>
  <c r="D27" i="21"/>
  <c r="D26" i="21"/>
  <c r="D25" i="21"/>
  <c r="D24" i="21"/>
  <c r="D23" i="21"/>
  <c r="D22" i="21"/>
  <c r="D20" i="21"/>
  <c r="D19" i="21"/>
  <c r="D18" i="21"/>
  <c r="C35" i="21"/>
  <c r="C34" i="21"/>
  <c r="C33" i="21"/>
  <c r="C32" i="21"/>
  <c r="C31" i="21"/>
  <c r="C30" i="21"/>
  <c r="C29" i="21"/>
  <c r="C28" i="21"/>
  <c r="C27" i="21"/>
  <c r="C133" i="21" s="1"/>
  <c r="C139" i="21" s="1"/>
  <c r="C26" i="21"/>
  <c r="C132" i="21" s="1"/>
  <c r="C138" i="21" s="1"/>
  <c r="C25" i="21"/>
  <c r="C24" i="21"/>
  <c r="C23" i="21"/>
  <c r="C22" i="21"/>
  <c r="C20" i="21"/>
  <c r="C19" i="21"/>
  <c r="C130" i="21" s="1"/>
  <c r="C136" i="21" s="1"/>
  <c r="C18" i="21"/>
  <c r="C129" i="21" s="1"/>
  <c r="C135" i="21" s="1"/>
  <c r="M15" i="21"/>
  <c r="L15" i="21"/>
  <c r="K15" i="21"/>
  <c r="J15" i="21"/>
  <c r="I15" i="21"/>
  <c r="H15" i="21"/>
  <c r="G15" i="21"/>
  <c r="F15" i="21"/>
  <c r="E15" i="21"/>
  <c r="D15" i="21"/>
  <c r="C15" i="21"/>
  <c r="M14" i="21"/>
  <c r="L14" i="21"/>
  <c r="K14" i="21"/>
  <c r="J14" i="21"/>
  <c r="I14" i="21"/>
  <c r="H14" i="21"/>
  <c r="G14" i="21"/>
  <c r="F14" i="21"/>
  <c r="E14" i="21"/>
  <c r="D14" i="21"/>
  <c r="C14" i="21"/>
  <c r="M13" i="21"/>
  <c r="L13" i="21"/>
  <c r="K13" i="21"/>
  <c r="J13" i="21"/>
  <c r="I13" i="21"/>
  <c r="H13" i="21"/>
  <c r="G13" i="21"/>
  <c r="F13" i="21"/>
  <c r="E13" i="21"/>
  <c r="D13" i="21"/>
  <c r="C13" i="21"/>
  <c r="E72" i="21"/>
  <c r="E71" i="21"/>
  <c r="M12" i="21"/>
  <c r="L12" i="21"/>
  <c r="K12" i="21"/>
  <c r="J12" i="21"/>
  <c r="F12" i="21"/>
  <c r="E12" i="21"/>
  <c r="D12" i="21"/>
  <c r="C12" i="21"/>
  <c r="C56" i="21" s="1"/>
  <c r="D11" i="21"/>
  <c r="C11" i="21"/>
  <c r="D10" i="21"/>
  <c r="C10" i="21"/>
  <c r="D9" i="21"/>
  <c r="C9" i="21"/>
  <c r="D24" i="13"/>
  <c r="C24" i="13"/>
  <c r="AV75" i="6"/>
  <c r="AU75" i="6"/>
  <c r="AT75" i="6"/>
  <c r="AS75" i="6"/>
  <c r="AR75" i="6"/>
  <c r="AV74" i="6"/>
  <c r="AU74" i="6"/>
  <c r="AT74" i="6"/>
  <c r="AS74" i="6"/>
  <c r="AR74" i="6"/>
  <c r="AV71" i="6"/>
  <c r="AU71" i="6"/>
  <c r="AT71" i="6"/>
  <c r="AS71" i="6"/>
  <c r="AR71" i="6"/>
  <c r="AV70" i="6"/>
  <c r="AU70" i="6"/>
  <c r="AT70" i="6"/>
  <c r="AS70" i="6"/>
  <c r="AR70" i="6"/>
  <c r="AV69" i="6"/>
  <c r="AU69" i="6"/>
  <c r="AT69" i="6"/>
  <c r="AS69" i="6"/>
  <c r="AR69" i="6"/>
  <c r="AV68" i="6"/>
  <c r="AU68" i="6"/>
  <c r="AT68" i="6"/>
  <c r="AS68" i="6"/>
  <c r="AR68" i="6"/>
  <c r="AQ71" i="6"/>
  <c r="AP71" i="6"/>
  <c r="AO71" i="6"/>
  <c r="AN71" i="6"/>
  <c r="AM71" i="6"/>
  <c r="AL71" i="6"/>
  <c r="AK71" i="6"/>
  <c r="AJ71" i="6"/>
  <c r="AI71" i="6"/>
  <c r="AH71" i="6"/>
  <c r="AG71" i="6"/>
  <c r="AF71" i="6"/>
  <c r="AE71" i="6"/>
  <c r="AD71" i="6"/>
  <c r="AC71" i="6"/>
  <c r="AB71" i="6"/>
  <c r="AA71" i="6"/>
  <c r="Z71" i="6"/>
  <c r="Y71" i="6"/>
  <c r="X71" i="6"/>
  <c r="W71" i="6"/>
  <c r="V71" i="6"/>
  <c r="U71" i="6"/>
  <c r="T71" i="6"/>
  <c r="S71" i="6"/>
  <c r="R71" i="6"/>
  <c r="P71" i="6"/>
  <c r="M71" i="6"/>
  <c r="L71" i="6"/>
  <c r="K71" i="6"/>
  <c r="J71" i="6"/>
  <c r="I71" i="6"/>
  <c r="H71" i="6"/>
  <c r="G71" i="6"/>
  <c r="F71" i="6"/>
  <c r="E71" i="6"/>
  <c r="D71" i="6"/>
  <c r="C71" i="6"/>
  <c r="B71" i="6"/>
  <c r="H427" i="45" l="1"/>
  <c r="G430" i="45"/>
  <c r="G427" i="45"/>
  <c r="E364" i="45"/>
  <c r="E366" i="45"/>
  <c r="E365" i="45"/>
  <c r="E382" i="45"/>
  <c r="F56" i="21"/>
  <c r="F60" i="21" s="1"/>
  <c r="F62" i="21" s="1"/>
  <c r="F29" i="54"/>
  <c r="J16" i="46"/>
  <c r="L16" i="46" s="1"/>
  <c r="F34" i="55"/>
  <c r="F35" i="55" s="1"/>
  <c r="S68" i="28"/>
  <c r="R68" i="28"/>
  <c r="U68" i="28"/>
  <c r="I382" i="45"/>
  <c r="I56" i="21"/>
  <c r="I60" i="21" s="1"/>
  <c r="I9" i="8"/>
  <c r="H466" i="45"/>
  <c r="H21" i="15"/>
  <c r="F21" i="15"/>
  <c r="H14" i="15"/>
  <c r="F14" i="15"/>
  <c r="F17" i="15"/>
  <c r="H12" i="8"/>
  <c r="G16" i="15" s="1"/>
  <c r="F15" i="15"/>
  <c r="G12" i="15"/>
  <c r="H468" i="45"/>
  <c r="H467" i="45"/>
  <c r="H465" i="45"/>
  <c r="H464" i="45"/>
  <c r="E68" i="42"/>
  <c r="E361" i="45"/>
  <c r="F68" i="42"/>
  <c r="E362" i="45"/>
  <c r="D228" i="42"/>
  <c r="J14" i="46"/>
  <c r="L14" i="46" s="1"/>
  <c r="E39" i="46"/>
  <c r="K7" i="46"/>
  <c r="I17" i="41"/>
  <c r="G22" i="14"/>
  <c r="I12" i="14"/>
  <c r="H22" i="14"/>
  <c r="I36" i="22"/>
  <c r="I13" i="22"/>
  <c r="U38" i="34"/>
  <c r="G54" i="15"/>
  <c r="U26" i="34"/>
  <c r="W26" i="34" s="1"/>
  <c r="G39" i="15"/>
  <c r="U32" i="34"/>
  <c r="G48" i="15"/>
  <c r="U16" i="34"/>
  <c r="G29" i="15"/>
  <c r="U28" i="34"/>
  <c r="G41" i="15"/>
  <c r="U29" i="34"/>
  <c r="G42" i="15"/>
  <c r="U27" i="34"/>
  <c r="W27" i="34" s="1"/>
  <c r="G40" i="15"/>
  <c r="H22" i="15"/>
  <c r="F22" i="15"/>
  <c r="F13" i="15"/>
  <c r="H13" i="15"/>
  <c r="U25" i="34"/>
  <c r="W25" i="34" s="1"/>
  <c r="G38" i="15"/>
  <c r="U39" i="34"/>
  <c r="G55" i="15"/>
  <c r="U22" i="34"/>
  <c r="G35" i="15"/>
  <c r="U23" i="34"/>
  <c r="G36" i="15"/>
  <c r="U12" i="34"/>
  <c r="G23" i="15"/>
  <c r="H10" i="10"/>
  <c r="G61" i="15"/>
  <c r="I13" i="14"/>
  <c r="U30" i="34"/>
  <c r="H51" i="14"/>
  <c r="I14" i="14"/>
  <c r="I21" i="14"/>
  <c r="M30" i="34"/>
  <c r="G51" i="14"/>
  <c r="F226" i="42"/>
  <c r="F246" i="42" s="1"/>
  <c r="H433" i="45"/>
  <c r="H431" i="45"/>
  <c r="J434" i="45"/>
  <c r="H432" i="45"/>
  <c r="H430" i="45"/>
  <c r="J432" i="45"/>
  <c r="H434" i="45"/>
  <c r="I424" i="45"/>
  <c r="I433" i="45" s="1"/>
  <c r="I422" i="45"/>
  <c r="I431" i="45" s="1"/>
  <c r="G436" i="45"/>
  <c r="G444" i="45" s="1"/>
  <c r="I421" i="45"/>
  <c r="I425" i="45"/>
  <c r="I434" i="45" s="1"/>
  <c r="J430" i="45"/>
  <c r="J433" i="45"/>
  <c r="I423" i="45"/>
  <c r="I432" i="45" s="1"/>
  <c r="J431" i="45"/>
  <c r="Q71" i="6"/>
  <c r="G216" i="42"/>
  <c r="F217" i="42"/>
  <c r="J25" i="25"/>
  <c r="J334" i="45"/>
  <c r="I12" i="8"/>
  <c r="G130" i="21"/>
  <c r="F18" i="21"/>
  <c r="G129" i="21" s="1"/>
  <c r="Q24" i="28"/>
  <c r="I18" i="8"/>
  <c r="G334" i="45"/>
  <c r="G24" i="8"/>
  <c r="G97" i="21" s="1"/>
  <c r="H334" i="45"/>
  <c r="H24" i="8"/>
  <c r="H97" i="21" s="1"/>
  <c r="G12" i="22"/>
  <c r="M21" i="34"/>
  <c r="G51" i="13"/>
  <c r="U21" i="34"/>
  <c r="H51" i="13"/>
  <c r="N71" i="6"/>
  <c r="H417" i="45"/>
  <c r="O71" i="6"/>
  <c r="H415" i="45"/>
  <c r="G12" i="21"/>
  <c r="G18" i="9"/>
  <c r="D15" i="46" s="1"/>
  <c r="F15" i="46" s="1"/>
  <c r="G113" i="41"/>
  <c r="J8" i="46"/>
  <c r="L8" i="46" s="1"/>
  <c r="H36" i="22"/>
  <c r="D8" i="46"/>
  <c r="F8" i="46" s="1"/>
  <c r="G36" i="22"/>
  <c r="J415" i="45"/>
  <c r="J417" i="45"/>
  <c r="H129" i="21"/>
  <c r="H130" i="21"/>
  <c r="I130" i="21"/>
  <c r="L43" i="46"/>
  <c r="H26" i="21"/>
  <c r="E113" i="41"/>
  <c r="E12" i="46"/>
  <c r="D23" i="41"/>
  <c r="U45" i="34"/>
  <c r="J13" i="10"/>
  <c r="J16" i="10"/>
  <c r="J30" i="10"/>
  <c r="I19" i="8"/>
  <c r="D44" i="46"/>
  <c r="F44" i="46" s="1"/>
  <c r="G13" i="10"/>
  <c r="G26" i="21"/>
  <c r="G132" i="21" s="1"/>
  <c r="G34" i="55"/>
  <c r="G35" i="55" s="1"/>
  <c r="J19" i="10"/>
  <c r="I27" i="21"/>
  <c r="J31" i="10"/>
  <c r="I26" i="21"/>
  <c r="J17" i="10"/>
  <c r="I30" i="9"/>
  <c r="J24" i="10"/>
  <c r="J44" i="46"/>
  <c r="L44" i="46" s="1"/>
  <c r="H13" i="10"/>
  <c r="M46" i="34"/>
  <c r="G11" i="10"/>
  <c r="U46" i="34"/>
  <c r="H11" i="10"/>
  <c r="M45" i="34"/>
  <c r="G10" i="10"/>
  <c r="M43" i="34"/>
  <c r="K47" i="46"/>
  <c r="G58" i="41"/>
  <c r="K13" i="46"/>
  <c r="K20" i="46" s="1"/>
  <c r="K40" i="46" s="1"/>
  <c r="I108" i="44"/>
  <c r="AM305" i="43"/>
  <c r="K12" i="46"/>
  <c r="AN306" i="43"/>
  <c r="E267" i="43"/>
  <c r="J108" i="44"/>
  <c r="AL242" i="43"/>
  <c r="Y267" i="43"/>
  <c r="AM92" i="43"/>
  <c r="L306" i="43"/>
  <c r="AL305" i="43"/>
  <c r="V253" i="43"/>
  <c r="AL306" i="43"/>
  <c r="L305" i="43"/>
  <c r="AM261" i="43"/>
  <c r="Q108" i="44"/>
  <c r="AJ92" i="43"/>
  <c r="AJ253" i="43"/>
  <c r="AM306" i="43"/>
  <c r="AM242" i="43"/>
  <c r="AL304" i="43"/>
  <c r="AL63" i="43"/>
  <c r="E58" i="41"/>
  <c r="J101" i="44"/>
  <c r="L278" i="43"/>
  <c r="X108" i="44"/>
  <c r="G23" i="41"/>
  <c r="AN261" i="43"/>
  <c r="F58" i="41"/>
  <c r="E13" i="46"/>
  <c r="E20" i="46" s="1"/>
  <c r="E40" i="46" s="1"/>
  <c r="AL267" i="43"/>
  <c r="D113" i="41"/>
  <c r="E62" i="9"/>
  <c r="E23" i="41"/>
  <c r="F11" i="9"/>
  <c r="F13" i="22" s="1"/>
  <c r="D7" i="46"/>
  <c r="F7" i="46" s="1"/>
  <c r="J7" i="46"/>
  <c r="L7" i="46" s="1"/>
  <c r="M32" i="34"/>
  <c r="I44" i="8"/>
  <c r="I34" i="8"/>
  <c r="I344" i="45"/>
  <c r="I340" i="45"/>
  <c r="I339" i="45"/>
  <c r="I345" i="45"/>
  <c r="I342" i="45"/>
  <c r="I343" i="45"/>
  <c r="I341" i="45"/>
  <c r="H12" i="21"/>
  <c r="U11" i="34"/>
  <c r="H3" i="8"/>
  <c r="M11" i="34"/>
  <c r="G3" i="8"/>
  <c r="H31" i="21"/>
  <c r="G25" i="25"/>
  <c r="G31" i="21"/>
  <c r="H27" i="21"/>
  <c r="G27" i="21"/>
  <c r="G133" i="21" s="1"/>
  <c r="I50" i="8"/>
  <c r="I32" i="8"/>
  <c r="I18" i="21"/>
  <c r="I39" i="8"/>
  <c r="I51" i="14" s="1"/>
  <c r="I31" i="8"/>
  <c r="I57" i="8"/>
  <c r="L41" i="46"/>
  <c r="I37" i="8"/>
  <c r="I36" i="8"/>
  <c r="I35" i="8"/>
  <c r="F30" i="46"/>
  <c r="D38" i="46"/>
  <c r="D16" i="46"/>
  <c r="F16" i="46" s="1"/>
  <c r="I58" i="8"/>
  <c r="J21" i="46"/>
  <c r="H30" i="9"/>
  <c r="L6" i="46"/>
  <c r="I38" i="8"/>
  <c r="I51" i="8"/>
  <c r="D21" i="46"/>
  <c r="G30" i="9"/>
  <c r="I30" i="8"/>
  <c r="I25" i="8"/>
  <c r="I72" i="21" s="1"/>
  <c r="F6" i="46"/>
  <c r="L30" i="46"/>
  <c r="J38" i="46"/>
  <c r="D58" i="41"/>
  <c r="F113" i="41"/>
  <c r="D262" i="42"/>
  <c r="D264" i="42" s="1"/>
  <c r="D248" i="42"/>
  <c r="G246" i="42"/>
  <c r="G228" i="42"/>
  <c r="E246" i="42"/>
  <c r="E228" i="42"/>
  <c r="E227" i="42"/>
  <c r="F101" i="44"/>
  <c r="AE103" i="44"/>
  <c r="T244" i="43"/>
  <c r="T66" i="43"/>
  <c r="E26" i="44"/>
  <c r="S28" i="44"/>
  <c r="Z261" i="43"/>
  <c r="X305" i="43"/>
  <c r="J261" i="43"/>
  <c r="J65" i="43"/>
  <c r="J278" i="43"/>
  <c r="J253" i="43"/>
  <c r="J45" i="43"/>
  <c r="J242" i="43"/>
  <c r="V244" i="43"/>
  <c r="V66" i="43"/>
  <c r="Z304" i="43"/>
  <c r="E261" i="43"/>
  <c r="E65" i="43"/>
  <c r="X63" i="43"/>
  <c r="S244" i="43"/>
  <c r="S66" i="43"/>
  <c r="X304" i="43"/>
  <c r="O255" i="43"/>
  <c r="O245" i="43"/>
  <c r="X242" i="43"/>
  <c r="Z278" i="43"/>
  <c r="AE244" i="43"/>
  <c r="AE66" i="43"/>
  <c r="L297" i="43"/>
  <c r="L63" i="43"/>
  <c r="L65" i="43"/>
  <c r="M45" i="43"/>
  <c r="L45" i="43"/>
  <c r="L242" i="43"/>
  <c r="P66" i="43"/>
  <c r="P244" i="43"/>
  <c r="Z92" i="43"/>
  <c r="J63" i="43"/>
  <c r="X261" i="43"/>
  <c r="X65" i="43"/>
  <c r="X278" i="43"/>
  <c r="X253" i="43"/>
  <c r="X45" i="43"/>
  <c r="AF66" i="43"/>
  <c r="AF244" i="43"/>
  <c r="R244" i="43"/>
  <c r="R66" i="43"/>
  <c r="J297" i="43"/>
  <c r="E174" i="44"/>
  <c r="S176" i="44"/>
  <c r="E297" i="43"/>
  <c r="L92" i="43"/>
  <c r="AH244" i="43"/>
  <c r="AH66" i="43"/>
  <c r="L267" i="43"/>
  <c r="AE39" i="44"/>
  <c r="F37" i="44"/>
  <c r="Z63" i="43"/>
  <c r="Z65" i="43"/>
  <c r="Z45" i="43"/>
  <c r="Z297" i="43"/>
  <c r="F174" i="44"/>
  <c r="AE176" i="44"/>
  <c r="AM297" i="43"/>
  <c r="AM253" i="43"/>
  <c r="AM45" i="43"/>
  <c r="AM65" i="43"/>
  <c r="E305" i="43"/>
  <c r="AG244" i="43"/>
  <c r="AG66" i="43"/>
  <c r="W244" i="43"/>
  <c r="W66" i="43"/>
  <c r="AE143" i="44"/>
  <c r="F141" i="44"/>
  <c r="X267" i="43"/>
  <c r="Q244" i="43"/>
  <c r="Q66" i="43"/>
  <c r="G26" i="44"/>
  <c r="AN40" i="44"/>
  <c r="AB255" i="43"/>
  <c r="AB245" i="43"/>
  <c r="AM267" i="43"/>
  <c r="U244" i="43"/>
  <c r="U66" i="43"/>
  <c r="H66" i="43"/>
  <c r="H244" i="43"/>
  <c r="X306" i="43"/>
  <c r="G61" i="44"/>
  <c r="AN101" i="44"/>
  <c r="G101" i="44" s="1"/>
  <c r="J267" i="43"/>
  <c r="Z242" i="43"/>
  <c r="Y297" i="43"/>
  <c r="Y253" i="43"/>
  <c r="Y45" i="43"/>
  <c r="Y65" i="43"/>
  <c r="Y305" i="43"/>
  <c r="AI244" i="43"/>
  <c r="AI66" i="43"/>
  <c r="E92" i="43"/>
  <c r="J306" i="43"/>
  <c r="E83" i="44"/>
  <c r="S85" i="44"/>
  <c r="AJ244" i="43"/>
  <c r="AJ66" i="43"/>
  <c r="M245" i="43"/>
  <c r="M255" i="43"/>
  <c r="AA45" i="43"/>
  <c r="J92" i="43"/>
  <c r="Z253" i="43"/>
  <c r="K297" i="43"/>
  <c r="K253" i="43"/>
  <c r="K45" i="43"/>
  <c r="K65" i="43"/>
  <c r="K242" i="43"/>
  <c r="I244" i="43"/>
  <c r="I66" i="43"/>
  <c r="N255" i="43"/>
  <c r="N245" i="43"/>
  <c r="AK244" i="43"/>
  <c r="AK66" i="43"/>
  <c r="F83" i="44"/>
  <c r="AE85" i="44"/>
  <c r="L253" i="43"/>
  <c r="F22" i="43"/>
  <c r="F44" i="43"/>
  <c r="F253" i="43" s="1"/>
  <c r="AL261" i="43"/>
  <c r="AL278" i="43"/>
  <c r="AL65" i="43"/>
  <c r="AL253" i="43"/>
  <c r="AL45" i="43"/>
  <c r="AA255" i="43"/>
  <c r="AA245" i="43"/>
  <c r="X92" i="43"/>
  <c r="E253" i="43"/>
  <c r="E242" i="43"/>
  <c r="U108" i="44"/>
  <c r="S40" i="44"/>
  <c r="E11" i="44"/>
  <c r="S13" i="44"/>
  <c r="G22" i="43"/>
  <c r="G44" i="43"/>
  <c r="G267" i="43" s="1"/>
  <c r="Z306" i="43"/>
  <c r="S101" i="44"/>
  <c r="AI40" i="44"/>
  <c r="AI108" i="44" s="1"/>
  <c r="E304" i="43"/>
  <c r="E63" i="43"/>
  <c r="F11" i="44"/>
  <c r="AE40" i="44"/>
  <c r="AE13" i="44"/>
  <c r="AN63" i="43"/>
  <c r="AN297" i="43"/>
  <c r="AN65" i="43"/>
  <c r="AN45" i="43"/>
  <c r="AD66" i="43"/>
  <c r="AD244" i="43"/>
  <c r="F23" i="41"/>
  <c r="AC255" i="43"/>
  <c r="AC245" i="43"/>
  <c r="AM63" i="43"/>
  <c r="J305" i="43"/>
  <c r="E306" i="43"/>
  <c r="L27" i="22"/>
  <c r="K27" i="22"/>
  <c r="J27" i="22"/>
  <c r="M27" i="22"/>
  <c r="J62" i="21"/>
  <c r="K62" i="21"/>
  <c r="L35" i="21"/>
  <c r="J35" i="21"/>
  <c r="M35" i="21"/>
  <c r="E25" i="21"/>
  <c r="K35" i="21"/>
  <c r="L62" i="21"/>
  <c r="F35" i="21"/>
  <c r="E35" i="21"/>
  <c r="M62" i="21"/>
  <c r="G25" i="21"/>
  <c r="H25" i="21"/>
  <c r="K25" i="21"/>
  <c r="L25" i="21"/>
  <c r="J25" i="21"/>
  <c r="M25" i="21"/>
  <c r="AQ75" i="6"/>
  <c r="AP75" i="6"/>
  <c r="AQ74" i="6"/>
  <c r="AP74" i="6"/>
  <c r="AQ70" i="6"/>
  <c r="AP70" i="6"/>
  <c r="AQ69" i="6"/>
  <c r="AP69" i="6"/>
  <c r="AQ68" i="6"/>
  <c r="AP68" i="6"/>
  <c r="AO75" i="6"/>
  <c r="AN75" i="6"/>
  <c r="AM75" i="6"/>
  <c r="AL75" i="6"/>
  <c r="AK75" i="6"/>
  <c r="AJ75" i="6"/>
  <c r="AI75" i="6"/>
  <c r="AH75" i="6"/>
  <c r="AG75" i="6"/>
  <c r="AF75" i="6"/>
  <c r="AO74" i="6"/>
  <c r="AN74" i="6"/>
  <c r="AM74" i="6"/>
  <c r="AL74" i="6"/>
  <c r="AK74" i="6"/>
  <c r="AJ74" i="6"/>
  <c r="AI74" i="6"/>
  <c r="AH74" i="6"/>
  <c r="AG74" i="6"/>
  <c r="AF74" i="6"/>
  <c r="AO70" i="6"/>
  <c r="AN70" i="6"/>
  <c r="AM70" i="6"/>
  <c r="AL70" i="6"/>
  <c r="AK70" i="6"/>
  <c r="AJ70" i="6"/>
  <c r="AI70" i="6"/>
  <c r="AH70" i="6"/>
  <c r="AG70" i="6"/>
  <c r="AF70" i="6"/>
  <c r="AO69" i="6"/>
  <c r="AN69" i="6"/>
  <c r="AM69" i="6"/>
  <c r="AL69" i="6"/>
  <c r="AK69" i="6"/>
  <c r="AJ69" i="6"/>
  <c r="AI69" i="6"/>
  <c r="AH69" i="6"/>
  <c r="AG69" i="6"/>
  <c r="AF69" i="6"/>
  <c r="AO68" i="6"/>
  <c r="AN68" i="6"/>
  <c r="AM68" i="6"/>
  <c r="AL68" i="6"/>
  <c r="AK68" i="6"/>
  <c r="AJ68" i="6"/>
  <c r="AI68" i="6"/>
  <c r="AH68" i="6"/>
  <c r="AG68" i="6"/>
  <c r="AF68" i="6"/>
  <c r="AC33" i="6"/>
  <c r="AB33" i="6"/>
  <c r="AA33" i="6"/>
  <c r="Z33" i="6"/>
  <c r="Y33" i="6"/>
  <c r="G33" i="6"/>
  <c r="H33" i="6"/>
  <c r="F33" i="6"/>
  <c r="E33" i="6"/>
  <c r="D33" i="6"/>
  <c r="H31" i="6"/>
  <c r="AC31" i="6" s="1"/>
  <c r="G31" i="6"/>
  <c r="AB31" i="6" s="1"/>
  <c r="F31" i="6"/>
  <c r="AA31" i="6" s="1"/>
  <c r="E31" i="6"/>
  <c r="Z31" i="6" s="1"/>
  <c r="D31" i="6"/>
  <c r="Y31" i="6" s="1"/>
  <c r="I430" i="45" l="1"/>
  <c r="I427" i="45"/>
  <c r="G382" i="45"/>
  <c r="G389" i="45" s="1"/>
  <c r="G56" i="21"/>
  <c r="G60" i="21" s="1"/>
  <c r="H382" i="45"/>
  <c r="I389" i="45" s="1"/>
  <c r="H56" i="21"/>
  <c r="H60" i="21" s="1"/>
  <c r="I51" i="13"/>
  <c r="J51" i="13"/>
  <c r="I10" i="10"/>
  <c r="J10" i="10"/>
  <c r="I11" i="10"/>
  <c r="J11" i="10"/>
  <c r="F16" i="15"/>
  <c r="H16" i="15"/>
  <c r="G28" i="15"/>
  <c r="H25" i="25"/>
  <c r="J15" i="46"/>
  <c r="L15" i="46" s="1"/>
  <c r="D61" i="41"/>
  <c r="F25" i="21"/>
  <c r="F36" i="21" s="1"/>
  <c r="I22" i="14"/>
  <c r="U43" i="34"/>
  <c r="Q11" i="28"/>
  <c r="F36" i="22"/>
  <c r="F61" i="41"/>
  <c r="F227" i="42"/>
  <c r="F228" i="42"/>
  <c r="G227" i="42"/>
  <c r="G440" i="45"/>
  <c r="J436" i="45"/>
  <c r="G442" i="45"/>
  <c r="I436" i="45"/>
  <c r="G439" i="45"/>
  <c r="G441" i="45"/>
  <c r="G443" i="45"/>
  <c r="H436" i="45"/>
  <c r="H443" i="45" s="1"/>
  <c r="I24" i="8"/>
  <c r="H335" i="45"/>
  <c r="H355" i="45" s="1"/>
  <c r="D47" i="46"/>
  <c r="F47" i="46" s="1"/>
  <c r="H133" i="21"/>
  <c r="I132" i="21"/>
  <c r="I133" i="21"/>
  <c r="H132" i="21"/>
  <c r="I25" i="21"/>
  <c r="I129" i="21"/>
  <c r="F13" i="46"/>
  <c r="E61" i="41"/>
  <c r="G61" i="41"/>
  <c r="E52" i="46"/>
  <c r="E54" i="46" s="1"/>
  <c r="J47" i="46"/>
  <c r="L47" i="46" s="1"/>
  <c r="I334" i="45"/>
  <c r="I335" i="45" s="1"/>
  <c r="I346" i="45" s="1"/>
  <c r="I356" i="45" s="1"/>
  <c r="I71" i="21"/>
  <c r="I35" i="21"/>
  <c r="K52" i="46"/>
  <c r="K54" i="46" s="1"/>
  <c r="J18" i="10"/>
  <c r="D12" i="46"/>
  <c r="F12" i="46" s="1"/>
  <c r="L13" i="46"/>
  <c r="J12" i="46"/>
  <c r="L12" i="46" s="1"/>
  <c r="G35" i="21"/>
  <c r="G36" i="21" s="1"/>
  <c r="H35" i="21"/>
  <c r="H36" i="21" s="1"/>
  <c r="I25" i="25"/>
  <c r="I3" i="8"/>
  <c r="D28" i="46"/>
  <c r="F28" i="46" s="1"/>
  <c r="F21" i="46"/>
  <c r="F38" i="46"/>
  <c r="D20" i="46"/>
  <c r="F20" i="46" s="1"/>
  <c r="L38" i="46"/>
  <c r="J28" i="46"/>
  <c r="L28" i="46" s="1"/>
  <c r="L21" i="46"/>
  <c r="E247" i="42"/>
  <c r="E262" i="42"/>
  <c r="F113" i="8" s="1"/>
  <c r="E248" i="42"/>
  <c r="F262" i="42"/>
  <c r="N52" i="34" s="1"/>
  <c r="F247" i="42"/>
  <c r="F248" i="42"/>
  <c r="G262" i="42"/>
  <c r="V52" i="34" s="1"/>
  <c r="G247" i="42"/>
  <c r="G248" i="42"/>
  <c r="AD255" i="43"/>
  <c r="AD245" i="43"/>
  <c r="E101" i="44"/>
  <c r="S103" i="44"/>
  <c r="AL244" i="43"/>
  <c r="AL66" i="43"/>
  <c r="X244" i="43"/>
  <c r="X66" i="43"/>
  <c r="H255" i="43"/>
  <c r="H245" i="43"/>
  <c r="G45" i="43"/>
  <c r="G65" i="43"/>
  <c r="G63" i="43"/>
  <c r="G297" i="43"/>
  <c r="G278" i="43"/>
  <c r="G305" i="43"/>
  <c r="G92" i="43"/>
  <c r="G253" i="43"/>
  <c r="G306" i="43"/>
  <c r="G242" i="43"/>
  <c r="G304" i="43"/>
  <c r="G261" i="43"/>
  <c r="K66" i="43"/>
  <c r="K244" i="43"/>
  <c r="F45" i="43"/>
  <c r="F65" i="43"/>
  <c r="F63" i="43"/>
  <c r="F278" i="43"/>
  <c r="F305" i="43"/>
  <c r="F306" i="43"/>
  <c r="F297" i="43"/>
  <c r="F242" i="43"/>
  <c r="F261" i="43"/>
  <c r="F304" i="43"/>
  <c r="F92" i="43"/>
  <c r="P255" i="43"/>
  <c r="P245" i="43"/>
  <c r="AN244" i="43"/>
  <c r="AN66" i="43"/>
  <c r="O299" i="43"/>
  <c r="O300" i="43" s="1"/>
  <c r="O256" i="43"/>
  <c r="E40" i="44"/>
  <c r="S42" i="44"/>
  <c r="S108" i="44"/>
  <c r="U245" i="43"/>
  <c r="U255" i="43"/>
  <c r="Y244" i="43"/>
  <c r="Y66" i="43"/>
  <c r="W255" i="43"/>
  <c r="W245" i="43"/>
  <c r="Z244" i="43"/>
  <c r="Z66" i="43"/>
  <c r="S245" i="43"/>
  <c r="S255" i="43"/>
  <c r="J66" i="43"/>
  <c r="J244" i="43"/>
  <c r="F40" i="44"/>
  <c r="AE42" i="44"/>
  <c r="AE108" i="44"/>
  <c r="M299" i="43"/>
  <c r="M300" i="43" s="1"/>
  <c r="M256" i="43"/>
  <c r="R255" i="43"/>
  <c r="R245" i="43"/>
  <c r="AB299" i="43"/>
  <c r="AB300" i="43" s="1"/>
  <c r="AB256" i="43"/>
  <c r="AG245" i="43"/>
  <c r="AG255" i="43"/>
  <c r="AF255" i="43"/>
  <c r="AF245" i="43"/>
  <c r="L66" i="43"/>
  <c r="L244" i="43"/>
  <c r="E244" i="43"/>
  <c r="E66" i="43"/>
  <c r="G40" i="44"/>
  <c r="AN108" i="44"/>
  <c r="G108" i="44" s="1"/>
  <c r="AC299" i="43"/>
  <c r="AC256" i="43"/>
  <c r="AA299" i="43"/>
  <c r="AA300" i="43" s="1"/>
  <c r="AA256" i="43"/>
  <c r="N299" i="43"/>
  <c r="N300" i="43" s="1"/>
  <c r="N256" i="43"/>
  <c r="AJ255" i="43"/>
  <c r="AJ245" i="43"/>
  <c r="AM244" i="43"/>
  <c r="AM66" i="43"/>
  <c r="T245" i="43"/>
  <c r="T255" i="43"/>
  <c r="AK255" i="43"/>
  <c r="AK245" i="43"/>
  <c r="F267" i="43"/>
  <c r="AI245" i="43"/>
  <c r="AI255" i="43"/>
  <c r="I255" i="43"/>
  <c r="I245" i="43"/>
  <c r="Q255" i="43"/>
  <c r="Q245" i="43"/>
  <c r="AH245" i="43"/>
  <c r="AH255" i="43"/>
  <c r="AE255" i="43"/>
  <c r="AE245" i="43"/>
  <c r="V255" i="43"/>
  <c r="V245" i="43"/>
  <c r="L36" i="21"/>
  <c r="J36" i="21"/>
  <c r="M36" i="21"/>
  <c r="K36" i="21"/>
  <c r="E36" i="21"/>
  <c r="AQ33" i="6"/>
  <c r="AP33" i="6"/>
  <c r="AO33" i="6"/>
  <c r="AN33" i="6"/>
  <c r="AM33" i="6"/>
  <c r="AL33" i="6"/>
  <c r="AK33" i="6"/>
  <c r="AJ33" i="6"/>
  <c r="AI33" i="6"/>
  <c r="AH33" i="6"/>
  <c r="AG33" i="6"/>
  <c r="V33" i="6"/>
  <c r="U33" i="6"/>
  <c r="T33" i="6"/>
  <c r="V31" i="6"/>
  <c r="AQ31" i="6" s="1"/>
  <c r="U31" i="6"/>
  <c r="AP31" i="6" s="1"/>
  <c r="T31" i="6"/>
  <c r="AO31" i="6" s="1"/>
  <c r="S31" i="6"/>
  <c r="AN31" i="6" s="1"/>
  <c r="S33" i="6"/>
  <c r="Q33" i="6"/>
  <c r="P33" i="6"/>
  <c r="O33" i="6"/>
  <c r="N33" i="6"/>
  <c r="M33" i="6"/>
  <c r="L33" i="6"/>
  <c r="Q31" i="6"/>
  <c r="AL31" i="6" s="1"/>
  <c r="P31" i="6"/>
  <c r="AK31" i="6" s="1"/>
  <c r="O31" i="6"/>
  <c r="AJ31" i="6" s="1"/>
  <c r="N31" i="6"/>
  <c r="AI31" i="6" s="1"/>
  <c r="M31" i="6"/>
  <c r="AH31" i="6" s="1"/>
  <c r="L31" i="6"/>
  <c r="AG31" i="6" s="1"/>
  <c r="J26" i="13" l="1"/>
  <c r="I97" i="21"/>
  <c r="H389" i="45"/>
  <c r="J20" i="46"/>
  <c r="L20" i="46" s="1"/>
  <c r="H439" i="45"/>
  <c r="H441" i="45"/>
  <c r="H442" i="45"/>
  <c r="H440" i="45"/>
  <c r="H444" i="45"/>
  <c r="G445" i="45"/>
  <c r="H352" i="45"/>
  <c r="H350" i="45"/>
  <c r="H354" i="45"/>
  <c r="H346" i="45"/>
  <c r="H356" i="45" s="1"/>
  <c r="H353" i="45"/>
  <c r="H349" i="45"/>
  <c r="H351" i="45"/>
  <c r="H127" i="21"/>
  <c r="G127" i="21"/>
  <c r="I36" i="21"/>
  <c r="I127" i="21" s="1"/>
  <c r="AC300" i="43"/>
  <c r="I354" i="45"/>
  <c r="I352" i="45"/>
  <c r="I351" i="45"/>
  <c r="I355" i="45"/>
  <c r="I353" i="45"/>
  <c r="I349" i="45"/>
  <c r="I350" i="45"/>
  <c r="D39" i="46"/>
  <c r="D40" i="46" s="1"/>
  <c r="J39" i="46"/>
  <c r="G264" i="42"/>
  <c r="G263" i="42"/>
  <c r="F263" i="42"/>
  <c r="F264" i="42"/>
  <c r="E263" i="42"/>
  <c r="E264" i="42"/>
  <c r="P299" i="43"/>
  <c r="P300" i="43" s="1"/>
  <c r="P256" i="43"/>
  <c r="K245" i="43"/>
  <c r="K255" i="43"/>
  <c r="L255" i="43"/>
  <c r="L245" i="43"/>
  <c r="U256" i="43"/>
  <c r="U299" i="43"/>
  <c r="U300" i="43" s="1"/>
  <c r="H299" i="43"/>
  <c r="H256" i="43"/>
  <c r="AN245" i="43"/>
  <c r="AN255" i="43"/>
  <c r="AH256" i="43"/>
  <c r="AH299" i="43"/>
  <c r="AH300" i="43" s="1"/>
  <c r="X255" i="43"/>
  <c r="X245" i="43"/>
  <c r="Z255" i="43"/>
  <c r="Z245" i="43"/>
  <c r="AK299" i="43"/>
  <c r="AK300" i="43" s="1"/>
  <c r="AK256" i="43"/>
  <c r="V299" i="43"/>
  <c r="V300" i="43" s="1"/>
  <c r="V256" i="43"/>
  <c r="AE299" i="43"/>
  <c r="AE300" i="43" s="1"/>
  <c r="AE256" i="43"/>
  <c r="AE110" i="44"/>
  <c r="F108" i="44"/>
  <c r="S110" i="44"/>
  <c r="E108" i="44"/>
  <c r="AL255" i="43"/>
  <c r="AL245" i="43"/>
  <c r="W299" i="43"/>
  <c r="W300" i="43" s="1"/>
  <c r="W256" i="43"/>
  <c r="T299" i="43"/>
  <c r="T256" i="43"/>
  <c r="E245" i="43"/>
  <c r="E255" i="43"/>
  <c r="AM245" i="43"/>
  <c r="AM255" i="43"/>
  <c r="I299" i="43"/>
  <c r="I300" i="43" s="1"/>
  <c r="I256" i="43"/>
  <c r="AJ256" i="43"/>
  <c r="AJ299" i="43"/>
  <c r="AJ300" i="43" s="1"/>
  <c r="R256" i="43"/>
  <c r="R299" i="43"/>
  <c r="R300" i="43" s="1"/>
  <c r="AF256" i="43"/>
  <c r="AF299" i="43"/>
  <c r="Y255" i="43"/>
  <c r="Y245" i="43"/>
  <c r="AI256" i="43"/>
  <c r="AI299" i="43"/>
  <c r="AI300" i="43" s="1"/>
  <c r="G244" i="43"/>
  <c r="G66" i="43"/>
  <c r="Q299" i="43"/>
  <c r="Q300" i="43" s="1"/>
  <c r="Q256" i="43"/>
  <c r="AG256" i="43"/>
  <c r="AG299" i="43"/>
  <c r="AG300" i="43" s="1"/>
  <c r="J255" i="43"/>
  <c r="J245" i="43"/>
  <c r="S256" i="43"/>
  <c r="S299" i="43"/>
  <c r="S300" i="43" s="1"/>
  <c r="F244" i="43"/>
  <c r="F66" i="43"/>
  <c r="AD299" i="43"/>
  <c r="AD300" i="43" s="1"/>
  <c r="AD256" i="43"/>
  <c r="E76" i="10"/>
  <c r="F76" i="10"/>
  <c r="C46" i="3"/>
  <c r="C40" i="3"/>
  <c r="E7" i="9" s="1"/>
  <c r="C34" i="3"/>
  <c r="E5" i="8"/>
  <c r="B38" i="4"/>
  <c r="D21" i="3"/>
  <c r="D22" i="3"/>
  <c r="H445" i="45" l="1"/>
  <c r="E5" i="40"/>
  <c r="E7" i="28"/>
  <c r="E5" i="28"/>
  <c r="E7" i="40"/>
  <c r="F39" i="46"/>
  <c r="F40" i="46"/>
  <c r="D52" i="46"/>
  <c r="J40" i="46"/>
  <c r="L39" i="46"/>
  <c r="F245" i="43"/>
  <c r="F255" i="43"/>
  <c r="Y299" i="43"/>
  <c r="Y300" i="43" s="1"/>
  <c r="Y256" i="43"/>
  <c r="E256" i="43"/>
  <c r="E299" i="43"/>
  <c r="H300" i="43"/>
  <c r="L112" i="44"/>
  <c r="L121" i="44" s="1"/>
  <c r="L181" i="44" s="1"/>
  <c r="J112" i="44"/>
  <c r="J121" i="44" s="1"/>
  <c r="J181" i="44" s="1"/>
  <c r="I112" i="44"/>
  <c r="I121" i="44" s="1"/>
  <c r="I181" i="44" s="1"/>
  <c r="H112" i="44"/>
  <c r="H121" i="44" s="1"/>
  <c r="H181" i="44" s="1"/>
  <c r="J299" i="43"/>
  <c r="J300" i="43" s="1"/>
  <c r="J256" i="43"/>
  <c r="T300" i="43"/>
  <c r="T112" i="44"/>
  <c r="T121" i="44" s="1"/>
  <c r="T181" i="44" s="1"/>
  <c r="W112" i="44"/>
  <c r="W121" i="44" s="1"/>
  <c r="W181" i="44" s="1"/>
  <c r="V112" i="44"/>
  <c r="V121" i="44" s="1"/>
  <c r="V181" i="44" s="1"/>
  <c r="U112" i="44"/>
  <c r="U121" i="44" s="1"/>
  <c r="U181" i="44" s="1"/>
  <c r="AF112" i="44"/>
  <c r="AF121" i="44" s="1"/>
  <c r="AF181" i="44" s="1"/>
  <c r="AF300" i="43"/>
  <c r="AK112" i="44"/>
  <c r="AK121" i="44" s="1"/>
  <c r="AK181" i="44" s="1"/>
  <c r="AH112" i="44"/>
  <c r="AH121" i="44" s="1"/>
  <c r="AH181" i="44" s="1"/>
  <c r="AJ112" i="44"/>
  <c r="AJ121" i="44" s="1"/>
  <c r="AJ181" i="44" s="1"/>
  <c r="AI112" i="44"/>
  <c r="AI121" i="44" s="1"/>
  <c r="AI181" i="44" s="1"/>
  <c r="AG112" i="44"/>
  <c r="AG121" i="44" s="1"/>
  <c r="AG181" i="44" s="1"/>
  <c r="AM299" i="43"/>
  <c r="AM300" i="43" s="1"/>
  <c r="AM256" i="43"/>
  <c r="Z299" i="43"/>
  <c r="Z300" i="43" s="1"/>
  <c r="Z256" i="43"/>
  <c r="L299" i="43"/>
  <c r="L300" i="43" s="1"/>
  <c r="L256" i="43"/>
  <c r="AL299" i="43"/>
  <c r="AL112" i="44" s="1"/>
  <c r="AL121" i="44" s="1"/>
  <c r="AL181" i="44" s="1"/>
  <c r="AL256" i="43"/>
  <c r="X299" i="43"/>
  <c r="X300" i="43" s="1"/>
  <c r="X256" i="43"/>
  <c r="K299" i="43"/>
  <c r="K300" i="43" s="1"/>
  <c r="K256" i="43"/>
  <c r="G245" i="43"/>
  <c r="G255" i="43"/>
  <c r="AN299" i="43"/>
  <c r="AN300" i="43" s="1"/>
  <c r="AN256" i="43"/>
  <c r="E66" i="10"/>
  <c r="E77" i="10" s="1"/>
  <c r="AL300" i="43" l="1"/>
  <c r="N112" i="44"/>
  <c r="N121" i="44" s="1"/>
  <c r="N181" i="44" s="1"/>
  <c r="O112" i="44"/>
  <c r="O121" i="44" s="1"/>
  <c r="O181" i="44" s="1"/>
  <c r="E300" i="43"/>
  <c r="M52" i="34"/>
  <c r="G113" i="8"/>
  <c r="L40" i="46"/>
  <c r="J52" i="46"/>
  <c r="F52" i="46"/>
  <c r="F54" i="46" s="1"/>
  <c r="AM112" i="44"/>
  <c r="AM121" i="44" s="1"/>
  <c r="AM181" i="44" s="1"/>
  <c r="AC112" i="44"/>
  <c r="AC121" i="44" s="1"/>
  <c r="AC181" i="44" s="1"/>
  <c r="M112" i="44"/>
  <c r="M121" i="44" s="1"/>
  <c r="M181" i="44" s="1"/>
  <c r="G256" i="43"/>
  <c r="G299" i="43"/>
  <c r="P112" i="44"/>
  <c r="P121" i="44" s="1"/>
  <c r="P181" i="44" s="1"/>
  <c r="Q112" i="44"/>
  <c r="Q121" i="44" s="1"/>
  <c r="Q181" i="44" s="1"/>
  <c r="R112" i="44"/>
  <c r="R121" i="44" s="1"/>
  <c r="R181" i="44" s="1"/>
  <c r="X112" i="44"/>
  <c r="X121" i="44" s="1"/>
  <c r="X181" i="44" s="1"/>
  <c r="Y112" i="44"/>
  <c r="Y121" i="44" s="1"/>
  <c r="Y181" i="44" s="1"/>
  <c r="AD112" i="44"/>
  <c r="AD121" i="44" s="1"/>
  <c r="AD181" i="44" s="1"/>
  <c r="AE112" i="44"/>
  <c r="Z112" i="44"/>
  <c r="Z121" i="44" s="1"/>
  <c r="Z181" i="44" s="1"/>
  <c r="S112" i="44"/>
  <c r="F299" i="43"/>
  <c r="F256" i="43"/>
  <c r="AN112" i="44"/>
  <c r="AA112" i="44"/>
  <c r="AA121" i="44" s="1"/>
  <c r="AA181" i="44" s="1"/>
  <c r="AB112" i="44"/>
  <c r="AB121" i="44" s="1"/>
  <c r="AB181" i="44" s="1"/>
  <c r="K112" i="44"/>
  <c r="K121" i="44" s="1"/>
  <c r="K181" i="44" s="1"/>
  <c r="D80" i="35"/>
  <c r="T49" i="34"/>
  <c r="L49" i="34"/>
  <c r="D49" i="34"/>
  <c r="Z45" i="33"/>
  <c r="O45" i="33"/>
  <c r="D45" i="33"/>
  <c r="Z52" i="32"/>
  <c r="O52" i="32"/>
  <c r="D52" i="32"/>
  <c r="D27" i="30"/>
  <c r="D18" i="29"/>
  <c r="D70" i="40"/>
  <c r="D40" i="27"/>
  <c r="D34" i="26"/>
  <c r="D21" i="25"/>
  <c r="D96" i="24"/>
  <c r="D129" i="28"/>
  <c r="D149" i="28"/>
  <c r="D48" i="22"/>
  <c r="D86" i="21"/>
  <c r="D48" i="20"/>
  <c r="D24" i="18"/>
  <c r="D70" i="16"/>
  <c r="D108" i="15"/>
  <c r="D48" i="14"/>
  <c r="D48" i="13"/>
  <c r="D40" i="12"/>
  <c r="D72" i="10"/>
  <c r="D64" i="9"/>
  <c r="D111" i="8"/>
  <c r="CK92" i="28"/>
  <c r="CJ92" i="28"/>
  <c r="CI92" i="28"/>
  <c r="CH92" i="28"/>
  <c r="CG92" i="28"/>
  <c r="CF92" i="28"/>
  <c r="CE92" i="28"/>
  <c r="CD92" i="28"/>
  <c r="CC92" i="28"/>
  <c r="CB92" i="28"/>
  <c r="CA92" i="28"/>
  <c r="BZ92" i="28"/>
  <c r="BY92" i="28"/>
  <c r="BX92" i="28"/>
  <c r="BW92" i="28"/>
  <c r="BV92" i="28"/>
  <c r="BU92" i="28"/>
  <c r="BT92" i="28"/>
  <c r="BS92" i="28"/>
  <c r="BR92" i="28"/>
  <c r="BQ92" i="28"/>
  <c r="BP92" i="28"/>
  <c r="BO92" i="28"/>
  <c r="BN92" i="28"/>
  <c r="BM92" i="28"/>
  <c r="BL92" i="28"/>
  <c r="BK92" i="28"/>
  <c r="BJ92" i="28"/>
  <c r="BI92" i="28"/>
  <c r="BH92" i="28"/>
  <c r="BG92" i="28"/>
  <c r="BF92" i="28"/>
  <c r="BE92" i="28"/>
  <c r="BD92" i="28"/>
  <c r="BC92" i="28"/>
  <c r="BB92" i="28"/>
  <c r="BA92" i="28"/>
  <c r="AZ92" i="28"/>
  <c r="AY92" i="28"/>
  <c r="AX92" i="28"/>
  <c r="AW92" i="28"/>
  <c r="AV92" i="28"/>
  <c r="AU92" i="28"/>
  <c r="AT92" i="28"/>
  <c r="AS92" i="28"/>
  <c r="AR92" i="28"/>
  <c r="AQ92" i="28"/>
  <c r="AP92" i="28"/>
  <c r="AO92" i="28"/>
  <c r="AN92" i="28"/>
  <c r="AM92" i="28"/>
  <c r="AL92" i="28"/>
  <c r="AK92" i="28"/>
  <c r="AJ92" i="28"/>
  <c r="AI92" i="28"/>
  <c r="AH92" i="28"/>
  <c r="AG92" i="28"/>
  <c r="AF92" i="28"/>
  <c r="AE92" i="28"/>
  <c r="AD92" i="28"/>
  <c r="AC92" i="28"/>
  <c r="AB92" i="28"/>
  <c r="AA92" i="28"/>
  <c r="Z92" i="28"/>
  <c r="Y92" i="28"/>
  <c r="X92" i="28"/>
  <c r="W92" i="28"/>
  <c r="V92" i="28"/>
  <c r="U92" i="28"/>
  <c r="T92" i="28"/>
  <c r="S92" i="28"/>
  <c r="R92" i="28"/>
  <c r="CK91" i="28"/>
  <c r="CJ91" i="28"/>
  <c r="CI91" i="28"/>
  <c r="CH91" i="28"/>
  <c r="CG91" i="28"/>
  <c r="CF91" i="28"/>
  <c r="CE91" i="28"/>
  <c r="CD91" i="28"/>
  <c r="CC91" i="28"/>
  <c r="CB91" i="28"/>
  <c r="CA91" i="28"/>
  <c r="BZ91" i="28"/>
  <c r="BY91" i="28"/>
  <c r="BX91" i="28"/>
  <c r="BW91" i="28"/>
  <c r="BV91" i="28"/>
  <c r="BU91" i="28"/>
  <c r="BT91" i="28"/>
  <c r="BS91" i="28"/>
  <c r="BR91" i="28"/>
  <c r="BQ91" i="28"/>
  <c r="BP91" i="28"/>
  <c r="BO91" i="28"/>
  <c r="BN91" i="28"/>
  <c r="BM91" i="28"/>
  <c r="BL91" i="28"/>
  <c r="BK91" i="28"/>
  <c r="BJ91" i="28"/>
  <c r="BI91" i="28"/>
  <c r="BH91" i="28"/>
  <c r="BG91" i="28"/>
  <c r="BF91" i="28"/>
  <c r="BE91" i="28"/>
  <c r="BD91" i="28"/>
  <c r="BC91" i="28"/>
  <c r="BB91" i="28"/>
  <c r="BA91" i="28"/>
  <c r="AZ91" i="28"/>
  <c r="AY91" i="28"/>
  <c r="AX91" i="28"/>
  <c r="AW91" i="28"/>
  <c r="AW96" i="28" s="1"/>
  <c r="AV91" i="28"/>
  <c r="AV96" i="28" s="1"/>
  <c r="AU91" i="28"/>
  <c r="AU96" i="28" s="1"/>
  <c r="AT91" i="28"/>
  <c r="AT96" i="28" s="1"/>
  <c r="AS91" i="28"/>
  <c r="AS96" i="28" s="1"/>
  <c r="AR91" i="28"/>
  <c r="AR96" i="28" s="1"/>
  <c r="AQ91" i="28"/>
  <c r="AQ96" i="28" s="1"/>
  <c r="AP91" i="28"/>
  <c r="AP96" i="28" s="1"/>
  <c r="AO91" i="28"/>
  <c r="AO96" i="28" s="1"/>
  <c r="AN91" i="28"/>
  <c r="AN96" i="28" s="1"/>
  <c r="AM91" i="28"/>
  <c r="AM96" i="28" s="1"/>
  <c r="AL91" i="28"/>
  <c r="AL96" i="28" s="1"/>
  <c r="AK91" i="28"/>
  <c r="AK96" i="28" s="1"/>
  <c r="AJ91" i="28"/>
  <c r="AJ96" i="28" s="1"/>
  <c r="AI91" i="28"/>
  <c r="AI96" i="28" s="1"/>
  <c r="AH91" i="28"/>
  <c r="AH96" i="28" s="1"/>
  <c r="AG91" i="28"/>
  <c r="AG96" i="28" s="1"/>
  <c r="AF91" i="28"/>
  <c r="AF96" i="28" s="1"/>
  <c r="AE91" i="28"/>
  <c r="AE96" i="28" s="1"/>
  <c r="AD91" i="28"/>
  <c r="AD96" i="28" s="1"/>
  <c r="AC91" i="28"/>
  <c r="AC96" i="28" s="1"/>
  <c r="AB91" i="28"/>
  <c r="AB96" i="28" s="1"/>
  <c r="AA91" i="28"/>
  <c r="AA96" i="28" s="1"/>
  <c r="Z91" i="28"/>
  <c r="Z96" i="28" s="1"/>
  <c r="Y91" i="28"/>
  <c r="Y96" i="28" s="1"/>
  <c r="X91" i="28"/>
  <c r="X96" i="28" s="1"/>
  <c r="W91" i="28"/>
  <c r="W96" i="28" s="1"/>
  <c r="V91" i="28"/>
  <c r="V96" i="28" s="1"/>
  <c r="U91" i="28"/>
  <c r="U96" i="28" s="1"/>
  <c r="T91" i="28"/>
  <c r="T96" i="28" s="1"/>
  <c r="S91" i="28"/>
  <c r="S96" i="28" s="1"/>
  <c r="R91" i="28"/>
  <c r="R96" i="28" s="1"/>
  <c r="Q92" i="28"/>
  <c r="Q91" i="28"/>
  <c r="CK103" i="28"/>
  <c r="CJ103" i="28"/>
  <c r="CI103" i="28"/>
  <c r="CH103" i="28"/>
  <c r="CG103" i="28"/>
  <c r="CF103" i="28"/>
  <c r="CE103" i="28"/>
  <c r="CD103" i="28"/>
  <c r="CC103" i="28"/>
  <c r="CB103" i="28"/>
  <c r="CA103" i="28"/>
  <c r="BZ103" i="28"/>
  <c r="BY103" i="28"/>
  <c r="BX103" i="28"/>
  <c r="BW103" i="28"/>
  <c r="BV103" i="28"/>
  <c r="BU103" i="28"/>
  <c r="BT103" i="28"/>
  <c r="BS103" i="28"/>
  <c r="BR103" i="28"/>
  <c r="BQ103" i="28"/>
  <c r="BP103" i="28"/>
  <c r="BO103" i="28"/>
  <c r="BN103" i="28"/>
  <c r="BM103" i="28"/>
  <c r="BL103" i="28"/>
  <c r="BK103" i="28"/>
  <c r="BJ103" i="28"/>
  <c r="BI103" i="28"/>
  <c r="BH103" i="28"/>
  <c r="BG103" i="28"/>
  <c r="BF103" i="28"/>
  <c r="BE103" i="28"/>
  <c r="BD103" i="28"/>
  <c r="BC103" i="28"/>
  <c r="BB103" i="28"/>
  <c r="BA103" i="28"/>
  <c r="AZ103" i="28"/>
  <c r="AY103" i="28"/>
  <c r="AX103" i="28"/>
  <c r="AW103" i="28"/>
  <c r="AV103" i="28"/>
  <c r="AU103" i="28"/>
  <c r="AT103" i="28"/>
  <c r="AS103" i="28"/>
  <c r="AR103" i="28"/>
  <c r="AQ103" i="28"/>
  <c r="AP103" i="28"/>
  <c r="AO103" i="28"/>
  <c r="AN103" i="28"/>
  <c r="AM103" i="28"/>
  <c r="AL103" i="28"/>
  <c r="AK103" i="28"/>
  <c r="AJ103" i="28"/>
  <c r="AI103" i="28"/>
  <c r="AH103" i="28"/>
  <c r="AG103" i="28"/>
  <c r="AF103" i="28"/>
  <c r="AE103" i="28"/>
  <c r="AD103" i="28"/>
  <c r="AC103" i="28"/>
  <c r="AB103" i="28"/>
  <c r="AA103" i="28"/>
  <c r="Z103" i="28"/>
  <c r="Y103" i="28"/>
  <c r="X103" i="28"/>
  <c r="W103" i="28"/>
  <c r="V103" i="28"/>
  <c r="U103" i="28"/>
  <c r="T103" i="28"/>
  <c r="S103" i="28"/>
  <c r="R103" i="28"/>
  <c r="Q103" i="28"/>
  <c r="P103" i="28"/>
  <c r="O103" i="28"/>
  <c r="N103" i="28"/>
  <c r="M103" i="28"/>
  <c r="L103" i="28"/>
  <c r="K103" i="28"/>
  <c r="J103" i="28"/>
  <c r="I103" i="28"/>
  <c r="H103" i="28"/>
  <c r="G103" i="28"/>
  <c r="F103" i="28"/>
  <c r="E103" i="28"/>
  <c r="E92" i="28"/>
  <c r="E91" i="28"/>
  <c r="AT107" i="28"/>
  <c r="AS107" i="28"/>
  <c r="AR107" i="28"/>
  <c r="AQ107" i="28"/>
  <c r="AP107" i="28"/>
  <c r="AO107" i="28"/>
  <c r="AN107" i="28"/>
  <c r="AM107" i="28"/>
  <c r="AL107" i="28"/>
  <c r="AK107" i="28"/>
  <c r="AJ107" i="28"/>
  <c r="AI107" i="28"/>
  <c r="AH107" i="28"/>
  <c r="AG107" i="28"/>
  <c r="AF107" i="28"/>
  <c r="AE107" i="28"/>
  <c r="AD107" i="28"/>
  <c r="P149" i="28"/>
  <c r="O149" i="28"/>
  <c r="P129" i="28"/>
  <c r="O129" i="28"/>
  <c r="P147" i="28"/>
  <c r="O147" i="28"/>
  <c r="P145" i="28"/>
  <c r="O145" i="28"/>
  <c r="P142" i="28"/>
  <c r="O142" i="28"/>
  <c r="P139" i="28"/>
  <c r="O139" i="28"/>
  <c r="P127" i="28"/>
  <c r="O127" i="28"/>
  <c r="P125" i="28"/>
  <c r="O125" i="28"/>
  <c r="P122" i="28"/>
  <c r="O122" i="28"/>
  <c r="P119" i="28"/>
  <c r="O119" i="28"/>
  <c r="P115" i="28"/>
  <c r="P114" i="28"/>
  <c r="O113" i="28"/>
  <c r="O112" i="28"/>
  <c r="Y135" i="28"/>
  <c r="X135" i="28"/>
  <c r="W135" i="28"/>
  <c r="V135" i="28"/>
  <c r="U135" i="28"/>
  <c r="Y134" i="28"/>
  <c r="X134" i="28"/>
  <c r="W134" i="28"/>
  <c r="V134" i="28"/>
  <c r="U134" i="28"/>
  <c r="Y133" i="28"/>
  <c r="X133" i="28"/>
  <c r="W133" i="28"/>
  <c r="V133" i="28"/>
  <c r="U133" i="28"/>
  <c r="Y132" i="28"/>
  <c r="X132" i="28"/>
  <c r="W132" i="28"/>
  <c r="V132" i="28"/>
  <c r="U132" i="28"/>
  <c r="Y115" i="28"/>
  <c r="Y114" i="28"/>
  <c r="Y113" i="28"/>
  <c r="Y112" i="28"/>
  <c r="X115" i="28"/>
  <c r="W115" i="28"/>
  <c r="V115" i="28"/>
  <c r="U115" i="28"/>
  <c r="X114" i="28"/>
  <c r="W114" i="28"/>
  <c r="V114" i="28"/>
  <c r="U114" i="28"/>
  <c r="X113" i="28"/>
  <c r="W113" i="28"/>
  <c r="V113" i="28"/>
  <c r="U113" i="28"/>
  <c r="X112" i="28"/>
  <c r="W112" i="28"/>
  <c r="V112" i="28"/>
  <c r="U112" i="28"/>
  <c r="G300" i="43" l="1"/>
  <c r="J113" i="8"/>
  <c r="F300" i="43"/>
  <c r="U52" i="34"/>
  <c r="H113" i="8"/>
  <c r="L52" i="46"/>
  <c r="L54" i="46" s="1"/>
  <c r="AN121" i="44"/>
  <c r="G112" i="44"/>
  <c r="S121" i="44"/>
  <c r="E112" i="44"/>
  <c r="AE121" i="44"/>
  <c r="F112" i="44"/>
  <c r="I111" i="28"/>
  <c r="J111" i="28"/>
  <c r="K111" i="28"/>
  <c r="L111" i="28"/>
  <c r="M111" i="28"/>
  <c r="CK107" i="28"/>
  <c r="CJ107" i="28"/>
  <c r="CI107" i="28"/>
  <c r="CH107" i="28"/>
  <c r="CG107" i="28"/>
  <c r="CF107" i="28"/>
  <c r="CE107" i="28"/>
  <c r="CD107" i="28"/>
  <c r="CC107" i="28"/>
  <c r="CB107" i="28"/>
  <c r="CA107" i="28"/>
  <c r="BZ107" i="28"/>
  <c r="BY107" i="28"/>
  <c r="BX107" i="28"/>
  <c r="BW107" i="28"/>
  <c r="BV107" i="28"/>
  <c r="BU107" i="28"/>
  <c r="BT107" i="28"/>
  <c r="BS107" i="28"/>
  <c r="BR107" i="28"/>
  <c r="BQ107" i="28"/>
  <c r="BP107" i="28"/>
  <c r="BO107" i="28"/>
  <c r="BN107" i="28"/>
  <c r="BM107" i="28"/>
  <c r="BL107" i="28"/>
  <c r="BK107" i="28"/>
  <c r="BJ107" i="28"/>
  <c r="BI107" i="28"/>
  <c r="BH107" i="28"/>
  <c r="BG107" i="28"/>
  <c r="BF107" i="28"/>
  <c r="BE107" i="28"/>
  <c r="BD107" i="28"/>
  <c r="BC107" i="28"/>
  <c r="BB107" i="28"/>
  <c r="BA107" i="28"/>
  <c r="AZ107" i="28"/>
  <c r="AY107" i="28"/>
  <c r="AX107" i="28"/>
  <c r="AW107" i="28"/>
  <c r="AV107" i="28"/>
  <c r="AU107" i="28"/>
  <c r="AC107" i="28"/>
  <c r="F121" i="44" l="1"/>
  <c r="J53" i="46" s="1"/>
  <c r="J54" i="46" s="1"/>
  <c r="AE123" i="44"/>
  <c r="AE181" i="44"/>
  <c r="E121" i="44"/>
  <c r="D53" i="46" s="1"/>
  <c r="D54" i="46" s="1"/>
  <c r="S181" i="44"/>
  <c r="S123" i="44"/>
  <c r="AN181" i="44"/>
  <c r="G181" i="44" s="1"/>
  <c r="G121" i="44"/>
  <c r="CK83" i="28"/>
  <c r="CJ83" i="28"/>
  <c r="CI83" i="28"/>
  <c r="CH83" i="28"/>
  <c r="CG83" i="28"/>
  <c r="CF83" i="28"/>
  <c r="CE83" i="28"/>
  <c r="CD83" i="28"/>
  <c r="CC83" i="28"/>
  <c r="CB83" i="28"/>
  <c r="CA83" i="28"/>
  <c r="BZ83" i="28"/>
  <c r="BY83" i="28"/>
  <c r="BX83" i="28"/>
  <c r="BW83" i="28"/>
  <c r="BV83" i="28"/>
  <c r="BU83" i="28"/>
  <c r="BT83" i="28"/>
  <c r="BS83" i="28"/>
  <c r="BR83" i="28"/>
  <c r="BQ83" i="28"/>
  <c r="BP83" i="28"/>
  <c r="BO83" i="28"/>
  <c r="BN83" i="28"/>
  <c r="BM83" i="28"/>
  <c r="BL83" i="28"/>
  <c r="BK83" i="28"/>
  <c r="BJ83" i="28"/>
  <c r="BI83" i="28"/>
  <c r="BH83" i="28"/>
  <c r="BG83" i="28"/>
  <c r="BF83" i="28"/>
  <c r="BE83" i="28"/>
  <c r="BD83" i="28"/>
  <c r="BC83" i="28"/>
  <c r="BB83" i="28"/>
  <c r="BA83" i="28"/>
  <c r="AZ83" i="28"/>
  <c r="AY83" i="28"/>
  <c r="AX83" i="28"/>
  <c r="AW83" i="28"/>
  <c r="AV83" i="28"/>
  <c r="AU83" i="28"/>
  <c r="AT83" i="28"/>
  <c r="AS83" i="28"/>
  <c r="AR83" i="28"/>
  <c r="AQ83" i="28"/>
  <c r="AP83" i="28"/>
  <c r="AO83" i="28"/>
  <c r="AN83" i="28"/>
  <c r="AM83" i="28"/>
  <c r="AL83" i="28"/>
  <c r="AK83" i="28"/>
  <c r="AJ83" i="28"/>
  <c r="AI83" i="28"/>
  <c r="AH83" i="28"/>
  <c r="AG83" i="28"/>
  <c r="AF83" i="28"/>
  <c r="AE83" i="28"/>
  <c r="AD83" i="28"/>
  <c r="AC83" i="28"/>
  <c r="AB83" i="28"/>
  <c r="AA83" i="28"/>
  <c r="Z83" i="28"/>
  <c r="Y83" i="28"/>
  <c r="X83" i="28"/>
  <c r="W83" i="28"/>
  <c r="V83" i="28"/>
  <c r="U83" i="28"/>
  <c r="T83" i="28"/>
  <c r="S83" i="28"/>
  <c r="R83" i="28"/>
  <c r="Q83" i="28"/>
  <c r="P83" i="28"/>
  <c r="O83" i="28"/>
  <c r="N83" i="28"/>
  <c r="M83" i="28"/>
  <c r="L83" i="28"/>
  <c r="K83" i="28"/>
  <c r="J83" i="28"/>
  <c r="I83" i="28"/>
  <c r="H83" i="28"/>
  <c r="G83" i="28"/>
  <c r="F83" i="28"/>
  <c r="CK74" i="28"/>
  <c r="CJ74" i="28"/>
  <c r="CI74" i="28"/>
  <c r="CH74" i="28"/>
  <c r="CG74" i="28"/>
  <c r="CF74" i="28"/>
  <c r="CE74" i="28"/>
  <c r="CD74" i="28"/>
  <c r="CC74" i="28"/>
  <c r="CB74" i="28"/>
  <c r="CA74" i="28"/>
  <c r="BZ74" i="28"/>
  <c r="BY74" i="28"/>
  <c r="BX74" i="28"/>
  <c r="BW74" i="28"/>
  <c r="BV74" i="28"/>
  <c r="BU74" i="28"/>
  <c r="BT74" i="28"/>
  <c r="BS74" i="28"/>
  <c r="BR74" i="28"/>
  <c r="BQ74" i="28"/>
  <c r="BP74" i="28"/>
  <c r="BO74" i="28"/>
  <c r="BN74" i="28"/>
  <c r="BM74" i="28"/>
  <c r="BL74" i="28"/>
  <c r="BK74" i="28"/>
  <c r="BJ74" i="28"/>
  <c r="BI74" i="28"/>
  <c r="BH74" i="28"/>
  <c r="BG74" i="28"/>
  <c r="BF74" i="28"/>
  <c r="BE74" i="28"/>
  <c r="BD74" i="28"/>
  <c r="BC74" i="28"/>
  <c r="BB74" i="28"/>
  <c r="BA74" i="28"/>
  <c r="AZ74" i="28"/>
  <c r="AY74" i="28"/>
  <c r="AX74" i="28"/>
  <c r="AW74" i="28"/>
  <c r="AV74" i="28"/>
  <c r="AU74" i="28"/>
  <c r="AT74" i="28"/>
  <c r="AS74" i="28"/>
  <c r="AR74" i="28"/>
  <c r="AQ74" i="28"/>
  <c r="AP74" i="28"/>
  <c r="AO74" i="28"/>
  <c r="AN74" i="28"/>
  <c r="AM74" i="28"/>
  <c r="AL74" i="28"/>
  <c r="AK74" i="28"/>
  <c r="AJ74" i="28"/>
  <c r="AI74" i="28"/>
  <c r="AH74" i="28"/>
  <c r="AG74" i="28"/>
  <c r="AF74" i="28"/>
  <c r="AE74" i="28"/>
  <c r="AD74" i="28"/>
  <c r="AC74" i="28"/>
  <c r="AB74" i="28"/>
  <c r="AA74" i="28"/>
  <c r="Z74" i="28"/>
  <c r="Y74" i="28"/>
  <c r="X74" i="28"/>
  <c r="W74" i="28"/>
  <c r="V74" i="28"/>
  <c r="U74" i="28"/>
  <c r="T74" i="28"/>
  <c r="S74" i="28"/>
  <c r="R74" i="28"/>
  <c r="Q74" i="28"/>
  <c r="P74" i="28"/>
  <c r="O74" i="28"/>
  <c r="N74" i="28"/>
  <c r="M74" i="28"/>
  <c r="L74" i="28"/>
  <c r="K74" i="28"/>
  <c r="J74" i="28"/>
  <c r="I74" i="28"/>
  <c r="H74" i="28"/>
  <c r="G74" i="28"/>
  <c r="F74" i="28"/>
  <c r="AE183" i="44" l="1"/>
  <c r="F181" i="44"/>
  <c r="S183" i="44"/>
  <c r="E181" i="44"/>
  <c r="E62" i="28"/>
  <c r="E61" i="28"/>
  <c r="E60" i="28"/>
  <c r="E59" i="28"/>
  <c r="E58" i="28"/>
  <c r="E54" i="28"/>
  <c r="E53" i="28"/>
  <c r="E52" i="28"/>
  <c r="E51" i="28"/>
  <c r="E49" i="28"/>
  <c r="E48" i="28"/>
  <c r="E47" i="28"/>
  <c r="E46" i="28"/>
  <c r="E45" i="28"/>
  <c r="E44" i="28"/>
  <c r="E40" i="28"/>
  <c r="E39" i="28"/>
  <c r="E38" i="28"/>
  <c r="E37" i="28"/>
  <c r="E36" i="28"/>
  <c r="E35" i="28"/>
  <c r="E34" i="28"/>
  <c r="E33" i="28"/>
  <c r="E32" i="28"/>
  <c r="E30" i="28"/>
  <c r="E29" i="28"/>
  <c r="E28" i="28"/>
  <c r="E27" i="28"/>
  <c r="E26" i="28"/>
  <c r="E25" i="28"/>
  <c r="E24" i="28"/>
  <c r="E22" i="28"/>
  <c r="E21" i="28"/>
  <c r="E20" i="28"/>
  <c r="E19" i="28"/>
  <c r="E18" i="28"/>
  <c r="E97" i="28" s="1"/>
  <c r="E17" i="28"/>
  <c r="E96" i="28" s="1"/>
  <c r="E16" i="28"/>
  <c r="E95" i="28" s="1"/>
  <c r="E14" i="28"/>
  <c r="E13" i="28"/>
  <c r="E12" i="28"/>
  <c r="E11" i="28"/>
  <c r="E10" i="28"/>
  <c r="E9" i="28"/>
  <c r="E83" i="28"/>
  <c r="E74" i="28"/>
  <c r="C149" i="28"/>
  <c r="E98" i="28" l="1"/>
  <c r="E50" i="28"/>
  <c r="E31" i="28"/>
  <c r="E41" i="28"/>
  <c r="E23" i="28"/>
  <c r="E86" i="28" s="1"/>
  <c r="E15" i="28"/>
  <c r="D135" i="28"/>
  <c r="P135" i="28" s="1"/>
  <c r="D134" i="28"/>
  <c r="P134" i="28" s="1"/>
  <c r="C133" i="28"/>
  <c r="O133" i="28" s="1"/>
  <c r="C132" i="28"/>
  <c r="O132" i="28" s="1"/>
  <c r="CK56" i="40"/>
  <c r="CJ56" i="40"/>
  <c r="CI56" i="40"/>
  <c r="CH56" i="40"/>
  <c r="CG56" i="40"/>
  <c r="CF56" i="40"/>
  <c r="CE56" i="40"/>
  <c r="CD56" i="40"/>
  <c r="CC56" i="40"/>
  <c r="CB56" i="40"/>
  <c r="CA56" i="40"/>
  <c r="BZ56" i="40"/>
  <c r="BY56" i="40"/>
  <c r="BX56" i="40"/>
  <c r="BW56" i="40"/>
  <c r="BV56" i="40"/>
  <c r="BU56" i="40"/>
  <c r="BT56" i="40"/>
  <c r="BS56" i="40"/>
  <c r="BR56" i="40"/>
  <c r="BQ56" i="40"/>
  <c r="BP56" i="40"/>
  <c r="BO56" i="40"/>
  <c r="BN56" i="40"/>
  <c r="BM56" i="40"/>
  <c r="BL56" i="40"/>
  <c r="BK56" i="40"/>
  <c r="BJ56" i="40"/>
  <c r="BI56" i="40"/>
  <c r="BH56" i="40"/>
  <c r="BG56" i="40"/>
  <c r="BF56" i="40"/>
  <c r="BE56" i="40"/>
  <c r="BD56" i="40"/>
  <c r="BC56" i="40"/>
  <c r="BB56" i="40"/>
  <c r="BA56" i="40"/>
  <c r="AZ56" i="40"/>
  <c r="AY56" i="40"/>
  <c r="AX56" i="40"/>
  <c r="AW56" i="40"/>
  <c r="AV56" i="40"/>
  <c r="AU56" i="40"/>
  <c r="AT56" i="40"/>
  <c r="AS56" i="40"/>
  <c r="AR56" i="40"/>
  <c r="AQ56" i="40"/>
  <c r="AP56" i="40"/>
  <c r="AO56" i="40"/>
  <c r="AN56" i="40"/>
  <c r="AM56" i="40"/>
  <c r="AL56" i="40"/>
  <c r="AK56" i="40"/>
  <c r="AJ56" i="40"/>
  <c r="AI56" i="40"/>
  <c r="AH56" i="40"/>
  <c r="AG56" i="40"/>
  <c r="AF56" i="40"/>
  <c r="AE56" i="40"/>
  <c r="AD56" i="40"/>
  <c r="AC56" i="40"/>
  <c r="AB56" i="40"/>
  <c r="AA56" i="40"/>
  <c r="Z56" i="40"/>
  <c r="Y56" i="40"/>
  <c r="X56" i="40"/>
  <c r="W56" i="40"/>
  <c r="V56" i="40"/>
  <c r="U56" i="40"/>
  <c r="T56" i="40"/>
  <c r="S56" i="40"/>
  <c r="R56" i="40"/>
  <c r="Q56" i="40"/>
  <c r="P56" i="40"/>
  <c r="O56" i="40"/>
  <c r="N56" i="40"/>
  <c r="M56" i="40"/>
  <c r="L56" i="40"/>
  <c r="K56" i="40"/>
  <c r="J56" i="40"/>
  <c r="I56" i="40"/>
  <c r="H56" i="40"/>
  <c r="G56" i="40"/>
  <c r="F56" i="40"/>
  <c r="F57" i="40" s="1"/>
  <c r="E63" i="28"/>
  <c r="F58" i="28" s="1"/>
  <c r="F63" i="28" s="1"/>
  <c r="G58" i="28" s="1"/>
  <c r="G63" i="28" s="1"/>
  <c r="H58" i="28" s="1"/>
  <c r="H63" i="28" s="1"/>
  <c r="I58" i="28" s="1"/>
  <c r="I63" i="28" s="1"/>
  <c r="J58" i="28" s="1"/>
  <c r="J63" i="28" s="1"/>
  <c r="K58" i="28" s="1"/>
  <c r="K63" i="28" s="1"/>
  <c r="L58" i="28" s="1"/>
  <c r="L63" i="28" s="1"/>
  <c r="M58" i="28" s="1"/>
  <c r="M63" i="28" s="1"/>
  <c r="N58" i="28" s="1"/>
  <c r="N63" i="28" s="1"/>
  <c r="O58" i="28" s="1"/>
  <c r="O63" i="28" s="1"/>
  <c r="P58" i="28" s="1"/>
  <c r="P63" i="28" s="1"/>
  <c r="Q58" i="28" s="1"/>
  <c r="Q63" i="28" s="1"/>
  <c r="R58" i="28" s="1"/>
  <c r="R63" i="28" s="1"/>
  <c r="S58" i="28" s="1"/>
  <c r="S63" i="28" s="1"/>
  <c r="T58" i="28" s="1"/>
  <c r="T63" i="28" s="1"/>
  <c r="U58" i="28" s="1"/>
  <c r="U63" i="28" s="1"/>
  <c r="V58" i="28" s="1"/>
  <c r="V63" i="28" s="1"/>
  <c r="W58" i="28" s="1"/>
  <c r="W63" i="28" s="1"/>
  <c r="X58" i="28" s="1"/>
  <c r="X63" i="28" s="1"/>
  <c r="Y58" i="28" s="1"/>
  <c r="Y63" i="28" s="1"/>
  <c r="Z58" i="28" s="1"/>
  <c r="Z63" i="28" s="1"/>
  <c r="AA58" i="28" s="1"/>
  <c r="AA63" i="28" s="1"/>
  <c r="AB58" i="28" s="1"/>
  <c r="AB63" i="28" s="1"/>
  <c r="AC58" i="28" s="1"/>
  <c r="AC63" i="28" s="1"/>
  <c r="AD58" i="28" s="1"/>
  <c r="AD63" i="28" s="1"/>
  <c r="AE58" i="28" s="1"/>
  <c r="AE63" i="28" s="1"/>
  <c r="AF58" i="28" s="1"/>
  <c r="AF63" i="28" s="1"/>
  <c r="AG58" i="28" s="1"/>
  <c r="AG63" i="28" s="1"/>
  <c r="AH58" i="28" s="1"/>
  <c r="AH63" i="28" s="1"/>
  <c r="AI58" i="28" s="1"/>
  <c r="AI63" i="28" s="1"/>
  <c r="AJ58" i="28" s="1"/>
  <c r="AJ63" i="28" s="1"/>
  <c r="AK58" i="28" s="1"/>
  <c r="AK63" i="28" s="1"/>
  <c r="AL58" i="28" s="1"/>
  <c r="AL63" i="28" s="1"/>
  <c r="AM58" i="28" s="1"/>
  <c r="AM63" i="28" s="1"/>
  <c r="AN58" i="28" s="1"/>
  <c r="AN63" i="28" s="1"/>
  <c r="AO58" i="28" s="1"/>
  <c r="AO63" i="28" s="1"/>
  <c r="AP58" i="28" s="1"/>
  <c r="AP63" i="28" s="1"/>
  <c r="AQ58" i="28" s="1"/>
  <c r="AQ63" i="28" s="1"/>
  <c r="AR58" i="28" s="1"/>
  <c r="AR63" i="28" s="1"/>
  <c r="AS58" i="28" s="1"/>
  <c r="AS63" i="28" s="1"/>
  <c r="AT58" i="28" s="1"/>
  <c r="AT63" i="28" s="1"/>
  <c r="AU58" i="28" s="1"/>
  <c r="AU63" i="28" s="1"/>
  <c r="AV58" i="28" s="1"/>
  <c r="AV63" i="28" s="1"/>
  <c r="AW58" i="28" s="1"/>
  <c r="AW63" i="28" s="1"/>
  <c r="AX58" i="28" s="1"/>
  <c r="AX63" i="28" s="1"/>
  <c r="AY58" i="28" s="1"/>
  <c r="AY63" i="28" s="1"/>
  <c r="AZ58" i="28" s="1"/>
  <c r="AZ63" i="28" s="1"/>
  <c r="BA58" i="28" s="1"/>
  <c r="BA63" i="28" s="1"/>
  <c r="BB58" i="28" s="1"/>
  <c r="BB63" i="28" s="1"/>
  <c r="BC58" i="28" s="1"/>
  <c r="BC63" i="28" s="1"/>
  <c r="BD58" i="28" s="1"/>
  <c r="BD63" i="28" s="1"/>
  <c r="BE58" i="28" s="1"/>
  <c r="BE63" i="28" s="1"/>
  <c r="BF58" i="28" s="1"/>
  <c r="BF63" i="28" s="1"/>
  <c r="BG58" i="28" s="1"/>
  <c r="BG63" i="28" s="1"/>
  <c r="BH58" i="28" s="1"/>
  <c r="BH63" i="28" s="1"/>
  <c r="BI58" i="28" s="1"/>
  <c r="BI63" i="28" s="1"/>
  <c r="BJ58" i="28" s="1"/>
  <c r="BJ63" i="28" s="1"/>
  <c r="BK58" i="28" s="1"/>
  <c r="BK63" i="28" s="1"/>
  <c r="BL58" i="28" s="1"/>
  <c r="BL63" i="28" s="1"/>
  <c r="BM58" i="28" s="1"/>
  <c r="BM63" i="28" s="1"/>
  <c r="BN58" i="28" s="1"/>
  <c r="BN63" i="28" s="1"/>
  <c r="BO58" i="28" s="1"/>
  <c r="BO63" i="28" s="1"/>
  <c r="BP58" i="28" s="1"/>
  <c r="BP63" i="28" s="1"/>
  <c r="BQ58" i="28" s="1"/>
  <c r="BQ63" i="28" s="1"/>
  <c r="BR58" i="28" s="1"/>
  <c r="BR63" i="28" s="1"/>
  <c r="BS58" i="28" s="1"/>
  <c r="BS63" i="28" s="1"/>
  <c r="BT58" i="28" s="1"/>
  <c r="BT63" i="28" s="1"/>
  <c r="BU58" i="28" s="1"/>
  <c r="BU63" i="28" s="1"/>
  <c r="BV58" i="28" s="1"/>
  <c r="BV63" i="28" s="1"/>
  <c r="BW58" i="28" s="1"/>
  <c r="BW63" i="28" s="1"/>
  <c r="BX58" i="28" s="1"/>
  <c r="BX63" i="28" s="1"/>
  <c r="BY58" i="28" s="1"/>
  <c r="BY63" i="28" s="1"/>
  <c r="BZ58" i="28" s="1"/>
  <c r="BZ63" i="28" s="1"/>
  <c r="CA58" i="28" s="1"/>
  <c r="CA63" i="28" s="1"/>
  <c r="CB58" i="28" s="1"/>
  <c r="CB63" i="28" s="1"/>
  <c r="CC58" i="28" s="1"/>
  <c r="CC63" i="28" s="1"/>
  <c r="CD58" i="28" s="1"/>
  <c r="CD63" i="28" s="1"/>
  <c r="CE58" i="28" s="1"/>
  <c r="CE63" i="28" s="1"/>
  <c r="CF58" i="28" s="1"/>
  <c r="CF63" i="28" s="1"/>
  <c r="CG58" i="28" s="1"/>
  <c r="CG63" i="28" s="1"/>
  <c r="CH58" i="28" s="1"/>
  <c r="CH63" i="28" s="1"/>
  <c r="CI58" i="28" s="1"/>
  <c r="CI63" i="28" s="1"/>
  <c r="CJ58" i="28" s="1"/>
  <c r="CJ63" i="28" s="1"/>
  <c r="CK58" i="28" s="1"/>
  <c r="CK63" i="28" s="1"/>
  <c r="CK53" i="40"/>
  <c r="CJ53" i="40"/>
  <c r="CI53" i="40"/>
  <c r="CH53" i="40"/>
  <c r="CG53" i="40"/>
  <c r="CF53" i="40"/>
  <c r="CE53" i="40"/>
  <c r="CD53" i="40"/>
  <c r="CC53" i="40"/>
  <c r="CB53" i="40"/>
  <c r="CA53" i="40"/>
  <c r="BZ53" i="40"/>
  <c r="BY53" i="40"/>
  <c r="BX53" i="40"/>
  <c r="BW53" i="40"/>
  <c r="BV53" i="40"/>
  <c r="BU53" i="40"/>
  <c r="BT53" i="40"/>
  <c r="BS53" i="40"/>
  <c r="BR53" i="40"/>
  <c r="BQ53" i="40"/>
  <c r="BP53" i="40"/>
  <c r="BO53" i="40"/>
  <c r="BN53" i="40"/>
  <c r="BM53" i="40"/>
  <c r="BL53" i="40"/>
  <c r="BK53" i="40"/>
  <c r="BJ53" i="40"/>
  <c r="BI53" i="40"/>
  <c r="BH53" i="40"/>
  <c r="BG53" i="40"/>
  <c r="BF53" i="40"/>
  <c r="BE53" i="40"/>
  <c r="BD53" i="40"/>
  <c r="BC53" i="40"/>
  <c r="BB53" i="40"/>
  <c r="BA53" i="40"/>
  <c r="AZ53" i="40"/>
  <c r="AY53" i="40"/>
  <c r="AX53" i="40"/>
  <c r="AW53" i="40"/>
  <c r="AV53" i="40"/>
  <c r="AU53" i="40"/>
  <c r="AT53" i="40"/>
  <c r="AS53" i="40"/>
  <c r="AR53" i="40"/>
  <c r="AQ53" i="40"/>
  <c r="AP53" i="40"/>
  <c r="AO53" i="40"/>
  <c r="AN53" i="40"/>
  <c r="AM53" i="40"/>
  <c r="AL53" i="40"/>
  <c r="AK53" i="40"/>
  <c r="AJ53" i="40"/>
  <c r="AI53" i="40"/>
  <c r="AH53" i="40"/>
  <c r="AG53" i="40"/>
  <c r="AF53" i="40"/>
  <c r="AE53" i="40"/>
  <c r="AD53" i="40"/>
  <c r="AC53" i="40"/>
  <c r="AB53" i="40"/>
  <c r="AA53" i="40"/>
  <c r="Z53" i="40"/>
  <c r="Y53" i="40"/>
  <c r="X53" i="40"/>
  <c r="W53" i="40"/>
  <c r="V53" i="40"/>
  <c r="U53" i="40"/>
  <c r="T53" i="40"/>
  <c r="S53" i="40"/>
  <c r="R53" i="40"/>
  <c r="Q53" i="40"/>
  <c r="P53" i="40"/>
  <c r="O53" i="40"/>
  <c r="N53" i="40"/>
  <c r="M53" i="40"/>
  <c r="L53" i="40"/>
  <c r="K53" i="40"/>
  <c r="J53" i="40"/>
  <c r="I53" i="40"/>
  <c r="H53" i="40"/>
  <c r="CK52" i="40"/>
  <c r="CJ52" i="40"/>
  <c r="CI52" i="40"/>
  <c r="CH52" i="40"/>
  <c r="CG52" i="40"/>
  <c r="CF52" i="40"/>
  <c r="CE52" i="40"/>
  <c r="CD52" i="40"/>
  <c r="CC52" i="40"/>
  <c r="CB52" i="40"/>
  <c r="CA52" i="40"/>
  <c r="BZ52" i="40"/>
  <c r="BY52" i="40"/>
  <c r="BX52" i="40"/>
  <c r="BW52" i="40"/>
  <c r="BV52" i="40"/>
  <c r="BU52" i="40"/>
  <c r="BT52" i="40"/>
  <c r="BS52" i="40"/>
  <c r="BR52" i="40"/>
  <c r="BQ52" i="40"/>
  <c r="BP52" i="40"/>
  <c r="BO52" i="40"/>
  <c r="BN52" i="40"/>
  <c r="BM52" i="40"/>
  <c r="BL52" i="40"/>
  <c r="BK52" i="40"/>
  <c r="BJ52" i="40"/>
  <c r="BI52" i="40"/>
  <c r="BH52" i="40"/>
  <c r="BG52" i="40"/>
  <c r="BF52" i="40"/>
  <c r="BE52" i="40"/>
  <c r="BD52" i="40"/>
  <c r="BC52" i="40"/>
  <c r="BB52" i="40"/>
  <c r="BA52" i="40"/>
  <c r="AZ52" i="40"/>
  <c r="AY52" i="40"/>
  <c r="AX52" i="40"/>
  <c r="AW52" i="40"/>
  <c r="AV52" i="40"/>
  <c r="AU52" i="40"/>
  <c r="AT52" i="40"/>
  <c r="AS52" i="40"/>
  <c r="AR52" i="40"/>
  <c r="AQ52" i="40"/>
  <c r="AP52" i="40"/>
  <c r="AO52" i="40"/>
  <c r="AN52" i="40"/>
  <c r="AM52" i="40"/>
  <c r="AL52" i="40"/>
  <c r="AK52" i="40"/>
  <c r="AJ52" i="40"/>
  <c r="AI52" i="40"/>
  <c r="AH52" i="40"/>
  <c r="AG52" i="40"/>
  <c r="AF52" i="40"/>
  <c r="AE52" i="40"/>
  <c r="AD52" i="40"/>
  <c r="AC52" i="40"/>
  <c r="AB52" i="40"/>
  <c r="AA52" i="40"/>
  <c r="Z52" i="40"/>
  <c r="Y52" i="40"/>
  <c r="X52" i="40"/>
  <c r="W52" i="40"/>
  <c r="V52" i="40"/>
  <c r="U52" i="40"/>
  <c r="T52" i="40"/>
  <c r="S52" i="40"/>
  <c r="R52" i="40"/>
  <c r="Q52" i="40"/>
  <c r="P52" i="40"/>
  <c r="O52" i="40"/>
  <c r="N52" i="40"/>
  <c r="M52" i="40"/>
  <c r="L52" i="40"/>
  <c r="K52" i="40"/>
  <c r="J52" i="40"/>
  <c r="I52" i="40"/>
  <c r="H52" i="40"/>
  <c r="CK51" i="40"/>
  <c r="CJ51" i="40"/>
  <c r="CI51" i="40"/>
  <c r="CH51" i="40"/>
  <c r="CG51" i="40"/>
  <c r="CF51" i="40"/>
  <c r="CE51" i="40"/>
  <c r="CD51" i="40"/>
  <c r="CC51" i="40"/>
  <c r="CB51" i="40"/>
  <c r="CA51" i="40"/>
  <c r="BZ51" i="40"/>
  <c r="BY51" i="40"/>
  <c r="BX51" i="40"/>
  <c r="BW51" i="40"/>
  <c r="BV51" i="40"/>
  <c r="BU51" i="40"/>
  <c r="BT51" i="40"/>
  <c r="BS51" i="40"/>
  <c r="BR51" i="40"/>
  <c r="BQ51" i="40"/>
  <c r="BP51" i="40"/>
  <c r="BO51" i="40"/>
  <c r="BN51" i="40"/>
  <c r="BM51" i="40"/>
  <c r="BL51" i="40"/>
  <c r="BK51" i="40"/>
  <c r="BJ51" i="40"/>
  <c r="BI51" i="40"/>
  <c r="BH51" i="40"/>
  <c r="BG51" i="40"/>
  <c r="BF51" i="40"/>
  <c r="BE51" i="40"/>
  <c r="BD51" i="40"/>
  <c r="BC51" i="40"/>
  <c r="BB51" i="40"/>
  <c r="BA51" i="40"/>
  <c r="AZ51" i="40"/>
  <c r="AY51" i="40"/>
  <c r="AX51" i="40"/>
  <c r="AW51" i="40"/>
  <c r="AV51" i="40"/>
  <c r="AU51" i="40"/>
  <c r="AT51" i="40"/>
  <c r="AS51" i="40"/>
  <c r="AR51" i="40"/>
  <c r="AQ51" i="40"/>
  <c r="AP51" i="40"/>
  <c r="AO51" i="40"/>
  <c r="AN51" i="40"/>
  <c r="AM51" i="40"/>
  <c r="AL51" i="40"/>
  <c r="AK51" i="40"/>
  <c r="AJ51" i="40"/>
  <c r="AI51" i="40"/>
  <c r="AH51" i="40"/>
  <c r="AG51" i="40"/>
  <c r="AF51" i="40"/>
  <c r="AE51" i="40"/>
  <c r="AD51" i="40"/>
  <c r="AC51" i="40"/>
  <c r="AB51" i="40"/>
  <c r="AA51" i="40"/>
  <c r="Z51" i="40"/>
  <c r="Y51" i="40"/>
  <c r="X51" i="40"/>
  <c r="W51" i="40"/>
  <c r="V51" i="40"/>
  <c r="U51" i="40"/>
  <c r="T51" i="40"/>
  <c r="S51" i="40"/>
  <c r="R51" i="40"/>
  <c r="Q51" i="40"/>
  <c r="P51" i="40"/>
  <c r="O51" i="40"/>
  <c r="N51" i="40"/>
  <c r="M51" i="40"/>
  <c r="L51" i="40"/>
  <c r="K51" i="40"/>
  <c r="J51" i="40"/>
  <c r="I51" i="40"/>
  <c r="H51" i="40"/>
  <c r="CK50" i="40"/>
  <c r="CJ50" i="40"/>
  <c r="CI50" i="40"/>
  <c r="CH50" i="40"/>
  <c r="CG50" i="40"/>
  <c r="CF50" i="40"/>
  <c r="CE50" i="40"/>
  <c r="CD50" i="40"/>
  <c r="CC50" i="40"/>
  <c r="CB50" i="40"/>
  <c r="CA50" i="40"/>
  <c r="BZ50" i="40"/>
  <c r="BY50" i="40"/>
  <c r="BX50" i="40"/>
  <c r="BW50" i="40"/>
  <c r="BV50" i="40"/>
  <c r="BU50" i="40"/>
  <c r="BT50" i="40"/>
  <c r="BS50" i="40"/>
  <c r="BR50" i="40"/>
  <c r="BQ50" i="40"/>
  <c r="BP50" i="40"/>
  <c r="BO50" i="40"/>
  <c r="BN50" i="40"/>
  <c r="BM50" i="40"/>
  <c r="BL50" i="40"/>
  <c r="BK50" i="40"/>
  <c r="BJ50" i="40"/>
  <c r="BI50" i="40"/>
  <c r="BH50" i="40"/>
  <c r="BG50" i="40"/>
  <c r="BF50" i="40"/>
  <c r="BE50" i="40"/>
  <c r="BD50" i="40"/>
  <c r="BC50" i="40"/>
  <c r="BB50" i="40"/>
  <c r="BA50" i="40"/>
  <c r="AZ50" i="40"/>
  <c r="AY50" i="40"/>
  <c r="AX50" i="40"/>
  <c r="AW50" i="40"/>
  <c r="AV50" i="40"/>
  <c r="AU50" i="40"/>
  <c r="AT50" i="40"/>
  <c r="AS50" i="40"/>
  <c r="AR50" i="40"/>
  <c r="AQ50" i="40"/>
  <c r="AP50" i="40"/>
  <c r="AO50" i="40"/>
  <c r="AN50" i="40"/>
  <c r="AM50" i="40"/>
  <c r="AL50" i="40"/>
  <c r="AK50" i="40"/>
  <c r="AJ50" i="40"/>
  <c r="AI50" i="40"/>
  <c r="AH50" i="40"/>
  <c r="AG50" i="40"/>
  <c r="AF50" i="40"/>
  <c r="AE50" i="40"/>
  <c r="AD50" i="40"/>
  <c r="AC50" i="40"/>
  <c r="AB50" i="40"/>
  <c r="AA50" i="40"/>
  <c r="Z50" i="40"/>
  <c r="Y50" i="40"/>
  <c r="X50" i="40"/>
  <c r="W50" i="40"/>
  <c r="V50" i="40"/>
  <c r="U50" i="40"/>
  <c r="T50" i="40"/>
  <c r="S50" i="40"/>
  <c r="R50" i="40"/>
  <c r="Q50" i="40"/>
  <c r="P50" i="40"/>
  <c r="O50" i="40"/>
  <c r="N50" i="40"/>
  <c r="M50" i="40"/>
  <c r="L50" i="40"/>
  <c r="K50" i="40"/>
  <c r="J50" i="40"/>
  <c r="I50" i="40"/>
  <c r="H50" i="40"/>
  <c r="CK49" i="40"/>
  <c r="CJ49" i="40"/>
  <c r="CI49" i="40"/>
  <c r="CH49" i="40"/>
  <c r="CG49" i="40"/>
  <c r="CF49" i="40"/>
  <c r="CE49" i="40"/>
  <c r="CD49" i="40"/>
  <c r="CC49" i="40"/>
  <c r="CB49" i="40"/>
  <c r="CA49" i="40"/>
  <c r="BZ49" i="40"/>
  <c r="BY49" i="40"/>
  <c r="BX49" i="40"/>
  <c r="BW49" i="40"/>
  <c r="BV49" i="40"/>
  <c r="BU49" i="40"/>
  <c r="BT49" i="40"/>
  <c r="BS49" i="40"/>
  <c r="BR49" i="40"/>
  <c r="BQ49" i="40"/>
  <c r="BP49" i="40"/>
  <c r="BO49" i="40"/>
  <c r="BN49" i="40"/>
  <c r="BM49" i="40"/>
  <c r="BL49" i="40"/>
  <c r="BK49" i="40"/>
  <c r="BJ49" i="40"/>
  <c r="BI49" i="40"/>
  <c r="BH49" i="40"/>
  <c r="BG49" i="40"/>
  <c r="BF49" i="40"/>
  <c r="BE49" i="40"/>
  <c r="BD49" i="40"/>
  <c r="BC49" i="40"/>
  <c r="BB49" i="40"/>
  <c r="BA49" i="40"/>
  <c r="AZ49" i="40"/>
  <c r="AY49" i="40"/>
  <c r="AX49" i="40"/>
  <c r="AW49" i="40"/>
  <c r="AV49" i="40"/>
  <c r="AU49" i="40"/>
  <c r="AT49" i="40"/>
  <c r="AS49" i="40"/>
  <c r="AR49" i="40"/>
  <c r="AQ49" i="40"/>
  <c r="AP49" i="40"/>
  <c r="AO49" i="40"/>
  <c r="AN49" i="40"/>
  <c r="AM49" i="40"/>
  <c r="AL49" i="40"/>
  <c r="AK49" i="40"/>
  <c r="AJ49" i="40"/>
  <c r="AI49" i="40"/>
  <c r="AH49" i="40"/>
  <c r="AG49" i="40"/>
  <c r="AF49" i="40"/>
  <c r="AE49" i="40"/>
  <c r="AD49" i="40"/>
  <c r="AC49" i="40"/>
  <c r="AB49" i="40"/>
  <c r="AA49" i="40"/>
  <c r="Z49" i="40"/>
  <c r="Y49" i="40"/>
  <c r="X49" i="40"/>
  <c r="W49" i="40"/>
  <c r="V49" i="40"/>
  <c r="U49" i="40"/>
  <c r="T49" i="40"/>
  <c r="S49" i="40"/>
  <c r="R49" i="40"/>
  <c r="Q49" i="40"/>
  <c r="P49" i="40"/>
  <c r="O49" i="40"/>
  <c r="N49" i="40"/>
  <c r="M49" i="40"/>
  <c r="L49" i="40"/>
  <c r="K49" i="40"/>
  <c r="J49" i="40"/>
  <c r="I49" i="40"/>
  <c r="H49" i="40"/>
  <c r="G53" i="40"/>
  <c r="G52" i="40"/>
  <c r="G51" i="40"/>
  <c r="G50" i="40"/>
  <c r="G49" i="40"/>
  <c r="CK40" i="40"/>
  <c r="CK45" i="40" s="1"/>
  <c r="CJ40" i="40"/>
  <c r="CJ45" i="40" s="1"/>
  <c r="CI40" i="40"/>
  <c r="CI45" i="40" s="1"/>
  <c r="CH40" i="40"/>
  <c r="CH45" i="40" s="1"/>
  <c r="CG40" i="40"/>
  <c r="CG45" i="40" s="1"/>
  <c r="CF40" i="40"/>
  <c r="CF45" i="40" s="1"/>
  <c r="CE40" i="40"/>
  <c r="CE45" i="40" s="1"/>
  <c r="CD40" i="40"/>
  <c r="CD45" i="40" s="1"/>
  <c r="CC40" i="40"/>
  <c r="CC45" i="40" s="1"/>
  <c r="CB40" i="40"/>
  <c r="CB45" i="40" s="1"/>
  <c r="CA40" i="40"/>
  <c r="CA45" i="40" s="1"/>
  <c r="BZ40" i="40"/>
  <c r="BZ45" i="40" s="1"/>
  <c r="BY40" i="40"/>
  <c r="BY45" i="40" s="1"/>
  <c r="BX40" i="40"/>
  <c r="BX45" i="40" s="1"/>
  <c r="BW40" i="40"/>
  <c r="BW45" i="40" s="1"/>
  <c r="BV40" i="40"/>
  <c r="BV45" i="40" s="1"/>
  <c r="BU40" i="40"/>
  <c r="BU45" i="40" s="1"/>
  <c r="BT40" i="40"/>
  <c r="BT45" i="40" s="1"/>
  <c r="BS40" i="40"/>
  <c r="BS45" i="40" s="1"/>
  <c r="BR40" i="40"/>
  <c r="BR45" i="40" s="1"/>
  <c r="BQ40" i="40"/>
  <c r="BQ45" i="40" s="1"/>
  <c r="BP40" i="40"/>
  <c r="BP45" i="40" s="1"/>
  <c r="BO40" i="40"/>
  <c r="BO45" i="40" s="1"/>
  <c r="BN40" i="40"/>
  <c r="BN45" i="40" s="1"/>
  <c r="BM40" i="40"/>
  <c r="BM45" i="40" s="1"/>
  <c r="BL40" i="40"/>
  <c r="BL45" i="40" s="1"/>
  <c r="BK40" i="40"/>
  <c r="BK45" i="40" s="1"/>
  <c r="BJ40" i="40"/>
  <c r="BJ45" i="40" s="1"/>
  <c r="BI40" i="40"/>
  <c r="BI45" i="40" s="1"/>
  <c r="BH40" i="40"/>
  <c r="BH45" i="40" s="1"/>
  <c r="BG40" i="40"/>
  <c r="BG45" i="40" s="1"/>
  <c r="BF40" i="40"/>
  <c r="BF45" i="40" s="1"/>
  <c r="BE40" i="40"/>
  <c r="BE45" i="40" s="1"/>
  <c r="BD40" i="40"/>
  <c r="BD45" i="40" s="1"/>
  <c r="BC40" i="40"/>
  <c r="BC45" i="40" s="1"/>
  <c r="BB40" i="40"/>
  <c r="BB45" i="40" s="1"/>
  <c r="BA40" i="40"/>
  <c r="BA45" i="40" s="1"/>
  <c r="AZ40" i="40"/>
  <c r="AZ45" i="40" s="1"/>
  <c r="AY40" i="40"/>
  <c r="AY45" i="40" s="1"/>
  <c r="AX40" i="40"/>
  <c r="AX45" i="40" s="1"/>
  <c r="AW40" i="40"/>
  <c r="AW45" i="40" s="1"/>
  <c r="AV40" i="40"/>
  <c r="AV45" i="40" s="1"/>
  <c r="AU40" i="40"/>
  <c r="AU45" i="40" s="1"/>
  <c r="AT40" i="40"/>
  <c r="AT45" i="40" s="1"/>
  <c r="AS40" i="40"/>
  <c r="AS45" i="40" s="1"/>
  <c r="AR40" i="40"/>
  <c r="AR45" i="40" s="1"/>
  <c r="AQ40" i="40"/>
  <c r="AQ45" i="40" s="1"/>
  <c r="AP40" i="40"/>
  <c r="AP45" i="40" s="1"/>
  <c r="AO40" i="40"/>
  <c r="AO45" i="40" s="1"/>
  <c r="AN40" i="40"/>
  <c r="AN45" i="40" s="1"/>
  <c r="AM40" i="40"/>
  <c r="AM45" i="40" s="1"/>
  <c r="AL40" i="40"/>
  <c r="AL45" i="40" s="1"/>
  <c r="AK40" i="40"/>
  <c r="AK45" i="40" s="1"/>
  <c r="AJ40" i="40"/>
  <c r="AJ45" i="40" s="1"/>
  <c r="AI40" i="40"/>
  <c r="AI45" i="40" s="1"/>
  <c r="AH40" i="40"/>
  <c r="AH45" i="40" s="1"/>
  <c r="AG40" i="40"/>
  <c r="AG45" i="40" s="1"/>
  <c r="AF40" i="40"/>
  <c r="AF45" i="40" s="1"/>
  <c r="AE40" i="40"/>
  <c r="AE45" i="40" s="1"/>
  <c r="AD40" i="40"/>
  <c r="AD45" i="40" s="1"/>
  <c r="AC40" i="40"/>
  <c r="AC45" i="40" s="1"/>
  <c r="AB40" i="40"/>
  <c r="AB45" i="40" s="1"/>
  <c r="AA40" i="40"/>
  <c r="AA45" i="40" s="1"/>
  <c r="Z40" i="40"/>
  <c r="Z45" i="40" s="1"/>
  <c r="Y40" i="40"/>
  <c r="Y45" i="40" s="1"/>
  <c r="X40" i="40"/>
  <c r="X45" i="40" s="1"/>
  <c r="W40" i="40"/>
  <c r="W45" i="40" s="1"/>
  <c r="V40" i="40"/>
  <c r="V45" i="40" s="1"/>
  <c r="U40" i="40"/>
  <c r="U45" i="40" s="1"/>
  <c r="T40" i="40"/>
  <c r="T45" i="40" s="1"/>
  <c r="S40" i="40"/>
  <c r="S45" i="40" s="1"/>
  <c r="R40" i="40"/>
  <c r="R45" i="40" s="1"/>
  <c r="Q40" i="40"/>
  <c r="Q45" i="40" s="1"/>
  <c r="P40" i="40"/>
  <c r="P45" i="40" s="1"/>
  <c r="O40" i="40"/>
  <c r="O45" i="40" s="1"/>
  <c r="N40" i="40"/>
  <c r="N45" i="40" s="1"/>
  <c r="M40" i="40"/>
  <c r="M45" i="40" s="1"/>
  <c r="L40" i="40"/>
  <c r="L45" i="40" s="1"/>
  <c r="K40" i="40"/>
  <c r="K45" i="40" s="1"/>
  <c r="J40" i="40"/>
  <c r="J45" i="40" s="1"/>
  <c r="I40" i="40"/>
  <c r="I45" i="40" s="1"/>
  <c r="H40" i="40"/>
  <c r="H45" i="40" s="1"/>
  <c r="G40" i="40"/>
  <c r="G45" i="40" s="1"/>
  <c r="CK36" i="40"/>
  <c r="CJ36" i="40"/>
  <c r="CI36" i="40"/>
  <c r="CH36" i="40"/>
  <c r="CG36" i="40"/>
  <c r="CF36" i="40"/>
  <c r="CE36" i="40"/>
  <c r="CD36" i="40"/>
  <c r="CC36" i="40"/>
  <c r="CB36" i="40"/>
  <c r="CA36" i="40"/>
  <c r="BZ36" i="40"/>
  <c r="BY36" i="40"/>
  <c r="BX36" i="40"/>
  <c r="BW36" i="40"/>
  <c r="BV36" i="40"/>
  <c r="BU36" i="40"/>
  <c r="BT36" i="40"/>
  <c r="BS36" i="40"/>
  <c r="BR36" i="40"/>
  <c r="BQ36" i="40"/>
  <c r="BP36" i="40"/>
  <c r="BO36" i="40"/>
  <c r="BN36" i="40"/>
  <c r="BM36" i="40"/>
  <c r="BL36" i="40"/>
  <c r="BK36" i="40"/>
  <c r="BJ36" i="40"/>
  <c r="BI36" i="40"/>
  <c r="BH36" i="40"/>
  <c r="BG36" i="40"/>
  <c r="BF36" i="40"/>
  <c r="BE36" i="40"/>
  <c r="BD36" i="40"/>
  <c r="BC36" i="40"/>
  <c r="BB36" i="40"/>
  <c r="BA36" i="40"/>
  <c r="AZ36" i="40"/>
  <c r="AY36" i="40"/>
  <c r="AX36" i="40"/>
  <c r="AW36" i="40"/>
  <c r="AV36" i="40"/>
  <c r="AU36" i="40"/>
  <c r="AT36" i="40"/>
  <c r="AS36" i="40"/>
  <c r="AR36" i="40"/>
  <c r="AQ36" i="40"/>
  <c r="AP36" i="40"/>
  <c r="AO36" i="40"/>
  <c r="AN36" i="40"/>
  <c r="AM36" i="40"/>
  <c r="AL36" i="40"/>
  <c r="AK36" i="40"/>
  <c r="AJ36" i="40"/>
  <c r="AI36" i="40"/>
  <c r="AH36" i="40"/>
  <c r="AG36" i="40"/>
  <c r="AF36" i="40"/>
  <c r="AE36" i="40"/>
  <c r="AD36" i="40"/>
  <c r="AC36" i="40"/>
  <c r="AB36" i="40"/>
  <c r="AA36" i="40"/>
  <c r="Z36" i="40"/>
  <c r="Y36" i="40"/>
  <c r="X36" i="40"/>
  <c r="W36" i="40"/>
  <c r="V36" i="40"/>
  <c r="U36" i="40"/>
  <c r="T36" i="40"/>
  <c r="S36" i="40"/>
  <c r="R36" i="40"/>
  <c r="Q36" i="40"/>
  <c r="P36" i="40"/>
  <c r="O36" i="40"/>
  <c r="N36" i="40"/>
  <c r="M36" i="40"/>
  <c r="L36" i="40"/>
  <c r="K36" i="40"/>
  <c r="J36" i="40"/>
  <c r="I36" i="40"/>
  <c r="H36" i="40"/>
  <c r="G36" i="40"/>
  <c r="CK35" i="40"/>
  <c r="CJ35" i="40"/>
  <c r="CI35" i="40"/>
  <c r="CH35" i="40"/>
  <c r="CG35" i="40"/>
  <c r="CF35" i="40"/>
  <c r="CE35" i="40"/>
  <c r="CD35" i="40"/>
  <c r="CC35" i="40"/>
  <c r="CB35" i="40"/>
  <c r="CA35" i="40"/>
  <c r="BZ35" i="40"/>
  <c r="BY35" i="40"/>
  <c r="BX35" i="40"/>
  <c r="BW35" i="40"/>
  <c r="BV35" i="40"/>
  <c r="BU35" i="40"/>
  <c r="BT35" i="40"/>
  <c r="BS35" i="40"/>
  <c r="BR35" i="40"/>
  <c r="BQ35" i="40"/>
  <c r="BP35" i="40"/>
  <c r="BO35" i="40"/>
  <c r="BN35" i="40"/>
  <c r="BM35" i="40"/>
  <c r="BL35" i="40"/>
  <c r="BK35" i="40"/>
  <c r="BJ35" i="40"/>
  <c r="BI35" i="40"/>
  <c r="BH35" i="40"/>
  <c r="BG35" i="40"/>
  <c r="BF35" i="40"/>
  <c r="BE35" i="40"/>
  <c r="BD35" i="40"/>
  <c r="BC35" i="40"/>
  <c r="BB35" i="40"/>
  <c r="BA35" i="40"/>
  <c r="AZ35" i="40"/>
  <c r="AY35" i="40"/>
  <c r="AX35" i="40"/>
  <c r="AW35" i="40"/>
  <c r="AV35" i="40"/>
  <c r="AU35" i="40"/>
  <c r="AT35" i="40"/>
  <c r="AS35" i="40"/>
  <c r="AR35" i="40"/>
  <c r="AQ35" i="40"/>
  <c r="AP35" i="40"/>
  <c r="AO35" i="40"/>
  <c r="AN35" i="40"/>
  <c r="AM35" i="40"/>
  <c r="AL35" i="40"/>
  <c r="AK35" i="40"/>
  <c r="AJ35" i="40"/>
  <c r="AI35" i="40"/>
  <c r="AH35" i="40"/>
  <c r="AG35" i="40"/>
  <c r="AF35" i="40"/>
  <c r="AE35" i="40"/>
  <c r="AD35" i="40"/>
  <c r="AC35" i="40"/>
  <c r="AB35" i="40"/>
  <c r="AA35" i="40"/>
  <c r="Z35" i="40"/>
  <c r="Y35" i="40"/>
  <c r="X35" i="40"/>
  <c r="W35" i="40"/>
  <c r="V35" i="40"/>
  <c r="U35" i="40"/>
  <c r="T35" i="40"/>
  <c r="S35" i="40"/>
  <c r="R35" i="40"/>
  <c r="Q35" i="40"/>
  <c r="P35" i="40"/>
  <c r="O35" i="40"/>
  <c r="N35" i="40"/>
  <c r="M35" i="40"/>
  <c r="L35" i="40"/>
  <c r="K35" i="40"/>
  <c r="J35" i="40"/>
  <c r="I35" i="40"/>
  <c r="H35" i="40"/>
  <c r="G35" i="40"/>
  <c r="CK34" i="40"/>
  <c r="CJ34" i="40"/>
  <c r="CI34" i="40"/>
  <c r="CH34" i="40"/>
  <c r="CG34" i="40"/>
  <c r="CF34" i="40"/>
  <c r="CE34" i="40"/>
  <c r="CD34" i="40"/>
  <c r="CC34" i="40"/>
  <c r="CB34" i="40"/>
  <c r="CA34" i="40"/>
  <c r="BZ34" i="40"/>
  <c r="BY34" i="40"/>
  <c r="BX34" i="40"/>
  <c r="BW34" i="40"/>
  <c r="BV34" i="40"/>
  <c r="BU34" i="40"/>
  <c r="BT34" i="40"/>
  <c r="BS34" i="40"/>
  <c r="BR34" i="40"/>
  <c r="BQ34" i="40"/>
  <c r="BP34" i="40"/>
  <c r="BO34" i="40"/>
  <c r="BN34" i="40"/>
  <c r="BM34" i="40"/>
  <c r="BL34" i="40"/>
  <c r="BK34" i="40"/>
  <c r="BJ34" i="40"/>
  <c r="BI34" i="40"/>
  <c r="BH34" i="40"/>
  <c r="BG34" i="40"/>
  <c r="BF34" i="40"/>
  <c r="BE34" i="40"/>
  <c r="BD34" i="40"/>
  <c r="BC34" i="40"/>
  <c r="BB34" i="40"/>
  <c r="BA34" i="40"/>
  <c r="AZ34" i="40"/>
  <c r="AY34" i="40"/>
  <c r="AX34" i="40"/>
  <c r="AW34" i="40"/>
  <c r="AV34" i="40"/>
  <c r="AU34" i="40"/>
  <c r="AT34" i="40"/>
  <c r="AS34" i="40"/>
  <c r="AR34" i="40"/>
  <c r="AQ34" i="40"/>
  <c r="AP34" i="40"/>
  <c r="AO34" i="40"/>
  <c r="AN34" i="40"/>
  <c r="AM34" i="40"/>
  <c r="AL34" i="40"/>
  <c r="AK34" i="40"/>
  <c r="AJ34" i="40"/>
  <c r="AI34" i="40"/>
  <c r="AH34" i="40"/>
  <c r="AG34" i="40"/>
  <c r="AF34" i="40"/>
  <c r="AE34" i="40"/>
  <c r="AD34" i="40"/>
  <c r="AC34" i="40"/>
  <c r="AB34" i="40"/>
  <c r="AA34" i="40"/>
  <c r="Z34" i="40"/>
  <c r="Y34" i="40"/>
  <c r="X34" i="40"/>
  <c r="W34" i="40"/>
  <c r="V34" i="40"/>
  <c r="U34" i="40"/>
  <c r="T34" i="40"/>
  <c r="S34" i="40"/>
  <c r="R34" i="40"/>
  <c r="Q34" i="40"/>
  <c r="P34" i="40"/>
  <c r="O34" i="40"/>
  <c r="N34" i="40"/>
  <c r="M34" i="40"/>
  <c r="L34" i="40"/>
  <c r="K34" i="40"/>
  <c r="J34" i="40"/>
  <c r="I34" i="40"/>
  <c r="H34" i="40"/>
  <c r="G34" i="40"/>
  <c r="CK33" i="40"/>
  <c r="CJ33" i="40"/>
  <c r="CI33" i="40"/>
  <c r="CH33" i="40"/>
  <c r="CG33" i="40"/>
  <c r="CF33" i="40"/>
  <c r="CE33" i="40"/>
  <c r="CD33" i="40"/>
  <c r="CC33" i="40"/>
  <c r="CB33" i="40"/>
  <c r="CA33" i="40"/>
  <c r="BZ33" i="40"/>
  <c r="BY33" i="40"/>
  <c r="BX33" i="40"/>
  <c r="BW33" i="40"/>
  <c r="BV33" i="40"/>
  <c r="BU33" i="40"/>
  <c r="BT33" i="40"/>
  <c r="BS33" i="40"/>
  <c r="BR33" i="40"/>
  <c r="BQ33" i="40"/>
  <c r="BP33" i="40"/>
  <c r="BO33" i="40"/>
  <c r="BN33" i="40"/>
  <c r="BM33" i="40"/>
  <c r="BL33" i="40"/>
  <c r="BK33" i="40"/>
  <c r="BJ33" i="40"/>
  <c r="BI33" i="40"/>
  <c r="BH33" i="40"/>
  <c r="BG33" i="40"/>
  <c r="BF33" i="40"/>
  <c r="BE33" i="40"/>
  <c r="BD33" i="40"/>
  <c r="BC33" i="40"/>
  <c r="BB33" i="40"/>
  <c r="BA33" i="40"/>
  <c r="AZ33" i="40"/>
  <c r="AY33" i="40"/>
  <c r="AX33" i="40"/>
  <c r="AW33" i="40"/>
  <c r="AV33" i="40"/>
  <c r="AU33" i="40"/>
  <c r="AT33" i="40"/>
  <c r="AS33" i="40"/>
  <c r="AR33" i="40"/>
  <c r="AQ33" i="40"/>
  <c r="AP33" i="40"/>
  <c r="AO33" i="40"/>
  <c r="AN33" i="40"/>
  <c r="AM33" i="40"/>
  <c r="AL33" i="40"/>
  <c r="AK33" i="40"/>
  <c r="AJ33" i="40"/>
  <c r="AI33" i="40"/>
  <c r="AH33" i="40"/>
  <c r="AG33" i="40"/>
  <c r="AF33" i="40"/>
  <c r="AE33" i="40"/>
  <c r="AD33" i="40"/>
  <c r="AC33" i="40"/>
  <c r="AB33" i="40"/>
  <c r="AA33" i="40"/>
  <c r="Z33" i="40"/>
  <c r="Y33" i="40"/>
  <c r="X33" i="40"/>
  <c r="W33" i="40"/>
  <c r="V33" i="40"/>
  <c r="U33" i="40"/>
  <c r="T33" i="40"/>
  <c r="S33" i="40"/>
  <c r="R33" i="40"/>
  <c r="Q33" i="40"/>
  <c r="P33" i="40"/>
  <c r="O33" i="40"/>
  <c r="N33" i="40"/>
  <c r="M33" i="40"/>
  <c r="L33" i="40"/>
  <c r="K33" i="40"/>
  <c r="J33" i="40"/>
  <c r="I33" i="40"/>
  <c r="H33" i="40"/>
  <c r="G33" i="40"/>
  <c r="CK32" i="40"/>
  <c r="CJ32" i="40"/>
  <c r="CI32" i="40"/>
  <c r="CH32" i="40"/>
  <c r="CG32" i="40"/>
  <c r="CF32" i="40"/>
  <c r="CE32" i="40"/>
  <c r="CD32" i="40"/>
  <c r="CC32" i="40"/>
  <c r="CB32" i="40"/>
  <c r="CA32" i="40"/>
  <c r="BZ32" i="40"/>
  <c r="BY32" i="40"/>
  <c r="BX32" i="40"/>
  <c r="BW32" i="40"/>
  <c r="BV32" i="40"/>
  <c r="BU32" i="40"/>
  <c r="BT32" i="40"/>
  <c r="BS32" i="40"/>
  <c r="BR32" i="40"/>
  <c r="BQ32" i="40"/>
  <c r="BP32" i="40"/>
  <c r="BO32" i="40"/>
  <c r="BN32" i="40"/>
  <c r="BM32" i="40"/>
  <c r="BL32" i="40"/>
  <c r="BK32" i="40"/>
  <c r="BJ32" i="40"/>
  <c r="BI32" i="40"/>
  <c r="BH32" i="40"/>
  <c r="BG32" i="40"/>
  <c r="BF32" i="40"/>
  <c r="BE32" i="40"/>
  <c r="BD32" i="40"/>
  <c r="BC32" i="40"/>
  <c r="BB32" i="40"/>
  <c r="BA32" i="40"/>
  <c r="AZ32" i="40"/>
  <c r="AY32" i="40"/>
  <c r="AX32" i="40"/>
  <c r="AW32" i="40"/>
  <c r="AV32" i="40"/>
  <c r="AU32" i="40"/>
  <c r="AT32" i="40"/>
  <c r="AS32" i="40"/>
  <c r="AR32" i="40"/>
  <c r="AQ32" i="40"/>
  <c r="AP32" i="40"/>
  <c r="AO32" i="40"/>
  <c r="AN32" i="40"/>
  <c r="AM32" i="40"/>
  <c r="AL32" i="40"/>
  <c r="AK32" i="40"/>
  <c r="AJ32" i="40"/>
  <c r="AI32" i="40"/>
  <c r="AH32" i="40"/>
  <c r="AG32" i="40"/>
  <c r="AF32" i="40"/>
  <c r="AE32" i="40"/>
  <c r="AD32" i="40"/>
  <c r="AC32" i="40"/>
  <c r="AB32" i="40"/>
  <c r="AA32" i="40"/>
  <c r="Z32" i="40"/>
  <c r="Y32" i="40"/>
  <c r="X32" i="40"/>
  <c r="W32" i="40"/>
  <c r="V32" i="40"/>
  <c r="U32" i="40"/>
  <c r="T32" i="40"/>
  <c r="S32" i="40"/>
  <c r="R32" i="40"/>
  <c r="Q32" i="40"/>
  <c r="P32" i="40"/>
  <c r="O32" i="40"/>
  <c r="N32" i="40"/>
  <c r="M32" i="40"/>
  <c r="L32" i="40"/>
  <c r="K32" i="40"/>
  <c r="J32" i="40"/>
  <c r="I32" i="40"/>
  <c r="H32" i="40"/>
  <c r="G32" i="40"/>
  <c r="CK31" i="40"/>
  <c r="CJ31" i="40"/>
  <c r="CI31" i="40"/>
  <c r="CH31" i="40"/>
  <c r="CG31" i="40"/>
  <c r="CF31" i="40"/>
  <c r="CE31" i="40"/>
  <c r="CD31" i="40"/>
  <c r="CC31" i="40"/>
  <c r="CB31" i="40"/>
  <c r="CA31" i="40"/>
  <c r="BZ31" i="40"/>
  <c r="BY31" i="40"/>
  <c r="BX31" i="40"/>
  <c r="BW31" i="40"/>
  <c r="BV31" i="40"/>
  <c r="BU31" i="40"/>
  <c r="BT31" i="40"/>
  <c r="BS31" i="40"/>
  <c r="BR31" i="40"/>
  <c r="BQ31" i="40"/>
  <c r="BP31" i="40"/>
  <c r="BO31" i="40"/>
  <c r="BN31" i="40"/>
  <c r="BM31" i="40"/>
  <c r="BL31" i="40"/>
  <c r="BK31" i="40"/>
  <c r="BJ31" i="40"/>
  <c r="BI31" i="40"/>
  <c r="BH31" i="40"/>
  <c r="BG31" i="40"/>
  <c r="BF31" i="40"/>
  <c r="BE31" i="40"/>
  <c r="BD31" i="40"/>
  <c r="BC31" i="40"/>
  <c r="BB31" i="40"/>
  <c r="BA31" i="40"/>
  <c r="AZ31" i="40"/>
  <c r="AY31" i="40"/>
  <c r="AX31" i="40"/>
  <c r="AW31" i="40"/>
  <c r="AV31" i="40"/>
  <c r="AU31" i="40"/>
  <c r="AT31" i="40"/>
  <c r="AS31" i="40"/>
  <c r="AR31" i="40"/>
  <c r="AQ31" i="40"/>
  <c r="AP31" i="40"/>
  <c r="AO31" i="40"/>
  <c r="AN31" i="40"/>
  <c r="AM31" i="40"/>
  <c r="AL31" i="40"/>
  <c r="AK31" i="40"/>
  <c r="AJ31" i="40"/>
  <c r="AI31" i="40"/>
  <c r="AH31" i="40"/>
  <c r="AG31"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CK30" i="40"/>
  <c r="CJ30" i="40"/>
  <c r="CI30" i="40"/>
  <c r="CH30" i="40"/>
  <c r="CG30" i="40"/>
  <c r="CF30" i="40"/>
  <c r="CE30" i="40"/>
  <c r="CD30" i="40"/>
  <c r="CC30" i="40"/>
  <c r="CB30" i="40"/>
  <c r="CA30" i="40"/>
  <c r="BZ30" i="40"/>
  <c r="BY30" i="40"/>
  <c r="BX30" i="40"/>
  <c r="BW30" i="40"/>
  <c r="BV30" i="40"/>
  <c r="BU30" i="40"/>
  <c r="BT30" i="40"/>
  <c r="BS30" i="40"/>
  <c r="BR30" i="40"/>
  <c r="BQ30" i="40"/>
  <c r="BP30" i="40"/>
  <c r="BO30" i="40"/>
  <c r="BN30" i="40"/>
  <c r="BM30" i="40"/>
  <c r="BL30" i="40"/>
  <c r="BK30" i="40"/>
  <c r="BJ30" i="40"/>
  <c r="BI30" i="40"/>
  <c r="BH30" i="40"/>
  <c r="BG30" i="40"/>
  <c r="BF30" i="40"/>
  <c r="BE30" i="40"/>
  <c r="BD30" i="40"/>
  <c r="BC30" i="40"/>
  <c r="BB30" i="40"/>
  <c r="BA30" i="40"/>
  <c r="AZ30" i="40"/>
  <c r="AY30" i="40"/>
  <c r="AX30" i="40"/>
  <c r="AW30" i="40"/>
  <c r="AV30" i="40"/>
  <c r="AU30" i="40"/>
  <c r="AT30" i="40"/>
  <c r="AS30" i="40"/>
  <c r="AR30" i="40"/>
  <c r="AQ30" i="40"/>
  <c r="AP30" i="40"/>
  <c r="AO30" i="40"/>
  <c r="AN30" i="40"/>
  <c r="AM30" i="40"/>
  <c r="AL30" i="40"/>
  <c r="AK30" i="40"/>
  <c r="AJ30" i="40"/>
  <c r="AI30" i="40"/>
  <c r="AH30" i="40"/>
  <c r="AG30" i="40"/>
  <c r="AF30" i="40"/>
  <c r="AE30" i="40"/>
  <c r="AD30" i="40"/>
  <c r="AC30" i="40"/>
  <c r="AB30" i="40"/>
  <c r="AA30" i="40"/>
  <c r="Z30" i="40"/>
  <c r="Y30" i="40"/>
  <c r="X30" i="40"/>
  <c r="W30" i="40"/>
  <c r="V30" i="40"/>
  <c r="U30" i="40"/>
  <c r="T30" i="40"/>
  <c r="S30" i="40"/>
  <c r="R30" i="40"/>
  <c r="Q30" i="40"/>
  <c r="P30" i="40"/>
  <c r="O30" i="40"/>
  <c r="N30" i="40"/>
  <c r="M30" i="40"/>
  <c r="L30" i="40"/>
  <c r="K30" i="40"/>
  <c r="J30" i="40"/>
  <c r="I30" i="40"/>
  <c r="H30" i="40"/>
  <c r="G30" i="40"/>
  <c r="CK29" i="40"/>
  <c r="CJ29" i="40"/>
  <c r="CI29" i="40"/>
  <c r="CH29" i="40"/>
  <c r="CG29" i="40"/>
  <c r="CF29" i="40"/>
  <c r="CE29" i="40"/>
  <c r="CD29" i="40"/>
  <c r="CC29" i="40"/>
  <c r="CB29" i="40"/>
  <c r="CA29" i="40"/>
  <c r="BZ29" i="40"/>
  <c r="BY29" i="40"/>
  <c r="BX29" i="40"/>
  <c r="BW29" i="40"/>
  <c r="BV29" i="40"/>
  <c r="BU29" i="40"/>
  <c r="BT29" i="40"/>
  <c r="BS29" i="40"/>
  <c r="BR29" i="40"/>
  <c r="BQ29" i="40"/>
  <c r="BP29" i="40"/>
  <c r="BO29" i="40"/>
  <c r="BN29" i="40"/>
  <c r="BM29" i="40"/>
  <c r="BL29" i="40"/>
  <c r="BK29" i="40"/>
  <c r="BJ29" i="40"/>
  <c r="BI29" i="40"/>
  <c r="BH29" i="40"/>
  <c r="BG29" i="40"/>
  <c r="BF29" i="40"/>
  <c r="BE29" i="40"/>
  <c r="BD29" i="40"/>
  <c r="BC29" i="40"/>
  <c r="BB29" i="40"/>
  <c r="BA29" i="40"/>
  <c r="AZ29" i="40"/>
  <c r="AY29" i="40"/>
  <c r="AX29" i="40"/>
  <c r="AW29" i="40"/>
  <c r="AV29" i="40"/>
  <c r="AU29" i="40"/>
  <c r="AT29" i="40"/>
  <c r="AS29" i="40"/>
  <c r="AR29" i="40"/>
  <c r="AQ29" i="40"/>
  <c r="AP29" i="40"/>
  <c r="AO29" i="40"/>
  <c r="AN29" i="40"/>
  <c r="AM29" i="40"/>
  <c r="AL29" i="40"/>
  <c r="AK29" i="40"/>
  <c r="AJ29" i="40"/>
  <c r="AI29" i="40"/>
  <c r="AH29" i="40"/>
  <c r="AG29" i="40"/>
  <c r="AF29" i="40"/>
  <c r="AE29" i="40"/>
  <c r="AD29" i="40"/>
  <c r="AC29" i="40"/>
  <c r="AB29" i="40"/>
  <c r="AA29" i="40"/>
  <c r="Z29" i="40"/>
  <c r="Y29" i="40"/>
  <c r="X29" i="40"/>
  <c r="W29" i="40"/>
  <c r="V29" i="40"/>
  <c r="U29" i="40"/>
  <c r="T29" i="40"/>
  <c r="S29" i="40"/>
  <c r="R29" i="40"/>
  <c r="Q29" i="40"/>
  <c r="P29" i="40"/>
  <c r="O29" i="40"/>
  <c r="N29" i="40"/>
  <c r="M29" i="40"/>
  <c r="L29" i="40"/>
  <c r="K29" i="40"/>
  <c r="J29" i="40"/>
  <c r="I29" i="40"/>
  <c r="H29" i="40"/>
  <c r="G29" i="40"/>
  <c r="CK28" i="40"/>
  <c r="CJ28" i="40"/>
  <c r="CI28" i="40"/>
  <c r="CH28" i="40"/>
  <c r="CG28" i="40"/>
  <c r="CF28" i="40"/>
  <c r="CE28" i="40"/>
  <c r="CD28" i="40"/>
  <c r="CC28" i="40"/>
  <c r="CB28" i="40"/>
  <c r="CA28" i="40"/>
  <c r="BZ28" i="40"/>
  <c r="BY28" i="40"/>
  <c r="BX28" i="40"/>
  <c r="BW28" i="40"/>
  <c r="BV28" i="40"/>
  <c r="BU28" i="40"/>
  <c r="BT28" i="40"/>
  <c r="BS28" i="40"/>
  <c r="BR28" i="40"/>
  <c r="BQ28" i="40"/>
  <c r="BP28" i="40"/>
  <c r="BO28" i="40"/>
  <c r="BN28" i="40"/>
  <c r="BM28" i="40"/>
  <c r="BL28" i="40"/>
  <c r="BK28" i="40"/>
  <c r="BJ28" i="40"/>
  <c r="BI28" i="40"/>
  <c r="BH28" i="40"/>
  <c r="BG28" i="40"/>
  <c r="BF28" i="40"/>
  <c r="BE28" i="40"/>
  <c r="BD28" i="40"/>
  <c r="BC28" i="40"/>
  <c r="BB28" i="40"/>
  <c r="BA28" i="40"/>
  <c r="AZ28" i="40"/>
  <c r="AY28" i="40"/>
  <c r="AX28" i="40"/>
  <c r="AW28" i="40"/>
  <c r="AV28" i="40"/>
  <c r="AU28" i="40"/>
  <c r="AT28" i="40"/>
  <c r="AS28" i="40"/>
  <c r="AR28" i="40"/>
  <c r="AQ28" i="40"/>
  <c r="AP28" i="40"/>
  <c r="AO28" i="40"/>
  <c r="AN28" i="40"/>
  <c r="AM28" i="40"/>
  <c r="AL28" i="40"/>
  <c r="AK28" i="40"/>
  <c r="AJ28" i="40"/>
  <c r="AI28" i="40"/>
  <c r="AH28" i="40"/>
  <c r="AG28" i="40"/>
  <c r="AF28" i="40"/>
  <c r="AE28" i="40"/>
  <c r="AD28" i="40"/>
  <c r="AC28" i="40"/>
  <c r="AB28" i="40"/>
  <c r="AA28" i="40"/>
  <c r="Z28" i="40"/>
  <c r="Y28" i="40"/>
  <c r="X28" i="40"/>
  <c r="W28" i="40"/>
  <c r="V28" i="40"/>
  <c r="U28" i="40"/>
  <c r="T28" i="40"/>
  <c r="S28" i="40"/>
  <c r="R28" i="40"/>
  <c r="Q28" i="40"/>
  <c r="P28" i="40"/>
  <c r="O28" i="40"/>
  <c r="N28" i="40"/>
  <c r="M28" i="40"/>
  <c r="L28" i="40"/>
  <c r="K28" i="40"/>
  <c r="J28" i="40"/>
  <c r="I28" i="40"/>
  <c r="H28" i="40"/>
  <c r="G28" i="40"/>
  <c r="CK27" i="40"/>
  <c r="CJ27" i="40"/>
  <c r="CI27" i="40"/>
  <c r="CH27" i="40"/>
  <c r="CG27" i="40"/>
  <c r="CF27" i="40"/>
  <c r="CE27" i="40"/>
  <c r="CD27" i="40"/>
  <c r="CC27" i="40"/>
  <c r="CB27" i="40"/>
  <c r="CA27" i="40"/>
  <c r="BZ27" i="40"/>
  <c r="BY27" i="40"/>
  <c r="BX27" i="40"/>
  <c r="BW27" i="40"/>
  <c r="BV27" i="40"/>
  <c r="BU27" i="40"/>
  <c r="BT27" i="40"/>
  <c r="BS27" i="40"/>
  <c r="BR27" i="40"/>
  <c r="BQ27" i="40"/>
  <c r="BP27" i="40"/>
  <c r="BO27" i="40"/>
  <c r="BN27" i="40"/>
  <c r="BM27" i="40"/>
  <c r="BL27" i="40"/>
  <c r="BK27" i="40"/>
  <c r="BJ27" i="40"/>
  <c r="BI27" i="40"/>
  <c r="BH27" i="40"/>
  <c r="BG27" i="40"/>
  <c r="BF27" i="40"/>
  <c r="BE27" i="40"/>
  <c r="BD27" i="40"/>
  <c r="BC27" i="40"/>
  <c r="BB27" i="40"/>
  <c r="BA27" i="40"/>
  <c r="AZ27" i="40"/>
  <c r="AY27" i="40"/>
  <c r="AX27" i="40"/>
  <c r="AW27" i="40"/>
  <c r="AV27" i="40"/>
  <c r="AU27" i="40"/>
  <c r="AT27" i="40"/>
  <c r="AS27" i="40"/>
  <c r="AR27" i="40"/>
  <c r="AQ27" i="40"/>
  <c r="AP27" i="40"/>
  <c r="AO27" i="40"/>
  <c r="AN27" i="40"/>
  <c r="AM27" i="40"/>
  <c r="AL27" i="40"/>
  <c r="AK27" i="40"/>
  <c r="AJ27" i="40"/>
  <c r="AI27" i="40"/>
  <c r="AH27" i="40"/>
  <c r="AG27" i="40"/>
  <c r="AF27" i="40"/>
  <c r="AE27" i="40"/>
  <c r="AD27" i="40"/>
  <c r="AC27" i="40"/>
  <c r="AB27" i="40"/>
  <c r="AA27" i="40"/>
  <c r="Z27" i="40"/>
  <c r="Y27" i="40"/>
  <c r="X27" i="40"/>
  <c r="W27" i="40"/>
  <c r="V27" i="40"/>
  <c r="U27" i="40"/>
  <c r="T27" i="40"/>
  <c r="S27" i="40"/>
  <c r="R27" i="40"/>
  <c r="Q27" i="40"/>
  <c r="P27" i="40"/>
  <c r="O27" i="40"/>
  <c r="N27" i="40"/>
  <c r="M27" i="40"/>
  <c r="L27" i="40"/>
  <c r="K27" i="40"/>
  <c r="J27" i="40"/>
  <c r="I27" i="40"/>
  <c r="H27" i="40"/>
  <c r="G27" i="40"/>
  <c r="CK26" i="40"/>
  <c r="CJ26" i="40"/>
  <c r="CI26" i="40"/>
  <c r="CH26" i="40"/>
  <c r="CG26" i="40"/>
  <c r="CF26" i="40"/>
  <c r="CE26" i="40"/>
  <c r="CD26" i="40"/>
  <c r="CC26" i="40"/>
  <c r="CB26" i="40"/>
  <c r="CA26" i="40"/>
  <c r="BZ26" i="40"/>
  <c r="BY26" i="40"/>
  <c r="BX26" i="40"/>
  <c r="BW26" i="40"/>
  <c r="BV26" i="40"/>
  <c r="BU26" i="40"/>
  <c r="BT26" i="40"/>
  <c r="BS26" i="40"/>
  <c r="BR26" i="40"/>
  <c r="BQ26" i="40"/>
  <c r="BP26" i="40"/>
  <c r="BO26" i="40"/>
  <c r="BN26" i="40"/>
  <c r="BM26" i="40"/>
  <c r="BL26" i="40"/>
  <c r="BK26" i="40"/>
  <c r="BJ26" i="40"/>
  <c r="BI26" i="40"/>
  <c r="BH26" i="40"/>
  <c r="BG26" i="40"/>
  <c r="BF26" i="40"/>
  <c r="BE26" i="40"/>
  <c r="BD26" i="40"/>
  <c r="BC26" i="40"/>
  <c r="BB26" i="40"/>
  <c r="BA26" i="40"/>
  <c r="AZ26" i="40"/>
  <c r="AY26" i="40"/>
  <c r="AX26" i="40"/>
  <c r="AW26" i="40"/>
  <c r="AV26" i="40"/>
  <c r="AU26" i="40"/>
  <c r="AT26" i="40"/>
  <c r="AS26" i="40"/>
  <c r="AR26" i="40"/>
  <c r="AQ26" i="40"/>
  <c r="AP26" i="40"/>
  <c r="AO26" i="40"/>
  <c r="AN26" i="40"/>
  <c r="AM26" i="40"/>
  <c r="AL26" i="40"/>
  <c r="AK26" i="40"/>
  <c r="AJ26" i="40"/>
  <c r="AI26" i="40"/>
  <c r="AH26" i="40"/>
  <c r="AG26" i="40"/>
  <c r="AF26" i="40"/>
  <c r="AE26" i="40"/>
  <c r="AD26" i="40"/>
  <c r="AC26" i="40"/>
  <c r="AB26" i="40"/>
  <c r="AA26" i="40"/>
  <c r="Z26" i="40"/>
  <c r="Y26" i="40"/>
  <c r="X26" i="40"/>
  <c r="W26" i="40"/>
  <c r="V26" i="40"/>
  <c r="U26" i="40"/>
  <c r="T26" i="40"/>
  <c r="S26" i="40"/>
  <c r="R26" i="40"/>
  <c r="Q26" i="40"/>
  <c r="P26" i="40"/>
  <c r="O26" i="40"/>
  <c r="N26" i="40"/>
  <c r="M26" i="40"/>
  <c r="L26" i="40"/>
  <c r="K26" i="40"/>
  <c r="J26" i="40"/>
  <c r="I26" i="40"/>
  <c r="H26" i="40"/>
  <c r="G26" i="40"/>
  <c r="CK25" i="40"/>
  <c r="CJ25" i="40"/>
  <c r="CI25" i="40"/>
  <c r="CH25" i="40"/>
  <c r="CG25" i="40"/>
  <c r="CF25" i="40"/>
  <c r="CE25" i="40"/>
  <c r="CD25" i="40"/>
  <c r="CC25" i="40"/>
  <c r="CB25" i="40"/>
  <c r="CA25" i="40"/>
  <c r="BZ25" i="40"/>
  <c r="BY25" i="40"/>
  <c r="BX25" i="40"/>
  <c r="BW25" i="40"/>
  <c r="BV25" i="40"/>
  <c r="BU25" i="40"/>
  <c r="BT25" i="40"/>
  <c r="BS25" i="40"/>
  <c r="BR25" i="40"/>
  <c r="BQ25" i="40"/>
  <c r="BP25" i="40"/>
  <c r="BO25" i="40"/>
  <c r="BN25" i="40"/>
  <c r="BM25" i="40"/>
  <c r="BL25" i="40"/>
  <c r="BK25" i="40"/>
  <c r="BJ25" i="40"/>
  <c r="BI25" i="40"/>
  <c r="BH25" i="40"/>
  <c r="BG25" i="40"/>
  <c r="BF25" i="40"/>
  <c r="BE25" i="40"/>
  <c r="BD25" i="40"/>
  <c r="BC25" i="40"/>
  <c r="BB25" i="40"/>
  <c r="BA25" i="40"/>
  <c r="AZ25" i="40"/>
  <c r="AY25" i="40"/>
  <c r="AX25" i="40"/>
  <c r="AW25" i="40"/>
  <c r="AV25" i="40"/>
  <c r="AU25" i="40"/>
  <c r="AT25" i="40"/>
  <c r="AS25" i="40"/>
  <c r="AR25" i="40"/>
  <c r="AQ25" i="40"/>
  <c r="AP25" i="40"/>
  <c r="AO25" i="40"/>
  <c r="AN25" i="40"/>
  <c r="AM25" i="40"/>
  <c r="AL25" i="40"/>
  <c r="AK25" i="40"/>
  <c r="AJ25" i="40"/>
  <c r="AI25" i="40"/>
  <c r="AH25" i="40"/>
  <c r="AG25" i="40"/>
  <c r="AF25" i="40"/>
  <c r="AE25" i="40"/>
  <c r="AD25" i="40"/>
  <c r="AC25" i="40"/>
  <c r="AB25" i="40"/>
  <c r="AA25" i="40"/>
  <c r="Z25" i="40"/>
  <c r="Y25" i="40"/>
  <c r="X25" i="40"/>
  <c r="W25" i="40"/>
  <c r="V25" i="40"/>
  <c r="U25" i="40"/>
  <c r="T25" i="40"/>
  <c r="S25" i="40"/>
  <c r="R25" i="40"/>
  <c r="Q25" i="40"/>
  <c r="P25" i="40"/>
  <c r="O25" i="40"/>
  <c r="N25" i="40"/>
  <c r="M25" i="40"/>
  <c r="L25" i="40"/>
  <c r="K25" i="40"/>
  <c r="J25" i="40"/>
  <c r="I25" i="40"/>
  <c r="H25" i="40"/>
  <c r="G25" i="40"/>
  <c r="CK24" i="40"/>
  <c r="CJ24" i="40"/>
  <c r="CI24" i="40"/>
  <c r="CH24" i="40"/>
  <c r="CG24" i="40"/>
  <c r="CF24" i="40"/>
  <c r="CE24" i="40"/>
  <c r="CD24" i="40"/>
  <c r="CC24" i="40"/>
  <c r="CB24" i="40"/>
  <c r="CA24" i="40"/>
  <c r="BZ24" i="40"/>
  <c r="BY24" i="40"/>
  <c r="BX24" i="40"/>
  <c r="BW24" i="40"/>
  <c r="BV24" i="40"/>
  <c r="BU24" i="40"/>
  <c r="BT24" i="40"/>
  <c r="BS24" i="40"/>
  <c r="BR24" i="40"/>
  <c r="BQ24" i="40"/>
  <c r="BP24" i="40"/>
  <c r="BO24" i="40"/>
  <c r="BN24" i="40"/>
  <c r="BM24" i="40"/>
  <c r="BL24" i="40"/>
  <c r="BK24" i="40"/>
  <c r="BJ24" i="40"/>
  <c r="BI24" i="40"/>
  <c r="BH24" i="40"/>
  <c r="BG24" i="40"/>
  <c r="BF24" i="40"/>
  <c r="BE24" i="40"/>
  <c r="BD24" i="40"/>
  <c r="BC24" i="40"/>
  <c r="BB24" i="40"/>
  <c r="BA24" i="40"/>
  <c r="AZ24" i="40"/>
  <c r="AY24" i="40"/>
  <c r="AX24" i="40"/>
  <c r="AW24" i="40"/>
  <c r="AV24" i="40"/>
  <c r="AU24" i="40"/>
  <c r="AT24" i="40"/>
  <c r="AS24" i="40"/>
  <c r="AR24" i="40"/>
  <c r="AQ24" i="40"/>
  <c r="AP24" i="40"/>
  <c r="AO24" i="40"/>
  <c r="AN24" i="40"/>
  <c r="AM24" i="40"/>
  <c r="AL24" i="40"/>
  <c r="AK24" i="40"/>
  <c r="AJ24" i="40"/>
  <c r="AI24" i="40"/>
  <c r="AH24" i="40"/>
  <c r="AG24" i="40"/>
  <c r="AF24" i="40"/>
  <c r="AE24" i="40"/>
  <c r="AD24" i="40"/>
  <c r="AC24" i="40"/>
  <c r="AB24" i="40"/>
  <c r="AA24" i="40"/>
  <c r="Z24" i="40"/>
  <c r="Y24" i="40"/>
  <c r="X24" i="40"/>
  <c r="W24" i="40"/>
  <c r="V24" i="40"/>
  <c r="U24" i="40"/>
  <c r="T24" i="40"/>
  <c r="S24" i="40"/>
  <c r="R24" i="40"/>
  <c r="Q24" i="40"/>
  <c r="P24" i="40"/>
  <c r="O24" i="40"/>
  <c r="N24" i="40"/>
  <c r="M24" i="40"/>
  <c r="L24" i="40"/>
  <c r="K24" i="40"/>
  <c r="J24" i="40"/>
  <c r="I24" i="40"/>
  <c r="H24" i="40"/>
  <c r="G24" i="40"/>
  <c r="CK23" i="40"/>
  <c r="CJ23" i="40"/>
  <c r="CI23" i="40"/>
  <c r="CH23" i="40"/>
  <c r="CG23" i="40"/>
  <c r="CF23" i="40"/>
  <c r="CE23" i="40"/>
  <c r="CD23" i="40"/>
  <c r="CC23" i="40"/>
  <c r="CB23" i="40"/>
  <c r="CA23" i="40"/>
  <c r="BZ23" i="40"/>
  <c r="BY23" i="40"/>
  <c r="BX23" i="40"/>
  <c r="BW23" i="40"/>
  <c r="BV23" i="40"/>
  <c r="BU23" i="40"/>
  <c r="BT23" i="40"/>
  <c r="BS23" i="40"/>
  <c r="BR23" i="40"/>
  <c r="BQ23" i="40"/>
  <c r="BP23" i="40"/>
  <c r="BO23" i="40"/>
  <c r="BN23" i="40"/>
  <c r="BM23" i="40"/>
  <c r="BL23" i="40"/>
  <c r="BK23" i="40"/>
  <c r="BJ23" i="40"/>
  <c r="BI23" i="40"/>
  <c r="BH23" i="40"/>
  <c r="BG23" i="40"/>
  <c r="BF23" i="40"/>
  <c r="BE23" i="40"/>
  <c r="BD23" i="40"/>
  <c r="BC23" i="40"/>
  <c r="BB23" i="40"/>
  <c r="BA23" i="40"/>
  <c r="AZ23" i="40"/>
  <c r="AY23" i="40"/>
  <c r="AX23" i="40"/>
  <c r="AW23" i="40"/>
  <c r="AV23" i="40"/>
  <c r="AU23" i="40"/>
  <c r="AT23" i="40"/>
  <c r="AS23" i="40"/>
  <c r="AR23" i="40"/>
  <c r="AQ23" i="40"/>
  <c r="AP23" i="40"/>
  <c r="AO23" i="40"/>
  <c r="AN23" i="40"/>
  <c r="AM23" i="40"/>
  <c r="AL23" i="40"/>
  <c r="AK23" i="40"/>
  <c r="AJ23" i="40"/>
  <c r="AI23" i="40"/>
  <c r="AH23" i="40"/>
  <c r="AG23" i="40"/>
  <c r="AF23" i="40"/>
  <c r="AE23" i="40"/>
  <c r="AD23" i="40"/>
  <c r="AC23" i="40"/>
  <c r="AB23" i="40"/>
  <c r="AA23" i="40"/>
  <c r="Z23" i="40"/>
  <c r="Y23" i="40"/>
  <c r="X23" i="40"/>
  <c r="W23" i="40"/>
  <c r="V23" i="40"/>
  <c r="U23" i="40"/>
  <c r="T23" i="40"/>
  <c r="S23" i="40"/>
  <c r="R23" i="40"/>
  <c r="Q23" i="40"/>
  <c r="P23" i="40"/>
  <c r="O23" i="40"/>
  <c r="N23" i="40"/>
  <c r="M23" i="40"/>
  <c r="L23" i="40"/>
  <c r="K23" i="40"/>
  <c r="J23" i="40"/>
  <c r="I23" i="40"/>
  <c r="H23" i="40"/>
  <c r="G23" i="40"/>
  <c r="CK22" i="40"/>
  <c r="CJ22" i="40"/>
  <c r="CI22" i="40"/>
  <c r="CH22" i="40"/>
  <c r="CG22" i="40"/>
  <c r="CF22" i="40"/>
  <c r="CE22" i="40"/>
  <c r="CD22" i="40"/>
  <c r="CC22" i="40"/>
  <c r="CB22" i="40"/>
  <c r="CA22" i="40"/>
  <c r="BZ22" i="40"/>
  <c r="BY22" i="40"/>
  <c r="BX22" i="40"/>
  <c r="BW22" i="40"/>
  <c r="BV22" i="40"/>
  <c r="BU22" i="40"/>
  <c r="BT22" i="40"/>
  <c r="BS22" i="40"/>
  <c r="BR22" i="40"/>
  <c r="BQ22" i="40"/>
  <c r="BP22" i="40"/>
  <c r="BO22" i="40"/>
  <c r="BN22" i="40"/>
  <c r="BM22" i="40"/>
  <c r="BL22" i="40"/>
  <c r="BK22" i="40"/>
  <c r="BJ22" i="40"/>
  <c r="BI22" i="40"/>
  <c r="BH22" i="40"/>
  <c r="BG22" i="40"/>
  <c r="BF22" i="40"/>
  <c r="BE22" i="40"/>
  <c r="BD22" i="40"/>
  <c r="BC22" i="40"/>
  <c r="BB22" i="40"/>
  <c r="BA22" i="40"/>
  <c r="AZ22" i="40"/>
  <c r="AY22" i="40"/>
  <c r="AX22" i="40"/>
  <c r="AW22" i="40"/>
  <c r="AV22" i="40"/>
  <c r="AU22" i="40"/>
  <c r="AT22" i="40"/>
  <c r="AS22" i="40"/>
  <c r="AR22" i="40"/>
  <c r="AQ22" i="40"/>
  <c r="AP22" i="40"/>
  <c r="AO22" i="40"/>
  <c r="AN22" i="40"/>
  <c r="AM22" i="40"/>
  <c r="AL22" i="40"/>
  <c r="AK22" i="40"/>
  <c r="AJ22" i="40"/>
  <c r="AI22" i="40"/>
  <c r="AH22" i="40"/>
  <c r="AG22" i="40"/>
  <c r="AF22" i="40"/>
  <c r="AE22" i="40"/>
  <c r="AD22" i="40"/>
  <c r="AC22" i="40"/>
  <c r="AB22" i="40"/>
  <c r="AA22" i="40"/>
  <c r="Z22" i="40"/>
  <c r="Y22" i="40"/>
  <c r="X22" i="40"/>
  <c r="W22" i="40"/>
  <c r="V22" i="40"/>
  <c r="U22" i="40"/>
  <c r="T22" i="40"/>
  <c r="S22" i="40"/>
  <c r="R22" i="40"/>
  <c r="Q22" i="40"/>
  <c r="P22" i="40"/>
  <c r="O22" i="40"/>
  <c r="N22" i="40"/>
  <c r="M22" i="40"/>
  <c r="L22" i="40"/>
  <c r="K22" i="40"/>
  <c r="J22" i="40"/>
  <c r="I22" i="40"/>
  <c r="H22" i="40"/>
  <c r="G22" i="40"/>
  <c r="CK21" i="40"/>
  <c r="CJ21" i="40"/>
  <c r="CI21" i="40"/>
  <c r="CH21" i="40"/>
  <c r="CG21" i="40"/>
  <c r="CF21" i="40"/>
  <c r="CE21" i="40"/>
  <c r="CD21" i="40"/>
  <c r="CC21" i="40"/>
  <c r="CB21" i="40"/>
  <c r="CA21" i="40"/>
  <c r="BZ21" i="40"/>
  <c r="BY21" i="40"/>
  <c r="BX21" i="40"/>
  <c r="BW21" i="40"/>
  <c r="BV21" i="40"/>
  <c r="BU21" i="40"/>
  <c r="BT21" i="40"/>
  <c r="BS21" i="40"/>
  <c r="BR21" i="40"/>
  <c r="BQ21" i="40"/>
  <c r="BP21" i="40"/>
  <c r="BO21" i="40"/>
  <c r="BN21" i="40"/>
  <c r="BM21" i="40"/>
  <c r="BL21" i="40"/>
  <c r="BK21" i="40"/>
  <c r="BJ21" i="40"/>
  <c r="BI21" i="40"/>
  <c r="BH21" i="40"/>
  <c r="BG21" i="40"/>
  <c r="BF21" i="40"/>
  <c r="BE21" i="40"/>
  <c r="BD21" i="40"/>
  <c r="BC21" i="40"/>
  <c r="BB21" i="40"/>
  <c r="BA21" i="40"/>
  <c r="AZ21" i="40"/>
  <c r="AY21" i="40"/>
  <c r="AX21" i="40"/>
  <c r="AW21" i="40"/>
  <c r="AV21" i="40"/>
  <c r="AU21" i="40"/>
  <c r="AT21" i="40"/>
  <c r="AS21" i="40"/>
  <c r="AR21" i="40"/>
  <c r="AQ21" i="40"/>
  <c r="AP21" i="40"/>
  <c r="AO21" i="40"/>
  <c r="AN21" i="40"/>
  <c r="AM21" i="40"/>
  <c r="AL21" i="40"/>
  <c r="AK21" i="40"/>
  <c r="AJ21" i="40"/>
  <c r="AI21" i="40"/>
  <c r="AH21" i="40"/>
  <c r="AG21" i="40"/>
  <c r="AF21" i="40"/>
  <c r="AE21" i="40"/>
  <c r="AD21" i="40"/>
  <c r="AC21" i="40"/>
  <c r="AB21" i="40"/>
  <c r="AA21" i="40"/>
  <c r="Z21" i="40"/>
  <c r="Y21" i="40"/>
  <c r="X21" i="40"/>
  <c r="W21" i="40"/>
  <c r="V21" i="40"/>
  <c r="U21" i="40"/>
  <c r="T21" i="40"/>
  <c r="S21" i="40"/>
  <c r="R21" i="40"/>
  <c r="Q21" i="40"/>
  <c r="P21" i="40"/>
  <c r="O21" i="40"/>
  <c r="N21" i="40"/>
  <c r="M21" i="40"/>
  <c r="L21" i="40"/>
  <c r="K21" i="40"/>
  <c r="J21" i="40"/>
  <c r="I21" i="40"/>
  <c r="H21" i="40"/>
  <c r="G21" i="40"/>
  <c r="CK19" i="40"/>
  <c r="CJ19" i="40"/>
  <c r="CI19" i="40"/>
  <c r="CH19" i="40"/>
  <c r="CG19" i="40"/>
  <c r="CF19" i="40"/>
  <c r="CE19" i="40"/>
  <c r="CD19" i="40"/>
  <c r="CC19" i="40"/>
  <c r="CB19" i="40"/>
  <c r="CA19" i="40"/>
  <c r="BZ19" i="40"/>
  <c r="BY19" i="40"/>
  <c r="BX19" i="40"/>
  <c r="BW19" i="40"/>
  <c r="BV19" i="40"/>
  <c r="BU19" i="40"/>
  <c r="BT19" i="40"/>
  <c r="BS19" i="40"/>
  <c r="BR19" i="40"/>
  <c r="BQ19" i="40"/>
  <c r="BP19" i="40"/>
  <c r="BO19" i="40"/>
  <c r="BN19" i="40"/>
  <c r="BM19" i="40"/>
  <c r="BL19" i="40"/>
  <c r="BK19" i="40"/>
  <c r="BJ19" i="40"/>
  <c r="BI19" i="40"/>
  <c r="BH19" i="40"/>
  <c r="BG19" i="40"/>
  <c r="BF19" i="40"/>
  <c r="BE19" i="40"/>
  <c r="BD19" i="40"/>
  <c r="BC19" i="40"/>
  <c r="BB19" i="40"/>
  <c r="BA19" i="40"/>
  <c r="AZ19" i="40"/>
  <c r="AY19" i="40"/>
  <c r="AX19" i="40"/>
  <c r="AW19" i="40"/>
  <c r="AV19" i="40"/>
  <c r="AU19" i="40"/>
  <c r="AT19" i="40"/>
  <c r="AS19" i="40"/>
  <c r="AR19" i="40"/>
  <c r="AQ19" i="40"/>
  <c r="AP19" i="40"/>
  <c r="AO19" i="40"/>
  <c r="AN19" i="40"/>
  <c r="AM19" i="40"/>
  <c r="AL19" i="40"/>
  <c r="AK19" i="40"/>
  <c r="AJ19" i="40"/>
  <c r="AI19" i="40"/>
  <c r="AH19" i="40"/>
  <c r="AG19" i="40"/>
  <c r="AF19" i="40"/>
  <c r="AE19" i="40"/>
  <c r="AD19" i="40"/>
  <c r="AC19" i="40"/>
  <c r="AB19" i="40"/>
  <c r="AA19" i="40"/>
  <c r="Z19" i="40"/>
  <c r="Y19" i="40"/>
  <c r="X19" i="40"/>
  <c r="W19" i="40"/>
  <c r="V19" i="40"/>
  <c r="U19" i="40"/>
  <c r="T19" i="40"/>
  <c r="S19" i="40"/>
  <c r="R19" i="40"/>
  <c r="Q19" i="40"/>
  <c r="P19" i="40"/>
  <c r="O19" i="40"/>
  <c r="N19" i="40"/>
  <c r="M19" i="40"/>
  <c r="L19" i="40"/>
  <c r="K19" i="40"/>
  <c r="J19" i="40"/>
  <c r="I19" i="40"/>
  <c r="H19" i="40"/>
  <c r="G19" i="40"/>
  <c r="CK18" i="40"/>
  <c r="CJ18" i="40"/>
  <c r="CI18" i="40"/>
  <c r="CH18" i="40"/>
  <c r="CG18" i="40"/>
  <c r="CF18" i="40"/>
  <c r="CE18" i="40"/>
  <c r="CD18" i="40"/>
  <c r="CC18" i="40"/>
  <c r="CB18" i="40"/>
  <c r="CA18" i="40"/>
  <c r="BZ18" i="40"/>
  <c r="BY18" i="40"/>
  <c r="BX18" i="40"/>
  <c r="BW18" i="40"/>
  <c r="BV18" i="40"/>
  <c r="BU18" i="40"/>
  <c r="BT18" i="40"/>
  <c r="BS18" i="40"/>
  <c r="BR18" i="40"/>
  <c r="BQ18" i="40"/>
  <c r="BP18" i="40"/>
  <c r="BO18" i="40"/>
  <c r="BN18" i="40"/>
  <c r="BM18" i="40"/>
  <c r="BL18" i="40"/>
  <c r="BK18" i="40"/>
  <c r="BJ18" i="40"/>
  <c r="BI18" i="40"/>
  <c r="BH18" i="40"/>
  <c r="BG18" i="40"/>
  <c r="BF18" i="40"/>
  <c r="BE18" i="40"/>
  <c r="BD18" i="40"/>
  <c r="BC18" i="40"/>
  <c r="BB18" i="40"/>
  <c r="BA18" i="40"/>
  <c r="AZ18" i="40"/>
  <c r="AY18" i="40"/>
  <c r="AX18" i="40"/>
  <c r="AW18" i="40"/>
  <c r="AV18" i="40"/>
  <c r="AU18" i="40"/>
  <c r="AT18" i="40"/>
  <c r="AS18" i="40"/>
  <c r="AR18" i="40"/>
  <c r="AQ18" i="40"/>
  <c r="AP18" i="40"/>
  <c r="AO18" i="40"/>
  <c r="AN18" i="40"/>
  <c r="AM18" i="40"/>
  <c r="AL18" i="40"/>
  <c r="AK18" i="40"/>
  <c r="AJ18" i="40"/>
  <c r="AI18" i="40"/>
  <c r="AH18" i="40"/>
  <c r="AG18" i="40"/>
  <c r="AF18" i="40"/>
  <c r="AE18" i="40"/>
  <c r="AD18" i="40"/>
  <c r="AC18" i="40"/>
  <c r="AB18" i="40"/>
  <c r="AA18" i="40"/>
  <c r="Z18" i="40"/>
  <c r="Y18" i="40"/>
  <c r="X18" i="40"/>
  <c r="W18" i="40"/>
  <c r="V18" i="40"/>
  <c r="U18" i="40"/>
  <c r="T18" i="40"/>
  <c r="S18" i="40"/>
  <c r="R18" i="40"/>
  <c r="Q18" i="40"/>
  <c r="P18" i="40"/>
  <c r="O18" i="40"/>
  <c r="N18" i="40"/>
  <c r="M18" i="40"/>
  <c r="L18" i="40"/>
  <c r="K18" i="40"/>
  <c r="J18" i="40"/>
  <c r="I18" i="40"/>
  <c r="H18" i="40"/>
  <c r="G18" i="40"/>
  <c r="CK17" i="40"/>
  <c r="CJ17" i="40"/>
  <c r="CI17" i="40"/>
  <c r="CH17" i="40"/>
  <c r="CG17" i="40"/>
  <c r="CF17" i="40"/>
  <c r="CE17" i="40"/>
  <c r="CD17" i="40"/>
  <c r="CC17" i="40"/>
  <c r="CB17" i="40"/>
  <c r="CA17" i="40"/>
  <c r="BZ17" i="40"/>
  <c r="BY17" i="40"/>
  <c r="BX17" i="40"/>
  <c r="BW17" i="40"/>
  <c r="BV17" i="40"/>
  <c r="BU17" i="40"/>
  <c r="BT17" i="40"/>
  <c r="BS17" i="40"/>
  <c r="BR17" i="40"/>
  <c r="BQ17" i="40"/>
  <c r="BP17" i="40"/>
  <c r="BO17" i="40"/>
  <c r="BN17" i="40"/>
  <c r="BM17" i="40"/>
  <c r="BL17" i="40"/>
  <c r="BK17" i="40"/>
  <c r="BJ17" i="40"/>
  <c r="BI17" i="40"/>
  <c r="BH17" i="40"/>
  <c r="BG17" i="40"/>
  <c r="BF17" i="40"/>
  <c r="BE17" i="40"/>
  <c r="BD17" i="40"/>
  <c r="BC17" i="40"/>
  <c r="BB17" i="40"/>
  <c r="BA17" i="40"/>
  <c r="AZ17" i="40"/>
  <c r="AY17" i="40"/>
  <c r="AX17" i="40"/>
  <c r="AW17" i="40"/>
  <c r="AV17" i="40"/>
  <c r="AU17" i="40"/>
  <c r="AT17" i="40"/>
  <c r="AS17" i="40"/>
  <c r="AR17" i="40"/>
  <c r="AQ17" i="40"/>
  <c r="AP17" i="40"/>
  <c r="AO17" i="40"/>
  <c r="AN17" i="40"/>
  <c r="AM17" i="40"/>
  <c r="AL17" i="40"/>
  <c r="AK17" i="40"/>
  <c r="AJ17" i="40"/>
  <c r="AI17" i="40"/>
  <c r="AH17" i="40"/>
  <c r="AG17" i="40"/>
  <c r="AF17" i="40"/>
  <c r="AE17" i="40"/>
  <c r="AD17" i="40"/>
  <c r="AC17" i="40"/>
  <c r="AB17" i="40"/>
  <c r="AA17" i="40"/>
  <c r="Z17" i="40"/>
  <c r="Y17" i="40"/>
  <c r="X17" i="40"/>
  <c r="W17" i="40"/>
  <c r="V17" i="40"/>
  <c r="U17" i="40"/>
  <c r="T17" i="40"/>
  <c r="S17" i="40"/>
  <c r="R17" i="40"/>
  <c r="Q17" i="40"/>
  <c r="P17" i="40"/>
  <c r="O17" i="40"/>
  <c r="N17" i="40"/>
  <c r="M17" i="40"/>
  <c r="L17" i="40"/>
  <c r="K17" i="40"/>
  <c r="J17" i="40"/>
  <c r="I17" i="40"/>
  <c r="H17" i="40"/>
  <c r="G17" i="40"/>
  <c r="CK16" i="40"/>
  <c r="CJ16" i="40"/>
  <c r="CI16" i="40"/>
  <c r="CH16" i="40"/>
  <c r="CG16" i="40"/>
  <c r="CF16" i="40"/>
  <c r="CE16" i="40"/>
  <c r="CD16" i="40"/>
  <c r="CC16" i="40"/>
  <c r="CB16" i="40"/>
  <c r="CA16" i="40"/>
  <c r="BZ16" i="40"/>
  <c r="BY16" i="40"/>
  <c r="BX16" i="40"/>
  <c r="BW16" i="40"/>
  <c r="BV16" i="40"/>
  <c r="BU16" i="40"/>
  <c r="BT16" i="40"/>
  <c r="BS16" i="40"/>
  <c r="BR16" i="40"/>
  <c r="BQ16" i="40"/>
  <c r="BP16" i="40"/>
  <c r="BO16" i="40"/>
  <c r="BN16" i="40"/>
  <c r="BM16" i="40"/>
  <c r="BL16" i="40"/>
  <c r="BK16" i="40"/>
  <c r="BJ16" i="40"/>
  <c r="BI16" i="40"/>
  <c r="BH16" i="40"/>
  <c r="BG16" i="40"/>
  <c r="BF16" i="40"/>
  <c r="BE16" i="40"/>
  <c r="BD16" i="40"/>
  <c r="BC16" i="40"/>
  <c r="BB16" i="40"/>
  <c r="BA16" i="40"/>
  <c r="AZ16" i="40"/>
  <c r="AY16" i="40"/>
  <c r="AX16" i="40"/>
  <c r="AW16" i="40"/>
  <c r="AV16" i="40"/>
  <c r="AU16" i="40"/>
  <c r="AT16" i="40"/>
  <c r="AS16" i="40"/>
  <c r="AR16" i="40"/>
  <c r="AQ16" i="40"/>
  <c r="AP16" i="40"/>
  <c r="AO16" i="40"/>
  <c r="AN16" i="40"/>
  <c r="AM16" i="40"/>
  <c r="AL16" i="40"/>
  <c r="AK16" i="40"/>
  <c r="AJ16" i="40"/>
  <c r="AI16" i="40"/>
  <c r="AH16" i="40"/>
  <c r="AG16" i="40"/>
  <c r="AF16" i="40"/>
  <c r="AE16" i="40"/>
  <c r="AD16" i="40"/>
  <c r="AC16" i="40"/>
  <c r="AB16" i="40"/>
  <c r="AA16" i="40"/>
  <c r="Z16" i="40"/>
  <c r="Y16" i="40"/>
  <c r="X16" i="40"/>
  <c r="W16" i="40"/>
  <c r="V16" i="40"/>
  <c r="U16" i="40"/>
  <c r="T16" i="40"/>
  <c r="S16" i="40"/>
  <c r="R16" i="40"/>
  <c r="Q16" i="40"/>
  <c r="P16" i="40"/>
  <c r="O16" i="40"/>
  <c r="N16" i="40"/>
  <c r="M16" i="40"/>
  <c r="L16" i="40"/>
  <c r="K16" i="40"/>
  <c r="J16" i="40"/>
  <c r="I16" i="40"/>
  <c r="H16" i="40"/>
  <c r="G16" i="40"/>
  <c r="CK15" i="40"/>
  <c r="CJ15" i="40"/>
  <c r="CI15" i="40"/>
  <c r="CH15" i="40"/>
  <c r="CG15" i="40"/>
  <c r="CF15" i="40"/>
  <c r="CE15" i="40"/>
  <c r="CD15" i="40"/>
  <c r="CC15" i="40"/>
  <c r="CB15" i="40"/>
  <c r="CA15" i="40"/>
  <c r="BZ15" i="40"/>
  <c r="BY15" i="40"/>
  <c r="BX15" i="40"/>
  <c r="BW15" i="40"/>
  <c r="BV15" i="40"/>
  <c r="BU15" i="40"/>
  <c r="BT15" i="40"/>
  <c r="BS15" i="40"/>
  <c r="BR15" i="40"/>
  <c r="BQ15" i="40"/>
  <c r="BP15" i="40"/>
  <c r="BO15" i="40"/>
  <c r="BN15" i="40"/>
  <c r="BM15" i="40"/>
  <c r="BL15" i="40"/>
  <c r="BK15" i="40"/>
  <c r="BJ15" i="40"/>
  <c r="BI15" i="40"/>
  <c r="BH15" i="40"/>
  <c r="BG15" i="40"/>
  <c r="BF15" i="40"/>
  <c r="BE15" i="40"/>
  <c r="BD15" i="40"/>
  <c r="BC15" i="40"/>
  <c r="BB15" i="40"/>
  <c r="BA15" i="40"/>
  <c r="AZ15" i="40"/>
  <c r="AY15" i="40"/>
  <c r="AX15" i="40"/>
  <c r="AW15" i="40"/>
  <c r="AV15" i="40"/>
  <c r="AU15" i="40"/>
  <c r="AT15" i="40"/>
  <c r="AS15" i="40"/>
  <c r="AR15" i="40"/>
  <c r="AQ15" i="40"/>
  <c r="AP15" i="40"/>
  <c r="AO15" i="40"/>
  <c r="AN15" i="40"/>
  <c r="AM15" i="40"/>
  <c r="AL15" i="40"/>
  <c r="AK15" i="40"/>
  <c r="AJ15" i="40"/>
  <c r="AI15" i="40"/>
  <c r="AH15" i="40"/>
  <c r="AG15" i="40"/>
  <c r="AF15" i="40"/>
  <c r="AE15" i="40"/>
  <c r="AD15" i="40"/>
  <c r="AC15" i="40"/>
  <c r="AB15" i="40"/>
  <c r="AA15" i="40"/>
  <c r="Z15" i="40"/>
  <c r="Y15" i="40"/>
  <c r="X15" i="40"/>
  <c r="W15" i="40"/>
  <c r="V15" i="40"/>
  <c r="U15" i="40"/>
  <c r="T15" i="40"/>
  <c r="S15" i="40"/>
  <c r="R15" i="40"/>
  <c r="Q15" i="40"/>
  <c r="P15" i="40"/>
  <c r="O15" i="40"/>
  <c r="N15" i="40"/>
  <c r="M15" i="40"/>
  <c r="L15" i="40"/>
  <c r="K15" i="40"/>
  <c r="J15" i="40"/>
  <c r="I15" i="40"/>
  <c r="H15" i="40"/>
  <c r="G15" i="40"/>
  <c r="CK14" i="40"/>
  <c r="CJ14" i="40"/>
  <c r="CI14" i="40"/>
  <c r="CH14" i="40"/>
  <c r="CG14" i="40"/>
  <c r="CF14" i="40"/>
  <c r="CE14" i="40"/>
  <c r="CD14" i="40"/>
  <c r="CC14" i="40"/>
  <c r="CB14" i="40"/>
  <c r="CA14" i="40"/>
  <c r="BZ14" i="40"/>
  <c r="BY14" i="40"/>
  <c r="BX14" i="40"/>
  <c r="BW14" i="40"/>
  <c r="BV14" i="40"/>
  <c r="BU14" i="40"/>
  <c r="BT14" i="40"/>
  <c r="BS14" i="40"/>
  <c r="BR14" i="40"/>
  <c r="BQ14" i="40"/>
  <c r="BP14" i="40"/>
  <c r="BO14" i="40"/>
  <c r="BN14" i="40"/>
  <c r="BM14" i="40"/>
  <c r="BL14" i="40"/>
  <c r="BK14" i="40"/>
  <c r="BJ14" i="40"/>
  <c r="BI14" i="40"/>
  <c r="BH14" i="40"/>
  <c r="BG14" i="40"/>
  <c r="BF14" i="40"/>
  <c r="BE14" i="40"/>
  <c r="BD14" i="40"/>
  <c r="BC14" i="40"/>
  <c r="BB14" i="40"/>
  <c r="BA14" i="40"/>
  <c r="AZ14" i="40"/>
  <c r="AY14" i="40"/>
  <c r="AX14" i="40"/>
  <c r="AW14" i="40"/>
  <c r="AV14" i="40"/>
  <c r="AU14" i="40"/>
  <c r="AT14" i="40"/>
  <c r="AS14" i="40"/>
  <c r="AR14" i="40"/>
  <c r="AQ14" i="40"/>
  <c r="AP14" i="40"/>
  <c r="AO14" i="40"/>
  <c r="AN14" i="40"/>
  <c r="AM14" i="40"/>
  <c r="AL14" i="40"/>
  <c r="AK14" i="40"/>
  <c r="AJ14" i="40"/>
  <c r="AI14" i="40"/>
  <c r="AH14" i="40"/>
  <c r="AG14" i="40"/>
  <c r="AF14" i="40"/>
  <c r="AE14" i="40"/>
  <c r="AD14" i="40"/>
  <c r="AC14" i="40"/>
  <c r="AB14" i="40"/>
  <c r="AA14" i="40"/>
  <c r="Z14" i="40"/>
  <c r="Y14" i="40"/>
  <c r="X14" i="40"/>
  <c r="W14" i="40"/>
  <c r="V14" i="40"/>
  <c r="U14" i="40"/>
  <c r="T14" i="40"/>
  <c r="S14" i="40"/>
  <c r="R14" i="40"/>
  <c r="Q14" i="40"/>
  <c r="P14" i="40"/>
  <c r="O14" i="40"/>
  <c r="N14" i="40"/>
  <c r="M14" i="40"/>
  <c r="L14" i="40"/>
  <c r="K14" i="40"/>
  <c r="J14" i="40"/>
  <c r="I14" i="40"/>
  <c r="H14" i="40"/>
  <c r="G14" i="40"/>
  <c r="CK13" i="40"/>
  <c r="CJ13" i="40"/>
  <c r="CI13" i="40"/>
  <c r="CH13" i="40"/>
  <c r="CG13" i="40"/>
  <c r="CF13" i="40"/>
  <c r="CE13" i="40"/>
  <c r="CD13" i="40"/>
  <c r="CC13" i="40"/>
  <c r="CB13" i="40"/>
  <c r="CA13" i="40"/>
  <c r="BZ13" i="40"/>
  <c r="BY13" i="40"/>
  <c r="BX13" i="40"/>
  <c r="BW13" i="40"/>
  <c r="BV13" i="40"/>
  <c r="BU13" i="40"/>
  <c r="BT13" i="40"/>
  <c r="BS13" i="40"/>
  <c r="BR13" i="40"/>
  <c r="BQ13" i="40"/>
  <c r="BP13" i="40"/>
  <c r="BO13" i="40"/>
  <c r="BN13" i="40"/>
  <c r="BM13" i="40"/>
  <c r="BL13" i="40"/>
  <c r="BK13" i="40"/>
  <c r="BJ13" i="40"/>
  <c r="BI13" i="40"/>
  <c r="BH13" i="40"/>
  <c r="BG13" i="40"/>
  <c r="BF13" i="40"/>
  <c r="BE13"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AD13" i="40"/>
  <c r="AC13" i="40"/>
  <c r="AB13" i="40"/>
  <c r="AA13" i="40"/>
  <c r="Z13" i="40"/>
  <c r="Y13" i="40"/>
  <c r="X13" i="40"/>
  <c r="W13" i="40"/>
  <c r="V13" i="40"/>
  <c r="U13" i="40"/>
  <c r="T13" i="40"/>
  <c r="S13" i="40"/>
  <c r="R13" i="40"/>
  <c r="Q13" i="40"/>
  <c r="P13" i="40"/>
  <c r="O13" i="40"/>
  <c r="N13" i="40"/>
  <c r="M13" i="40"/>
  <c r="L13" i="40"/>
  <c r="K13" i="40"/>
  <c r="J13" i="40"/>
  <c r="I13" i="40"/>
  <c r="H13" i="40"/>
  <c r="G13" i="40"/>
  <c r="CK11" i="40"/>
  <c r="CJ11" i="40"/>
  <c r="CI11" i="40"/>
  <c r="CH11" i="40"/>
  <c r="CG11" i="40"/>
  <c r="CF11" i="40"/>
  <c r="CE11" i="40"/>
  <c r="CD11" i="40"/>
  <c r="CC11" i="40"/>
  <c r="CB11" i="40"/>
  <c r="CA11" i="40"/>
  <c r="BZ11" i="40"/>
  <c r="BY11" i="40"/>
  <c r="BX11" i="40"/>
  <c r="BW11" i="40"/>
  <c r="BV11" i="40"/>
  <c r="BU11" i="40"/>
  <c r="BT11" i="40"/>
  <c r="BS11" i="40"/>
  <c r="BR11" i="40"/>
  <c r="BQ11" i="40"/>
  <c r="BP11" i="40"/>
  <c r="BO11" i="40"/>
  <c r="BN11" i="40"/>
  <c r="BM11" i="40"/>
  <c r="BL11" i="40"/>
  <c r="BK11" i="40"/>
  <c r="BJ11" i="40"/>
  <c r="BI11" i="40"/>
  <c r="BH11" i="40"/>
  <c r="BG11" i="40"/>
  <c r="BF11" i="40"/>
  <c r="BE11"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AD11" i="40"/>
  <c r="AC11" i="40"/>
  <c r="AB11" i="40"/>
  <c r="AA11" i="40"/>
  <c r="Z11" i="40"/>
  <c r="Y11" i="40"/>
  <c r="X11" i="40"/>
  <c r="W11" i="40"/>
  <c r="V11" i="40"/>
  <c r="U11" i="40"/>
  <c r="T11" i="40"/>
  <c r="S11" i="40"/>
  <c r="R11" i="40"/>
  <c r="Q11" i="40"/>
  <c r="P11" i="40"/>
  <c r="O11" i="40"/>
  <c r="N11" i="40"/>
  <c r="M11" i="40"/>
  <c r="L11" i="40"/>
  <c r="K11" i="40"/>
  <c r="J11" i="40"/>
  <c r="I11" i="40"/>
  <c r="H11" i="40"/>
  <c r="G11" i="40"/>
  <c r="CK10" i="40"/>
  <c r="CJ10" i="40"/>
  <c r="CI10" i="40"/>
  <c r="CH10" i="40"/>
  <c r="CG10" i="40"/>
  <c r="CF10" i="40"/>
  <c r="CE10" i="40"/>
  <c r="CD10" i="40"/>
  <c r="CC10" i="40"/>
  <c r="CB10" i="40"/>
  <c r="CA10" i="40"/>
  <c r="BZ10" i="40"/>
  <c r="BY10" i="40"/>
  <c r="BX10" i="40"/>
  <c r="BW10" i="40"/>
  <c r="BV10" i="40"/>
  <c r="BU10" i="40"/>
  <c r="BT10" i="40"/>
  <c r="BS10" i="40"/>
  <c r="BR10" i="40"/>
  <c r="BQ10" i="40"/>
  <c r="BP10" i="40"/>
  <c r="BO10" i="40"/>
  <c r="BN10" i="40"/>
  <c r="BM10" i="40"/>
  <c r="BL10" i="40"/>
  <c r="BK10" i="40"/>
  <c r="BJ10" i="40"/>
  <c r="BI10" i="40"/>
  <c r="BH10" i="40"/>
  <c r="BG10" i="40"/>
  <c r="BF10" i="40"/>
  <c r="BE10" i="40"/>
  <c r="BD10" i="40"/>
  <c r="BC10" i="40"/>
  <c r="BB10" i="40"/>
  <c r="BA10" i="40"/>
  <c r="AZ10" i="40"/>
  <c r="AY10" i="40"/>
  <c r="AX10" i="40"/>
  <c r="AW10" i="40"/>
  <c r="AV10" i="40"/>
  <c r="AU10" i="40"/>
  <c r="AT10" i="40"/>
  <c r="AS10" i="40"/>
  <c r="AR10" i="40"/>
  <c r="AQ10" i="40"/>
  <c r="AP10" i="40"/>
  <c r="AO10" i="40"/>
  <c r="AN10" i="40"/>
  <c r="AM10" i="40"/>
  <c r="AL10" i="40"/>
  <c r="AK10" i="40"/>
  <c r="AJ10" i="40"/>
  <c r="AI10" i="40"/>
  <c r="AH10" i="40"/>
  <c r="AG10" i="40"/>
  <c r="AF10" i="40"/>
  <c r="AE10" i="40"/>
  <c r="AD10" i="40"/>
  <c r="AC10" i="40"/>
  <c r="AB10" i="40"/>
  <c r="AA10" i="40"/>
  <c r="Z10" i="40"/>
  <c r="Y10" i="40"/>
  <c r="X10" i="40"/>
  <c r="W10" i="40"/>
  <c r="V10" i="40"/>
  <c r="U10" i="40"/>
  <c r="T10" i="40"/>
  <c r="S10" i="40"/>
  <c r="R10" i="40"/>
  <c r="Q10" i="40"/>
  <c r="P10" i="40"/>
  <c r="O10" i="40"/>
  <c r="N10" i="40"/>
  <c r="M10" i="40"/>
  <c r="L10" i="40"/>
  <c r="K10" i="40"/>
  <c r="J10" i="40"/>
  <c r="I10" i="40"/>
  <c r="H10" i="40"/>
  <c r="G10" i="40"/>
  <c r="F11" i="40"/>
  <c r="F10" i="40"/>
  <c r="AO74" i="40"/>
  <c r="AC74" i="40"/>
  <c r="Q74" i="40"/>
  <c r="E74" i="40"/>
  <c r="E64" i="40"/>
  <c r="F62" i="40" s="1"/>
  <c r="F45" i="40"/>
  <c r="F37" i="40"/>
  <c r="F20" i="40"/>
  <c r="C70" i="40"/>
  <c r="D63" i="40"/>
  <c r="C63" i="40"/>
  <c r="D55" i="40"/>
  <c r="C55" i="40"/>
  <c r="D53" i="40"/>
  <c r="C53" i="40"/>
  <c r="D52" i="40"/>
  <c r="C52" i="40"/>
  <c r="D51" i="40"/>
  <c r="C51" i="40"/>
  <c r="D50" i="40"/>
  <c r="C50" i="40"/>
  <c r="D49" i="40"/>
  <c r="C49" i="40"/>
  <c r="D37" i="40"/>
  <c r="C37" i="40"/>
  <c r="D36" i="40"/>
  <c r="C36" i="40"/>
  <c r="D35" i="40"/>
  <c r="C35" i="40"/>
  <c r="D34" i="40"/>
  <c r="C34" i="40"/>
  <c r="D33" i="40"/>
  <c r="C33" i="40"/>
  <c r="D32" i="40"/>
  <c r="C32" i="40"/>
  <c r="D31" i="40"/>
  <c r="C31" i="40"/>
  <c r="D30" i="40"/>
  <c r="C30" i="40"/>
  <c r="D29" i="40"/>
  <c r="C29" i="40"/>
  <c r="D28" i="40"/>
  <c r="C28" i="40"/>
  <c r="D27" i="40"/>
  <c r="C27" i="40"/>
  <c r="D26" i="40"/>
  <c r="C26" i="40"/>
  <c r="D25" i="40"/>
  <c r="C25" i="40"/>
  <c r="D24" i="40"/>
  <c r="C24" i="40"/>
  <c r="D23" i="40"/>
  <c r="C23" i="40"/>
  <c r="D22" i="40"/>
  <c r="C22" i="40"/>
  <c r="D21" i="40"/>
  <c r="C21" i="40"/>
  <c r="D20" i="40"/>
  <c r="C20" i="40"/>
  <c r="D19" i="40"/>
  <c r="C19" i="40"/>
  <c r="D18" i="40"/>
  <c r="C18" i="40"/>
  <c r="D17" i="40"/>
  <c r="C17" i="40"/>
  <c r="D16" i="40"/>
  <c r="C16" i="40"/>
  <c r="D15" i="40"/>
  <c r="C15" i="40"/>
  <c r="D14" i="40"/>
  <c r="C14" i="40"/>
  <c r="D13" i="40"/>
  <c r="C13" i="40"/>
  <c r="D11" i="40"/>
  <c r="C11" i="40"/>
  <c r="D10" i="40"/>
  <c r="C10" i="40"/>
  <c r="D9" i="40"/>
  <c r="C9" i="40"/>
  <c r="D7" i="40"/>
  <c r="D6" i="40"/>
  <c r="C5" i="40"/>
  <c r="C4" i="40"/>
  <c r="D46" i="28"/>
  <c r="C46" i="28"/>
  <c r="D39" i="28"/>
  <c r="C39" i="28"/>
  <c r="D38" i="28"/>
  <c r="C38" i="28"/>
  <c r="D37" i="28"/>
  <c r="C37" i="28"/>
  <c r="D34" i="28"/>
  <c r="C34" i="28"/>
  <c r="D27" i="28"/>
  <c r="C27" i="28"/>
  <c r="D26" i="28"/>
  <c r="C26" i="28"/>
  <c r="D19" i="28"/>
  <c r="A71" i="6" s="1"/>
  <c r="C19" i="28"/>
  <c r="C68" i="28" s="1"/>
  <c r="BD72" i="24"/>
  <c r="BK66" i="24"/>
  <c r="D33" i="24"/>
  <c r="D77" i="24" s="1"/>
  <c r="C33" i="24"/>
  <c r="C77" i="24" s="1"/>
  <c r="D32" i="24"/>
  <c r="D76" i="24" s="1"/>
  <c r="C32" i="24"/>
  <c r="C76" i="24" s="1"/>
  <c r="D31" i="24"/>
  <c r="D75" i="24" s="1"/>
  <c r="C31" i="24"/>
  <c r="C75" i="24" s="1"/>
  <c r="D30" i="24"/>
  <c r="D74" i="24" s="1"/>
  <c r="C30" i="24"/>
  <c r="C74" i="24" s="1"/>
  <c r="D29" i="24"/>
  <c r="D73" i="24" s="1"/>
  <c r="C29" i="24"/>
  <c r="C73" i="24" s="1"/>
  <c r="D28" i="24"/>
  <c r="D72" i="24" s="1"/>
  <c r="C28" i="24"/>
  <c r="C72" i="24" s="1"/>
  <c r="D27" i="24"/>
  <c r="D71" i="24" s="1"/>
  <c r="C27" i="24"/>
  <c r="C71" i="24" s="1"/>
  <c r="D26" i="24"/>
  <c r="D70" i="24" s="1"/>
  <c r="C26" i="24"/>
  <c r="C70" i="24" s="1"/>
  <c r="D25" i="24"/>
  <c r="D69" i="24" s="1"/>
  <c r="C25" i="24"/>
  <c r="C69" i="24" s="1"/>
  <c r="D24" i="24"/>
  <c r="D68" i="24" s="1"/>
  <c r="C24" i="24"/>
  <c r="C68" i="24" s="1"/>
  <c r="D23" i="24"/>
  <c r="D67" i="24" s="1"/>
  <c r="C23" i="24"/>
  <c r="C67" i="24" s="1"/>
  <c r="D22" i="24"/>
  <c r="D66" i="24" s="1"/>
  <c r="C22" i="24"/>
  <c r="C66" i="24" s="1"/>
  <c r="CK15" i="24"/>
  <c r="CK72" i="24" s="1"/>
  <c r="CJ15" i="24"/>
  <c r="CJ72" i="24" s="1"/>
  <c r="CI15" i="24"/>
  <c r="CI72" i="24" s="1"/>
  <c r="CH15" i="24"/>
  <c r="CH72" i="24" s="1"/>
  <c r="CG15" i="24"/>
  <c r="CG73" i="24" s="1"/>
  <c r="CF15" i="24"/>
  <c r="CF67" i="24" s="1"/>
  <c r="CE15" i="24"/>
  <c r="CE67" i="24" s="1"/>
  <c r="CD15" i="24"/>
  <c r="CD69" i="24" s="1"/>
  <c r="CC15" i="24"/>
  <c r="CC76" i="24" s="1"/>
  <c r="CB15" i="24"/>
  <c r="CA15" i="24"/>
  <c r="CA76" i="24" s="1"/>
  <c r="BZ15" i="24"/>
  <c r="BZ66" i="24" s="1"/>
  <c r="BY15" i="24"/>
  <c r="BY76" i="24" s="1"/>
  <c r="BX15" i="24"/>
  <c r="BX74" i="24" s="1"/>
  <c r="BW15" i="24"/>
  <c r="BW77" i="24" s="1"/>
  <c r="BV15" i="24"/>
  <c r="BV73" i="24" s="1"/>
  <c r="BU15" i="24"/>
  <c r="BU66" i="24" s="1"/>
  <c r="BT15" i="24"/>
  <c r="BT70" i="24" s="1"/>
  <c r="BS15" i="24"/>
  <c r="BS77" i="24" s="1"/>
  <c r="BR15" i="24"/>
  <c r="BR77" i="24" s="1"/>
  <c r="BQ15" i="24"/>
  <c r="BQ75" i="24" s="1"/>
  <c r="BP15" i="24"/>
  <c r="BP71" i="24" s="1"/>
  <c r="BO15" i="24"/>
  <c r="BN15" i="24"/>
  <c r="BM15" i="24"/>
  <c r="BM71" i="24" s="1"/>
  <c r="BL15" i="24"/>
  <c r="BL71" i="24" s="1"/>
  <c r="BK15" i="24"/>
  <c r="BK71" i="24" s="1"/>
  <c r="BJ15" i="24"/>
  <c r="BJ68" i="24" s="1"/>
  <c r="BI15" i="24"/>
  <c r="BI73" i="24" s="1"/>
  <c r="BH15" i="24"/>
  <c r="BH68" i="24" s="1"/>
  <c r="BG15" i="24"/>
  <c r="BG68" i="24" s="1"/>
  <c r="BF15" i="24"/>
  <c r="BF68" i="24" s="1"/>
  <c r="BE15" i="24"/>
  <c r="BE72" i="24" s="1"/>
  <c r="BD15" i="24"/>
  <c r="BC15" i="24"/>
  <c r="BC76" i="24" s="1"/>
  <c r="BB15" i="24"/>
  <c r="BB73" i="24" s="1"/>
  <c r="BA15" i="24"/>
  <c r="BA76" i="24" s="1"/>
  <c r="AZ15" i="24"/>
  <c r="AZ67" i="24" s="1"/>
  <c r="AY15" i="24"/>
  <c r="AY67" i="24" s="1"/>
  <c r="AX15" i="24"/>
  <c r="AX67" i="24" s="1"/>
  <c r="AW15" i="24"/>
  <c r="AW66" i="24" s="1"/>
  <c r="AV15" i="24"/>
  <c r="AV74" i="24" s="1"/>
  <c r="AU15" i="24"/>
  <c r="AU77" i="24" s="1"/>
  <c r="AT15" i="24"/>
  <c r="AT77" i="24" s="1"/>
  <c r="AS15" i="24"/>
  <c r="AS75" i="24" s="1"/>
  <c r="AR15" i="24"/>
  <c r="AQ15" i="24"/>
  <c r="AQ76" i="24" s="1"/>
  <c r="AP15" i="24"/>
  <c r="AP66" i="24" s="1"/>
  <c r="AO15" i="24"/>
  <c r="AO74" i="24" s="1"/>
  <c r="AN15" i="24"/>
  <c r="AN74" i="24" s="1"/>
  <c r="AM15" i="24"/>
  <c r="AM67" i="24" s="1"/>
  <c r="AL15" i="24"/>
  <c r="AL73" i="24" s="1"/>
  <c r="AK15" i="24"/>
  <c r="AK70" i="24" s="1"/>
  <c r="AJ15" i="24"/>
  <c r="AJ70" i="24" s="1"/>
  <c r="AI15" i="24"/>
  <c r="AI67" i="24" s="1"/>
  <c r="AH15" i="24"/>
  <c r="AH66" i="24" s="1"/>
  <c r="AG15" i="24"/>
  <c r="AG69" i="24" s="1"/>
  <c r="AF15" i="24"/>
  <c r="AF71" i="24" s="1"/>
  <c r="AE15" i="24"/>
  <c r="AE67" i="24" s="1"/>
  <c r="AD15" i="24"/>
  <c r="AC15" i="24"/>
  <c r="AC76" i="24" s="1"/>
  <c r="AB15" i="24"/>
  <c r="AB71" i="24" s="1"/>
  <c r="AA15" i="24"/>
  <c r="AA71" i="24" s="1"/>
  <c r="Z15" i="24"/>
  <c r="Z72" i="24" s="1"/>
  <c r="Y15" i="24"/>
  <c r="Y76" i="24" s="1"/>
  <c r="X15" i="24"/>
  <c r="X68" i="24" s="1"/>
  <c r="W15" i="24"/>
  <c r="W77" i="24" s="1"/>
  <c r="V15" i="24"/>
  <c r="V77" i="24" s="1"/>
  <c r="U15" i="24"/>
  <c r="U72" i="24" s="1"/>
  <c r="T15" i="24"/>
  <c r="T72" i="24" s="1"/>
  <c r="S15" i="24"/>
  <c r="R15" i="24"/>
  <c r="R70" i="24" s="1"/>
  <c r="Q15" i="24"/>
  <c r="Q68" i="24" s="1"/>
  <c r="P15" i="24"/>
  <c r="P68" i="24" s="1"/>
  <c r="O15" i="24"/>
  <c r="O68" i="24" s="1"/>
  <c r="N15" i="24"/>
  <c r="N68" i="24" s="1"/>
  <c r="M15" i="24"/>
  <c r="M72" i="24" s="1"/>
  <c r="L15" i="24"/>
  <c r="L74" i="24" s="1"/>
  <c r="K15" i="24"/>
  <c r="K74" i="24" s="1"/>
  <c r="J15" i="24"/>
  <c r="J74" i="24" s="1"/>
  <c r="I15" i="24"/>
  <c r="I74" i="24" s="1"/>
  <c r="H15" i="24"/>
  <c r="H67" i="24" s="1"/>
  <c r="G15" i="24"/>
  <c r="G76" i="24" s="1"/>
  <c r="F15" i="24"/>
  <c r="F66" i="24" s="1"/>
  <c r="D14" i="24"/>
  <c r="D58" i="24" s="1"/>
  <c r="C14" i="24"/>
  <c r="C58" i="24" s="1"/>
  <c r="D13" i="24"/>
  <c r="D57" i="24" s="1"/>
  <c r="C13" i="24"/>
  <c r="C57" i="24" s="1"/>
  <c r="D12" i="24"/>
  <c r="D56" i="24" s="1"/>
  <c r="C12" i="24"/>
  <c r="C56" i="24" s="1"/>
  <c r="D11" i="24"/>
  <c r="D55" i="24" s="1"/>
  <c r="C11" i="24"/>
  <c r="C55" i="24" s="1"/>
  <c r="E69" i="21"/>
  <c r="M69" i="21"/>
  <c r="L69" i="21"/>
  <c r="K69" i="21"/>
  <c r="J69" i="21"/>
  <c r="I69" i="21"/>
  <c r="H69" i="21"/>
  <c r="G69" i="21"/>
  <c r="F69" i="21"/>
  <c r="M46" i="22"/>
  <c r="L46" i="22"/>
  <c r="K46" i="22"/>
  <c r="J46" i="22"/>
  <c r="I46" i="22"/>
  <c r="H46" i="22"/>
  <c r="G46" i="22"/>
  <c r="F46" i="22"/>
  <c r="M24" i="15"/>
  <c r="K24" i="15"/>
  <c r="H24" i="15"/>
  <c r="F24" i="15"/>
  <c r="D24" i="15"/>
  <c r="D68" i="15" s="1"/>
  <c r="C24" i="15"/>
  <c r="C68" i="15" s="1"/>
  <c r="BA68" i="24" l="1"/>
  <c r="I76" i="24"/>
  <c r="BE68" i="24"/>
  <c r="CC69" i="24"/>
  <c r="BE76" i="24"/>
  <c r="P71" i="24"/>
  <c r="Q71" i="24"/>
  <c r="O66" i="24"/>
  <c r="AZ71" i="24"/>
  <c r="P66" i="24"/>
  <c r="BA71" i="24"/>
  <c r="BL66" i="24"/>
  <c r="G73" i="24"/>
  <c r="BW66" i="24"/>
  <c r="BM74" i="24"/>
  <c r="BX66" i="24"/>
  <c r="BQ74" i="24"/>
  <c r="BA67" i="24"/>
  <c r="AO77" i="24"/>
  <c r="AQ67" i="24"/>
  <c r="AM72" i="24"/>
  <c r="AG76" i="24"/>
  <c r="AE76" i="24"/>
  <c r="AB67" i="24"/>
  <c r="AC67" i="24"/>
  <c r="AA66" i="24"/>
  <c r="AB66" i="24"/>
  <c r="AU67" i="24"/>
  <c r="AK54" i="24"/>
  <c r="AT66" i="24"/>
  <c r="BY67" i="24"/>
  <c r="CI68" i="24"/>
  <c r="AV70" i="24"/>
  <c r="CK71" i="24"/>
  <c r="BS73" i="24"/>
  <c r="Q77" i="24"/>
  <c r="BW57" i="24"/>
  <c r="AY66" i="24"/>
  <c r="M67" i="24"/>
  <c r="CH67" i="24"/>
  <c r="O69" i="24"/>
  <c r="CD70" i="24"/>
  <c r="BT73" i="24"/>
  <c r="AU75" i="24"/>
  <c r="CG58" i="24"/>
  <c r="AZ66" i="24"/>
  <c r="N67" i="24"/>
  <c r="I68" i="24"/>
  <c r="CF70" i="24"/>
  <c r="AL72" i="24"/>
  <c r="X74" i="24"/>
  <c r="BM77" i="24"/>
  <c r="J66" i="24"/>
  <c r="BF66" i="24"/>
  <c r="W68" i="24"/>
  <c r="AH69" i="24"/>
  <c r="Y74" i="24"/>
  <c r="BS75" i="24"/>
  <c r="AV69" i="24"/>
  <c r="AT74" i="24"/>
  <c r="AL67" i="24"/>
  <c r="AL68" i="24"/>
  <c r="AW69" i="24"/>
  <c r="BV72" i="24"/>
  <c r="AU74" i="24"/>
  <c r="V66" i="24"/>
  <c r="BR66" i="24"/>
  <c r="AM68" i="24"/>
  <c r="BK69" i="24"/>
  <c r="AH71" i="24"/>
  <c r="BW72" i="24"/>
  <c r="K73" i="24"/>
  <c r="CD66" i="24"/>
  <c r="BI67" i="24"/>
  <c r="BS68" i="24"/>
  <c r="J70" i="24"/>
  <c r="AA73" i="24"/>
  <c r="CJ74" i="24"/>
  <c r="AM66" i="24"/>
  <c r="CI66" i="24"/>
  <c r="BJ67" i="24"/>
  <c r="BT68" i="24"/>
  <c r="L70" i="24"/>
  <c r="BR71" i="24"/>
  <c r="AW73" i="24"/>
  <c r="U75" i="24"/>
  <c r="CG74" i="24"/>
  <c r="M54" i="24"/>
  <c r="AN66" i="24"/>
  <c r="CJ66" i="24"/>
  <c r="BX67" i="24"/>
  <c r="CH68" i="24"/>
  <c r="AT70" i="24"/>
  <c r="CJ71" i="24"/>
  <c r="AX73" i="24"/>
  <c r="W75" i="24"/>
  <c r="E42" i="28"/>
  <c r="E43" i="28" s="1"/>
  <c r="AD55" i="24"/>
  <c r="AD77" i="24"/>
  <c r="AD75" i="24"/>
  <c r="AD69" i="24"/>
  <c r="AD74" i="24"/>
  <c r="AD68" i="24"/>
  <c r="BN55" i="24"/>
  <c r="BN77" i="24"/>
  <c r="BN75" i="24"/>
  <c r="BN69" i="24"/>
  <c r="BN74" i="24"/>
  <c r="BN68" i="24"/>
  <c r="R72" i="24"/>
  <c r="BB72" i="24"/>
  <c r="CA56" i="24"/>
  <c r="CA72" i="24"/>
  <c r="CA77" i="24"/>
  <c r="CA74" i="24"/>
  <c r="CA68" i="24"/>
  <c r="AQ77" i="24"/>
  <c r="H58" i="24"/>
  <c r="H77" i="24"/>
  <c r="H76" i="24"/>
  <c r="H74" i="24"/>
  <c r="H68" i="24"/>
  <c r="H73" i="24"/>
  <c r="T58" i="24"/>
  <c r="T77" i="24"/>
  <c r="T76" i="24"/>
  <c r="T74" i="24"/>
  <c r="T68" i="24"/>
  <c r="T73" i="24"/>
  <c r="T67" i="24"/>
  <c r="AF57" i="24"/>
  <c r="AF77" i="24"/>
  <c r="AF76" i="24"/>
  <c r="AF74" i="24"/>
  <c r="AF68" i="24"/>
  <c r="AF73" i="24"/>
  <c r="AF67" i="24"/>
  <c r="AR58" i="24"/>
  <c r="AR77" i="24"/>
  <c r="AR76" i="24"/>
  <c r="AR74" i="24"/>
  <c r="AR68" i="24"/>
  <c r="AR73" i="24"/>
  <c r="AR67" i="24"/>
  <c r="BD58" i="24"/>
  <c r="BD77" i="24"/>
  <c r="BD76" i="24"/>
  <c r="BD74" i="24"/>
  <c r="BD68" i="24"/>
  <c r="BD73" i="24"/>
  <c r="BD67" i="24"/>
  <c r="BP57" i="24"/>
  <c r="BP77" i="24"/>
  <c r="BP76" i="24"/>
  <c r="BP74" i="24"/>
  <c r="BP68" i="24"/>
  <c r="BP73" i="24"/>
  <c r="BP67" i="24"/>
  <c r="CB58" i="24"/>
  <c r="CB77" i="24"/>
  <c r="CB76" i="24"/>
  <c r="CB74" i="24"/>
  <c r="CB68" i="24"/>
  <c r="CB73" i="24"/>
  <c r="CB67" i="24"/>
  <c r="AW54" i="24"/>
  <c r="Q66" i="24"/>
  <c r="AC66" i="24"/>
  <c r="AO66" i="24"/>
  <c r="BA66" i="24"/>
  <c r="BM66" i="24"/>
  <c r="BY66" i="24"/>
  <c r="CK66" i="24"/>
  <c r="O67" i="24"/>
  <c r="AD67" i="24"/>
  <c r="AV67" i="24"/>
  <c r="BK67" i="24"/>
  <c r="BZ67" i="24"/>
  <c r="J68" i="24"/>
  <c r="Y68" i="24"/>
  <c r="AN68" i="24"/>
  <c r="BU68" i="24"/>
  <c r="CJ68" i="24"/>
  <c r="T69" i="24"/>
  <c r="AI69" i="24"/>
  <c r="AX69" i="24"/>
  <c r="BP69" i="24"/>
  <c r="CE69" i="24"/>
  <c r="M70" i="24"/>
  <c r="AF70" i="24"/>
  <c r="AW70" i="24"/>
  <c r="BP70" i="24"/>
  <c r="CG70" i="24"/>
  <c r="R71" i="24"/>
  <c r="AI71" i="24"/>
  <c r="BB71" i="24"/>
  <c r="BS71" i="24"/>
  <c r="AN72" i="24"/>
  <c r="BX72" i="24"/>
  <c r="L73" i="24"/>
  <c r="AE73" i="24"/>
  <c r="AY73" i="24"/>
  <c r="BU73" i="24"/>
  <c r="AB74" i="24"/>
  <c r="BR74" i="24"/>
  <c r="CK74" i="24"/>
  <c r="Z75" i="24"/>
  <c r="AX75" i="24"/>
  <c r="BV75" i="24"/>
  <c r="L76" i="24"/>
  <c r="AJ76" i="24"/>
  <c r="BH76" i="24"/>
  <c r="CF76" i="24"/>
  <c r="G56" i="24"/>
  <c r="G72" i="24"/>
  <c r="G74" i="24"/>
  <c r="G68" i="24"/>
  <c r="S56" i="24"/>
  <c r="S72" i="24"/>
  <c r="S74" i="24"/>
  <c r="S68" i="24"/>
  <c r="BC56" i="24"/>
  <c r="BC72" i="24"/>
  <c r="BC74" i="24"/>
  <c r="BC68" i="24"/>
  <c r="BO56" i="24"/>
  <c r="BO72" i="24"/>
  <c r="BO74" i="24"/>
  <c r="BO68" i="24"/>
  <c r="BO69" i="24"/>
  <c r="AE70" i="24"/>
  <c r="BO77" i="24"/>
  <c r="I55" i="24"/>
  <c r="I77" i="24"/>
  <c r="I71" i="24"/>
  <c r="I73" i="24"/>
  <c r="U55" i="24"/>
  <c r="U77" i="24"/>
  <c r="U71" i="24"/>
  <c r="U73" i="24"/>
  <c r="U67" i="24"/>
  <c r="AG55" i="24"/>
  <c r="AG77" i="24"/>
  <c r="AG71" i="24"/>
  <c r="AG73" i="24"/>
  <c r="AG67" i="24"/>
  <c r="AS55" i="24"/>
  <c r="AS77" i="24"/>
  <c r="AS71" i="24"/>
  <c r="AS73" i="24"/>
  <c r="AS67" i="24"/>
  <c r="BE55" i="24"/>
  <c r="BE77" i="24"/>
  <c r="BE71" i="24"/>
  <c r="BE73" i="24"/>
  <c r="BE67" i="24"/>
  <c r="BQ55" i="24"/>
  <c r="BQ77" i="24"/>
  <c r="BQ71" i="24"/>
  <c r="BQ73" i="24"/>
  <c r="BQ67" i="24"/>
  <c r="CC55" i="24"/>
  <c r="CC77" i="24"/>
  <c r="CC71" i="24"/>
  <c r="CC73" i="24"/>
  <c r="CC67" i="24"/>
  <c r="CG54" i="24"/>
  <c r="R66" i="24"/>
  <c r="AD66" i="24"/>
  <c r="BB66" i="24"/>
  <c r="BN66" i="24"/>
  <c r="P67" i="24"/>
  <c r="AW67" i="24"/>
  <c r="BL67" i="24"/>
  <c r="CA67" i="24"/>
  <c r="K68" i="24"/>
  <c r="Z68" i="24"/>
  <c r="AO68" i="24"/>
  <c r="BV68" i="24"/>
  <c r="CK68" i="24"/>
  <c r="U69" i="24"/>
  <c r="AJ69" i="24"/>
  <c r="AY69" i="24"/>
  <c r="BQ69" i="24"/>
  <c r="CF69" i="24"/>
  <c r="Q70" i="24"/>
  <c r="AG70" i="24"/>
  <c r="BA70" i="24"/>
  <c r="BQ70" i="24"/>
  <c r="CK70" i="24"/>
  <c r="S71" i="24"/>
  <c r="AM71" i="24"/>
  <c r="BC71" i="24"/>
  <c r="BW71" i="24"/>
  <c r="Y72" i="24"/>
  <c r="AO72" i="24"/>
  <c r="BI72" i="24"/>
  <c r="BY72" i="24"/>
  <c r="M73" i="24"/>
  <c r="AI73" i="24"/>
  <c r="AC74" i="24"/>
  <c r="AW74" i="24"/>
  <c r="BS74" i="24"/>
  <c r="G75" i="24"/>
  <c r="AA75" i="24"/>
  <c r="AY75" i="24"/>
  <c r="BW75" i="24"/>
  <c r="M76" i="24"/>
  <c r="AK76" i="24"/>
  <c r="BI76" i="24"/>
  <c r="CG76" i="24"/>
  <c r="F55" i="24"/>
  <c r="F77" i="24"/>
  <c r="F75" i="24"/>
  <c r="F69" i="24"/>
  <c r="F74" i="24"/>
  <c r="F68" i="24"/>
  <c r="AP55" i="24"/>
  <c r="AP77" i="24"/>
  <c r="AP75" i="24"/>
  <c r="AP69" i="24"/>
  <c r="AP74" i="24"/>
  <c r="AP68" i="24"/>
  <c r="BB54" i="24"/>
  <c r="BB77" i="24"/>
  <c r="BB75" i="24"/>
  <c r="BB69" i="24"/>
  <c r="BB74" i="24"/>
  <c r="BB68" i="24"/>
  <c r="BZ58" i="24"/>
  <c r="BZ72" i="24"/>
  <c r="BZ77" i="24"/>
  <c r="BZ75" i="24"/>
  <c r="BZ69" i="24"/>
  <c r="BZ74" i="24"/>
  <c r="BZ68" i="24"/>
  <c r="AD70" i="24"/>
  <c r="BN70" i="24"/>
  <c r="AE56" i="24"/>
  <c r="AE72" i="24"/>
  <c r="AE74" i="24"/>
  <c r="AE68" i="24"/>
  <c r="S69" i="24"/>
  <c r="BO70" i="24"/>
  <c r="S77" i="24"/>
  <c r="J54" i="24"/>
  <c r="J76" i="24"/>
  <c r="J73" i="24"/>
  <c r="J72" i="24"/>
  <c r="V55" i="24"/>
  <c r="V76" i="24"/>
  <c r="V75" i="24"/>
  <c r="V73" i="24"/>
  <c r="V67" i="24"/>
  <c r="V72" i="24"/>
  <c r="AH54" i="24"/>
  <c r="AH76" i="24"/>
  <c r="AH75" i="24"/>
  <c r="AH73" i="24"/>
  <c r="AH67" i="24"/>
  <c r="AH72" i="24"/>
  <c r="AT54" i="24"/>
  <c r="AT76" i="24"/>
  <c r="AT75" i="24"/>
  <c r="AT73" i="24"/>
  <c r="AT67" i="24"/>
  <c r="AT72" i="24"/>
  <c r="BF54" i="24"/>
  <c r="BF76" i="24"/>
  <c r="BF75" i="24"/>
  <c r="BF73" i="24"/>
  <c r="BF67" i="24"/>
  <c r="BF72" i="24"/>
  <c r="BR54" i="24"/>
  <c r="BR76" i="24"/>
  <c r="BR75" i="24"/>
  <c r="BR73" i="24"/>
  <c r="BR67" i="24"/>
  <c r="BR72" i="24"/>
  <c r="CD54" i="24"/>
  <c r="CD76" i="24"/>
  <c r="CD75" i="24"/>
  <c r="CD73" i="24"/>
  <c r="CD67" i="24"/>
  <c r="CD72" i="24"/>
  <c r="AN55" i="24"/>
  <c r="G66" i="24"/>
  <c r="S66" i="24"/>
  <c r="AE66" i="24"/>
  <c r="AQ66" i="24"/>
  <c r="BC66" i="24"/>
  <c r="BO66" i="24"/>
  <c r="CA66" i="24"/>
  <c r="Q67" i="24"/>
  <c r="BM67" i="24"/>
  <c r="L68" i="24"/>
  <c r="AA68" i="24"/>
  <c r="AS68" i="24"/>
  <c r="BW68" i="24"/>
  <c r="G69" i="24"/>
  <c r="V69" i="24"/>
  <c r="AK69" i="24"/>
  <c r="BC69" i="24"/>
  <c r="BR69" i="24"/>
  <c r="CG69" i="24"/>
  <c r="AH70" i="24"/>
  <c r="BB70" i="24"/>
  <c r="BR70" i="24"/>
  <c r="T71" i="24"/>
  <c r="AN71" i="24"/>
  <c r="BD71" i="24"/>
  <c r="BX71" i="24"/>
  <c r="F72" i="24"/>
  <c r="AP72" i="24"/>
  <c r="BJ72" i="24"/>
  <c r="CB72" i="24"/>
  <c r="N73" i="24"/>
  <c r="AJ73" i="24"/>
  <c r="BC73" i="24"/>
  <c r="BW73" i="24"/>
  <c r="AG74" i="24"/>
  <c r="AZ74" i="24"/>
  <c r="BT74" i="24"/>
  <c r="H75" i="24"/>
  <c r="AE75" i="24"/>
  <c r="BC75" i="24"/>
  <c r="CA75" i="24"/>
  <c r="Q76" i="24"/>
  <c r="AO76" i="24"/>
  <c r="BM76" i="24"/>
  <c r="CK76" i="24"/>
  <c r="AA77" i="24"/>
  <c r="AY77" i="24"/>
  <c r="R54" i="24"/>
  <c r="R77" i="24"/>
  <c r="R75" i="24"/>
  <c r="R69" i="24"/>
  <c r="R74" i="24"/>
  <c r="R68" i="24"/>
  <c r="K54" i="24"/>
  <c r="K76" i="24"/>
  <c r="K70" i="24"/>
  <c r="K72" i="24"/>
  <c r="W54" i="24"/>
  <c r="W76" i="24"/>
  <c r="W70" i="24"/>
  <c r="W72" i="24"/>
  <c r="AI54" i="24"/>
  <c r="AI76" i="24"/>
  <c r="AI70" i="24"/>
  <c r="AI72" i="24"/>
  <c r="AU54" i="24"/>
  <c r="AU76" i="24"/>
  <c r="AU70" i="24"/>
  <c r="AU72" i="24"/>
  <c r="BG54" i="24"/>
  <c r="BG76" i="24"/>
  <c r="BG70" i="24"/>
  <c r="BG72" i="24"/>
  <c r="BS54" i="24"/>
  <c r="BS76" i="24"/>
  <c r="BS70" i="24"/>
  <c r="BS72" i="24"/>
  <c r="CE54" i="24"/>
  <c r="CE76" i="24"/>
  <c r="CE70" i="24"/>
  <c r="CE72" i="24"/>
  <c r="H66" i="24"/>
  <c r="T66" i="24"/>
  <c r="AF66" i="24"/>
  <c r="AR66" i="24"/>
  <c r="BD66" i="24"/>
  <c r="BP66" i="24"/>
  <c r="CB66" i="24"/>
  <c r="F67" i="24"/>
  <c r="R67" i="24"/>
  <c r="AJ67" i="24"/>
  <c r="BN67" i="24"/>
  <c r="M68" i="24"/>
  <c r="AB68" i="24"/>
  <c r="AT68" i="24"/>
  <c r="BI68" i="24"/>
  <c r="BX68" i="24"/>
  <c r="H69" i="24"/>
  <c r="W69" i="24"/>
  <c r="AL69" i="24"/>
  <c r="BD69" i="24"/>
  <c r="BS69" i="24"/>
  <c r="CH69" i="24"/>
  <c r="S70" i="24"/>
  <c r="BC70" i="24"/>
  <c r="V71" i="24"/>
  <c r="AO71" i="24"/>
  <c r="BF71" i="24"/>
  <c r="BY71" i="24"/>
  <c r="H72" i="24"/>
  <c r="AA72" i="24"/>
  <c r="AR72" i="24"/>
  <c r="BK72" i="24"/>
  <c r="CC72" i="24"/>
  <c r="O73" i="24"/>
  <c r="AK73" i="24"/>
  <c r="BG73" i="24"/>
  <c r="BZ73" i="24"/>
  <c r="AH74" i="24"/>
  <c r="BA74" i="24"/>
  <c r="BU74" i="24"/>
  <c r="I75" i="24"/>
  <c r="AF75" i="24"/>
  <c r="BD75" i="24"/>
  <c r="CB75" i="24"/>
  <c r="R76" i="24"/>
  <c r="AP76" i="24"/>
  <c r="BN76" i="24"/>
  <c r="AB77" i="24"/>
  <c r="AZ77" i="24"/>
  <c r="BX77" i="24"/>
  <c r="L57" i="24"/>
  <c r="L75" i="24"/>
  <c r="L72" i="24"/>
  <c r="L77" i="24"/>
  <c r="L71" i="24"/>
  <c r="X57" i="24"/>
  <c r="X75" i="24"/>
  <c r="X72" i="24"/>
  <c r="X77" i="24"/>
  <c r="X71" i="24"/>
  <c r="AJ57" i="24"/>
  <c r="AJ75" i="24"/>
  <c r="AJ72" i="24"/>
  <c r="AJ77" i="24"/>
  <c r="AJ71" i="24"/>
  <c r="AV57" i="24"/>
  <c r="AV75" i="24"/>
  <c r="AV72" i="24"/>
  <c r="AV77" i="24"/>
  <c r="AV71" i="24"/>
  <c r="BH54" i="24"/>
  <c r="BH75" i="24"/>
  <c r="BH72" i="24"/>
  <c r="BH77" i="24"/>
  <c r="BH71" i="24"/>
  <c r="BT57" i="24"/>
  <c r="BT75" i="24"/>
  <c r="BT72" i="24"/>
  <c r="BT77" i="24"/>
  <c r="BT71" i="24"/>
  <c r="CF57" i="24"/>
  <c r="CF75" i="24"/>
  <c r="CF72" i="24"/>
  <c r="CF77" i="24"/>
  <c r="CF71" i="24"/>
  <c r="BZ57" i="24"/>
  <c r="I66" i="24"/>
  <c r="U66" i="24"/>
  <c r="AG66" i="24"/>
  <c r="AS66" i="24"/>
  <c r="BE66" i="24"/>
  <c r="BQ66" i="24"/>
  <c r="CC66" i="24"/>
  <c r="G67" i="24"/>
  <c r="S67" i="24"/>
  <c r="AK67" i="24"/>
  <c r="BO67" i="24"/>
  <c r="CG67" i="24"/>
  <c r="AC68" i="24"/>
  <c r="AU68" i="24"/>
  <c r="BY68" i="24"/>
  <c r="I69" i="24"/>
  <c r="X69" i="24"/>
  <c r="AM69" i="24"/>
  <c r="BE69" i="24"/>
  <c r="BT69" i="24"/>
  <c r="CI69" i="24"/>
  <c r="T70" i="24"/>
  <c r="BD70" i="24"/>
  <c r="BU70" i="24"/>
  <c r="F71" i="24"/>
  <c r="W71" i="24"/>
  <c r="AP71" i="24"/>
  <c r="BG71" i="24"/>
  <c r="BZ71" i="24"/>
  <c r="I72" i="24"/>
  <c r="AB72" i="24"/>
  <c r="AS72" i="24"/>
  <c r="BL72" i="24"/>
  <c r="CG72" i="24"/>
  <c r="R73" i="24"/>
  <c r="BH73" i="24"/>
  <c r="CA73" i="24"/>
  <c r="M74" i="24"/>
  <c r="AI74" i="24"/>
  <c r="BE74" i="24"/>
  <c r="J75" i="24"/>
  <c r="AG75" i="24"/>
  <c r="BE75" i="24"/>
  <c r="CC75" i="24"/>
  <c r="S76" i="24"/>
  <c r="BO76" i="24"/>
  <c r="AC77" i="24"/>
  <c r="BA77" i="24"/>
  <c r="BY77" i="24"/>
  <c r="AQ56" i="24"/>
  <c r="AQ72" i="24"/>
  <c r="AQ74" i="24"/>
  <c r="AQ68" i="24"/>
  <c r="AK57" i="24"/>
  <c r="AK75" i="24"/>
  <c r="AK77" i="24"/>
  <c r="AK71" i="24"/>
  <c r="AG68" i="24"/>
  <c r="AV68" i="24"/>
  <c r="BK68" i="24"/>
  <c r="CC68" i="24"/>
  <c r="J69" i="24"/>
  <c r="Y69" i="24"/>
  <c r="AQ69" i="24"/>
  <c r="BF69" i="24"/>
  <c r="BU69" i="24"/>
  <c r="U70" i="24"/>
  <c r="AO70" i="24"/>
  <c r="BE70" i="24"/>
  <c r="BY70" i="24"/>
  <c r="G71" i="24"/>
  <c r="AQ71" i="24"/>
  <c r="CA71" i="24"/>
  <c r="AC72" i="24"/>
  <c r="AW72" i="24"/>
  <c r="BM72" i="24"/>
  <c r="S73" i="24"/>
  <c r="AM73" i="24"/>
  <c r="CE73" i="24"/>
  <c r="P74" i="24"/>
  <c r="AJ74" i="24"/>
  <c r="BF74" i="24"/>
  <c r="BY74" i="24"/>
  <c r="K75" i="24"/>
  <c r="AI75" i="24"/>
  <c r="BG75" i="24"/>
  <c r="CE75" i="24"/>
  <c r="U76" i="24"/>
  <c r="AS76" i="24"/>
  <c r="BQ76" i="24"/>
  <c r="G77" i="24"/>
  <c r="AE77" i="24"/>
  <c r="BC77" i="24"/>
  <c r="CD77" i="24"/>
  <c r="BS67" i="24"/>
  <c r="N58" i="24"/>
  <c r="N74" i="24"/>
  <c r="N77" i="24"/>
  <c r="N71" i="24"/>
  <c r="N76" i="24"/>
  <c r="N70" i="24"/>
  <c r="Z58" i="24"/>
  <c r="Z74" i="24"/>
  <c r="Z77" i="24"/>
  <c r="Z71" i="24"/>
  <c r="Z76" i="24"/>
  <c r="Z70" i="24"/>
  <c r="AL58" i="24"/>
  <c r="AL74" i="24"/>
  <c r="AL77" i="24"/>
  <c r="AL71" i="24"/>
  <c r="AL76" i="24"/>
  <c r="AL70" i="24"/>
  <c r="AX58" i="24"/>
  <c r="AX74" i="24"/>
  <c r="AX77" i="24"/>
  <c r="AX71" i="24"/>
  <c r="AX76" i="24"/>
  <c r="AX70" i="24"/>
  <c r="BJ58" i="24"/>
  <c r="BJ74" i="24"/>
  <c r="BJ77" i="24"/>
  <c r="BJ71" i="24"/>
  <c r="BJ76" i="24"/>
  <c r="BJ70" i="24"/>
  <c r="BV58" i="24"/>
  <c r="BV74" i="24"/>
  <c r="BV77" i="24"/>
  <c r="BV71" i="24"/>
  <c r="BV76" i="24"/>
  <c r="BV70" i="24"/>
  <c r="CH58" i="24"/>
  <c r="CH74" i="24"/>
  <c r="CH77" i="24"/>
  <c r="CH71" i="24"/>
  <c r="CH76" i="24"/>
  <c r="CH70" i="24"/>
  <c r="AW58" i="24"/>
  <c r="K66" i="24"/>
  <c r="W66" i="24"/>
  <c r="AI66" i="24"/>
  <c r="AU66" i="24"/>
  <c r="BG66" i="24"/>
  <c r="BS66" i="24"/>
  <c r="CE66" i="24"/>
  <c r="I67" i="24"/>
  <c r="X67" i="24"/>
  <c r="BB67" i="24"/>
  <c r="BT67" i="24"/>
  <c r="CI67" i="24"/>
  <c r="AH68" i="24"/>
  <c r="AW68" i="24"/>
  <c r="BL68" i="24"/>
  <c r="CD68" i="24"/>
  <c r="K69" i="24"/>
  <c r="Z69" i="24"/>
  <c r="AR69" i="24"/>
  <c r="BG69" i="24"/>
  <c r="BV69" i="24"/>
  <c r="F70" i="24"/>
  <c r="V70" i="24"/>
  <c r="AP70" i="24"/>
  <c r="BF70" i="24"/>
  <c r="BZ70" i="24"/>
  <c r="H71" i="24"/>
  <c r="AR71" i="24"/>
  <c r="CB71" i="24"/>
  <c r="N72" i="24"/>
  <c r="AD72" i="24"/>
  <c r="AX72" i="24"/>
  <c r="BN72" i="24"/>
  <c r="W73" i="24"/>
  <c r="AP73" i="24"/>
  <c r="BJ73" i="24"/>
  <c r="CF73" i="24"/>
  <c r="Q74" i="24"/>
  <c r="AK74" i="24"/>
  <c r="BG74" i="24"/>
  <c r="CC74" i="24"/>
  <c r="N75" i="24"/>
  <c r="AL75" i="24"/>
  <c r="BJ75" i="24"/>
  <c r="CH75" i="24"/>
  <c r="X76" i="24"/>
  <c r="AV76" i="24"/>
  <c r="BT76" i="24"/>
  <c r="J77" i="24"/>
  <c r="AH77" i="24"/>
  <c r="BF77" i="24"/>
  <c r="CE77" i="24"/>
  <c r="AD73" i="24"/>
  <c r="M57" i="24"/>
  <c r="M75" i="24"/>
  <c r="M77" i="24"/>
  <c r="M71" i="24"/>
  <c r="O58" i="24"/>
  <c r="O74" i="24"/>
  <c r="O76" i="24"/>
  <c r="O70" i="24"/>
  <c r="AA58" i="24"/>
  <c r="AA74" i="24"/>
  <c r="AA76" i="24"/>
  <c r="AA70" i="24"/>
  <c r="AM58" i="24"/>
  <c r="AM74" i="24"/>
  <c r="AM76" i="24"/>
  <c r="AM70" i="24"/>
  <c r="AY58" i="24"/>
  <c r="AY74" i="24"/>
  <c r="AY76" i="24"/>
  <c r="AY70" i="24"/>
  <c r="BK58" i="24"/>
  <c r="BK74" i="24"/>
  <c r="BK76" i="24"/>
  <c r="BK70" i="24"/>
  <c r="BW58" i="24"/>
  <c r="BW74" i="24"/>
  <c r="BW76" i="24"/>
  <c r="BW70" i="24"/>
  <c r="CI58" i="24"/>
  <c r="CI74" i="24"/>
  <c r="CI76" i="24"/>
  <c r="CI70" i="24"/>
  <c r="BU58" i="24"/>
  <c r="L66" i="24"/>
  <c r="X66" i="24"/>
  <c r="AJ66" i="24"/>
  <c r="AV66" i="24"/>
  <c r="BH66" i="24"/>
  <c r="BT66" i="24"/>
  <c r="CF66" i="24"/>
  <c r="J67" i="24"/>
  <c r="Y67" i="24"/>
  <c r="AN67" i="24"/>
  <c r="BC67" i="24"/>
  <c r="BU67" i="24"/>
  <c r="CJ67" i="24"/>
  <c r="AI68" i="24"/>
  <c r="AX68" i="24"/>
  <c r="BM68" i="24"/>
  <c r="CE68" i="24"/>
  <c r="L69" i="24"/>
  <c r="AA69" i="24"/>
  <c r="AS69" i="24"/>
  <c r="BH69" i="24"/>
  <c r="BW69" i="24"/>
  <c r="G70" i="24"/>
  <c r="X70" i="24"/>
  <c r="AQ70" i="24"/>
  <c r="BH70" i="24"/>
  <c r="CA70" i="24"/>
  <c r="J71" i="24"/>
  <c r="AC71" i="24"/>
  <c r="AT71" i="24"/>
  <c r="CD71" i="24"/>
  <c r="O72" i="24"/>
  <c r="AF72" i="24"/>
  <c r="AY72" i="24"/>
  <c r="BP72" i="24"/>
  <c r="X73" i="24"/>
  <c r="AQ73" i="24"/>
  <c r="BK73" i="24"/>
  <c r="U74" i="24"/>
  <c r="BH74" i="24"/>
  <c r="CD74" i="24"/>
  <c r="O75" i="24"/>
  <c r="AM75" i="24"/>
  <c r="BK75" i="24"/>
  <c r="CI75" i="24"/>
  <c r="AW76" i="24"/>
  <c r="BU76" i="24"/>
  <c r="K77" i="24"/>
  <c r="AI77" i="24"/>
  <c r="BG77" i="24"/>
  <c r="CI77" i="24"/>
  <c r="Y57" i="24"/>
  <c r="Y75" i="24"/>
  <c r="Y77" i="24"/>
  <c r="Y71" i="24"/>
  <c r="BI57" i="24"/>
  <c r="BI75" i="24"/>
  <c r="BI77" i="24"/>
  <c r="BI71" i="24"/>
  <c r="CG57" i="24"/>
  <c r="CG75" i="24"/>
  <c r="CG77" i="24"/>
  <c r="CG71" i="24"/>
  <c r="P54" i="24"/>
  <c r="P73" i="24"/>
  <c r="P76" i="24"/>
  <c r="P70" i="24"/>
  <c r="P75" i="24"/>
  <c r="P69" i="24"/>
  <c r="AB54" i="24"/>
  <c r="AB73" i="24"/>
  <c r="AB76" i="24"/>
  <c r="AB70" i="24"/>
  <c r="AB75" i="24"/>
  <c r="AB69" i="24"/>
  <c r="AN54" i="24"/>
  <c r="AN73" i="24"/>
  <c r="AN76" i="24"/>
  <c r="AN70" i="24"/>
  <c r="AN75" i="24"/>
  <c r="AN69" i="24"/>
  <c r="AZ54" i="24"/>
  <c r="AZ73" i="24"/>
  <c r="AZ76" i="24"/>
  <c r="AZ70" i="24"/>
  <c r="AZ75" i="24"/>
  <c r="AZ69" i="24"/>
  <c r="BL54" i="24"/>
  <c r="BL73" i="24"/>
  <c r="BL76" i="24"/>
  <c r="BL70" i="24"/>
  <c r="BL75" i="24"/>
  <c r="BL69" i="24"/>
  <c r="BX54" i="24"/>
  <c r="BX73" i="24"/>
  <c r="BX76" i="24"/>
  <c r="BX70" i="24"/>
  <c r="BX75" i="24"/>
  <c r="BX69" i="24"/>
  <c r="CJ54" i="24"/>
  <c r="CJ73" i="24"/>
  <c r="CJ76" i="24"/>
  <c r="CJ70" i="24"/>
  <c r="CJ75" i="24"/>
  <c r="CJ69" i="24"/>
  <c r="BY58" i="24"/>
  <c r="M66" i="24"/>
  <c r="Y66" i="24"/>
  <c r="AK66" i="24"/>
  <c r="BI66" i="24"/>
  <c r="CG66" i="24"/>
  <c r="K67" i="24"/>
  <c r="Z67" i="24"/>
  <c r="AO67" i="24"/>
  <c r="BG67" i="24"/>
  <c r="BV67" i="24"/>
  <c r="CK67" i="24"/>
  <c r="U68" i="24"/>
  <c r="AJ68" i="24"/>
  <c r="AY68" i="24"/>
  <c r="BQ68" i="24"/>
  <c r="CF68" i="24"/>
  <c r="M69" i="24"/>
  <c r="AE69" i="24"/>
  <c r="AT69" i="24"/>
  <c r="BI69" i="24"/>
  <c r="CA69" i="24"/>
  <c r="H70" i="24"/>
  <c r="Y70" i="24"/>
  <c r="AR70" i="24"/>
  <c r="BI70" i="24"/>
  <c r="CB70" i="24"/>
  <c r="K71" i="24"/>
  <c r="AD71" i="24"/>
  <c r="AU71" i="24"/>
  <c r="BN71" i="24"/>
  <c r="CE71" i="24"/>
  <c r="P72" i="24"/>
  <c r="AG72" i="24"/>
  <c r="AZ72" i="24"/>
  <c r="BQ72" i="24"/>
  <c r="Y73" i="24"/>
  <c r="AU73" i="24"/>
  <c r="BN73" i="24"/>
  <c r="CH73" i="24"/>
  <c r="V74" i="24"/>
  <c r="BI74" i="24"/>
  <c r="CE74" i="24"/>
  <c r="S75" i="24"/>
  <c r="AQ75" i="24"/>
  <c r="BO75" i="24"/>
  <c r="O77" i="24"/>
  <c r="AM77" i="24"/>
  <c r="BK77" i="24"/>
  <c r="CJ77" i="24"/>
  <c r="AW57" i="24"/>
  <c r="AW75" i="24"/>
  <c r="AW77" i="24"/>
  <c r="AW71" i="24"/>
  <c r="BU57" i="24"/>
  <c r="BU75" i="24"/>
  <c r="BU77" i="24"/>
  <c r="BU71" i="24"/>
  <c r="Y58" i="24"/>
  <c r="W67" i="24"/>
  <c r="Q57" i="24"/>
  <c r="Q73" i="24"/>
  <c r="Q75" i="24"/>
  <c r="Q69" i="24"/>
  <c r="AC57" i="24"/>
  <c r="AC73" i="24"/>
  <c r="AC75" i="24"/>
  <c r="AC69" i="24"/>
  <c r="AO57" i="24"/>
  <c r="AO73" i="24"/>
  <c r="AO75" i="24"/>
  <c r="AO69" i="24"/>
  <c r="BA57" i="24"/>
  <c r="BA73" i="24"/>
  <c r="BA75" i="24"/>
  <c r="BA69" i="24"/>
  <c r="BM57" i="24"/>
  <c r="BM73" i="24"/>
  <c r="BM75" i="24"/>
  <c r="BM69" i="24"/>
  <c r="BY57" i="24"/>
  <c r="BY73" i="24"/>
  <c r="BY75" i="24"/>
  <c r="BY69" i="24"/>
  <c r="CK57" i="24"/>
  <c r="CK73" i="24"/>
  <c r="CK75" i="24"/>
  <c r="CK69" i="24"/>
  <c r="CF58" i="24"/>
  <c r="N66" i="24"/>
  <c r="Z66" i="24"/>
  <c r="AL66" i="24"/>
  <c r="AX66" i="24"/>
  <c r="BJ66" i="24"/>
  <c r="BV66" i="24"/>
  <c r="CH66" i="24"/>
  <c r="L67" i="24"/>
  <c r="AA67" i="24"/>
  <c r="AP67" i="24"/>
  <c r="BH67" i="24"/>
  <c r="BW67" i="24"/>
  <c r="V68" i="24"/>
  <c r="AK68" i="24"/>
  <c r="AZ68" i="24"/>
  <c r="BR68" i="24"/>
  <c r="CG68" i="24"/>
  <c r="N69" i="24"/>
  <c r="AF69" i="24"/>
  <c r="AU69" i="24"/>
  <c r="BJ69" i="24"/>
  <c r="CB69" i="24"/>
  <c r="I70" i="24"/>
  <c r="AC70" i="24"/>
  <c r="AS70" i="24"/>
  <c r="BM70" i="24"/>
  <c r="CC70" i="24"/>
  <c r="O71" i="24"/>
  <c r="AE71" i="24"/>
  <c r="AY71" i="24"/>
  <c r="BO71" i="24"/>
  <c r="CI71" i="24"/>
  <c r="Q72" i="24"/>
  <c r="AK72" i="24"/>
  <c r="BA72" i="24"/>
  <c r="BU72" i="24"/>
  <c r="F73" i="24"/>
  <c r="Z73" i="24"/>
  <c r="AV73" i="24"/>
  <c r="BO73" i="24"/>
  <c r="CI73" i="24"/>
  <c r="W74" i="24"/>
  <c r="AS74" i="24"/>
  <c r="BL74" i="24"/>
  <c r="CF74" i="24"/>
  <c r="T75" i="24"/>
  <c r="AR75" i="24"/>
  <c r="BP75" i="24"/>
  <c r="F76" i="24"/>
  <c r="AD76" i="24"/>
  <c r="BB76" i="24"/>
  <c r="BZ76" i="24"/>
  <c r="P77" i="24"/>
  <c r="AN77" i="24"/>
  <c r="BL77" i="24"/>
  <c r="CK77" i="24"/>
  <c r="AV20" i="40"/>
  <c r="AT37" i="40"/>
  <c r="BG20" i="40"/>
  <c r="AJ20" i="40"/>
  <c r="AU20" i="40"/>
  <c r="L20" i="40"/>
  <c r="CE20" i="40"/>
  <c r="X20" i="40"/>
  <c r="AX20" i="40"/>
  <c r="CH20" i="40"/>
  <c r="J20" i="40"/>
  <c r="V20" i="40"/>
  <c r="AH20" i="40"/>
  <c r="CD20" i="40"/>
  <c r="H37" i="40"/>
  <c r="T20" i="40"/>
  <c r="BP20" i="40"/>
  <c r="AS20" i="40"/>
  <c r="BQ20" i="40"/>
  <c r="AT20" i="40"/>
  <c r="K20" i="40"/>
  <c r="W20" i="40"/>
  <c r="T37" i="40"/>
  <c r="AR20" i="40"/>
  <c r="U20" i="40"/>
  <c r="AI20" i="40"/>
  <c r="BH20" i="40"/>
  <c r="BT20" i="40"/>
  <c r="CF20" i="40"/>
  <c r="N20" i="40"/>
  <c r="CJ20" i="40"/>
  <c r="BA20" i="40"/>
  <c r="AO20" i="40"/>
  <c r="AP20" i="40"/>
  <c r="I20" i="40"/>
  <c r="CC20" i="40"/>
  <c r="AE20" i="40"/>
  <c r="BC20" i="40"/>
  <c r="CA20" i="40"/>
  <c r="AN20" i="40"/>
  <c r="BM20" i="40"/>
  <c r="BO37" i="40"/>
  <c r="H20" i="40"/>
  <c r="AF20" i="40"/>
  <c r="BD20" i="40"/>
  <c r="CB20" i="40"/>
  <c r="AH37" i="40"/>
  <c r="CD37" i="40"/>
  <c r="BG37" i="40"/>
  <c r="BL20" i="40"/>
  <c r="BN20" i="40"/>
  <c r="AQ20" i="40"/>
  <c r="AG20" i="40"/>
  <c r="AC20" i="40"/>
  <c r="S37" i="40"/>
  <c r="AF37" i="40"/>
  <c r="BP37" i="40"/>
  <c r="AG37" i="40"/>
  <c r="BE37" i="40"/>
  <c r="K37" i="40"/>
  <c r="AI37" i="40"/>
  <c r="CE37" i="40"/>
  <c r="BW37" i="40"/>
  <c r="P20" i="40"/>
  <c r="S20" i="40"/>
  <c r="BE20" i="40"/>
  <c r="CA37" i="40"/>
  <c r="BY20" i="40"/>
  <c r="BF20" i="40"/>
  <c r="BR20" i="40"/>
  <c r="AR37" i="40"/>
  <c r="CK20" i="40"/>
  <c r="BS20" i="40"/>
  <c r="BD37" i="40"/>
  <c r="R20" i="40"/>
  <c r="O20" i="40"/>
  <c r="AY20" i="40"/>
  <c r="CI20" i="40"/>
  <c r="CB37" i="40"/>
  <c r="BO20" i="40"/>
  <c r="M20" i="40"/>
  <c r="Y20" i="40"/>
  <c r="AK20" i="40"/>
  <c r="AW20" i="40"/>
  <c r="BI20" i="40"/>
  <c r="BU20" i="40"/>
  <c r="CG20" i="40"/>
  <c r="AB20" i="40"/>
  <c r="AZ20" i="40"/>
  <c r="BX20" i="40"/>
  <c r="AD20" i="40"/>
  <c r="BB20" i="40"/>
  <c r="BZ20" i="40"/>
  <c r="AA37" i="40"/>
  <c r="I37" i="40"/>
  <c r="Q20" i="40"/>
  <c r="Z20" i="40"/>
  <c r="AL20" i="40"/>
  <c r="BJ20" i="40"/>
  <c r="BV20" i="40"/>
  <c r="AA20" i="40"/>
  <c r="AM20" i="40"/>
  <c r="BK20" i="40"/>
  <c r="BW20" i="40"/>
  <c r="AZ37" i="40"/>
  <c r="AD37" i="40"/>
  <c r="P37" i="40"/>
  <c r="CJ37" i="40"/>
  <c r="AO37" i="40"/>
  <c r="BY37" i="40"/>
  <c r="BN37" i="40"/>
  <c r="BC37" i="40"/>
  <c r="BQ37" i="40"/>
  <c r="V37" i="40"/>
  <c r="BF37" i="40"/>
  <c r="W37" i="40"/>
  <c r="BS37" i="40"/>
  <c r="L37" i="40"/>
  <c r="X37" i="40"/>
  <c r="AJ37" i="40"/>
  <c r="AV37" i="40"/>
  <c r="BH37" i="40"/>
  <c r="BT37" i="40"/>
  <c r="CF37" i="40"/>
  <c r="BA37" i="40"/>
  <c r="AP37" i="40"/>
  <c r="AN37" i="40"/>
  <c r="AC37" i="40"/>
  <c r="CK37" i="40"/>
  <c r="BZ37" i="40"/>
  <c r="AQ37" i="40"/>
  <c r="AS37" i="40"/>
  <c r="CC37" i="40"/>
  <c r="BR37" i="40"/>
  <c r="AU37" i="40"/>
  <c r="M37" i="40"/>
  <c r="Y37" i="40"/>
  <c r="AK37" i="40"/>
  <c r="AW37" i="40"/>
  <c r="BI37" i="40"/>
  <c r="BU37" i="40"/>
  <c r="CG37" i="40"/>
  <c r="BL37" i="40"/>
  <c r="BB37" i="40"/>
  <c r="AB37" i="40"/>
  <c r="Q37" i="40"/>
  <c r="BM37" i="40"/>
  <c r="R37" i="40"/>
  <c r="AE37" i="40"/>
  <c r="U37" i="40"/>
  <c r="J37" i="40"/>
  <c r="N37" i="40"/>
  <c r="Z37" i="40"/>
  <c r="AL37" i="40"/>
  <c r="AX37" i="40"/>
  <c r="BJ37" i="40"/>
  <c r="BV37" i="40"/>
  <c r="CH37" i="40"/>
  <c r="O37" i="40"/>
  <c r="AM37" i="40"/>
  <c r="AY37" i="40"/>
  <c r="BK37" i="40"/>
  <c r="CI37" i="40"/>
  <c r="BX37" i="40"/>
  <c r="G37" i="40"/>
  <c r="G20" i="40"/>
  <c r="E75" i="40"/>
  <c r="AA57" i="24"/>
  <c r="AP56" i="24"/>
  <c r="AR54" i="24"/>
  <c r="BA56" i="24"/>
  <c r="AP58" i="24"/>
  <c r="BB57" i="24"/>
  <c r="BN56" i="24"/>
  <c r="BJ57" i="24"/>
  <c r="BU54" i="24"/>
  <c r="BY56" i="24"/>
  <c r="BK57" i="24"/>
  <c r="BB58" i="24"/>
  <c r="R58" i="24"/>
  <c r="AY57" i="24"/>
  <c r="BB56" i="24"/>
  <c r="BD54" i="24"/>
  <c r="BA58" i="24"/>
  <c r="CB54" i="24"/>
  <c r="CB56" i="24"/>
  <c r="BV57" i="24"/>
  <c r="BN58" i="24"/>
  <c r="BL55" i="24"/>
  <c r="P57" i="24"/>
  <c r="CH57" i="24"/>
  <c r="BX55" i="24"/>
  <c r="R57" i="24"/>
  <c r="CI57" i="24"/>
  <c r="H54" i="24"/>
  <c r="P56" i="24"/>
  <c r="Z57" i="24"/>
  <c r="P58" i="24"/>
  <c r="AX57" i="24"/>
  <c r="O57" i="24"/>
  <c r="R56" i="24"/>
  <c r="N57" i="24"/>
  <c r="S57" i="24"/>
  <c r="P55" i="24"/>
  <c r="AZ55" i="24"/>
  <c r="CJ55" i="24"/>
  <c r="AC56" i="24"/>
  <c r="BD56" i="24"/>
  <c r="CJ58" i="24"/>
  <c r="T54" i="24"/>
  <c r="G55" i="24"/>
  <c r="AQ55" i="24"/>
  <c r="CA55" i="24"/>
  <c r="U56" i="24"/>
  <c r="U54" i="24"/>
  <c r="BE54" i="24"/>
  <c r="H55" i="24"/>
  <c r="AR55" i="24"/>
  <c r="CB55" i="24"/>
  <c r="AB56" i="24"/>
  <c r="CC56" i="24"/>
  <c r="AB57" i="24"/>
  <c r="BC57" i="24"/>
  <c r="AB58" i="24"/>
  <c r="Y54" i="24"/>
  <c r="BI54" i="24"/>
  <c r="CJ56" i="24"/>
  <c r="AD57" i="24"/>
  <c r="CJ57" i="24"/>
  <c r="AC58" i="24"/>
  <c r="BH58" i="24"/>
  <c r="AD54" i="24"/>
  <c r="BN54" i="24"/>
  <c r="R55" i="24"/>
  <c r="BB55" i="24"/>
  <c r="AD56" i="24"/>
  <c r="BE56" i="24"/>
  <c r="CK56" i="24"/>
  <c r="AE57" i="24"/>
  <c r="AD58" i="24"/>
  <c r="BI58" i="24"/>
  <c r="CK58" i="24"/>
  <c r="AF54" i="24"/>
  <c r="BP54" i="24"/>
  <c r="S55" i="24"/>
  <c r="BC55" i="24"/>
  <c r="AF56" i="24"/>
  <c r="BL56" i="24"/>
  <c r="F57" i="24"/>
  <c r="AL57" i="24"/>
  <c r="BL57" i="24"/>
  <c r="AJ58" i="24"/>
  <c r="BL58" i="24"/>
  <c r="AG54" i="24"/>
  <c r="BQ54" i="24"/>
  <c r="T55" i="24"/>
  <c r="BD55" i="24"/>
  <c r="F56" i="24"/>
  <c r="AG56" i="24"/>
  <c r="BM56" i="24"/>
  <c r="G57" i="24"/>
  <c r="AM57" i="24"/>
  <c r="BN57" i="24"/>
  <c r="F58" i="24"/>
  <c r="AK58" i="24"/>
  <c r="BM58" i="24"/>
  <c r="AB55" i="24"/>
  <c r="H56" i="24"/>
  <c r="AN56" i="24"/>
  <c r="AN57" i="24"/>
  <c r="BO57" i="24"/>
  <c r="L58" i="24"/>
  <c r="AN58" i="24"/>
  <c r="F54" i="24"/>
  <c r="AP54" i="24"/>
  <c r="BZ54" i="24"/>
  <c r="I56" i="24"/>
  <c r="AO56" i="24"/>
  <c r="BP56" i="24"/>
  <c r="AP57" i="24"/>
  <c r="M58" i="24"/>
  <c r="AO58" i="24"/>
  <c r="BT58" i="24"/>
  <c r="AE55" i="24"/>
  <c r="BQ56" i="24"/>
  <c r="AQ57" i="24"/>
  <c r="BO55" i="24"/>
  <c r="I54" i="24"/>
  <c r="AS54" i="24"/>
  <c r="CC54" i="24"/>
  <c r="AF55" i="24"/>
  <c r="BP55" i="24"/>
  <c r="Q56" i="24"/>
  <c r="AR56" i="24"/>
  <c r="BX56" i="24"/>
  <c r="BX57" i="24"/>
  <c r="Q58" i="24"/>
  <c r="AV58" i="24"/>
  <c r="BX58" i="24"/>
  <c r="AS56" i="24"/>
  <c r="BZ55" i="24"/>
  <c r="T56" i="24"/>
  <c r="AZ56" i="24"/>
  <c r="BZ56" i="24"/>
  <c r="AZ57" i="24"/>
  <c r="CA57" i="24"/>
  <c r="X58" i="24"/>
  <c r="AZ58" i="24"/>
  <c r="L54" i="24"/>
  <c r="AV54" i="24"/>
  <c r="J55" i="24"/>
  <c r="BF55" i="24"/>
  <c r="CD55" i="24"/>
  <c r="K55" i="24"/>
  <c r="BG55" i="24"/>
  <c r="Z54" i="24"/>
  <c r="BJ54" i="24"/>
  <c r="L55" i="24"/>
  <c r="AV55" i="24"/>
  <c r="BT55" i="24"/>
  <c r="V56" i="24"/>
  <c r="BF56" i="24"/>
  <c r="H57" i="24"/>
  <c r="AR57" i="24"/>
  <c r="O54" i="24"/>
  <c r="AA54" i="24"/>
  <c r="AM54" i="24"/>
  <c r="AY54" i="24"/>
  <c r="BK54" i="24"/>
  <c r="BW54" i="24"/>
  <c r="CI54" i="24"/>
  <c r="M55" i="24"/>
  <c r="Y55" i="24"/>
  <c r="AK55" i="24"/>
  <c r="AW55" i="24"/>
  <c r="BI55" i="24"/>
  <c r="BU55" i="24"/>
  <c r="CG55" i="24"/>
  <c r="K56" i="24"/>
  <c r="W56" i="24"/>
  <c r="AI56" i="24"/>
  <c r="AU56" i="24"/>
  <c r="BG56" i="24"/>
  <c r="BS56" i="24"/>
  <c r="CE56" i="24"/>
  <c r="I57" i="24"/>
  <c r="U57" i="24"/>
  <c r="AG57" i="24"/>
  <c r="AS57" i="24"/>
  <c r="BE57" i="24"/>
  <c r="BQ57" i="24"/>
  <c r="CC57" i="24"/>
  <c r="G58" i="24"/>
  <c r="S58" i="24"/>
  <c r="AE58" i="24"/>
  <c r="AQ58" i="24"/>
  <c r="BC58" i="24"/>
  <c r="BO58" i="24"/>
  <c r="CA58" i="24"/>
  <c r="X54" i="24"/>
  <c r="BT54" i="24"/>
  <c r="AH55" i="24"/>
  <c r="BR55" i="24"/>
  <c r="W55" i="24"/>
  <c r="AU55" i="24"/>
  <c r="BS55" i="24"/>
  <c r="AL54" i="24"/>
  <c r="BV54" i="24"/>
  <c r="X55" i="24"/>
  <c r="BH55" i="24"/>
  <c r="J56" i="24"/>
  <c r="AH56" i="24"/>
  <c r="BR56" i="24"/>
  <c r="T57" i="24"/>
  <c r="BD57" i="24"/>
  <c r="CB57" i="24"/>
  <c r="N55" i="24"/>
  <c r="Z55" i="24"/>
  <c r="AL55" i="24"/>
  <c r="AX55" i="24"/>
  <c r="BJ55" i="24"/>
  <c r="BV55" i="24"/>
  <c r="CH55" i="24"/>
  <c r="L56" i="24"/>
  <c r="X56" i="24"/>
  <c r="AJ56" i="24"/>
  <c r="AV56" i="24"/>
  <c r="BH56" i="24"/>
  <c r="BT56" i="24"/>
  <c r="CF56" i="24"/>
  <c r="J57" i="24"/>
  <c r="V57" i="24"/>
  <c r="AH57" i="24"/>
  <c r="AT57" i="24"/>
  <c r="BF57" i="24"/>
  <c r="BR57" i="24"/>
  <c r="CD57" i="24"/>
  <c r="AF58" i="24"/>
  <c r="BP58" i="24"/>
  <c r="AJ54" i="24"/>
  <c r="CF54" i="24"/>
  <c r="AT55" i="24"/>
  <c r="AI55" i="24"/>
  <c r="CE55" i="24"/>
  <c r="N54" i="24"/>
  <c r="AX54" i="24"/>
  <c r="CH54" i="24"/>
  <c r="AJ55" i="24"/>
  <c r="CF55" i="24"/>
  <c r="AT56" i="24"/>
  <c r="CD56" i="24"/>
  <c r="Q54" i="24"/>
  <c r="AC54" i="24"/>
  <c r="AO54" i="24"/>
  <c r="BA54" i="24"/>
  <c r="BM54" i="24"/>
  <c r="BY54" i="24"/>
  <c r="CK54" i="24"/>
  <c r="O55" i="24"/>
  <c r="AA55" i="24"/>
  <c r="AM55" i="24"/>
  <c r="AY55" i="24"/>
  <c r="BK55" i="24"/>
  <c r="BW55" i="24"/>
  <c r="CI55" i="24"/>
  <c r="M56" i="24"/>
  <c r="Y56" i="24"/>
  <c r="AK56" i="24"/>
  <c r="AW56" i="24"/>
  <c r="BI56" i="24"/>
  <c r="BU56" i="24"/>
  <c r="CG56" i="24"/>
  <c r="K57" i="24"/>
  <c r="W57" i="24"/>
  <c r="AI57" i="24"/>
  <c r="AU57" i="24"/>
  <c r="BG57" i="24"/>
  <c r="BS57" i="24"/>
  <c r="CE57" i="24"/>
  <c r="I58" i="24"/>
  <c r="U58" i="24"/>
  <c r="AG58" i="24"/>
  <c r="AS58" i="24"/>
  <c r="BE58" i="24"/>
  <c r="BQ58" i="24"/>
  <c r="CC58" i="24"/>
  <c r="N56" i="24"/>
  <c r="Z56" i="24"/>
  <c r="AL56" i="24"/>
  <c r="AX56" i="24"/>
  <c r="BJ56" i="24"/>
  <c r="BV56" i="24"/>
  <c r="CH56" i="24"/>
  <c r="BH57" i="24"/>
  <c r="J58" i="24"/>
  <c r="V58" i="24"/>
  <c r="AH58" i="24"/>
  <c r="AT58" i="24"/>
  <c r="BF58" i="24"/>
  <c r="BR58" i="24"/>
  <c r="CD58" i="24"/>
  <c r="G54" i="24"/>
  <c r="S54" i="24"/>
  <c r="AE54" i="24"/>
  <c r="AQ54" i="24"/>
  <c r="BC54" i="24"/>
  <c r="BO54" i="24"/>
  <c r="CA54" i="24"/>
  <c r="Q55" i="24"/>
  <c r="AC55" i="24"/>
  <c r="AO55" i="24"/>
  <c r="BA55" i="24"/>
  <c r="BM55" i="24"/>
  <c r="BY55" i="24"/>
  <c r="CK55" i="24"/>
  <c r="O56" i="24"/>
  <c r="AA56" i="24"/>
  <c r="AM56" i="24"/>
  <c r="AY56" i="24"/>
  <c r="BK56" i="24"/>
  <c r="BW56" i="24"/>
  <c r="CI56" i="24"/>
  <c r="K58" i="24"/>
  <c r="W58" i="24"/>
  <c r="AI58" i="24"/>
  <c r="AU58" i="24"/>
  <c r="BG58" i="24"/>
  <c r="BS58" i="24"/>
  <c r="CE58" i="24"/>
  <c r="V54" i="24"/>
  <c r="E55" i="28" l="1"/>
  <c r="E88" i="28"/>
  <c r="D46" i="15"/>
  <c r="D89" i="15" s="1"/>
  <c r="C46" i="15"/>
  <c r="C89" i="15" s="1"/>
  <c r="D45" i="15"/>
  <c r="D88" i="15" s="1"/>
  <c r="C45" i="15"/>
  <c r="C88" i="15" s="1"/>
  <c r="D44" i="15"/>
  <c r="D87" i="15" s="1"/>
  <c r="C87" i="15"/>
  <c r="D43" i="15"/>
  <c r="D86" i="15" s="1"/>
  <c r="C86" i="15"/>
  <c r="D42" i="15"/>
  <c r="D85" i="15" s="1"/>
  <c r="C85" i="15"/>
  <c r="D41" i="15"/>
  <c r="D84" i="15" s="1"/>
  <c r="C84" i="15"/>
  <c r="D40" i="15"/>
  <c r="D83" i="15" s="1"/>
  <c r="C83" i="15"/>
  <c r="D39" i="15"/>
  <c r="D82" i="15" s="1"/>
  <c r="C82" i="15"/>
  <c r="D38" i="15"/>
  <c r="D81" i="15" s="1"/>
  <c r="C81" i="15"/>
  <c r="D37" i="15"/>
  <c r="D80" i="15" s="1"/>
  <c r="C80" i="15"/>
  <c r="D36" i="15"/>
  <c r="D79" i="15" s="1"/>
  <c r="C79" i="15"/>
  <c r="D35" i="15"/>
  <c r="D78" i="15" s="1"/>
  <c r="C78" i="15"/>
  <c r="D25" i="15"/>
  <c r="C25" i="15"/>
  <c r="M46" i="15"/>
  <c r="K46" i="15"/>
  <c r="H46" i="15"/>
  <c r="F46" i="15"/>
  <c r="M45" i="15"/>
  <c r="K45" i="15"/>
  <c r="H45" i="15"/>
  <c r="F45" i="15"/>
  <c r="M44" i="15"/>
  <c r="K44" i="15"/>
  <c r="H44" i="15"/>
  <c r="F44" i="15"/>
  <c r="M43" i="15"/>
  <c r="K43" i="15"/>
  <c r="H43" i="15"/>
  <c r="F43" i="15"/>
  <c r="M42" i="15"/>
  <c r="K42" i="15"/>
  <c r="H42" i="15"/>
  <c r="F42" i="15"/>
  <c r="M41" i="15"/>
  <c r="K41" i="15"/>
  <c r="H41" i="15"/>
  <c r="F41" i="15"/>
  <c r="M40" i="15"/>
  <c r="K40" i="15"/>
  <c r="H40" i="15"/>
  <c r="F40" i="15"/>
  <c r="M39" i="15"/>
  <c r="K39" i="15"/>
  <c r="H39" i="15"/>
  <c r="F39" i="15"/>
  <c r="M38" i="15"/>
  <c r="K38" i="15"/>
  <c r="H38" i="15"/>
  <c r="F38" i="15"/>
  <c r="M37" i="15"/>
  <c r="K37" i="15"/>
  <c r="H37" i="15"/>
  <c r="F37" i="15"/>
  <c r="M36" i="15"/>
  <c r="K36" i="15"/>
  <c r="H36" i="15"/>
  <c r="F36" i="15"/>
  <c r="M27" i="15"/>
  <c r="K27" i="15"/>
  <c r="H27" i="15"/>
  <c r="F27" i="15"/>
  <c r="D27" i="15"/>
  <c r="M26" i="15"/>
  <c r="K26" i="15"/>
  <c r="H26" i="15"/>
  <c r="F26" i="15"/>
  <c r="D26" i="15"/>
  <c r="M25" i="15"/>
  <c r="K25" i="15"/>
  <c r="H25" i="15"/>
  <c r="F25" i="15"/>
  <c r="J55" i="10" l="1"/>
  <c r="H55" i="10"/>
  <c r="G55" i="10"/>
  <c r="F55" i="10"/>
  <c r="D55" i="10"/>
  <c r="C55" i="10"/>
  <c r="J54" i="10"/>
  <c r="H54" i="10"/>
  <c r="G54" i="10"/>
  <c r="F54" i="10"/>
  <c r="D54" i="10"/>
  <c r="D51" i="10"/>
  <c r="C51" i="10"/>
  <c r="J51" i="10"/>
  <c r="J37" i="10"/>
  <c r="H37" i="10"/>
  <c r="G37" i="10"/>
  <c r="F37" i="10"/>
  <c r="D37" i="10"/>
  <c r="C37" i="10"/>
  <c r="H51" i="10"/>
  <c r="G51" i="10"/>
  <c r="F51" i="10"/>
  <c r="J36" i="10" l="1"/>
  <c r="H36" i="10"/>
  <c r="G36" i="10"/>
  <c r="F36" i="10"/>
  <c r="D36" i="10"/>
  <c r="C36" i="10"/>
  <c r="J35" i="10"/>
  <c r="H35" i="10"/>
  <c r="G35" i="10"/>
  <c r="F35" i="10"/>
  <c r="D35" i="10"/>
  <c r="C32" i="10"/>
  <c r="C26" i="10"/>
  <c r="C19" i="10"/>
  <c r="J32" i="10"/>
  <c r="H32" i="10"/>
  <c r="G32" i="10"/>
  <c r="F32" i="10"/>
  <c r="D32" i="10"/>
  <c r="J26" i="10"/>
  <c r="H26" i="10"/>
  <c r="G26" i="10"/>
  <c r="F26" i="10"/>
  <c r="D26" i="10"/>
  <c r="H19" i="10"/>
  <c r="G19" i="10"/>
  <c r="F19" i="10"/>
  <c r="D19" i="10"/>
  <c r="D90" i="8"/>
  <c r="C90" i="8"/>
  <c r="D89" i="8"/>
  <c r="C89" i="8"/>
  <c r="D88" i="8"/>
  <c r="C88" i="8"/>
  <c r="D87" i="8"/>
  <c r="C87" i="8"/>
  <c r="D86" i="8"/>
  <c r="C86" i="8"/>
  <c r="D85" i="8"/>
  <c r="C85" i="8"/>
  <c r="D84" i="8"/>
  <c r="C84" i="8"/>
  <c r="D83" i="8"/>
  <c r="C83" i="8"/>
  <c r="D82" i="8"/>
  <c r="C82" i="8"/>
  <c r="D81" i="8"/>
  <c r="C81" i="8"/>
  <c r="D80" i="8"/>
  <c r="C80" i="8"/>
  <c r="D79" i="8"/>
  <c r="C79" i="8"/>
  <c r="C4" i="35"/>
  <c r="E5" i="35"/>
  <c r="F5" i="35"/>
  <c r="J5" i="35"/>
  <c r="K5" i="35"/>
  <c r="O5" i="35"/>
  <c r="P5" i="35"/>
  <c r="C6" i="35"/>
  <c r="L6" i="35" s="1"/>
  <c r="D7" i="35"/>
  <c r="E8" i="35"/>
  <c r="F8" i="35"/>
  <c r="J8" i="35"/>
  <c r="K8" i="35"/>
  <c r="O8" i="35"/>
  <c r="P8" i="35"/>
  <c r="D9" i="35"/>
  <c r="L9" i="35" s="1"/>
  <c r="G9" i="35"/>
  <c r="Q9" i="35"/>
  <c r="C11" i="35"/>
  <c r="C46" i="35" s="1"/>
  <c r="D11" i="35"/>
  <c r="D46" i="35" s="1"/>
  <c r="G11" i="35"/>
  <c r="H11" i="35"/>
  <c r="L11" i="35"/>
  <c r="M11" i="35"/>
  <c r="Q11" i="35"/>
  <c r="R11" i="35"/>
  <c r="C12" i="35"/>
  <c r="C47" i="35" s="1"/>
  <c r="D12" i="35"/>
  <c r="D47" i="35" s="1"/>
  <c r="G12" i="35"/>
  <c r="H12" i="35"/>
  <c r="L12" i="35"/>
  <c r="M12" i="35"/>
  <c r="Q12" i="35"/>
  <c r="R12" i="35"/>
  <c r="C13" i="35"/>
  <c r="C48" i="35" s="1"/>
  <c r="D13" i="35"/>
  <c r="D48" i="35" s="1"/>
  <c r="G13" i="35"/>
  <c r="H13" i="35"/>
  <c r="L13" i="35"/>
  <c r="M13" i="35"/>
  <c r="Q13" i="35"/>
  <c r="R13" i="35"/>
  <c r="C14" i="35"/>
  <c r="C49" i="35" s="1"/>
  <c r="D14" i="35"/>
  <c r="D49" i="35" s="1"/>
  <c r="G14" i="35"/>
  <c r="H14" i="35"/>
  <c r="L14" i="35"/>
  <c r="M14" i="35"/>
  <c r="Q14" i="35"/>
  <c r="R14" i="35"/>
  <c r="C15" i="35"/>
  <c r="C45" i="35" s="1"/>
  <c r="D15" i="35"/>
  <c r="D50" i="35" s="1"/>
  <c r="E15" i="35"/>
  <c r="E20" i="35" s="1"/>
  <c r="F15" i="35"/>
  <c r="J15" i="35"/>
  <c r="J20" i="35" s="1"/>
  <c r="K15" i="35"/>
  <c r="K77" i="35" s="1"/>
  <c r="O15" i="35"/>
  <c r="O20" i="35" s="1"/>
  <c r="O27" i="35" s="1"/>
  <c r="P15" i="35"/>
  <c r="C16" i="35"/>
  <c r="C51" i="35" s="1"/>
  <c r="D16" i="35"/>
  <c r="D51" i="35" s="1"/>
  <c r="G16" i="35"/>
  <c r="H16" i="35"/>
  <c r="L16" i="35"/>
  <c r="M16" i="35"/>
  <c r="Q16" i="35"/>
  <c r="R16" i="35"/>
  <c r="C17" i="35"/>
  <c r="C52" i="35" s="1"/>
  <c r="D17" i="35"/>
  <c r="D52" i="35" s="1"/>
  <c r="G17" i="35"/>
  <c r="H17" i="35"/>
  <c r="L17" i="35"/>
  <c r="M17" i="35"/>
  <c r="Q17" i="35"/>
  <c r="R17" i="35"/>
  <c r="C18" i="35"/>
  <c r="C53" i="35" s="1"/>
  <c r="D18" i="35"/>
  <c r="D53" i="35" s="1"/>
  <c r="G18" i="35"/>
  <c r="H18" i="35"/>
  <c r="L18" i="35"/>
  <c r="M18" i="35"/>
  <c r="Q18" i="35"/>
  <c r="R18" i="35"/>
  <c r="C19" i="35"/>
  <c r="C54" i="35" s="1"/>
  <c r="D19" i="35"/>
  <c r="D54" i="35" s="1"/>
  <c r="G19" i="35"/>
  <c r="H19" i="35"/>
  <c r="L19" i="35"/>
  <c r="M19" i="35"/>
  <c r="Q19" i="35"/>
  <c r="R19" i="35"/>
  <c r="C20" i="35"/>
  <c r="C55" i="35" s="1"/>
  <c r="D20" i="35"/>
  <c r="D55" i="35" s="1"/>
  <c r="F20" i="35"/>
  <c r="G20" i="35" s="1"/>
  <c r="P20" i="35"/>
  <c r="C21" i="35"/>
  <c r="C56" i="35" s="1"/>
  <c r="D21" i="35"/>
  <c r="D56" i="35" s="1"/>
  <c r="G21" i="35"/>
  <c r="H21" i="35"/>
  <c r="L21" i="35"/>
  <c r="M21" i="35"/>
  <c r="Q21" i="35"/>
  <c r="R21" i="35"/>
  <c r="C22" i="35"/>
  <c r="C57" i="35" s="1"/>
  <c r="D22" i="35"/>
  <c r="D57" i="35" s="1"/>
  <c r="G22" i="35"/>
  <c r="H22" i="35"/>
  <c r="L22" i="35"/>
  <c r="M22" i="35"/>
  <c r="Q22" i="35"/>
  <c r="R22" i="35"/>
  <c r="C23" i="35"/>
  <c r="C58" i="35" s="1"/>
  <c r="D23" i="35"/>
  <c r="D58" i="35" s="1"/>
  <c r="G23" i="35"/>
  <c r="H23" i="35"/>
  <c r="L23" i="35"/>
  <c r="M23" i="35"/>
  <c r="Q23" i="35"/>
  <c r="R23" i="35"/>
  <c r="C24" i="35"/>
  <c r="C59" i="35" s="1"/>
  <c r="D24" i="35"/>
  <c r="D59" i="35" s="1"/>
  <c r="G24" i="35"/>
  <c r="H24" i="35"/>
  <c r="L24" i="35"/>
  <c r="M24" i="35"/>
  <c r="Q24" i="35"/>
  <c r="R24" i="35"/>
  <c r="C25" i="35"/>
  <c r="C60" i="35" s="1"/>
  <c r="D25" i="35"/>
  <c r="D60" i="35" s="1"/>
  <c r="G25" i="35"/>
  <c r="H25" i="35"/>
  <c r="L25" i="35"/>
  <c r="M25" i="35"/>
  <c r="Q25" i="35"/>
  <c r="R25" i="35"/>
  <c r="C26" i="35"/>
  <c r="C61" i="35" s="1"/>
  <c r="D26" i="35"/>
  <c r="D61" i="35" s="1"/>
  <c r="G26" i="35"/>
  <c r="H26" i="35"/>
  <c r="L26" i="35"/>
  <c r="M26" i="35"/>
  <c r="Q26" i="35"/>
  <c r="R26" i="35"/>
  <c r="C27" i="35"/>
  <c r="C62" i="35" s="1"/>
  <c r="D27" i="35"/>
  <c r="D62" i="35" s="1"/>
  <c r="C28" i="35"/>
  <c r="C63" i="35" s="1"/>
  <c r="D28" i="35"/>
  <c r="D63" i="35" s="1"/>
  <c r="G28" i="35"/>
  <c r="H28" i="35"/>
  <c r="L28" i="35"/>
  <c r="M28" i="35"/>
  <c r="Q28" i="35"/>
  <c r="R28" i="35"/>
  <c r="C29" i="35"/>
  <c r="C64" i="35" s="1"/>
  <c r="D29" i="35"/>
  <c r="D64" i="35" s="1"/>
  <c r="G29" i="35"/>
  <c r="H29" i="35"/>
  <c r="L29" i="35"/>
  <c r="M29" i="35"/>
  <c r="Q29" i="35"/>
  <c r="R29" i="35"/>
  <c r="C30" i="35"/>
  <c r="C65" i="35" s="1"/>
  <c r="D30" i="35"/>
  <c r="D65" i="35" s="1"/>
  <c r="G30" i="35"/>
  <c r="H30" i="35"/>
  <c r="L30" i="35"/>
  <c r="M30" i="35"/>
  <c r="Q30" i="35"/>
  <c r="R30" i="35"/>
  <c r="C31" i="35"/>
  <c r="C66" i="35" s="1"/>
  <c r="D31" i="35"/>
  <c r="D66" i="35" s="1"/>
  <c r="G31" i="35"/>
  <c r="H31" i="35"/>
  <c r="L31" i="35"/>
  <c r="M31" i="35"/>
  <c r="Q31" i="35"/>
  <c r="R31" i="35"/>
  <c r="C32" i="35"/>
  <c r="C67" i="35" s="1"/>
  <c r="D32" i="35"/>
  <c r="D67" i="35" s="1"/>
  <c r="C33" i="35"/>
  <c r="C68" i="35" s="1"/>
  <c r="D33" i="35"/>
  <c r="D68" i="35" s="1"/>
  <c r="G33" i="35"/>
  <c r="H33" i="35"/>
  <c r="L33" i="35"/>
  <c r="M33" i="35"/>
  <c r="Q33" i="35"/>
  <c r="R33" i="35"/>
  <c r="C34" i="35"/>
  <c r="C69" i="35" s="1"/>
  <c r="D34" i="35"/>
  <c r="D69" i="35" s="1"/>
  <c r="G34" i="35"/>
  <c r="H34" i="35"/>
  <c r="L34" i="35"/>
  <c r="M34" i="35"/>
  <c r="Q34" i="35"/>
  <c r="R34" i="35"/>
  <c r="C35" i="35"/>
  <c r="C70" i="35" s="1"/>
  <c r="D35" i="35"/>
  <c r="D70" i="35" s="1"/>
  <c r="G35" i="35"/>
  <c r="H35" i="35"/>
  <c r="L35" i="35"/>
  <c r="M35" i="35"/>
  <c r="Q35" i="35"/>
  <c r="R35" i="35"/>
  <c r="C36" i="35"/>
  <c r="C71" i="35" s="1"/>
  <c r="D36" i="35"/>
  <c r="D71" i="35" s="1"/>
  <c r="G36" i="35"/>
  <c r="H36" i="35"/>
  <c r="L36" i="35"/>
  <c r="M36" i="35"/>
  <c r="Q36" i="35"/>
  <c r="R36" i="35"/>
  <c r="C37" i="35"/>
  <c r="C72" i="35" s="1"/>
  <c r="D37" i="35"/>
  <c r="D72" i="35" s="1"/>
  <c r="G37" i="35"/>
  <c r="H37" i="35"/>
  <c r="L37" i="35"/>
  <c r="M37" i="35"/>
  <c r="Q37" i="35"/>
  <c r="R37" i="35"/>
  <c r="C38" i="35"/>
  <c r="C73" i="35" s="1"/>
  <c r="D38" i="35"/>
  <c r="D73" i="35" s="1"/>
  <c r="G38" i="35"/>
  <c r="H38" i="35"/>
  <c r="L38" i="35"/>
  <c r="M38" i="35"/>
  <c r="Q38" i="35"/>
  <c r="R38" i="35"/>
  <c r="C39" i="35"/>
  <c r="C74" i="35" s="1"/>
  <c r="D39" i="35"/>
  <c r="D74" i="35" s="1"/>
  <c r="E39" i="35"/>
  <c r="F39" i="35"/>
  <c r="G39" i="35" s="1"/>
  <c r="J39" i="35"/>
  <c r="K39" i="35"/>
  <c r="O39" i="35"/>
  <c r="R39" i="35" s="1"/>
  <c r="P39" i="35"/>
  <c r="C40" i="35"/>
  <c r="C75" i="35" s="1"/>
  <c r="D40" i="35"/>
  <c r="D75" i="35" s="1"/>
  <c r="C41" i="35"/>
  <c r="C76" i="35" s="1"/>
  <c r="D41" i="35"/>
  <c r="D76" i="35" s="1"/>
  <c r="G41" i="35"/>
  <c r="H41" i="35"/>
  <c r="L41" i="35"/>
  <c r="M41" i="35"/>
  <c r="Q41" i="35"/>
  <c r="R41" i="35"/>
  <c r="C42" i="35"/>
  <c r="C77" i="35" s="1"/>
  <c r="D42" i="35"/>
  <c r="D77" i="35" s="1"/>
  <c r="G42" i="35"/>
  <c r="H42" i="35"/>
  <c r="L42" i="35"/>
  <c r="M42" i="35"/>
  <c r="Q42" i="35"/>
  <c r="R42" i="35"/>
  <c r="C43" i="35"/>
  <c r="C78" i="35" s="1"/>
  <c r="D43" i="35"/>
  <c r="D78" i="35" s="1"/>
  <c r="E46" i="35"/>
  <c r="F46" i="35"/>
  <c r="J46" i="35"/>
  <c r="O46" i="35"/>
  <c r="P46" i="35"/>
  <c r="E47" i="35"/>
  <c r="J47" i="35"/>
  <c r="P47" i="35"/>
  <c r="E48" i="35"/>
  <c r="F48" i="35"/>
  <c r="J48" i="35"/>
  <c r="O48" i="35"/>
  <c r="P48" i="35"/>
  <c r="E49" i="35"/>
  <c r="F49" i="35"/>
  <c r="O49" i="35"/>
  <c r="E50" i="35"/>
  <c r="F50" i="35"/>
  <c r="J50" i="35"/>
  <c r="O50" i="35"/>
  <c r="P50" i="35"/>
  <c r="E51" i="35"/>
  <c r="F51" i="35"/>
  <c r="J51" i="35"/>
  <c r="O51" i="35"/>
  <c r="E52" i="35"/>
  <c r="F52" i="35"/>
  <c r="J52" i="35"/>
  <c r="O52" i="35"/>
  <c r="P52" i="35"/>
  <c r="E53" i="35"/>
  <c r="F53" i="35"/>
  <c r="J53" i="35"/>
  <c r="K53" i="35"/>
  <c r="P53" i="35"/>
  <c r="F54" i="35"/>
  <c r="J54" i="35"/>
  <c r="O54" i="35"/>
  <c r="P54" i="35"/>
  <c r="F55" i="35"/>
  <c r="O55" i="35"/>
  <c r="P55" i="35"/>
  <c r="E56" i="35"/>
  <c r="F56" i="35"/>
  <c r="J56" i="35"/>
  <c r="O56" i="35"/>
  <c r="E57" i="35"/>
  <c r="F57" i="35"/>
  <c r="J57" i="35"/>
  <c r="O57" i="35"/>
  <c r="P57" i="35"/>
  <c r="E58" i="35"/>
  <c r="F58" i="35"/>
  <c r="J58" i="35"/>
  <c r="P58" i="35"/>
  <c r="F59" i="35"/>
  <c r="J59" i="35"/>
  <c r="O59" i="35"/>
  <c r="P59" i="35"/>
  <c r="E60" i="35"/>
  <c r="F60" i="35"/>
  <c r="J60" i="35"/>
  <c r="O60" i="35"/>
  <c r="P60" i="35"/>
  <c r="E61" i="35"/>
  <c r="J61" i="35"/>
  <c r="K61" i="35"/>
  <c r="O61" i="35"/>
  <c r="P61" i="35"/>
  <c r="E63" i="35"/>
  <c r="F63" i="35"/>
  <c r="J63" i="35"/>
  <c r="O63" i="35"/>
  <c r="P63" i="35"/>
  <c r="E64" i="35"/>
  <c r="J64" i="35"/>
  <c r="O64" i="35"/>
  <c r="P64" i="35"/>
  <c r="E65" i="35"/>
  <c r="F65" i="35"/>
  <c r="J65" i="35"/>
  <c r="O65" i="35"/>
  <c r="P65" i="35"/>
  <c r="E66" i="35"/>
  <c r="F66" i="35"/>
  <c r="O66" i="35"/>
  <c r="P66" i="35"/>
  <c r="E68" i="35"/>
  <c r="F68" i="35"/>
  <c r="J68" i="35"/>
  <c r="O68" i="35"/>
  <c r="P68" i="35"/>
  <c r="E69" i="35"/>
  <c r="F69" i="35"/>
  <c r="J69" i="35"/>
  <c r="K69" i="35"/>
  <c r="P69" i="35"/>
  <c r="E70" i="35"/>
  <c r="F70" i="35"/>
  <c r="J70" i="35"/>
  <c r="O70" i="35"/>
  <c r="P70" i="35"/>
  <c r="E71" i="35"/>
  <c r="F71" i="35"/>
  <c r="J71" i="35"/>
  <c r="O71" i="35"/>
  <c r="P71" i="35"/>
  <c r="F72" i="35"/>
  <c r="J72" i="35"/>
  <c r="O72" i="35"/>
  <c r="P72" i="35"/>
  <c r="E73" i="35"/>
  <c r="F73" i="35"/>
  <c r="J73" i="35"/>
  <c r="O73" i="35"/>
  <c r="P73" i="35"/>
  <c r="E74" i="35"/>
  <c r="J74" i="35"/>
  <c r="O74" i="35"/>
  <c r="P74" i="35"/>
  <c r="E76" i="35"/>
  <c r="F76" i="35"/>
  <c r="J76" i="35"/>
  <c r="O76" i="35"/>
  <c r="P76" i="35"/>
  <c r="E77" i="35"/>
  <c r="F77" i="35"/>
  <c r="J77" i="35"/>
  <c r="O77" i="35"/>
  <c r="P77" i="35"/>
  <c r="C80" i="35"/>
  <c r="C4" i="34"/>
  <c r="K4" i="34"/>
  <c r="S4" i="34"/>
  <c r="C6" i="34"/>
  <c r="K6" i="34"/>
  <c r="S6" i="34"/>
  <c r="D7" i="34"/>
  <c r="L7" i="34"/>
  <c r="T7" i="34"/>
  <c r="D9" i="34"/>
  <c r="L9" i="34"/>
  <c r="T9" i="34"/>
  <c r="C11" i="34"/>
  <c r="K11" i="34" s="1"/>
  <c r="S11" i="34" s="1"/>
  <c r="D11" i="34"/>
  <c r="L11" i="34" s="1"/>
  <c r="T11" i="34" s="1"/>
  <c r="G11" i="34"/>
  <c r="O11" i="34"/>
  <c r="W11" i="34"/>
  <c r="C12" i="34"/>
  <c r="K12" i="34" s="1"/>
  <c r="S12" i="34" s="1"/>
  <c r="D12" i="34"/>
  <c r="L12" i="34" s="1"/>
  <c r="T12" i="34" s="1"/>
  <c r="G12" i="34"/>
  <c r="O12" i="34"/>
  <c r="W12" i="34"/>
  <c r="C13" i="34"/>
  <c r="K13" i="34" s="1"/>
  <c r="S13" i="34" s="1"/>
  <c r="D13" i="34"/>
  <c r="L13" i="34" s="1"/>
  <c r="T13" i="34" s="1"/>
  <c r="G13" i="34"/>
  <c r="O13" i="34"/>
  <c r="W13" i="34"/>
  <c r="C14" i="34"/>
  <c r="K14" i="34" s="1"/>
  <c r="S14" i="34" s="1"/>
  <c r="D14" i="34"/>
  <c r="L14" i="34" s="1"/>
  <c r="T14" i="34" s="1"/>
  <c r="G14" i="34"/>
  <c r="O14" i="34"/>
  <c r="W14" i="34"/>
  <c r="C15" i="34"/>
  <c r="K15" i="34" s="1"/>
  <c r="S15" i="34" s="1"/>
  <c r="D15" i="34"/>
  <c r="L15" i="34" s="1"/>
  <c r="T15" i="34" s="1"/>
  <c r="E15" i="34"/>
  <c r="E20" i="34" s="1"/>
  <c r="E31" i="34" s="1"/>
  <c r="E36" i="34" s="1"/>
  <c r="F15" i="34"/>
  <c r="F20" i="34" s="1"/>
  <c r="M15" i="34"/>
  <c r="M20" i="34" s="1"/>
  <c r="M31" i="34" s="1"/>
  <c r="M36" i="34" s="1"/>
  <c r="N15" i="34"/>
  <c r="U15" i="34"/>
  <c r="C16" i="34"/>
  <c r="K16" i="34" s="1"/>
  <c r="S16" i="34" s="1"/>
  <c r="D16" i="34"/>
  <c r="L16" i="34" s="1"/>
  <c r="T16" i="34" s="1"/>
  <c r="G16" i="34"/>
  <c r="O16" i="34"/>
  <c r="W16" i="34"/>
  <c r="C17" i="34"/>
  <c r="K17" i="34" s="1"/>
  <c r="S17" i="34" s="1"/>
  <c r="D17" i="34"/>
  <c r="L17" i="34" s="1"/>
  <c r="T17" i="34" s="1"/>
  <c r="G17" i="34"/>
  <c r="O17" i="34"/>
  <c r="W17" i="34"/>
  <c r="C18" i="34"/>
  <c r="K18" i="34" s="1"/>
  <c r="S18" i="34" s="1"/>
  <c r="D18" i="34"/>
  <c r="L18" i="34" s="1"/>
  <c r="T18" i="34" s="1"/>
  <c r="G18" i="34"/>
  <c r="O18" i="34"/>
  <c r="W18" i="34"/>
  <c r="C19" i="34"/>
  <c r="K19" i="34" s="1"/>
  <c r="S19" i="34" s="1"/>
  <c r="D19" i="34"/>
  <c r="L19" i="34" s="1"/>
  <c r="T19" i="34" s="1"/>
  <c r="G19" i="34"/>
  <c r="O19" i="34"/>
  <c r="W19" i="34"/>
  <c r="C20" i="34"/>
  <c r="K20" i="34" s="1"/>
  <c r="S20" i="34" s="1"/>
  <c r="D20" i="34"/>
  <c r="L20" i="34" s="1"/>
  <c r="T20" i="34" s="1"/>
  <c r="C21" i="34"/>
  <c r="K21" i="34" s="1"/>
  <c r="S21" i="34" s="1"/>
  <c r="D21" i="34"/>
  <c r="L21" i="34" s="1"/>
  <c r="T21" i="34" s="1"/>
  <c r="G21" i="34"/>
  <c r="O21" i="34"/>
  <c r="W21" i="34"/>
  <c r="K22" i="34"/>
  <c r="S22" i="34" s="1"/>
  <c r="L22" i="34"/>
  <c r="T22" i="34" s="1"/>
  <c r="G22" i="34"/>
  <c r="O22" i="34"/>
  <c r="W22" i="34"/>
  <c r="K23" i="34"/>
  <c r="S23" i="34" s="1"/>
  <c r="L23" i="34"/>
  <c r="T23" i="34" s="1"/>
  <c r="G23" i="34"/>
  <c r="O23" i="34"/>
  <c r="W23" i="34"/>
  <c r="S28" i="34"/>
  <c r="T28" i="34"/>
  <c r="O28" i="34"/>
  <c r="W28" i="34"/>
  <c r="S29" i="34"/>
  <c r="T29" i="34"/>
  <c r="G29" i="34"/>
  <c r="O29" i="34"/>
  <c r="W29" i="34"/>
  <c r="K30" i="34"/>
  <c r="S30" i="34" s="1"/>
  <c r="L30" i="34"/>
  <c r="T30" i="34" s="1"/>
  <c r="G30" i="34"/>
  <c r="O30" i="34"/>
  <c r="W30" i="34"/>
  <c r="C31" i="34"/>
  <c r="K31" i="34" s="1"/>
  <c r="S31" i="34" s="1"/>
  <c r="D31" i="34"/>
  <c r="L31" i="34" s="1"/>
  <c r="T31" i="34" s="1"/>
  <c r="C32" i="34"/>
  <c r="K32" i="34" s="1"/>
  <c r="S32" i="34" s="1"/>
  <c r="D32" i="34"/>
  <c r="L32" i="34" s="1"/>
  <c r="T32" i="34" s="1"/>
  <c r="G32" i="34"/>
  <c r="O32" i="34"/>
  <c r="W32" i="34"/>
  <c r="C33" i="34"/>
  <c r="K33" i="34" s="1"/>
  <c r="S33" i="34" s="1"/>
  <c r="D33" i="34"/>
  <c r="L33" i="34" s="1"/>
  <c r="T33" i="34" s="1"/>
  <c r="G33" i="34"/>
  <c r="O33" i="34"/>
  <c r="W33" i="34"/>
  <c r="C34" i="34"/>
  <c r="K34" i="34" s="1"/>
  <c r="S34" i="34" s="1"/>
  <c r="D34" i="34"/>
  <c r="L34" i="34" s="1"/>
  <c r="T34" i="34" s="1"/>
  <c r="G34" i="34"/>
  <c r="O34" i="34"/>
  <c r="W34" i="34"/>
  <c r="C35" i="34"/>
  <c r="K35" i="34" s="1"/>
  <c r="S35" i="34" s="1"/>
  <c r="D35" i="34"/>
  <c r="L35" i="34" s="1"/>
  <c r="T35" i="34" s="1"/>
  <c r="G35" i="34"/>
  <c r="O35" i="34"/>
  <c r="W35" i="34"/>
  <c r="C36" i="34"/>
  <c r="K36" i="34" s="1"/>
  <c r="S36" i="34" s="1"/>
  <c r="D36" i="34"/>
  <c r="L36" i="34" s="1"/>
  <c r="T36" i="34" s="1"/>
  <c r="C37" i="34"/>
  <c r="K37" i="34" s="1"/>
  <c r="S37" i="34" s="1"/>
  <c r="D37" i="34"/>
  <c r="L37" i="34" s="1"/>
  <c r="T37" i="34" s="1"/>
  <c r="G37" i="34"/>
  <c r="O37" i="34"/>
  <c r="W37" i="34"/>
  <c r="C38" i="34"/>
  <c r="K38" i="34" s="1"/>
  <c r="S38" i="34" s="1"/>
  <c r="L38" i="34"/>
  <c r="T38" i="34" s="1"/>
  <c r="G38" i="34"/>
  <c r="O38" i="34"/>
  <c r="W38" i="34"/>
  <c r="C39" i="34"/>
  <c r="K39" i="34" s="1"/>
  <c r="S39" i="34" s="1"/>
  <c r="L39" i="34"/>
  <c r="T39" i="34" s="1"/>
  <c r="G39" i="34"/>
  <c r="O39" i="34"/>
  <c r="W39" i="34"/>
  <c r="C40" i="34"/>
  <c r="K40" i="34" s="1"/>
  <c r="S40" i="34" s="1"/>
  <c r="G40" i="34"/>
  <c r="W40" i="34"/>
  <c r="C41" i="34"/>
  <c r="K41" i="34" s="1"/>
  <c r="S41" i="34" s="1"/>
  <c r="G41" i="34"/>
  <c r="O41" i="34"/>
  <c r="W41" i="34"/>
  <c r="C42" i="34"/>
  <c r="K42" i="34" s="1"/>
  <c r="S42" i="34" s="1"/>
  <c r="G42" i="34"/>
  <c r="O42" i="34"/>
  <c r="W42" i="34"/>
  <c r="C43" i="34"/>
  <c r="K43" i="34" s="1"/>
  <c r="S43" i="34" s="1"/>
  <c r="D43" i="34"/>
  <c r="L43" i="34" s="1"/>
  <c r="T43" i="34" s="1"/>
  <c r="E43" i="34"/>
  <c r="F43" i="34"/>
  <c r="C44" i="34"/>
  <c r="K44" i="34" s="1"/>
  <c r="S44" i="34" s="1"/>
  <c r="D44" i="34"/>
  <c r="L44" i="34" s="1"/>
  <c r="T44" i="34" s="1"/>
  <c r="C45" i="34"/>
  <c r="K45" i="34" s="1"/>
  <c r="S45" i="34" s="1"/>
  <c r="D45" i="34"/>
  <c r="L45" i="34" s="1"/>
  <c r="T45" i="34" s="1"/>
  <c r="G45" i="34"/>
  <c r="O45" i="34"/>
  <c r="W45" i="34"/>
  <c r="C46" i="34"/>
  <c r="K46" i="34" s="1"/>
  <c r="S46" i="34" s="1"/>
  <c r="D46" i="34"/>
  <c r="L46" i="34" s="1"/>
  <c r="T46" i="34" s="1"/>
  <c r="G46" i="34"/>
  <c r="O46" i="34"/>
  <c r="W46" i="34"/>
  <c r="C47" i="34"/>
  <c r="K47" i="34" s="1"/>
  <c r="S47" i="34" s="1"/>
  <c r="D47" i="34"/>
  <c r="L47" i="34" s="1"/>
  <c r="T47" i="34" s="1"/>
  <c r="C49" i="34"/>
  <c r="K49" i="34"/>
  <c r="S49" i="34"/>
  <c r="C4" i="33"/>
  <c r="N4" i="33"/>
  <c r="Y4" i="33"/>
  <c r="C6" i="33"/>
  <c r="N6" i="33"/>
  <c r="Y6" i="33"/>
  <c r="D7" i="33"/>
  <c r="O7" i="33"/>
  <c r="Z7" i="33"/>
  <c r="D9" i="33"/>
  <c r="O9" i="33"/>
  <c r="Z9" i="33"/>
  <c r="C11" i="33"/>
  <c r="N11" i="33" s="1"/>
  <c r="Y11" i="33" s="1"/>
  <c r="D11" i="33"/>
  <c r="O11" i="33" s="1"/>
  <c r="Z11" i="33" s="1"/>
  <c r="H11" i="33"/>
  <c r="S11" i="33"/>
  <c r="U11" i="33" s="1"/>
  <c r="AD11" i="33"/>
  <c r="AF11" i="33" s="1"/>
  <c r="C12" i="33"/>
  <c r="N12" i="33" s="1"/>
  <c r="Y12" i="33" s="1"/>
  <c r="D12" i="33"/>
  <c r="O12" i="33" s="1"/>
  <c r="Z12" i="33" s="1"/>
  <c r="H12" i="33"/>
  <c r="J12" i="33" s="1"/>
  <c r="S12" i="33"/>
  <c r="U12" i="33" s="1"/>
  <c r="AD12" i="33"/>
  <c r="AF12" i="33" s="1"/>
  <c r="C13" i="33"/>
  <c r="N13" i="33" s="1"/>
  <c r="Y13" i="33" s="1"/>
  <c r="D13" i="33"/>
  <c r="O13" i="33" s="1"/>
  <c r="Z13" i="33" s="1"/>
  <c r="H13" i="33"/>
  <c r="J13" i="33" s="1"/>
  <c r="S13" i="33"/>
  <c r="U13" i="33" s="1"/>
  <c r="AD13" i="33"/>
  <c r="AF13" i="33" s="1"/>
  <c r="C14" i="33"/>
  <c r="N14" i="33" s="1"/>
  <c r="Y14" i="33" s="1"/>
  <c r="D14" i="33"/>
  <c r="O14" i="33" s="1"/>
  <c r="Z14" i="33" s="1"/>
  <c r="H14" i="33"/>
  <c r="J14" i="33" s="1"/>
  <c r="S14" i="33"/>
  <c r="U14" i="33" s="1"/>
  <c r="AD14" i="33"/>
  <c r="AF14" i="33" s="1"/>
  <c r="C15" i="33"/>
  <c r="N15" i="33" s="1"/>
  <c r="Y15" i="33" s="1"/>
  <c r="D15" i="33"/>
  <c r="O15" i="33" s="1"/>
  <c r="Z15" i="33" s="1"/>
  <c r="E15" i="33"/>
  <c r="F15" i="33"/>
  <c r="G15" i="33"/>
  <c r="I15" i="33"/>
  <c r="P15" i="33"/>
  <c r="Q15" i="33"/>
  <c r="R15" i="33"/>
  <c r="S15" i="33"/>
  <c r="U15" i="33" s="1"/>
  <c r="T15" i="33"/>
  <c r="AA15" i="33"/>
  <c r="AA20" i="33" s="1"/>
  <c r="AA27" i="33" s="1"/>
  <c r="AA32" i="33" s="1"/>
  <c r="AB15" i="33"/>
  <c r="AC15" i="33"/>
  <c r="AC20" i="33" s="1"/>
  <c r="AC27" i="33" s="1"/>
  <c r="AC32" i="33" s="1"/>
  <c r="AC40" i="33" s="1"/>
  <c r="AC43" i="33" s="1"/>
  <c r="AC49" i="33" s="1"/>
  <c r="AD15" i="33"/>
  <c r="AE15" i="33"/>
  <c r="C16" i="33"/>
  <c r="N16" i="33" s="1"/>
  <c r="Y16" i="33" s="1"/>
  <c r="D16" i="33"/>
  <c r="O16" i="33" s="1"/>
  <c r="Z16" i="33" s="1"/>
  <c r="H16" i="33"/>
  <c r="J16" i="33" s="1"/>
  <c r="S16" i="33"/>
  <c r="U16" i="33" s="1"/>
  <c r="AD16" i="33"/>
  <c r="AF16" i="33" s="1"/>
  <c r="C17" i="33"/>
  <c r="N17" i="33" s="1"/>
  <c r="Y17" i="33" s="1"/>
  <c r="D17" i="33"/>
  <c r="O17" i="33" s="1"/>
  <c r="Z17" i="33" s="1"/>
  <c r="H17" i="33"/>
  <c r="J17" i="33" s="1"/>
  <c r="S17" i="33"/>
  <c r="U17" i="33" s="1"/>
  <c r="AD17" i="33"/>
  <c r="AF17" i="33" s="1"/>
  <c r="C18" i="33"/>
  <c r="N18" i="33" s="1"/>
  <c r="Y18" i="33" s="1"/>
  <c r="D18" i="33"/>
  <c r="O18" i="33" s="1"/>
  <c r="Z18" i="33" s="1"/>
  <c r="H18" i="33"/>
  <c r="J18" i="33" s="1"/>
  <c r="S18" i="33"/>
  <c r="U18" i="33" s="1"/>
  <c r="AD18" i="33"/>
  <c r="AF18" i="33" s="1"/>
  <c r="C19" i="33"/>
  <c r="N19" i="33" s="1"/>
  <c r="Y19" i="33" s="1"/>
  <c r="D19" i="33"/>
  <c r="O19" i="33" s="1"/>
  <c r="Z19" i="33" s="1"/>
  <c r="H19" i="33"/>
  <c r="J19" i="33" s="1"/>
  <c r="S19" i="33"/>
  <c r="U19" i="33" s="1"/>
  <c r="AD19" i="33"/>
  <c r="AF19" i="33" s="1"/>
  <c r="C20" i="33"/>
  <c r="N20" i="33" s="1"/>
  <c r="Y20" i="33" s="1"/>
  <c r="D20" i="33"/>
  <c r="O20" i="33" s="1"/>
  <c r="Z20" i="33" s="1"/>
  <c r="E20" i="33"/>
  <c r="E27" i="33" s="1"/>
  <c r="E32" i="33" s="1"/>
  <c r="F20" i="33"/>
  <c r="F27" i="33" s="1"/>
  <c r="F32" i="33" s="1"/>
  <c r="F40" i="33" s="1"/>
  <c r="F43" i="33" s="1"/>
  <c r="F49" i="33" s="1"/>
  <c r="G20" i="33"/>
  <c r="G27" i="33" s="1"/>
  <c r="G32" i="33" s="1"/>
  <c r="I20" i="33"/>
  <c r="I27" i="33" s="1"/>
  <c r="I32" i="33" s="1"/>
  <c r="P20" i="33"/>
  <c r="Q20" i="33"/>
  <c r="R20" i="33"/>
  <c r="S20" i="33"/>
  <c r="U20" i="33" s="1"/>
  <c r="T20" i="33"/>
  <c r="AB20" i="33"/>
  <c r="AD20" i="33"/>
  <c r="AF20" i="33" s="1"/>
  <c r="AE20" i="33"/>
  <c r="AE27" i="33" s="1"/>
  <c r="AE32" i="33" s="1"/>
  <c r="C21" i="33"/>
  <c r="N21" i="33" s="1"/>
  <c r="Y21" i="33" s="1"/>
  <c r="D21" i="33"/>
  <c r="O21" i="33" s="1"/>
  <c r="Z21" i="33" s="1"/>
  <c r="H21" i="33"/>
  <c r="J21" i="33" s="1"/>
  <c r="S21" i="33"/>
  <c r="AD21" i="33"/>
  <c r="AF21" i="33" s="1"/>
  <c r="C22" i="33"/>
  <c r="N22" i="33" s="1"/>
  <c r="Y22" i="33" s="1"/>
  <c r="D22" i="33"/>
  <c r="O22" i="33" s="1"/>
  <c r="Z22" i="33" s="1"/>
  <c r="H22" i="33"/>
  <c r="J22" i="33" s="1"/>
  <c r="S22" i="33"/>
  <c r="U22" i="33" s="1"/>
  <c r="AD22" i="33"/>
  <c r="AF22" i="33" s="1"/>
  <c r="C23" i="33"/>
  <c r="N23" i="33" s="1"/>
  <c r="Y23" i="33" s="1"/>
  <c r="D23" i="33"/>
  <c r="O23" i="33" s="1"/>
  <c r="Z23" i="33" s="1"/>
  <c r="H23" i="33"/>
  <c r="J23" i="33" s="1"/>
  <c r="S23" i="33"/>
  <c r="U23" i="33" s="1"/>
  <c r="AD23" i="33"/>
  <c r="AF23" i="33"/>
  <c r="C24" i="33"/>
  <c r="N24" i="33" s="1"/>
  <c r="Y24" i="33" s="1"/>
  <c r="D24" i="33"/>
  <c r="O24" i="33" s="1"/>
  <c r="Z24" i="33" s="1"/>
  <c r="H24" i="33"/>
  <c r="J24" i="33" s="1"/>
  <c r="S24" i="33"/>
  <c r="U24" i="33"/>
  <c r="AD24" i="33"/>
  <c r="AF24" i="33" s="1"/>
  <c r="C25" i="33"/>
  <c r="N25" i="33" s="1"/>
  <c r="Y25" i="33" s="1"/>
  <c r="D25" i="33"/>
  <c r="O25" i="33" s="1"/>
  <c r="Z25" i="33" s="1"/>
  <c r="H25" i="33"/>
  <c r="J25" i="33"/>
  <c r="S25" i="33"/>
  <c r="U25" i="33" s="1"/>
  <c r="AD25" i="33"/>
  <c r="AF25" i="33" s="1"/>
  <c r="C26" i="33"/>
  <c r="N26" i="33" s="1"/>
  <c r="Y26" i="33" s="1"/>
  <c r="D26" i="33"/>
  <c r="O26" i="33" s="1"/>
  <c r="Z26" i="33" s="1"/>
  <c r="H26" i="33"/>
  <c r="J26" i="33" s="1"/>
  <c r="S26" i="33"/>
  <c r="U26" i="33" s="1"/>
  <c r="AD26" i="33"/>
  <c r="AF26" i="33"/>
  <c r="C27" i="33"/>
  <c r="N27" i="33" s="1"/>
  <c r="Y27" i="33" s="1"/>
  <c r="D27" i="33"/>
  <c r="O27" i="33" s="1"/>
  <c r="Z27" i="33" s="1"/>
  <c r="P27" i="33"/>
  <c r="P32" i="33" s="1"/>
  <c r="Q27" i="33"/>
  <c r="Q32" i="33" s="1"/>
  <c r="R27" i="33"/>
  <c r="R32" i="33" s="1"/>
  <c r="R40" i="33" s="1"/>
  <c r="R43" i="33" s="1"/>
  <c r="R49" i="33" s="1"/>
  <c r="T27" i="33"/>
  <c r="T32" i="33" s="1"/>
  <c r="T40" i="33" s="1"/>
  <c r="T43" i="33" s="1"/>
  <c r="T49" i="33" s="1"/>
  <c r="AB27" i="33"/>
  <c r="AB32" i="33" s="1"/>
  <c r="AB40" i="33" s="1"/>
  <c r="AB43" i="33" s="1"/>
  <c r="AB49" i="33" s="1"/>
  <c r="C28" i="33"/>
  <c r="N28" i="33" s="1"/>
  <c r="Y28" i="33" s="1"/>
  <c r="D28" i="33"/>
  <c r="O28" i="33" s="1"/>
  <c r="Z28" i="33" s="1"/>
  <c r="H28" i="33"/>
  <c r="J28" i="33" s="1"/>
  <c r="S28" i="33"/>
  <c r="U28" i="33" s="1"/>
  <c r="AD28" i="33"/>
  <c r="AF28" i="33" s="1"/>
  <c r="C29" i="33"/>
  <c r="N29" i="33" s="1"/>
  <c r="Y29" i="33" s="1"/>
  <c r="D29" i="33"/>
  <c r="O29" i="33" s="1"/>
  <c r="Z29" i="33" s="1"/>
  <c r="H29" i="33"/>
  <c r="J29" i="33" s="1"/>
  <c r="S29" i="33"/>
  <c r="U29" i="33"/>
  <c r="AD29" i="33"/>
  <c r="AF29" i="33" s="1"/>
  <c r="C30" i="33"/>
  <c r="N30" i="33" s="1"/>
  <c r="Y30" i="33" s="1"/>
  <c r="D30" i="33"/>
  <c r="O30" i="33" s="1"/>
  <c r="Z30" i="33" s="1"/>
  <c r="H30" i="33"/>
  <c r="J30" i="33" s="1"/>
  <c r="S30" i="33"/>
  <c r="U30" i="33" s="1"/>
  <c r="AD30" i="33"/>
  <c r="AF30" i="33" s="1"/>
  <c r="C31" i="33"/>
  <c r="N31" i="33" s="1"/>
  <c r="Y31" i="33" s="1"/>
  <c r="D31" i="33"/>
  <c r="O31" i="33" s="1"/>
  <c r="Z31" i="33" s="1"/>
  <c r="H31" i="33"/>
  <c r="J31" i="33" s="1"/>
  <c r="S31" i="33"/>
  <c r="U31" i="33" s="1"/>
  <c r="AD31" i="33"/>
  <c r="AF31" i="33" s="1"/>
  <c r="C32" i="33"/>
  <c r="N32" i="33" s="1"/>
  <c r="Y32" i="33" s="1"/>
  <c r="D32" i="33"/>
  <c r="O32" i="33" s="1"/>
  <c r="Z32" i="33" s="1"/>
  <c r="C33" i="33"/>
  <c r="N33" i="33" s="1"/>
  <c r="Y33" i="33" s="1"/>
  <c r="D33" i="33"/>
  <c r="O33" i="33" s="1"/>
  <c r="Z33" i="33" s="1"/>
  <c r="H33" i="33"/>
  <c r="J33" i="33" s="1"/>
  <c r="S33" i="33"/>
  <c r="U33" i="33" s="1"/>
  <c r="AD33" i="33"/>
  <c r="AD39" i="33" s="1"/>
  <c r="AF39" i="33" s="1"/>
  <c r="C34" i="33"/>
  <c r="N34" i="33" s="1"/>
  <c r="Y34" i="33" s="1"/>
  <c r="D34" i="33"/>
  <c r="O34" i="33" s="1"/>
  <c r="Z34" i="33" s="1"/>
  <c r="H34" i="33"/>
  <c r="J34" i="33" s="1"/>
  <c r="S34" i="33"/>
  <c r="U34" i="33" s="1"/>
  <c r="AD34" i="33"/>
  <c r="AF34" i="33"/>
  <c r="C35" i="33"/>
  <c r="N35" i="33" s="1"/>
  <c r="Y35" i="33" s="1"/>
  <c r="D35" i="33"/>
  <c r="O35" i="33" s="1"/>
  <c r="Z35" i="33" s="1"/>
  <c r="H35" i="33"/>
  <c r="J35" i="33" s="1"/>
  <c r="S35" i="33"/>
  <c r="U35" i="33"/>
  <c r="AD35" i="33"/>
  <c r="AF35" i="33" s="1"/>
  <c r="C36" i="33"/>
  <c r="N36" i="33" s="1"/>
  <c r="Y36" i="33" s="1"/>
  <c r="D36" i="33"/>
  <c r="O36" i="33" s="1"/>
  <c r="Z36" i="33" s="1"/>
  <c r="H36" i="33"/>
  <c r="J36" i="33"/>
  <c r="S36" i="33"/>
  <c r="U36" i="33" s="1"/>
  <c r="AD36" i="33"/>
  <c r="AF36" i="33" s="1"/>
  <c r="C37" i="33"/>
  <c r="N37" i="33" s="1"/>
  <c r="Y37" i="33" s="1"/>
  <c r="D37" i="33"/>
  <c r="O37" i="33" s="1"/>
  <c r="Z37" i="33" s="1"/>
  <c r="H37" i="33"/>
  <c r="J37" i="33" s="1"/>
  <c r="S37" i="33"/>
  <c r="U37" i="33" s="1"/>
  <c r="AD37" i="33"/>
  <c r="AF37" i="33"/>
  <c r="C38" i="33"/>
  <c r="N38" i="33" s="1"/>
  <c r="Y38" i="33" s="1"/>
  <c r="D38" i="33"/>
  <c r="O38" i="33" s="1"/>
  <c r="Z38" i="33" s="1"/>
  <c r="H38" i="33"/>
  <c r="J38" i="33" s="1"/>
  <c r="S38" i="33"/>
  <c r="U38" i="33"/>
  <c r="AD38" i="33"/>
  <c r="AF38" i="33" s="1"/>
  <c r="C39" i="33"/>
  <c r="N39" i="33" s="1"/>
  <c r="Y39" i="33" s="1"/>
  <c r="D39" i="33"/>
  <c r="O39" i="33" s="1"/>
  <c r="Z39" i="33" s="1"/>
  <c r="E39" i="33"/>
  <c r="F39" i="33"/>
  <c r="G39" i="33"/>
  <c r="G40" i="33" s="1"/>
  <c r="G43" i="33" s="1"/>
  <c r="G49" i="33" s="1"/>
  <c r="I39" i="33"/>
  <c r="P39" i="33"/>
  <c r="P40" i="33" s="1"/>
  <c r="P43" i="33" s="1"/>
  <c r="P49" i="33" s="1"/>
  <c r="Q39" i="33"/>
  <c r="R39" i="33"/>
  <c r="T39" i="33"/>
  <c r="AA39" i="33"/>
  <c r="AB39" i="33"/>
  <c r="AC39" i="33"/>
  <c r="AE39" i="33"/>
  <c r="C40" i="33"/>
  <c r="N40" i="33" s="1"/>
  <c r="Y40" i="33" s="1"/>
  <c r="D40" i="33"/>
  <c r="O40" i="33" s="1"/>
  <c r="Z40" i="33" s="1"/>
  <c r="C41" i="33"/>
  <c r="N41" i="33" s="1"/>
  <c r="Y41" i="33" s="1"/>
  <c r="D41" i="33"/>
  <c r="O41" i="33" s="1"/>
  <c r="Z41" i="33" s="1"/>
  <c r="H41" i="33"/>
  <c r="J41" i="33"/>
  <c r="S41" i="33"/>
  <c r="U41" i="33" s="1"/>
  <c r="AD41" i="33"/>
  <c r="AF41" i="33" s="1"/>
  <c r="C42" i="33"/>
  <c r="N42" i="33" s="1"/>
  <c r="Y42" i="33" s="1"/>
  <c r="D42" i="33"/>
  <c r="O42" i="33" s="1"/>
  <c r="Z42" i="33" s="1"/>
  <c r="H42" i="33"/>
  <c r="J42" i="33" s="1"/>
  <c r="S42" i="33"/>
  <c r="U42" i="33" s="1"/>
  <c r="AD42" i="33"/>
  <c r="AF42" i="33"/>
  <c r="C43" i="33"/>
  <c r="N43" i="33" s="1"/>
  <c r="Y43" i="33" s="1"/>
  <c r="D43" i="33"/>
  <c r="O43" i="33" s="1"/>
  <c r="Z43" i="33" s="1"/>
  <c r="C45" i="33"/>
  <c r="N45" i="33"/>
  <c r="Y45" i="33"/>
  <c r="C4" i="32"/>
  <c r="N4" i="32"/>
  <c r="Y4" i="32"/>
  <c r="C6" i="32"/>
  <c r="N6" i="32"/>
  <c r="Y6" i="32"/>
  <c r="D7" i="32"/>
  <c r="O7" i="32"/>
  <c r="Z7" i="32"/>
  <c r="D9" i="32"/>
  <c r="O9" i="32"/>
  <c r="Z9" i="32"/>
  <c r="C11" i="32"/>
  <c r="N11" i="32" s="1"/>
  <c r="Y11" i="32" s="1"/>
  <c r="D11" i="32"/>
  <c r="O11" i="32" s="1"/>
  <c r="Z11" i="32" s="1"/>
  <c r="H11" i="32"/>
  <c r="J11" i="32"/>
  <c r="S11" i="32"/>
  <c r="U11" i="32" s="1"/>
  <c r="AD11" i="32"/>
  <c r="AD17" i="32" s="1"/>
  <c r="AF17" i="32" s="1"/>
  <c r="C12" i="32"/>
  <c r="N12" i="32" s="1"/>
  <c r="Y12" i="32" s="1"/>
  <c r="D12" i="32"/>
  <c r="O12" i="32" s="1"/>
  <c r="Z12" i="32" s="1"/>
  <c r="H12" i="32"/>
  <c r="H17" i="32" s="1"/>
  <c r="J17" i="32" s="1"/>
  <c r="S12" i="32"/>
  <c r="S17" i="32" s="1"/>
  <c r="U17" i="32" s="1"/>
  <c r="AD12" i="32"/>
  <c r="AF12" i="32"/>
  <c r="C13" i="32"/>
  <c r="N13" i="32" s="1"/>
  <c r="Y13" i="32" s="1"/>
  <c r="D13" i="32"/>
  <c r="O13" i="32" s="1"/>
  <c r="Z13" i="32" s="1"/>
  <c r="H13" i="32"/>
  <c r="J13" i="32" s="1"/>
  <c r="S13" i="32"/>
  <c r="U13" i="32"/>
  <c r="AD13" i="32"/>
  <c r="AF13" i="32" s="1"/>
  <c r="C14" i="32"/>
  <c r="N14" i="32" s="1"/>
  <c r="Y14" i="32" s="1"/>
  <c r="D14" i="32"/>
  <c r="O14" i="32" s="1"/>
  <c r="Z14" i="32" s="1"/>
  <c r="H14" i="32"/>
  <c r="J14" i="32"/>
  <c r="S14" i="32"/>
  <c r="U14" i="32"/>
  <c r="AD14" i="32"/>
  <c r="AF14" i="32" s="1"/>
  <c r="C15" i="32"/>
  <c r="N15" i="32" s="1"/>
  <c r="Y15" i="32" s="1"/>
  <c r="D15" i="32"/>
  <c r="O15" i="32" s="1"/>
  <c r="Z15" i="32" s="1"/>
  <c r="H15" i="32"/>
  <c r="J15" i="32" s="1"/>
  <c r="S15" i="32"/>
  <c r="U15" i="32" s="1"/>
  <c r="AD15" i="32"/>
  <c r="AF15" i="32"/>
  <c r="C16" i="32"/>
  <c r="N16" i="32" s="1"/>
  <c r="Y16" i="32" s="1"/>
  <c r="D16" i="32"/>
  <c r="O16" i="32" s="1"/>
  <c r="Z16" i="32" s="1"/>
  <c r="H16" i="32"/>
  <c r="J16" i="32" s="1"/>
  <c r="S16" i="32"/>
  <c r="U16" i="32"/>
  <c r="AD16" i="32"/>
  <c r="AF16" i="32" s="1"/>
  <c r="C17" i="32"/>
  <c r="N17" i="32" s="1"/>
  <c r="Y17" i="32" s="1"/>
  <c r="D17" i="32"/>
  <c r="O17" i="32" s="1"/>
  <c r="Z17" i="32" s="1"/>
  <c r="E17" i="32"/>
  <c r="F17" i="32"/>
  <c r="G17" i="32"/>
  <c r="I17" i="32"/>
  <c r="P17" i="32"/>
  <c r="Q17" i="32"/>
  <c r="R17" i="32"/>
  <c r="T17" i="32"/>
  <c r="AA17" i="32"/>
  <c r="AB17" i="32"/>
  <c r="AC17" i="32"/>
  <c r="AE17" i="32"/>
  <c r="C18" i="32"/>
  <c r="N18" i="32" s="1"/>
  <c r="Y18" i="32" s="1"/>
  <c r="D18" i="32"/>
  <c r="O18" i="32" s="1"/>
  <c r="Z18" i="32" s="1"/>
  <c r="H18" i="32"/>
  <c r="J18" i="32" s="1"/>
  <c r="S18" i="32"/>
  <c r="S24" i="32" s="1"/>
  <c r="U24" i="32" s="1"/>
  <c r="AD18" i="32"/>
  <c r="AF18" i="32"/>
  <c r="C19" i="32"/>
  <c r="N19" i="32" s="1"/>
  <c r="Y19" i="32" s="1"/>
  <c r="D19" i="32"/>
  <c r="O19" i="32" s="1"/>
  <c r="Z19" i="32" s="1"/>
  <c r="H19" i="32"/>
  <c r="J19" i="32" s="1"/>
  <c r="S19" i="32"/>
  <c r="U19" i="32"/>
  <c r="AD19" i="32"/>
  <c r="AF19" i="32" s="1"/>
  <c r="C20" i="32"/>
  <c r="N20" i="32" s="1"/>
  <c r="Y20" i="32" s="1"/>
  <c r="D20" i="32"/>
  <c r="O20" i="32" s="1"/>
  <c r="Z20" i="32" s="1"/>
  <c r="H20" i="32"/>
  <c r="J20" i="32"/>
  <c r="S20" i="32"/>
  <c r="U20" i="32"/>
  <c r="AD20" i="32"/>
  <c r="AF20" i="32" s="1"/>
  <c r="C21" i="32"/>
  <c r="N21" i="32" s="1"/>
  <c r="Y21" i="32" s="1"/>
  <c r="D21" i="32"/>
  <c r="O21" i="32" s="1"/>
  <c r="Z21" i="32" s="1"/>
  <c r="H21" i="32"/>
  <c r="J21" i="32" s="1"/>
  <c r="S21" i="32"/>
  <c r="U21" i="32" s="1"/>
  <c r="AD21" i="32"/>
  <c r="AF21" i="32"/>
  <c r="C22" i="32"/>
  <c r="N22" i="32" s="1"/>
  <c r="Y22" i="32" s="1"/>
  <c r="D22" i="32"/>
  <c r="O22" i="32" s="1"/>
  <c r="Z22" i="32" s="1"/>
  <c r="H22" i="32"/>
  <c r="J22" i="32" s="1"/>
  <c r="S22" i="32"/>
  <c r="U22" i="32"/>
  <c r="AD22" i="32"/>
  <c r="AF22" i="32" s="1"/>
  <c r="C23" i="32"/>
  <c r="N23" i="32" s="1"/>
  <c r="Y23" i="32" s="1"/>
  <c r="D23" i="32"/>
  <c r="O23" i="32" s="1"/>
  <c r="Z23" i="32" s="1"/>
  <c r="H23" i="32"/>
  <c r="J23" i="32"/>
  <c r="S23" i="32"/>
  <c r="U23" i="32"/>
  <c r="AD23" i="32"/>
  <c r="AF23" i="32" s="1"/>
  <c r="C24" i="32"/>
  <c r="N24" i="32" s="1"/>
  <c r="Y24" i="32" s="1"/>
  <c r="D24" i="32"/>
  <c r="O24" i="32" s="1"/>
  <c r="Z24" i="32" s="1"/>
  <c r="E24" i="32"/>
  <c r="F24" i="32"/>
  <c r="G24" i="32"/>
  <c r="H24" i="32"/>
  <c r="J24" i="32" s="1"/>
  <c r="I24" i="32"/>
  <c r="P24" i="32"/>
  <c r="Q24" i="32"/>
  <c r="R24" i="32"/>
  <c r="T24" i="32"/>
  <c r="AA24" i="32"/>
  <c r="AB24" i="32"/>
  <c r="AC24" i="32"/>
  <c r="AD24" i="32"/>
  <c r="AF24" i="32" s="1"/>
  <c r="AE24" i="32"/>
  <c r="C25" i="32"/>
  <c r="N25" i="32" s="1"/>
  <c r="Y25" i="32" s="1"/>
  <c r="D25" i="32"/>
  <c r="O25" i="32" s="1"/>
  <c r="Z25" i="32" s="1"/>
  <c r="H25" i="32"/>
  <c r="J25" i="32" s="1"/>
  <c r="S25" i="32"/>
  <c r="S30" i="32" s="1"/>
  <c r="U30" i="32" s="1"/>
  <c r="U25" i="32"/>
  <c r="AD25" i="32"/>
  <c r="AF25" i="32" s="1"/>
  <c r="C26" i="32"/>
  <c r="N26" i="32" s="1"/>
  <c r="Y26" i="32" s="1"/>
  <c r="D26" i="32"/>
  <c r="O26" i="32" s="1"/>
  <c r="Z26" i="32" s="1"/>
  <c r="H26" i="32"/>
  <c r="J26" i="32"/>
  <c r="S26" i="32"/>
  <c r="U26" i="32"/>
  <c r="AD26" i="32"/>
  <c r="AF26" i="32" s="1"/>
  <c r="C27" i="32"/>
  <c r="N27" i="32" s="1"/>
  <c r="Y27" i="32" s="1"/>
  <c r="D27" i="32"/>
  <c r="O27" i="32" s="1"/>
  <c r="Z27" i="32" s="1"/>
  <c r="H27" i="32"/>
  <c r="J27" i="32" s="1"/>
  <c r="S27" i="32"/>
  <c r="U27" i="32" s="1"/>
  <c r="AD27" i="32"/>
  <c r="AF27" i="32"/>
  <c r="C28" i="32"/>
  <c r="N28" i="32" s="1"/>
  <c r="Y28" i="32" s="1"/>
  <c r="D28" i="32"/>
  <c r="O28" i="32" s="1"/>
  <c r="Z28" i="32" s="1"/>
  <c r="H28" i="32"/>
  <c r="J28" i="32" s="1"/>
  <c r="S28" i="32"/>
  <c r="U28" i="32"/>
  <c r="AD28" i="32"/>
  <c r="AF28" i="32" s="1"/>
  <c r="C29" i="32"/>
  <c r="N29" i="32" s="1"/>
  <c r="Y29" i="32" s="1"/>
  <c r="D29" i="32"/>
  <c r="O29" i="32" s="1"/>
  <c r="Z29" i="32" s="1"/>
  <c r="H29" i="32"/>
  <c r="J29" i="32"/>
  <c r="S29" i="32"/>
  <c r="U29" i="32"/>
  <c r="AD29" i="32"/>
  <c r="AF29" i="32" s="1"/>
  <c r="C30" i="32"/>
  <c r="N30" i="32" s="1"/>
  <c r="Y30" i="32" s="1"/>
  <c r="D30" i="32"/>
  <c r="O30" i="32" s="1"/>
  <c r="Z30" i="32" s="1"/>
  <c r="E30" i="32"/>
  <c r="E37" i="32" s="1"/>
  <c r="E38" i="32" s="1"/>
  <c r="E50" i="32" s="1"/>
  <c r="E56" i="32" s="1"/>
  <c r="F30" i="32"/>
  <c r="G30" i="32"/>
  <c r="H30" i="32"/>
  <c r="J30" i="32" s="1"/>
  <c r="I30" i="32"/>
  <c r="P30" i="32"/>
  <c r="Q30" i="32"/>
  <c r="Q37" i="32" s="1"/>
  <c r="Q38" i="32" s="1"/>
  <c r="R30" i="32"/>
  <c r="T30" i="32"/>
  <c r="AA30" i="32"/>
  <c r="AB30" i="32"/>
  <c r="AB37" i="32" s="1"/>
  <c r="AB38" i="32" s="1"/>
  <c r="AC30" i="32"/>
  <c r="AE30" i="32"/>
  <c r="AE37" i="32" s="1"/>
  <c r="AE38" i="32" s="1"/>
  <c r="C31" i="32"/>
  <c r="N31" i="32" s="1"/>
  <c r="Y31" i="32" s="1"/>
  <c r="D31" i="32"/>
  <c r="O31" i="32" s="1"/>
  <c r="Z31" i="32" s="1"/>
  <c r="H31" i="32"/>
  <c r="J31" i="32"/>
  <c r="S31" i="32"/>
  <c r="U31" i="32"/>
  <c r="AD31" i="32"/>
  <c r="AF31" i="32"/>
  <c r="C32" i="32"/>
  <c r="N32" i="32" s="1"/>
  <c r="Y32" i="32" s="1"/>
  <c r="D32" i="32"/>
  <c r="O32" i="32" s="1"/>
  <c r="Z32" i="32" s="1"/>
  <c r="H32" i="32"/>
  <c r="J32" i="32"/>
  <c r="S32" i="32"/>
  <c r="U32" i="32" s="1"/>
  <c r="AD32" i="32"/>
  <c r="AF32" i="32"/>
  <c r="C33" i="32"/>
  <c r="N33" i="32" s="1"/>
  <c r="Y33" i="32" s="1"/>
  <c r="D33" i="32"/>
  <c r="O33" i="32" s="1"/>
  <c r="Z33" i="32" s="1"/>
  <c r="H33" i="32"/>
  <c r="J33" i="32"/>
  <c r="S33" i="32"/>
  <c r="U33" i="32" s="1"/>
  <c r="AD33" i="32"/>
  <c r="AF33" i="32"/>
  <c r="C34" i="32"/>
  <c r="N34" i="32" s="1"/>
  <c r="Y34" i="32" s="1"/>
  <c r="D34" i="32"/>
  <c r="O34" i="32" s="1"/>
  <c r="Z34" i="32" s="1"/>
  <c r="H34" i="32"/>
  <c r="J34" i="32"/>
  <c r="S34" i="32"/>
  <c r="U34" i="32"/>
  <c r="AD34" i="32"/>
  <c r="AF34" i="32"/>
  <c r="C35" i="32"/>
  <c r="N35" i="32" s="1"/>
  <c r="Y35" i="32" s="1"/>
  <c r="D35" i="32"/>
  <c r="O35" i="32" s="1"/>
  <c r="Z35" i="32" s="1"/>
  <c r="H35" i="32"/>
  <c r="J35" i="32"/>
  <c r="S35" i="32"/>
  <c r="U35" i="32" s="1"/>
  <c r="AD35" i="32"/>
  <c r="AF35" i="32"/>
  <c r="C36" i="32"/>
  <c r="N36" i="32" s="1"/>
  <c r="Y36" i="32" s="1"/>
  <c r="D36" i="32"/>
  <c r="O36" i="32" s="1"/>
  <c r="Z36" i="32" s="1"/>
  <c r="E36" i="32"/>
  <c r="F36" i="32"/>
  <c r="G36" i="32"/>
  <c r="G37" i="32" s="1"/>
  <c r="G38" i="32" s="1"/>
  <c r="H36" i="32"/>
  <c r="I36" i="32"/>
  <c r="I37" i="32" s="1"/>
  <c r="I38" i="32" s="1"/>
  <c r="I50" i="32" s="1"/>
  <c r="I56" i="32" s="1"/>
  <c r="J36" i="32"/>
  <c r="P36" i="32"/>
  <c r="P37" i="32" s="1"/>
  <c r="P38" i="32" s="1"/>
  <c r="Q36" i="32"/>
  <c r="R36" i="32"/>
  <c r="R37" i="32" s="1"/>
  <c r="R38" i="32" s="1"/>
  <c r="R50" i="32" s="1"/>
  <c r="R56" i="32" s="1"/>
  <c r="T36" i="32"/>
  <c r="AA36" i="32"/>
  <c r="AB36" i="32"/>
  <c r="AC36" i="32"/>
  <c r="AC37" i="32" s="1"/>
  <c r="AC38" i="32" s="1"/>
  <c r="AC50" i="32" s="1"/>
  <c r="AC56" i="32" s="1"/>
  <c r="AD36" i="32"/>
  <c r="AE36" i="32"/>
  <c r="AF36" i="32"/>
  <c r="C37" i="32"/>
  <c r="N37" i="32" s="1"/>
  <c r="Y37" i="32" s="1"/>
  <c r="D37" i="32"/>
  <c r="O37" i="32" s="1"/>
  <c r="Z37" i="32" s="1"/>
  <c r="T37" i="32"/>
  <c r="AA37" i="32"/>
  <c r="AA38" i="32" s="1"/>
  <c r="AA50" i="32" s="1"/>
  <c r="AA56" i="32" s="1"/>
  <c r="C38" i="32"/>
  <c r="N38" i="32" s="1"/>
  <c r="Y38" i="32" s="1"/>
  <c r="D38" i="32"/>
  <c r="O38" i="32" s="1"/>
  <c r="Z38" i="32" s="1"/>
  <c r="T38" i="32"/>
  <c r="C39" i="32"/>
  <c r="N39" i="32" s="1"/>
  <c r="Y39" i="32" s="1"/>
  <c r="D39" i="32"/>
  <c r="O39" i="32" s="1"/>
  <c r="Z39" i="32" s="1"/>
  <c r="H39" i="32"/>
  <c r="J39" i="32"/>
  <c r="S39" i="32"/>
  <c r="S44" i="32" s="1"/>
  <c r="U44" i="32" s="1"/>
  <c r="U39" i="32"/>
  <c r="AD39" i="32"/>
  <c r="AF39" i="32"/>
  <c r="C40" i="32"/>
  <c r="N40" i="32" s="1"/>
  <c r="Y40" i="32" s="1"/>
  <c r="D40" i="32"/>
  <c r="O40" i="32" s="1"/>
  <c r="Z40" i="32" s="1"/>
  <c r="H40" i="32"/>
  <c r="J40" i="32"/>
  <c r="S40" i="32"/>
  <c r="U40" i="32" s="1"/>
  <c r="AD40" i="32"/>
  <c r="AF40" i="32"/>
  <c r="C41" i="32"/>
  <c r="N41" i="32" s="1"/>
  <c r="Y41" i="32" s="1"/>
  <c r="D41" i="32"/>
  <c r="O41" i="32" s="1"/>
  <c r="Z41" i="32" s="1"/>
  <c r="H41" i="32"/>
  <c r="J41" i="32"/>
  <c r="S41" i="32"/>
  <c r="U41" i="32" s="1"/>
  <c r="AD41" i="32"/>
  <c r="AF41" i="32"/>
  <c r="C42" i="32"/>
  <c r="N42" i="32" s="1"/>
  <c r="Y42" i="32" s="1"/>
  <c r="D42" i="32"/>
  <c r="O42" i="32" s="1"/>
  <c r="Z42" i="32" s="1"/>
  <c r="H42" i="32"/>
  <c r="J42" i="32"/>
  <c r="S42" i="32"/>
  <c r="U42" i="32"/>
  <c r="AD42" i="32"/>
  <c r="AF42" i="32"/>
  <c r="C43" i="32"/>
  <c r="N43" i="32" s="1"/>
  <c r="Y43" i="32" s="1"/>
  <c r="D43" i="32"/>
  <c r="O43" i="32" s="1"/>
  <c r="Z43" i="32" s="1"/>
  <c r="H43" i="32"/>
  <c r="J43" i="32"/>
  <c r="S43" i="32"/>
  <c r="U43" i="32" s="1"/>
  <c r="AD43" i="32"/>
  <c r="AF43" i="32"/>
  <c r="C44" i="32"/>
  <c r="N44" i="32" s="1"/>
  <c r="Y44" i="32" s="1"/>
  <c r="D44" i="32"/>
  <c r="O44" i="32" s="1"/>
  <c r="Z44" i="32" s="1"/>
  <c r="E44" i="32"/>
  <c r="F44" i="32"/>
  <c r="G44" i="32"/>
  <c r="G50" i="32" s="1"/>
  <c r="G56" i="32" s="1"/>
  <c r="H44" i="32"/>
  <c r="J44" i="32" s="1"/>
  <c r="I44" i="32"/>
  <c r="P44" i="32"/>
  <c r="P50" i="32" s="1"/>
  <c r="P56" i="32" s="1"/>
  <c r="Q44" i="32"/>
  <c r="Q50" i="32" s="1"/>
  <c r="Q56" i="32" s="1"/>
  <c r="R44" i="32"/>
  <c r="T44" i="32"/>
  <c r="AA44" i="32"/>
  <c r="AB44" i="32"/>
  <c r="AC44" i="32"/>
  <c r="AD44" i="32"/>
  <c r="AE44" i="32"/>
  <c r="C45" i="32"/>
  <c r="N45" i="32" s="1"/>
  <c r="Y45" i="32" s="1"/>
  <c r="D45" i="32"/>
  <c r="O45" i="32" s="1"/>
  <c r="Z45" i="32" s="1"/>
  <c r="H45" i="32"/>
  <c r="J45" i="32" s="1"/>
  <c r="S45" i="32"/>
  <c r="U45" i="32"/>
  <c r="AD45" i="32"/>
  <c r="AF45" i="32"/>
  <c r="C46" i="32"/>
  <c r="N46" i="32" s="1"/>
  <c r="Y46" i="32" s="1"/>
  <c r="D46" i="32"/>
  <c r="O46" i="32" s="1"/>
  <c r="Z46" i="32" s="1"/>
  <c r="H46" i="32"/>
  <c r="J46" i="32"/>
  <c r="S46" i="32"/>
  <c r="U46" i="32" s="1"/>
  <c r="AD46" i="32"/>
  <c r="AF46" i="32" s="1"/>
  <c r="C47" i="32"/>
  <c r="N47" i="32" s="1"/>
  <c r="Y47" i="32" s="1"/>
  <c r="D47" i="32"/>
  <c r="O47" i="32" s="1"/>
  <c r="Z47" i="32" s="1"/>
  <c r="H47" i="32"/>
  <c r="J47" i="32"/>
  <c r="S47" i="32"/>
  <c r="U47" i="32" s="1"/>
  <c r="AD47" i="32"/>
  <c r="AF47" i="32"/>
  <c r="C48" i="32"/>
  <c r="N48" i="32" s="1"/>
  <c r="Y48" i="32" s="1"/>
  <c r="D48" i="32"/>
  <c r="O48" i="32" s="1"/>
  <c r="Z48" i="32" s="1"/>
  <c r="H48" i="32"/>
  <c r="J48" i="32" s="1"/>
  <c r="S48" i="32"/>
  <c r="U48" i="32"/>
  <c r="AD48" i="32"/>
  <c r="AF48" i="32"/>
  <c r="C49" i="32"/>
  <c r="N49" i="32" s="1"/>
  <c r="Y49" i="32" s="1"/>
  <c r="D49" i="32"/>
  <c r="O49" i="32" s="1"/>
  <c r="Z49" i="32" s="1"/>
  <c r="H49" i="32"/>
  <c r="J49" i="32"/>
  <c r="S49" i="32"/>
  <c r="U49" i="32" s="1"/>
  <c r="AD49" i="32"/>
  <c r="AF49" i="32" s="1"/>
  <c r="C50" i="32"/>
  <c r="N50" i="32" s="1"/>
  <c r="Y50" i="32" s="1"/>
  <c r="D50" i="32"/>
  <c r="O50" i="32" s="1"/>
  <c r="Z50" i="32" s="1"/>
  <c r="T50" i="32"/>
  <c r="T56" i="32" s="1"/>
  <c r="C52" i="32"/>
  <c r="N52" i="32"/>
  <c r="Y52" i="32"/>
  <c r="C4" i="30"/>
  <c r="C5" i="30"/>
  <c r="D6" i="30"/>
  <c r="D7" i="30"/>
  <c r="E11" i="30"/>
  <c r="E20" i="30" s="1"/>
  <c r="F11" i="30"/>
  <c r="G11" i="30"/>
  <c r="H11" i="30"/>
  <c r="I11" i="30"/>
  <c r="J11" i="30"/>
  <c r="K11" i="30"/>
  <c r="K20" i="30" s="1"/>
  <c r="L11" i="30"/>
  <c r="L20" i="30" s="1"/>
  <c r="E14" i="30"/>
  <c r="F14" i="30"/>
  <c r="F20" i="30" s="1"/>
  <c r="G14" i="30"/>
  <c r="H14" i="30"/>
  <c r="I14" i="30"/>
  <c r="J14" i="30"/>
  <c r="K14" i="30"/>
  <c r="L14" i="30"/>
  <c r="E17" i="30"/>
  <c r="F17" i="30"/>
  <c r="G17" i="30"/>
  <c r="H17" i="30"/>
  <c r="I17" i="30"/>
  <c r="J17" i="30"/>
  <c r="K17" i="30"/>
  <c r="L17" i="30"/>
  <c r="E18" i="30"/>
  <c r="F18" i="30"/>
  <c r="G18" i="30"/>
  <c r="H18" i="30"/>
  <c r="I18" i="30"/>
  <c r="J18" i="30"/>
  <c r="K18" i="30"/>
  <c r="L18" i="30"/>
  <c r="E19" i="30"/>
  <c r="E23" i="30" s="1"/>
  <c r="F19" i="30"/>
  <c r="F23" i="30" s="1"/>
  <c r="G19" i="30"/>
  <c r="G23" i="30" s="1"/>
  <c r="H19" i="30"/>
  <c r="I19" i="30"/>
  <c r="I23" i="30" s="1"/>
  <c r="J19" i="30"/>
  <c r="K19" i="30"/>
  <c r="L19" i="30"/>
  <c r="G20" i="30"/>
  <c r="H20" i="30"/>
  <c r="I20" i="30"/>
  <c r="J20" i="30"/>
  <c r="H23" i="30"/>
  <c r="J23" i="30"/>
  <c r="K23" i="30"/>
  <c r="L23" i="30"/>
  <c r="C27" i="30"/>
  <c r="E29" i="30"/>
  <c r="F29" i="30"/>
  <c r="G29" i="30"/>
  <c r="H29" i="30"/>
  <c r="I29" i="30"/>
  <c r="J29" i="30"/>
  <c r="K29" i="30"/>
  <c r="L29" i="30"/>
  <c r="C4" i="29"/>
  <c r="C5" i="29"/>
  <c r="D6" i="29"/>
  <c r="D7" i="29"/>
  <c r="F16" i="29"/>
  <c r="F22" i="29" s="1"/>
  <c r="G16" i="29"/>
  <c r="G22" i="29" s="1"/>
  <c r="H16" i="29"/>
  <c r="H22" i="29" s="1"/>
  <c r="I16" i="29"/>
  <c r="J16" i="29"/>
  <c r="J22" i="29" s="1"/>
  <c r="K16" i="29"/>
  <c r="K22" i="29" s="1"/>
  <c r="L16" i="29"/>
  <c r="M16" i="29"/>
  <c r="M22" i="29" s="1"/>
  <c r="C18" i="29"/>
  <c r="I22" i="29"/>
  <c r="L22" i="29"/>
  <c r="C4" i="28"/>
  <c r="C5" i="28"/>
  <c r="D6" i="28"/>
  <c r="D7" i="28"/>
  <c r="C9" i="28"/>
  <c r="D9" i="28"/>
  <c r="C10" i="28"/>
  <c r="D10" i="28"/>
  <c r="C11" i="28"/>
  <c r="D11" i="28"/>
  <c r="C12" i="28"/>
  <c r="D12" i="28"/>
  <c r="C13" i="28"/>
  <c r="D13" i="28"/>
  <c r="C14" i="28"/>
  <c r="D14" i="28"/>
  <c r="C15" i="28"/>
  <c r="D15" i="28"/>
  <c r="F15" i="28"/>
  <c r="G15" i="28"/>
  <c r="H15" i="28"/>
  <c r="I15" i="28"/>
  <c r="J15" i="28"/>
  <c r="K15" i="28"/>
  <c r="L15" i="28"/>
  <c r="M15" i="28"/>
  <c r="N15" i="28"/>
  <c r="O15" i="28"/>
  <c r="P15" i="28"/>
  <c r="Q15" i="28"/>
  <c r="R15" i="28"/>
  <c r="S15" i="28"/>
  <c r="T15" i="28"/>
  <c r="U15" i="28"/>
  <c r="V15" i="28"/>
  <c r="W15" i="28"/>
  <c r="X15" i="28"/>
  <c r="Y15" i="28"/>
  <c r="Z15" i="28"/>
  <c r="AA15" i="28"/>
  <c r="AB15" i="28"/>
  <c r="AC15" i="28"/>
  <c r="AD15" i="28"/>
  <c r="AE15" i="28"/>
  <c r="AF15" i="28"/>
  <c r="AG15" i="28"/>
  <c r="AH15" i="28"/>
  <c r="AI15" i="28"/>
  <c r="AJ15" i="28"/>
  <c r="AK15" i="28"/>
  <c r="AL15" i="28"/>
  <c r="AM15" i="28"/>
  <c r="AN15" i="28"/>
  <c r="AO15" i="28"/>
  <c r="AP15" i="28"/>
  <c r="AQ15" i="28"/>
  <c r="AR15" i="28"/>
  <c r="AS15" i="28"/>
  <c r="AT15" i="28"/>
  <c r="AU15" i="28"/>
  <c r="AV15" i="28"/>
  <c r="AW15" i="28"/>
  <c r="AX15" i="28"/>
  <c r="AY15" i="28"/>
  <c r="AZ15" i="28"/>
  <c r="BA15" i="28"/>
  <c r="BB15" i="28"/>
  <c r="BC15" i="28"/>
  <c r="BD15" i="28"/>
  <c r="BE15" i="28"/>
  <c r="BF15" i="28"/>
  <c r="BG15" i="28"/>
  <c r="BH15" i="28"/>
  <c r="BI15" i="28"/>
  <c r="BJ15" i="28"/>
  <c r="BK15" i="28"/>
  <c r="BL15" i="28"/>
  <c r="BM15" i="28"/>
  <c r="BN15" i="28"/>
  <c r="BO15" i="28"/>
  <c r="BP15" i="28"/>
  <c r="BQ15" i="28"/>
  <c r="BR15" i="28"/>
  <c r="BS15" i="28"/>
  <c r="BT15" i="28"/>
  <c r="BU15" i="28"/>
  <c r="BV15" i="28"/>
  <c r="BW15" i="28"/>
  <c r="BX15" i="28"/>
  <c r="BY15" i="28"/>
  <c r="BZ15" i="28"/>
  <c r="CA15" i="28"/>
  <c r="CB15" i="28"/>
  <c r="CC15" i="28"/>
  <c r="CD15" i="28"/>
  <c r="CE15" i="28"/>
  <c r="CF15" i="28"/>
  <c r="CG15" i="28"/>
  <c r="CH15" i="28"/>
  <c r="CI15" i="28"/>
  <c r="CJ15" i="28"/>
  <c r="CK15" i="28"/>
  <c r="C16" i="28"/>
  <c r="D16" i="28"/>
  <c r="A68" i="6" s="1"/>
  <c r="C17" i="28"/>
  <c r="D17" i="28"/>
  <c r="A69" i="6" s="1"/>
  <c r="C18" i="28"/>
  <c r="D18" i="28"/>
  <c r="A70" i="6" s="1"/>
  <c r="C20" i="28"/>
  <c r="D20" i="28"/>
  <c r="C21" i="28"/>
  <c r="D21" i="28"/>
  <c r="C22" i="28"/>
  <c r="D22" i="28"/>
  <c r="C23" i="28"/>
  <c r="C86" i="28" s="1"/>
  <c r="D23" i="28"/>
  <c r="F23" i="28"/>
  <c r="G23" i="28"/>
  <c r="H23" i="28"/>
  <c r="I23" i="28"/>
  <c r="J23" i="28"/>
  <c r="K23" i="28"/>
  <c r="L23" i="28"/>
  <c r="M23" i="28"/>
  <c r="N23" i="28"/>
  <c r="O23" i="28"/>
  <c r="P23" i="28"/>
  <c r="Q23" i="28"/>
  <c r="R23" i="28"/>
  <c r="S23" i="28"/>
  <c r="T23" i="28"/>
  <c r="U23" i="28"/>
  <c r="V23" i="28"/>
  <c r="W23" i="28"/>
  <c r="X23" i="28"/>
  <c r="Y23" i="28"/>
  <c r="Z23" i="28"/>
  <c r="AA23" i="28"/>
  <c r="AB23" i="28"/>
  <c r="AC23" i="28"/>
  <c r="AD23" i="28"/>
  <c r="AE23" i="28"/>
  <c r="AF23" i="28"/>
  <c r="AG23" i="28"/>
  <c r="AH23" i="28"/>
  <c r="AI23" i="28"/>
  <c r="AJ23" i="28"/>
  <c r="AK23" i="28"/>
  <c r="AL23" i="28"/>
  <c r="AM23" i="28"/>
  <c r="AN23" i="28"/>
  <c r="AO23" i="28"/>
  <c r="AP23" i="28"/>
  <c r="AQ23" i="28"/>
  <c r="AR23" i="28"/>
  <c r="AS23" i="28"/>
  <c r="AT23" i="28"/>
  <c r="AU23" i="28"/>
  <c r="AV23" i="28"/>
  <c r="AW23" i="28"/>
  <c r="AX23" i="28"/>
  <c r="AY23" i="28"/>
  <c r="AZ23" i="28"/>
  <c r="BA23" i="28"/>
  <c r="BA86" i="28" s="1"/>
  <c r="BA108" i="28" s="1"/>
  <c r="BB23" i="28"/>
  <c r="BB86" i="28" s="1"/>
  <c r="BB108" i="28" s="1"/>
  <c r="BC23" i="28"/>
  <c r="BC86" i="28" s="1"/>
  <c r="BC108" i="28" s="1"/>
  <c r="BD23" i="28"/>
  <c r="BD86" i="28" s="1"/>
  <c r="BD108" i="28" s="1"/>
  <c r="BE23" i="28"/>
  <c r="BE86" i="28" s="1"/>
  <c r="BE108" i="28" s="1"/>
  <c r="BF23" i="28"/>
  <c r="BF86" i="28" s="1"/>
  <c r="BF108" i="28" s="1"/>
  <c r="BG23" i="28"/>
  <c r="BG86" i="28" s="1"/>
  <c r="BG108" i="28" s="1"/>
  <c r="BH23" i="28"/>
  <c r="BH86" i="28" s="1"/>
  <c r="BH108" i="28" s="1"/>
  <c r="BI23" i="28"/>
  <c r="BI86" i="28" s="1"/>
  <c r="BI108" i="28" s="1"/>
  <c r="BJ23" i="28"/>
  <c r="BJ86" i="28" s="1"/>
  <c r="BJ108" i="28" s="1"/>
  <c r="BK23" i="28"/>
  <c r="BK86" i="28" s="1"/>
  <c r="BK108" i="28" s="1"/>
  <c r="BL23" i="28"/>
  <c r="BL86" i="28" s="1"/>
  <c r="BL108" i="28" s="1"/>
  <c r="BM23" i="28"/>
  <c r="BM86" i="28" s="1"/>
  <c r="BM108" i="28" s="1"/>
  <c r="BN23" i="28"/>
  <c r="BN86" i="28" s="1"/>
  <c r="BN108" i="28" s="1"/>
  <c r="BO23" i="28"/>
  <c r="BO86" i="28" s="1"/>
  <c r="BO108" i="28" s="1"/>
  <c r="BP23" i="28"/>
  <c r="BP86" i="28" s="1"/>
  <c r="BP108" i="28" s="1"/>
  <c r="BQ23" i="28"/>
  <c r="BQ86" i="28" s="1"/>
  <c r="BQ108" i="28" s="1"/>
  <c r="BR23" i="28"/>
  <c r="BR86" i="28" s="1"/>
  <c r="BR108" i="28" s="1"/>
  <c r="BS23" i="28"/>
  <c r="BS86" i="28" s="1"/>
  <c r="BS108" i="28" s="1"/>
  <c r="BT23" i="28"/>
  <c r="BT86" i="28" s="1"/>
  <c r="BT108" i="28" s="1"/>
  <c r="BU23" i="28"/>
  <c r="BU86" i="28" s="1"/>
  <c r="BU108" i="28" s="1"/>
  <c r="BV23" i="28"/>
  <c r="BV86" i="28" s="1"/>
  <c r="BV108" i="28" s="1"/>
  <c r="BW23" i="28"/>
  <c r="BW86" i="28" s="1"/>
  <c r="BW108" i="28" s="1"/>
  <c r="BX23" i="28"/>
  <c r="BX86" i="28" s="1"/>
  <c r="BX108" i="28" s="1"/>
  <c r="BY23" i="28"/>
  <c r="BY86" i="28" s="1"/>
  <c r="BY108" i="28" s="1"/>
  <c r="BZ23" i="28"/>
  <c r="BZ86" i="28" s="1"/>
  <c r="BZ108" i="28" s="1"/>
  <c r="CA23" i="28"/>
  <c r="CA86" i="28" s="1"/>
  <c r="CA108" i="28" s="1"/>
  <c r="CB23" i="28"/>
  <c r="CB86" i="28" s="1"/>
  <c r="CB108" i="28" s="1"/>
  <c r="CC23" i="28"/>
  <c r="CC86" i="28" s="1"/>
  <c r="CC108" i="28" s="1"/>
  <c r="CD23" i="28"/>
  <c r="CD86" i="28" s="1"/>
  <c r="CD108" i="28" s="1"/>
  <c r="CE23" i="28"/>
  <c r="CE86" i="28" s="1"/>
  <c r="CE108" i="28" s="1"/>
  <c r="CF23" i="28"/>
  <c r="CF86" i="28" s="1"/>
  <c r="CF108" i="28" s="1"/>
  <c r="CG23" i="28"/>
  <c r="CG86" i="28" s="1"/>
  <c r="CG108" i="28" s="1"/>
  <c r="CH23" i="28"/>
  <c r="CH86" i="28" s="1"/>
  <c r="CH108" i="28" s="1"/>
  <c r="CI23" i="28"/>
  <c r="CI86" i="28" s="1"/>
  <c r="CI108" i="28" s="1"/>
  <c r="CJ23" i="28"/>
  <c r="CJ86" i="28" s="1"/>
  <c r="CJ108" i="28" s="1"/>
  <c r="CK23" i="28"/>
  <c r="CK86" i="28" s="1"/>
  <c r="CK108" i="28" s="1"/>
  <c r="C24" i="28"/>
  <c r="D24" i="28"/>
  <c r="C25" i="28"/>
  <c r="D25" i="28"/>
  <c r="C28" i="28"/>
  <c r="D28" i="28"/>
  <c r="C29" i="28"/>
  <c r="D29" i="28"/>
  <c r="C30" i="28"/>
  <c r="D30" i="28"/>
  <c r="C31" i="28"/>
  <c r="D31" i="28"/>
  <c r="F31" i="28"/>
  <c r="G31" i="28"/>
  <c r="H31" i="28"/>
  <c r="I31" i="28"/>
  <c r="J31" i="28"/>
  <c r="K31" i="28"/>
  <c r="L31" i="28"/>
  <c r="M31" i="28"/>
  <c r="N31" i="28"/>
  <c r="O31" i="28"/>
  <c r="P31" i="28"/>
  <c r="Q31" i="28"/>
  <c r="R31" i="28"/>
  <c r="S31" i="28"/>
  <c r="T31" i="28"/>
  <c r="U31" i="28"/>
  <c r="V31" i="28"/>
  <c r="W31" i="28"/>
  <c r="X31" i="28"/>
  <c r="Y31" i="28"/>
  <c r="Z31" i="28"/>
  <c r="AA31" i="28"/>
  <c r="AB31" i="28"/>
  <c r="AC31" i="28"/>
  <c r="AD31" i="28"/>
  <c r="AE31" i="28"/>
  <c r="AF31" i="28"/>
  <c r="AG31" i="28"/>
  <c r="AH31" i="28"/>
  <c r="AI31" i="28"/>
  <c r="AJ31" i="28"/>
  <c r="AK31" i="28"/>
  <c r="AL31" i="28"/>
  <c r="AM31" i="28"/>
  <c r="AN31" i="28"/>
  <c r="AO31" i="28"/>
  <c r="AP31" i="28"/>
  <c r="AQ31" i="28"/>
  <c r="AR31" i="28"/>
  <c r="AS31" i="28"/>
  <c r="AT31" i="28"/>
  <c r="AU31" i="28"/>
  <c r="AV31" i="28"/>
  <c r="AW31" i="28"/>
  <c r="AX31" i="28"/>
  <c r="AY31" i="28"/>
  <c r="AZ31" i="28"/>
  <c r="BA31" i="28"/>
  <c r="BB31" i="28"/>
  <c r="BC31" i="28"/>
  <c r="BD31" i="28"/>
  <c r="BE31" i="28"/>
  <c r="BF31" i="28"/>
  <c r="BG31" i="28"/>
  <c r="BH31" i="28"/>
  <c r="BI31" i="28"/>
  <c r="BJ31" i="28"/>
  <c r="BK31" i="28"/>
  <c r="BL31" i="28"/>
  <c r="BM31" i="28"/>
  <c r="BN31" i="28"/>
  <c r="BO31" i="28"/>
  <c r="BP31" i="28"/>
  <c r="BQ31" i="28"/>
  <c r="BR31" i="28"/>
  <c r="BS31" i="28"/>
  <c r="BT31" i="28"/>
  <c r="BU31" i="28"/>
  <c r="BV31" i="28"/>
  <c r="BW31" i="28"/>
  <c r="BX31" i="28"/>
  <c r="BY31" i="28"/>
  <c r="BZ31" i="28"/>
  <c r="CA31" i="28"/>
  <c r="CB31" i="28"/>
  <c r="CC31" i="28"/>
  <c r="CD31" i="28"/>
  <c r="CE31" i="28"/>
  <c r="CF31" i="28"/>
  <c r="CG31" i="28"/>
  <c r="CH31" i="28"/>
  <c r="CI31" i="28"/>
  <c r="CJ31" i="28"/>
  <c r="CK31" i="28"/>
  <c r="C32" i="28"/>
  <c r="D32" i="28"/>
  <c r="C33" i="28"/>
  <c r="D33" i="28"/>
  <c r="C35" i="28"/>
  <c r="D35" i="28"/>
  <c r="C36" i="28"/>
  <c r="D36" i="28"/>
  <c r="C40" i="28"/>
  <c r="D40" i="28"/>
  <c r="C41" i="28"/>
  <c r="D41" i="28"/>
  <c r="F41" i="28"/>
  <c r="F42" i="28" s="1"/>
  <c r="G41" i="28"/>
  <c r="H41" i="28"/>
  <c r="H42" i="28" s="1"/>
  <c r="H43" i="28" s="1"/>
  <c r="I41" i="28"/>
  <c r="I42" i="28" s="1"/>
  <c r="I43" i="28" s="1"/>
  <c r="J41" i="28"/>
  <c r="J42" i="28" s="1"/>
  <c r="J43" i="28" s="1"/>
  <c r="K41" i="28"/>
  <c r="L41" i="28"/>
  <c r="L42" i="28" s="1"/>
  <c r="L43" i="28" s="1"/>
  <c r="M41" i="28"/>
  <c r="M42" i="28" s="1"/>
  <c r="M43" i="28" s="1"/>
  <c r="M88" i="28" s="1"/>
  <c r="M109" i="28" s="1"/>
  <c r="N41" i="28"/>
  <c r="O41" i="28"/>
  <c r="P41" i="28"/>
  <c r="Q41" i="28"/>
  <c r="R41" i="28"/>
  <c r="S41" i="28"/>
  <c r="S42" i="28" s="1"/>
  <c r="S43" i="28" s="1"/>
  <c r="T41" i="28"/>
  <c r="T42" i="28" s="1"/>
  <c r="U41" i="28"/>
  <c r="V41" i="28"/>
  <c r="W41" i="28"/>
  <c r="X41" i="28"/>
  <c r="X42" i="28" s="1"/>
  <c r="Y41" i="28"/>
  <c r="Z41" i="28"/>
  <c r="Z42" i="28" s="1"/>
  <c r="Z43" i="28" s="1"/>
  <c r="AA41" i="28"/>
  <c r="AB41" i="28"/>
  <c r="AC41" i="28"/>
  <c r="AD41" i="28"/>
  <c r="AE41" i="28"/>
  <c r="AF41" i="28"/>
  <c r="AG41" i="28"/>
  <c r="AH41" i="28"/>
  <c r="AH42" i="28" s="1"/>
  <c r="AI41" i="28"/>
  <c r="AJ41" i="28"/>
  <c r="AJ42" i="28" s="1"/>
  <c r="AK41" i="28"/>
  <c r="AK42" i="28" s="1"/>
  <c r="AL41" i="28"/>
  <c r="AM41" i="28"/>
  <c r="AN41" i="28"/>
  <c r="AO41" i="28"/>
  <c r="AP41" i="28"/>
  <c r="AQ41" i="28"/>
  <c r="AQ42" i="28" s="1"/>
  <c r="AQ43" i="28" s="1"/>
  <c r="AR41" i="28"/>
  <c r="AS41" i="28"/>
  <c r="AT41" i="28"/>
  <c r="AT42" i="28" s="1"/>
  <c r="AU41" i="28"/>
  <c r="AU42" i="28" s="1"/>
  <c r="AU43" i="28" s="1"/>
  <c r="AV41" i="28"/>
  <c r="AV42" i="28" s="1"/>
  <c r="AW41" i="28"/>
  <c r="AX41" i="28"/>
  <c r="AY41" i="28"/>
  <c r="AY42" i="28" s="1"/>
  <c r="AZ41" i="28"/>
  <c r="AZ42" i="28" s="1"/>
  <c r="BA41" i="28"/>
  <c r="BB41" i="28"/>
  <c r="BB42" i="28" s="1"/>
  <c r="BB43" i="28" s="1"/>
  <c r="BB88" i="28" s="1"/>
  <c r="BB109" i="28" s="1"/>
  <c r="BC41" i="28"/>
  <c r="BC42" i="28" s="1"/>
  <c r="BC43" i="28" s="1"/>
  <c r="BC88" i="28" s="1"/>
  <c r="BC109" i="28" s="1"/>
  <c r="BD41" i="28"/>
  <c r="BD42" i="28" s="1"/>
  <c r="BD43" i="28" s="1"/>
  <c r="BD88" i="28" s="1"/>
  <c r="BD109" i="28" s="1"/>
  <c r="BE41" i="28"/>
  <c r="BF41" i="28"/>
  <c r="BF42" i="28" s="1"/>
  <c r="BG41" i="28"/>
  <c r="BG42" i="28" s="1"/>
  <c r="BG43" i="28" s="1"/>
  <c r="BG88" i="28" s="1"/>
  <c r="BG109" i="28" s="1"/>
  <c r="BH41" i="28"/>
  <c r="BH42" i="28" s="1"/>
  <c r="BH43" i="28" s="1"/>
  <c r="BH88" i="28" s="1"/>
  <c r="BH109" i="28" s="1"/>
  <c r="BI41" i="28"/>
  <c r="BI42" i="28" s="1"/>
  <c r="BJ41" i="28"/>
  <c r="BJ42" i="28" s="1"/>
  <c r="BJ43" i="28" s="1"/>
  <c r="BJ88" i="28" s="1"/>
  <c r="BJ109" i="28" s="1"/>
  <c r="BK41" i="28"/>
  <c r="BK42" i="28" s="1"/>
  <c r="BK43" i="28" s="1"/>
  <c r="BK88" i="28" s="1"/>
  <c r="BK109" i="28" s="1"/>
  <c r="BL41" i="28"/>
  <c r="BL42" i="28" s="1"/>
  <c r="BM41" i="28"/>
  <c r="BM42" i="28" s="1"/>
  <c r="BM43" i="28" s="1"/>
  <c r="BM88" i="28" s="1"/>
  <c r="BM109" i="28" s="1"/>
  <c r="BN41" i="28"/>
  <c r="BN42" i="28" s="1"/>
  <c r="BN43" i="28" s="1"/>
  <c r="BN88" i="28" s="1"/>
  <c r="BN109" i="28" s="1"/>
  <c r="BO41" i="28"/>
  <c r="BO42" i="28" s="1"/>
  <c r="BP41" i="28"/>
  <c r="BP42" i="28" s="1"/>
  <c r="BP43" i="28" s="1"/>
  <c r="BP88" i="28" s="1"/>
  <c r="BP109" i="28" s="1"/>
  <c r="BQ41" i="28"/>
  <c r="BR41" i="28"/>
  <c r="BS41" i="28"/>
  <c r="BS42" i="28" s="1"/>
  <c r="BS43" i="28" s="1"/>
  <c r="BS88" i="28" s="1"/>
  <c r="BS109" i="28" s="1"/>
  <c r="BT41" i="28"/>
  <c r="BT42" i="28" s="1"/>
  <c r="BT43" i="28" s="1"/>
  <c r="BT88" i="28" s="1"/>
  <c r="BT109" i="28" s="1"/>
  <c r="BU41" i="28"/>
  <c r="BU42" i="28" s="1"/>
  <c r="BU43" i="28" s="1"/>
  <c r="BU88" i="28" s="1"/>
  <c r="BU109" i="28" s="1"/>
  <c r="BV41" i="28"/>
  <c r="BW41" i="28"/>
  <c r="BX41" i="28"/>
  <c r="BX42" i="28" s="1"/>
  <c r="BY41" i="28"/>
  <c r="BZ41" i="28"/>
  <c r="BZ42" i="28" s="1"/>
  <c r="BZ43" i="28" s="1"/>
  <c r="BZ88" i="28" s="1"/>
  <c r="BZ109" i="28" s="1"/>
  <c r="CA41" i="28"/>
  <c r="CA42" i="28" s="1"/>
  <c r="CA43" i="28" s="1"/>
  <c r="CA88" i="28" s="1"/>
  <c r="CA109" i="28" s="1"/>
  <c r="CB41" i="28"/>
  <c r="CB42" i="28" s="1"/>
  <c r="CB43" i="28" s="1"/>
  <c r="CB88" i="28" s="1"/>
  <c r="CB109" i="28" s="1"/>
  <c r="CC41" i="28"/>
  <c r="CD41" i="28"/>
  <c r="CE41" i="28"/>
  <c r="CF41" i="28"/>
  <c r="CF42" i="28" s="1"/>
  <c r="CF43" i="28" s="1"/>
  <c r="CF88" i="28" s="1"/>
  <c r="CF109" i="28" s="1"/>
  <c r="CG41" i="28"/>
  <c r="CG42" i="28" s="1"/>
  <c r="CG43" i="28" s="1"/>
  <c r="CG88" i="28" s="1"/>
  <c r="CG109" i="28" s="1"/>
  <c r="CH41" i="28"/>
  <c r="CH42" i="28" s="1"/>
  <c r="CH43" i="28" s="1"/>
  <c r="CH88" i="28" s="1"/>
  <c r="CH109" i="28" s="1"/>
  <c r="CI41" i="28"/>
  <c r="CI42" i="28" s="1"/>
  <c r="CI43" i="28" s="1"/>
  <c r="CI88" i="28" s="1"/>
  <c r="CI109" i="28" s="1"/>
  <c r="CJ41" i="28"/>
  <c r="CJ42" i="28" s="1"/>
  <c r="CK41" i="28"/>
  <c r="CK42" i="28" s="1"/>
  <c r="C42" i="28"/>
  <c r="D42" i="28"/>
  <c r="C43" i="28"/>
  <c r="C88" i="28" s="1"/>
  <c r="D43" i="28"/>
  <c r="C44" i="28"/>
  <c r="D44" i="28"/>
  <c r="A74" i="6" s="1"/>
  <c r="C45" i="28"/>
  <c r="D45" i="28"/>
  <c r="C47" i="28"/>
  <c r="D47" i="28"/>
  <c r="C48" i="28"/>
  <c r="D48" i="28"/>
  <c r="C49" i="28"/>
  <c r="D49" i="28"/>
  <c r="C50" i="28"/>
  <c r="D50" i="28"/>
  <c r="F50" i="28"/>
  <c r="G50" i="28"/>
  <c r="H50" i="28"/>
  <c r="I50" i="28"/>
  <c r="J50" i="28"/>
  <c r="K50" i="28"/>
  <c r="L50" i="28"/>
  <c r="M50" i="28"/>
  <c r="N50" i="28"/>
  <c r="O50" i="28"/>
  <c r="P50" i="28"/>
  <c r="Q50" i="28"/>
  <c r="R50" i="28"/>
  <c r="S50" i="28"/>
  <c r="T50" i="28"/>
  <c r="U50" i="28"/>
  <c r="V50" i="28"/>
  <c r="W50" i="28"/>
  <c r="X50" i="28"/>
  <c r="Y50" i="28"/>
  <c r="Z50" i="28"/>
  <c r="AA50" i="28"/>
  <c r="AB50" i="28"/>
  <c r="AC50" i="28"/>
  <c r="AD50" i="28"/>
  <c r="AE50" i="28"/>
  <c r="AF50" i="28"/>
  <c r="AG50" i="28"/>
  <c r="AH50" i="28"/>
  <c r="AI50" i="28"/>
  <c r="AJ50" i="28"/>
  <c r="AK50" i="28"/>
  <c r="AL50" i="28"/>
  <c r="AM50" i="28"/>
  <c r="AN50" i="28"/>
  <c r="AO50" i="28"/>
  <c r="AP50" i="28"/>
  <c r="AQ50" i="28"/>
  <c r="AR50" i="28"/>
  <c r="AS50" i="28"/>
  <c r="AT50" i="28"/>
  <c r="AU50" i="28"/>
  <c r="AV50" i="28"/>
  <c r="AW50" i="28"/>
  <c r="AX50" i="28"/>
  <c r="AY50" i="28"/>
  <c r="AZ50" i="28"/>
  <c r="BA50" i="28"/>
  <c r="BB50" i="28"/>
  <c r="BC50" i="28"/>
  <c r="BD50" i="28"/>
  <c r="BE50" i="28"/>
  <c r="BF50" i="28"/>
  <c r="BG50" i="28"/>
  <c r="BH50" i="28"/>
  <c r="BI50" i="28"/>
  <c r="BJ50" i="28"/>
  <c r="BK50" i="28"/>
  <c r="BL50" i="28"/>
  <c r="BM50" i="28"/>
  <c r="BN50" i="28"/>
  <c r="BO50" i="28"/>
  <c r="BP50" i="28"/>
  <c r="BQ50" i="28"/>
  <c r="BR50" i="28"/>
  <c r="BS50" i="28"/>
  <c r="BT50" i="28"/>
  <c r="BU50" i="28"/>
  <c r="BV50" i="28"/>
  <c r="BW50" i="28"/>
  <c r="BX50" i="28"/>
  <c r="BY50" i="28"/>
  <c r="BZ50" i="28"/>
  <c r="CA50" i="28"/>
  <c r="CB50" i="28"/>
  <c r="CC50" i="28"/>
  <c r="CD50" i="28"/>
  <c r="CE50" i="28"/>
  <c r="CF50" i="28"/>
  <c r="CG50" i="28"/>
  <c r="CH50" i="28"/>
  <c r="CI50" i="28"/>
  <c r="CJ50" i="28"/>
  <c r="CK50" i="28"/>
  <c r="C51" i="28"/>
  <c r="D51" i="28"/>
  <c r="C52" i="28"/>
  <c r="D52" i="28"/>
  <c r="C53" i="28"/>
  <c r="D53" i="28"/>
  <c r="C54" i="28"/>
  <c r="D54" i="28"/>
  <c r="C55" i="28"/>
  <c r="D55" i="28"/>
  <c r="C65" i="28"/>
  <c r="D65" i="28"/>
  <c r="C112" i="28"/>
  <c r="C113" i="28"/>
  <c r="D114" i="28"/>
  <c r="D115" i="28"/>
  <c r="C129" i="28"/>
  <c r="C4" i="27"/>
  <c r="O4" i="27"/>
  <c r="P4" i="27"/>
  <c r="C5" i="27"/>
  <c r="O5" i="27"/>
  <c r="D6" i="27"/>
  <c r="O6" i="27"/>
  <c r="P6" i="27"/>
  <c r="D7" i="27"/>
  <c r="C16" i="27"/>
  <c r="C29" i="27" s="1"/>
  <c r="D16" i="27"/>
  <c r="C17" i="27"/>
  <c r="D17" i="27"/>
  <c r="C18" i="27"/>
  <c r="D18" i="27"/>
  <c r="C19" i="27"/>
  <c r="D19" i="27"/>
  <c r="D32" i="27" s="1"/>
  <c r="C22" i="27"/>
  <c r="C35" i="27" s="1"/>
  <c r="D22" i="27"/>
  <c r="D35" i="27" s="1"/>
  <c r="E22" i="27"/>
  <c r="F22" i="27"/>
  <c r="F35" i="27" s="1"/>
  <c r="G22" i="27"/>
  <c r="G35" i="27" s="1"/>
  <c r="H22" i="27"/>
  <c r="I22" i="27"/>
  <c r="J22" i="27"/>
  <c r="K22" i="27"/>
  <c r="K35" i="27" s="1"/>
  <c r="L22" i="27"/>
  <c r="M22" i="27"/>
  <c r="C23" i="27"/>
  <c r="C36" i="27" s="1"/>
  <c r="D23" i="27"/>
  <c r="E23" i="27"/>
  <c r="F36" i="27" s="1"/>
  <c r="F23" i="27"/>
  <c r="G23" i="27"/>
  <c r="H23" i="27"/>
  <c r="I23" i="27"/>
  <c r="J23" i="27"/>
  <c r="K23" i="27"/>
  <c r="L23" i="27"/>
  <c r="L36" i="27" s="1"/>
  <c r="M23" i="27"/>
  <c r="M36" i="27" s="1"/>
  <c r="C24" i="27"/>
  <c r="D24" i="27"/>
  <c r="D37" i="27" s="1"/>
  <c r="E24" i="27"/>
  <c r="F24" i="27"/>
  <c r="G24" i="27"/>
  <c r="G37" i="27" s="1"/>
  <c r="H24" i="27"/>
  <c r="I24" i="27"/>
  <c r="J24" i="27"/>
  <c r="K24" i="27"/>
  <c r="L24" i="27"/>
  <c r="M24" i="27"/>
  <c r="C25" i="27"/>
  <c r="D25" i="27"/>
  <c r="E25" i="27"/>
  <c r="F25" i="27"/>
  <c r="F38" i="27" s="1"/>
  <c r="G25" i="27"/>
  <c r="G38" i="27" s="1"/>
  <c r="H25" i="27"/>
  <c r="I25" i="27"/>
  <c r="J25" i="27"/>
  <c r="K38" i="27" s="1"/>
  <c r="K25" i="27"/>
  <c r="L25" i="27"/>
  <c r="M25" i="27"/>
  <c r="M38" i="27" s="1"/>
  <c r="D29" i="27"/>
  <c r="F29" i="27"/>
  <c r="G29" i="27"/>
  <c r="J29" i="27"/>
  <c r="K29" i="27"/>
  <c r="L29" i="27"/>
  <c r="M29" i="27"/>
  <c r="C30" i="27"/>
  <c r="D30" i="27"/>
  <c r="F30" i="27"/>
  <c r="G30" i="27"/>
  <c r="J30" i="27"/>
  <c r="K30" i="27"/>
  <c r="L30" i="27"/>
  <c r="M30" i="27"/>
  <c r="C31" i="27"/>
  <c r="D31" i="27"/>
  <c r="F31" i="27"/>
  <c r="G31" i="27"/>
  <c r="J31" i="27"/>
  <c r="K31" i="27"/>
  <c r="L31" i="27"/>
  <c r="M31" i="27"/>
  <c r="C32" i="27"/>
  <c r="F32" i="27"/>
  <c r="G32" i="27"/>
  <c r="J32" i="27"/>
  <c r="K32" i="27"/>
  <c r="L32" i="27"/>
  <c r="M32" i="27"/>
  <c r="C34" i="27"/>
  <c r="D34" i="27"/>
  <c r="L35" i="27"/>
  <c r="M35" i="27"/>
  <c r="D36" i="27"/>
  <c r="G36" i="27"/>
  <c r="J36" i="27"/>
  <c r="K36" i="27"/>
  <c r="C37" i="27"/>
  <c r="J37" i="27"/>
  <c r="K37" i="27"/>
  <c r="L37" i="27"/>
  <c r="M37" i="27"/>
  <c r="C38" i="27"/>
  <c r="D38" i="27"/>
  <c r="L38" i="27"/>
  <c r="C40" i="27"/>
  <c r="E43" i="27"/>
  <c r="E44" i="27" s="1"/>
  <c r="F43" i="27"/>
  <c r="F44" i="27" s="1"/>
  <c r="G43" i="27"/>
  <c r="G44" i="27" s="1"/>
  <c r="H43" i="27"/>
  <c r="H44" i="27" s="1"/>
  <c r="I43" i="27"/>
  <c r="I44" i="27" s="1"/>
  <c r="J43" i="27"/>
  <c r="J44" i="27" s="1"/>
  <c r="K43" i="27"/>
  <c r="K44" i="27" s="1"/>
  <c r="L43" i="27"/>
  <c r="L44" i="27" s="1"/>
  <c r="M43" i="27"/>
  <c r="M44" i="27" s="1"/>
  <c r="C4" i="26"/>
  <c r="P4" i="26"/>
  <c r="Q4" i="26"/>
  <c r="C5" i="26"/>
  <c r="P5" i="26"/>
  <c r="D6" i="26"/>
  <c r="P6" i="26"/>
  <c r="Q6" i="26"/>
  <c r="D7" i="26"/>
  <c r="C13" i="26"/>
  <c r="D13" i="26"/>
  <c r="F13" i="26"/>
  <c r="F25" i="26" s="1"/>
  <c r="F32" i="26" s="1"/>
  <c r="G13" i="26"/>
  <c r="H13" i="26"/>
  <c r="I13" i="26"/>
  <c r="J13" i="26"/>
  <c r="J25" i="26" s="1"/>
  <c r="J32" i="26" s="1"/>
  <c r="K13" i="26"/>
  <c r="K25" i="26" s="1"/>
  <c r="K32" i="26" s="1"/>
  <c r="L13" i="26"/>
  <c r="M13" i="26"/>
  <c r="M25" i="26" s="1"/>
  <c r="M32" i="26" s="1"/>
  <c r="N13" i="26"/>
  <c r="C19" i="26"/>
  <c r="D19" i="26"/>
  <c r="F19" i="26"/>
  <c r="G19" i="26"/>
  <c r="H19" i="26"/>
  <c r="H25" i="26" s="1"/>
  <c r="H32" i="26" s="1"/>
  <c r="I19" i="26"/>
  <c r="J19" i="26"/>
  <c r="K19" i="26"/>
  <c r="L19" i="26"/>
  <c r="M19" i="26"/>
  <c r="N19" i="26"/>
  <c r="N25" i="26" s="1"/>
  <c r="N32" i="26" s="1"/>
  <c r="F21" i="26"/>
  <c r="F28" i="26" s="1"/>
  <c r="G21" i="26"/>
  <c r="G28" i="26" s="1"/>
  <c r="H21" i="26"/>
  <c r="H28" i="26" s="1"/>
  <c r="I21" i="26"/>
  <c r="J21" i="26"/>
  <c r="J28" i="26" s="1"/>
  <c r="K21" i="26"/>
  <c r="K28" i="26" s="1"/>
  <c r="L21" i="26"/>
  <c r="L28" i="26" s="1"/>
  <c r="M21" i="26"/>
  <c r="M28" i="26" s="1"/>
  <c r="N21" i="26"/>
  <c r="F22" i="26"/>
  <c r="F29" i="26" s="1"/>
  <c r="G22" i="26"/>
  <c r="H22" i="26"/>
  <c r="H29" i="26" s="1"/>
  <c r="I22" i="26"/>
  <c r="I29" i="26" s="1"/>
  <c r="J22" i="26"/>
  <c r="J29" i="26" s="1"/>
  <c r="K22" i="26"/>
  <c r="K29" i="26" s="1"/>
  <c r="L22" i="26"/>
  <c r="M22" i="26"/>
  <c r="M29" i="26" s="1"/>
  <c r="N22" i="26"/>
  <c r="F23" i="26"/>
  <c r="F30" i="26" s="1"/>
  <c r="G23" i="26"/>
  <c r="G30" i="26" s="1"/>
  <c r="H23" i="26"/>
  <c r="H30" i="26" s="1"/>
  <c r="I23" i="26"/>
  <c r="I30" i="26" s="1"/>
  <c r="J23" i="26"/>
  <c r="K23" i="26"/>
  <c r="K30" i="26" s="1"/>
  <c r="L23" i="26"/>
  <c r="L30" i="26" s="1"/>
  <c r="M23" i="26"/>
  <c r="M30" i="26" s="1"/>
  <c r="N23" i="26"/>
  <c r="N30" i="26" s="1"/>
  <c r="F24" i="26"/>
  <c r="G24" i="26"/>
  <c r="G31" i="26" s="1"/>
  <c r="H24" i="26"/>
  <c r="H31" i="26" s="1"/>
  <c r="I24" i="26"/>
  <c r="I31" i="26" s="1"/>
  <c r="J24" i="26"/>
  <c r="J31" i="26" s="1"/>
  <c r="K24" i="26"/>
  <c r="K31" i="26" s="1"/>
  <c r="L24" i="26"/>
  <c r="L31" i="26" s="1"/>
  <c r="M24" i="26"/>
  <c r="M31" i="26" s="1"/>
  <c r="N24" i="26"/>
  <c r="N31" i="26" s="1"/>
  <c r="C25" i="26"/>
  <c r="D25" i="26"/>
  <c r="C28" i="26"/>
  <c r="D28" i="26"/>
  <c r="I28" i="26"/>
  <c r="C29" i="26"/>
  <c r="D29" i="26"/>
  <c r="G29" i="26"/>
  <c r="L29" i="26"/>
  <c r="N29" i="26"/>
  <c r="C30" i="26"/>
  <c r="D30" i="26"/>
  <c r="J30" i="26"/>
  <c r="C31" i="26"/>
  <c r="D31" i="26"/>
  <c r="F31" i="26"/>
  <c r="C34" i="26"/>
  <c r="C4" i="25"/>
  <c r="P4" i="25"/>
  <c r="Q4" i="25"/>
  <c r="C5" i="25"/>
  <c r="P5" i="25"/>
  <c r="D6" i="25"/>
  <c r="P6" i="25"/>
  <c r="Q6" i="25"/>
  <c r="D7" i="25"/>
  <c r="C13" i="25"/>
  <c r="D13" i="25"/>
  <c r="F13" i="25"/>
  <c r="F19" i="25" s="1"/>
  <c r="G13" i="25"/>
  <c r="G26" i="25" s="1"/>
  <c r="H13" i="25"/>
  <c r="H17" i="25" s="1"/>
  <c r="I13" i="25"/>
  <c r="I17" i="25" s="1"/>
  <c r="J13" i="25"/>
  <c r="J19" i="25" s="1"/>
  <c r="K13" i="25"/>
  <c r="K17" i="25" s="1"/>
  <c r="L13" i="25"/>
  <c r="L16" i="25" s="1"/>
  <c r="M13" i="25"/>
  <c r="M18" i="25" s="1"/>
  <c r="N13" i="25"/>
  <c r="N19" i="25" s="1"/>
  <c r="C16" i="25"/>
  <c r="D16" i="25"/>
  <c r="G16" i="25"/>
  <c r="C17" i="25"/>
  <c r="D17" i="25"/>
  <c r="G17" i="25"/>
  <c r="C18" i="25"/>
  <c r="D18" i="25"/>
  <c r="G18" i="25"/>
  <c r="H18" i="25"/>
  <c r="I18" i="25"/>
  <c r="J18" i="25"/>
  <c r="C19" i="25"/>
  <c r="D19" i="25"/>
  <c r="G19" i="25"/>
  <c r="I19" i="25"/>
  <c r="C21" i="25"/>
  <c r="H26" i="25"/>
  <c r="I26" i="25"/>
  <c r="J26" i="25"/>
  <c r="K26" i="25"/>
  <c r="M26" i="25"/>
  <c r="C4" i="24"/>
  <c r="C5" i="24"/>
  <c r="D6" i="24"/>
  <c r="D7" i="24"/>
  <c r="C9" i="24"/>
  <c r="C53" i="24" s="1"/>
  <c r="D9" i="24"/>
  <c r="D53" i="24" s="1"/>
  <c r="C10" i="24"/>
  <c r="C54" i="24" s="1"/>
  <c r="D10" i="24"/>
  <c r="D54" i="24" s="1"/>
  <c r="C15" i="24"/>
  <c r="C59" i="24" s="1"/>
  <c r="D15" i="24"/>
  <c r="D59" i="24" s="1"/>
  <c r="G20" i="24"/>
  <c r="G34" i="24" s="1"/>
  <c r="G9" i="40" s="1"/>
  <c r="G38" i="40" s="1"/>
  <c r="G47" i="40" s="1"/>
  <c r="J20" i="24"/>
  <c r="J34" i="24" s="1"/>
  <c r="L20" i="24"/>
  <c r="L34" i="24" s="1"/>
  <c r="L9" i="40" s="1"/>
  <c r="L38" i="40" s="1"/>
  <c r="L47" i="40" s="1"/>
  <c r="M20" i="24"/>
  <c r="M34" i="24" s="1"/>
  <c r="N20" i="24"/>
  <c r="O20" i="24"/>
  <c r="O34" i="24" s="1"/>
  <c r="O9" i="40" s="1"/>
  <c r="O38" i="40" s="1"/>
  <c r="O47" i="40" s="1"/>
  <c r="P79" i="24"/>
  <c r="T20" i="24"/>
  <c r="T34" i="24" s="1"/>
  <c r="T9" i="40" s="1"/>
  <c r="T38" i="40" s="1"/>
  <c r="T47" i="40" s="1"/>
  <c r="V20" i="24"/>
  <c r="X20" i="24"/>
  <c r="X34" i="24" s="1"/>
  <c r="X78" i="24" s="1"/>
  <c r="Z20" i="24"/>
  <c r="Z34" i="24" s="1"/>
  <c r="AA20" i="24"/>
  <c r="AA34" i="24" s="1"/>
  <c r="AB20" i="24"/>
  <c r="AB34" i="24" s="1"/>
  <c r="AB9" i="40" s="1"/>
  <c r="AB38" i="40" s="1"/>
  <c r="AB47" i="40" s="1"/>
  <c r="AE20" i="24"/>
  <c r="AE34" i="24" s="1"/>
  <c r="AJ20" i="24"/>
  <c r="AJ34" i="24" s="1"/>
  <c r="AJ9" i="40" s="1"/>
  <c r="AJ38" i="40" s="1"/>
  <c r="AJ47" i="40" s="1"/>
  <c r="AK20" i="24"/>
  <c r="AM20" i="24"/>
  <c r="AM64" i="24" s="1"/>
  <c r="AN60" i="24"/>
  <c r="AR20" i="24"/>
  <c r="AR34" i="24" s="1"/>
  <c r="AT20" i="24"/>
  <c r="AV20" i="24"/>
  <c r="AV34" i="24" s="1"/>
  <c r="AV78" i="24" s="1"/>
  <c r="AX20" i="24"/>
  <c r="AY20" i="24"/>
  <c r="AY34" i="24" s="1"/>
  <c r="AZ20" i="24"/>
  <c r="AZ64" i="24" s="1"/>
  <c r="BB20" i="24"/>
  <c r="BC20" i="24"/>
  <c r="BC34" i="24" s="1"/>
  <c r="BH20" i="24"/>
  <c r="BH34" i="24" s="1"/>
  <c r="BH9" i="40" s="1"/>
  <c r="BH38" i="40" s="1"/>
  <c r="BH47" i="40" s="1"/>
  <c r="BI20" i="24"/>
  <c r="BI34" i="24" s="1"/>
  <c r="BJ20" i="24"/>
  <c r="BJ34" i="24" s="1"/>
  <c r="BJ78" i="24" s="1"/>
  <c r="BK20" i="24"/>
  <c r="BK34" i="24" s="1"/>
  <c r="BK9" i="40" s="1"/>
  <c r="BK38" i="40" s="1"/>
  <c r="BK47" i="40" s="1"/>
  <c r="BL20" i="24"/>
  <c r="BP20" i="24"/>
  <c r="BP34" i="24" s="1"/>
  <c r="BP78" i="24" s="1"/>
  <c r="BT20" i="24"/>
  <c r="BT34" i="24" s="1"/>
  <c r="BT9" i="40" s="1"/>
  <c r="BT38" i="40" s="1"/>
  <c r="BT47" i="40" s="1"/>
  <c r="BU20" i="24"/>
  <c r="BV20" i="24"/>
  <c r="BW20" i="24"/>
  <c r="BW34" i="24" s="1"/>
  <c r="BX20" i="24"/>
  <c r="BX34" i="24" s="1"/>
  <c r="BX9" i="40" s="1"/>
  <c r="BX38" i="40" s="1"/>
  <c r="BX47" i="40" s="1"/>
  <c r="CA20" i="24"/>
  <c r="CA34" i="24" s="1"/>
  <c r="CA9" i="40" s="1"/>
  <c r="CA38" i="40" s="1"/>
  <c r="CA47" i="40" s="1"/>
  <c r="CF20" i="24"/>
  <c r="CF34" i="24" s="1"/>
  <c r="CF78" i="24" s="1"/>
  <c r="CH20" i="24"/>
  <c r="CI20" i="24"/>
  <c r="CI34" i="24" s="1"/>
  <c r="CJ20" i="24"/>
  <c r="C16" i="24"/>
  <c r="C60" i="24" s="1"/>
  <c r="D16" i="24"/>
  <c r="D60" i="24" s="1"/>
  <c r="C17" i="24"/>
  <c r="C61" i="24" s="1"/>
  <c r="D17" i="24"/>
  <c r="D61" i="24" s="1"/>
  <c r="C18" i="24"/>
  <c r="C62" i="24" s="1"/>
  <c r="D18" i="24"/>
  <c r="D62" i="24" s="1"/>
  <c r="C19" i="24"/>
  <c r="C63" i="24" s="1"/>
  <c r="D19" i="24"/>
  <c r="D63" i="24" s="1"/>
  <c r="C20" i="24"/>
  <c r="C64" i="24" s="1"/>
  <c r="D20" i="24"/>
  <c r="D64" i="24" s="1"/>
  <c r="F20" i="24"/>
  <c r="F34" i="24" s="1"/>
  <c r="H20" i="24"/>
  <c r="H34" i="24" s="1"/>
  <c r="H9" i="40" s="1"/>
  <c r="H38" i="40" s="1"/>
  <c r="H47" i="40" s="1"/>
  <c r="I20" i="24"/>
  <c r="I34" i="24" s="1"/>
  <c r="Q20" i="24"/>
  <c r="Q34" i="24" s="1"/>
  <c r="R20" i="24"/>
  <c r="R64" i="24" s="1"/>
  <c r="S20" i="24"/>
  <c r="S64" i="24" s="1"/>
  <c r="U20" i="24"/>
  <c r="U34" i="24" s="1"/>
  <c r="Y20" i="24"/>
  <c r="Y64" i="24" s="1"/>
  <c r="AD20" i="24"/>
  <c r="AD34" i="24" s="1"/>
  <c r="AD9" i="40" s="1"/>
  <c r="AD38" i="40" s="1"/>
  <c r="AD47" i="40" s="1"/>
  <c r="AF20" i="24"/>
  <c r="AF34" i="24" s="1"/>
  <c r="AF78" i="24" s="1"/>
  <c r="AG20" i="24"/>
  <c r="AG34" i="24" s="1"/>
  <c r="AG9" i="40" s="1"/>
  <c r="AG38" i="40" s="1"/>
  <c r="AG47" i="40" s="1"/>
  <c r="AH20" i="24"/>
  <c r="AH34" i="24" s="1"/>
  <c r="AH9" i="40" s="1"/>
  <c r="AH38" i="40" s="1"/>
  <c r="AH47" i="40" s="1"/>
  <c r="AL20" i="24"/>
  <c r="AL64" i="24" s="1"/>
  <c r="AO20" i="24"/>
  <c r="AO34" i="24" s="1"/>
  <c r="AP20" i="24"/>
  <c r="AP34" i="24" s="1"/>
  <c r="AP9" i="40" s="1"/>
  <c r="AP38" i="40" s="1"/>
  <c r="AP47" i="40" s="1"/>
  <c r="AQ20" i="24"/>
  <c r="AQ34" i="24" s="1"/>
  <c r="AS20" i="24"/>
  <c r="AS34" i="24" s="1"/>
  <c r="AS78" i="24" s="1"/>
  <c r="AW20" i="24"/>
  <c r="AW34" i="24" s="1"/>
  <c r="BD20" i="24"/>
  <c r="BD34" i="24" s="1"/>
  <c r="BE20" i="24"/>
  <c r="BF20" i="24"/>
  <c r="BN20" i="24"/>
  <c r="BN34" i="24" s="1"/>
  <c r="BO20" i="24"/>
  <c r="BQ20" i="24"/>
  <c r="BQ34" i="24" s="1"/>
  <c r="BR20" i="24"/>
  <c r="BR34" i="24" s="1"/>
  <c r="BR9" i="40" s="1"/>
  <c r="BR38" i="40" s="1"/>
  <c r="BR47" i="40" s="1"/>
  <c r="BZ20" i="24"/>
  <c r="CB20" i="24"/>
  <c r="CB34" i="24" s="1"/>
  <c r="CB9" i="40" s="1"/>
  <c r="CB38" i="40" s="1"/>
  <c r="CB47" i="40" s="1"/>
  <c r="CC20" i="24"/>
  <c r="CC34" i="24" s="1"/>
  <c r="CC9" i="40" s="1"/>
  <c r="CC38" i="40" s="1"/>
  <c r="CC47" i="40" s="1"/>
  <c r="CD20" i="24"/>
  <c r="CD34" i="24" s="1"/>
  <c r="CE20" i="24"/>
  <c r="CG20" i="24"/>
  <c r="CG34" i="24" s="1"/>
  <c r="C21" i="24"/>
  <c r="C65" i="24" s="1"/>
  <c r="D21" i="24"/>
  <c r="D65" i="24" s="1"/>
  <c r="C34" i="24"/>
  <c r="C78" i="24" s="1"/>
  <c r="D34" i="24"/>
  <c r="D78" i="24" s="1"/>
  <c r="C35" i="24"/>
  <c r="C79" i="24" s="1"/>
  <c r="D35" i="24"/>
  <c r="D79" i="24" s="1"/>
  <c r="C36" i="24"/>
  <c r="C80" i="24" s="1"/>
  <c r="D36" i="24"/>
  <c r="D80" i="24" s="1"/>
  <c r="C37" i="24"/>
  <c r="C81" i="24" s="1"/>
  <c r="D37" i="24"/>
  <c r="D81" i="24" s="1"/>
  <c r="C38" i="24"/>
  <c r="C82" i="24" s="1"/>
  <c r="D38" i="24"/>
  <c r="D82" i="24" s="1"/>
  <c r="C39" i="24"/>
  <c r="C83" i="24" s="1"/>
  <c r="D39" i="24"/>
  <c r="D83" i="24" s="1"/>
  <c r="C40" i="24"/>
  <c r="C84" i="24" s="1"/>
  <c r="D40" i="24"/>
  <c r="D84" i="24" s="1"/>
  <c r="C41" i="24"/>
  <c r="C85" i="24" s="1"/>
  <c r="D41" i="24"/>
  <c r="D85" i="24" s="1"/>
  <c r="C42" i="24"/>
  <c r="C86" i="24" s="1"/>
  <c r="D42" i="24"/>
  <c r="D86" i="24" s="1"/>
  <c r="C43" i="24"/>
  <c r="C87" i="24" s="1"/>
  <c r="D43" i="24"/>
  <c r="D87" i="24" s="1"/>
  <c r="C44" i="24"/>
  <c r="C88" i="24" s="1"/>
  <c r="D44" i="24"/>
  <c r="D88" i="24" s="1"/>
  <c r="C45" i="24"/>
  <c r="C89" i="24" s="1"/>
  <c r="D45" i="24"/>
  <c r="D89" i="24" s="1"/>
  <c r="C46" i="24"/>
  <c r="C90" i="24" s="1"/>
  <c r="D46" i="24"/>
  <c r="D90" i="24" s="1"/>
  <c r="F46" i="24"/>
  <c r="F90" i="24" s="1"/>
  <c r="G46" i="24"/>
  <c r="H46" i="24"/>
  <c r="I46" i="24"/>
  <c r="I55" i="40" s="1"/>
  <c r="I57" i="40" s="1"/>
  <c r="J46" i="24"/>
  <c r="J55" i="40" s="1"/>
  <c r="J57" i="40" s="1"/>
  <c r="K46" i="24"/>
  <c r="L46" i="24"/>
  <c r="L55" i="40" s="1"/>
  <c r="L57" i="40" s="1"/>
  <c r="M46" i="24"/>
  <c r="N46" i="24"/>
  <c r="O46" i="24"/>
  <c r="O55" i="40" s="1"/>
  <c r="O57" i="40" s="1"/>
  <c r="P46" i="24"/>
  <c r="P55" i="40" s="1"/>
  <c r="P57" i="40" s="1"/>
  <c r="Q46" i="24"/>
  <c r="Q55" i="40" s="1"/>
  <c r="Q57" i="40" s="1"/>
  <c r="R46" i="24"/>
  <c r="S46" i="24"/>
  <c r="S55" i="40" s="1"/>
  <c r="S57" i="40" s="1"/>
  <c r="T46" i="24"/>
  <c r="T55" i="40" s="1"/>
  <c r="T57" i="40" s="1"/>
  <c r="U46" i="24"/>
  <c r="V46" i="24"/>
  <c r="V55" i="40" s="1"/>
  <c r="V57" i="40" s="1"/>
  <c r="W46" i="24"/>
  <c r="X46" i="24"/>
  <c r="X55" i="40" s="1"/>
  <c r="X57" i="40" s="1"/>
  <c r="Y46" i="24"/>
  <c r="Z46" i="24"/>
  <c r="AA46" i="24"/>
  <c r="AA55" i="40" s="1"/>
  <c r="AA57" i="40" s="1"/>
  <c r="AB46" i="24"/>
  <c r="AB55" i="40" s="1"/>
  <c r="AB57" i="40" s="1"/>
  <c r="AC46" i="24"/>
  <c r="AC55" i="40" s="1"/>
  <c r="AC57" i="40" s="1"/>
  <c r="AD46" i="24"/>
  <c r="AE46" i="24"/>
  <c r="AF46" i="24"/>
  <c r="AG46" i="24"/>
  <c r="AH46" i="24"/>
  <c r="AH55" i="40" s="1"/>
  <c r="AH57" i="40" s="1"/>
  <c r="AI46" i="24"/>
  <c r="AJ46" i="24"/>
  <c r="AJ55" i="40" s="1"/>
  <c r="AJ57" i="40" s="1"/>
  <c r="AK46" i="24"/>
  <c r="AL46" i="24"/>
  <c r="AM46" i="24"/>
  <c r="AM55" i="40" s="1"/>
  <c r="AM57" i="40" s="1"/>
  <c r="AN46" i="24"/>
  <c r="AN55" i="40" s="1"/>
  <c r="AN57" i="40" s="1"/>
  <c r="AO46" i="24"/>
  <c r="AO55" i="40" s="1"/>
  <c r="AO57" i="40" s="1"/>
  <c r="AP46" i="24"/>
  <c r="AQ46" i="24"/>
  <c r="AR46" i="24"/>
  <c r="AR55" i="40" s="1"/>
  <c r="AR57" i="40" s="1"/>
  <c r="AS46" i="24"/>
  <c r="AT46" i="24"/>
  <c r="AT55" i="40" s="1"/>
  <c r="AT57" i="40" s="1"/>
  <c r="AU46" i="24"/>
  <c r="AV46" i="24"/>
  <c r="AV55" i="40" s="1"/>
  <c r="AV57" i="40" s="1"/>
  <c r="AW46" i="24"/>
  <c r="AX46" i="24"/>
  <c r="AX55" i="40" s="1"/>
  <c r="AX57" i="40" s="1"/>
  <c r="AY46" i="24"/>
  <c r="AY55" i="40" s="1"/>
  <c r="AY57" i="40" s="1"/>
  <c r="AZ46" i="24"/>
  <c r="AZ55" i="40" s="1"/>
  <c r="AZ57" i="40" s="1"/>
  <c r="BA46" i="24"/>
  <c r="BA55" i="40" s="1"/>
  <c r="BA57" i="40" s="1"/>
  <c r="BB46" i="24"/>
  <c r="BC46" i="24"/>
  <c r="BD46" i="24"/>
  <c r="BD55" i="40" s="1"/>
  <c r="BD57" i="40" s="1"/>
  <c r="BE46" i="24"/>
  <c r="BF46" i="24"/>
  <c r="BF55" i="40" s="1"/>
  <c r="BF57" i="40" s="1"/>
  <c r="BG46" i="24"/>
  <c r="BH46" i="24"/>
  <c r="BH55" i="40" s="1"/>
  <c r="BH57" i="40" s="1"/>
  <c r="BI46" i="24"/>
  <c r="BJ46" i="24"/>
  <c r="BJ55" i="40" s="1"/>
  <c r="BJ57" i="40" s="1"/>
  <c r="BK46" i="24"/>
  <c r="BK55" i="40" s="1"/>
  <c r="BK57" i="40" s="1"/>
  <c r="BL46" i="24"/>
  <c r="BL55" i="40" s="1"/>
  <c r="BL57" i="40" s="1"/>
  <c r="BM46" i="24"/>
  <c r="BM55" i="40" s="1"/>
  <c r="BM57" i="40" s="1"/>
  <c r="BN46" i="24"/>
  <c r="BO46" i="24"/>
  <c r="BP46" i="24"/>
  <c r="BQ46" i="24"/>
  <c r="BR46" i="24"/>
  <c r="BR55" i="40" s="1"/>
  <c r="BR57" i="40" s="1"/>
  <c r="BS46" i="24"/>
  <c r="BT46" i="24"/>
  <c r="BT55" i="40" s="1"/>
  <c r="BT57" i="40" s="1"/>
  <c r="BU46" i="24"/>
  <c r="BV46" i="24"/>
  <c r="BV55" i="40" s="1"/>
  <c r="BV57" i="40" s="1"/>
  <c r="BW46" i="24"/>
  <c r="BW55" i="40" s="1"/>
  <c r="BW57" i="40" s="1"/>
  <c r="BX46" i="24"/>
  <c r="BX55" i="40" s="1"/>
  <c r="BX57" i="40" s="1"/>
  <c r="BY46" i="24"/>
  <c r="BY55" i="40" s="1"/>
  <c r="BY57" i="40" s="1"/>
  <c r="BZ46" i="24"/>
  <c r="CA46" i="24"/>
  <c r="CB46" i="24"/>
  <c r="CB55" i="40" s="1"/>
  <c r="CB57" i="40" s="1"/>
  <c r="CC46" i="24"/>
  <c r="CC55" i="40" s="1"/>
  <c r="CC57" i="40" s="1"/>
  <c r="CD46" i="24"/>
  <c r="CD55" i="40" s="1"/>
  <c r="CD57" i="40" s="1"/>
  <c r="CE46" i="24"/>
  <c r="CF46" i="24"/>
  <c r="CF55" i="40" s="1"/>
  <c r="CF57" i="40" s="1"/>
  <c r="CG46" i="24"/>
  <c r="CH46" i="24"/>
  <c r="CI46" i="24"/>
  <c r="CI55" i="40" s="1"/>
  <c r="CI57" i="40" s="1"/>
  <c r="CJ46" i="24"/>
  <c r="CJ55" i="40" s="1"/>
  <c r="CJ57" i="40" s="1"/>
  <c r="CK46" i="24"/>
  <c r="CK55" i="40" s="1"/>
  <c r="CK57" i="40" s="1"/>
  <c r="C47" i="24"/>
  <c r="C91" i="24" s="1"/>
  <c r="D47" i="24"/>
  <c r="D91" i="24" s="1"/>
  <c r="C48" i="24"/>
  <c r="C92" i="24" s="1"/>
  <c r="D48" i="24"/>
  <c r="D92" i="24" s="1"/>
  <c r="C49" i="24"/>
  <c r="C93" i="24" s="1"/>
  <c r="D49" i="24"/>
  <c r="D93" i="24" s="1"/>
  <c r="C50" i="24"/>
  <c r="C94" i="24" s="1"/>
  <c r="D50" i="24"/>
  <c r="D94" i="24" s="1"/>
  <c r="F53" i="24"/>
  <c r="G53" i="24"/>
  <c r="H53" i="24"/>
  <c r="I53" i="24"/>
  <c r="J53" i="24"/>
  <c r="L53" i="24"/>
  <c r="M53" i="24"/>
  <c r="N53" i="24"/>
  <c r="R53" i="24"/>
  <c r="S53" i="24"/>
  <c r="T53" i="24"/>
  <c r="U53" i="24"/>
  <c r="V53" i="24"/>
  <c r="Y53" i="24"/>
  <c r="Z53" i="24"/>
  <c r="AD53" i="24"/>
  <c r="AE53" i="24"/>
  <c r="AF53" i="24"/>
  <c r="AG53" i="24"/>
  <c r="AH53" i="24"/>
  <c r="AK53" i="24"/>
  <c r="AL53" i="24"/>
  <c r="AP53" i="24"/>
  <c r="AQ53" i="24"/>
  <c r="AR53" i="24"/>
  <c r="AS53" i="24"/>
  <c r="AT53" i="24"/>
  <c r="AV53" i="24"/>
  <c r="AW53" i="24"/>
  <c r="AX53" i="24"/>
  <c r="BB53" i="24"/>
  <c r="BC53" i="24"/>
  <c r="BD53" i="24"/>
  <c r="BE53" i="24"/>
  <c r="BF53" i="24"/>
  <c r="BH53" i="24"/>
  <c r="BI53" i="24"/>
  <c r="BJ53" i="24"/>
  <c r="BK53" i="24"/>
  <c r="BN53" i="24"/>
  <c r="BO53" i="24"/>
  <c r="BP53" i="24"/>
  <c r="BQ53" i="24"/>
  <c r="BR53" i="24"/>
  <c r="BT53" i="24"/>
  <c r="BU53" i="24"/>
  <c r="BV53" i="24"/>
  <c r="BZ53" i="24"/>
  <c r="CA53" i="24"/>
  <c r="CB53" i="24"/>
  <c r="CC53" i="24"/>
  <c r="CD53" i="24"/>
  <c r="CF53" i="24"/>
  <c r="CG53" i="24"/>
  <c r="CH53" i="24"/>
  <c r="F59" i="24"/>
  <c r="G59" i="24"/>
  <c r="H59" i="24"/>
  <c r="I59" i="24"/>
  <c r="J59" i="24"/>
  <c r="L59" i="24"/>
  <c r="M59" i="24"/>
  <c r="N59" i="24"/>
  <c r="R59" i="24"/>
  <c r="S59" i="24"/>
  <c r="T59" i="24"/>
  <c r="U59" i="24"/>
  <c r="V59" i="24"/>
  <c r="X59" i="24"/>
  <c r="Y59" i="24"/>
  <c r="Z59" i="24"/>
  <c r="AD59" i="24"/>
  <c r="AE59" i="24"/>
  <c r="AF59" i="24"/>
  <c r="AG59" i="24"/>
  <c r="AH59" i="24"/>
  <c r="AJ59" i="24"/>
  <c r="AK59" i="24"/>
  <c r="AL59" i="24"/>
  <c r="AP59" i="24"/>
  <c r="AQ59" i="24"/>
  <c r="AR59" i="24"/>
  <c r="AS59" i="24"/>
  <c r="AT59" i="24"/>
  <c r="AW59" i="24"/>
  <c r="AX59" i="24"/>
  <c r="BB59" i="24"/>
  <c r="BC59" i="24"/>
  <c r="BD59" i="24"/>
  <c r="BE59" i="24"/>
  <c r="BF59" i="24"/>
  <c r="BI59" i="24"/>
  <c r="BJ59" i="24"/>
  <c r="BN59" i="24"/>
  <c r="BO59" i="24"/>
  <c r="BP59" i="24"/>
  <c r="BQ59" i="24"/>
  <c r="BR59" i="24"/>
  <c r="BT59" i="24"/>
  <c r="BU59" i="24"/>
  <c r="BV59" i="24"/>
  <c r="BZ59" i="24"/>
  <c r="CA59" i="24"/>
  <c r="CB59" i="24"/>
  <c r="CC59" i="24"/>
  <c r="CD59" i="24"/>
  <c r="CF59" i="24"/>
  <c r="CG59" i="24"/>
  <c r="CH59" i="24"/>
  <c r="F60" i="24"/>
  <c r="G60" i="24"/>
  <c r="H60" i="24"/>
  <c r="I60" i="24"/>
  <c r="J60" i="24"/>
  <c r="L60" i="24"/>
  <c r="M60" i="24"/>
  <c r="N60" i="24"/>
  <c r="R60" i="24"/>
  <c r="S60" i="24"/>
  <c r="T60" i="24"/>
  <c r="U60" i="24"/>
  <c r="V60" i="24"/>
  <c r="X60" i="24"/>
  <c r="Y60" i="24"/>
  <c r="Z60" i="24"/>
  <c r="AD60" i="24"/>
  <c r="AE60" i="24"/>
  <c r="AF60" i="24"/>
  <c r="AG60" i="24"/>
  <c r="AH60" i="24"/>
  <c r="AK60" i="24"/>
  <c r="AL60" i="24"/>
  <c r="AP60" i="24"/>
  <c r="AQ60" i="24"/>
  <c r="AR60" i="24"/>
  <c r="AS60" i="24"/>
  <c r="AT60" i="24"/>
  <c r="AW60" i="24"/>
  <c r="AX60" i="24"/>
  <c r="AY60" i="24"/>
  <c r="BB60" i="24"/>
  <c r="BC60" i="24"/>
  <c r="BD60" i="24"/>
  <c r="BE60" i="24"/>
  <c r="BF60" i="24"/>
  <c r="BH60" i="24"/>
  <c r="BI60" i="24"/>
  <c r="BJ60" i="24"/>
  <c r="BN60" i="24"/>
  <c r="BO60" i="24"/>
  <c r="BP60" i="24"/>
  <c r="BQ60" i="24"/>
  <c r="BR60" i="24"/>
  <c r="BT60" i="24"/>
  <c r="BU60" i="24"/>
  <c r="BV60" i="24"/>
  <c r="BZ60" i="24"/>
  <c r="CA60" i="24"/>
  <c r="CB60" i="24"/>
  <c r="CC60" i="24"/>
  <c r="CD60" i="24"/>
  <c r="CF60" i="24"/>
  <c r="CG60" i="24"/>
  <c r="CH60" i="24"/>
  <c r="F61" i="24"/>
  <c r="G61" i="24"/>
  <c r="H61" i="24"/>
  <c r="I61" i="24"/>
  <c r="J61" i="24"/>
  <c r="L61" i="24"/>
  <c r="M61" i="24"/>
  <c r="N61" i="24"/>
  <c r="O61" i="24"/>
  <c r="R61" i="24"/>
  <c r="S61" i="24"/>
  <c r="T61" i="24"/>
  <c r="U61" i="24"/>
  <c r="V61" i="24"/>
  <c r="X61" i="24"/>
  <c r="Y61" i="24"/>
  <c r="Z61" i="24"/>
  <c r="AD61" i="24"/>
  <c r="AE61" i="24"/>
  <c r="AF61" i="24"/>
  <c r="AG61" i="24"/>
  <c r="AH61" i="24"/>
  <c r="AK61" i="24"/>
  <c r="AL61" i="24"/>
  <c r="AP61" i="24"/>
  <c r="AQ61" i="24"/>
  <c r="AR61" i="24"/>
  <c r="AS61" i="24"/>
  <c r="AT61" i="24"/>
  <c r="AV61" i="24"/>
  <c r="AW61" i="24"/>
  <c r="AX61" i="24"/>
  <c r="BB61" i="24"/>
  <c r="BC61" i="24"/>
  <c r="BD61" i="24"/>
  <c r="BE61" i="24"/>
  <c r="BF61" i="24"/>
  <c r="BH61" i="24"/>
  <c r="BI61" i="24"/>
  <c r="BJ61" i="24"/>
  <c r="BK61" i="24"/>
  <c r="BN61" i="24"/>
  <c r="BO61" i="24"/>
  <c r="BP61" i="24"/>
  <c r="BQ61" i="24"/>
  <c r="BR61" i="24"/>
  <c r="BT61" i="24"/>
  <c r="BU61" i="24"/>
  <c r="BV61" i="24"/>
  <c r="BZ61" i="24"/>
  <c r="CA61" i="24"/>
  <c r="CB61" i="24"/>
  <c r="CC61" i="24"/>
  <c r="CD61" i="24"/>
  <c r="CF61" i="24"/>
  <c r="CG61" i="24"/>
  <c r="CH61" i="24"/>
  <c r="F62" i="24"/>
  <c r="G62" i="24"/>
  <c r="H62" i="24"/>
  <c r="I62" i="24"/>
  <c r="J62" i="24"/>
  <c r="L62" i="24"/>
  <c r="M62" i="24"/>
  <c r="N62" i="24"/>
  <c r="R62" i="24"/>
  <c r="S62" i="24"/>
  <c r="T62" i="24"/>
  <c r="U62" i="24"/>
  <c r="V62" i="24"/>
  <c r="Y62" i="24"/>
  <c r="Z62" i="24"/>
  <c r="AD62" i="24"/>
  <c r="AE62" i="24"/>
  <c r="AF62" i="24"/>
  <c r="AG62" i="24"/>
  <c r="AH62" i="24"/>
  <c r="AJ62" i="24"/>
  <c r="AK62" i="24"/>
  <c r="AL62" i="24"/>
  <c r="AP62" i="24"/>
  <c r="AQ62" i="24"/>
  <c r="AR62" i="24"/>
  <c r="AS62" i="24"/>
  <c r="AT62" i="24"/>
  <c r="AV62" i="24"/>
  <c r="AW62" i="24"/>
  <c r="AX62" i="24"/>
  <c r="BB62" i="24"/>
  <c r="BC62" i="24"/>
  <c r="BD62" i="24"/>
  <c r="BE62" i="24"/>
  <c r="BF62" i="24"/>
  <c r="BH62" i="24"/>
  <c r="BI62" i="24"/>
  <c r="BJ62" i="24"/>
  <c r="BN62" i="24"/>
  <c r="BO62" i="24"/>
  <c r="BP62" i="24"/>
  <c r="BQ62" i="24"/>
  <c r="BR62" i="24"/>
  <c r="BT62" i="24"/>
  <c r="BU62" i="24"/>
  <c r="BV62" i="24"/>
  <c r="BZ62" i="24"/>
  <c r="CA62" i="24"/>
  <c r="CB62" i="24"/>
  <c r="CC62" i="24"/>
  <c r="CD62" i="24"/>
  <c r="CG62" i="24"/>
  <c r="CH62" i="24"/>
  <c r="F63" i="24"/>
  <c r="G63" i="24"/>
  <c r="H63" i="24"/>
  <c r="I63" i="24"/>
  <c r="J63" i="24"/>
  <c r="L63" i="24"/>
  <c r="M63" i="24"/>
  <c r="N63" i="24"/>
  <c r="R63" i="24"/>
  <c r="S63" i="24"/>
  <c r="T63" i="24"/>
  <c r="U63" i="24"/>
  <c r="V63" i="24"/>
  <c r="X63" i="24"/>
  <c r="Y63" i="24"/>
  <c r="Z63" i="24"/>
  <c r="AD63" i="24"/>
  <c r="AE63" i="24"/>
  <c r="AF63" i="24"/>
  <c r="AG63" i="24"/>
  <c r="AH63" i="24"/>
  <c r="AJ63" i="24"/>
  <c r="AK63" i="24"/>
  <c r="AL63" i="24"/>
  <c r="AP63" i="24"/>
  <c r="AQ63" i="24"/>
  <c r="AR63" i="24"/>
  <c r="AS63" i="24"/>
  <c r="AT63" i="24"/>
  <c r="AV63" i="24"/>
  <c r="AW63" i="24"/>
  <c r="AX63" i="24"/>
  <c r="BB63" i="24"/>
  <c r="BC63" i="24"/>
  <c r="BD63" i="24"/>
  <c r="BE63" i="24"/>
  <c r="BF63" i="24"/>
  <c r="BH63" i="24"/>
  <c r="BI63" i="24"/>
  <c r="BJ63" i="24"/>
  <c r="BN63" i="24"/>
  <c r="BO63" i="24"/>
  <c r="BP63" i="24"/>
  <c r="BQ63" i="24"/>
  <c r="BR63" i="24"/>
  <c r="BT63" i="24"/>
  <c r="BU63" i="24"/>
  <c r="BV63" i="24"/>
  <c r="BZ63" i="24"/>
  <c r="CA63" i="24"/>
  <c r="CB63" i="24"/>
  <c r="CC63" i="24"/>
  <c r="CD63" i="24"/>
  <c r="CG63" i="24"/>
  <c r="CH63" i="24"/>
  <c r="G64" i="24"/>
  <c r="I64" i="24"/>
  <c r="J64" i="24"/>
  <c r="L64" i="24"/>
  <c r="M64" i="24"/>
  <c r="BH64" i="24"/>
  <c r="BI64" i="24"/>
  <c r="BN64" i="24"/>
  <c r="BP64" i="24"/>
  <c r="BR64" i="24"/>
  <c r="BT64" i="24"/>
  <c r="CA64" i="24"/>
  <c r="CB64" i="24"/>
  <c r="CC64" i="24"/>
  <c r="CD64" i="24"/>
  <c r="F65" i="24"/>
  <c r="G65" i="24"/>
  <c r="H65" i="24"/>
  <c r="I65" i="24"/>
  <c r="J65" i="24"/>
  <c r="K65" i="24"/>
  <c r="L65" i="24"/>
  <c r="M65" i="24"/>
  <c r="N65" i="24"/>
  <c r="Q65" i="24"/>
  <c r="R65" i="24"/>
  <c r="S65" i="24"/>
  <c r="T65" i="24"/>
  <c r="U65" i="24"/>
  <c r="V65" i="24"/>
  <c r="W65" i="24"/>
  <c r="X65" i="24"/>
  <c r="Y65" i="24"/>
  <c r="Z65" i="24"/>
  <c r="AC65" i="24"/>
  <c r="AD65" i="24"/>
  <c r="AE65" i="24"/>
  <c r="AF65" i="24"/>
  <c r="AG65" i="24"/>
  <c r="AH65" i="24"/>
  <c r="AI65" i="24"/>
  <c r="AJ65" i="24"/>
  <c r="AK65" i="24"/>
  <c r="AL65" i="24"/>
  <c r="AO65" i="24"/>
  <c r="AP65" i="24"/>
  <c r="AQ65" i="24"/>
  <c r="AR65" i="24"/>
  <c r="AS65" i="24"/>
  <c r="AT65" i="24"/>
  <c r="AU65" i="24"/>
  <c r="AV65" i="24"/>
  <c r="AW65" i="24"/>
  <c r="AX65" i="24"/>
  <c r="BA65" i="24"/>
  <c r="BB65" i="24"/>
  <c r="BC65" i="24"/>
  <c r="BD65" i="24"/>
  <c r="BE65" i="24"/>
  <c r="BF65" i="24"/>
  <c r="BG65" i="24"/>
  <c r="BH65" i="24"/>
  <c r="BI65" i="24"/>
  <c r="BJ65" i="24"/>
  <c r="BM65" i="24"/>
  <c r="BN65" i="24"/>
  <c r="BO65" i="24"/>
  <c r="BP65" i="24"/>
  <c r="BQ65" i="24"/>
  <c r="BR65" i="24"/>
  <c r="BS65" i="24"/>
  <c r="BT65" i="24"/>
  <c r="BU65" i="24"/>
  <c r="BV65" i="24"/>
  <c r="BY65" i="24"/>
  <c r="BZ65" i="24"/>
  <c r="CA65" i="24"/>
  <c r="CB65" i="24"/>
  <c r="CC65" i="24"/>
  <c r="CD65" i="24"/>
  <c r="CE65" i="24"/>
  <c r="CF65" i="24"/>
  <c r="CG65" i="24"/>
  <c r="CH65" i="24"/>
  <c r="CK65" i="24"/>
  <c r="J78" i="24"/>
  <c r="M78" i="24"/>
  <c r="BI78" i="24"/>
  <c r="BN78" i="24"/>
  <c r="F79" i="24"/>
  <c r="G79" i="24"/>
  <c r="H79" i="24"/>
  <c r="I79" i="24"/>
  <c r="J79" i="24"/>
  <c r="K79" i="24"/>
  <c r="L79" i="24"/>
  <c r="M79" i="24"/>
  <c r="N79" i="24"/>
  <c r="Q79" i="24"/>
  <c r="R79" i="24"/>
  <c r="S79" i="24"/>
  <c r="T79" i="24"/>
  <c r="U79" i="24"/>
  <c r="V79" i="24"/>
  <c r="W79" i="24"/>
  <c r="X79" i="24"/>
  <c r="Y79" i="24"/>
  <c r="Z79" i="24"/>
  <c r="AC79" i="24"/>
  <c r="AD79" i="24"/>
  <c r="AE79" i="24"/>
  <c r="AF79" i="24"/>
  <c r="AG79" i="24"/>
  <c r="AH79" i="24"/>
  <c r="AI79" i="24"/>
  <c r="AJ79" i="24"/>
  <c r="AK79" i="24"/>
  <c r="AL79" i="24"/>
  <c r="AO79" i="24"/>
  <c r="AP79" i="24"/>
  <c r="AQ79" i="24"/>
  <c r="AR79" i="24"/>
  <c r="AS79" i="24"/>
  <c r="AT79" i="24"/>
  <c r="AU79" i="24"/>
  <c r="AV79" i="24"/>
  <c r="AW79" i="24"/>
  <c r="AX79" i="24"/>
  <c r="BA79" i="24"/>
  <c r="BB79" i="24"/>
  <c r="BC79" i="24"/>
  <c r="BD79" i="24"/>
  <c r="BE79" i="24"/>
  <c r="BF79" i="24"/>
  <c r="BG79" i="24"/>
  <c r="BH79" i="24"/>
  <c r="BI79" i="24"/>
  <c r="BJ79" i="24"/>
  <c r="BM79" i="24"/>
  <c r="BN79" i="24"/>
  <c r="BO79" i="24"/>
  <c r="BP79" i="24"/>
  <c r="BQ79" i="24"/>
  <c r="BR79" i="24"/>
  <c r="BS79" i="24"/>
  <c r="BT79" i="24"/>
  <c r="BU79" i="24"/>
  <c r="BV79" i="24"/>
  <c r="BY79" i="24"/>
  <c r="BZ79" i="24"/>
  <c r="CA79" i="24"/>
  <c r="CB79" i="24"/>
  <c r="CC79" i="24"/>
  <c r="CD79" i="24"/>
  <c r="CE79" i="24"/>
  <c r="CF79" i="24"/>
  <c r="CG79" i="24"/>
  <c r="CH79" i="24"/>
  <c r="CK79" i="24"/>
  <c r="F80" i="24"/>
  <c r="G80" i="24"/>
  <c r="H80" i="24"/>
  <c r="I80" i="24"/>
  <c r="J80" i="24"/>
  <c r="K80" i="24"/>
  <c r="L80" i="24"/>
  <c r="M80" i="24"/>
  <c r="N80" i="24"/>
  <c r="Q80" i="24"/>
  <c r="R80" i="24"/>
  <c r="S80" i="24"/>
  <c r="T80" i="24"/>
  <c r="U80" i="24"/>
  <c r="V80" i="24"/>
  <c r="W80" i="24"/>
  <c r="X80" i="24"/>
  <c r="Y80" i="24"/>
  <c r="Z80" i="24"/>
  <c r="AA80" i="24"/>
  <c r="AC80" i="24"/>
  <c r="AD80" i="24"/>
  <c r="AE80" i="24"/>
  <c r="AF80" i="24"/>
  <c r="AG80" i="24"/>
  <c r="AH80" i="24"/>
  <c r="AI80" i="24"/>
  <c r="AJ80" i="24"/>
  <c r="AK80" i="24"/>
  <c r="AL80" i="24"/>
  <c r="AM80" i="24"/>
  <c r="AO80" i="24"/>
  <c r="AP80" i="24"/>
  <c r="AQ80" i="24"/>
  <c r="AR80" i="24"/>
  <c r="AS80" i="24"/>
  <c r="AT80" i="24"/>
  <c r="AU80" i="24"/>
  <c r="AV80" i="24"/>
  <c r="AW80" i="24"/>
  <c r="AX80" i="24"/>
  <c r="BA80" i="24"/>
  <c r="BB80" i="24"/>
  <c r="BC80" i="24"/>
  <c r="BD80" i="24"/>
  <c r="BE80" i="24"/>
  <c r="BF80" i="24"/>
  <c r="BG80" i="24"/>
  <c r="BH80" i="24"/>
  <c r="BI80" i="24"/>
  <c r="BJ80" i="24"/>
  <c r="BM80" i="24"/>
  <c r="BN80" i="24"/>
  <c r="BO80" i="24"/>
  <c r="BP80" i="24"/>
  <c r="BQ80" i="24"/>
  <c r="BR80" i="24"/>
  <c r="BS80" i="24"/>
  <c r="BT80" i="24"/>
  <c r="BU80" i="24"/>
  <c r="BV80" i="24"/>
  <c r="BY80" i="24"/>
  <c r="BZ80" i="24"/>
  <c r="CA80" i="24"/>
  <c r="CB80" i="24"/>
  <c r="CC80" i="24"/>
  <c r="CD80" i="24"/>
  <c r="CE80" i="24"/>
  <c r="CF80" i="24"/>
  <c r="CG80" i="24"/>
  <c r="CH80" i="24"/>
  <c r="CK80" i="24"/>
  <c r="F81" i="24"/>
  <c r="G81" i="24"/>
  <c r="H81" i="24"/>
  <c r="I81" i="24"/>
  <c r="J81" i="24"/>
  <c r="K81" i="24"/>
  <c r="L81" i="24"/>
  <c r="M81" i="24"/>
  <c r="N81" i="24"/>
  <c r="Q81" i="24"/>
  <c r="R81" i="24"/>
  <c r="S81" i="24"/>
  <c r="T81" i="24"/>
  <c r="U81" i="24"/>
  <c r="V81" i="24"/>
  <c r="W81" i="24"/>
  <c r="X81" i="24"/>
  <c r="Y81" i="24"/>
  <c r="Z81" i="24"/>
  <c r="AC81" i="24"/>
  <c r="AD81" i="24"/>
  <c r="AE81" i="24"/>
  <c r="AF81" i="24"/>
  <c r="AG81" i="24"/>
  <c r="AH81" i="24"/>
  <c r="AI81" i="24"/>
  <c r="AJ81" i="24"/>
  <c r="AK81" i="24"/>
  <c r="AL81" i="24"/>
  <c r="AO81" i="24"/>
  <c r="AP81" i="24"/>
  <c r="AQ81" i="24"/>
  <c r="AR81" i="24"/>
  <c r="AS81" i="24"/>
  <c r="AT81" i="24"/>
  <c r="AU81" i="24"/>
  <c r="AV81" i="24"/>
  <c r="AW81" i="24"/>
  <c r="AX81" i="24"/>
  <c r="BA81" i="24"/>
  <c r="BB81" i="24"/>
  <c r="BC81" i="24"/>
  <c r="BD81" i="24"/>
  <c r="BE81" i="24"/>
  <c r="BF81" i="24"/>
  <c r="BG81" i="24"/>
  <c r="BH81" i="24"/>
  <c r="BI81" i="24"/>
  <c r="BJ81" i="24"/>
  <c r="BM81" i="24"/>
  <c r="BN81" i="24"/>
  <c r="BO81" i="24"/>
  <c r="BP81" i="24"/>
  <c r="BQ81" i="24"/>
  <c r="BR81" i="24"/>
  <c r="BS81" i="24"/>
  <c r="BT81" i="24"/>
  <c r="BU81" i="24"/>
  <c r="BV81" i="24"/>
  <c r="BY81" i="24"/>
  <c r="BZ81" i="24"/>
  <c r="CA81" i="24"/>
  <c r="CB81" i="24"/>
  <c r="CC81" i="24"/>
  <c r="CD81" i="24"/>
  <c r="CE81" i="24"/>
  <c r="CF81" i="24"/>
  <c r="CG81" i="24"/>
  <c r="CH81" i="24"/>
  <c r="CK81" i="24"/>
  <c r="F82" i="24"/>
  <c r="G82" i="24"/>
  <c r="H82" i="24"/>
  <c r="I82" i="24"/>
  <c r="J82" i="24"/>
  <c r="K82" i="24"/>
  <c r="L82" i="24"/>
  <c r="M82" i="24"/>
  <c r="N82" i="24"/>
  <c r="O82" i="24"/>
  <c r="Q82" i="24"/>
  <c r="R82" i="24"/>
  <c r="S82" i="24"/>
  <c r="T82" i="24"/>
  <c r="U82" i="24"/>
  <c r="V82" i="24"/>
  <c r="W82" i="24"/>
  <c r="X82" i="24"/>
  <c r="Y82" i="24"/>
  <c r="Z82" i="24"/>
  <c r="AA82" i="24"/>
  <c r="AC82" i="24"/>
  <c r="AD82" i="24"/>
  <c r="AE82" i="24"/>
  <c r="AF82" i="24"/>
  <c r="AG82" i="24"/>
  <c r="AH82" i="24"/>
  <c r="AI82" i="24"/>
  <c r="AJ82" i="24"/>
  <c r="AK82" i="24"/>
  <c r="AL82" i="24"/>
  <c r="AO82" i="24"/>
  <c r="AP82" i="24"/>
  <c r="AQ82" i="24"/>
  <c r="AR82" i="24"/>
  <c r="AS82" i="24"/>
  <c r="AT82" i="24"/>
  <c r="AU82" i="24"/>
  <c r="AV82" i="24"/>
  <c r="AW82" i="24"/>
  <c r="AX82" i="24"/>
  <c r="BA82" i="24"/>
  <c r="BB82" i="24"/>
  <c r="BC82" i="24"/>
  <c r="BD82" i="24"/>
  <c r="BE82" i="24"/>
  <c r="BF82" i="24"/>
  <c r="BG82" i="24"/>
  <c r="BH82" i="24"/>
  <c r="BI82" i="24"/>
  <c r="BJ82" i="24"/>
  <c r="BM82" i="24"/>
  <c r="BN82" i="24"/>
  <c r="BO82" i="24"/>
  <c r="BP82" i="24"/>
  <c r="BQ82" i="24"/>
  <c r="BR82" i="24"/>
  <c r="BS82" i="24"/>
  <c r="BT82" i="24"/>
  <c r="BU82" i="24"/>
  <c r="BV82" i="24"/>
  <c r="BY82" i="24"/>
  <c r="BZ82" i="24"/>
  <c r="CA82" i="24"/>
  <c r="CB82" i="24"/>
  <c r="CC82" i="24"/>
  <c r="CD82" i="24"/>
  <c r="CE82" i="24"/>
  <c r="CF82" i="24"/>
  <c r="CG82" i="24"/>
  <c r="CH82" i="24"/>
  <c r="CK82" i="24"/>
  <c r="F84" i="24"/>
  <c r="G84" i="24"/>
  <c r="H84" i="24"/>
  <c r="I84" i="24"/>
  <c r="J84" i="24"/>
  <c r="K84" i="24"/>
  <c r="L84" i="24"/>
  <c r="M84" i="24"/>
  <c r="N84" i="24"/>
  <c r="Q84" i="24"/>
  <c r="R84" i="24"/>
  <c r="S84" i="24"/>
  <c r="T84" i="24"/>
  <c r="U84" i="24"/>
  <c r="V84" i="24"/>
  <c r="W84" i="24"/>
  <c r="X84" i="24"/>
  <c r="Y84" i="24"/>
  <c r="Z84" i="24"/>
  <c r="AC84" i="24"/>
  <c r="AD84" i="24"/>
  <c r="AE84" i="24"/>
  <c r="AF84" i="24"/>
  <c r="AG84" i="24"/>
  <c r="AH84" i="24"/>
  <c r="AI84" i="24"/>
  <c r="AJ84" i="24"/>
  <c r="AK84" i="24"/>
  <c r="AL84" i="24"/>
  <c r="AO84" i="24"/>
  <c r="AP84" i="24"/>
  <c r="AQ84" i="24"/>
  <c r="AR84" i="24"/>
  <c r="AS84" i="24"/>
  <c r="AT84" i="24"/>
  <c r="AU84" i="24"/>
  <c r="AV84" i="24"/>
  <c r="AW84" i="24"/>
  <c r="AX84" i="24"/>
  <c r="BA84" i="24"/>
  <c r="BB84" i="24"/>
  <c r="BC84" i="24"/>
  <c r="BD84" i="24"/>
  <c r="BE84" i="24"/>
  <c r="BF84" i="24"/>
  <c r="BG84" i="24"/>
  <c r="BH84" i="24"/>
  <c r="BI84" i="24"/>
  <c r="BJ84" i="24"/>
  <c r="BM84" i="24"/>
  <c r="BN84" i="24"/>
  <c r="BO84" i="24"/>
  <c r="BP84" i="24"/>
  <c r="BQ84" i="24"/>
  <c r="BR84" i="24"/>
  <c r="BS84" i="24"/>
  <c r="BT84" i="24"/>
  <c r="BU84" i="24"/>
  <c r="BV84" i="24"/>
  <c r="BY84" i="24"/>
  <c r="BZ84" i="24"/>
  <c r="CA84" i="24"/>
  <c r="CB84" i="24"/>
  <c r="CC84" i="24"/>
  <c r="CD84" i="24"/>
  <c r="CE84" i="24"/>
  <c r="CF84" i="24"/>
  <c r="CG84" i="24"/>
  <c r="CH84" i="24"/>
  <c r="CK84" i="24"/>
  <c r="F85" i="24"/>
  <c r="G85" i="24"/>
  <c r="H85" i="24"/>
  <c r="I85" i="24"/>
  <c r="J85" i="24"/>
  <c r="K85" i="24"/>
  <c r="L85" i="24"/>
  <c r="M85" i="24"/>
  <c r="N85" i="24"/>
  <c r="Q85" i="24"/>
  <c r="R85" i="24"/>
  <c r="S85" i="24"/>
  <c r="T85" i="24"/>
  <c r="U85" i="24"/>
  <c r="V85" i="24"/>
  <c r="W85" i="24"/>
  <c r="X85" i="24"/>
  <c r="Y85" i="24"/>
  <c r="Z85" i="24"/>
  <c r="AC85" i="24"/>
  <c r="AD85" i="24"/>
  <c r="AE85" i="24"/>
  <c r="AF85" i="24"/>
  <c r="AG85" i="24"/>
  <c r="AH85" i="24"/>
  <c r="AI85" i="24"/>
  <c r="AJ85" i="24"/>
  <c r="AK85" i="24"/>
  <c r="AL85" i="24"/>
  <c r="AO85" i="24"/>
  <c r="AP85" i="24"/>
  <c r="AQ85" i="24"/>
  <c r="AR85" i="24"/>
  <c r="AS85" i="24"/>
  <c r="AT85" i="24"/>
  <c r="AU85" i="24"/>
  <c r="AV85" i="24"/>
  <c r="AW85" i="24"/>
  <c r="AX85" i="24"/>
  <c r="BA85" i="24"/>
  <c r="BB85" i="24"/>
  <c r="BC85" i="24"/>
  <c r="BD85" i="24"/>
  <c r="BE85" i="24"/>
  <c r="BF85" i="24"/>
  <c r="BG85" i="24"/>
  <c r="BH85" i="24"/>
  <c r="BI85" i="24"/>
  <c r="BJ85" i="24"/>
  <c r="BM85" i="24"/>
  <c r="BN85" i="24"/>
  <c r="BO85" i="24"/>
  <c r="BP85" i="24"/>
  <c r="BQ85" i="24"/>
  <c r="BR85" i="24"/>
  <c r="BS85" i="24"/>
  <c r="BT85" i="24"/>
  <c r="BU85" i="24"/>
  <c r="BV85" i="24"/>
  <c r="BY85" i="24"/>
  <c r="BZ85" i="24"/>
  <c r="CA85" i="24"/>
  <c r="CB85" i="24"/>
  <c r="CC85" i="24"/>
  <c r="CD85" i="24"/>
  <c r="CE85" i="24"/>
  <c r="CF85" i="24"/>
  <c r="CG85" i="24"/>
  <c r="CH85" i="24"/>
  <c r="CK85" i="24"/>
  <c r="F86" i="24"/>
  <c r="G86" i="24"/>
  <c r="H86" i="24"/>
  <c r="I86" i="24"/>
  <c r="J86" i="24"/>
  <c r="K86" i="24"/>
  <c r="L86" i="24"/>
  <c r="M86" i="24"/>
  <c r="N86" i="24"/>
  <c r="Q86" i="24"/>
  <c r="R86" i="24"/>
  <c r="S86" i="24"/>
  <c r="T86" i="24"/>
  <c r="U86" i="24"/>
  <c r="V86" i="24"/>
  <c r="W86" i="24"/>
  <c r="X86" i="24"/>
  <c r="Y86" i="24"/>
  <c r="Z86" i="24"/>
  <c r="AC86" i="24"/>
  <c r="AD86" i="24"/>
  <c r="AE86" i="24"/>
  <c r="AF86" i="24"/>
  <c r="AG86" i="24"/>
  <c r="AH86" i="24"/>
  <c r="AI86" i="24"/>
  <c r="AJ86" i="24"/>
  <c r="AK86" i="24"/>
  <c r="AL86" i="24"/>
  <c r="AO86" i="24"/>
  <c r="AP86" i="24"/>
  <c r="AQ86" i="24"/>
  <c r="AR86" i="24"/>
  <c r="AS86" i="24"/>
  <c r="AT86" i="24"/>
  <c r="AU86" i="24"/>
  <c r="AV86" i="24"/>
  <c r="AW86" i="24"/>
  <c r="AX86" i="24"/>
  <c r="BA86" i="24"/>
  <c r="BB86" i="24"/>
  <c r="BC86" i="24"/>
  <c r="BD86" i="24"/>
  <c r="BE86" i="24"/>
  <c r="BF86" i="24"/>
  <c r="BG86" i="24"/>
  <c r="BH86" i="24"/>
  <c r="BI86" i="24"/>
  <c r="BJ86" i="24"/>
  <c r="BM86" i="24"/>
  <c r="BN86" i="24"/>
  <c r="BO86" i="24"/>
  <c r="BP86" i="24"/>
  <c r="BQ86" i="24"/>
  <c r="BR86" i="24"/>
  <c r="BS86" i="24"/>
  <c r="BT86" i="24"/>
  <c r="BU86" i="24"/>
  <c r="BV86" i="24"/>
  <c r="BY86" i="24"/>
  <c r="BZ86" i="24"/>
  <c r="CA86" i="24"/>
  <c r="CB86" i="24"/>
  <c r="CC86" i="24"/>
  <c r="CD86" i="24"/>
  <c r="CE86" i="24"/>
  <c r="CF86" i="24"/>
  <c r="CG86" i="24"/>
  <c r="CH86" i="24"/>
  <c r="CK86" i="24"/>
  <c r="F87" i="24"/>
  <c r="G87" i="24"/>
  <c r="H87" i="24"/>
  <c r="I87" i="24"/>
  <c r="J87" i="24"/>
  <c r="K87" i="24"/>
  <c r="L87" i="24"/>
  <c r="M87" i="24"/>
  <c r="N87" i="24"/>
  <c r="Q87" i="24"/>
  <c r="R87" i="24"/>
  <c r="S87" i="24"/>
  <c r="T87" i="24"/>
  <c r="U87" i="24"/>
  <c r="V87" i="24"/>
  <c r="W87" i="24"/>
  <c r="X87" i="24"/>
  <c r="Y87" i="24"/>
  <c r="Z87" i="24"/>
  <c r="AC87" i="24"/>
  <c r="AD87" i="24"/>
  <c r="AE87" i="24"/>
  <c r="AF87" i="24"/>
  <c r="AG87" i="24"/>
  <c r="AH87" i="24"/>
  <c r="AI87" i="24"/>
  <c r="AJ87" i="24"/>
  <c r="AK87" i="24"/>
  <c r="AL87" i="24"/>
  <c r="AO87" i="24"/>
  <c r="AP87" i="24"/>
  <c r="AQ87" i="24"/>
  <c r="AR87" i="24"/>
  <c r="AS87" i="24"/>
  <c r="AT87" i="24"/>
  <c r="AU87" i="24"/>
  <c r="AV87" i="24"/>
  <c r="AW87" i="24"/>
  <c r="AX87" i="24"/>
  <c r="BA87" i="24"/>
  <c r="BB87" i="24"/>
  <c r="BC87" i="24"/>
  <c r="BD87" i="24"/>
  <c r="BE87" i="24"/>
  <c r="BF87" i="24"/>
  <c r="BG87" i="24"/>
  <c r="BH87" i="24"/>
  <c r="BI87" i="24"/>
  <c r="BJ87" i="24"/>
  <c r="BM87" i="24"/>
  <c r="BN87" i="24"/>
  <c r="BO87" i="24"/>
  <c r="BP87" i="24"/>
  <c r="BQ87" i="24"/>
  <c r="BR87" i="24"/>
  <c r="BS87" i="24"/>
  <c r="BT87" i="24"/>
  <c r="BU87" i="24"/>
  <c r="BV87" i="24"/>
  <c r="BY87" i="24"/>
  <c r="BZ87" i="24"/>
  <c r="CA87" i="24"/>
  <c r="CB87" i="24"/>
  <c r="CC87" i="24"/>
  <c r="CD87" i="24"/>
  <c r="CE87" i="24"/>
  <c r="CF87" i="24"/>
  <c r="CG87" i="24"/>
  <c r="CH87" i="24"/>
  <c r="CK87" i="24"/>
  <c r="F88" i="24"/>
  <c r="G88" i="24"/>
  <c r="H88" i="24"/>
  <c r="I88" i="24"/>
  <c r="J88" i="24"/>
  <c r="K88" i="24"/>
  <c r="L88" i="24"/>
  <c r="M88" i="24"/>
  <c r="N88" i="24"/>
  <c r="Q88" i="24"/>
  <c r="R88" i="24"/>
  <c r="S88" i="24"/>
  <c r="T88" i="24"/>
  <c r="U88" i="24"/>
  <c r="V88" i="24"/>
  <c r="W88" i="24"/>
  <c r="X88" i="24"/>
  <c r="Y88" i="24"/>
  <c r="Z88" i="24"/>
  <c r="AC88" i="24"/>
  <c r="AD88" i="24"/>
  <c r="AE88" i="24"/>
  <c r="AF88" i="24"/>
  <c r="AG88" i="24"/>
  <c r="AH88" i="24"/>
  <c r="AI88" i="24"/>
  <c r="AJ88" i="24"/>
  <c r="AK88" i="24"/>
  <c r="AL88" i="24"/>
  <c r="AO88" i="24"/>
  <c r="AP88" i="24"/>
  <c r="AQ88" i="24"/>
  <c r="AR88" i="24"/>
  <c r="AS88" i="24"/>
  <c r="AT88" i="24"/>
  <c r="AU88" i="24"/>
  <c r="AV88" i="24"/>
  <c r="AW88" i="24"/>
  <c r="AX88" i="24"/>
  <c r="BA88" i="24"/>
  <c r="BB88" i="24"/>
  <c r="BC88" i="24"/>
  <c r="BD88" i="24"/>
  <c r="BE88" i="24"/>
  <c r="BF88" i="24"/>
  <c r="BG88" i="24"/>
  <c r="BH88" i="24"/>
  <c r="BI88" i="24"/>
  <c r="BJ88" i="24"/>
  <c r="BM88" i="24"/>
  <c r="BN88" i="24"/>
  <c r="BO88" i="24"/>
  <c r="BP88" i="24"/>
  <c r="BQ88" i="24"/>
  <c r="BR88" i="24"/>
  <c r="BS88" i="24"/>
  <c r="BT88" i="24"/>
  <c r="BU88" i="24"/>
  <c r="BV88" i="24"/>
  <c r="BY88" i="24"/>
  <c r="BZ88" i="24"/>
  <c r="CA88" i="24"/>
  <c r="CB88" i="24"/>
  <c r="CC88" i="24"/>
  <c r="CD88" i="24"/>
  <c r="CE88" i="24"/>
  <c r="CF88" i="24"/>
  <c r="CG88" i="24"/>
  <c r="CH88" i="24"/>
  <c r="CK88" i="24"/>
  <c r="F89" i="24"/>
  <c r="G89" i="24"/>
  <c r="H89" i="24"/>
  <c r="I89" i="24"/>
  <c r="J89" i="24"/>
  <c r="K89" i="24"/>
  <c r="L89" i="24"/>
  <c r="M89" i="24"/>
  <c r="N89" i="24"/>
  <c r="Q89" i="24"/>
  <c r="R89" i="24"/>
  <c r="S89" i="24"/>
  <c r="T89" i="24"/>
  <c r="U89" i="24"/>
  <c r="V89" i="24"/>
  <c r="W89" i="24"/>
  <c r="X89" i="24"/>
  <c r="Y89" i="24"/>
  <c r="Z89" i="24"/>
  <c r="AC89" i="24"/>
  <c r="AD89" i="24"/>
  <c r="AE89" i="24"/>
  <c r="AF89" i="24"/>
  <c r="AG89" i="24"/>
  <c r="AH89" i="24"/>
  <c r="AI89" i="24"/>
  <c r="AJ89" i="24"/>
  <c r="AK89" i="24"/>
  <c r="AL89" i="24"/>
  <c r="AO89" i="24"/>
  <c r="AP89" i="24"/>
  <c r="AQ89" i="24"/>
  <c r="AR89" i="24"/>
  <c r="AS89" i="24"/>
  <c r="AT89" i="24"/>
  <c r="AU89" i="24"/>
  <c r="AV89" i="24"/>
  <c r="AW89" i="24"/>
  <c r="AX89" i="24"/>
  <c r="BA89" i="24"/>
  <c r="BB89" i="24"/>
  <c r="BC89" i="24"/>
  <c r="BD89" i="24"/>
  <c r="BE89" i="24"/>
  <c r="BF89" i="24"/>
  <c r="BG89" i="24"/>
  <c r="BH89" i="24"/>
  <c r="BI89" i="24"/>
  <c r="BJ89" i="24"/>
  <c r="BM89" i="24"/>
  <c r="BN89" i="24"/>
  <c r="BO89" i="24"/>
  <c r="BP89" i="24"/>
  <c r="BQ89" i="24"/>
  <c r="BR89" i="24"/>
  <c r="BS89" i="24"/>
  <c r="BT89" i="24"/>
  <c r="BU89" i="24"/>
  <c r="BV89" i="24"/>
  <c r="BY89" i="24"/>
  <c r="BZ89" i="24"/>
  <c r="CA89" i="24"/>
  <c r="CB89" i="24"/>
  <c r="CC89" i="24"/>
  <c r="CD89" i="24"/>
  <c r="CE89" i="24"/>
  <c r="CF89" i="24"/>
  <c r="CG89" i="24"/>
  <c r="CH89" i="24"/>
  <c r="CK89" i="24"/>
  <c r="J90" i="24"/>
  <c r="L90" i="24"/>
  <c r="Q90" i="24"/>
  <c r="BF90" i="24"/>
  <c r="BH90" i="24"/>
  <c r="BJ90" i="24"/>
  <c r="BV90" i="24"/>
  <c r="BY90" i="24"/>
  <c r="F92" i="24"/>
  <c r="G92" i="24"/>
  <c r="H92" i="24"/>
  <c r="I92" i="24"/>
  <c r="J92" i="24"/>
  <c r="K92" i="24"/>
  <c r="L92" i="24"/>
  <c r="M92" i="24"/>
  <c r="N92" i="24"/>
  <c r="O92" i="24"/>
  <c r="Q92" i="24"/>
  <c r="R92" i="24"/>
  <c r="S92" i="24"/>
  <c r="T92" i="24"/>
  <c r="U92" i="24"/>
  <c r="V92" i="24"/>
  <c r="W92" i="24"/>
  <c r="X92" i="24"/>
  <c r="Y92" i="24"/>
  <c r="Z92" i="24"/>
  <c r="AC92" i="24"/>
  <c r="AD92" i="24"/>
  <c r="AE92" i="24"/>
  <c r="AF92" i="24"/>
  <c r="AG92" i="24"/>
  <c r="AH92" i="24"/>
  <c r="AI92" i="24"/>
  <c r="AJ92" i="24"/>
  <c r="AK92" i="24"/>
  <c r="AL92" i="24"/>
  <c r="AO92" i="24"/>
  <c r="AP92" i="24"/>
  <c r="AQ92" i="24"/>
  <c r="AR92" i="24"/>
  <c r="AS92" i="24"/>
  <c r="AT92" i="24"/>
  <c r="AU92" i="24"/>
  <c r="AV92" i="24"/>
  <c r="AW92" i="24"/>
  <c r="AX92" i="24"/>
  <c r="BA92" i="24"/>
  <c r="BB92" i="24"/>
  <c r="BC92" i="24"/>
  <c r="BD92" i="24"/>
  <c r="BE92" i="24"/>
  <c r="BF92" i="24"/>
  <c r="BG92" i="24"/>
  <c r="BH92" i="24"/>
  <c r="BI92" i="24"/>
  <c r="BJ92" i="24"/>
  <c r="BM92" i="24"/>
  <c r="BN92" i="24"/>
  <c r="BO92" i="24"/>
  <c r="BP92" i="24"/>
  <c r="BQ92" i="24"/>
  <c r="BR92" i="24"/>
  <c r="BS92" i="24"/>
  <c r="BT92" i="24"/>
  <c r="BU92" i="24"/>
  <c r="BV92" i="24"/>
  <c r="BY92" i="24"/>
  <c r="BZ92" i="24"/>
  <c r="CA92" i="24"/>
  <c r="CB92" i="24"/>
  <c r="CC92" i="24"/>
  <c r="CD92" i="24"/>
  <c r="CE92" i="24"/>
  <c r="CF92" i="24"/>
  <c r="CG92" i="24"/>
  <c r="CH92" i="24"/>
  <c r="CK92" i="24"/>
  <c r="F93" i="24"/>
  <c r="G93" i="24"/>
  <c r="H93" i="24"/>
  <c r="I93" i="24"/>
  <c r="J93" i="24"/>
  <c r="K93" i="24"/>
  <c r="L93" i="24"/>
  <c r="M93" i="24"/>
  <c r="N93" i="24"/>
  <c r="Q93" i="24"/>
  <c r="R93" i="24"/>
  <c r="S93" i="24"/>
  <c r="T93" i="24"/>
  <c r="U93" i="24"/>
  <c r="V93" i="24"/>
  <c r="W93" i="24"/>
  <c r="X93" i="24"/>
  <c r="Y93" i="24"/>
  <c r="Z93" i="24"/>
  <c r="AC93" i="24"/>
  <c r="AD93" i="24"/>
  <c r="AE93" i="24"/>
  <c r="AF93" i="24"/>
  <c r="AG93" i="24"/>
  <c r="AH93" i="24"/>
  <c r="AI93" i="24"/>
  <c r="AJ93" i="24"/>
  <c r="AK93" i="24"/>
  <c r="AL93" i="24"/>
  <c r="AO93" i="24"/>
  <c r="AP93" i="24"/>
  <c r="AQ93" i="24"/>
  <c r="AR93" i="24"/>
  <c r="AS93" i="24"/>
  <c r="AT93" i="24"/>
  <c r="AU93" i="24"/>
  <c r="AV93" i="24"/>
  <c r="AW93" i="24"/>
  <c r="AX93" i="24"/>
  <c r="BA93" i="24"/>
  <c r="BB93" i="24"/>
  <c r="BC93" i="24"/>
  <c r="BD93" i="24"/>
  <c r="BE93" i="24"/>
  <c r="BF93" i="24"/>
  <c r="BG93" i="24"/>
  <c r="BH93" i="24"/>
  <c r="BI93" i="24"/>
  <c r="BJ93" i="24"/>
  <c r="BK93" i="24"/>
  <c r="BM93" i="24"/>
  <c r="BN93" i="24"/>
  <c r="BO93" i="24"/>
  <c r="BP93" i="24"/>
  <c r="BQ93" i="24"/>
  <c r="BR93" i="24"/>
  <c r="BS93" i="24"/>
  <c r="BT93" i="24"/>
  <c r="BU93" i="24"/>
  <c r="BV93" i="24"/>
  <c r="BW93" i="24"/>
  <c r="BY93" i="24"/>
  <c r="BZ93" i="24"/>
  <c r="CA93" i="24"/>
  <c r="CB93" i="24"/>
  <c r="CC93" i="24"/>
  <c r="CD93" i="24"/>
  <c r="CE93" i="24"/>
  <c r="CF93" i="24"/>
  <c r="CG93" i="24"/>
  <c r="CH93" i="24"/>
  <c r="CK93" i="24"/>
  <c r="C96" i="24"/>
  <c r="C4" i="22"/>
  <c r="C5" i="22"/>
  <c r="D6" i="22"/>
  <c r="D7" i="22"/>
  <c r="C9" i="22"/>
  <c r="D9" i="22"/>
  <c r="F9" i="22"/>
  <c r="F15" i="22" s="1"/>
  <c r="G9" i="22"/>
  <c r="G15" i="22" s="1"/>
  <c r="H9" i="22"/>
  <c r="H15" i="22" s="1"/>
  <c r="I9" i="22"/>
  <c r="I15" i="22" s="1"/>
  <c r="J9" i="22"/>
  <c r="K9" i="22"/>
  <c r="L9" i="22"/>
  <c r="M9" i="22"/>
  <c r="D10" i="22"/>
  <c r="J10" i="22"/>
  <c r="K10" i="22"/>
  <c r="L10" i="22"/>
  <c r="M10" i="22"/>
  <c r="D11" i="22"/>
  <c r="J11" i="22"/>
  <c r="K11" i="22"/>
  <c r="L11" i="22"/>
  <c r="M11" i="22"/>
  <c r="D12" i="22"/>
  <c r="J12" i="22"/>
  <c r="K12" i="22"/>
  <c r="L12" i="22"/>
  <c r="M12" i="22"/>
  <c r="D13" i="22"/>
  <c r="J13" i="22"/>
  <c r="K13" i="22"/>
  <c r="L13" i="22"/>
  <c r="M13" i="22"/>
  <c r="C15" i="22"/>
  <c r="D15" i="22"/>
  <c r="C36" i="22"/>
  <c r="D36" i="22"/>
  <c r="F38" i="22"/>
  <c r="J38" i="22"/>
  <c r="K38" i="22"/>
  <c r="L38" i="22"/>
  <c r="M38" i="22"/>
  <c r="C48" i="22"/>
  <c r="C4" i="21"/>
  <c r="C5" i="21"/>
  <c r="D6" i="21"/>
  <c r="D7" i="21"/>
  <c r="F9" i="21"/>
  <c r="E379" i="45" s="1"/>
  <c r="G9" i="21"/>
  <c r="G379" i="45" s="1"/>
  <c r="H9" i="21"/>
  <c r="H379" i="45" s="1"/>
  <c r="I9" i="21"/>
  <c r="J9" i="21"/>
  <c r="K9" i="21"/>
  <c r="L9" i="21"/>
  <c r="M9" i="21"/>
  <c r="E76" i="21"/>
  <c r="F10" i="21"/>
  <c r="G10" i="21"/>
  <c r="H10" i="21"/>
  <c r="I10" i="21"/>
  <c r="AW3" i="66" s="1"/>
  <c r="AW4" i="66" s="1"/>
  <c r="J10" i="21"/>
  <c r="K10" i="21"/>
  <c r="L10" i="21"/>
  <c r="M10" i="21"/>
  <c r="E77" i="21"/>
  <c r="F11" i="21"/>
  <c r="G11" i="21"/>
  <c r="H11" i="21"/>
  <c r="I11" i="21"/>
  <c r="I77" i="21" s="1"/>
  <c r="J11" i="21"/>
  <c r="K11" i="21"/>
  <c r="L11" i="21"/>
  <c r="M11" i="21"/>
  <c r="F71" i="21"/>
  <c r="G71" i="21"/>
  <c r="H71" i="21"/>
  <c r="J71" i="21"/>
  <c r="K71" i="21"/>
  <c r="L71" i="21"/>
  <c r="M71" i="21"/>
  <c r="F72" i="21"/>
  <c r="G72" i="21"/>
  <c r="H72" i="21"/>
  <c r="J72" i="21"/>
  <c r="K72" i="21"/>
  <c r="L72" i="21"/>
  <c r="M72" i="21"/>
  <c r="C86" i="21"/>
  <c r="C4" i="20"/>
  <c r="C5" i="20"/>
  <c r="D6" i="20"/>
  <c r="D7" i="20"/>
  <c r="F19" i="20"/>
  <c r="F22" i="20" s="1"/>
  <c r="G19" i="20"/>
  <c r="G22" i="20" s="1"/>
  <c r="G29" i="20" s="1"/>
  <c r="G46" i="20" s="1"/>
  <c r="H19" i="20"/>
  <c r="H22" i="20" s="1"/>
  <c r="I19" i="20"/>
  <c r="C22" i="20"/>
  <c r="D22" i="20"/>
  <c r="C28" i="20"/>
  <c r="D28" i="20"/>
  <c r="F28" i="20"/>
  <c r="G28" i="20"/>
  <c r="H28" i="20"/>
  <c r="I28" i="20"/>
  <c r="C32" i="20"/>
  <c r="D32" i="20"/>
  <c r="C33" i="20"/>
  <c r="D33" i="20"/>
  <c r="C34" i="20"/>
  <c r="D34" i="20"/>
  <c r="C35" i="20"/>
  <c r="D35" i="20"/>
  <c r="C36" i="20"/>
  <c r="D36" i="20"/>
  <c r="C37" i="20"/>
  <c r="D37" i="20"/>
  <c r="C38" i="20"/>
  <c r="D38" i="20"/>
  <c r="C39" i="20"/>
  <c r="D39" i="20"/>
  <c r="C40" i="20"/>
  <c r="D40" i="20"/>
  <c r="C41" i="20"/>
  <c r="D41" i="20"/>
  <c r="C42" i="20"/>
  <c r="D42" i="20"/>
  <c r="C43" i="20"/>
  <c r="D43" i="20"/>
  <c r="C44" i="20"/>
  <c r="D44" i="20"/>
  <c r="C46" i="20"/>
  <c r="D46" i="20"/>
  <c r="C48" i="20"/>
  <c r="F51" i="20"/>
  <c r="G51" i="20"/>
  <c r="H51" i="20"/>
  <c r="I51" i="20"/>
  <c r="C4" i="18"/>
  <c r="C5" i="18"/>
  <c r="D6" i="18"/>
  <c r="D7" i="18"/>
  <c r="E17" i="18"/>
  <c r="C24" i="18"/>
  <c r="E27" i="18"/>
  <c r="E28" i="18" s="1"/>
  <c r="C4" i="16"/>
  <c r="C5" i="16"/>
  <c r="D6" i="16"/>
  <c r="D7" i="16"/>
  <c r="D22" i="16"/>
  <c r="J22" i="16"/>
  <c r="K22" i="16"/>
  <c r="L22" i="16"/>
  <c r="M22" i="16"/>
  <c r="N22" i="16"/>
  <c r="D42" i="16"/>
  <c r="D54" i="16"/>
  <c r="J54" i="16"/>
  <c r="K54" i="16"/>
  <c r="L54" i="16"/>
  <c r="M54" i="16"/>
  <c r="N54" i="16"/>
  <c r="C57" i="16"/>
  <c r="C64" i="16" s="1"/>
  <c r="D57" i="16"/>
  <c r="D64" i="16" s="1"/>
  <c r="C65" i="16"/>
  <c r="D65" i="16"/>
  <c r="C66" i="16"/>
  <c r="D66" i="16"/>
  <c r="C67" i="16"/>
  <c r="D67" i="16"/>
  <c r="C68" i="16"/>
  <c r="D68" i="16"/>
  <c r="C70" i="16"/>
  <c r="C5" i="15"/>
  <c r="E6" i="15"/>
  <c r="F6" i="15"/>
  <c r="K6" i="15" s="1"/>
  <c r="G6" i="15"/>
  <c r="J6" i="15"/>
  <c r="C7" i="15"/>
  <c r="D8" i="15"/>
  <c r="E9" i="15"/>
  <c r="F9" i="15"/>
  <c r="K9" i="15" s="1"/>
  <c r="G9" i="15"/>
  <c r="J9" i="15"/>
  <c r="D10" i="15"/>
  <c r="C12" i="15"/>
  <c r="C66" i="15" s="1"/>
  <c r="D12" i="15"/>
  <c r="D66" i="15" s="1"/>
  <c r="F12" i="15"/>
  <c r="H12" i="15"/>
  <c r="K12" i="15"/>
  <c r="M12" i="15"/>
  <c r="C23" i="15"/>
  <c r="C67" i="15" s="1"/>
  <c r="D23" i="15"/>
  <c r="D67" i="15" s="1"/>
  <c r="F23" i="15"/>
  <c r="H23" i="15"/>
  <c r="K23" i="15"/>
  <c r="M23" i="15"/>
  <c r="C26" i="15"/>
  <c r="C69" i="15" s="1"/>
  <c r="D69" i="15"/>
  <c r="C27" i="15"/>
  <c r="C70" i="15" s="1"/>
  <c r="D70" i="15"/>
  <c r="C28" i="15"/>
  <c r="C71" i="15" s="1"/>
  <c r="D28" i="15"/>
  <c r="D65" i="15" s="1"/>
  <c r="E89" i="15"/>
  <c r="G89" i="15"/>
  <c r="J89" i="15"/>
  <c r="L28" i="15"/>
  <c r="L89" i="15" s="1"/>
  <c r="C29" i="15"/>
  <c r="C72" i="15" s="1"/>
  <c r="D29" i="15"/>
  <c r="D72" i="15" s="1"/>
  <c r="F29" i="15"/>
  <c r="H29" i="15"/>
  <c r="K29" i="15"/>
  <c r="M29" i="15"/>
  <c r="C30" i="15"/>
  <c r="C73" i="15" s="1"/>
  <c r="D30" i="15"/>
  <c r="D73" i="15" s="1"/>
  <c r="F30" i="15"/>
  <c r="H30" i="15"/>
  <c r="K30" i="15"/>
  <c r="M30" i="15"/>
  <c r="C31" i="15"/>
  <c r="C74" i="15" s="1"/>
  <c r="D31" i="15"/>
  <c r="D74" i="15" s="1"/>
  <c r="F31" i="15"/>
  <c r="H31" i="15"/>
  <c r="K31" i="15"/>
  <c r="M31" i="15"/>
  <c r="C32" i="15"/>
  <c r="C75" i="15" s="1"/>
  <c r="D32" i="15"/>
  <c r="D75" i="15" s="1"/>
  <c r="F32" i="15"/>
  <c r="H32" i="15"/>
  <c r="K32" i="15"/>
  <c r="M32" i="15"/>
  <c r="C33" i="15"/>
  <c r="C76" i="15" s="1"/>
  <c r="D33" i="15"/>
  <c r="D76" i="15" s="1"/>
  <c r="C77" i="15"/>
  <c r="D34" i="15"/>
  <c r="D77" i="15" s="1"/>
  <c r="F34" i="15"/>
  <c r="H34" i="15"/>
  <c r="K34" i="15"/>
  <c r="M34" i="15"/>
  <c r="F35" i="15"/>
  <c r="H35" i="15"/>
  <c r="K35" i="15"/>
  <c r="M35" i="15"/>
  <c r="C47" i="15"/>
  <c r="C90" i="15" s="1"/>
  <c r="D47" i="15"/>
  <c r="D90" i="15" s="1"/>
  <c r="C48" i="15"/>
  <c r="C91" i="15" s="1"/>
  <c r="D48" i="15"/>
  <c r="D91" i="15" s="1"/>
  <c r="F48" i="15"/>
  <c r="H48" i="15"/>
  <c r="K48" i="15"/>
  <c r="M48" i="15"/>
  <c r="C49" i="15"/>
  <c r="C92" i="15" s="1"/>
  <c r="D49" i="15"/>
  <c r="D92" i="15" s="1"/>
  <c r="F49" i="15"/>
  <c r="H49" i="15"/>
  <c r="K49" i="15"/>
  <c r="M49" i="15"/>
  <c r="C50" i="15"/>
  <c r="C93" i="15" s="1"/>
  <c r="D50" i="15"/>
  <c r="D93" i="15" s="1"/>
  <c r="F50" i="15"/>
  <c r="H50" i="15"/>
  <c r="K50" i="15"/>
  <c r="M50" i="15"/>
  <c r="C51" i="15"/>
  <c r="C94" i="15" s="1"/>
  <c r="D51" i="15"/>
  <c r="D94" i="15" s="1"/>
  <c r="F51" i="15"/>
  <c r="H51" i="15"/>
  <c r="K51" i="15"/>
  <c r="M51" i="15"/>
  <c r="C52" i="15"/>
  <c r="C95" i="15" s="1"/>
  <c r="D52" i="15"/>
  <c r="D95" i="15" s="1"/>
  <c r="C53" i="15"/>
  <c r="C96" i="15" s="1"/>
  <c r="D53" i="15"/>
  <c r="D96" i="15" s="1"/>
  <c r="F53" i="15"/>
  <c r="H53" i="15"/>
  <c r="K53" i="15"/>
  <c r="M53" i="15"/>
  <c r="C54" i="15"/>
  <c r="C97" i="15" s="1"/>
  <c r="D54" i="15"/>
  <c r="D97" i="15" s="1"/>
  <c r="F54" i="15"/>
  <c r="H54" i="15"/>
  <c r="K54" i="15"/>
  <c r="M54" i="15"/>
  <c r="C55" i="15"/>
  <c r="C98" i="15" s="1"/>
  <c r="D55" i="15"/>
  <c r="D98" i="15" s="1"/>
  <c r="F55" i="15"/>
  <c r="H55" i="15"/>
  <c r="K55" i="15"/>
  <c r="M55" i="15"/>
  <c r="C56" i="15"/>
  <c r="C99" i="15" s="1"/>
  <c r="D56" i="15"/>
  <c r="D99" i="15" s="1"/>
  <c r="F56" i="15"/>
  <c r="H56" i="15"/>
  <c r="K56" i="15"/>
  <c r="M56" i="15"/>
  <c r="C57" i="15"/>
  <c r="C100" i="15" s="1"/>
  <c r="D57" i="15"/>
  <c r="D100" i="15" s="1"/>
  <c r="F57" i="15"/>
  <c r="H57" i="15"/>
  <c r="K57" i="15"/>
  <c r="M57" i="15"/>
  <c r="C58" i="15"/>
  <c r="C101" i="15" s="1"/>
  <c r="D58" i="15"/>
  <c r="D101" i="15" s="1"/>
  <c r="F58" i="15"/>
  <c r="H58" i="15"/>
  <c r="K58" i="15"/>
  <c r="M58" i="15"/>
  <c r="C59" i="15"/>
  <c r="C102" i="15" s="1"/>
  <c r="D59" i="15"/>
  <c r="D102" i="15" s="1"/>
  <c r="E59" i="15"/>
  <c r="G59" i="15"/>
  <c r="J59" i="15"/>
  <c r="L59" i="15"/>
  <c r="C60" i="15"/>
  <c r="C103" i="15" s="1"/>
  <c r="D60" i="15"/>
  <c r="D103" i="15" s="1"/>
  <c r="C61" i="15"/>
  <c r="C104" i="15" s="1"/>
  <c r="D61" i="15"/>
  <c r="D104" i="15" s="1"/>
  <c r="F61" i="15"/>
  <c r="H61" i="15"/>
  <c r="K61" i="15"/>
  <c r="M61" i="15"/>
  <c r="C62" i="15"/>
  <c r="C105" i="15" s="1"/>
  <c r="D62" i="15"/>
  <c r="D105" i="15" s="1"/>
  <c r="F62" i="15"/>
  <c r="H62" i="15"/>
  <c r="K62" i="15"/>
  <c r="M62" i="15"/>
  <c r="C63" i="15"/>
  <c r="C106" i="15" s="1"/>
  <c r="D63" i="15"/>
  <c r="D106" i="15" s="1"/>
  <c r="C108" i="15"/>
  <c r="C4" i="14"/>
  <c r="P4" i="14"/>
  <c r="Q4" i="14"/>
  <c r="C5" i="14"/>
  <c r="P5" i="14"/>
  <c r="D6" i="14"/>
  <c r="P6" i="14"/>
  <c r="Q6" i="14"/>
  <c r="D7" i="14"/>
  <c r="J22" i="14"/>
  <c r="K22" i="14"/>
  <c r="L22" i="14"/>
  <c r="M22" i="14"/>
  <c r="N22" i="14"/>
  <c r="C24" i="14"/>
  <c r="C29" i="14" s="1"/>
  <c r="D24" i="14"/>
  <c r="D29" i="14" s="1"/>
  <c r="F26" i="14"/>
  <c r="G26" i="14"/>
  <c r="H26" i="14"/>
  <c r="I26" i="14"/>
  <c r="J26" i="14"/>
  <c r="K26" i="14"/>
  <c r="L26" i="14"/>
  <c r="M26" i="14"/>
  <c r="N26" i="14"/>
  <c r="F27" i="14"/>
  <c r="G27" i="14"/>
  <c r="H27" i="14"/>
  <c r="I27" i="14"/>
  <c r="J27" i="14"/>
  <c r="K27" i="14"/>
  <c r="L27" i="14"/>
  <c r="M27" i="14"/>
  <c r="N27" i="14"/>
  <c r="C30" i="14"/>
  <c r="D30" i="14"/>
  <c r="C31" i="14"/>
  <c r="D31" i="14"/>
  <c r="C32" i="14"/>
  <c r="D32" i="14"/>
  <c r="C33" i="14"/>
  <c r="D33" i="14"/>
  <c r="C42" i="14"/>
  <c r="D42" i="14"/>
  <c r="C34" i="14"/>
  <c r="D34" i="14"/>
  <c r="C35" i="14"/>
  <c r="D35" i="14"/>
  <c r="C36" i="14"/>
  <c r="D36" i="14"/>
  <c r="C37" i="14"/>
  <c r="D37" i="14"/>
  <c r="C38" i="14"/>
  <c r="D38" i="14"/>
  <c r="C39" i="14"/>
  <c r="D39" i="14"/>
  <c r="C40" i="14"/>
  <c r="D40" i="14"/>
  <c r="C41" i="14"/>
  <c r="D41" i="14"/>
  <c r="C43" i="14"/>
  <c r="D43" i="14"/>
  <c r="C48" i="14"/>
  <c r="J51" i="14"/>
  <c r="J52" i="14" s="1"/>
  <c r="K51" i="14"/>
  <c r="K52" i="14" s="1"/>
  <c r="L51" i="14"/>
  <c r="L52" i="14" s="1"/>
  <c r="M51" i="14"/>
  <c r="N51" i="14"/>
  <c r="C4" i="13"/>
  <c r="P4" i="13"/>
  <c r="Q4" i="13"/>
  <c r="C5" i="13"/>
  <c r="P5" i="13"/>
  <c r="D6" i="13"/>
  <c r="P6" i="13"/>
  <c r="Q6" i="13"/>
  <c r="D7" i="13"/>
  <c r="K15" i="13"/>
  <c r="L15" i="13"/>
  <c r="M15" i="13"/>
  <c r="N15" i="13"/>
  <c r="F24" i="13"/>
  <c r="F52" i="13" s="1"/>
  <c r="K22" i="13"/>
  <c r="L22" i="13"/>
  <c r="M22" i="13"/>
  <c r="N22" i="13"/>
  <c r="C32" i="13"/>
  <c r="D32" i="13"/>
  <c r="C26" i="13"/>
  <c r="C28" i="13" s="1"/>
  <c r="D26" i="13"/>
  <c r="D28" i="13" s="1"/>
  <c r="C30" i="13"/>
  <c r="D30" i="13"/>
  <c r="C31" i="13"/>
  <c r="D31" i="13"/>
  <c r="D35" i="13"/>
  <c r="D36" i="13"/>
  <c r="D37" i="13"/>
  <c r="F38" i="13"/>
  <c r="F44" i="13" s="1"/>
  <c r="G38" i="13"/>
  <c r="H38" i="13"/>
  <c r="I38" i="13"/>
  <c r="J38" i="13"/>
  <c r="K38" i="13"/>
  <c r="L38" i="13"/>
  <c r="M38" i="13"/>
  <c r="N38" i="13"/>
  <c r="D41" i="13"/>
  <c r="K41" i="13"/>
  <c r="L41" i="13"/>
  <c r="M41" i="13"/>
  <c r="N41" i="13"/>
  <c r="D42" i="13"/>
  <c r="K42" i="13"/>
  <c r="L42" i="13"/>
  <c r="M42" i="13"/>
  <c r="N42" i="13"/>
  <c r="K43" i="13"/>
  <c r="L43" i="13"/>
  <c r="M43" i="13"/>
  <c r="N43" i="13"/>
  <c r="C48" i="13"/>
  <c r="K51" i="13"/>
  <c r="L51" i="13"/>
  <c r="M51" i="13"/>
  <c r="N51" i="13"/>
  <c r="C4" i="12"/>
  <c r="C5" i="12"/>
  <c r="D6" i="12"/>
  <c r="D7" i="12"/>
  <c r="F30" i="12"/>
  <c r="I30" i="12"/>
  <c r="L30" i="12"/>
  <c r="O30" i="12"/>
  <c r="R30" i="12"/>
  <c r="C40" i="12"/>
  <c r="C4" i="10"/>
  <c r="C5" i="10"/>
  <c r="D6" i="10"/>
  <c r="D7" i="10"/>
  <c r="C9" i="10"/>
  <c r="D9" i="10"/>
  <c r="C10" i="10"/>
  <c r="D10" i="10"/>
  <c r="K10" i="10"/>
  <c r="L10" i="10"/>
  <c r="M10" i="10"/>
  <c r="N10" i="10"/>
  <c r="C11" i="10"/>
  <c r="D11" i="10"/>
  <c r="K11" i="10"/>
  <c r="L11" i="10"/>
  <c r="M11" i="10"/>
  <c r="N11" i="10"/>
  <c r="C16" i="10"/>
  <c r="D16" i="10"/>
  <c r="F16" i="10"/>
  <c r="G16" i="10"/>
  <c r="H16" i="10"/>
  <c r="K16" i="10"/>
  <c r="L16" i="10"/>
  <c r="M16" i="10"/>
  <c r="N16" i="10"/>
  <c r="C17" i="10"/>
  <c r="D17" i="10"/>
  <c r="F17" i="10"/>
  <c r="G17" i="10"/>
  <c r="H17" i="10"/>
  <c r="K17" i="10"/>
  <c r="L17" i="10"/>
  <c r="M17" i="10"/>
  <c r="N17" i="10"/>
  <c r="C18" i="10"/>
  <c r="D18" i="10"/>
  <c r="F18" i="10"/>
  <c r="G18" i="10"/>
  <c r="H18" i="10"/>
  <c r="K18" i="10"/>
  <c r="L18" i="10"/>
  <c r="M18" i="10"/>
  <c r="N18" i="10"/>
  <c r="C20" i="10"/>
  <c r="D20" i="10"/>
  <c r="F20" i="10"/>
  <c r="G20" i="10"/>
  <c r="H20" i="10"/>
  <c r="J20" i="10"/>
  <c r="K20" i="10"/>
  <c r="L20" i="10"/>
  <c r="M20" i="10"/>
  <c r="N20" i="10"/>
  <c r="C21" i="10"/>
  <c r="D21" i="10"/>
  <c r="F21" i="10"/>
  <c r="G21" i="10"/>
  <c r="H21" i="10"/>
  <c r="J21" i="10"/>
  <c r="K21" i="10"/>
  <c r="L21" i="10"/>
  <c r="M21" i="10"/>
  <c r="N21" i="10"/>
  <c r="C22" i="10"/>
  <c r="D22" i="10"/>
  <c r="F22" i="10"/>
  <c r="G22" i="10"/>
  <c r="H22" i="10"/>
  <c r="J22" i="10"/>
  <c r="K22" i="10"/>
  <c r="L22" i="10"/>
  <c r="M22" i="10"/>
  <c r="N22" i="10"/>
  <c r="C23" i="10"/>
  <c r="D23" i="10"/>
  <c r="I23" i="10"/>
  <c r="C24" i="10"/>
  <c r="D24" i="10"/>
  <c r="F24" i="10"/>
  <c r="G24" i="10"/>
  <c r="H24" i="10"/>
  <c r="K24" i="10"/>
  <c r="L24" i="10"/>
  <c r="M24" i="10"/>
  <c r="N24" i="10"/>
  <c r="C25" i="10"/>
  <c r="D25" i="10"/>
  <c r="F25" i="10"/>
  <c r="G25" i="10"/>
  <c r="H25" i="10"/>
  <c r="K25" i="10"/>
  <c r="L25" i="10"/>
  <c r="M25" i="10"/>
  <c r="N25" i="10"/>
  <c r="C27" i="10"/>
  <c r="D27" i="10"/>
  <c r="F27" i="10"/>
  <c r="G27" i="10"/>
  <c r="H27" i="10"/>
  <c r="J27" i="10"/>
  <c r="K27" i="10"/>
  <c r="L27" i="10"/>
  <c r="M27" i="10"/>
  <c r="N27" i="10"/>
  <c r="C28" i="10"/>
  <c r="D28" i="10"/>
  <c r="F28" i="10"/>
  <c r="G28" i="10"/>
  <c r="H28" i="10"/>
  <c r="J28" i="10"/>
  <c r="K28" i="10"/>
  <c r="L28" i="10"/>
  <c r="M28" i="10"/>
  <c r="N28" i="10"/>
  <c r="C29" i="10"/>
  <c r="D29" i="10"/>
  <c r="F29" i="10"/>
  <c r="G29" i="10"/>
  <c r="H29" i="10"/>
  <c r="J29" i="10"/>
  <c r="K29" i="10"/>
  <c r="L29" i="10"/>
  <c r="M29" i="10"/>
  <c r="N29" i="10"/>
  <c r="C30" i="10"/>
  <c r="D30" i="10"/>
  <c r="F30" i="10"/>
  <c r="G30" i="10"/>
  <c r="H30" i="10"/>
  <c r="K30" i="10"/>
  <c r="L30" i="10"/>
  <c r="M30" i="10"/>
  <c r="N30" i="10"/>
  <c r="C31" i="10"/>
  <c r="D31" i="10"/>
  <c r="F31" i="10"/>
  <c r="G31" i="10"/>
  <c r="H31" i="10"/>
  <c r="K31" i="10"/>
  <c r="L31" i="10"/>
  <c r="M31" i="10"/>
  <c r="N31" i="10"/>
  <c r="C33" i="10"/>
  <c r="D33" i="10"/>
  <c r="F33" i="10"/>
  <c r="G33" i="10"/>
  <c r="H33" i="10"/>
  <c r="J33" i="10"/>
  <c r="K33" i="10"/>
  <c r="L33" i="10"/>
  <c r="M33" i="10"/>
  <c r="N33" i="10"/>
  <c r="C34" i="10"/>
  <c r="D34" i="10"/>
  <c r="F34" i="10"/>
  <c r="G34" i="10"/>
  <c r="H34" i="10"/>
  <c r="J34" i="10"/>
  <c r="K34" i="10"/>
  <c r="L34" i="10"/>
  <c r="M34" i="10"/>
  <c r="N34" i="10"/>
  <c r="C38" i="10"/>
  <c r="D38" i="10"/>
  <c r="F38" i="10"/>
  <c r="G38" i="10"/>
  <c r="H38" i="10"/>
  <c r="J38" i="10"/>
  <c r="K38" i="10"/>
  <c r="L38" i="10"/>
  <c r="M38" i="10"/>
  <c r="N38" i="10"/>
  <c r="C39" i="10"/>
  <c r="D39" i="10"/>
  <c r="I39" i="10"/>
  <c r="K47" i="10"/>
  <c r="L47" i="10"/>
  <c r="M47" i="10"/>
  <c r="L19" i="18" s="1"/>
  <c r="L17" i="18" s="1"/>
  <c r="N47" i="10"/>
  <c r="C57" i="10"/>
  <c r="D57" i="10"/>
  <c r="F58" i="10"/>
  <c r="G58" i="10"/>
  <c r="H58" i="10"/>
  <c r="J58" i="10"/>
  <c r="K58" i="10"/>
  <c r="L58" i="10"/>
  <c r="M58" i="10"/>
  <c r="N58" i="10"/>
  <c r="C65" i="10"/>
  <c r="D65" i="10"/>
  <c r="F64" i="10"/>
  <c r="C72" i="10"/>
  <c r="G76" i="10"/>
  <c r="H76" i="10"/>
  <c r="I76" i="10"/>
  <c r="J76" i="10"/>
  <c r="K76" i="10"/>
  <c r="L76" i="10"/>
  <c r="M76" i="10"/>
  <c r="N76" i="10"/>
  <c r="C4" i="9"/>
  <c r="C5" i="9"/>
  <c r="D6" i="9"/>
  <c r="D7" i="9"/>
  <c r="E15" i="9"/>
  <c r="F15" i="9"/>
  <c r="G15" i="9"/>
  <c r="H15" i="9"/>
  <c r="I15" i="9"/>
  <c r="J15" i="9"/>
  <c r="K15" i="9"/>
  <c r="L15" i="9"/>
  <c r="M15" i="9"/>
  <c r="E23" i="9"/>
  <c r="E89" i="21" s="1"/>
  <c r="F23" i="9"/>
  <c r="G23" i="9"/>
  <c r="H23" i="9"/>
  <c r="I23" i="9"/>
  <c r="I89" i="21" s="1"/>
  <c r="J23" i="9"/>
  <c r="J89" i="21" s="1"/>
  <c r="K23" i="9"/>
  <c r="K89" i="21" s="1"/>
  <c r="L23" i="9"/>
  <c r="L89" i="21" s="1"/>
  <c r="M23" i="9"/>
  <c r="M89" i="21" s="1"/>
  <c r="E30" i="9"/>
  <c r="F30" i="9"/>
  <c r="J30" i="9"/>
  <c r="K30" i="9"/>
  <c r="L30" i="9"/>
  <c r="M30" i="9"/>
  <c r="E40" i="9"/>
  <c r="F40" i="9"/>
  <c r="G40" i="9"/>
  <c r="H40" i="9"/>
  <c r="I40" i="9"/>
  <c r="J40" i="9"/>
  <c r="K40" i="9"/>
  <c r="L40" i="9"/>
  <c r="M40" i="9"/>
  <c r="E49" i="9"/>
  <c r="F49" i="9"/>
  <c r="F51" i="22" s="1"/>
  <c r="G49" i="9"/>
  <c r="H49" i="9"/>
  <c r="H51" i="22" s="1"/>
  <c r="I49" i="9"/>
  <c r="I51" i="22" s="1"/>
  <c r="J49" i="9"/>
  <c r="J51" i="22" s="1"/>
  <c r="K49" i="9"/>
  <c r="K51" i="22" s="1"/>
  <c r="L49" i="9"/>
  <c r="L51" i="22" s="1"/>
  <c r="M49" i="9"/>
  <c r="M51" i="22" s="1"/>
  <c r="C64" i="9"/>
  <c r="C4" i="8"/>
  <c r="C5" i="8"/>
  <c r="Q5" i="8"/>
  <c r="D6" i="8"/>
  <c r="D7" i="8"/>
  <c r="E7" i="8"/>
  <c r="P7" i="8"/>
  <c r="Q7" i="8"/>
  <c r="E24" i="8"/>
  <c r="E93" i="8" s="1"/>
  <c r="F93" i="8"/>
  <c r="I336" i="45"/>
  <c r="J24" i="8"/>
  <c r="K24" i="8"/>
  <c r="L24" i="8"/>
  <c r="M24" i="8"/>
  <c r="N24" i="8"/>
  <c r="E55" i="8"/>
  <c r="F55" i="8"/>
  <c r="G55" i="8"/>
  <c r="G57" i="10" s="1"/>
  <c r="H55" i="8"/>
  <c r="H57" i="10" s="1"/>
  <c r="I55" i="8"/>
  <c r="J55" i="8"/>
  <c r="K55" i="8"/>
  <c r="L55" i="8"/>
  <c r="M55" i="8"/>
  <c r="N55" i="8"/>
  <c r="C62" i="8"/>
  <c r="D62" i="8"/>
  <c r="C63" i="8"/>
  <c r="D63" i="8"/>
  <c r="C64" i="8"/>
  <c r="D64" i="8"/>
  <c r="C65" i="8"/>
  <c r="D65" i="8"/>
  <c r="C67" i="8"/>
  <c r="C52" i="24" s="1"/>
  <c r="D67" i="8"/>
  <c r="D52" i="24" s="1"/>
  <c r="C68" i="8"/>
  <c r="D68" i="8"/>
  <c r="C69" i="8"/>
  <c r="D69" i="8"/>
  <c r="C70" i="8"/>
  <c r="D70" i="8"/>
  <c r="C71" i="8"/>
  <c r="D71" i="8"/>
  <c r="C72" i="8"/>
  <c r="D72" i="8"/>
  <c r="C73" i="8"/>
  <c r="D73" i="8"/>
  <c r="C74" i="8"/>
  <c r="D74" i="8"/>
  <c r="C75" i="8"/>
  <c r="D75" i="8"/>
  <c r="C76" i="8"/>
  <c r="D76" i="8"/>
  <c r="C77" i="8"/>
  <c r="D77" i="8"/>
  <c r="C78" i="8"/>
  <c r="D78" i="8"/>
  <c r="C91" i="8"/>
  <c r="D91" i="8"/>
  <c r="C92" i="8"/>
  <c r="D92" i="8"/>
  <c r="C93" i="8"/>
  <c r="D93" i="8"/>
  <c r="C94" i="8"/>
  <c r="D94" i="8"/>
  <c r="C95" i="8"/>
  <c r="D95" i="8"/>
  <c r="C96" i="8"/>
  <c r="D96" i="8"/>
  <c r="C97" i="8"/>
  <c r="D97" i="8"/>
  <c r="C98" i="8"/>
  <c r="D98" i="8"/>
  <c r="C99" i="8"/>
  <c r="D99" i="8"/>
  <c r="C100" i="8"/>
  <c r="D100" i="8"/>
  <c r="C101" i="8"/>
  <c r="D101" i="8"/>
  <c r="C102" i="8"/>
  <c r="D102" i="8"/>
  <c r="C103" i="8"/>
  <c r="D103" i="8"/>
  <c r="C104" i="8"/>
  <c r="D104" i="8"/>
  <c r="C105" i="8"/>
  <c r="D105" i="8"/>
  <c r="C106" i="8"/>
  <c r="D106" i="8"/>
  <c r="C107" i="8"/>
  <c r="D107" i="8"/>
  <c r="C111" i="8"/>
  <c r="C31" i="6"/>
  <c r="X31" i="6" s="1"/>
  <c r="I31" i="6"/>
  <c r="AD31" i="6" s="1"/>
  <c r="J31" i="6"/>
  <c r="AE31" i="6" s="1"/>
  <c r="K31" i="6"/>
  <c r="AF31" i="6" s="1"/>
  <c r="R31" i="6"/>
  <c r="AM31" i="6" s="1"/>
  <c r="C33" i="6"/>
  <c r="I33" i="6"/>
  <c r="J33" i="6"/>
  <c r="K33" i="6"/>
  <c r="R33" i="6"/>
  <c r="X33" i="6"/>
  <c r="AD33" i="6"/>
  <c r="AE33" i="6"/>
  <c r="AF33" i="6"/>
  <c r="B68" i="6"/>
  <c r="C68" i="6"/>
  <c r="D68" i="6"/>
  <c r="E68" i="6"/>
  <c r="F68" i="6"/>
  <c r="G68" i="6"/>
  <c r="H68" i="6"/>
  <c r="I68" i="6"/>
  <c r="J68" i="6"/>
  <c r="K68" i="6"/>
  <c r="L68" i="6"/>
  <c r="M68" i="6"/>
  <c r="N68" i="6"/>
  <c r="O68" i="6"/>
  <c r="P68" i="6"/>
  <c r="Q68" i="6"/>
  <c r="R68" i="6"/>
  <c r="S68" i="6"/>
  <c r="T68" i="6"/>
  <c r="U68" i="6"/>
  <c r="V68" i="6"/>
  <c r="W68" i="6"/>
  <c r="X68" i="6"/>
  <c r="Y68" i="6"/>
  <c r="Z68" i="6"/>
  <c r="AA68" i="6"/>
  <c r="AB68" i="6"/>
  <c r="AC68" i="6"/>
  <c r="AD68" i="6"/>
  <c r="AE68" i="6"/>
  <c r="B69" i="6"/>
  <c r="C69" i="6"/>
  <c r="D69" i="6"/>
  <c r="E69" i="6"/>
  <c r="F69" i="6"/>
  <c r="G69" i="6"/>
  <c r="H69" i="6"/>
  <c r="I69" i="6"/>
  <c r="J69" i="6"/>
  <c r="K69" i="6"/>
  <c r="L69" i="6"/>
  <c r="M69" i="6"/>
  <c r="N69" i="6"/>
  <c r="O69" i="6"/>
  <c r="P69" i="6"/>
  <c r="Q69" i="6"/>
  <c r="R69" i="6"/>
  <c r="S69" i="6"/>
  <c r="T69" i="6"/>
  <c r="U69" i="6"/>
  <c r="V69" i="6"/>
  <c r="W69" i="6"/>
  <c r="X69" i="6"/>
  <c r="Y69" i="6"/>
  <c r="Z69" i="6"/>
  <c r="AA69" i="6"/>
  <c r="AB69" i="6"/>
  <c r="AC69" i="6"/>
  <c r="AD69" i="6"/>
  <c r="AE69" i="6"/>
  <c r="B70" i="6"/>
  <c r="C70" i="6"/>
  <c r="D70" i="6"/>
  <c r="E70" i="6"/>
  <c r="F70" i="6"/>
  <c r="G70" i="6"/>
  <c r="H70" i="6"/>
  <c r="I70" i="6"/>
  <c r="J70" i="6"/>
  <c r="K70" i="6"/>
  <c r="L70" i="6"/>
  <c r="M70" i="6"/>
  <c r="N70" i="6"/>
  <c r="O70" i="6"/>
  <c r="P70" i="6"/>
  <c r="Q70" i="6"/>
  <c r="R70" i="6"/>
  <c r="S70" i="6"/>
  <c r="T70" i="6"/>
  <c r="U70" i="6"/>
  <c r="V70" i="6"/>
  <c r="W70" i="6"/>
  <c r="X70" i="6"/>
  <c r="Y70" i="6"/>
  <c r="Z70" i="6"/>
  <c r="AA70" i="6"/>
  <c r="AB70" i="6"/>
  <c r="AC70" i="6"/>
  <c r="AD70" i="6"/>
  <c r="AE70" i="6"/>
  <c r="B74" i="6"/>
  <c r="C74" i="6"/>
  <c r="D74" i="6"/>
  <c r="E74" i="6"/>
  <c r="F74" i="6"/>
  <c r="G74" i="6"/>
  <c r="H74" i="6"/>
  <c r="I74" i="6"/>
  <c r="J74" i="6"/>
  <c r="K74" i="6"/>
  <c r="L74" i="6"/>
  <c r="M74" i="6"/>
  <c r="N74" i="6"/>
  <c r="O74" i="6"/>
  <c r="P74" i="6"/>
  <c r="Q74" i="6"/>
  <c r="R74" i="6"/>
  <c r="S74" i="6"/>
  <c r="T74" i="6"/>
  <c r="U74" i="6"/>
  <c r="V74" i="6"/>
  <c r="W74" i="6"/>
  <c r="X74" i="6"/>
  <c r="Y74" i="6"/>
  <c r="Z74" i="6"/>
  <c r="AA74" i="6"/>
  <c r="AB74" i="6"/>
  <c r="AC74" i="6"/>
  <c r="AD74" i="6"/>
  <c r="AE74" i="6"/>
  <c r="B75" i="6"/>
  <c r="C75" i="6"/>
  <c r="D75" i="6"/>
  <c r="E75" i="6"/>
  <c r="F75" i="6"/>
  <c r="G75" i="6"/>
  <c r="H75" i="6"/>
  <c r="I75" i="6"/>
  <c r="J75" i="6"/>
  <c r="K75" i="6"/>
  <c r="L75" i="6"/>
  <c r="M75" i="6"/>
  <c r="N75" i="6"/>
  <c r="O75" i="6"/>
  <c r="P75" i="6"/>
  <c r="Q75" i="6"/>
  <c r="R75" i="6"/>
  <c r="S75" i="6"/>
  <c r="T75" i="6"/>
  <c r="U75" i="6"/>
  <c r="V75" i="6"/>
  <c r="W75" i="6"/>
  <c r="X75" i="6"/>
  <c r="Y75" i="6"/>
  <c r="Z75" i="6"/>
  <c r="AA75" i="6"/>
  <c r="AB75" i="6"/>
  <c r="AC75" i="6"/>
  <c r="AD75" i="6"/>
  <c r="AE75" i="6"/>
  <c r="B3" i="4"/>
  <c r="E32" i="3"/>
  <c r="F32" i="3"/>
  <c r="G32" i="3" s="1"/>
  <c r="G33" i="3" s="1"/>
  <c r="C33" i="3"/>
  <c r="E4" i="10" s="1"/>
  <c r="D34" i="3"/>
  <c r="F5" i="8" s="1"/>
  <c r="E5" i="32" s="1"/>
  <c r="J5" i="32" s="1"/>
  <c r="E34" i="3"/>
  <c r="G5" i="8" s="1"/>
  <c r="P5" i="32" s="1"/>
  <c r="U5" i="32" s="1"/>
  <c r="E38" i="3"/>
  <c r="E40" i="3" s="1"/>
  <c r="C39" i="3"/>
  <c r="D40" i="3"/>
  <c r="E7" i="18" s="1"/>
  <c r="E44" i="3"/>
  <c r="F44" i="3"/>
  <c r="C45" i="3"/>
  <c r="B4" i="2"/>
  <c r="AA42" i="28" l="1"/>
  <c r="AA43" i="28" s="1"/>
  <c r="AA88" i="28" s="1"/>
  <c r="AA109" i="28" s="1"/>
  <c r="F77" i="21"/>
  <c r="AX90" i="24"/>
  <c r="T43" i="28"/>
  <c r="V90" i="24"/>
  <c r="X90" i="24"/>
  <c r="G77" i="21"/>
  <c r="C107" i="6" s="1"/>
  <c r="H77" i="21"/>
  <c r="D107" i="6" s="1"/>
  <c r="AH43" i="28"/>
  <c r="AD73" i="6" s="1"/>
  <c r="AT43" i="28"/>
  <c r="AT88" i="28" s="1"/>
  <c r="AT109" i="28" s="1"/>
  <c r="J42" i="10"/>
  <c r="J47" i="10" s="1"/>
  <c r="I27" i="18" s="1"/>
  <c r="I379" i="45"/>
  <c r="I386" i="45" s="1"/>
  <c r="I75" i="21"/>
  <c r="E105" i="6" s="1"/>
  <c r="AO90" i="24"/>
  <c r="AC90" i="24"/>
  <c r="AH90" i="24"/>
  <c r="BD90" i="24"/>
  <c r="BA90" i="24"/>
  <c r="CF90" i="24"/>
  <c r="I57" i="10"/>
  <c r="I59" i="10" s="1"/>
  <c r="J57" i="10"/>
  <c r="J59" i="10" s="1"/>
  <c r="CK90" i="24"/>
  <c r="AT90" i="24"/>
  <c r="CI90" i="24"/>
  <c r="AM90" i="24"/>
  <c r="BM90" i="24"/>
  <c r="Q64" i="24"/>
  <c r="X43" i="28"/>
  <c r="X55" i="28" s="1"/>
  <c r="AV43" i="28"/>
  <c r="AR73" i="6" s="1"/>
  <c r="AK43" i="28"/>
  <c r="AK88" i="28" s="1"/>
  <c r="AK109" i="28" s="1"/>
  <c r="Y42" i="28"/>
  <c r="Y43" i="28" s="1"/>
  <c r="Y88" i="28" s="1"/>
  <c r="Y109" i="28" s="1"/>
  <c r="AO42" i="28"/>
  <c r="AO43" i="28" s="1"/>
  <c r="AK73" i="6" s="1"/>
  <c r="AF42" i="28"/>
  <c r="AF43" i="28" s="1"/>
  <c r="W42" i="28"/>
  <c r="W43" i="28" s="1"/>
  <c r="N52" i="14"/>
  <c r="M52" i="14"/>
  <c r="AI42" i="28"/>
  <c r="AI43" i="28" s="1"/>
  <c r="M15" i="22"/>
  <c r="M40" i="22" s="1"/>
  <c r="L66" i="15"/>
  <c r="L104" i="15"/>
  <c r="AD42" i="28"/>
  <c r="AD43" i="28" s="1"/>
  <c r="R42" i="28"/>
  <c r="R43" i="28" s="1"/>
  <c r="R55" i="28" s="1"/>
  <c r="K55" i="14"/>
  <c r="J55" i="14"/>
  <c r="H52" i="14"/>
  <c r="G52" i="14"/>
  <c r="I55" i="14"/>
  <c r="AM42" i="28"/>
  <c r="AM43" i="28" s="1"/>
  <c r="AM88" i="28" s="1"/>
  <c r="AM109" i="28" s="1"/>
  <c r="AR42" i="28"/>
  <c r="AR43" i="28" s="1"/>
  <c r="AR88" i="28" s="1"/>
  <c r="AR109" i="28" s="1"/>
  <c r="J76" i="8"/>
  <c r="J336" i="45"/>
  <c r="I360" i="45"/>
  <c r="J360" i="45"/>
  <c r="AJ43" i="28"/>
  <c r="AF73" i="6" s="1"/>
  <c r="AR64" i="24"/>
  <c r="L15" i="22"/>
  <c r="L40" i="22" s="1"/>
  <c r="K15" i="22"/>
  <c r="K40" i="22" s="1"/>
  <c r="J15" i="22"/>
  <c r="J40" i="22" s="1"/>
  <c r="T64" i="24"/>
  <c r="N24" i="13"/>
  <c r="N52" i="13" s="1"/>
  <c r="AJ64" i="24"/>
  <c r="N46" i="13"/>
  <c r="M46" i="13"/>
  <c r="K24" i="13"/>
  <c r="AQ64" i="24"/>
  <c r="I79" i="10"/>
  <c r="AE2" i="24"/>
  <c r="I42" i="10"/>
  <c r="I47" i="10" s="1"/>
  <c r="H19" i="18" s="1"/>
  <c r="H17" i="18" s="1"/>
  <c r="AA64" i="24"/>
  <c r="AP64" i="24"/>
  <c r="AO64" i="24"/>
  <c r="AS64" i="24"/>
  <c r="AE64" i="24"/>
  <c r="BV42" i="28"/>
  <c r="BV43" i="28" s="1"/>
  <c r="BV88" i="28" s="1"/>
  <c r="BV109" i="28" s="1"/>
  <c r="AL42" i="28"/>
  <c r="AL43" i="28" s="1"/>
  <c r="AH73" i="6" s="1"/>
  <c r="BK60" i="40"/>
  <c r="O60" i="40"/>
  <c r="AX42" i="28"/>
  <c r="AN42" i="28"/>
  <c r="AN43" i="28" s="1"/>
  <c r="AJ73" i="6" s="1"/>
  <c r="Q42" i="28"/>
  <c r="Q43" i="28" s="1"/>
  <c r="AB60" i="40"/>
  <c r="AB63" i="40" s="1"/>
  <c r="AY43" i="28"/>
  <c r="AY88" i="28" s="1"/>
  <c r="AY109" i="28" s="1"/>
  <c r="E381" i="45"/>
  <c r="E380" i="45"/>
  <c r="I380" i="45"/>
  <c r="H380" i="45"/>
  <c r="G380" i="45"/>
  <c r="I381" i="45"/>
  <c r="H381" i="45"/>
  <c r="G386" i="45"/>
  <c r="G381" i="45"/>
  <c r="H386" i="45"/>
  <c r="F70" i="9"/>
  <c r="F71" i="9" s="1"/>
  <c r="I70" i="9"/>
  <c r="I71" i="9" s="1"/>
  <c r="H70" i="9"/>
  <c r="H71" i="9" s="1"/>
  <c r="G70" i="9"/>
  <c r="G71" i="9" s="1"/>
  <c r="L42" i="34"/>
  <c r="T42" i="34" s="1"/>
  <c r="L41" i="34"/>
  <c r="T41" i="34" s="1"/>
  <c r="L40" i="34"/>
  <c r="T40" i="34" s="1"/>
  <c r="AE50" i="32"/>
  <c r="AE56" i="32" s="1"/>
  <c r="M44" i="13"/>
  <c r="K44" i="13"/>
  <c r="L44" i="13"/>
  <c r="F52" i="14"/>
  <c r="L94" i="15"/>
  <c r="I22" i="20"/>
  <c r="BT90" i="24"/>
  <c r="R34" i="24"/>
  <c r="R78" i="24" s="1"/>
  <c r="BR60" i="40"/>
  <c r="BR63" i="40" s="1"/>
  <c r="J38" i="27"/>
  <c r="AY86" i="28"/>
  <c r="AY108" i="28" s="1"/>
  <c r="AU76" i="6" s="1"/>
  <c r="AU72" i="6"/>
  <c r="AM86" i="28"/>
  <c r="AM108" i="28" s="1"/>
  <c r="AI76" i="6" s="1"/>
  <c r="AI72" i="6"/>
  <c r="I30" i="30"/>
  <c r="S36" i="32"/>
  <c r="U36" i="32" s="1"/>
  <c r="S38" i="32"/>
  <c r="U38" i="32" s="1"/>
  <c r="S39" i="33"/>
  <c r="U39" i="33" s="1"/>
  <c r="M24" i="13"/>
  <c r="M52" i="13" s="1"/>
  <c r="G55" i="14"/>
  <c r="L92" i="15"/>
  <c r="BR90" i="24"/>
  <c r="AJ90" i="24"/>
  <c r="BC64" i="24"/>
  <c r="CH90" i="24"/>
  <c r="CH55" i="40"/>
  <c r="CH57" i="40" s="1"/>
  <c r="AL90" i="24"/>
  <c r="AL55" i="40"/>
  <c r="AL57" i="40" s="1"/>
  <c r="Z90" i="24"/>
  <c r="Z55" i="40"/>
  <c r="Z57" i="40" s="1"/>
  <c r="N90" i="24"/>
  <c r="N55" i="40"/>
  <c r="N57" i="40" s="1"/>
  <c r="AH60" i="40"/>
  <c r="AH63" i="40" s="1"/>
  <c r="M16" i="25"/>
  <c r="AX86" i="28"/>
  <c r="AX108" i="28" s="1"/>
  <c r="AT76" i="6" s="1"/>
  <c r="AT72" i="6"/>
  <c r="AL86" i="28"/>
  <c r="AL108" i="28" s="1"/>
  <c r="AH76" i="6" s="1"/>
  <c r="AH72" i="6"/>
  <c r="H30" i="30"/>
  <c r="F55" i="14"/>
  <c r="F38" i="3"/>
  <c r="J67" i="15"/>
  <c r="I52" i="20"/>
  <c r="AV64" i="24"/>
  <c r="CG90" i="24"/>
  <c r="CG55" i="40"/>
  <c r="CG57" i="40" s="1"/>
  <c r="BU90" i="24"/>
  <c r="BU55" i="40"/>
  <c r="BU57" i="40" s="1"/>
  <c r="BI90" i="24"/>
  <c r="BI55" i="40"/>
  <c r="BI57" i="40" s="1"/>
  <c r="AW90" i="24"/>
  <c r="AW55" i="40"/>
  <c r="AW57" i="40" s="1"/>
  <c r="AK90" i="24"/>
  <c r="AK55" i="40"/>
  <c r="AK57" i="40" s="1"/>
  <c r="Y90" i="24"/>
  <c r="Y55" i="40"/>
  <c r="Y57" i="40" s="1"/>
  <c r="M90" i="24"/>
  <c r="M55" i="40"/>
  <c r="M57" i="40" s="1"/>
  <c r="BH60" i="40"/>
  <c r="BH63" i="40" s="1"/>
  <c r="AJ60" i="40"/>
  <c r="AJ63" i="40" s="1"/>
  <c r="L60" i="40"/>
  <c r="L63" i="40" s="1"/>
  <c r="J16" i="25"/>
  <c r="AW86" i="28"/>
  <c r="AW108" i="28" s="1"/>
  <c r="AS76" i="6" s="1"/>
  <c r="AS72" i="6"/>
  <c r="AK86" i="28"/>
  <c r="AK108" i="28" s="1"/>
  <c r="AG76" i="6" s="1"/>
  <c r="AG72" i="6"/>
  <c r="Q40" i="33"/>
  <c r="Q43" i="33" s="1"/>
  <c r="Q49" i="33" s="1"/>
  <c r="Q20" i="35"/>
  <c r="Q15" i="35"/>
  <c r="AV86" i="28"/>
  <c r="AV108" i="28" s="1"/>
  <c r="AR76" i="6" s="1"/>
  <c r="AR72" i="6"/>
  <c r="AJ86" i="28"/>
  <c r="AJ108" i="28" s="1"/>
  <c r="AF76" i="6" s="1"/>
  <c r="AF72" i="6"/>
  <c r="F30" i="30"/>
  <c r="U18" i="32"/>
  <c r="U12" i="32"/>
  <c r="AF33" i="33"/>
  <c r="AD27" i="33"/>
  <c r="Q39" i="35"/>
  <c r="G55" i="35"/>
  <c r="H52" i="20"/>
  <c r="F34" i="3"/>
  <c r="H5" i="8" s="1"/>
  <c r="AA5" i="32" s="1"/>
  <c r="AF5" i="32" s="1"/>
  <c r="G5" i="14"/>
  <c r="CE90" i="24"/>
  <c r="CE55" i="40"/>
  <c r="CE57" i="40" s="1"/>
  <c r="BS90" i="24"/>
  <c r="BS55" i="40"/>
  <c r="BS57" i="40" s="1"/>
  <c r="BG90" i="24"/>
  <c r="BG55" i="40"/>
  <c r="BG57" i="40" s="1"/>
  <c r="AU90" i="24"/>
  <c r="AU55" i="40"/>
  <c r="AU57" i="40" s="1"/>
  <c r="AI90" i="24"/>
  <c r="AI55" i="40"/>
  <c r="AI57" i="40" s="1"/>
  <c r="W90" i="24"/>
  <c r="W55" i="40"/>
  <c r="W57" i="40" s="1"/>
  <c r="K90" i="24"/>
  <c r="K55" i="40"/>
  <c r="K57" i="40" s="1"/>
  <c r="BX60" i="40"/>
  <c r="BX63" i="40" s="1"/>
  <c r="AU88" i="28"/>
  <c r="AU109" i="28" s="1"/>
  <c r="AQ73" i="6"/>
  <c r="AU86" i="28"/>
  <c r="AU108" i="28" s="1"/>
  <c r="AQ76" i="6" s="1"/>
  <c r="AQ72" i="6"/>
  <c r="E30" i="30"/>
  <c r="I40" i="33"/>
  <c r="I43" i="33" s="1"/>
  <c r="I49" i="33" s="1"/>
  <c r="AT86" i="28"/>
  <c r="AT108" i="28" s="1"/>
  <c r="AP76" i="6" s="1"/>
  <c r="AP72" i="6"/>
  <c r="AD30" i="32"/>
  <c r="AF30" i="32" s="1"/>
  <c r="F37" i="32"/>
  <c r="F38" i="32" s="1"/>
  <c r="H38" i="32" s="1"/>
  <c r="J38" i="32" s="1"/>
  <c r="J12" i="32"/>
  <c r="H39" i="33"/>
  <c r="J39" i="33" s="1"/>
  <c r="BQ90" i="24"/>
  <c r="BQ55" i="40"/>
  <c r="BQ57" i="40" s="1"/>
  <c r="BE90" i="24"/>
  <c r="BE55" i="40"/>
  <c r="BE57" i="40" s="1"/>
  <c r="AS90" i="24"/>
  <c r="AS55" i="40"/>
  <c r="AS57" i="40" s="1"/>
  <c r="AG90" i="24"/>
  <c r="AG55" i="40"/>
  <c r="AG57" i="40" s="1"/>
  <c r="AG60" i="40" s="1"/>
  <c r="AG63" i="40" s="1"/>
  <c r="U90" i="24"/>
  <c r="U55" i="40"/>
  <c r="U57" i="40" s="1"/>
  <c r="F37" i="27"/>
  <c r="AS86" i="28"/>
  <c r="AS108" i="28" s="1"/>
  <c r="AO76" i="6" s="1"/>
  <c r="AO72" i="6"/>
  <c r="G15" i="35"/>
  <c r="BP90" i="24"/>
  <c r="BP55" i="40"/>
  <c r="BP57" i="40" s="1"/>
  <c r="AF90" i="24"/>
  <c r="AF55" i="40"/>
  <c r="AF57" i="40" s="1"/>
  <c r="H90" i="24"/>
  <c r="H55" i="40"/>
  <c r="H57" i="40" s="1"/>
  <c r="H60" i="40" s="1"/>
  <c r="H63" i="40" s="1"/>
  <c r="AR86" i="28"/>
  <c r="AR108" i="28" s="1"/>
  <c r="AN76" i="6" s="1"/>
  <c r="AN72" i="6"/>
  <c r="AD38" i="32"/>
  <c r="AF38" i="32" s="1"/>
  <c r="AE40" i="33"/>
  <c r="AE43" i="33" s="1"/>
  <c r="AE49" i="33" s="1"/>
  <c r="E40" i="33"/>
  <c r="E43" i="33" s="1"/>
  <c r="E49" i="33" s="1"/>
  <c r="H39" i="35"/>
  <c r="CA90" i="24"/>
  <c r="CA55" i="40"/>
  <c r="CA57" i="40" s="1"/>
  <c r="CA60" i="40" s="1"/>
  <c r="CA63" i="40" s="1"/>
  <c r="BO90" i="24"/>
  <c r="BO55" i="40"/>
  <c r="BO57" i="40" s="1"/>
  <c r="BC90" i="24"/>
  <c r="BC55" i="40"/>
  <c r="BC57" i="40" s="1"/>
  <c r="AQ90" i="24"/>
  <c r="AQ55" i="40"/>
  <c r="AQ57" i="40" s="1"/>
  <c r="AE90" i="24"/>
  <c r="AE55" i="40"/>
  <c r="AE57" i="40" s="1"/>
  <c r="BT60" i="40"/>
  <c r="BT63" i="40" s="1"/>
  <c r="AQ88" i="28"/>
  <c r="AQ109" i="28" s="1"/>
  <c r="AM73" i="6"/>
  <c r="AQ86" i="28"/>
  <c r="AQ108" i="28" s="1"/>
  <c r="AM76" i="6" s="1"/>
  <c r="AM72" i="6"/>
  <c r="AF44" i="32"/>
  <c r="F50" i="32"/>
  <c r="F56" i="32" s="1"/>
  <c r="G74" i="35"/>
  <c r="D45" i="3"/>
  <c r="F4" i="40" s="1"/>
  <c r="E4" i="40"/>
  <c r="E6" i="40"/>
  <c r="K46" i="13"/>
  <c r="I52" i="14"/>
  <c r="CD90" i="24"/>
  <c r="AV90" i="24"/>
  <c r="AF64" i="24"/>
  <c r="BZ90" i="24"/>
  <c r="BZ55" i="40"/>
  <c r="BZ57" i="40" s="1"/>
  <c r="BN90" i="24"/>
  <c r="BN55" i="40"/>
  <c r="BN57" i="40" s="1"/>
  <c r="BB90" i="24"/>
  <c r="BB55" i="40"/>
  <c r="BB57" i="40" s="1"/>
  <c r="AP90" i="24"/>
  <c r="AP55" i="40"/>
  <c r="AP57" i="40" s="1"/>
  <c r="AP60" i="40" s="1"/>
  <c r="AP63" i="40" s="1"/>
  <c r="AD90" i="24"/>
  <c r="AD55" i="40"/>
  <c r="AD57" i="40" s="1"/>
  <c r="AD60" i="40" s="1"/>
  <c r="AD63" i="40" s="1"/>
  <c r="R90" i="24"/>
  <c r="R55" i="40"/>
  <c r="R57" i="40" s="1"/>
  <c r="CC60" i="40"/>
  <c r="CC63" i="40" s="1"/>
  <c r="T60" i="40"/>
  <c r="T63" i="40" s="1"/>
  <c r="M19" i="25"/>
  <c r="M17" i="25"/>
  <c r="AP86" i="28"/>
  <c r="AP108" i="28" s="1"/>
  <c r="AL76" i="6" s="1"/>
  <c r="AL72" i="6"/>
  <c r="AF11" i="32"/>
  <c r="F74" i="35"/>
  <c r="E72" i="35"/>
  <c r="O69" i="35"/>
  <c r="J66" i="35"/>
  <c r="F64" i="35"/>
  <c r="F61" i="35"/>
  <c r="E59" i="35"/>
  <c r="P56" i="35"/>
  <c r="E54" i="35"/>
  <c r="P51" i="35"/>
  <c r="P49" i="35"/>
  <c r="O47" i="35"/>
  <c r="N44" i="13"/>
  <c r="CB60" i="40"/>
  <c r="CB63" i="40" s="1"/>
  <c r="J35" i="27"/>
  <c r="AO86" i="28"/>
  <c r="AO108" i="28" s="1"/>
  <c r="AK76" i="6" s="1"/>
  <c r="AK72" i="6"/>
  <c r="AA40" i="33"/>
  <c r="AA43" i="33" s="1"/>
  <c r="AA49" i="33" s="1"/>
  <c r="P27" i="35"/>
  <c r="J104" i="15"/>
  <c r="G25" i="26"/>
  <c r="G32" i="26" s="1"/>
  <c r="AZ86" i="28"/>
  <c r="AZ108" i="28" s="1"/>
  <c r="AV76" i="6" s="1"/>
  <c r="AV72" i="6"/>
  <c r="AN86" i="28"/>
  <c r="AN108" i="28" s="1"/>
  <c r="AJ76" i="6" s="1"/>
  <c r="AJ72" i="6"/>
  <c r="J30" i="30"/>
  <c r="O58" i="35"/>
  <c r="O53" i="35"/>
  <c r="J49" i="35"/>
  <c r="F47" i="35"/>
  <c r="F27" i="35"/>
  <c r="F62" i="35" s="1"/>
  <c r="I363" i="45"/>
  <c r="I364" i="45"/>
  <c r="I366" i="45"/>
  <c r="I361" i="45"/>
  <c r="I365" i="45"/>
  <c r="I362" i="45"/>
  <c r="H26" i="13"/>
  <c r="H336" i="45"/>
  <c r="H360" i="45" s="1"/>
  <c r="I32" i="12"/>
  <c r="I31" i="12" s="1"/>
  <c r="G336" i="45"/>
  <c r="E360" i="45" s="1"/>
  <c r="I26" i="13"/>
  <c r="I62" i="8"/>
  <c r="F42" i="10"/>
  <c r="F47" i="10" s="1"/>
  <c r="M44" i="34"/>
  <c r="M47" i="34" s="1"/>
  <c r="M53" i="34" s="1"/>
  <c r="G43" i="34"/>
  <c r="G15" i="34"/>
  <c r="E44" i="34"/>
  <c r="E47" i="34" s="1"/>
  <c r="E53" i="34" s="1"/>
  <c r="O15" i="34"/>
  <c r="G42" i="10"/>
  <c r="G47" i="10" s="1"/>
  <c r="F27" i="18" s="1"/>
  <c r="F89" i="21"/>
  <c r="Q76" i="40"/>
  <c r="Q77" i="40" s="1"/>
  <c r="H89" i="21"/>
  <c r="AO76" i="40"/>
  <c r="AO77" i="40" s="1"/>
  <c r="G89" i="21"/>
  <c r="AC76" i="40"/>
  <c r="AC77" i="40" s="1"/>
  <c r="E5" i="33"/>
  <c r="J5" i="33" s="1"/>
  <c r="G5" i="26"/>
  <c r="F5" i="26"/>
  <c r="G5" i="25"/>
  <c r="F5" i="25"/>
  <c r="H42" i="10"/>
  <c r="H47" i="10" s="1"/>
  <c r="G19" i="18" s="1"/>
  <c r="G17" i="18" s="1"/>
  <c r="N24" i="14"/>
  <c r="N37" i="14" s="1"/>
  <c r="N87" i="8"/>
  <c r="N84" i="8"/>
  <c r="N81" i="8"/>
  <c r="N86" i="8"/>
  <c r="N83" i="8"/>
  <c r="N80" i="8"/>
  <c r="N89" i="8"/>
  <c r="N85" i="8"/>
  <c r="N82" i="8"/>
  <c r="N79" i="8"/>
  <c r="M68" i="8"/>
  <c r="M87" i="8"/>
  <c r="M84" i="8"/>
  <c r="M81" i="8"/>
  <c r="M83" i="8"/>
  <c r="M80" i="8"/>
  <c r="M86" i="8"/>
  <c r="M89" i="8"/>
  <c r="M85" i="8"/>
  <c r="M82" i="8"/>
  <c r="M79" i="8"/>
  <c r="L70" i="8"/>
  <c r="L89" i="8"/>
  <c r="L85" i="8"/>
  <c r="L82" i="8"/>
  <c r="L79" i="8"/>
  <c r="L87" i="8"/>
  <c r="L84" i="8"/>
  <c r="L81" i="8"/>
  <c r="L83" i="8"/>
  <c r="L80" i="8"/>
  <c r="L86" i="8"/>
  <c r="K70" i="8"/>
  <c r="K89" i="8"/>
  <c r="K85" i="8"/>
  <c r="K82" i="8"/>
  <c r="K79" i="8"/>
  <c r="K87" i="8"/>
  <c r="K84" i="8"/>
  <c r="K81" i="8"/>
  <c r="K83" i="8"/>
  <c r="K80" i="8"/>
  <c r="K86" i="8"/>
  <c r="AW39" i="24"/>
  <c r="AW83" i="24" s="1"/>
  <c r="AW9" i="40"/>
  <c r="AW38" i="40" s="1"/>
  <c r="AW47" i="40" s="1"/>
  <c r="X39" i="24"/>
  <c r="X83" i="24" s="1"/>
  <c r="X9" i="40"/>
  <c r="X38" i="40" s="1"/>
  <c r="X47" i="40" s="1"/>
  <c r="X60" i="40" s="1"/>
  <c r="U78" i="24"/>
  <c r="U9" i="40"/>
  <c r="U38" i="40" s="1"/>
  <c r="U47" i="40" s="1"/>
  <c r="Z39" i="24"/>
  <c r="Z83" i="24" s="1"/>
  <c r="Z9" i="40"/>
  <c r="Z38" i="40" s="1"/>
  <c r="Z47" i="40" s="1"/>
  <c r="G90" i="24"/>
  <c r="G55" i="40"/>
  <c r="G57" i="40" s="1"/>
  <c r="CD39" i="24"/>
  <c r="CD83" i="24" s="1"/>
  <c r="CD9" i="40"/>
  <c r="CD38" i="40" s="1"/>
  <c r="CD47" i="40" s="1"/>
  <c r="CD60" i="40" s="1"/>
  <c r="AS39" i="24"/>
  <c r="AS47" i="24" s="1"/>
  <c r="AS9" i="40"/>
  <c r="AS38" i="40" s="1"/>
  <c r="AS47" i="40" s="1"/>
  <c r="BT67" i="40"/>
  <c r="BT68" i="40"/>
  <c r="AV39" i="24"/>
  <c r="AV83" i="24" s="1"/>
  <c r="AV9" i="40"/>
  <c r="AV38" i="40" s="1"/>
  <c r="AV47" i="40" s="1"/>
  <c r="AV60" i="40" s="1"/>
  <c r="BD39" i="24"/>
  <c r="BD83" i="24" s="1"/>
  <c r="BD9" i="40"/>
  <c r="BD38" i="40" s="1"/>
  <c r="BD47" i="40" s="1"/>
  <c r="BD60" i="40" s="1"/>
  <c r="CC67" i="40"/>
  <c r="CC68" i="40"/>
  <c r="Q39" i="24"/>
  <c r="Q83" i="24" s="1"/>
  <c r="Q9" i="40"/>
  <c r="Q38" i="40" s="1"/>
  <c r="Q47" i="40" s="1"/>
  <c r="Q60" i="40" s="1"/>
  <c r="T67" i="40"/>
  <c r="T68" i="40"/>
  <c r="AY39" i="24"/>
  <c r="AY47" i="24" s="1"/>
  <c r="AY50" i="24" s="1"/>
  <c r="AY94" i="24" s="1"/>
  <c r="AY9" i="40"/>
  <c r="AY38" i="40" s="1"/>
  <c r="AY47" i="40" s="1"/>
  <c r="AY60" i="40" s="1"/>
  <c r="AD64" i="24"/>
  <c r="BP39" i="24"/>
  <c r="BP83" i="24" s="1"/>
  <c r="BP9" i="40"/>
  <c r="BP38" i="40" s="1"/>
  <c r="BP47" i="40" s="1"/>
  <c r="CB68" i="40"/>
  <c r="CB67" i="40"/>
  <c r="AP67" i="40"/>
  <c r="AP68" i="40"/>
  <c r="I39" i="24"/>
  <c r="I83" i="24" s="1"/>
  <c r="I9" i="40"/>
  <c r="I38" i="40" s="1"/>
  <c r="I47" i="40" s="1"/>
  <c r="I60" i="40" s="1"/>
  <c r="AR39" i="24"/>
  <c r="AR83" i="24" s="1"/>
  <c r="AR9" i="40"/>
  <c r="AR38" i="40" s="1"/>
  <c r="AR47" i="40" s="1"/>
  <c r="AR60" i="40" s="1"/>
  <c r="AQ39" i="24"/>
  <c r="AQ83" i="24" s="1"/>
  <c r="AQ9" i="40"/>
  <c r="AQ38" i="40" s="1"/>
  <c r="AQ47" i="40" s="1"/>
  <c r="AO39" i="24"/>
  <c r="AO83" i="24" s="1"/>
  <c r="AO9" i="40"/>
  <c r="AO38" i="40" s="1"/>
  <c r="AO47" i="40" s="1"/>
  <c r="AO60" i="40" s="1"/>
  <c r="H68" i="40"/>
  <c r="H67" i="40"/>
  <c r="BK63" i="40"/>
  <c r="BK67" i="40"/>
  <c r="BK68" i="40"/>
  <c r="O63" i="40"/>
  <c r="O67" i="40"/>
  <c r="O68" i="40"/>
  <c r="BR68" i="40"/>
  <c r="BR67" i="40"/>
  <c r="F39" i="24"/>
  <c r="F83" i="24" s="1"/>
  <c r="F9" i="40"/>
  <c r="F38" i="40" s="1"/>
  <c r="CI39" i="24"/>
  <c r="CI47" i="24" s="1"/>
  <c r="CI9" i="40"/>
  <c r="CI38" i="40" s="1"/>
  <c r="CI47" i="40" s="1"/>
  <c r="CI60" i="40" s="1"/>
  <c r="BJ39" i="24"/>
  <c r="BJ83" i="24" s="1"/>
  <c r="BJ9" i="40"/>
  <c r="BJ38" i="40" s="1"/>
  <c r="BJ47" i="40" s="1"/>
  <c r="BJ60" i="40" s="1"/>
  <c r="G68" i="40"/>
  <c r="G67" i="40"/>
  <c r="BQ39" i="24"/>
  <c r="BQ47" i="24" s="1"/>
  <c r="BQ9" i="40"/>
  <c r="BQ38" i="40" s="1"/>
  <c r="BQ47" i="40" s="1"/>
  <c r="AH67" i="40"/>
  <c r="AH68" i="40"/>
  <c r="BI39" i="24"/>
  <c r="BI83" i="24" s="1"/>
  <c r="BI9" i="40"/>
  <c r="BI38" i="40" s="1"/>
  <c r="BI47" i="40" s="1"/>
  <c r="M39" i="24"/>
  <c r="M83" i="24" s="1"/>
  <c r="M9" i="40"/>
  <c r="M38" i="40" s="1"/>
  <c r="M47" i="40" s="1"/>
  <c r="M60" i="40" s="1"/>
  <c r="AG67" i="40"/>
  <c r="AG68" i="40"/>
  <c r="CF39" i="24"/>
  <c r="CF83" i="24" s="1"/>
  <c r="CF9" i="40"/>
  <c r="CF38" i="40" s="1"/>
  <c r="CF47" i="40" s="1"/>
  <c r="CF60" i="40" s="1"/>
  <c r="BH68" i="40"/>
  <c r="BH67" i="40"/>
  <c r="AJ68" i="40"/>
  <c r="AJ67" i="40"/>
  <c r="L68" i="40"/>
  <c r="L67" i="40"/>
  <c r="CG78" i="24"/>
  <c r="CG9" i="40"/>
  <c r="CG38" i="40" s="1"/>
  <c r="CG47" i="40" s="1"/>
  <c r="CG60" i="40" s="1"/>
  <c r="BN39" i="24"/>
  <c r="BN83" i="24" s="1"/>
  <c r="BN9" i="40"/>
  <c r="BN38" i="40" s="1"/>
  <c r="BN47" i="40" s="1"/>
  <c r="AF39" i="24"/>
  <c r="AF83" i="24" s="1"/>
  <c r="AF9" i="40"/>
  <c r="AF38" i="40" s="1"/>
  <c r="AF47" i="40" s="1"/>
  <c r="CA67" i="40"/>
  <c r="CA68" i="40"/>
  <c r="BC39" i="24"/>
  <c r="BC83" i="24" s="1"/>
  <c r="BC9" i="40"/>
  <c r="BC38" i="40" s="1"/>
  <c r="BC47" i="40" s="1"/>
  <c r="AE39" i="24"/>
  <c r="AE83" i="24" s="1"/>
  <c r="AE9" i="40"/>
  <c r="AE38" i="40" s="1"/>
  <c r="AE47" i="40" s="1"/>
  <c r="J39" i="24"/>
  <c r="J83" i="24" s="1"/>
  <c r="J9" i="40"/>
  <c r="J38" i="40" s="1"/>
  <c r="J47" i="40" s="1"/>
  <c r="J60" i="40" s="1"/>
  <c r="AD67" i="40"/>
  <c r="AD68" i="40"/>
  <c r="BX68" i="40"/>
  <c r="BX67" i="40"/>
  <c r="AB67" i="40"/>
  <c r="AB68" i="40"/>
  <c r="BW39" i="24"/>
  <c r="BW83" i="24" s="1"/>
  <c r="BW9" i="40"/>
  <c r="BW38" i="40" s="1"/>
  <c r="BW47" i="40" s="1"/>
  <c r="BW60" i="40" s="1"/>
  <c r="AA39" i="24"/>
  <c r="AA83" i="24" s="1"/>
  <c r="AA9" i="40"/>
  <c r="AA38" i="40" s="1"/>
  <c r="AA47" i="40" s="1"/>
  <c r="AA60" i="40" s="1"/>
  <c r="J16" i="21"/>
  <c r="I16" i="21"/>
  <c r="H16" i="21"/>
  <c r="L16" i="21"/>
  <c r="L90" i="21" s="1"/>
  <c r="K16" i="21"/>
  <c r="K90" i="21" s="1"/>
  <c r="M77" i="21"/>
  <c r="G16" i="21"/>
  <c r="F16" i="21"/>
  <c r="K77" i="21"/>
  <c r="E75" i="21"/>
  <c r="E78" i="21" s="1"/>
  <c r="E16" i="21"/>
  <c r="E99" i="21" s="1"/>
  <c r="E100" i="21" s="1"/>
  <c r="M16" i="21"/>
  <c r="B107" i="6"/>
  <c r="E107" i="6"/>
  <c r="F76" i="21"/>
  <c r="B106" i="6" s="1"/>
  <c r="L77" i="21"/>
  <c r="J77" i="21"/>
  <c r="M75" i="21"/>
  <c r="L25" i="26"/>
  <c r="L32" i="26" s="1"/>
  <c r="I16" i="25"/>
  <c r="H16" i="25"/>
  <c r="H19" i="25"/>
  <c r="J17" i="25"/>
  <c r="F33" i="20"/>
  <c r="F32" i="20"/>
  <c r="F36" i="20"/>
  <c r="F40" i="20"/>
  <c r="F44" i="20"/>
  <c r="F52" i="20"/>
  <c r="I41" i="20"/>
  <c r="I37" i="20"/>
  <c r="L46" i="13"/>
  <c r="K52" i="13"/>
  <c r="L24" i="13"/>
  <c r="L52" i="13" s="1"/>
  <c r="P5" i="33"/>
  <c r="U5" i="33" s="1"/>
  <c r="F5" i="14"/>
  <c r="G5" i="13"/>
  <c r="F5" i="13"/>
  <c r="F5" i="27"/>
  <c r="G5" i="16"/>
  <c r="E5" i="27"/>
  <c r="F5" i="16"/>
  <c r="E7" i="10"/>
  <c r="F133" i="28"/>
  <c r="R133" i="28" s="1"/>
  <c r="F135" i="28"/>
  <c r="R135" i="28" s="1"/>
  <c r="E39" i="3"/>
  <c r="D39" i="3"/>
  <c r="E4" i="28"/>
  <c r="E6" i="28"/>
  <c r="H7" i="8"/>
  <c r="AA8" i="33" s="1"/>
  <c r="AF8" i="33" s="1"/>
  <c r="H135" i="28"/>
  <c r="T135" i="28" s="1"/>
  <c r="H133" i="28"/>
  <c r="T133" i="28" s="1"/>
  <c r="G133" i="28"/>
  <c r="S133" i="28" s="1"/>
  <c r="G135" i="28"/>
  <c r="S135" i="28" s="1"/>
  <c r="W72" i="6"/>
  <c r="AA86" i="28"/>
  <c r="AA108" i="28" s="1"/>
  <c r="W76" i="6" s="1"/>
  <c r="K72" i="6"/>
  <c r="O86" i="28"/>
  <c r="O108" i="28" s="1"/>
  <c r="K76" i="6" s="1"/>
  <c r="V73" i="6"/>
  <c r="Z88" i="28"/>
  <c r="Z109" i="28" s="1"/>
  <c r="V72" i="6"/>
  <c r="Z86" i="28"/>
  <c r="Z108" i="28" s="1"/>
  <c r="V76" i="6" s="1"/>
  <c r="J72" i="6"/>
  <c r="N86" i="28"/>
  <c r="N108" i="28" s="1"/>
  <c r="J76" i="6" s="1"/>
  <c r="U72" i="6"/>
  <c r="Y86" i="28"/>
  <c r="Y108" i="28" s="1"/>
  <c r="U76" i="6" s="1"/>
  <c r="I72" i="6"/>
  <c r="M86" i="28"/>
  <c r="M108" i="28" s="1"/>
  <c r="I76" i="6" s="1"/>
  <c r="H73" i="6"/>
  <c r="L88" i="28"/>
  <c r="L109" i="28" s="1"/>
  <c r="T72" i="6"/>
  <c r="X86" i="28"/>
  <c r="X108" i="28" s="1"/>
  <c r="T76" i="6" s="1"/>
  <c r="H72" i="6"/>
  <c r="L86" i="28"/>
  <c r="L108" i="28" s="1"/>
  <c r="H76" i="6" s="1"/>
  <c r="AE72" i="6"/>
  <c r="AI86" i="28"/>
  <c r="AI108" i="28" s="1"/>
  <c r="AE76" i="6" s="1"/>
  <c r="S72" i="6"/>
  <c r="W86" i="28"/>
  <c r="W108" i="28" s="1"/>
  <c r="S76" i="6" s="1"/>
  <c r="G72" i="6"/>
  <c r="K86" i="28"/>
  <c r="K108" i="28" s="1"/>
  <c r="G76" i="6" s="1"/>
  <c r="F73" i="6"/>
  <c r="J88" i="28"/>
  <c r="J109" i="28" s="1"/>
  <c r="AD72" i="6"/>
  <c r="AH86" i="28"/>
  <c r="AH108" i="28" s="1"/>
  <c r="AD76" i="6" s="1"/>
  <c r="R72" i="6"/>
  <c r="V86" i="28"/>
  <c r="V108" i="28" s="1"/>
  <c r="R76" i="6" s="1"/>
  <c r="F72" i="6"/>
  <c r="J86" i="28"/>
  <c r="J108" i="28" s="1"/>
  <c r="F76" i="6" s="1"/>
  <c r="AC72" i="6"/>
  <c r="AG86" i="28"/>
  <c r="AG108" i="28" s="1"/>
  <c r="AC76" i="6" s="1"/>
  <c r="Q72" i="6"/>
  <c r="U86" i="28"/>
  <c r="U108" i="28" s="1"/>
  <c r="Q76" i="6" s="1"/>
  <c r="P73" i="6"/>
  <c r="T88" i="28"/>
  <c r="T109" i="28" s="1"/>
  <c r="D73" i="6"/>
  <c r="H88" i="28"/>
  <c r="H109" i="28" s="1"/>
  <c r="AB72" i="6"/>
  <c r="AF86" i="28"/>
  <c r="AF108" i="28" s="1"/>
  <c r="AB76" i="6" s="1"/>
  <c r="P72" i="6"/>
  <c r="T86" i="28"/>
  <c r="T108" i="28" s="1"/>
  <c r="P76" i="6" s="1"/>
  <c r="D72" i="6"/>
  <c r="H86" i="28"/>
  <c r="H108" i="28" s="1"/>
  <c r="D76" i="6" s="1"/>
  <c r="O73" i="6"/>
  <c r="S88" i="28"/>
  <c r="S109" i="28" s="1"/>
  <c r="AA72" i="6"/>
  <c r="AE86" i="28"/>
  <c r="AE108" i="28" s="1"/>
  <c r="AA76" i="6" s="1"/>
  <c r="O72" i="6"/>
  <c r="S86" i="28"/>
  <c r="S108" i="28" s="1"/>
  <c r="O76" i="6" s="1"/>
  <c r="C72" i="6"/>
  <c r="G86" i="28"/>
  <c r="G108" i="28" s="1"/>
  <c r="C76" i="6" s="1"/>
  <c r="Z72" i="6"/>
  <c r="AD86" i="28"/>
  <c r="AD108" i="28" s="1"/>
  <c r="Z76" i="6" s="1"/>
  <c r="N72" i="6"/>
  <c r="R86" i="28"/>
  <c r="R108" i="28" s="1"/>
  <c r="N76" i="6" s="1"/>
  <c r="B72" i="6"/>
  <c r="F86" i="28"/>
  <c r="F108" i="28" s="1"/>
  <c r="B76" i="6" s="1"/>
  <c r="Y72" i="6"/>
  <c r="AC86" i="28"/>
  <c r="AC108" i="28" s="1"/>
  <c r="Y76" i="6" s="1"/>
  <c r="M72" i="6"/>
  <c r="Q86" i="28"/>
  <c r="Q108" i="28" s="1"/>
  <c r="M76" i="6" s="1"/>
  <c r="X72" i="6"/>
  <c r="AB86" i="28"/>
  <c r="AB108" i="28" s="1"/>
  <c r="X76" i="6" s="1"/>
  <c r="L72" i="6"/>
  <c r="P86" i="28"/>
  <c r="P108" i="28" s="1"/>
  <c r="L76" i="6" s="1"/>
  <c r="E73" i="6"/>
  <c r="I88" i="28"/>
  <c r="I109" i="28" s="1"/>
  <c r="E72" i="6"/>
  <c r="I86" i="28"/>
  <c r="I108" i="28" s="1"/>
  <c r="E76" i="6" s="1"/>
  <c r="O42" i="28"/>
  <c r="O43" i="28" s="1"/>
  <c r="O55" i="28" s="1"/>
  <c r="F43" i="28"/>
  <c r="F55" i="28" s="1"/>
  <c r="CK43" i="28"/>
  <c r="CK88" i="28" s="1"/>
  <c r="CK109" i="28" s="1"/>
  <c r="AC42" i="28"/>
  <c r="AC43" i="28" s="1"/>
  <c r="CJ43" i="28"/>
  <c r="BX43" i="28"/>
  <c r="BL43" i="28"/>
  <c r="BL88" i="28" s="1"/>
  <c r="BL109" i="28" s="1"/>
  <c r="AB42" i="28"/>
  <c r="AB43" i="28" s="1"/>
  <c r="AB88" i="28" s="1"/>
  <c r="AB109" i="28" s="1"/>
  <c r="CD42" i="28"/>
  <c r="CD43" i="28" s="1"/>
  <c r="CD88" i="28" s="1"/>
  <c r="CD109" i="28" s="1"/>
  <c r="BR42" i="28"/>
  <c r="BR43" i="28" s="1"/>
  <c r="A73" i="6"/>
  <c r="D88" i="28"/>
  <c r="A72" i="6"/>
  <c r="D86" i="28"/>
  <c r="CE42" i="28"/>
  <c r="CE43" i="28" s="1"/>
  <c r="CE88" i="28" s="1"/>
  <c r="CE109" i="28" s="1"/>
  <c r="K42" i="28"/>
  <c r="K43" i="28" s="1"/>
  <c r="BA42" i="28"/>
  <c r="BA43" i="28" s="1"/>
  <c r="BF43" i="28"/>
  <c r="BW42" i="28"/>
  <c r="BW43" i="28" s="1"/>
  <c r="BQ42" i="28"/>
  <c r="BQ43" i="28" s="1"/>
  <c r="BE42" i="28"/>
  <c r="BE43" i="28" s="1"/>
  <c r="AG42" i="28"/>
  <c r="AG43" i="28" s="1"/>
  <c r="CC42" i="28"/>
  <c r="CC43" i="28" s="1"/>
  <c r="AS42" i="28"/>
  <c r="AS43" i="28" s="1"/>
  <c r="AO73" i="6" s="1"/>
  <c r="AW42" i="28"/>
  <c r="AW43" i="28" s="1"/>
  <c r="AS73" i="6" s="1"/>
  <c r="U42" i="28"/>
  <c r="U43" i="28" s="1"/>
  <c r="AP42" i="28"/>
  <c r="AP43" i="28" s="1"/>
  <c r="AL73" i="6" s="1"/>
  <c r="BO43" i="28"/>
  <c r="AE42" i="28"/>
  <c r="AE43" i="28" s="1"/>
  <c r="G42" i="28"/>
  <c r="G43" i="28" s="1"/>
  <c r="AZ43" i="28"/>
  <c r="AV73" i="6" s="1"/>
  <c r="BI43" i="28"/>
  <c r="V42" i="28"/>
  <c r="V43" i="28" s="1"/>
  <c r="N42" i="28"/>
  <c r="N43" i="28" s="1"/>
  <c r="BY42" i="28"/>
  <c r="BY43" i="28" s="1"/>
  <c r="BS55" i="28"/>
  <c r="M55" i="28"/>
  <c r="BG55" i="28"/>
  <c r="AU55" i="28"/>
  <c r="P42" i="28"/>
  <c r="P43" i="28" s="1"/>
  <c r="T55" i="28"/>
  <c r="CA55" i="28"/>
  <c r="S55" i="28"/>
  <c r="BM55" i="28"/>
  <c r="BC55" i="28"/>
  <c r="AQ55" i="28"/>
  <c r="BZ55" i="28"/>
  <c r="CI55" i="28"/>
  <c r="BK55" i="28"/>
  <c r="CH55" i="28"/>
  <c r="BJ55" i="28"/>
  <c r="BU55" i="28"/>
  <c r="BT55" i="28"/>
  <c r="CG55" i="28"/>
  <c r="I55" i="28"/>
  <c r="BB55" i="28"/>
  <c r="W73" i="6"/>
  <c r="AA55" i="28"/>
  <c r="BP55" i="28"/>
  <c r="CF55" i="28"/>
  <c r="BH55" i="28"/>
  <c r="L55" i="28"/>
  <c r="CB55" i="28"/>
  <c r="BD55" i="28"/>
  <c r="H55" i="28"/>
  <c r="BN55" i="28"/>
  <c r="I73" i="6"/>
  <c r="T39" i="24"/>
  <c r="T83" i="24" s="1"/>
  <c r="T78" i="24"/>
  <c r="CF64" i="24"/>
  <c r="AW64" i="24"/>
  <c r="X64" i="24"/>
  <c r="S34" i="24"/>
  <c r="S9" i="40" s="1"/>
  <c r="S38" i="40" s="1"/>
  <c r="S47" i="40" s="1"/>
  <c r="S60" i="40" s="1"/>
  <c r="AW78" i="24"/>
  <c r="H64" i="24"/>
  <c r="AO78" i="24"/>
  <c r="CC39" i="24"/>
  <c r="CC83" i="24" s="1"/>
  <c r="CC78" i="24"/>
  <c r="CB39" i="24"/>
  <c r="CB83" i="24" s="1"/>
  <c r="CB78" i="24"/>
  <c r="AP39" i="24"/>
  <c r="AP83" i="24" s="1"/>
  <c r="AP78" i="24"/>
  <c r="BD78" i="24"/>
  <c r="BD64" i="24"/>
  <c r="Y34" i="24"/>
  <c r="AQ78" i="24"/>
  <c r="Z64" i="24"/>
  <c r="U64" i="24"/>
  <c r="U39" i="24"/>
  <c r="U83" i="24" s="1"/>
  <c r="BK39" i="24"/>
  <c r="BK83" i="24" s="1"/>
  <c r="BK78" i="24"/>
  <c r="AD39" i="24"/>
  <c r="AD83" i="24" s="1"/>
  <c r="AD78" i="24"/>
  <c r="CI93" i="24"/>
  <c r="AA92" i="24"/>
  <c r="AM82" i="24"/>
  <c r="AY80" i="24"/>
  <c r="Q78" i="24"/>
  <c r="BQ64" i="24"/>
  <c r="AM63" i="24"/>
  <c r="BW62" i="24"/>
  <c r="AA62" i="24"/>
  <c r="O60" i="24"/>
  <c r="AY59" i="24"/>
  <c r="AA53" i="24"/>
  <c r="AM92" i="24"/>
  <c r="AY82" i="24"/>
  <c r="BK80" i="24"/>
  <c r="CI63" i="24"/>
  <c r="AB61" i="24"/>
  <c r="BW53" i="24"/>
  <c r="BX62" i="24"/>
  <c r="AY92" i="24"/>
  <c r="AY90" i="24"/>
  <c r="S90" i="24"/>
  <c r="CJ89" i="24"/>
  <c r="BX89" i="24"/>
  <c r="BL89" i="24"/>
  <c r="AZ89" i="24"/>
  <c r="AN89" i="24"/>
  <c r="AB89" i="24"/>
  <c r="P89" i="24"/>
  <c r="CJ88" i="24"/>
  <c r="BX88" i="24"/>
  <c r="BL88" i="24"/>
  <c r="AZ88" i="24"/>
  <c r="AN88" i="24"/>
  <c r="AB88" i="24"/>
  <c r="P88" i="24"/>
  <c r="CJ87" i="24"/>
  <c r="BX87" i="24"/>
  <c r="BL87" i="24"/>
  <c r="AZ87" i="24"/>
  <c r="AN87" i="24"/>
  <c r="AB87" i="24"/>
  <c r="P87" i="24"/>
  <c r="CJ86" i="24"/>
  <c r="BX86" i="24"/>
  <c r="BL86" i="24"/>
  <c r="AZ86" i="24"/>
  <c r="AN86" i="24"/>
  <c r="AB86" i="24"/>
  <c r="P86" i="24"/>
  <c r="CJ85" i="24"/>
  <c r="BX85" i="24"/>
  <c r="BL85" i="24"/>
  <c r="AZ85" i="24"/>
  <c r="AN85" i="24"/>
  <c r="AB85" i="24"/>
  <c r="P85" i="24"/>
  <c r="CJ84" i="24"/>
  <c r="BX84" i="24"/>
  <c r="BL84" i="24"/>
  <c r="AZ84" i="24"/>
  <c r="AN84" i="24"/>
  <c r="AB84" i="24"/>
  <c r="P84" i="24"/>
  <c r="BK82" i="24"/>
  <c r="BW80" i="24"/>
  <c r="O79" i="24"/>
  <c r="BW61" i="24"/>
  <c r="AA61" i="24"/>
  <c r="BK60" i="24"/>
  <c r="O59" i="24"/>
  <c r="AM34" i="24"/>
  <c r="BK92" i="24"/>
  <c r="CI89" i="24"/>
  <c r="BW89" i="24"/>
  <c r="BK89" i="24"/>
  <c r="AY89" i="24"/>
  <c r="AM89" i="24"/>
  <c r="AA89" i="24"/>
  <c r="O89" i="24"/>
  <c r="CI88" i="24"/>
  <c r="BW88" i="24"/>
  <c r="BK88" i="24"/>
  <c r="AY88" i="24"/>
  <c r="AM88" i="24"/>
  <c r="AA88" i="24"/>
  <c r="O88" i="24"/>
  <c r="CI87" i="24"/>
  <c r="BW87" i="24"/>
  <c r="BK87" i="24"/>
  <c r="AY87" i="24"/>
  <c r="AM87" i="24"/>
  <c r="AA87" i="24"/>
  <c r="O87" i="24"/>
  <c r="CI86" i="24"/>
  <c r="BW86" i="24"/>
  <c r="BK86" i="24"/>
  <c r="AY86" i="24"/>
  <c r="AM86" i="24"/>
  <c r="AA86" i="24"/>
  <c r="O86" i="24"/>
  <c r="CI85" i="24"/>
  <c r="BW85" i="24"/>
  <c r="BK85" i="24"/>
  <c r="AY85" i="24"/>
  <c r="AM85" i="24"/>
  <c r="AA85" i="24"/>
  <c r="O85" i="24"/>
  <c r="CI84" i="24"/>
  <c r="BW84" i="24"/>
  <c r="BK84" i="24"/>
  <c r="AY84" i="24"/>
  <c r="AM84" i="24"/>
  <c r="AA84" i="24"/>
  <c r="O84" i="24"/>
  <c r="BW82" i="24"/>
  <c r="O81" i="24"/>
  <c r="CI80" i="24"/>
  <c r="AA79" i="24"/>
  <c r="BQ78" i="24"/>
  <c r="I78" i="24"/>
  <c r="BK64" i="24"/>
  <c r="AY63" i="24"/>
  <c r="CI62" i="24"/>
  <c r="AM62" i="24"/>
  <c r="AA60" i="24"/>
  <c r="BL59" i="24"/>
  <c r="AL34" i="24"/>
  <c r="AL9" i="40" s="1"/>
  <c r="AL38" i="40" s="1"/>
  <c r="AL47" i="40" s="1"/>
  <c r="BW92" i="24"/>
  <c r="BK90" i="24"/>
  <c r="CI82" i="24"/>
  <c r="AA81" i="24"/>
  <c r="AM79" i="24"/>
  <c r="CI64" i="24"/>
  <c r="BK59" i="24"/>
  <c r="CI53" i="24"/>
  <c r="AM53" i="24"/>
  <c r="CI92" i="24"/>
  <c r="O90" i="24"/>
  <c r="AM81" i="24"/>
  <c r="AY79" i="24"/>
  <c r="CJ65" i="24"/>
  <c r="BX65" i="24"/>
  <c r="BL65" i="24"/>
  <c r="AZ65" i="24"/>
  <c r="AN65" i="24"/>
  <c r="AB65" i="24"/>
  <c r="P65" i="24"/>
  <c r="CI61" i="24"/>
  <c r="AM61" i="24"/>
  <c r="BW60" i="24"/>
  <c r="AA59" i="24"/>
  <c r="O93" i="24"/>
  <c r="AY81" i="24"/>
  <c r="BK79" i="24"/>
  <c r="CI65" i="24"/>
  <c r="BW65" i="24"/>
  <c r="BK65" i="24"/>
  <c r="AY65" i="24"/>
  <c r="AM65" i="24"/>
  <c r="AA65" i="24"/>
  <c r="O65" i="24"/>
  <c r="O64" i="24"/>
  <c r="BK63" i="24"/>
  <c r="O63" i="24"/>
  <c r="AY62" i="24"/>
  <c r="BW59" i="24"/>
  <c r="BW90" i="24"/>
  <c r="BK81" i="24"/>
  <c r="BW79" i="24"/>
  <c r="AM60" i="24"/>
  <c r="AY53" i="24"/>
  <c r="AM93" i="24"/>
  <c r="AA90" i="24"/>
  <c r="BW81" i="24"/>
  <c r="CI79" i="24"/>
  <c r="O62" i="24"/>
  <c r="AY61" i="24"/>
  <c r="CI60" i="24"/>
  <c r="AM59" i="24"/>
  <c r="O53" i="24"/>
  <c r="AA93" i="24"/>
  <c r="AY93" i="24"/>
  <c r="CI81" i="24"/>
  <c r="O80" i="24"/>
  <c r="AB64" i="24"/>
  <c r="BW63" i="24"/>
  <c r="AA63" i="24"/>
  <c r="BK62" i="24"/>
  <c r="CI59" i="24"/>
  <c r="CJ34" i="24"/>
  <c r="CJ64" i="24"/>
  <c r="BV34" i="24"/>
  <c r="BV9" i="40" s="1"/>
  <c r="BV38" i="40" s="1"/>
  <c r="BV47" i="40" s="1"/>
  <c r="BV60" i="40" s="1"/>
  <c r="BV64" i="24"/>
  <c r="BU34" i="24"/>
  <c r="BU9" i="40" s="1"/>
  <c r="BU38" i="40" s="1"/>
  <c r="BU47" i="40" s="1"/>
  <c r="BU64" i="24"/>
  <c r="AK34" i="24"/>
  <c r="AK9" i="40" s="1"/>
  <c r="AK38" i="40" s="1"/>
  <c r="AK47" i="40" s="1"/>
  <c r="AK64" i="24"/>
  <c r="P90" i="24"/>
  <c r="CG64" i="24"/>
  <c r="BL63" i="24"/>
  <c r="P62" i="24"/>
  <c r="BX93" i="24"/>
  <c r="AZ93" i="24"/>
  <c r="AB93" i="24"/>
  <c r="CJ92" i="24"/>
  <c r="BL92" i="24"/>
  <c r="AN92" i="24"/>
  <c r="AB92" i="24"/>
  <c r="CB90" i="24"/>
  <c r="AZ60" i="24"/>
  <c r="BX59" i="24"/>
  <c r="P59" i="24"/>
  <c r="AN53" i="24"/>
  <c r="CJ93" i="24"/>
  <c r="BL93" i="24"/>
  <c r="AN93" i="24"/>
  <c r="P93" i="24"/>
  <c r="BX92" i="24"/>
  <c r="AZ92" i="24"/>
  <c r="P92" i="24"/>
  <c r="AB90" i="24"/>
  <c r="AN90" i="24"/>
  <c r="AR78" i="24"/>
  <c r="BX63" i="24"/>
  <c r="CJ62" i="24"/>
  <c r="AN61" i="24"/>
  <c r="AZ90" i="24"/>
  <c r="AB62" i="24"/>
  <c r="BL60" i="24"/>
  <c r="CJ59" i="24"/>
  <c r="AB59" i="24"/>
  <c r="AZ53" i="24"/>
  <c r="CF47" i="24"/>
  <c r="BL90" i="24"/>
  <c r="F64" i="24"/>
  <c r="P63" i="24"/>
  <c r="AZ61" i="24"/>
  <c r="CG39" i="24"/>
  <c r="BX90" i="24"/>
  <c r="CJ63" i="24"/>
  <c r="AN62" i="24"/>
  <c r="BX60" i="24"/>
  <c r="P60" i="24"/>
  <c r="AN59" i="24"/>
  <c r="BL53" i="24"/>
  <c r="AZ34" i="24"/>
  <c r="AZ9" i="40" s="1"/>
  <c r="AZ38" i="40" s="1"/>
  <c r="AZ47" i="40" s="1"/>
  <c r="AZ60" i="40" s="1"/>
  <c r="CJ90" i="24"/>
  <c r="BX64" i="24"/>
  <c r="AB63" i="24"/>
  <c r="BL61" i="24"/>
  <c r="AZ62" i="24"/>
  <c r="CJ60" i="24"/>
  <c r="AB60" i="24"/>
  <c r="BX53" i="24"/>
  <c r="P53" i="24"/>
  <c r="T90" i="24"/>
  <c r="AN63" i="24"/>
  <c r="BX61" i="24"/>
  <c r="AZ59" i="24"/>
  <c r="AN20" i="24"/>
  <c r="P20" i="24"/>
  <c r="CJ82" i="24"/>
  <c r="BL82" i="24"/>
  <c r="AB82" i="24"/>
  <c r="CJ81" i="24"/>
  <c r="AN81" i="24"/>
  <c r="BL62" i="24"/>
  <c r="P61" i="24"/>
  <c r="CJ53" i="24"/>
  <c r="BX82" i="24"/>
  <c r="AZ82" i="24"/>
  <c r="AN82" i="24"/>
  <c r="P82" i="24"/>
  <c r="BX81" i="24"/>
  <c r="BL81" i="24"/>
  <c r="AZ81" i="24"/>
  <c r="AB81" i="24"/>
  <c r="P81" i="24"/>
  <c r="AR90" i="24"/>
  <c r="CJ80" i="24"/>
  <c r="BX80" i="24"/>
  <c r="BL80" i="24"/>
  <c r="AZ80" i="24"/>
  <c r="AN80" i="24"/>
  <c r="AB80" i="24"/>
  <c r="P80" i="24"/>
  <c r="CJ79" i="24"/>
  <c r="BX79" i="24"/>
  <c r="BL79" i="24"/>
  <c r="AZ79" i="24"/>
  <c r="AN79" i="24"/>
  <c r="AB79" i="24"/>
  <c r="AE78" i="24"/>
  <c r="AZ63" i="24"/>
  <c r="CJ61" i="24"/>
  <c r="AB53" i="24"/>
  <c r="K75" i="21"/>
  <c r="J75" i="21"/>
  <c r="G75" i="21"/>
  <c r="L75" i="21"/>
  <c r="L76" i="21"/>
  <c r="K76" i="21"/>
  <c r="H75" i="21"/>
  <c r="M76" i="21"/>
  <c r="I76" i="21"/>
  <c r="E106" i="6" s="1"/>
  <c r="F75" i="21"/>
  <c r="B105" i="6" s="1"/>
  <c r="J76" i="21"/>
  <c r="H76" i="21"/>
  <c r="D106" i="6" s="1"/>
  <c r="G76" i="21"/>
  <c r="E45" i="3"/>
  <c r="F7" i="9"/>
  <c r="BT39" i="24"/>
  <c r="BT83" i="24" s="1"/>
  <c r="BT78" i="24"/>
  <c r="L39" i="24"/>
  <c r="L78" i="24"/>
  <c r="AH78" i="24"/>
  <c r="AH39" i="24"/>
  <c r="AH83" i="24" s="1"/>
  <c r="AG39" i="24"/>
  <c r="AG83" i="24" s="1"/>
  <c r="AG78" i="24"/>
  <c r="BW78" i="24"/>
  <c r="AX34" i="24"/>
  <c r="AX9" i="40" s="1"/>
  <c r="AX38" i="40" s="1"/>
  <c r="AX47" i="40" s="1"/>
  <c r="AX60" i="40" s="1"/>
  <c r="AX64" i="24"/>
  <c r="BF34" i="24"/>
  <c r="BF9" i="40" s="1"/>
  <c r="BF38" i="40" s="1"/>
  <c r="BF47" i="40" s="1"/>
  <c r="BF60" i="40" s="1"/>
  <c r="BF64" i="24"/>
  <c r="CC90" i="24"/>
  <c r="I90" i="24"/>
  <c r="AA78" i="24"/>
  <c r="AH64" i="24"/>
  <c r="CE53" i="24"/>
  <c r="CE59" i="24"/>
  <c r="CE60" i="24"/>
  <c r="CE61" i="24"/>
  <c r="CE62" i="24"/>
  <c r="CE63" i="24"/>
  <c r="BS20" i="24"/>
  <c r="BS53" i="24"/>
  <c r="BS59" i="24"/>
  <c r="BS60" i="24"/>
  <c r="BS61" i="24"/>
  <c r="BS62" i="24"/>
  <c r="BS63" i="24"/>
  <c r="BG20" i="24"/>
  <c r="BG53" i="24"/>
  <c r="BG59" i="24"/>
  <c r="BG60" i="24"/>
  <c r="BG61" i="24"/>
  <c r="BG62" i="24"/>
  <c r="BG63" i="24"/>
  <c r="AU20" i="24"/>
  <c r="AU53" i="24"/>
  <c r="AU59" i="24"/>
  <c r="AU60" i="24"/>
  <c r="AU61" i="24"/>
  <c r="AU62" i="24"/>
  <c r="AU63" i="24"/>
  <c r="AI53" i="24"/>
  <c r="AI59" i="24"/>
  <c r="AI60" i="24"/>
  <c r="AI61" i="24"/>
  <c r="AI62" i="24"/>
  <c r="AI63" i="24"/>
  <c r="AI20" i="24"/>
  <c r="W20" i="24"/>
  <c r="W53" i="24"/>
  <c r="W59" i="24"/>
  <c r="W60" i="24"/>
  <c r="W61" i="24"/>
  <c r="W62" i="24"/>
  <c r="W63" i="24"/>
  <c r="K20" i="24"/>
  <c r="K53" i="24"/>
  <c r="K59" i="24"/>
  <c r="K60" i="24"/>
  <c r="K61" i="24"/>
  <c r="K62" i="24"/>
  <c r="K63" i="24"/>
  <c r="Z78" i="24"/>
  <c r="AG64" i="24"/>
  <c r="BL34" i="24"/>
  <c r="BL64" i="24"/>
  <c r="CI78" i="24"/>
  <c r="BC78" i="24"/>
  <c r="BJ64" i="24"/>
  <c r="CE34" i="24"/>
  <c r="CE9" i="40" s="1"/>
  <c r="CE38" i="40" s="1"/>
  <c r="CE47" i="40" s="1"/>
  <c r="CE64" i="24"/>
  <c r="AY64" i="24"/>
  <c r="BW64" i="24"/>
  <c r="CF62" i="24"/>
  <c r="AJ60" i="24"/>
  <c r="AV59" i="24"/>
  <c r="X53" i="24"/>
  <c r="BI47" i="24"/>
  <c r="F78" i="24"/>
  <c r="AY78" i="24"/>
  <c r="CF63" i="24"/>
  <c r="X62" i="24"/>
  <c r="AJ61" i="24"/>
  <c r="AV60" i="24"/>
  <c r="BH59" i="24"/>
  <c r="AJ53" i="24"/>
  <c r="BO34" i="24"/>
  <c r="BO9" i="40" s="1"/>
  <c r="BO38" i="40" s="1"/>
  <c r="BO47" i="40" s="1"/>
  <c r="BO64" i="24"/>
  <c r="CD78" i="24"/>
  <c r="H39" i="24"/>
  <c r="H83" i="24" s="1"/>
  <c r="H78" i="24"/>
  <c r="CK20" i="24"/>
  <c r="CK64" i="24" s="1"/>
  <c r="CK53" i="24"/>
  <c r="CK59" i="24"/>
  <c r="CK60" i="24"/>
  <c r="CK61" i="24"/>
  <c r="CK62" i="24"/>
  <c r="CK63" i="24"/>
  <c r="BY20" i="24"/>
  <c r="BY53" i="24"/>
  <c r="BY59" i="24"/>
  <c r="BY60" i="24"/>
  <c r="BY61" i="24"/>
  <c r="BY62" i="24"/>
  <c r="BY63" i="24"/>
  <c r="BM20" i="24"/>
  <c r="BM53" i="24"/>
  <c r="BM59" i="24"/>
  <c r="BM60" i="24"/>
  <c r="BM61" i="24"/>
  <c r="BM62" i="24"/>
  <c r="BM63" i="24"/>
  <c r="BA20" i="24"/>
  <c r="BA53" i="24"/>
  <c r="BA59" i="24"/>
  <c r="BA60" i="24"/>
  <c r="BA61" i="24"/>
  <c r="BA62" i="24"/>
  <c r="BA63" i="24"/>
  <c r="AO53" i="24"/>
  <c r="AO59" i="24"/>
  <c r="AO60" i="24"/>
  <c r="AO61" i="24"/>
  <c r="AO62" i="24"/>
  <c r="AO63" i="24"/>
  <c r="AC20" i="24"/>
  <c r="AC53" i="24"/>
  <c r="AC59" i="24"/>
  <c r="AC60" i="24"/>
  <c r="AC61" i="24"/>
  <c r="AC62" i="24"/>
  <c r="AC63" i="24"/>
  <c r="Q53" i="24"/>
  <c r="Q59" i="24"/>
  <c r="Q60" i="24"/>
  <c r="Q61" i="24"/>
  <c r="Q62" i="24"/>
  <c r="Q63" i="24"/>
  <c r="BN47" i="24"/>
  <c r="BN50" i="24" s="1"/>
  <c r="BN94" i="24" s="1"/>
  <c r="Q47" i="24"/>
  <c r="Q91" i="24" s="1"/>
  <c r="BJ47" i="24"/>
  <c r="BJ91" i="24" s="1"/>
  <c r="CD47" i="24"/>
  <c r="CD91" i="24" s="1"/>
  <c r="L100" i="15"/>
  <c r="L98" i="15"/>
  <c r="L88" i="15"/>
  <c r="L85" i="15"/>
  <c r="L86" i="15"/>
  <c r="L87" i="15"/>
  <c r="L83" i="15"/>
  <c r="L84" i="15"/>
  <c r="J92" i="15"/>
  <c r="J83" i="15"/>
  <c r="J84" i="15"/>
  <c r="J86" i="15"/>
  <c r="J87" i="15"/>
  <c r="J85" i="15"/>
  <c r="J88" i="15"/>
  <c r="G78" i="15"/>
  <c r="G85" i="15"/>
  <c r="G88" i="15"/>
  <c r="G84" i="15"/>
  <c r="G87" i="15"/>
  <c r="G83" i="15"/>
  <c r="G86" i="15"/>
  <c r="E87" i="15"/>
  <c r="E85" i="15"/>
  <c r="E83" i="15"/>
  <c r="E84" i="15"/>
  <c r="E88" i="15"/>
  <c r="E86" i="15"/>
  <c r="J94" i="15"/>
  <c r="J105" i="15"/>
  <c r="L33" i="15"/>
  <c r="L76" i="15" s="1"/>
  <c r="L82" i="15"/>
  <c r="L68" i="15"/>
  <c r="L80" i="15"/>
  <c r="L79" i="15"/>
  <c r="L81" i="15"/>
  <c r="J80" i="15"/>
  <c r="J81" i="15"/>
  <c r="J68" i="15"/>
  <c r="J82" i="15"/>
  <c r="J79" i="15"/>
  <c r="J66" i="15"/>
  <c r="E33" i="15"/>
  <c r="E47" i="15" s="1"/>
  <c r="E81" i="15"/>
  <c r="E79" i="15"/>
  <c r="E82" i="15"/>
  <c r="E80" i="15"/>
  <c r="E68" i="15"/>
  <c r="J99" i="15"/>
  <c r="J101" i="15"/>
  <c r="G66" i="15"/>
  <c r="G79" i="15"/>
  <c r="G82" i="15"/>
  <c r="G80" i="15"/>
  <c r="G68" i="15"/>
  <c r="G81" i="15"/>
  <c r="J98" i="15"/>
  <c r="G98" i="15"/>
  <c r="K59" i="15"/>
  <c r="G100" i="15"/>
  <c r="G96" i="15"/>
  <c r="G75" i="15"/>
  <c r="G70" i="15"/>
  <c r="G104" i="15"/>
  <c r="G94" i="15"/>
  <c r="G93" i="15"/>
  <c r="G101" i="15"/>
  <c r="G71" i="15"/>
  <c r="I89" i="8"/>
  <c r="J89" i="8"/>
  <c r="E90" i="8"/>
  <c r="F90" i="8"/>
  <c r="G90" i="8"/>
  <c r="H90" i="8"/>
  <c r="E89" i="8"/>
  <c r="I90" i="8"/>
  <c r="F89" i="8"/>
  <c r="J90" i="8"/>
  <c r="G89" i="8"/>
  <c r="H89" i="8"/>
  <c r="L77" i="15"/>
  <c r="L102" i="15"/>
  <c r="L97" i="15"/>
  <c r="L91" i="15"/>
  <c r="G77" i="15"/>
  <c r="L101" i="15"/>
  <c r="J97" i="15"/>
  <c r="G91" i="15"/>
  <c r="L75" i="15"/>
  <c r="L96" i="15"/>
  <c r="L74" i="15"/>
  <c r="L70" i="15"/>
  <c r="L105" i="15"/>
  <c r="L99" i="15"/>
  <c r="L93" i="15"/>
  <c r="L69" i="15"/>
  <c r="G105" i="15"/>
  <c r="G99" i="15"/>
  <c r="J93" i="15"/>
  <c r="L67" i="15"/>
  <c r="G74" i="15"/>
  <c r="L73" i="15"/>
  <c r="L72" i="15"/>
  <c r="G33" i="15"/>
  <c r="G47" i="15" s="1"/>
  <c r="F59" i="15"/>
  <c r="J100" i="15"/>
  <c r="J96" i="15"/>
  <c r="J91" i="15"/>
  <c r="L78" i="15"/>
  <c r="G72" i="15"/>
  <c r="L71" i="15"/>
  <c r="K28" i="15"/>
  <c r="K89" i="15" s="1"/>
  <c r="G97" i="15"/>
  <c r="G92" i="15"/>
  <c r="G73" i="15"/>
  <c r="G102" i="15"/>
  <c r="F28" i="15"/>
  <c r="F89" i="15" s="1"/>
  <c r="M59" i="15"/>
  <c r="L27" i="18"/>
  <c r="L28" i="18" s="1"/>
  <c r="F41" i="9"/>
  <c r="F92" i="21" s="1"/>
  <c r="F93" i="21" s="1"/>
  <c r="E41" i="9"/>
  <c r="E42" i="9" s="1"/>
  <c r="E54" i="9" s="1"/>
  <c r="L41" i="9"/>
  <c r="L42" i="9" s="1"/>
  <c r="L54" i="9" s="1"/>
  <c r="I41" i="9"/>
  <c r="G59" i="10"/>
  <c r="J41" i="9"/>
  <c r="J42" i="9" s="1"/>
  <c r="J54" i="9" s="1"/>
  <c r="H59" i="10"/>
  <c r="K23" i="10"/>
  <c r="H23" i="10"/>
  <c r="H79" i="10" s="1"/>
  <c r="L23" i="10"/>
  <c r="H41" i="9"/>
  <c r="H92" i="21" s="1"/>
  <c r="H93" i="21" s="1"/>
  <c r="G41" i="9"/>
  <c r="G92" i="21" s="1"/>
  <c r="G93" i="21" s="1"/>
  <c r="N39" i="10"/>
  <c r="M41" i="9"/>
  <c r="M42" i="9" s="1"/>
  <c r="M54" i="9" s="1"/>
  <c r="L39" i="10"/>
  <c r="N98" i="8"/>
  <c r="N92" i="8"/>
  <c r="M74" i="8"/>
  <c r="M88" i="8"/>
  <c r="N72" i="8"/>
  <c r="G87" i="8"/>
  <c r="H87" i="8"/>
  <c r="A75" i="6"/>
  <c r="E86" i="8"/>
  <c r="I87" i="8"/>
  <c r="M100" i="8"/>
  <c r="N78" i="8"/>
  <c r="G84" i="8"/>
  <c r="F86" i="8"/>
  <c r="J87" i="8"/>
  <c r="C65" i="15"/>
  <c r="G86" i="8"/>
  <c r="H86" i="8"/>
  <c r="E85" i="8"/>
  <c r="I86" i="8"/>
  <c r="E88" i="8"/>
  <c r="F85" i="8"/>
  <c r="J86" i="8"/>
  <c r="F88" i="8"/>
  <c r="G81" i="8"/>
  <c r="G85" i="8"/>
  <c r="G88" i="8"/>
  <c r="H85" i="8"/>
  <c r="H88" i="8"/>
  <c r="N70" i="8"/>
  <c r="I85" i="8"/>
  <c r="E87" i="8"/>
  <c r="I88" i="8"/>
  <c r="J85" i="8"/>
  <c r="F87" i="8"/>
  <c r="J88" i="8"/>
  <c r="H81" i="8"/>
  <c r="H84" i="8"/>
  <c r="N95" i="8"/>
  <c r="H70" i="8"/>
  <c r="E80" i="8"/>
  <c r="I81" i="8"/>
  <c r="E83" i="8"/>
  <c r="I84" i="8"/>
  <c r="F80" i="8"/>
  <c r="J81" i="8"/>
  <c r="F83" i="8"/>
  <c r="J84" i="8"/>
  <c r="N99" i="8"/>
  <c r="N73" i="8"/>
  <c r="G80" i="8"/>
  <c r="G83" i="8"/>
  <c r="N102" i="8"/>
  <c r="N94" i="8"/>
  <c r="N88" i="8"/>
  <c r="N76" i="8"/>
  <c r="N69" i="8"/>
  <c r="H80" i="8"/>
  <c r="H83" i="8"/>
  <c r="E79" i="8"/>
  <c r="I80" i="8"/>
  <c r="E82" i="8"/>
  <c r="I83" i="8"/>
  <c r="F79" i="8"/>
  <c r="J80" i="8"/>
  <c r="F82" i="8"/>
  <c r="J83" i="8"/>
  <c r="N101" i="8"/>
  <c r="N75" i="8"/>
  <c r="N103" i="8"/>
  <c r="G79" i="8"/>
  <c r="G82" i="8"/>
  <c r="N93" i="8"/>
  <c r="N97" i="8"/>
  <c r="M93" i="8"/>
  <c r="N71" i="8"/>
  <c r="M103" i="8"/>
  <c r="H79" i="8"/>
  <c r="H82" i="8"/>
  <c r="N106" i="8"/>
  <c r="N105" i="8"/>
  <c r="M71" i="8"/>
  <c r="I79" i="8"/>
  <c r="E81" i="8"/>
  <c r="I82" i="8"/>
  <c r="E84" i="8"/>
  <c r="N100" i="8"/>
  <c r="N74" i="8"/>
  <c r="J79" i="8"/>
  <c r="F81" i="8"/>
  <c r="J82" i="8"/>
  <c r="F84" i="8"/>
  <c r="H92" i="8"/>
  <c r="K78" i="8"/>
  <c r="N62" i="8"/>
  <c r="C50" i="35"/>
  <c r="M102" i="8"/>
  <c r="M76" i="8"/>
  <c r="M92" i="8"/>
  <c r="M97" i="8"/>
  <c r="M99" i="8"/>
  <c r="M106" i="8"/>
  <c r="M95" i="8"/>
  <c r="M70" i="8"/>
  <c r="M73" i="8"/>
  <c r="M105" i="8"/>
  <c r="M101" i="8"/>
  <c r="M75" i="8"/>
  <c r="M72" i="8"/>
  <c r="M94" i="8"/>
  <c r="M78" i="8"/>
  <c r="M69" i="8"/>
  <c r="L74" i="8"/>
  <c r="K74" i="8"/>
  <c r="D45" i="35"/>
  <c r="H102" i="8"/>
  <c r="L99" i="8"/>
  <c r="L93" i="8"/>
  <c r="H76" i="8"/>
  <c r="L68" i="8"/>
  <c r="L105" i="8"/>
  <c r="L76" i="8"/>
  <c r="K93" i="8"/>
  <c r="L78" i="8"/>
  <c r="G76" i="8"/>
  <c r="I78" i="8"/>
  <c r="H98" i="8"/>
  <c r="H78" i="8"/>
  <c r="L72" i="8"/>
  <c r="L103" i="8"/>
  <c r="L97" i="8"/>
  <c r="K99" i="8"/>
  <c r="G78" i="8"/>
  <c r="K72" i="8"/>
  <c r="K97" i="8"/>
  <c r="K92" i="8"/>
  <c r="K73" i="8"/>
  <c r="K71" i="8"/>
  <c r="G97" i="8"/>
  <c r="K94" i="8"/>
  <c r="J92" i="8"/>
  <c r="K75" i="8"/>
  <c r="I73" i="8"/>
  <c r="K106" i="8"/>
  <c r="M98" i="8"/>
  <c r="I92" i="8"/>
  <c r="K95" i="8"/>
  <c r="K101" i="8"/>
  <c r="K105" i="8"/>
  <c r="K98" i="8"/>
  <c r="K103" i="8"/>
  <c r="K88" i="8"/>
  <c r="K102" i="8"/>
  <c r="K100" i="8"/>
  <c r="I98" i="8"/>
  <c r="G92" i="8"/>
  <c r="K68" i="8"/>
  <c r="G102" i="8"/>
  <c r="G98" i="8"/>
  <c r="K76" i="8"/>
  <c r="E21" i="6"/>
  <c r="G99" i="8"/>
  <c r="I74" i="8"/>
  <c r="H100" i="8"/>
  <c r="G93" i="8"/>
  <c r="H101" i="8"/>
  <c r="J97" i="8"/>
  <c r="I95" i="8"/>
  <c r="G75" i="8"/>
  <c r="I103" i="8"/>
  <c r="J99" i="8"/>
  <c r="I71" i="8"/>
  <c r="G103" i="8"/>
  <c r="J29" i="8"/>
  <c r="I100" i="8"/>
  <c r="J94" i="8"/>
  <c r="G106" i="8"/>
  <c r="J102" i="8"/>
  <c r="G101" i="8"/>
  <c r="I97" i="8"/>
  <c r="H95" i="8"/>
  <c r="J70" i="8"/>
  <c r="N68" i="8"/>
  <c r="I105" i="8"/>
  <c r="H103" i="8"/>
  <c r="H71" i="8"/>
  <c r="I106" i="8"/>
  <c r="H99" i="8"/>
  <c r="J69" i="8"/>
  <c r="I29" i="8"/>
  <c r="D21" i="6"/>
  <c r="I69" i="8"/>
  <c r="I102" i="8"/>
  <c r="J98" i="8"/>
  <c r="H97" i="8"/>
  <c r="G95" i="8"/>
  <c r="J78" i="8"/>
  <c r="I76" i="8"/>
  <c r="I70" i="8"/>
  <c r="J103" i="8"/>
  <c r="J106" i="8"/>
  <c r="I99" i="8"/>
  <c r="J93" i="8"/>
  <c r="I68" i="8"/>
  <c r="G105" i="8"/>
  <c r="J68" i="8"/>
  <c r="G26" i="13"/>
  <c r="H29" i="8"/>
  <c r="J100" i="8"/>
  <c r="H106" i="8"/>
  <c r="G74" i="8"/>
  <c r="C21" i="6"/>
  <c r="J101" i="8"/>
  <c r="G100" i="8"/>
  <c r="H94" i="8"/>
  <c r="J75" i="8"/>
  <c r="I72" i="8"/>
  <c r="H69" i="8"/>
  <c r="G29" i="8"/>
  <c r="J105" i="8"/>
  <c r="J71" i="8"/>
  <c r="H105" i="8"/>
  <c r="I93" i="8"/>
  <c r="J74" i="8"/>
  <c r="H68" i="8"/>
  <c r="H93" i="8"/>
  <c r="I94" i="8"/>
  <c r="I101" i="8"/>
  <c r="J95" i="8"/>
  <c r="G94" i="8"/>
  <c r="I75" i="8"/>
  <c r="F100" i="8"/>
  <c r="F99" i="8"/>
  <c r="E98" i="8"/>
  <c r="E97" i="8"/>
  <c r="F95" i="8"/>
  <c r="E94" i="8"/>
  <c r="F78" i="8"/>
  <c r="J73" i="8"/>
  <c r="J72" i="8"/>
  <c r="G69" i="8"/>
  <c r="G68" i="8"/>
  <c r="F62" i="8"/>
  <c r="F92" i="8"/>
  <c r="F97" i="8"/>
  <c r="F94" i="8"/>
  <c r="E78" i="8"/>
  <c r="F69" i="8"/>
  <c r="F68" i="8"/>
  <c r="E92" i="8"/>
  <c r="E100" i="8"/>
  <c r="E106" i="8"/>
  <c r="E105" i="8"/>
  <c r="F102" i="8"/>
  <c r="E101" i="8"/>
  <c r="H73" i="8"/>
  <c r="H72" i="8"/>
  <c r="G71" i="8"/>
  <c r="G70" i="8"/>
  <c r="E69" i="8"/>
  <c r="E68" i="8"/>
  <c r="H62" i="8"/>
  <c r="B21" i="6"/>
  <c r="F106" i="8"/>
  <c r="F105" i="8"/>
  <c r="F101" i="8"/>
  <c r="E99" i="8"/>
  <c r="E95" i="8"/>
  <c r="F103" i="8"/>
  <c r="E102" i="8"/>
  <c r="H75" i="8"/>
  <c r="H74" i="8"/>
  <c r="G73" i="8"/>
  <c r="G72" i="8"/>
  <c r="F71" i="8"/>
  <c r="F70" i="8"/>
  <c r="G62" i="8"/>
  <c r="E103" i="8"/>
  <c r="F73" i="8"/>
  <c r="F72" i="8"/>
  <c r="E71" i="8"/>
  <c r="E70" i="8"/>
  <c r="F75" i="8"/>
  <c r="F74" i="8"/>
  <c r="E73" i="8"/>
  <c r="E72" i="8"/>
  <c r="F32" i="12"/>
  <c r="F31" i="12" s="1"/>
  <c r="F76" i="8"/>
  <c r="E75" i="8"/>
  <c r="E74" i="8"/>
  <c r="F98" i="8"/>
  <c r="E76" i="8"/>
  <c r="F23" i="10"/>
  <c r="L30" i="30"/>
  <c r="D71" i="15"/>
  <c r="K30" i="30"/>
  <c r="J23" i="10"/>
  <c r="J39" i="10"/>
  <c r="G30" i="30"/>
  <c r="G39" i="10"/>
  <c r="M23" i="10"/>
  <c r="F40" i="22"/>
  <c r="N6" i="12"/>
  <c r="I6" i="10"/>
  <c r="I4" i="8"/>
  <c r="N4" i="12"/>
  <c r="I6" i="8"/>
  <c r="I4" i="10"/>
  <c r="F4" i="28"/>
  <c r="F6" i="28"/>
  <c r="F4" i="24"/>
  <c r="F6" i="24"/>
  <c r="G4" i="29"/>
  <c r="F4" i="30"/>
  <c r="G6" i="29"/>
  <c r="L37" i="26"/>
  <c r="L38" i="26" s="1"/>
  <c r="L57" i="16"/>
  <c r="L24" i="14"/>
  <c r="L46" i="14" s="1"/>
  <c r="L26" i="13"/>
  <c r="L29" i="8"/>
  <c r="L43" i="8" s="1"/>
  <c r="L90" i="8" s="1"/>
  <c r="L69" i="8"/>
  <c r="L71" i="8"/>
  <c r="L73" i="8"/>
  <c r="L75" i="8"/>
  <c r="L88" i="8"/>
  <c r="L92" i="8"/>
  <c r="L94" i="8"/>
  <c r="L98" i="8"/>
  <c r="L100" i="8"/>
  <c r="L102" i="8"/>
  <c r="L106" i="8"/>
  <c r="L62" i="8"/>
  <c r="P5" i="27"/>
  <c r="Q5" i="25"/>
  <c r="Q5" i="26"/>
  <c r="Q5" i="13"/>
  <c r="Q5" i="14"/>
  <c r="P7" i="27"/>
  <c r="Q7" i="26"/>
  <c r="Q7" i="25"/>
  <c r="Q7" i="13"/>
  <c r="K39" i="10"/>
  <c r="M39" i="10"/>
  <c r="F39" i="10"/>
  <c r="H39" i="10"/>
  <c r="Q7" i="14"/>
  <c r="G38" i="3"/>
  <c r="F39" i="3"/>
  <c r="F40" i="3"/>
  <c r="G23" i="10"/>
  <c r="G79" i="10" s="1"/>
  <c r="L95" i="8"/>
  <c r="M62" i="8"/>
  <c r="N23" i="10"/>
  <c r="D46" i="3"/>
  <c r="F45" i="3"/>
  <c r="G44" i="3"/>
  <c r="H113" i="28"/>
  <c r="T113" i="28" s="1"/>
  <c r="H115" i="28"/>
  <c r="T115" i="28" s="1"/>
  <c r="H7" i="10"/>
  <c r="F57" i="9"/>
  <c r="G51" i="22"/>
  <c r="H32" i="3"/>
  <c r="G34" i="3"/>
  <c r="I5" i="8" s="1"/>
  <c r="G6" i="28"/>
  <c r="G4" i="28"/>
  <c r="G4" i="24"/>
  <c r="G6" i="24"/>
  <c r="L55" i="14"/>
  <c r="M55" i="14"/>
  <c r="N43" i="14"/>
  <c r="F7" i="30"/>
  <c r="G7" i="29"/>
  <c r="G5" i="29"/>
  <c r="G7" i="21"/>
  <c r="G7" i="20"/>
  <c r="G7" i="22"/>
  <c r="F7" i="18"/>
  <c r="G7" i="9"/>
  <c r="L101" i="8"/>
  <c r="L57" i="10"/>
  <c r="L59" i="10" s="1"/>
  <c r="K41" i="9"/>
  <c r="K42" i="9" s="1"/>
  <c r="K54" i="9" s="1"/>
  <c r="N37" i="26"/>
  <c r="N38" i="26" s="1"/>
  <c r="N57" i="16"/>
  <c r="F37" i="26"/>
  <c r="F38" i="26" s="1"/>
  <c r="F57" i="16"/>
  <c r="E6" i="8"/>
  <c r="K19" i="18"/>
  <c r="K17" i="18" s="1"/>
  <c r="K27" i="18"/>
  <c r="F42" i="12"/>
  <c r="L32" i="12"/>
  <c r="G34" i="20"/>
  <c r="G38" i="20"/>
  <c r="G36" i="20"/>
  <c r="G32" i="20"/>
  <c r="G43" i="20"/>
  <c r="G39" i="20"/>
  <c r="G41" i="20"/>
  <c r="G52" i="20"/>
  <c r="G35" i="20"/>
  <c r="G37" i="20"/>
  <c r="G44" i="20"/>
  <c r="G40" i="20"/>
  <c r="M37" i="26"/>
  <c r="M38" i="26" s="1"/>
  <c r="M57" i="16"/>
  <c r="M24" i="14"/>
  <c r="M45" i="14" s="1"/>
  <c r="J27" i="18"/>
  <c r="J19" i="18"/>
  <c r="J17" i="18" s="1"/>
  <c r="N55" i="14"/>
  <c r="G33" i="20"/>
  <c r="E7" i="30"/>
  <c r="F5" i="29"/>
  <c r="F7" i="29"/>
  <c r="F7" i="20"/>
  <c r="F7" i="22"/>
  <c r="F7" i="21"/>
  <c r="E7" i="21" s="1"/>
  <c r="G113" i="28"/>
  <c r="S113" i="28" s="1"/>
  <c r="G115" i="28"/>
  <c r="S115" i="28" s="1"/>
  <c r="F33" i="3"/>
  <c r="K37" i="26"/>
  <c r="K38" i="26" s="1"/>
  <c r="K57" i="16"/>
  <c r="K24" i="14"/>
  <c r="O7" i="27"/>
  <c r="P7" i="25"/>
  <c r="P7" i="26"/>
  <c r="P7" i="14"/>
  <c r="G7" i="8"/>
  <c r="E4" i="8"/>
  <c r="E1" i="8" s="1"/>
  <c r="N57" i="10"/>
  <c r="N59" i="10" s="1"/>
  <c r="F57" i="10"/>
  <c r="F59" i="10" s="1"/>
  <c r="E6" i="10"/>
  <c r="F26" i="13"/>
  <c r="P7" i="13"/>
  <c r="F24" i="14"/>
  <c r="F45" i="14" s="1"/>
  <c r="I52" i="22"/>
  <c r="E6" i="21"/>
  <c r="E4" i="21"/>
  <c r="F113" i="28"/>
  <c r="R113" i="28" s="1"/>
  <c r="F115" i="28"/>
  <c r="R115" i="28" s="1"/>
  <c r="E33" i="3"/>
  <c r="K62" i="8"/>
  <c r="N29" i="8"/>
  <c r="N43" i="8" s="1"/>
  <c r="N90" i="8" s="1"/>
  <c r="F29" i="8"/>
  <c r="F43" i="8" s="1"/>
  <c r="J37" i="26"/>
  <c r="J38" i="26" s="1"/>
  <c r="J57" i="16"/>
  <c r="J24" i="14"/>
  <c r="F7" i="8"/>
  <c r="E4" i="9"/>
  <c r="M57" i="10"/>
  <c r="M59" i="10" s="1"/>
  <c r="R42" i="12"/>
  <c r="N26" i="13"/>
  <c r="D33" i="3"/>
  <c r="M29" i="8"/>
  <c r="M43" i="8" s="1"/>
  <c r="M90" i="8" s="1"/>
  <c r="E29" i="8"/>
  <c r="E43" i="8" s="1"/>
  <c r="I37" i="26"/>
  <c r="I38" i="26" s="1"/>
  <c r="I57" i="16"/>
  <c r="I24" i="14"/>
  <c r="E6" i="9"/>
  <c r="O42" i="12"/>
  <c r="M26" i="13"/>
  <c r="H37" i="26"/>
  <c r="H38" i="26" s="1"/>
  <c r="H57" i="16"/>
  <c r="H24" i="14"/>
  <c r="K57" i="10"/>
  <c r="K59" i="10" s="1"/>
  <c r="G7" i="10"/>
  <c r="L42" i="12"/>
  <c r="R32" i="12"/>
  <c r="K26" i="13"/>
  <c r="K32" i="13" s="1"/>
  <c r="K69" i="8"/>
  <c r="K29" i="8"/>
  <c r="K43" i="8" s="1"/>
  <c r="K90" i="8" s="1"/>
  <c r="G37" i="26"/>
  <c r="G38" i="26" s="1"/>
  <c r="G24" i="14"/>
  <c r="G46" i="14" s="1"/>
  <c r="G57" i="16"/>
  <c r="F7" i="10"/>
  <c r="I42" i="12"/>
  <c r="O32" i="12"/>
  <c r="H55" i="14"/>
  <c r="E105" i="15"/>
  <c r="E104" i="15"/>
  <c r="E102" i="15"/>
  <c r="E101" i="15"/>
  <c r="E100" i="15"/>
  <c r="E99" i="15"/>
  <c r="E98" i="15"/>
  <c r="E97" i="15"/>
  <c r="E96" i="15"/>
  <c r="E94" i="15"/>
  <c r="E93" i="15"/>
  <c r="E92" i="15"/>
  <c r="E91" i="15"/>
  <c r="E78" i="15"/>
  <c r="E77" i="15"/>
  <c r="E75" i="15"/>
  <c r="E74" i="15"/>
  <c r="E73" i="15"/>
  <c r="E72" i="15"/>
  <c r="E71" i="15"/>
  <c r="E70" i="15"/>
  <c r="H28" i="15"/>
  <c r="G42" i="20"/>
  <c r="I29" i="20"/>
  <c r="I46" i="20" s="1"/>
  <c r="I35" i="20"/>
  <c r="I39" i="20"/>
  <c r="I43" i="20"/>
  <c r="H59" i="15"/>
  <c r="M28" i="15"/>
  <c r="BH78" i="24"/>
  <c r="BH39" i="24"/>
  <c r="G39" i="24"/>
  <c r="G78" i="24"/>
  <c r="O39" i="24"/>
  <c r="O78" i="24"/>
  <c r="J102" i="15"/>
  <c r="J78" i="15"/>
  <c r="J77" i="15"/>
  <c r="J75" i="15"/>
  <c r="J74" i="15"/>
  <c r="J73" i="15"/>
  <c r="J72" i="15"/>
  <c r="J71" i="15"/>
  <c r="J70" i="15"/>
  <c r="J69" i="15"/>
  <c r="E66" i="15"/>
  <c r="E67" i="15"/>
  <c r="E69" i="15"/>
  <c r="H34" i="20"/>
  <c r="H38" i="20"/>
  <c r="H42" i="20"/>
  <c r="H33" i="20"/>
  <c r="H37" i="20"/>
  <c r="H41" i="20"/>
  <c r="H32" i="20"/>
  <c r="H36" i="20"/>
  <c r="H40" i="20"/>
  <c r="H44" i="20"/>
  <c r="H29" i="20"/>
  <c r="H46" i="20" s="1"/>
  <c r="H35" i="20"/>
  <c r="H39" i="20"/>
  <c r="H43" i="20"/>
  <c r="AT64" i="24"/>
  <c r="AT34" i="24"/>
  <c r="AT9" i="40" s="1"/>
  <c r="AT38" i="40" s="1"/>
  <c r="AT47" i="40" s="1"/>
  <c r="AT60" i="40" s="1"/>
  <c r="F42" i="20"/>
  <c r="F38" i="20"/>
  <c r="F34" i="20"/>
  <c r="BZ64" i="24"/>
  <c r="BZ34" i="24"/>
  <c r="BZ9" i="40" s="1"/>
  <c r="BZ38" i="40" s="1"/>
  <c r="BZ47" i="40" s="1"/>
  <c r="BE34" i="24"/>
  <c r="BE9" i="40" s="1"/>
  <c r="BE38" i="40" s="1"/>
  <c r="BE47" i="40" s="1"/>
  <c r="BE60" i="40" s="1"/>
  <c r="BE64" i="24"/>
  <c r="G69" i="15"/>
  <c r="G67" i="15"/>
  <c r="F43" i="20"/>
  <c r="F39" i="20"/>
  <c r="F35" i="20"/>
  <c r="F29" i="20"/>
  <c r="F46" i="20" s="1"/>
  <c r="BR39" i="24"/>
  <c r="BR83" i="24" s="1"/>
  <c r="BR78" i="24"/>
  <c r="CH64" i="24"/>
  <c r="CH34" i="24"/>
  <c r="CH9" i="40" s="1"/>
  <c r="CH38" i="40" s="1"/>
  <c r="CH47" i="40" s="1"/>
  <c r="CH60" i="40" s="1"/>
  <c r="BB34" i="24"/>
  <c r="BB9" i="40" s="1"/>
  <c r="BB38" i="40" s="1"/>
  <c r="BB47" i="40" s="1"/>
  <c r="BB64" i="24"/>
  <c r="V34" i="24"/>
  <c r="V9" i="40" s="1"/>
  <c r="V38" i="40" s="1"/>
  <c r="V47" i="40" s="1"/>
  <c r="V60" i="40" s="1"/>
  <c r="V64" i="24"/>
  <c r="AB39" i="24"/>
  <c r="AB78" i="24"/>
  <c r="BX78" i="24"/>
  <c r="BX39" i="24"/>
  <c r="AJ39" i="24"/>
  <c r="AJ78" i="24"/>
  <c r="CA39" i="24"/>
  <c r="CA78" i="24"/>
  <c r="F41" i="20"/>
  <c r="F37" i="20"/>
  <c r="N64" i="24"/>
  <c r="N34" i="24"/>
  <c r="N9" i="40" s="1"/>
  <c r="N38" i="40" s="1"/>
  <c r="N47" i="40" s="1"/>
  <c r="N60" i="40" s="1"/>
  <c r="N28" i="26"/>
  <c r="N18" i="25"/>
  <c r="N17" i="25"/>
  <c r="N26" i="25"/>
  <c r="N16" i="25"/>
  <c r="F18" i="25"/>
  <c r="F16" i="25"/>
  <c r="F17" i="25"/>
  <c r="F26" i="25"/>
  <c r="L26" i="25"/>
  <c r="I25" i="26"/>
  <c r="I32" i="26" s="1"/>
  <c r="BV55" i="28"/>
  <c r="J55" i="28"/>
  <c r="L18" i="25"/>
  <c r="K16" i="25"/>
  <c r="K19" i="25"/>
  <c r="Z55" i="28"/>
  <c r="L19" i="25"/>
  <c r="K18" i="25"/>
  <c r="L17" i="25"/>
  <c r="W15" i="34"/>
  <c r="U20" i="34"/>
  <c r="AB50" i="32"/>
  <c r="AB56" i="32" s="1"/>
  <c r="Q27" i="35"/>
  <c r="Q62" i="35" s="1"/>
  <c r="R27" i="35"/>
  <c r="P32" i="35"/>
  <c r="P62" i="35"/>
  <c r="U21" i="33"/>
  <c r="S27" i="33"/>
  <c r="E55" i="35"/>
  <c r="E27" i="35"/>
  <c r="G27" i="35" s="1"/>
  <c r="G62" i="35" s="1"/>
  <c r="J11" i="33"/>
  <c r="H15" i="33"/>
  <c r="F32" i="35"/>
  <c r="Q52" i="35"/>
  <c r="Q60" i="35"/>
  <c r="Q68" i="35"/>
  <c r="Q76" i="35"/>
  <c r="Q47" i="35"/>
  <c r="Q63" i="35"/>
  <c r="Q71" i="35"/>
  <c r="Q50" i="35"/>
  <c r="Q58" i="35"/>
  <c r="Q66" i="35"/>
  <c r="Q53" i="35"/>
  <c r="Q61" i="35"/>
  <c r="Q69" i="35"/>
  <c r="Q77" i="35"/>
  <c r="Q48" i="35"/>
  <c r="Q56" i="35"/>
  <c r="Q64" i="35"/>
  <c r="Q72" i="35"/>
  <c r="Q51" i="35"/>
  <c r="Q59" i="35"/>
  <c r="Q46" i="35"/>
  <c r="Q54" i="35"/>
  <c r="Q70" i="35"/>
  <c r="AD50" i="32"/>
  <c r="S50" i="32"/>
  <c r="H50" i="32"/>
  <c r="AD37" i="32"/>
  <c r="AF37" i="32" s="1"/>
  <c r="S37" i="32"/>
  <c r="U37" i="32" s="1"/>
  <c r="H37" i="32"/>
  <c r="J37" i="32" s="1"/>
  <c r="W43" i="34"/>
  <c r="O32" i="35"/>
  <c r="O67" i="35" s="1"/>
  <c r="O62" i="35"/>
  <c r="Q74" i="35"/>
  <c r="L15" i="35"/>
  <c r="K48" i="35"/>
  <c r="K56" i="35"/>
  <c r="K64" i="35"/>
  <c r="K72" i="35"/>
  <c r="M15" i="35"/>
  <c r="K51" i="35"/>
  <c r="K59" i="35"/>
  <c r="K46" i="35"/>
  <c r="K54" i="35"/>
  <c r="K70" i="35"/>
  <c r="K49" i="35"/>
  <c r="K57" i="35"/>
  <c r="K65" i="35"/>
  <c r="K73" i="35"/>
  <c r="K52" i="35"/>
  <c r="K60" i="35"/>
  <c r="K68" i="35"/>
  <c r="K76" i="35"/>
  <c r="K20" i="35"/>
  <c r="K47" i="35"/>
  <c r="K63" i="35"/>
  <c r="K71" i="35"/>
  <c r="K50" i="35"/>
  <c r="K58" i="35"/>
  <c r="K66" i="35"/>
  <c r="AF15" i="33"/>
  <c r="G20" i="34"/>
  <c r="O40" i="35"/>
  <c r="Q55" i="35"/>
  <c r="J27" i="35"/>
  <c r="J55" i="35"/>
  <c r="L39" i="35"/>
  <c r="M39" i="35"/>
  <c r="K74" i="35"/>
  <c r="G46" i="35"/>
  <c r="G54" i="35"/>
  <c r="G70" i="35"/>
  <c r="G49" i="35"/>
  <c r="G57" i="35"/>
  <c r="G65" i="35"/>
  <c r="G73" i="35"/>
  <c r="G52" i="35"/>
  <c r="G60" i="35"/>
  <c r="G68" i="35"/>
  <c r="G76" i="35"/>
  <c r="G47" i="35"/>
  <c r="G63" i="35"/>
  <c r="G71" i="35"/>
  <c r="G50" i="35"/>
  <c r="G58" i="35"/>
  <c r="G66" i="35"/>
  <c r="G53" i="35"/>
  <c r="G61" i="35"/>
  <c r="G69" i="35"/>
  <c r="G77" i="35"/>
  <c r="G48" i="35"/>
  <c r="G56" i="35"/>
  <c r="G64" i="35"/>
  <c r="G72" i="35"/>
  <c r="F31" i="34"/>
  <c r="N20" i="34"/>
  <c r="R15" i="35"/>
  <c r="H15" i="35"/>
  <c r="G6" i="35"/>
  <c r="O43" i="34"/>
  <c r="R20" i="35"/>
  <c r="H20" i="35"/>
  <c r="Q6" i="35"/>
  <c r="AH55" i="28" l="1"/>
  <c r="E103" i="21"/>
  <c r="H82" i="21"/>
  <c r="H99" i="21"/>
  <c r="H100" i="21" s="1"/>
  <c r="I82" i="21"/>
  <c r="I99" i="21"/>
  <c r="I100" i="21" s="1"/>
  <c r="F82" i="21"/>
  <c r="F99" i="21"/>
  <c r="F100" i="21" s="1"/>
  <c r="G82" i="21"/>
  <c r="G99" i="21"/>
  <c r="G100" i="21" s="1"/>
  <c r="CE60" i="40"/>
  <c r="AH88" i="28"/>
  <c r="AH109" i="28" s="1"/>
  <c r="AP73" i="6"/>
  <c r="AT55" i="28"/>
  <c r="U73" i="6"/>
  <c r="BB60" i="40"/>
  <c r="BB63" i="40" s="1"/>
  <c r="Y55" i="28"/>
  <c r="AY55" i="28"/>
  <c r="X88" i="28"/>
  <c r="X109" i="28" s="1"/>
  <c r="T73" i="6"/>
  <c r="H5" i="25"/>
  <c r="AK55" i="28"/>
  <c r="I47" i="24"/>
  <c r="I91" i="24" s="1"/>
  <c r="BQ83" i="24"/>
  <c r="AY83" i="24"/>
  <c r="M47" i="24"/>
  <c r="CI83" i="24"/>
  <c r="BD47" i="24"/>
  <c r="J47" i="24"/>
  <c r="J50" i="24" s="1"/>
  <c r="J94" i="24" s="1"/>
  <c r="BW47" i="24"/>
  <c r="BW50" i="24" s="1"/>
  <c r="BW94" i="24" s="1"/>
  <c r="BN91" i="24"/>
  <c r="AV88" i="28"/>
  <c r="AV109" i="28" s="1"/>
  <c r="AV55" i="28"/>
  <c r="AG73" i="6"/>
  <c r="AB73" i="6"/>
  <c r="AF88" i="28"/>
  <c r="AF109" i="28" s="1"/>
  <c r="AF55" i="28"/>
  <c r="H27" i="18"/>
  <c r="H28" i="18" s="1"/>
  <c r="F31" i="13"/>
  <c r="N30" i="14"/>
  <c r="AM55" i="28"/>
  <c r="AJ55" i="28"/>
  <c r="AR55" i="28"/>
  <c r="AI73" i="6"/>
  <c r="AN73" i="6"/>
  <c r="I31" i="13"/>
  <c r="AJ88" i="28"/>
  <c r="AJ109" i="28" s="1"/>
  <c r="J361" i="45"/>
  <c r="J362" i="45"/>
  <c r="J364" i="45"/>
  <c r="J363" i="45"/>
  <c r="J365" i="45"/>
  <c r="J366" i="45"/>
  <c r="G388" i="45"/>
  <c r="E383" i="45"/>
  <c r="G28" i="16" s="1"/>
  <c r="AL60" i="40"/>
  <c r="AL63" i="40" s="1"/>
  <c r="R39" i="24"/>
  <c r="R83" i="24" s="1"/>
  <c r="AA5" i="33"/>
  <c r="AF5" i="33" s="1"/>
  <c r="H5" i="16"/>
  <c r="H5" i="13"/>
  <c r="G5" i="27"/>
  <c r="H5" i="14"/>
  <c r="AS83" i="24"/>
  <c r="L32" i="13"/>
  <c r="G387" i="45"/>
  <c r="AX43" i="28"/>
  <c r="AX88" i="28" s="1"/>
  <c r="AX109" i="28" s="1"/>
  <c r="I81" i="10"/>
  <c r="AK60" i="40"/>
  <c r="AK63" i="40" s="1"/>
  <c r="AW60" i="40"/>
  <c r="AW63" i="40" s="1"/>
  <c r="AV47" i="24"/>
  <c r="AV50" i="24" s="1"/>
  <c r="AV94" i="24" s="1"/>
  <c r="AL55" i="28"/>
  <c r="AW47" i="24"/>
  <c r="AW91" i="24" s="1"/>
  <c r="AL88" i="28"/>
  <c r="AL109" i="28" s="1"/>
  <c r="AQ47" i="24"/>
  <c r="AQ50" i="24" s="1"/>
  <c r="AQ94" i="24" s="1"/>
  <c r="AO47" i="24"/>
  <c r="AO91" i="24" s="1"/>
  <c r="AF47" i="24"/>
  <c r="AF50" i="24" s="1"/>
  <c r="AF94" i="24" s="1"/>
  <c r="Z47" i="24"/>
  <c r="Z50" i="24" s="1"/>
  <c r="Z94" i="24" s="1"/>
  <c r="AA47" i="24"/>
  <c r="AA50" i="24" s="1"/>
  <c r="AA94" i="24" s="1"/>
  <c r="AQ60" i="40"/>
  <c r="AQ63" i="40" s="1"/>
  <c r="AU73" i="6"/>
  <c r="CD55" i="28"/>
  <c r="AE60" i="40"/>
  <c r="AE63" i="40" s="1"/>
  <c r="Z60" i="40"/>
  <c r="Z63" i="40" s="1"/>
  <c r="BU60" i="40"/>
  <c r="AS60" i="40"/>
  <c r="AS63" i="40" s="1"/>
  <c r="BO60" i="40"/>
  <c r="BO63" i="40" s="1"/>
  <c r="BZ60" i="40"/>
  <c r="BZ63" i="40" s="1"/>
  <c r="BI60" i="40"/>
  <c r="BI63" i="40" s="1"/>
  <c r="BC60" i="40"/>
  <c r="BC63" i="40" s="1"/>
  <c r="BP60" i="40"/>
  <c r="BP63" i="40" s="1"/>
  <c r="AF60" i="40"/>
  <c r="AF63" i="40" s="1"/>
  <c r="U60" i="40"/>
  <c r="U63" i="40" s="1"/>
  <c r="I383" i="45"/>
  <c r="I388" i="45"/>
  <c r="H383" i="45"/>
  <c r="I387" i="45"/>
  <c r="H387" i="45"/>
  <c r="H388" i="45"/>
  <c r="G383" i="45"/>
  <c r="I72" i="9"/>
  <c r="H72" i="9"/>
  <c r="I42" i="9"/>
  <c r="I54" i="9" s="1"/>
  <c r="I92" i="21"/>
  <c r="I93" i="21" s="1"/>
  <c r="BN60" i="40"/>
  <c r="BN63" i="40" s="1"/>
  <c r="I33" i="20"/>
  <c r="I34" i="20"/>
  <c r="I44" i="20"/>
  <c r="I40" i="20"/>
  <c r="I36" i="20"/>
  <c r="I32" i="20"/>
  <c r="I38" i="20"/>
  <c r="BQ60" i="40"/>
  <c r="BQ63" i="40" s="1"/>
  <c r="L74" i="35"/>
  <c r="X47" i="24"/>
  <c r="X91" i="24" s="1"/>
  <c r="BL55" i="28"/>
  <c r="R9" i="40"/>
  <c r="R38" i="40" s="1"/>
  <c r="R47" i="40" s="1"/>
  <c r="R60" i="40" s="1"/>
  <c r="R63" i="40" s="1"/>
  <c r="AF27" i="33"/>
  <c r="AD32" i="33"/>
  <c r="H5" i="26"/>
  <c r="Q73" i="35"/>
  <c r="Q49" i="35"/>
  <c r="Q57" i="35"/>
  <c r="Q65" i="35"/>
  <c r="T47" i="24"/>
  <c r="T50" i="24" s="1"/>
  <c r="T94" i="24" s="1"/>
  <c r="AR47" i="24"/>
  <c r="AR50" i="24" s="1"/>
  <c r="AR94" i="24" s="1"/>
  <c r="F6" i="40"/>
  <c r="I42" i="20"/>
  <c r="F47" i="24"/>
  <c r="F50" i="24" s="1"/>
  <c r="F94" i="24" s="1"/>
  <c r="F47" i="40"/>
  <c r="F60" i="40" s="1"/>
  <c r="F63" i="40" s="1"/>
  <c r="F64" i="40" s="1"/>
  <c r="G62" i="40" s="1"/>
  <c r="G59" i="35"/>
  <c r="G51" i="35"/>
  <c r="G60" i="40"/>
  <c r="G63" i="40" s="1"/>
  <c r="G366" i="45"/>
  <c r="H364" i="45"/>
  <c r="I374" i="45" s="1"/>
  <c r="H365" i="45"/>
  <c r="I375" i="45" s="1"/>
  <c r="H366" i="45"/>
  <c r="H362" i="45"/>
  <c r="I372" i="45" s="1"/>
  <c r="H363" i="45"/>
  <c r="I373" i="45" s="1"/>
  <c r="H361" i="45"/>
  <c r="G362" i="45"/>
  <c r="G364" i="45"/>
  <c r="G365" i="45"/>
  <c r="G363" i="45"/>
  <c r="G360" i="45"/>
  <c r="G361" i="45"/>
  <c r="I43" i="12"/>
  <c r="F19" i="18"/>
  <c r="F17" i="18" s="1"/>
  <c r="U31" i="34"/>
  <c r="U36" i="34" s="1"/>
  <c r="U44" i="34" s="1"/>
  <c r="U47" i="34" s="1"/>
  <c r="U53" i="34" s="1"/>
  <c r="F42" i="9"/>
  <c r="F54" i="9" s="1"/>
  <c r="Q78" i="40"/>
  <c r="Q79" i="40" s="1"/>
  <c r="G27" i="18"/>
  <c r="G28" i="18" s="1"/>
  <c r="G42" i="9"/>
  <c r="G54" i="9" s="1"/>
  <c r="AC78" i="40"/>
  <c r="AC79" i="40" s="1"/>
  <c r="H42" i="9"/>
  <c r="H54" i="9" s="1"/>
  <c r="AO78" i="40"/>
  <c r="AO79" i="40" s="1"/>
  <c r="N34" i="14"/>
  <c r="N36" i="14"/>
  <c r="N39" i="14"/>
  <c r="N35" i="14"/>
  <c r="N32" i="14"/>
  <c r="N46" i="14"/>
  <c r="N42" i="14"/>
  <c r="N38" i="14"/>
  <c r="N41" i="14"/>
  <c r="N31" i="14"/>
  <c r="N45" i="14"/>
  <c r="N40" i="14"/>
  <c r="N33" i="14"/>
  <c r="I19" i="18"/>
  <c r="I17" i="18" s="1"/>
  <c r="F6" i="30"/>
  <c r="F6" i="22"/>
  <c r="E4" i="30"/>
  <c r="F6" i="29"/>
  <c r="G6" i="22"/>
  <c r="I40" i="26"/>
  <c r="I41" i="26" s="1"/>
  <c r="I43" i="8"/>
  <c r="J40" i="26"/>
  <c r="J41" i="26" s="1"/>
  <c r="J43" i="8"/>
  <c r="J91" i="8" s="1"/>
  <c r="H81" i="10"/>
  <c r="G81" i="10"/>
  <c r="BC68" i="40"/>
  <c r="BC67" i="40"/>
  <c r="AE47" i="24"/>
  <c r="BW67" i="40"/>
  <c r="BW63" i="40"/>
  <c r="BW68" i="40"/>
  <c r="CG68" i="40"/>
  <c r="CG67" i="40"/>
  <c r="CG63" i="40"/>
  <c r="AO63" i="40"/>
  <c r="AO68" i="40"/>
  <c r="AO67" i="40"/>
  <c r="CD63" i="40"/>
  <c r="CD67" i="40"/>
  <c r="CD68" i="40"/>
  <c r="AQ67" i="40"/>
  <c r="AQ68" i="40"/>
  <c r="V67" i="40"/>
  <c r="V63" i="40"/>
  <c r="V68" i="40"/>
  <c r="BP47" i="24"/>
  <c r="BP50" i="24" s="1"/>
  <c r="BP94" i="24" s="1"/>
  <c r="BV63" i="40"/>
  <c r="BV67" i="40"/>
  <c r="BV68" i="40"/>
  <c r="S68" i="40"/>
  <c r="S67" i="40"/>
  <c r="S63" i="40"/>
  <c r="AE67" i="40"/>
  <c r="AE68" i="40"/>
  <c r="CJ78" i="24"/>
  <c r="CJ9" i="40"/>
  <c r="CJ38" i="40" s="1"/>
  <c r="CJ47" i="40" s="1"/>
  <c r="CJ60" i="40" s="1"/>
  <c r="AM39" i="24"/>
  <c r="AM47" i="24" s="1"/>
  <c r="AM9" i="40"/>
  <c r="AM38" i="40" s="1"/>
  <c r="AM47" i="40" s="1"/>
  <c r="AM60" i="40" s="1"/>
  <c r="M63" i="40"/>
  <c r="M67" i="40"/>
  <c r="M68" i="40"/>
  <c r="BJ63" i="40"/>
  <c r="BJ67" i="40"/>
  <c r="BJ68" i="40"/>
  <c r="AR63" i="40"/>
  <c r="AR67" i="40"/>
  <c r="AR68" i="40"/>
  <c r="Z67" i="40"/>
  <c r="Z68" i="40"/>
  <c r="AY63" i="40"/>
  <c r="AY67" i="40"/>
  <c r="AY68" i="40"/>
  <c r="AV63" i="40"/>
  <c r="AV68" i="40"/>
  <c r="AV67" i="40"/>
  <c r="BP67" i="40"/>
  <c r="BP68" i="40"/>
  <c r="CH63" i="40"/>
  <c r="CH67" i="40"/>
  <c r="CH68" i="40"/>
  <c r="BF63" i="40"/>
  <c r="BF68" i="40"/>
  <c r="BF67" i="40"/>
  <c r="AL67" i="40"/>
  <c r="AL68" i="40"/>
  <c r="BI68" i="40"/>
  <c r="BI67" i="40"/>
  <c r="CI67" i="40"/>
  <c r="CI68" i="40"/>
  <c r="CI63" i="40"/>
  <c r="I68" i="40"/>
  <c r="I67" i="40"/>
  <c r="I63" i="40"/>
  <c r="U67" i="40"/>
  <c r="U68" i="40"/>
  <c r="AT63" i="40"/>
  <c r="AT67" i="40"/>
  <c r="AT68" i="40"/>
  <c r="AZ63" i="40"/>
  <c r="AZ68" i="40"/>
  <c r="AZ67" i="40"/>
  <c r="BB67" i="40"/>
  <c r="BB68" i="40"/>
  <c r="CE63" i="40"/>
  <c r="CE67" i="40"/>
  <c r="CE68" i="40"/>
  <c r="BD63" i="40"/>
  <c r="BD67" i="40"/>
  <c r="BD68" i="40"/>
  <c r="BZ68" i="40"/>
  <c r="BZ67" i="40"/>
  <c r="BL39" i="24"/>
  <c r="BL83" i="24" s="1"/>
  <c r="BL9" i="40"/>
  <c r="BL38" i="40" s="1"/>
  <c r="BL47" i="40" s="1"/>
  <c r="BL60" i="40" s="1"/>
  <c r="AX63" i="40"/>
  <c r="AX67" i="40"/>
  <c r="AX68" i="40"/>
  <c r="AF67" i="40"/>
  <c r="AF68" i="40"/>
  <c r="X68" i="40"/>
  <c r="X63" i="40"/>
  <c r="X67" i="40"/>
  <c r="BO67" i="40"/>
  <c r="BO68" i="40"/>
  <c r="AK67" i="40"/>
  <c r="AK68" i="40"/>
  <c r="BE63" i="40"/>
  <c r="BE67" i="40"/>
  <c r="BE68" i="40"/>
  <c r="Q50" i="24"/>
  <c r="Q94" i="24" s="1"/>
  <c r="BC47" i="24"/>
  <c r="BC50" i="24" s="1"/>
  <c r="BC94" i="24" s="1"/>
  <c r="AA68" i="40"/>
  <c r="AA67" i="40"/>
  <c r="AA63" i="40"/>
  <c r="BN67" i="40"/>
  <c r="BN68" i="40"/>
  <c r="Q67" i="40"/>
  <c r="Q63" i="40"/>
  <c r="Q68" i="40"/>
  <c r="AS68" i="40"/>
  <c r="AS67" i="40"/>
  <c r="AW67" i="40"/>
  <c r="AW68" i="40"/>
  <c r="N68" i="40"/>
  <c r="N67" i="40"/>
  <c r="N63" i="40"/>
  <c r="BU67" i="40"/>
  <c r="BU68" i="40"/>
  <c r="BU63" i="40"/>
  <c r="Y39" i="24"/>
  <c r="Y9" i="40"/>
  <c r="Y38" i="40" s="1"/>
  <c r="Y47" i="40" s="1"/>
  <c r="Y60" i="40" s="1"/>
  <c r="J63" i="40"/>
  <c r="J67" i="40"/>
  <c r="J68" i="40"/>
  <c r="CF63" i="40"/>
  <c r="CF67" i="40"/>
  <c r="CF68" i="40"/>
  <c r="BQ67" i="40"/>
  <c r="BQ68" i="40"/>
  <c r="G52" i="22"/>
  <c r="H37" i="21"/>
  <c r="H107" i="21" s="1"/>
  <c r="H111" i="21" s="1"/>
  <c r="I37" i="21"/>
  <c r="I107" i="21" s="1"/>
  <c r="I111" i="21" s="1"/>
  <c r="J82" i="21"/>
  <c r="J37" i="21"/>
  <c r="J83" i="21" s="1"/>
  <c r="M37" i="21"/>
  <c r="M83" i="21" s="1"/>
  <c r="M82" i="21"/>
  <c r="J90" i="21"/>
  <c r="E82" i="21"/>
  <c r="E37" i="21"/>
  <c r="M90" i="21"/>
  <c r="F37" i="21"/>
  <c r="F107" i="21" s="1"/>
  <c r="F111" i="21" s="1"/>
  <c r="E90" i="21"/>
  <c r="G37" i="21"/>
  <c r="G107" i="21" s="1"/>
  <c r="G111" i="21" s="1"/>
  <c r="I90" i="21"/>
  <c r="F90" i="21"/>
  <c r="K82" i="21"/>
  <c r="K37" i="21"/>
  <c r="K83" i="21" s="1"/>
  <c r="G90" i="21"/>
  <c r="L82" i="21"/>
  <c r="L37" i="21"/>
  <c r="L83" i="21" s="1"/>
  <c r="H90" i="21"/>
  <c r="J78" i="21"/>
  <c r="H43" i="8"/>
  <c r="H9" i="10" s="1"/>
  <c r="H40" i="10" s="1"/>
  <c r="G40" i="26"/>
  <c r="G41" i="26" s="1"/>
  <c r="G43" i="8"/>
  <c r="G73" i="16" s="1"/>
  <c r="H7" i="14"/>
  <c r="H7" i="13"/>
  <c r="H7" i="16"/>
  <c r="H7" i="25"/>
  <c r="H7" i="26"/>
  <c r="G7" i="27"/>
  <c r="AA8" i="32"/>
  <c r="AF8" i="32" s="1"/>
  <c r="G4" i="9"/>
  <c r="P4" i="32" s="1"/>
  <c r="U4" i="32" s="1"/>
  <c r="F4" i="9"/>
  <c r="E4" i="32" s="1"/>
  <c r="J4" i="32" s="1"/>
  <c r="G6" i="9"/>
  <c r="E6" i="18"/>
  <c r="F6" i="18"/>
  <c r="F6" i="21"/>
  <c r="B103" i="6" s="1"/>
  <c r="G4" i="21"/>
  <c r="F4" i="21"/>
  <c r="F4" i="20"/>
  <c r="G4" i="20"/>
  <c r="F4" i="22"/>
  <c r="E4" i="18"/>
  <c r="F4" i="29"/>
  <c r="G4" i="22"/>
  <c r="F6" i="9"/>
  <c r="E6" i="30"/>
  <c r="F4" i="18"/>
  <c r="G6" i="21"/>
  <c r="C103" i="6" s="1"/>
  <c r="F6" i="20"/>
  <c r="G6" i="20"/>
  <c r="AR31" i="6"/>
  <c r="H132" i="28"/>
  <c r="T132" i="28" s="1"/>
  <c r="H134" i="28"/>
  <c r="T134" i="28" s="1"/>
  <c r="W31" i="6"/>
  <c r="G132" i="28"/>
  <c r="S132" i="28" s="1"/>
  <c r="G134" i="28"/>
  <c r="S134" i="28" s="1"/>
  <c r="E46" i="3"/>
  <c r="G5" i="28" s="1"/>
  <c r="G6" i="40"/>
  <c r="G4" i="40"/>
  <c r="B31" i="6"/>
  <c r="F134" i="28"/>
  <c r="R134" i="28" s="1"/>
  <c r="F132" i="28"/>
  <c r="R132" i="28" s="1"/>
  <c r="H4" i="40"/>
  <c r="H6" i="40"/>
  <c r="F7" i="40"/>
  <c r="F5" i="40"/>
  <c r="CK55" i="28"/>
  <c r="C67" i="6"/>
  <c r="G93" i="28"/>
  <c r="B67" i="6"/>
  <c r="F93" i="28"/>
  <c r="BY55" i="28"/>
  <c r="BY88" i="28"/>
  <c r="BY109" i="28" s="1"/>
  <c r="AW55" i="28"/>
  <c r="AW88" i="28"/>
  <c r="AW109" i="28" s="1"/>
  <c r="G73" i="6"/>
  <c r="K88" i="28"/>
  <c r="K109" i="28" s="1"/>
  <c r="Y73" i="6"/>
  <c r="AC88" i="28"/>
  <c r="AE73" i="6"/>
  <c r="AI88" i="28"/>
  <c r="AI109" i="28" s="1"/>
  <c r="AS55" i="28"/>
  <c r="AS88" i="28"/>
  <c r="AS109" i="28" s="1"/>
  <c r="J73" i="6"/>
  <c r="N88" i="28"/>
  <c r="N109" i="28" s="1"/>
  <c r="CC55" i="28"/>
  <c r="CC88" i="28"/>
  <c r="CC109" i="28" s="1"/>
  <c r="N73" i="6"/>
  <c r="R88" i="28"/>
  <c r="R109" i="28" s="1"/>
  <c r="S73" i="6"/>
  <c r="W88" i="28"/>
  <c r="W109" i="28" s="1"/>
  <c r="AC73" i="6"/>
  <c r="AG88" i="28"/>
  <c r="AG109" i="28" s="1"/>
  <c r="B73" i="6"/>
  <c r="F88" i="28"/>
  <c r="F109" i="28" s="1"/>
  <c r="L73" i="6"/>
  <c r="P88" i="28"/>
  <c r="P109" i="28" s="1"/>
  <c r="R73" i="6"/>
  <c r="V88" i="28"/>
  <c r="V109" i="28" s="1"/>
  <c r="BE55" i="28"/>
  <c r="BE88" i="28"/>
  <c r="BE109" i="28" s="1"/>
  <c r="K73" i="6"/>
  <c r="O88" i="28"/>
  <c r="O109" i="28" s="1"/>
  <c r="M73" i="6"/>
  <c r="Q88" i="28"/>
  <c r="BI55" i="28"/>
  <c r="BI88" i="28"/>
  <c r="BI109" i="28" s="1"/>
  <c r="BQ55" i="28"/>
  <c r="BQ88" i="28"/>
  <c r="BQ109" i="28" s="1"/>
  <c r="AZ55" i="28"/>
  <c r="AZ88" i="28"/>
  <c r="AZ109" i="28" s="1"/>
  <c r="BW55" i="28"/>
  <c r="BW88" i="28"/>
  <c r="BW109" i="28" s="1"/>
  <c r="BR55" i="28"/>
  <c r="BR88" i="28"/>
  <c r="BR109" i="28" s="1"/>
  <c r="C73" i="6"/>
  <c r="G88" i="28"/>
  <c r="G109" i="28" s="1"/>
  <c r="AA73" i="6"/>
  <c r="AE88" i="28"/>
  <c r="AE109" i="28" s="1"/>
  <c r="BF55" i="28"/>
  <c r="BF88" i="28"/>
  <c r="BF109" i="28" s="1"/>
  <c r="AN55" i="28"/>
  <c r="AN88" i="28"/>
  <c r="AN109" i="28" s="1"/>
  <c r="BO55" i="28"/>
  <c r="BO88" i="28"/>
  <c r="BO109" i="28" s="1"/>
  <c r="BA55" i="28"/>
  <c r="BA88" i="28"/>
  <c r="AP55" i="28"/>
  <c r="AP88" i="28"/>
  <c r="AP109" i="28" s="1"/>
  <c r="Z73" i="6"/>
  <c r="AD88" i="28"/>
  <c r="AD109" i="28" s="1"/>
  <c r="BX55" i="28"/>
  <c r="BX88" i="28"/>
  <c r="BX109" i="28" s="1"/>
  <c r="K55" i="28"/>
  <c r="CE55" i="28"/>
  <c r="Q73" i="6"/>
  <c r="U88" i="28"/>
  <c r="U109" i="28" s="1"/>
  <c r="AO55" i="28"/>
  <c r="AO88" i="28"/>
  <c r="CJ55" i="28"/>
  <c r="CJ88" i="28"/>
  <c r="CJ109" i="28" s="1"/>
  <c r="X73" i="6"/>
  <c r="AB55" i="28"/>
  <c r="AD55" i="28"/>
  <c r="AG55" i="28"/>
  <c r="G55" i="28"/>
  <c r="U55" i="28"/>
  <c r="AE55" i="28"/>
  <c r="V55" i="28"/>
  <c r="AI55" i="28"/>
  <c r="N55" i="28"/>
  <c r="W55" i="28"/>
  <c r="Q55" i="28"/>
  <c r="AC55" i="28"/>
  <c r="P55" i="28"/>
  <c r="AY91" i="24"/>
  <c r="CC47" i="24"/>
  <c r="CC91" i="24" s="1"/>
  <c r="Y78" i="24"/>
  <c r="BK47" i="24"/>
  <c r="BK50" i="24" s="1"/>
  <c r="BK94" i="24" s="1"/>
  <c r="S39" i="24"/>
  <c r="S78" i="24"/>
  <c r="CB47" i="24"/>
  <c r="AP47" i="24"/>
  <c r="CD50" i="24"/>
  <c r="CD94" i="24" s="1"/>
  <c r="AG47" i="24"/>
  <c r="AG91" i="24" s="1"/>
  <c r="CJ39" i="24"/>
  <c r="CJ83" i="24" s="1"/>
  <c r="AM78" i="24"/>
  <c r="U47" i="24"/>
  <c r="U91" i="24" s="1"/>
  <c r="BT47" i="24"/>
  <c r="BT50" i="24" s="1"/>
  <c r="BT94" i="24" s="1"/>
  <c r="BL78" i="24"/>
  <c r="I50" i="24"/>
  <c r="I94" i="24" s="1"/>
  <c r="AD47" i="24"/>
  <c r="BR47" i="24"/>
  <c r="BR91" i="24" s="1"/>
  <c r="BW91" i="24"/>
  <c r="AL39" i="24"/>
  <c r="AL78" i="24"/>
  <c r="M50" i="24"/>
  <c r="M94" i="24" s="1"/>
  <c r="M91" i="24"/>
  <c r="CF50" i="24"/>
  <c r="CF94" i="24" s="1"/>
  <c r="CF91" i="24"/>
  <c r="P34" i="24"/>
  <c r="P9" i="40" s="1"/>
  <c r="P38" i="40" s="1"/>
  <c r="P47" i="40" s="1"/>
  <c r="P60" i="40" s="1"/>
  <c r="P64" i="24"/>
  <c r="AN34" i="24"/>
  <c r="AN9" i="40" s="1"/>
  <c r="AN38" i="40" s="1"/>
  <c r="AN47" i="40" s="1"/>
  <c r="AN60" i="40" s="1"/>
  <c r="AN64" i="24"/>
  <c r="AK39" i="24"/>
  <c r="AK78" i="24"/>
  <c r="BU39" i="24"/>
  <c r="BU78" i="24"/>
  <c r="CG47" i="24"/>
  <c r="CG83" i="24"/>
  <c r="BV39" i="24"/>
  <c r="BV78" i="24"/>
  <c r="H47" i="24"/>
  <c r="H91" i="24" s="1"/>
  <c r="AZ39" i="24"/>
  <c r="AZ78" i="24"/>
  <c r="K63" i="21"/>
  <c r="K84" i="21" s="1"/>
  <c r="M78" i="21"/>
  <c r="J63" i="21"/>
  <c r="J84" i="21" s="1"/>
  <c r="M63" i="21"/>
  <c r="M84" i="21" s="1"/>
  <c r="L63" i="21"/>
  <c r="L84" i="21" s="1"/>
  <c r="K78" i="21"/>
  <c r="G78" i="21"/>
  <c r="C108" i="6" s="1"/>
  <c r="L78" i="21"/>
  <c r="C106" i="6"/>
  <c r="H78" i="21"/>
  <c r="D108" i="6" s="1"/>
  <c r="F78" i="21"/>
  <c r="B108" i="6" s="1"/>
  <c r="CE39" i="24"/>
  <c r="CE78" i="24"/>
  <c r="K34" i="24"/>
  <c r="K9" i="40" s="1"/>
  <c r="K38" i="40" s="1"/>
  <c r="K47" i="40" s="1"/>
  <c r="K60" i="40" s="1"/>
  <c r="K64" i="24"/>
  <c r="BM34" i="24"/>
  <c r="BM9" i="40" s="1"/>
  <c r="BM38" i="40" s="1"/>
  <c r="BM47" i="40" s="1"/>
  <c r="BM60" i="40" s="1"/>
  <c r="BM64" i="24"/>
  <c r="AI34" i="24"/>
  <c r="AI9" i="40" s="1"/>
  <c r="AI38" i="40" s="1"/>
  <c r="AI47" i="40" s="1"/>
  <c r="AI60" i="40" s="1"/>
  <c r="AI64" i="24"/>
  <c r="AX39" i="24"/>
  <c r="AX78" i="24"/>
  <c r="BY34" i="24"/>
  <c r="BY9" i="40" s="1"/>
  <c r="BY38" i="40" s="1"/>
  <c r="BY47" i="40" s="1"/>
  <c r="BY60" i="40" s="1"/>
  <c r="BY64" i="24"/>
  <c r="BS34" i="24"/>
  <c r="BS9" i="40" s="1"/>
  <c r="BS38" i="40" s="1"/>
  <c r="BS47" i="40" s="1"/>
  <c r="BS60" i="40" s="1"/>
  <c r="BS64" i="24"/>
  <c r="J91" i="24"/>
  <c r="BA34" i="24"/>
  <c r="BA9" i="40" s="1"/>
  <c r="BA38" i="40" s="1"/>
  <c r="BA47" i="40" s="1"/>
  <c r="BA60" i="40" s="1"/>
  <c r="BA64" i="24"/>
  <c r="BO39" i="24"/>
  <c r="BO78" i="24"/>
  <c r="AU34" i="24"/>
  <c r="AU9" i="40" s="1"/>
  <c r="AU38" i="40" s="1"/>
  <c r="AU47" i="40" s="1"/>
  <c r="AU60" i="40" s="1"/>
  <c r="AU64" i="24"/>
  <c r="L47" i="24"/>
  <c r="L83" i="24"/>
  <c r="BG34" i="24"/>
  <c r="BG9" i="40" s="1"/>
  <c r="BG38" i="40" s="1"/>
  <c r="BG47" i="40" s="1"/>
  <c r="BG60" i="40" s="1"/>
  <c r="BG64" i="24"/>
  <c r="AH47" i="24"/>
  <c r="CK34" i="24"/>
  <c r="BK91" i="24"/>
  <c r="BF39" i="24"/>
  <c r="BF78" i="24"/>
  <c r="BJ50" i="24"/>
  <c r="BJ94" i="24" s="1"/>
  <c r="AC34" i="24"/>
  <c r="AC9" i="40" s="1"/>
  <c r="AC38" i="40" s="1"/>
  <c r="AC47" i="40" s="1"/>
  <c r="AC60" i="40" s="1"/>
  <c r="AC64" i="24"/>
  <c r="BI50" i="24"/>
  <c r="BI94" i="24" s="1"/>
  <c r="BI91" i="24"/>
  <c r="W34" i="24"/>
  <c r="W9" i="40" s="1"/>
  <c r="W38" i="40" s="1"/>
  <c r="W47" i="40" s="1"/>
  <c r="W60" i="40" s="1"/>
  <c r="W64" i="24"/>
  <c r="L47" i="15"/>
  <c r="L52" i="15" s="1"/>
  <c r="L95" i="15" s="1"/>
  <c r="K33" i="15"/>
  <c r="K76" i="15" s="1"/>
  <c r="M33" i="15"/>
  <c r="E76" i="15"/>
  <c r="J76" i="15"/>
  <c r="K84" i="15"/>
  <c r="K86" i="15"/>
  <c r="K88" i="15"/>
  <c r="K85" i="15"/>
  <c r="K83" i="15"/>
  <c r="K87" i="15"/>
  <c r="F88" i="15"/>
  <c r="F87" i="15"/>
  <c r="F86" i="15"/>
  <c r="F85" i="15"/>
  <c r="F83" i="15"/>
  <c r="F84" i="15"/>
  <c r="F77" i="15"/>
  <c r="F79" i="15"/>
  <c r="F68" i="15"/>
  <c r="F81" i="15"/>
  <c r="F82" i="15"/>
  <c r="F80" i="15"/>
  <c r="K78" i="15"/>
  <c r="K80" i="15"/>
  <c r="K81" i="15"/>
  <c r="K79" i="15"/>
  <c r="K68" i="15"/>
  <c r="K82" i="15"/>
  <c r="F92" i="15"/>
  <c r="F75" i="15"/>
  <c r="F72" i="15"/>
  <c r="F66" i="15"/>
  <c r="F71" i="15"/>
  <c r="F70" i="15"/>
  <c r="F69" i="15"/>
  <c r="F99" i="15"/>
  <c r="F98" i="15"/>
  <c r="F97" i="15"/>
  <c r="F74" i="15"/>
  <c r="F93" i="15"/>
  <c r="K67" i="15"/>
  <c r="K94" i="15"/>
  <c r="K104" i="15"/>
  <c r="K99" i="15"/>
  <c r="K102" i="15"/>
  <c r="K91" i="15"/>
  <c r="G76" i="15"/>
  <c r="H47" i="15"/>
  <c r="F33" i="15"/>
  <c r="F76" i="15" s="1"/>
  <c r="H33" i="15"/>
  <c r="F47" i="15"/>
  <c r="F90" i="15" s="1"/>
  <c r="F101" i="15"/>
  <c r="K97" i="15"/>
  <c r="K92" i="15"/>
  <c r="K96" i="15"/>
  <c r="K101" i="15"/>
  <c r="K66" i="15"/>
  <c r="K73" i="15"/>
  <c r="K98" i="15"/>
  <c r="K71" i="15"/>
  <c r="K69" i="15"/>
  <c r="K100" i="15"/>
  <c r="K105" i="15"/>
  <c r="K77" i="15"/>
  <c r="K74" i="15"/>
  <c r="K75" i="15"/>
  <c r="K72" i="15"/>
  <c r="F94" i="15"/>
  <c r="K93" i="15"/>
  <c r="K70" i="15"/>
  <c r="F73" i="15"/>
  <c r="F91" i="15"/>
  <c r="F67" i="15"/>
  <c r="F96" i="15"/>
  <c r="F104" i="15"/>
  <c r="F78" i="15"/>
  <c r="F100" i="15"/>
  <c r="F105" i="15"/>
  <c r="F102" i="15"/>
  <c r="H52" i="22"/>
  <c r="H40" i="26"/>
  <c r="H41" i="26" s="1"/>
  <c r="H77" i="8"/>
  <c r="G63" i="8"/>
  <c r="G77" i="8"/>
  <c r="I77" i="8"/>
  <c r="H63" i="8"/>
  <c r="J77" i="8"/>
  <c r="F43" i="12"/>
  <c r="J28" i="18"/>
  <c r="K28" i="18"/>
  <c r="L52" i="22"/>
  <c r="J52" i="22"/>
  <c r="M52" i="22"/>
  <c r="F52" i="22"/>
  <c r="BQ50" i="24"/>
  <c r="BQ94" i="24" s="1"/>
  <c r="BQ91" i="24"/>
  <c r="N31" i="34"/>
  <c r="O20" i="34"/>
  <c r="J32" i="35"/>
  <c r="J62" i="35"/>
  <c r="J50" i="32"/>
  <c r="J56" i="32" s="1"/>
  <c r="H56" i="32"/>
  <c r="E32" i="35"/>
  <c r="E62" i="35"/>
  <c r="BD50" i="24"/>
  <c r="BD94" i="24" s="1"/>
  <c r="BD91" i="24"/>
  <c r="CH39" i="24"/>
  <c r="CH78" i="24"/>
  <c r="O31" i="12"/>
  <c r="O43" i="12"/>
  <c r="E77" i="8"/>
  <c r="E8" i="33"/>
  <c r="J8" i="33" s="1"/>
  <c r="E8" i="32"/>
  <c r="J8" i="32" s="1"/>
  <c r="F7" i="25"/>
  <c r="F7" i="26"/>
  <c r="E7" i="27"/>
  <c r="F7" i="14"/>
  <c r="F7" i="13"/>
  <c r="F7" i="16"/>
  <c r="M46" i="14"/>
  <c r="H44" i="3"/>
  <c r="G45" i="3"/>
  <c r="H7" i="29"/>
  <c r="H5" i="29"/>
  <c r="G7" i="30"/>
  <c r="H7" i="20"/>
  <c r="G7" i="18"/>
  <c r="H7" i="22"/>
  <c r="H7" i="21"/>
  <c r="H7" i="9"/>
  <c r="L40" i="26"/>
  <c r="L41" i="26" s="1"/>
  <c r="L77" i="8"/>
  <c r="L63" i="8"/>
  <c r="CA47" i="24"/>
  <c r="CA83" i="24"/>
  <c r="CI50" i="24"/>
  <c r="CI94" i="24" s="1"/>
  <c r="CI91" i="24"/>
  <c r="D105" i="6"/>
  <c r="K40" i="26"/>
  <c r="K41" i="26" s="1"/>
  <c r="K77" i="8"/>
  <c r="K63" i="8"/>
  <c r="M31" i="13"/>
  <c r="M30" i="13"/>
  <c r="M32" i="13"/>
  <c r="M40" i="26"/>
  <c r="M41" i="26" s="1"/>
  <c r="M77" i="8"/>
  <c r="M63" i="8"/>
  <c r="J35" i="14"/>
  <c r="J31" i="14"/>
  <c r="J38" i="14"/>
  <c r="J42" i="14"/>
  <c r="J41" i="14"/>
  <c r="J39" i="14"/>
  <c r="J43" i="14"/>
  <c r="J36" i="14"/>
  <c r="J40" i="14"/>
  <c r="J32" i="14"/>
  <c r="J34" i="14"/>
  <c r="J37" i="14"/>
  <c r="J46" i="14"/>
  <c r="J30" i="14"/>
  <c r="J45" i="14"/>
  <c r="J33" i="14"/>
  <c r="L31" i="12"/>
  <c r="L34" i="12"/>
  <c r="L35" i="12"/>
  <c r="L36" i="12"/>
  <c r="L43" i="12"/>
  <c r="H4" i="28"/>
  <c r="H6" i="28"/>
  <c r="H4" i="24"/>
  <c r="H6" i="24"/>
  <c r="F46" i="3"/>
  <c r="G6" i="30"/>
  <c r="H4" i="29"/>
  <c r="G4" i="30"/>
  <c r="H6" i="29"/>
  <c r="H4" i="21"/>
  <c r="H4" i="22"/>
  <c r="H6" i="21"/>
  <c r="D103" i="6" s="1"/>
  <c r="H4" i="20"/>
  <c r="H6" i="20"/>
  <c r="G4" i="18"/>
  <c r="G6" i="18"/>
  <c r="H6" i="22"/>
  <c r="H4" i="9"/>
  <c r="AA4" i="32" s="1"/>
  <c r="AF4" i="32" s="1"/>
  <c r="H6" i="9"/>
  <c r="L31" i="13"/>
  <c r="L30" i="13"/>
  <c r="N30" i="13"/>
  <c r="N31" i="13"/>
  <c r="N32" i="13"/>
  <c r="F36" i="34"/>
  <c r="G31" i="34"/>
  <c r="S56" i="32"/>
  <c r="U50" i="32"/>
  <c r="U56" i="32" s="1"/>
  <c r="O75" i="35"/>
  <c r="O43" i="35"/>
  <c r="O78" i="35" s="1"/>
  <c r="AD56" i="32"/>
  <c r="AF50" i="32"/>
  <c r="AF56" i="32" s="1"/>
  <c r="F40" i="35"/>
  <c r="G32" i="35"/>
  <c r="G67" i="35" s="1"/>
  <c r="F67" i="35"/>
  <c r="H32" i="35"/>
  <c r="U27" i="33"/>
  <c r="S32" i="33"/>
  <c r="AJ47" i="24"/>
  <c r="AJ83" i="24"/>
  <c r="C105" i="6"/>
  <c r="F32" i="14"/>
  <c r="F39" i="14"/>
  <c r="F34" i="14"/>
  <c r="F43" i="14"/>
  <c r="F30" i="14"/>
  <c r="F37" i="14"/>
  <c r="F35" i="14"/>
  <c r="F36" i="14"/>
  <c r="F46" i="14"/>
  <c r="F33" i="14"/>
  <c r="F42" i="14"/>
  <c r="F31" i="14"/>
  <c r="F40" i="14"/>
  <c r="F41" i="14"/>
  <c r="F38" i="14"/>
  <c r="K33" i="14"/>
  <c r="K40" i="14"/>
  <c r="K46" i="14"/>
  <c r="K35" i="14"/>
  <c r="K31" i="14"/>
  <c r="K38" i="14"/>
  <c r="K41" i="14"/>
  <c r="K39" i="14"/>
  <c r="K43" i="14"/>
  <c r="K36" i="14"/>
  <c r="K42" i="14"/>
  <c r="K32" i="14"/>
  <c r="K34" i="14"/>
  <c r="K37" i="14"/>
  <c r="K30" i="14"/>
  <c r="K45" i="14"/>
  <c r="F7" i="28"/>
  <c r="F5" i="28"/>
  <c r="F7" i="24"/>
  <c r="F5" i="24"/>
  <c r="H38" i="3"/>
  <c r="G39" i="3"/>
  <c r="G40" i="3"/>
  <c r="L30" i="14"/>
  <c r="L37" i="14"/>
  <c r="L45" i="14"/>
  <c r="L33" i="14"/>
  <c r="L40" i="14"/>
  <c r="L35" i="14"/>
  <c r="L41" i="14"/>
  <c r="L38" i="14"/>
  <c r="L39" i="14"/>
  <c r="L43" i="14"/>
  <c r="L36" i="14"/>
  <c r="L42" i="14"/>
  <c r="L34" i="14"/>
  <c r="L31" i="14"/>
  <c r="L32" i="14"/>
  <c r="BB39" i="24"/>
  <c r="BB78" i="24"/>
  <c r="BH47" i="24"/>
  <c r="BH83" i="24"/>
  <c r="J52" i="15"/>
  <c r="J90" i="15"/>
  <c r="H112" i="28"/>
  <c r="T112" i="28" s="1"/>
  <c r="H114" i="28"/>
  <c r="K4" i="12"/>
  <c r="H6" i="8"/>
  <c r="E3" i="4"/>
  <c r="K6" i="12"/>
  <c r="H6" i="10"/>
  <c r="H4" i="8"/>
  <c r="H4" i="10"/>
  <c r="H33" i="3"/>
  <c r="H34" i="3"/>
  <c r="I32" i="3"/>
  <c r="W20" i="34"/>
  <c r="K27" i="35"/>
  <c r="K55" i="35"/>
  <c r="L20" i="35"/>
  <c r="L55" i="35" s="1"/>
  <c r="M20" i="35"/>
  <c r="H27" i="35"/>
  <c r="BX47" i="24"/>
  <c r="BX83" i="24"/>
  <c r="AS50" i="24"/>
  <c r="AS94" i="24" s="1"/>
  <c r="AS91" i="24"/>
  <c r="K52" i="22"/>
  <c r="G112" i="28"/>
  <c r="S112" i="28" s="1"/>
  <c r="G114" i="28"/>
  <c r="G6" i="8"/>
  <c r="D3" i="4"/>
  <c r="G4" i="10"/>
  <c r="H6" i="12"/>
  <c r="G6" i="10"/>
  <c r="G4" i="8"/>
  <c r="H4" i="12"/>
  <c r="I78" i="21"/>
  <c r="E108" i="6" s="1"/>
  <c r="K31" i="13"/>
  <c r="K30" i="13"/>
  <c r="F112" i="28"/>
  <c r="R112" i="28" s="1"/>
  <c r="F114" i="28"/>
  <c r="R114" i="28" s="1"/>
  <c r="F6" i="8"/>
  <c r="C3" i="4"/>
  <c r="F4" i="10"/>
  <c r="E4" i="12"/>
  <c r="E6" i="12"/>
  <c r="F4" i="8"/>
  <c r="F6" i="10"/>
  <c r="F40" i="26"/>
  <c r="F41" i="26" s="1"/>
  <c r="F63" i="8"/>
  <c r="F77" i="8"/>
  <c r="F32" i="13"/>
  <c r="M34" i="14"/>
  <c r="M43" i="14"/>
  <c r="M30" i="14"/>
  <c r="M37" i="14"/>
  <c r="M33" i="14"/>
  <c r="M40" i="14"/>
  <c r="M41" i="14"/>
  <c r="M38" i="14"/>
  <c r="M39" i="14"/>
  <c r="M35" i="14"/>
  <c r="M36" i="14"/>
  <c r="M31" i="14"/>
  <c r="M32" i="14"/>
  <c r="M42" i="14"/>
  <c r="I6" i="25"/>
  <c r="I6" i="26"/>
  <c r="H6" i="27"/>
  <c r="I6" i="16"/>
  <c r="I6" i="14"/>
  <c r="K4" i="6"/>
  <c r="I6" i="13"/>
  <c r="E17" i="6"/>
  <c r="AT39" i="24"/>
  <c r="AT78" i="24"/>
  <c r="P40" i="35"/>
  <c r="P67" i="35"/>
  <c r="Q32" i="35"/>
  <c r="Q67" i="35" s="1"/>
  <c r="R32" i="35"/>
  <c r="N78" i="24"/>
  <c r="N39" i="24"/>
  <c r="V78" i="24"/>
  <c r="V39" i="24"/>
  <c r="BE39" i="24"/>
  <c r="BE78" i="24"/>
  <c r="H42" i="14"/>
  <c r="H41" i="14"/>
  <c r="H36" i="14"/>
  <c r="H32" i="14"/>
  <c r="H39" i="14"/>
  <c r="H40" i="14"/>
  <c r="H34" i="14"/>
  <c r="H37" i="14"/>
  <c r="H38" i="14"/>
  <c r="H35" i="14"/>
  <c r="H46" i="14"/>
  <c r="H33" i="14"/>
  <c r="H31" i="14"/>
  <c r="H45" i="14"/>
  <c r="H43" i="14"/>
  <c r="H30" i="14"/>
  <c r="I31" i="14"/>
  <c r="I38" i="14"/>
  <c r="I42" i="14"/>
  <c r="I41" i="14"/>
  <c r="I36" i="14"/>
  <c r="I30" i="14"/>
  <c r="I40" i="14"/>
  <c r="I32" i="14"/>
  <c r="I34" i="14"/>
  <c r="I37" i="14"/>
  <c r="I35" i="14"/>
  <c r="I46" i="14"/>
  <c r="I33" i="14"/>
  <c r="I39" i="14"/>
  <c r="I43" i="14"/>
  <c r="I45" i="14"/>
  <c r="N40" i="26"/>
  <c r="N41" i="26" s="1"/>
  <c r="N77" i="8"/>
  <c r="N63" i="8"/>
  <c r="P8" i="33"/>
  <c r="U8" i="33" s="1"/>
  <c r="P8" i="32"/>
  <c r="U8" i="32" s="1"/>
  <c r="F7" i="27"/>
  <c r="G7" i="26"/>
  <c r="G7" i="25"/>
  <c r="G7" i="14"/>
  <c r="G7" i="16"/>
  <c r="G7" i="13"/>
  <c r="L53" i="35"/>
  <c r="L61" i="35"/>
  <c r="L69" i="35"/>
  <c r="L77" i="35"/>
  <c r="L48" i="35"/>
  <c r="L56" i="35"/>
  <c r="L64" i="35"/>
  <c r="L72" i="35"/>
  <c r="L51" i="35"/>
  <c r="L59" i="35"/>
  <c r="L46" i="35"/>
  <c r="L54" i="35"/>
  <c r="L70" i="35"/>
  <c r="L49" i="35"/>
  <c r="L57" i="35"/>
  <c r="L65" i="35"/>
  <c r="L73" i="35"/>
  <c r="L52" i="35"/>
  <c r="L60" i="35"/>
  <c r="L68" i="35"/>
  <c r="L76" i="35"/>
  <c r="L47" i="35"/>
  <c r="L63" i="35"/>
  <c r="L71" i="35"/>
  <c r="L50" i="35"/>
  <c r="L58" i="35"/>
  <c r="L66" i="35"/>
  <c r="J15" i="33"/>
  <c r="H20" i="33"/>
  <c r="AB47" i="24"/>
  <c r="AB83" i="24"/>
  <c r="BZ39" i="24"/>
  <c r="BZ78" i="24"/>
  <c r="E52" i="15"/>
  <c r="E90" i="15"/>
  <c r="O47" i="24"/>
  <c r="O83" i="24"/>
  <c r="G47" i="24"/>
  <c r="G83" i="24"/>
  <c r="G36" i="14"/>
  <c r="G32" i="14"/>
  <c r="G39" i="14"/>
  <c r="G34" i="14"/>
  <c r="G43" i="14"/>
  <c r="G37" i="14"/>
  <c r="G38" i="14"/>
  <c r="G35" i="14"/>
  <c r="G33" i="14"/>
  <c r="G42" i="14"/>
  <c r="G31" i="14"/>
  <c r="G45" i="14"/>
  <c r="G30" i="14"/>
  <c r="G40" i="14"/>
  <c r="G41" i="14"/>
  <c r="R43" i="12"/>
  <c r="R31" i="12"/>
  <c r="I7" i="10"/>
  <c r="I7" i="8"/>
  <c r="I5" i="10"/>
  <c r="I4" i="25"/>
  <c r="I1" i="25" s="1"/>
  <c r="I4" i="26"/>
  <c r="I1" i="26" s="1"/>
  <c r="H4" i="27"/>
  <c r="H1" i="27" s="1"/>
  <c r="I4" i="16"/>
  <c r="I4" i="14"/>
  <c r="I1" i="14" s="1"/>
  <c r="I4" i="13"/>
  <c r="I1" i="13" s="1"/>
  <c r="I1" i="8"/>
  <c r="E104" i="21" l="1"/>
  <c r="E83" i="21"/>
  <c r="E107" i="21"/>
  <c r="E111" i="21" s="1"/>
  <c r="E63" i="21"/>
  <c r="E108" i="21" s="1"/>
  <c r="G103" i="21"/>
  <c r="F103" i="21"/>
  <c r="I104" i="21"/>
  <c r="I103" i="21"/>
  <c r="H104" i="21"/>
  <c r="H103" i="21"/>
  <c r="H19" i="16"/>
  <c r="H22" i="16" s="1"/>
  <c r="BA109" i="28"/>
  <c r="I28" i="16"/>
  <c r="J10" i="13"/>
  <c r="J13" i="13"/>
  <c r="H28" i="16"/>
  <c r="J9" i="13"/>
  <c r="J22" i="13"/>
  <c r="J31" i="13" s="1"/>
  <c r="I43" i="21"/>
  <c r="I73" i="16"/>
  <c r="J9" i="10"/>
  <c r="J40" i="10" s="1"/>
  <c r="BL47" i="24"/>
  <c r="F91" i="24"/>
  <c r="CC50" i="24"/>
  <c r="CC94" i="24" s="1"/>
  <c r="BC91" i="24"/>
  <c r="H13" i="13"/>
  <c r="G13" i="13"/>
  <c r="G10" i="13"/>
  <c r="F10" i="13" s="1"/>
  <c r="H22" i="13"/>
  <c r="H31" i="13" s="1"/>
  <c r="G22" i="13"/>
  <c r="G31" i="13" s="1"/>
  <c r="H9" i="13"/>
  <c r="G9" i="13"/>
  <c r="F9" i="13" s="1"/>
  <c r="G14" i="13"/>
  <c r="G43" i="21"/>
  <c r="G51" i="21" s="1"/>
  <c r="G62" i="21" s="1"/>
  <c r="G63" i="21" s="1"/>
  <c r="G108" i="21" s="1"/>
  <c r="H10" i="13"/>
  <c r="I20" i="22"/>
  <c r="I31" i="16"/>
  <c r="I33" i="16" s="1"/>
  <c r="H31" i="16"/>
  <c r="H33" i="16" s="1"/>
  <c r="G31" i="16"/>
  <c r="G33" i="16" s="1"/>
  <c r="M47" i="15"/>
  <c r="L60" i="15"/>
  <c r="L103" i="15" s="1"/>
  <c r="L90" i="15"/>
  <c r="G35" i="16"/>
  <c r="H384" i="45"/>
  <c r="I36" i="16"/>
  <c r="G36" i="16"/>
  <c r="I27" i="16"/>
  <c r="H27" i="16"/>
  <c r="G27" i="16"/>
  <c r="G29" i="16" s="1"/>
  <c r="H36" i="16"/>
  <c r="J367" i="45"/>
  <c r="G390" i="45"/>
  <c r="J359" i="45"/>
  <c r="AA91" i="24"/>
  <c r="R47" i="24"/>
  <c r="R91" i="24" s="1"/>
  <c r="H43" i="21"/>
  <c r="H51" i="21" s="1"/>
  <c r="H62" i="21" s="1"/>
  <c r="H63" i="21" s="1"/>
  <c r="H108" i="21" s="1"/>
  <c r="AF91" i="24"/>
  <c r="AX55" i="28"/>
  <c r="AM83" i="24"/>
  <c r="AW50" i="24"/>
  <c r="AW94" i="24" s="1"/>
  <c r="AT73" i="6"/>
  <c r="AV91" i="24"/>
  <c r="AO50" i="24"/>
  <c r="AO94" i="24" s="1"/>
  <c r="AQ91" i="24"/>
  <c r="Z91" i="24"/>
  <c r="AR91" i="24"/>
  <c r="T91" i="24"/>
  <c r="U50" i="24"/>
  <c r="U94" i="24" s="1"/>
  <c r="X50" i="24"/>
  <c r="X94" i="24" s="1"/>
  <c r="R68" i="40"/>
  <c r="G64" i="40"/>
  <c r="H62" i="40" s="1"/>
  <c r="H64" i="40" s="1"/>
  <c r="I62" i="40" s="1"/>
  <c r="R67" i="40"/>
  <c r="I136" i="21"/>
  <c r="I138" i="21"/>
  <c r="I139" i="21"/>
  <c r="I135" i="21"/>
  <c r="G136" i="21"/>
  <c r="G135" i="21"/>
  <c r="G139" i="21"/>
  <c r="G138" i="21"/>
  <c r="H390" i="45"/>
  <c r="F83" i="21"/>
  <c r="F63" i="21"/>
  <c r="F108" i="21" s="1"/>
  <c r="G83" i="21"/>
  <c r="I83" i="21"/>
  <c r="H83" i="21"/>
  <c r="E2" i="46"/>
  <c r="D2" i="46"/>
  <c r="K47" i="15"/>
  <c r="K90" i="15" s="1"/>
  <c r="AD40" i="33"/>
  <c r="AF32" i="33"/>
  <c r="K2" i="46"/>
  <c r="J2" i="46"/>
  <c r="H376" i="45"/>
  <c r="I64" i="40"/>
  <c r="J62" i="40" s="1"/>
  <c r="J64" i="40" s="1"/>
  <c r="K62" i="40" s="1"/>
  <c r="I370" i="45"/>
  <c r="I376" i="45"/>
  <c r="H371" i="45"/>
  <c r="I371" i="45"/>
  <c r="H373" i="45"/>
  <c r="H372" i="45"/>
  <c r="H375" i="45"/>
  <c r="H374" i="45"/>
  <c r="H370" i="45"/>
  <c r="F28" i="18"/>
  <c r="W31" i="34"/>
  <c r="W36" i="34"/>
  <c r="I28" i="18"/>
  <c r="H48" i="8"/>
  <c r="H96" i="8" s="1"/>
  <c r="H9" i="16"/>
  <c r="H91" i="8"/>
  <c r="H69" i="10"/>
  <c r="H49" i="10"/>
  <c r="H62" i="10" s="1"/>
  <c r="H65" i="10" s="1"/>
  <c r="H73" i="16"/>
  <c r="D22" i="6"/>
  <c r="Y83" i="24"/>
  <c r="Y47" i="24"/>
  <c r="BS63" i="40"/>
  <c r="BS68" i="40"/>
  <c r="BS67" i="40"/>
  <c r="BP91" i="24"/>
  <c r="BY63" i="40"/>
  <c r="BY68" i="40"/>
  <c r="BY67" i="40"/>
  <c r="AU63" i="40"/>
  <c r="AU67" i="40"/>
  <c r="AU68" i="40"/>
  <c r="BL63" i="40"/>
  <c r="BL68" i="40"/>
  <c r="BL67" i="40"/>
  <c r="AE50" i="24"/>
  <c r="AE94" i="24" s="1"/>
  <c r="AE91" i="24"/>
  <c r="BG67" i="40"/>
  <c r="BG68" i="40"/>
  <c r="BG63" i="40"/>
  <c r="BA68" i="40"/>
  <c r="BA67" i="40"/>
  <c r="BA63" i="40"/>
  <c r="AI68" i="40"/>
  <c r="AI67" i="40"/>
  <c r="AI63" i="40"/>
  <c r="AM68" i="40"/>
  <c r="AM67" i="40"/>
  <c r="AM63" i="40"/>
  <c r="K68" i="40"/>
  <c r="K67" i="40"/>
  <c r="K63" i="40"/>
  <c r="CK39" i="24"/>
  <c r="CK83" i="24" s="1"/>
  <c r="CK9" i="40"/>
  <c r="CK38" i="40" s="1"/>
  <c r="CK47" i="40" s="1"/>
  <c r="CK60" i="40" s="1"/>
  <c r="AC67" i="40"/>
  <c r="AC68" i="40"/>
  <c r="AC63" i="40"/>
  <c r="P68" i="40"/>
  <c r="P67" i="40"/>
  <c r="P63" i="40"/>
  <c r="BM63" i="40"/>
  <c r="BM68" i="40"/>
  <c r="BM67" i="40"/>
  <c r="AN63" i="40"/>
  <c r="AN67" i="40"/>
  <c r="AN68" i="40"/>
  <c r="CJ63" i="40"/>
  <c r="CJ68" i="40"/>
  <c r="CJ67" i="40"/>
  <c r="W63" i="40"/>
  <c r="W68" i="40"/>
  <c r="W67" i="40"/>
  <c r="Y63" i="40"/>
  <c r="Y68" i="40"/>
  <c r="Y67" i="40"/>
  <c r="E89" i="28"/>
  <c r="E84" i="21"/>
  <c r="H5" i="40"/>
  <c r="H7" i="40"/>
  <c r="G7" i="28"/>
  <c r="G5" i="40"/>
  <c r="G7" i="40"/>
  <c r="G7" i="24"/>
  <c r="G5" i="24"/>
  <c r="I4" i="40"/>
  <c r="I6" i="40"/>
  <c r="F95" i="28"/>
  <c r="F96" i="28"/>
  <c r="F97" i="28"/>
  <c r="D67" i="6"/>
  <c r="H93" i="28"/>
  <c r="G95" i="28"/>
  <c r="G96" i="28"/>
  <c r="G97" i="28"/>
  <c r="S114" i="28"/>
  <c r="Q109" i="28"/>
  <c r="T114" i="28"/>
  <c r="AC109" i="28"/>
  <c r="AO109" i="28"/>
  <c r="AP50" i="24"/>
  <c r="AP94" i="24" s="1"/>
  <c r="AP91" i="24"/>
  <c r="CB50" i="24"/>
  <c r="CB94" i="24" s="1"/>
  <c r="CB91" i="24"/>
  <c r="S83" i="24"/>
  <c r="S47" i="24"/>
  <c r="BR50" i="24"/>
  <c r="BR94" i="24" s="1"/>
  <c r="AG50" i="24"/>
  <c r="AG94" i="24" s="1"/>
  <c r="CJ47" i="24"/>
  <c r="CJ50" i="24" s="1"/>
  <c r="CJ94" i="24" s="1"/>
  <c r="BT91" i="24"/>
  <c r="CK78" i="24"/>
  <c r="AD91" i="24"/>
  <c r="AD50" i="24"/>
  <c r="AD94" i="24" s="1"/>
  <c r="AL83" i="24"/>
  <c r="AL47" i="24"/>
  <c r="BU83" i="24"/>
  <c r="BU47" i="24"/>
  <c r="AK47" i="24"/>
  <c r="AK83" i="24"/>
  <c r="AZ83" i="24"/>
  <c r="AZ47" i="24"/>
  <c r="P39" i="24"/>
  <c r="P78" i="24"/>
  <c r="AN39" i="24"/>
  <c r="AN78" i="24"/>
  <c r="BV83" i="24"/>
  <c r="BV47" i="24"/>
  <c r="H50" i="24"/>
  <c r="H94" i="24" s="1"/>
  <c r="CG50" i="24"/>
  <c r="CG94" i="24" s="1"/>
  <c r="CG91" i="24"/>
  <c r="BM39" i="24"/>
  <c r="BM78" i="24"/>
  <c r="BF83" i="24"/>
  <c r="BF47" i="24"/>
  <c r="L50" i="24"/>
  <c r="L94" i="24" s="1"/>
  <c r="L91" i="24"/>
  <c r="BS39" i="24"/>
  <c r="BS78" i="24"/>
  <c r="W39" i="24"/>
  <c r="W78" i="24"/>
  <c r="K39" i="24"/>
  <c r="K78" i="24"/>
  <c r="AC39" i="24"/>
  <c r="AC78" i="24"/>
  <c r="AH50" i="24"/>
  <c r="AH94" i="24" s="1"/>
  <c r="AH91" i="24"/>
  <c r="BO83" i="24"/>
  <c r="BO47" i="24"/>
  <c r="AX83" i="24"/>
  <c r="AX47" i="24"/>
  <c r="BG39" i="24"/>
  <c r="BG78" i="24"/>
  <c r="BA39" i="24"/>
  <c r="BA78" i="24"/>
  <c r="BY39" i="24"/>
  <c r="BY78" i="24"/>
  <c r="AU78" i="24"/>
  <c r="AU39" i="24"/>
  <c r="AI39" i="24"/>
  <c r="AI78" i="24"/>
  <c r="CE83" i="24"/>
  <c r="CE47" i="24"/>
  <c r="L63" i="15"/>
  <c r="L106" i="15" s="1"/>
  <c r="G52" i="15"/>
  <c r="H52" i="15" s="1"/>
  <c r="G90" i="15"/>
  <c r="I48" i="8"/>
  <c r="I56" i="8" s="1"/>
  <c r="I109" i="8" s="1"/>
  <c r="J73" i="16"/>
  <c r="J9" i="16"/>
  <c r="J23" i="16" s="1"/>
  <c r="J48" i="8"/>
  <c r="J56" i="8" s="1"/>
  <c r="J109" i="8" s="1"/>
  <c r="H64" i="8"/>
  <c r="G48" i="8"/>
  <c r="G56" i="8" s="1"/>
  <c r="G104" i="8" s="1"/>
  <c r="C22" i="6"/>
  <c r="H70" i="10"/>
  <c r="G91" i="8"/>
  <c r="I9" i="10"/>
  <c r="I40" i="10" s="1"/>
  <c r="I9" i="16"/>
  <c r="I65" i="16" s="1"/>
  <c r="E20" i="6" s="1"/>
  <c r="I91" i="8"/>
  <c r="G9" i="10"/>
  <c r="G40" i="10" s="1"/>
  <c r="G9" i="16"/>
  <c r="E22" i="6"/>
  <c r="AB50" i="24"/>
  <c r="AB94" i="24" s="1"/>
  <c r="AB91" i="24"/>
  <c r="F75" i="35"/>
  <c r="F43" i="35"/>
  <c r="N83" i="24"/>
  <c r="N47" i="24"/>
  <c r="F73" i="16"/>
  <c r="F9" i="16"/>
  <c r="B22" i="6"/>
  <c r="F64" i="8"/>
  <c r="F9" i="10"/>
  <c r="F40" i="10" s="1"/>
  <c r="F49" i="10" s="1"/>
  <c r="F62" i="10" s="1"/>
  <c r="F65" i="10" s="1"/>
  <c r="B33" i="6"/>
  <c r="W33" i="6" s="1"/>
  <c r="F48" i="8"/>
  <c r="F91" i="8"/>
  <c r="G64" i="8"/>
  <c r="I44" i="3"/>
  <c r="H45" i="3"/>
  <c r="G36" i="34"/>
  <c r="F44" i="34"/>
  <c r="H5" i="27"/>
  <c r="I5" i="25"/>
  <c r="I5" i="26"/>
  <c r="I5" i="16"/>
  <c r="I5" i="14"/>
  <c r="I5" i="13"/>
  <c r="BX50" i="24"/>
  <c r="BX94" i="24" s="1"/>
  <c r="BX91" i="24"/>
  <c r="U7" i="34"/>
  <c r="AA7" i="33"/>
  <c r="AF7" i="33" s="1"/>
  <c r="O4" i="35"/>
  <c r="V7" i="34"/>
  <c r="O7" i="35"/>
  <c r="AA7" i="32"/>
  <c r="AF7" i="32" s="1"/>
  <c r="H6" i="26"/>
  <c r="G6" i="27"/>
  <c r="H6" i="25"/>
  <c r="H6" i="16"/>
  <c r="H6" i="14"/>
  <c r="E5" i="15"/>
  <c r="E8" i="15"/>
  <c r="H6" i="13"/>
  <c r="D17" i="6"/>
  <c r="H4" i="6"/>
  <c r="W44" i="34"/>
  <c r="E67" i="35"/>
  <c r="E40" i="35"/>
  <c r="G40" i="35" s="1"/>
  <c r="G75" i="35" s="1"/>
  <c r="AT83" i="24"/>
  <c r="AT47" i="24"/>
  <c r="K32" i="35"/>
  <c r="K62" i="35"/>
  <c r="L27" i="35"/>
  <c r="L62" i="35" s="1"/>
  <c r="M27" i="35"/>
  <c r="CA50" i="24"/>
  <c r="CA94" i="24" s="1"/>
  <c r="CA91" i="24"/>
  <c r="O31" i="34"/>
  <c r="N36" i="34"/>
  <c r="AJ50" i="24"/>
  <c r="AJ94" i="24" s="1"/>
  <c r="AJ91" i="24"/>
  <c r="I34" i="3"/>
  <c r="J32" i="3"/>
  <c r="I33" i="3"/>
  <c r="M52" i="15"/>
  <c r="J95" i="15"/>
  <c r="J60" i="15"/>
  <c r="K52" i="15"/>
  <c r="K95" i="15" s="1"/>
  <c r="H7" i="27"/>
  <c r="I7" i="26"/>
  <c r="I7" i="25"/>
  <c r="I7" i="14"/>
  <c r="I7" i="16"/>
  <c r="I7" i="13"/>
  <c r="E95" i="15"/>
  <c r="E60" i="15"/>
  <c r="J20" i="33"/>
  <c r="H27" i="33"/>
  <c r="E4" i="35"/>
  <c r="E7" i="34"/>
  <c r="E7" i="33"/>
  <c r="J7" i="33" s="1"/>
  <c r="E7" i="35"/>
  <c r="E6" i="27"/>
  <c r="E7" i="32"/>
  <c r="J7" i="32" s="1"/>
  <c r="F6" i="25"/>
  <c r="F6" i="26"/>
  <c r="F6" i="16"/>
  <c r="F6" i="14"/>
  <c r="F6" i="13"/>
  <c r="B17" i="6"/>
  <c r="B4" i="6"/>
  <c r="J5" i="8"/>
  <c r="J7" i="10"/>
  <c r="J7" i="8"/>
  <c r="L73" i="16"/>
  <c r="L9" i="16"/>
  <c r="L9" i="10"/>
  <c r="L40" i="10" s="1"/>
  <c r="L64" i="8"/>
  <c r="L48" i="8"/>
  <c r="L91" i="8"/>
  <c r="N73" i="16"/>
  <c r="N9" i="16"/>
  <c r="N64" i="8"/>
  <c r="N9" i="10"/>
  <c r="N40" i="10" s="1"/>
  <c r="N48" i="8"/>
  <c r="N91" i="8"/>
  <c r="K9" i="16"/>
  <c r="K73" i="16"/>
  <c r="K9" i="10"/>
  <c r="K40" i="10" s="1"/>
  <c r="K48" i="8"/>
  <c r="K91" i="8"/>
  <c r="K64" i="8"/>
  <c r="CH83" i="24"/>
  <c r="CH47" i="24"/>
  <c r="O50" i="24"/>
  <c r="O94" i="24" s="1"/>
  <c r="O91" i="24"/>
  <c r="Q6" i="12"/>
  <c r="J6" i="10"/>
  <c r="J4" i="8"/>
  <c r="Q4" i="12"/>
  <c r="J6" i="8"/>
  <c r="J4" i="10"/>
  <c r="BH50" i="24"/>
  <c r="BH94" i="24" s="1"/>
  <c r="BH91" i="24"/>
  <c r="U32" i="33"/>
  <c r="S40" i="33"/>
  <c r="BE83" i="24"/>
  <c r="BE47" i="24"/>
  <c r="Q40" i="35"/>
  <c r="Q75" i="35" s="1"/>
  <c r="R40" i="35"/>
  <c r="P75" i="35"/>
  <c r="P43" i="35"/>
  <c r="E4" i="34"/>
  <c r="F4" i="34"/>
  <c r="E4" i="33"/>
  <c r="J4" i="33" s="1"/>
  <c r="F7" i="34"/>
  <c r="E4" i="27"/>
  <c r="E1" i="27" s="1"/>
  <c r="F4" i="26"/>
  <c r="F1" i="26" s="1"/>
  <c r="F4" i="25"/>
  <c r="F1" i="25" s="1"/>
  <c r="F4" i="16"/>
  <c r="F4" i="14"/>
  <c r="F1" i="14" s="1"/>
  <c r="F1" i="8"/>
  <c r="F4" i="13"/>
  <c r="F1" i="13" s="1"/>
  <c r="H5" i="28"/>
  <c r="H7" i="28"/>
  <c r="H7" i="24"/>
  <c r="H5" i="24"/>
  <c r="M73" i="16"/>
  <c r="M9" i="16"/>
  <c r="M9" i="10"/>
  <c r="M40" i="10" s="1"/>
  <c r="M48" i="8"/>
  <c r="M91" i="8"/>
  <c r="M64" i="8"/>
  <c r="E48" i="8"/>
  <c r="E91" i="8"/>
  <c r="I38" i="3"/>
  <c r="H39" i="3"/>
  <c r="H40" i="3"/>
  <c r="AM50" i="24"/>
  <c r="AM94" i="24" s="1"/>
  <c r="AM91" i="24"/>
  <c r="N7" i="34"/>
  <c r="J4" i="35"/>
  <c r="J7" i="35"/>
  <c r="P7" i="32"/>
  <c r="U7" i="32" s="1"/>
  <c r="P7" i="33"/>
  <c r="U7" i="33" s="1"/>
  <c r="M7" i="34"/>
  <c r="F6" i="27"/>
  <c r="G6" i="25"/>
  <c r="G6" i="26"/>
  <c r="G6" i="16"/>
  <c r="G6" i="14"/>
  <c r="G6" i="13"/>
  <c r="C17" i="6"/>
  <c r="E4" i="6"/>
  <c r="G50" i="24"/>
  <c r="G94" i="24" s="1"/>
  <c r="G91" i="24"/>
  <c r="BZ83" i="24"/>
  <c r="BZ47" i="24"/>
  <c r="V83" i="24"/>
  <c r="V47" i="24"/>
  <c r="AA4" i="33"/>
  <c r="AF4" i="33" s="1"/>
  <c r="U4" i="34"/>
  <c r="V4" i="34"/>
  <c r="H4" i="26"/>
  <c r="H1" i="26" s="1"/>
  <c r="G4" i="27"/>
  <c r="G1" i="27" s="1"/>
  <c r="H4" i="25"/>
  <c r="H1" i="25" s="1"/>
  <c r="H4" i="16"/>
  <c r="H4" i="14"/>
  <c r="H1" i="14" s="1"/>
  <c r="H1" i="8"/>
  <c r="H4" i="13"/>
  <c r="H1" i="13" s="1"/>
  <c r="BB83" i="24"/>
  <c r="BB47" i="24"/>
  <c r="I7" i="29"/>
  <c r="H7" i="30"/>
  <c r="I5" i="29"/>
  <c r="I7" i="21"/>
  <c r="I7" i="22"/>
  <c r="H7" i="18"/>
  <c r="I7" i="9"/>
  <c r="I7" i="20"/>
  <c r="BL50" i="24"/>
  <c r="BL94" i="24" s="1"/>
  <c r="BL91" i="24"/>
  <c r="J67" i="35"/>
  <c r="J40" i="35"/>
  <c r="M4" i="34"/>
  <c r="N4" i="34"/>
  <c r="P4" i="33"/>
  <c r="U4" i="33" s="1"/>
  <c r="F4" i="27"/>
  <c r="F1" i="27" s="1"/>
  <c r="G4" i="25"/>
  <c r="G1" i="25" s="1"/>
  <c r="G4" i="26"/>
  <c r="G1" i="26" s="1"/>
  <c r="G4" i="14"/>
  <c r="G1" i="14" s="1"/>
  <c r="G4" i="16"/>
  <c r="G1" i="8"/>
  <c r="G4" i="13"/>
  <c r="G1" i="13" s="1"/>
  <c r="H4" i="30"/>
  <c r="I6" i="29"/>
  <c r="I4" i="29"/>
  <c r="H6" i="30"/>
  <c r="I4" i="22"/>
  <c r="I6" i="21"/>
  <c r="E103" i="6" s="1"/>
  <c r="I4" i="20"/>
  <c r="H6" i="18"/>
  <c r="I6" i="22"/>
  <c r="I6" i="20"/>
  <c r="H4" i="18"/>
  <c r="I4" i="21"/>
  <c r="I6" i="9"/>
  <c r="I4" i="9"/>
  <c r="I4" i="28"/>
  <c r="I6" i="28"/>
  <c r="I4" i="24"/>
  <c r="I6" i="24"/>
  <c r="G46" i="3"/>
  <c r="F104" i="21" l="1"/>
  <c r="H115" i="21"/>
  <c r="G104" i="21"/>
  <c r="G116" i="21" s="1"/>
  <c r="G115" i="21"/>
  <c r="E112" i="21"/>
  <c r="I115" i="21"/>
  <c r="I116" i="21"/>
  <c r="G84" i="21"/>
  <c r="H84" i="21"/>
  <c r="H112" i="21"/>
  <c r="F84" i="21"/>
  <c r="G42" i="16"/>
  <c r="I29" i="16"/>
  <c r="I42" i="16" s="1"/>
  <c r="H29" i="16"/>
  <c r="H42" i="16" s="1"/>
  <c r="I51" i="21"/>
  <c r="I62" i="21" s="1"/>
  <c r="I63" i="21" s="1"/>
  <c r="I108" i="21" s="1"/>
  <c r="J11" i="13"/>
  <c r="H11" i="13"/>
  <c r="H29" i="13" s="1"/>
  <c r="F11" i="13"/>
  <c r="F29" i="13" s="1"/>
  <c r="I19" i="22"/>
  <c r="I27" i="22" s="1"/>
  <c r="I38" i="22" s="1"/>
  <c r="I40" i="22" s="1"/>
  <c r="G19" i="22"/>
  <c r="G27" i="22" s="1"/>
  <c r="G38" i="22" s="1"/>
  <c r="G40" i="22" s="1"/>
  <c r="H19" i="22"/>
  <c r="H27" i="22" s="1"/>
  <c r="H38" i="22" s="1"/>
  <c r="H40" i="22" s="1"/>
  <c r="I37" i="16"/>
  <c r="G37" i="16"/>
  <c r="H37" i="16"/>
  <c r="R50" i="24"/>
  <c r="G11" i="13"/>
  <c r="J15" i="13"/>
  <c r="J42" i="13" s="1"/>
  <c r="I15" i="13"/>
  <c r="I11" i="13"/>
  <c r="H15" i="13"/>
  <c r="H30" i="13" s="1"/>
  <c r="G15" i="13"/>
  <c r="G30" i="13" s="1"/>
  <c r="J358" i="45"/>
  <c r="H135" i="21"/>
  <c r="H138" i="21"/>
  <c r="H136" i="21"/>
  <c r="H139" i="21"/>
  <c r="Q89" i="28"/>
  <c r="AC89" i="28"/>
  <c r="AO89" i="28"/>
  <c r="G49" i="10"/>
  <c r="G62" i="10" s="1"/>
  <c r="G65" i="10" s="1"/>
  <c r="G98" i="28"/>
  <c r="AF40" i="33"/>
  <c r="AD43" i="33"/>
  <c r="H74" i="16"/>
  <c r="K64" i="40"/>
  <c r="L62" i="40" s="1"/>
  <c r="L64" i="40" s="1"/>
  <c r="M62" i="40" s="1"/>
  <c r="M64" i="40" s="1"/>
  <c r="N62" i="40" s="1"/>
  <c r="N64" i="40" s="1"/>
  <c r="O62" i="40" s="1"/>
  <c r="O64" i="40" s="1"/>
  <c r="P62" i="40" s="1"/>
  <c r="P64" i="40" s="1"/>
  <c r="Q62" i="40" s="1"/>
  <c r="Q64" i="40" s="1"/>
  <c r="R62" i="40" s="1"/>
  <c r="R64" i="40" s="1"/>
  <c r="S62" i="40" s="1"/>
  <c r="S64" i="40" s="1"/>
  <c r="T62" i="40" s="1"/>
  <c r="T64" i="40" s="1"/>
  <c r="U62" i="40" s="1"/>
  <c r="U64" i="40" s="1"/>
  <c r="V62" i="40" s="1"/>
  <c r="V64" i="40" s="1"/>
  <c r="W62" i="40" s="1"/>
  <c r="W64" i="40" s="1"/>
  <c r="X62" i="40" s="1"/>
  <c r="X64" i="40" s="1"/>
  <c r="Y62" i="40" s="1"/>
  <c r="Y64" i="40" s="1"/>
  <c r="Z62" i="40" s="1"/>
  <c r="Z64" i="40" s="1"/>
  <c r="AA62" i="40" s="1"/>
  <c r="AA64" i="40" s="1"/>
  <c r="AB62" i="40" s="1"/>
  <c r="AB64" i="40" s="1"/>
  <c r="AC62" i="40" s="1"/>
  <c r="AC64" i="40" s="1"/>
  <c r="H56" i="8"/>
  <c r="H109" i="8" s="1"/>
  <c r="J70" i="10"/>
  <c r="J49" i="10"/>
  <c r="J62" i="10" s="1"/>
  <c r="J65" i="10" s="1"/>
  <c r="I49" i="10"/>
  <c r="I62" i="10" s="1"/>
  <c r="I65" i="10" s="1"/>
  <c r="I66" i="10" s="1"/>
  <c r="I77" i="10" s="1"/>
  <c r="H65" i="16"/>
  <c r="D20" i="6" s="1"/>
  <c r="H23" i="16"/>
  <c r="CK63" i="40"/>
  <c r="CK68" i="40"/>
  <c r="CK67" i="40"/>
  <c r="CK47" i="24"/>
  <c r="CK91" i="24" s="1"/>
  <c r="Y91" i="24"/>
  <c r="Y50" i="24"/>
  <c r="Y94" i="24" s="1"/>
  <c r="AR33" i="6"/>
  <c r="AR34" i="6" s="1"/>
  <c r="W34" i="6"/>
  <c r="J104" i="8"/>
  <c r="I104" i="8"/>
  <c r="I59" i="8"/>
  <c r="J6" i="40"/>
  <c r="J4" i="40"/>
  <c r="I5" i="40"/>
  <c r="I7" i="40"/>
  <c r="P33" i="8"/>
  <c r="P20" i="8"/>
  <c r="P42" i="8"/>
  <c r="P32" i="8"/>
  <c r="P21" i="8"/>
  <c r="P37" i="8"/>
  <c r="P36" i="8"/>
  <c r="P34" i="8"/>
  <c r="P35" i="8"/>
  <c r="E67" i="6"/>
  <c r="I93" i="28"/>
  <c r="H95" i="28"/>
  <c r="H96" i="28"/>
  <c r="H97" i="28"/>
  <c r="F98" i="28"/>
  <c r="CJ91" i="24"/>
  <c r="S50" i="24"/>
  <c r="S94" i="24" s="1"/>
  <c r="S91" i="24"/>
  <c r="AL91" i="24"/>
  <c r="AL50" i="24"/>
  <c r="AL94" i="24" s="1"/>
  <c r="BV50" i="24"/>
  <c r="BV94" i="24" s="1"/>
  <c r="BV91" i="24"/>
  <c r="AN83" i="24"/>
  <c r="AN47" i="24"/>
  <c r="P83" i="24"/>
  <c r="P47" i="24"/>
  <c r="AK50" i="24"/>
  <c r="AK94" i="24" s="1"/>
  <c r="AK91" i="24"/>
  <c r="BU91" i="24"/>
  <c r="BU50" i="24"/>
  <c r="BU94" i="24" s="1"/>
  <c r="AZ50" i="24"/>
  <c r="AZ94" i="24" s="1"/>
  <c r="AZ91" i="24"/>
  <c r="F52" i="15"/>
  <c r="F95" i="15" s="1"/>
  <c r="J69" i="10"/>
  <c r="AU47" i="24"/>
  <c r="AU83" i="24"/>
  <c r="BO50" i="24"/>
  <c r="BO94" i="24" s="1"/>
  <c r="BO91" i="24"/>
  <c r="AI47" i="24"/>
  <c r="AI83" i="24"/>
  <c r="BA47" i="24"/>
  <c r="BA83" i="24"/>
  <c r="K47" i="24"/>
  <c r="K83" i="24"/>
  <c r="CE50" i="24"/>
  <c r="CE94" i="24" s="1"/>
  <c r="CE91" i="24"/>
  <c r="BS83" i="24"/>
  <c r="BS47" i="24"/>
  <c r="BF50" i="24"/>
  <c r="BF94" i="24" s="1"/>
  <c r="BF91" i="24"/>
  <c r="BG47" i="24"/>
  <c r="BG83" i="24"/>
  <c r="W47" i="24"/>
  <c r="W83" i="24"/>
  <c r="AX91" i="24"/>
  <c r="AX50" i="24"/>
  <c r="AX94" i="24" s="1"/>
  <c r="BY47" i="24"/>
  <c r="BY83" i="24"/>
  <c r="AC47" i="24"/>
  <c r="AC83" i="24"/>
  <c r="BM83" i="24"/>
  <c r="BM47" i="24"/>
  <c r="J59" i="8"/>
  <c r="J114" i="8" s="1"/>
  <c r="J96" i="8"/>
  <c r="J74" i="16"/>
  <c r="G59" i="8"/>
  <c r="K84" i="35" s="1"/>
  <c r="I96" i="8"/>
  <c r="G95" i="15"/>
  <c r="G60" i="15"/>
  <c r="H60" i="15" s="1"/>
  <c r="I69" i="10"/>
  <c r="J65" i="16"/>
  <c r="J66" i="16"/>
  <c r="G96" i="8"/>
  <c r="I23" i="16"/>
  <c r="I66" i="16" s="1"/>
  <c r="I70" i="10"/>
  <c r="P43" i="8"/>
  <c r="G109" i="8"/>
  <c r="I74" i="16"/>
  <c r="G65" i="16"/>
  <c r="C20" i="6" s="1"/>
  <c r="G23" i="16"/>
  <c r="G74" i="16"/>
  <c r="G69" i="10"/>
  <c r="G70" i="10"/>
  <c r="F74" i="16"/>
  <c r="M74" i="16"/>
  <c r="J4" i="28"/>
  <c r="J6" i="28"/>
  <c r="J93" i="28" s="1"/>
  <c r="J4" i="24"/>
  <c r="J6" i="24"/>
  <c r="H46" i="3"/>
  <c r="F9" i="35"/>
  <c r="E6" i="35"/>
  <c r="F6" i="35"/>
  <c r="E9" i="35"/>
  <c r="O6" i="35"/>
  <c r="P6" i="35"/>
  <c r="O9" i="35"/>
  <c r="P9" i="35"/>
  <c r="J44" i="3"/>
  <c r="I45" i="3"/>
  <c r="J75" i="35"/>
  <c r="J43" i="35"/>
  <c r="J78" i="35" s="1"/>
  <c r="N96" i="8"/>
  <c r="N56" i="8"/>
  <c r="P10" i="14"/>
  <c r="P13" i="14"/>
  <c r="P17" i="14"/>
  <c r="P22" i="14"/>
  <c r="P11" i="14"/>
  <c r="P14" i="14"/>
  <c r="P18" i="14"/>
  <c r="P12" i="14"/>
  <c r="P15" i="14"/>
  <c r="P19" i="14"/>
  <c r="P9" i="14"/>
  <c r="P21" i="14"/>
  <c r="P16" i="14"/>
  <c r="P20" i="14"/>
  <c r="V91" i="24"/>
  <c r="V50" i="24"/>
  <c r="V94" i="24" s="1"/>
  <c r="N69" i="10"/>
  <c r="N62" i="10"/>
  <c r="N65" i="10" s="1"/>
  <c r="N70" i="10"/>
  <c r="L65" i="16"/>
  <c r="L23" i="16"/>
  <c r="E63" i="15"/>
  <c r="E103" i="15"/>
  <c r="K4" i="10"/>
  <c r="K6" i="10"/>
  <c r="K4" i="8"/>
  <c r="K6" i="8"/>
  <c r="F65" i="16"/>
  <c r="B20" i="6" s="1"/>
  <c r="F23" i="16"/>
  <c r="F78" i="35"/>
  <c r="Q43" i="35"/>
  <c r="Q78" i="35" s="1"/>
  <c r="R43" i="35"/>
  <c r="P78" i="35"/>
  <c r="L69" i="10"/>
  <c r="L70" i="10"/>
  <c r="L62" i="10"/>
  <c r="L65" i="10" s="1"/>
  <c r="M96" i="8"/>
  <c r="M56" i="8"/>
  <c r="J6" i="25"/>
  <c r="J6" i="26"/>
  <c r="I6" i="27"/>
  <c r="J6" i="16"/>
  <c r="J6" i="14"/>
  <c r="J10" i="15"/>
  <c r="J6" i="13"/>
  <c r="K96" i="8"/>
  <c r="K56" i="8"/>
  <c r="L74" i="16"/>
  <c r="J33" i="3"/>
  <c r="J34" i="3"/>
  <c r="K32" i="3"/>
  <c r="P14" i="13"/>
  <c r="P21" i="13"/>
  <c r="P13" i="13"/>
  <c r="P20" i="13"/>
  <c r="P9" i="13"/>
  <c r="P19" i="13"/>
  <c r="P22" i="13"/>
  <c r="E96" i="8"/>
  <c r="E56" i="8"/>
  <c r="J5" i="29"/>
  <c r="I7" i="30"/>
  <c r="J7" i="29"/>
  <c r="J7" i="22"/>
  <c r="J7" i="21"/>
  <c r="I5" i="18"/>
  <c r="J5" i="22"/>
  <c r="I7" i="18"/>
  <c r="J5" i="21"/>
  <c r="J7" i="9"/>
  <c r="J5" i="9"/>
  <c r="M69" i="10"/>
  <c r="M70" i="10"/>
  <c r="M62" i="10"/>
  <c r="M65" i="10" s="1"/>
  <c r="BE91" i="24"/>
  <c r="BE50" i="24"/>
  <c r="BE94" i="24" s="1"/>
  <c r="K69" i="10"/>
  <c r="K70" i="10"/>
  <c r="K62" i="10"/>
  <c r="K65" i="10" s="1"/>
  <c r="N65" i="16"/>
  <c r="N23" i="16"/>
  <c r="I7" i="27"/>
  <c r="J7" i="25"/>
  <c r="J7" i="26"/>
  <c r="J7" i="16"/>
  <c r="J7" i="14"/>
  <c r="J7" i="13"/>
  <c r="L6" i="15"/>
  <c r="L9" i="15"/>
  <c r="K7" i="8"/>
  <c r="K5" i="8"/>
  <c r="K5" i="10"/>
  <c r="K7" i="10"/>
  <c r="K67" i="35"/>
  <c r="L32" i="35"/>
  <c r="L67" i="35" s="1"/>
  <c r="M32" i="35"/>
  <c r="K40" i="35"/>
  <c r="N91" i="24"/>
  <c r="N50" i="24"/>
  <c r="N94" i="24" s="1"/>
  <c r="H40" i="35"/>
  <c r="P11" i="25"/>
  <c r="P12" i="25"/>
  <c r="P10" i="25"/>
  <c r="P9" i="25"/>
  <c r="P13" i="25"/>
  <c r="BZ91" i="24"/>
  <c r="BZ50" i="24"/>
  <c r="BZ94" i="24" s="1"/>
  <c r="O13" i="27"/>
  <c r="O17" i="27"/>
  <c r="O19" i="27"/>
  <c r="O10" i="27"/>
  <c r="O23" i="27"/>
  <c r="O11" i="27"/>
  <c r="O16" i="27"/>
  <c r="O18" i="27"/>
  <c r="O25" i="27"/>
  <c r="O12" i="27"/>
  <c r="O24" i="27"/>
  <c r="O22" i="27"/>
  <c r="J9" i="35"/>
  <c r="K9" i="35"/>
  <c r="J6" i="35"/>
  <c r="K6" i="35"/>
  <c r="I4" i="30"/>
  <c r="J6" i="29"/>
  <c r="I6" i="30"/>
  <c r="J4" i="29"/>
  <c r="J4" i="21"/>
  <c r="J6" i="22"/>
  <c r="I4" i="18"/>
  <c r="J6" i="21"/>
  <c r="I6" i="18"/>
  <c r="J4" i="22"/>
  <c r="J4" i="9"/>
  <c r="J6" i="9"/>
  <c r="M65" i="16"/>
  <c r="M23" i="16"/>
  <c r="J4" i="25"/>
  <c r="J1" i="25" s="1"/>
  <c r="I4" i="27"/>
  <c r="I1" i="27" s="1"/>
  <c r="J4" i="26"/>
  <c r="J1" i="26" s="1"/>
  <c r="J4" i="16"/>
  <c r="J7" i="15"/>
  <c r="J4" i="14"/>
  <c r="J1" i="14" s="1"/>
  <c r="J4" i="13"/>
  <c r="J1" i="13" s="1"/>
  <c r="J1" i="8"/>
  <c r="K74" i="16"/>
  <c r="N74" i="16"/>
  <c r="O36" i="34"/>
  <c r="N44" i="34"/>
  <c r="AT91" i="24"/>
  <c r="AT50" i="24"/>
  <c r="AT94" i="24" s="1"/>
  <c r="F96" i="8"/>
  <c r="F56" i="8"/>
  <c r="P48" i="8"/>
  <c r="P19" i="8"/>
  <c r="P28" i="8"/>
  <c r="P31" i="8"/>
  <c r="P41" i="8"/>
  <c r="P45" i="8"/>
  <c r="P52" i="8"/>
  <c r="P58" i="8"/>
  <c r="P22" i="8"/>
  <c r="P25" i="8"/>
  <c r="P38" i="8"/>
  <c r="P46" i="8"/>
  <c r="P49" i="8"/>
  <c r="P53" i="8"/>
  <c r="P23" i="8"/>
  <c r="P26" i="8"/>
  <c r="P39" i="8"/>
  <c r="P47" i="8"/>
  <c r="P50" i="8"/>
  <c r="P54" i="8"/>
  <c r="P9" i="8"/>
  <c r="P27" i="8"/>
  <c r="P30" i="8"/>
  <c r="P40" i="8"/>
  <c r="P44" i="8"/>
  <c r="P51" i="8"/>
  <c r="P57" i="8"/>
  <c r="P55" i="8"/>
  <c r="P24" i="8"/>
  <c r="P29" i="8"/>
  <c r="P18" i="26"/>
  <c r="P11" i="26"/>
  <c r="P9" i="26"/>
  <c r="P15" i="26"/>
  <c r="P10" i="26"/>
  <c r="P19" i="26"/>
  <c r="P16" i="26"/>
  <c r="P17" i="26"/>
  <c r="P12" i="26"/>
  <c r="P23" i="26"/>
  <c r="P24" i="26"/>
  <c r="P25" i="26"/>
  <c r="P22" i="26"/>
  <c r="P21" i="26"/>
  <c r="P13" i="26"/>
  <c r="J38" i="3"/>
  <c r="I39" i="3"/>
  <c r="I40" i="3"/>
  <c r="U40" i="33"/>
  <c r="S43" i="33"/>
  <c r="K65" i="16"/>
  <c r="K23" i="16"/>
  <c r="G44" i="34"/>
  <c r="F47" i="34"/>
  <c r="W47" i="34"/>
  <c r="W53" i="34" s="1"/>
  <c r="V53" i="34"/>
  <c r="I5" i="28"/>
  <c r="I7" i="28"/>
  <c r="I5" i="24"/>
  <c r="I7" i="24"/>
  <c r="BB91" i="24"/>
  <c r="BB50" i="24"/>
  <c r="BB94" i="24" s="1"/>
  <c r="CH91" i="24"/>
  <c r="CH50" i="24"/>
  <c r="CH94" i="24" s="1"/>
  <c r="L96" i="8"/>
  <c r="L56" i="8"/>
  <c r="I5" i="27"/>
  <c r="J5" i="26"/>
  <c r="J5" i="25"/>
  <c r="J5" i="16"/>
  <c r="J5" i="14"/>
  <c r="J27" i="33"/>
  <c r="H32" i="33"/>
  <c r="M60" i="15"/>
  <c r="J103" i="15"/>
  <c r="J63" i="15"/>
  <c r="K60" i="15"/>
  <c r="K103" i="15" s="1"/>
  <c r="E75" i="35"/>
  <c r="E43" i="35"/>
  <c r="E78" i="35" s="1"/>
  <c r="F69" i="10"/>
  <c r="F70" i="10"/>
  <c r="I112" i="21" l="1"/>
  <c r="G112" i="21"/>
  <c r="G118" i="21"/>
  <c r="I118" i="21"/>
  <c r="F112" i="21"/>
  <c r="H118" i="21"/>
  <c r="H116" i="21"/>
  <c r="I84" i="21"/>
  <c r="BA89" i="28"/>
  <c r="J68" i="13"/>
  <c r="J41" i="13"/>
  <c r="I61" i="9"/>
  <c r="BA99" i="24"/>
  <c r="R94" i="24"/>
  <c r="CK50" i="24"/>
  <c r="CK94" i="24" s="1"/>
  <c r="H68" i="13"/>
  <c r="F15" i="13"/>
  <c r="F42" i="13" s="1"/>
  <c r="T42" i="13" s="1"/>
  <c r="H41" i="13"/>
  <c r="J29" i="13"/>
  <c r="F41" i="13"/>
  <c r="I42" i="13"/>
  <c r="I30" i="13"/>
  <c r="J17" i="13"/>
  <c r="J44" i="13" s="1"/>
  <c r="J30" i="13"/>
  <c r="I41" i="13"/>
  <c r="I29" i="13"/>
  <c r="G41" i="13"/>
  <c r="G29" i="13"/>
  <c r="F60" i="15"/>
  <c r="F103" i="15" s="1"/>
  <c r="G17" i="13"/>
  <c r="G44" i="13" s="1"/>
  <c r="H42" i="13"/>
  <c r="I17" i="13"/>
  <c r="I24" i="13" s="1"/>
  <c r="H17" i="13"/>
  <c r="H24" i="13" s="1"/>
  <c r="H32" i="13" s="1"/>
  <c r="G42" i="13"/>
  <c r="Q75" i="40"/>
  <c r="AF43" i="33"/>
  <c r="AF49" i="33" s="1"/>
  <c r="AD49" i="33"/>
  <c r="H59" i="8"/>
  <c r="H104" i="8"/>
  <c r="I114" i="8"/>
  <c r="G114" i="8"/>
  <c r="G61" i="9"/>
  <c r="I107" i="8"/>
  <c r="AT99" i="24"/>
  <c r="J112" i="15"/>
  <c r="J113" i="15" s="1"/>
  <c r="G107" i="8"/>
  <c r="AC99" i="24"/>
  <c r="H66" i="16"/>
  <c r="AC75" i="40"/>
  <c r="AD62" i="40"/>
  <c r="AD64" i="40" s="1"/>
  <c r="AE62" i="40" s="1"/>
  <c r="AE64" i="40" s="1"/>
  <c r="AF62" i="40" s="1"/>
  <c r="AF64" i="40" s="1"/>
  <c r="AG62" i="40" s="1"/>
  <c r="AG64" i="40" s="1"/>
  <c r="AH62" i="40" s="1"/>
  <c r="AH64" i="40" s="1"/>
  <c r="AI62" i="40" s="1"/>
  <c r="AI64" i="40" s="1"/>
  <c r="AJ62" i="40" s="1"/>
  <c r="AJ64" i="40" s="1"/>
  <c r="AK62" i="40" s="1"/>
  <c r="AK64" i="40" s="1"/>
  <c r="AL62" i="40" s="1"/>
  <c r="AL64" i="40" s="1"/>
  <c r="AM62" i="40" s="1"/>
  <c r="AM64" i="40" s="1"/>
  <c r="AN62" i="40" s="1"/>
  <c r="AN64" i="40" s="1"/>
  <c r="AO62" i="40" s="1"/>
  <c r="AO64" i="40" s="1"/>
  <c r="G64" i="10"/>
  <c r="G66" i="10" s="1"/>
  <c r="G77" i="10" s="1"/>
  <c r="F77" i="10"/>
  <c r="J107" i="8"/>
  <c r="K4" i="40"/>
  <c r="K6" i="40"/>
  <c r="J5" i="40"/>
  <c r="J7" i="40"/>
  <c r="J96" i="28"/>
  <c r="J97" i="28"/>
  <c r="J95" i="28"/>
  <c r="H98" i="28"/>
  <c r="I95" i="28"/>
  <c r="I96" i="28"/>
  <c r="I97" i="28"/>
  <c r="F67" i="6"/>
  <c r="AN91" i="24"/>
  <c r="AN50" i="24"/>
  <c r="AN94" i="24" s="1"/>
  <c r="P91" i="24"/>
  <c r="P50" i="24"/>
  <c r="P94" i="24" s="1"/>
  <c r="BY50" i="24"/>
  <c r="BY94" i="24" s="1"/>
  <c r="BY91" i="24"/>
  <c r="K50" i="24"/>
  <c r="K94" i="24" s="1"/>
  <c r="K91" i="24"/>
  <c r="BG50" i="24"/>
  <c r="BG94" i="24" s="1"/>
  <c r="BG91" i="24"/>
  <c r="AI50" i="24"/>
  <c r="AI94" i="24" s="1"/>
  <c r="AI91" i="24"/>
  <c r="BM91" i="24"/>
  <c r="BM50" i="24"/>
  <c r="BM94" i="24" s="1"/>
  <c r="W50" i="24"/>
  <c r="W94" i="24" s="1"/>
  <c r="W91" i="24"/>
  <c r="BA50" i="24"/>
  <c r="BA94" i="24" s="1"/>
  <c r="BA91" i="24"/>
  <c r="BS50" i="24"/>
  <c r="BS94" i="24" s="1"/>
  <c r="BS91" i="24"/>
  <c r="AC50" i="24"/>
  <c r="AC94" i="24" s="1"/>
  <c r="AC91" i="24"/>
  <c r="AU50" i="24"/>
  <c r="AU94" i="24" s="1"/>
  <c r="AU91" i="24"/>
  <c r="G63" i="15"/>
  <c r="G106" i="15" s="1"/>
  <c r="G103" i="15"/>
  <c r="G66" i="16"/>
  <c r="K5" i="29"/>
  <c r="J7" i="30"/>
  <c r="K7" i="29"/>
  <c r="K5" i="21"/>
  <c r="K7" i="21"/>
  <c r="K5" i="22"/>
  <c r="J7" i="18"/>
  <c r="J5" i="18"/>
  <c r="K7" i="22"/>
  <c r="K7" i="9"/>
  <c r="K5" i="9"/>
  <c r="J4" i="27"/>
  <c r="J1" i="27" s="1"/>
  <c r="K4" i="25"/>
  <c r="K1" i="25" s="1"/>
  <c r="K4" i="26"/>
  <c r="K1" i="26" s="1"/>
  <c r="K4" i="16"/>
  <c r="K4" i="14"/>
  <c r="K1" i="14" s="1"/>
  <c r="K4" i="13"/>
  <c r="K1" i="13" s="1"/>
  <c r="K1" i="8"/>
  <c r="L5" i="10"/>
  <c r="L7" i="8"/>
  <c r="L5" i="8"/>
  <c r="L7" i="10"/>
  <c r="K6" i="28"/>
  <c r="K4" i="28"/>
  <c r="K6" i="24"/>
  <c r="K4" i="24"/>
  <c r="I46" i="3"/>
  <c r="F53" i="34"/>
  <c r="G47" i="34"/>
  <c r="G53" i="34" s="1"/>
  <c r="K38" i="3"/>
  <c r="J39" i="3"/>
  <c r="J40" i="3"/>
  <c r="F109" i="8"/>
  <c r="F59" i="8"/>
  <c r="F104" i="8"/>
  <c r="P56" i="8"/>
  <c r="M66" i="16"/>
  <c r="L4" i="10"/>
  <c r="L6" i="10"/>
  <c r="L4" i="8"/>
  <c r="L6" i="8"/>
  <c r="K10" i="15"/>
  <c r="E10" i="15"/>
  <c r="M109" i="8"/>
  <c r="M59" i="8"/>
  <c r="M104" i="8"/>
  <c r="K44" i="3"/>
  <c r="J45" i="3"/>
  <c r="N66" i="16"/>
  <c r="K4" i="29"/>
  <c r="J6" i="30"/>
  <c r="J4" i="30"/>
  <c r="K6" i="29"/>
  <c r="K6" i="22"/>
  <c r="J4" i="18"/>
  <c r="K4" i="22"/>
  <c r="K6" i="21"/>
  <c r="K4" i="21"/>
  <c r="J6" i="18"/>
  <c r="K6" i="9"/>
  <c r="K4" i="9"/>
  <c r="H43" i="35"/>
  <c r="J7" i="28"/>
  <c r="J5" i="24"/>
  <c r="J5" i="28"/>
  <c r="J7" i="24"/>
  <c r="J106" i="15"/>
  <c r="M63" i="15"/>
  <c r="K63" i="15"/>
  <c r="K106" i="15" s="1"/>
  <c r="J32" i="33"/>
  <c r="H40" i="33"/>
  <c r="L59" i="8"/>
  <c r="L104" i="8"/>
  <c r="L109" i="8"/>
  <c r="K66" i="16"/>
  <c r="K59" i="8"/>
  <c r="K104" i="8"/>
  <c r="K109" i="8"/>
  <c r="G43" i="35"/>
  <c r="G78" i="35" s="1"/>
  <c r="N109" i="8"/>
  <c r="N59" i="8"/>
  <c r="N104" i="8"/>
  <c r="K75" i="35"/>
  <c r="K43" i="35"/>
  <c r="L40" i="35"/>
  <c r="L75" i="35" s="1"/>
  <c r="M40" i="35"/>
  <c r="L32" i="3"/>
  <c r="K33" i="3"/>
  <c r="K34" i="3"/>
  <c r="E7" i="15"/>
  <c r="K7" i="15"/>
  <c r="E109" i="8"/>
  <c r="E59" i="8"/>
  <c r="E104" i="8"/>
  <c r="F66" i="16"/>
  <c r="O44" i="34"/>
  <c r="N47" i="34"/>
  <c r="J5" i="27"/>
  <c r="K5" i="26"/>
  <c r="K5" i="25"/>
  <c r="K5" i="14"/>
  <c r="K5" i="13"/>
  <c r="K5" i="16"/>
  <c r="E106" i="15"/>
  <c r="U43" i="33"/>
  <c r="U49" i="33" s="1"/>
  <c r="S49" i="33"/>
  <c r="J7" i="27"/>
  <c r="K7" i="25"/>
  <c r="K7" i="26"/>
  <c r="K7" i="16"/>
  <c r="K7" i="14"/>
  <c r="K7" i="13"/>
  <c r="J6" i="27"/>
  <c r="K6" i="26"/>
  <c r="K6" i="25"/>
  <c r="J5" i="15"/>
  <c r="J8" i="15"/>
  <c r="K6" i="16"/>
  <c r="K6" i="14"/>
  <c r="K6" i="13"/>
  <c r="L66" i="16"/>
  <c r="H119" i="21" l="1"/>
  <c r="H121" i="21" s="1"/>
  <c r="H122" i="21" s="1"/>
  <c r="G119" i="21"/>
  <c r="G121" i="21" s="1"/>
  <c r="G122" i="21" s="1"/>
  <c r="I119" i="21"/>
  <c r="I121" i="21" s="1"/>
  <c r="I122" i="21" s="1"/>
  <c r="AC100" i="24"/>
  <c r="F30" i="13"/>
  <c r="P15" i="13"/>
  <c r="J46" i="13"/>
  <c r="J24" i="13"/>
  <c r="J52" i="13" s="1"/>
  <c r="H63" i="15"/>
  <c r="G46" i="13"/>
  <c r="G24" i="13"/>
  <c r="G52" i="13" s="1"/>
  <c r="H52" i="13"/>
  <c r="H44" i="13"/>
  <c r="I46" i="13"/>
  <c r="H46" i="13"/>
  <c r="I44" i="13"/>
  <c r="P24" i="13"/>
  <c r="I52" i="13"/>
  <c r="I32" i="13"/>
  <c r="H107" i="8"/>
  <c r="AO99" i="24"/>
  <c r="AO100" i="24" s="1"/>
  <c r="G112" i="15"/>
  <c r="G113" i="15" s="1"/>
  <c r="H114" i="8"/>
  <c r="H61" i="9"/>
  <c r="P84" i="35"/>
  <c r="P85" i="35" s="1"/>
  <c r="H65" i="8"/>
  <c r="E107" i="8"/>
  <c r="E114" i="8"/>
  <c r="AP62" i="40"/>
  <c r="AP64" i="40" s="1"/>
  <c r="AQ62" i="40" s="1"/>
  <c r="AQ64" i="40" s="1"/>
  <c r="AR62" i="40" s="1"/>
  <c r="AR64" i="40" s="1"/>
  <c r="AS62" i="40" s="1"/>
  <c r="AS64" i="40" s="1"/>
  <c r="AT62" i="40" s="1"/>
  <c r="AT64" i="40" s="1"/>
  <c r="AU62" i="40" s="1"/>
  <c r="AU64" i="40" s="1"/>
  <c r="AV62" i="40" s="1"/>
  <c r="AV64" i="40" s="1"/>
  <c r="AW62" i="40" s="1"/>
  <c r="AW64" i="40" s="1"/>
  <c r="AX62" i="40" s="1"/>
  <c r="AX64" i="40" s="1"/>
  <c r="AY62" i="40" s="1"/>
  <c r="AY64" i="40" s="1"/>
  <c r="AZ62" i="40" s="1"/>
  <c r="AZ64" i="40" s="1"/>
  <c r="BA62" i="40" s="1"/>
  <c r="BA64" i="40" s="1"/>
  <c r="BB62" i="40" s="1"/>
  <c r="BB64" i="40" s="1"/>
  <c r="BC62" i="40" s="1"/>
  <c r="BC64" i="40" s="1"/>
  <c r="BD62" i="40" s="1"/>
  <c r="BD64" i="40" s="1"/>
  <c r="BE62" i="40" s="1"/>
  <c r="BE64" i="40" s="1"/>
  <c r="BF62" i="40" s="1"/>
  <c r="BF64" i="40" s="1"/>
  <c r="BG62" i="40" s="1"/>
  <c r="BG64" i="40" s="1"/>
  <c r="BH62" i="40" s="1"/>
  <c r="BH64" i="40" s="1"/>
  <c r="BI62" i="40" s="1"/>
  <c r="BI64" i="40" s="1"/>
  <c r="BJ62" i="40" s="1"/>
  <c r="BJ64" i="40" s="1"/>
  <c r="BK62" i="40" s="1"/>
  <c r="BK64" i="40" s="1"/>
  <c r="BL62" i="40" s="1"/>
  <c r="BL64" i="40" s="1"/>
  <c r="BM62" i="40" s="1"/>
  <c r="BM64" i="40" s="1"/>
  <c r="BN62" i="40" s="1"/>
  <c r="BN64" i="40" s="1"/>
  <c r="BO62" i="40" s="1"/>
  <c r="BO64" i="40" s="1"/>
  <c r="BP62" i="40" s="1"/>
  <c r="BP64" i="40" s="1"/>
  <c r="BQ62" i="40" s="1"/>
  <c r="BQ64" i="40" s="1"/>
  <c r="BR62" i="40" s="1"/>
  <c r="BR64" i="40" s="1"/>
  <c r="BS62" i="40" s="1"/>
  <c r="BS64" i="40" s="1"/>
  <c r="BT62" i="40" s="1"/>
  <c r="BT64" i="40" s="1"/>
  <c r="BU62" i="40" s="1"/>
  <c r="BU64" i="40" s="1"/>
  <c r="BV62" i="40" s="1"/>
  <c r="BV64" i="40" s="1"/>
  <c r="BW62" i="40" s="1"/>
  <c r="BW64" i="40" s="1"/>
  <c r="BX62" i="40" s="1"/>
  <c r="BX64" i="40" s="1"/>
  <c r="BY62" i="40" s="1"/>
  <c r="BY64" i="40" s="1"/>
  <c r="BZ62" i="40" s="1"/>
  <c r="BZ64" i="40" s="1"/>
  <c r="CA62" i="40" s="1"/>
  <c r="CA64" i="40" s="1"/>
  <c r="CB62" i="40" s="1"/>
  <c r="CB64" i="40" s="1"/>
  <c r="CC62" i="40" s="1"/>
  <c r="CC64" i="40" s="1"/>
  <c r="CD62" i="40" s="1"/>
  <c r="CD64" i="40" s="1"/>
  <c r="CE62" i="40" s="1"/>
  <c r="CE64" i="40" s="1"/>
  <c r="CF62" i="40" s="1"/>
  <c r="CF64" i="40" s="1"/>
  <c r="CG62" i="40" s="1"/>
  <c r="CG64" i="40" s="1"/>
  <c r="CH62" i="40" s="1"/>
  <c r="CH64" i="40" s="1"/>
  <c r="CI62" i="40" s="1"/>
  <c r="CI64" i="40" s="1"/>
  <c r="CJ62" i="40" s="1"/>
  <c r="CJ64" i="40" s="1"/>
  <c r="CK62" i="40" s="1"/>
  <c r="CK64" i="40" s="1"/>
  <c r="AO75" i="40"/>
  <c r="K7" i="40"/>
  <c r="K5" i="40"/>
  <c r="L4" i="40"/>
  <c r="L6" i="40"/>
  <c r="G67" i="6"/>
  <c r="K93" i="28"/>
  <c r="I98" i="28"/>
  <c r="J98" i="28"/>
  <c r="F63" i="15"/>
  <c r="F106" i="15" s="1"/>
  <c r="H64" i="10"/>
  <c r="H66" i="10" s="1"/>
  <c r="J64" i="10" s="1"/>
  <c r="J66" i="10" s="1"/>
  <c r="J77" i="10" s="1"/>
  <c r="L6" i="28"/>
  <c r="L93" i="28" s="1"/>
  <c r="L4" i="28"/>
  <c r="L6" i="24"/>
  <c r="L4" i="24"/>
  <c r="J46" i="3"/>
  <c r="L44" i="3"/>
  <c r="K45" i="3"/>
  <c r="F7" i="15"/>
  <c r="G7" i="15" s="1"/>
  <c r="L7" i="15"/>
  <c r="O47" i="34"/>
  <c r="O53" i="34" s="1"/>
  <c r="N53" i="34"/>
  <c r="K78" i="35"/>
  <c r="L43" i="35"/>
  <c r="L78" i="35" s="1"/>
  <c r="M43" i="35"/>
  <c r="BM99" i="24"/>
  <c r="BM100" i="24" s="1"/>
  <c r="K61" i="9"/>
  <c r="L114" i="8"/>
  <c r="L65" i="8"/>
  <c r="L107" i="8"/>
  <c r="BY99" i="24"/>
  <c r="BY100" i="24" s="1"/>
  <c r="M65" i="8"/>
  <c r="L61" i="9"/>
  <c r="M114" i="8"/>
  <c r="M107" i="8"/>
  <c r="K39" i="3"/>
  <c r="K40" i="3"/>
  <c r="K4" i="27"/>
  <c r="K1" i="27" s="1"/>
  <c r="L4" i="25"/>
  <c r="L1" i="25" s="1"/>
  <c r="L4" i="26"/>
  <c r="L1" i="26" s="1"/>
  <c r="L4" i="13"/>
  <c r="L1" i="13" s="1"/>
  <c r="L1" i="8"/>
  <c r="L4" i="14"/>
  <c r="L1" i="14" s="1"/>
  <c r="L4" i="16"/>
  <c r="CK99" i="24"/>
  <c r="CK100" i="24" s="1"/>
  <c r="N65" i="8"/>
  <c r="M61" i="9"/>
  <c r="N114" i="8"/>
  <c r="N107" i="8"/>
  <c r="L7" i="29"/>
  <c r="K7" i="30"/>
  <c r="L5" i="29"/>
  <c r="L5" i="22"/>
  <c r="K7" i="18"/>
  <c r="L7" i="22"/>
  <c r="K5" i="18"/>
  <c r="L7" i="21"/>
  <c r="L5" i="21"/>
  <c r="L7" i="9"/>
  <c r="L5" i="9"/>
  <c r="J40" i="33"/>
  <c r="H43" i="33"/>
  <c r="L5" i="26"/>
  <c r="K5" i="27"/>
  <c r="L5" i="25"/>
  <c r="L5" i="16"/>
  <c r="L5" i="14"/>
  <c r="L5" i="13"/>
  <c r="L4" i="29"/>
  <c r="K4" i="30"/>
  <c r="L6" i="29"/>
  <c r="K6" i="30"/>
  <c r="L4" i="22"/>
  <c r="L6" i="21"/>
  <c r="L4" i="21"/>
  <c r="K6" i="18"/>
  <c r="K4" i="18"/>
  <c r="L6" i="22"/>
  <c r="L6" i="9"/>
  <c r="L4" i="9"/>
  <c r="L7" i="26"/>
  <c r="K7" i="27"/>
  <c r="L7" i="25"/>
  <c r="L7" i="16"/>
  <c r="L7" i="14"/>
  <c r="L7" i="13"/>
  <c r="L33" i="3"/>
  <c r="L34" i="3"/>
  <c r="M5" i="10"/>
  <c r="M7" i="8"/>
  <c r="M5" i="8"/>
  <c r="M7" i="10"/>
  <c r="BA100" i="24"/>
  <c r="L112" i="15"/>
  <c r="L113" i="15" s="1"/>
  <c r="J61" i="9"/>
  <c r="K114" i="8"/>
  <c r="K107" i="8"/>
  <c r="K65" i="8"/>
  <c r="L10" i="15"/>
  <c r="F10" i="15"/>
  <c r="G10" i="15" s="1"/>
  <c r="K5" i="28"/>
  <c r="K7" i="28"/>
  <c r="K5" i="24"/>
  <c r="K7" i="24"/>
  <c r="K85" i="35"/>
  <c r="M4" i="10"/>
  <c r="M6" i="10"/>
  <c r="M4" i="8"/>
  <c r="M6" i="8"/>
  <c r="K6" i="27"/>
  <c r="L6" i="26"/>
  <c r="L6" i="25"/>
  <c r="L6" i="16"/>
  <c r="L6" i="13"/>
  <c r="L6" i="14"/>
  <c r="F84" i="35"/>
  <c r="F85" i="35" s="1"/>
  <c r="Q99" i="24"/>
  <c r="Q100" i="24" s="1"/>
  <c r="F65" i="8"/>
  <c r="F114" i="8"/>
  <c r="F107" i="8"/>
  <c r="F61" i="9"/>
  <c r="F62" i="9" s="1"/>
  <c r="F68" i="9" s="1"/>
  <c r="G65" i="8"/>
  <c r="P59" i="8"/>
  <c r="G32" i="13" l="1"/>
  <c r="J32" i="13"/>
  <c r="L7" i="40"/>
  <c r="L5" i="40"/>
  <c r="M4" i="40"/>
  <c r="M6" i="40"/>
  <c r="L96" i="28"/>
  <c r="L97" i="28"/>
  <c r="L95" i="28"/>
  <c r="K96" i="28"/>
  <c r="K97" i="28"/>
  <c r="K95" i="28"/>
  <c r="H67" i="6"/>
  <c r="H77" i="10"/>
  <c r="K64" i="10"/>
  <c r="K66" i="10" s="1"/>
  <c r="L64" i="10" s="1"/>
  <c r="L66" i="10" s="1"/>
  <c r="M4" i="28"/>
  <c r="M6" i="28"/>
  <c r="M6" i="24"/>
  <c r="M4" i="24"/>
  <c r="K46" i="3"/>
  <c r="M44" i="3"/>
  <c r="L45" i="3"/>
  <c r="L5" i="28"/>
  <c r="L7" i="28"/>
  <c r="L7" i="24"/>
  <c r="L5" i="24"/>
  <c r="M7" i="25"/>
  <c r="M7" i="26"/>
  <c r="L7" i="27"/>
  <c r="M7" i="16"/>
  <c r="M7" i="14"/>
  <c r="M7" i="13"/>
  <c r="L6" i="27"/>
  <c r="M6" i="25"/>
  <c r="M6" i="26"/>
  <c r="M6" i="16"/>
  <c r="M6" i="14"/>
  <c r="M6" i="13"/>
  <c r="G57" i="9"/>
  <c r="G62" i="9" s="1"/>
  <c r="L4" i="27"/>
  <c r="L1" i="27" s="1"/>
  <c r="M4" i="25"/>
  <c r="M1" i="25" s="1"/>
  <c r="M4" i="26"/>
  <c r="M1" i="26" s="1"/>
  <c r="M4" i="13"/>
  <c r="M1" i="13" s="1"/>
  <c r="M4" i="16"/>
  <c r="M4" i="14"/>
  <c r="M1" i="14" s="1"/>
  <c r="M1" i="8"/>
  <c r="N7" i="10"/>
  <c r="N5" i="10"/>
  <c r="N7" i="8"/>
  <c r="N5" i="8"/>
  <c r="L7" i="30"/>
  <c r="M5" i="29"/>
  <c r="M7" i="29"/>
  <c r="M5" i="21"/>
  <c r="M7" i="22"/>
  <c r="M7" i="21"/>
  <c r="L5" i="18"/>
  <c r="L7" i="18"/>
  <c r="M5" i="22"/>
  <c r="M5" i="9"/>
  <c r="M7" i="9"/>
  <c r="M5" i="25"/>
  <c r="M5" i="26"/>
  <c r="L5" i="27"/>
  <c r="M5" i="14"/>
  <c r="M5" i="16"/>
  <c r="M5" i="13"/>
  <c r="J43" i="33"/>
  <c r="J49" i="33" s="1"/>
  <c r="H49" i="33"/>
  <c r="N6" i="8"/>
  <c r="N4" i="10"/>
  <c r="N4" i="8"/>
  <c r="N6" i="10"/>
  <c r="L4" i="30"/>
  <c r="M6" i="29"/>
  <c r="L6" i="30"/>
  <c r="M4" i="29"/>
  <c r="L6" i="18"/>
  <c r="M6" i="22"/>
  <c r="M4" i="22"/>
  <c r="M6" i="21"/>
  <c r="M4" i="21"/>
  <c r="L4" i="18"/>
  <c r="M6" i="9"/>
  <c r="M4" i="9"/>
  <c r="L98" i="28" l="1"/>
  <c r="K98" i="28"/>
  <c r="N6" i="40"/>
  <c r="N4" i="40"/>
  <c r="M7" i="40"/>
  <c r="M5" i="40"/>
  <c r="I67" i="6"/>
  <c r="M93" i="28"/>
  <c r="K77" i="10"/>
  <c r="N4" i="28"/>
  <c r="N4" i="24"/>
  <c r="N6" i="24"/>
  <c r="N6" i="28"/>
  <c r="N93" i="28" s="1"/>
  <c r="L46" i="3"/>
  <c r="M4" i="27"/>
  <c r="M1" i="27" s="1"/>
  <c r="N4" i="26"/>
  <c r="N1" i="26" s="1"/>
  <c r="N4" i="25"/>
  <c r="N1" i="25" s="1"/>
  <c r="N4" i="16"/>
  <c r="N4" i="14"/>
  <c r="N1" i="14" s="1"/>
  <c r="N4" i="13"/>
  <c r="N1" i="13" s="1"/>
  <c r="N1" i="8"/>
  <c r="N5" i="25"/>
  <c r="N5" i="26"/>
  <c r="M5" i="27"/>
  <c r="N5" i="16"/>
  <c r="N5" i="14"/>
  <c r="N5" i="13"/>
  <c r="M45" i="3"/>
  <c r="N44" i="3"/>
  <c r="M7" i="28"/>
  <c r="M5" i="28"/>
  <c r="M5" i="24"/>
  <c r="M7" i="24"/>
  <c r="N7" i="25"/>
  <c r="N7" i="26"/>
  <c r="M7" i="27"/>
  <c r="N7" i="16"/>
  <c r="N7" i="14"/>
  <c r="N7" i="13"/>
  <c r="M6" i="27"/>
  <c r="N6" i="25"/>
  <c r="N6" i="26"/>
  <c r="N6" i="16"/>
  <c r="N6" i="14"/>
  <c r="N6" i="13"/>
  <c r="G68" i="9"/>
  <c r="H57" i="9"/>
  <c r="H62" i="9" s="1"/>
  <c r="L77" i="10"/>
  <c r="M64" i="10"/>
  <c r="M66" i="10" s="1"/>
  <c r="Q33" i="8" l="1"/>
  <c r="Q32" i="8"/>
  <c r="Q37" i="8"/>
  <c r="Q20" i="8"/>
  <c r="Q42" i="8"/>
  <c r="Q36" i="8"/>
  <c r="Q35" i="8"/>
  <c r="Q34" i="8"/>
  <c r="Q21" i="8"/>
  <c r="O6" i="40"/>
  <c r="O4" i="40"/>
  <c r="N7" i="40"/>
  <c r="N5" i="40"/>
  <c r="N95" i="28"/>
  <c r="N96" i="28"/>
  <c r="N97" i="28"/>
  <c r="M96" i="28"/>
  <c r="M97" i="28"/>
  <c r="M95" i="28"/>
  <c r="J67" i="6"/>
  <c r="Q11" i="25"/>
  <c r="Q10" i="25"/>
  <c r="Q12" i="25"/>
  <c r="Q9" i="25"/>
  <c r="Q13" i="25"/>
  <c r="Q10" i="26"/>
  <c r="Q18" i="26"/>
  <c r="Q9" i="26"/>
  <c r="Q15" i="26"/>
  <c r="Q23" i="26"/>
  <c r="Q11" i="26"/>
  <c r="Q12" i="26"/>
  <c r="Q17" i="26"/>
  <c r="Q16" i="26"/>
  <c r="Q24" i="26"/>
  <c r="Q13" i="26"/>
  <c r="Q22" i="26"/>
  <c r="Q19" i="26"/>
  <c r="Q25" i="26"/>
  <c r="Q21" i="26"/>
  <c r="P13" i="27"/>
  <c r="P17" i="27"/>
  <c r="P19" i="27"/>
  <c r="P10" i="27"/>
  <c r="P11" i="27"/>
  <c r="P16" i="27"/>
  <c r="P18" i="27"/>
  <c r="P12" i="27"/>
  <c r="P23" i="27"/>
  <c r="P24" i="27"/>
  <c r="P25" i="27"/>
  <c r="P22" i="27"/>
  <c r="N7" i="28"/>
  <c r="N5" i="28"/>
  <c r="N7" i="24"/>
  <c r="N5" i="24"/>
  <c r="N64" i="10"/>
  <c r="N66" i="10" s="1"/>
  <c r="N77" i="10" s="1"/>
  <c r="M77" i="10"/>
  <c r="N45" i="3"/>
  <c r="O44" i="3"/>
  <c r="Q19" i="8"/>
  <c r="Q28" i="8"/>
  <c r="Q31" i="8"/>
  <c r="Q41" i="8"/>
  <c r="Q45" i="8"/>
  <c r="Q52" i="8"/>
  <c r="Q58" i="8"/>
  <c r="Q22" i="8"/>
  <c r="Q25" i="8"/>
  <c r="Q38" i="8"/>
  <c r="Q46" i="8"/>
  <c r="Q49" i="8"/>
  <c r="Q53" i="8"/>
  <c r="Q9" i="8"/>
  <c r="Q27" i="8"/>
  <c r="Q30" i="8"/>
  <c r="Q40" i="8"/>
  <c r="Q44" i="8"/>
  <c r="Q51" i="8"/>
  <c r="Q57" i="8"/>
  <c r="Q54" i="8"/>
  <c r="Q26" i="8"/>
  <c r="Q47" i="8"/>
  <c r="Q23" i="8"/>
  <c r="Q39" i="8"/>
  <c r="Q50" i="8"/>
  <c r="Q55" i="8"/>
  <c r="Q24" i="8"/>
  <c r="Q29" i="8"/>
  <c r="Q43" i="8"/>
  <c r="Q48" i="8"/>
  <c r="Q56" i="8"/>
  <c r="Q59" i="8"/>
  <c r="I57" i="9"/>
  <c r="I62" i="9" s="1"/>
  <c r="H68" i="9"/>
  <c r="O6" i="28"/>
  <c r="O4" i="28"/>
  <c r="O4" i="24"/>
  <c r="O6" i="24"/>
  <c r="M46" i="3"/>
  <c r="Q13" i="13"/>
  <c r="Q20" i="13"/>
  <c r="Q14" i="13"/>
  <c r="Q21" i="13"/>
  <c r="Q9" i="13"/>
  <c r="Q19" i="13"/>
  <c r="Q22" i="13"/>
  <c r="Q15" i="13"/>
  <c r="Q24" i="13"/>
  <c r="Q10" i="14"/>
  <c r="Q13" i="14"/>
  <c r="Q17" i="14"/>
  <c r="Q11" i="14"/>
  <c r="Q14" i="14"/>
  <c r="Q18" i="14"/>
  <c r="Q9" i="14"/>
  <c r="Q21" i="14"/>
  <c r="Q16" i="14"/>
  <c r="Q20" i="14"/>
  <c r="Q19" i="14"/>
  <c r="Q12" i="14"/>
  <c r="Q15" i="14"/>
  <c r="Q22" i="14"/>
  <c r="M98" i="28" l="1"/>
  <c r="P6" i="40"/>
  <c r="P4" i="40"/>
  <c r="O7" i="40"/>
  <c r="O5" i="40"/>
  <c r="K67" i="6"/>
  <c r="O93" i="28"/>
  <c r="N98" i="28"/>
  <c r="O7" i="28"/>
  <c r="O5" i="28"/>
  <c r="O7" i="24"/>
  <c r="O5" i="24"/>
  <c r="P44" i="3"/>
  <c r="O45" i="3"/>
  <c r="P6" i="28"/>
  <c r="P4" i="28"/>
  <c r="P4" i="24"/>
  <c r="P6" i="24"/>
  <c r="N46" i="3"/>
  <c r="J57" i="9"/>
  <c r="J62" i="9" s="1"/>
  <c r="I68" i="9"/>
  <c r="P7" i="40" l="1"/>
  <c r="P5" i="40"/>
  <c r="Q6" i="40"/>
  <c r="Q4" i="40"/>
  <c r="L67" i="6"/>
  <c r="P93" i="28"/>
  <c r="O96" i="28"/>
  <c r="O97" i="28"/>
  <c r="O95" i="28"/>
  <c r="Q4" i="28"/>
  <c r="Q6" i="28"/>
  <c r="Q4" i="24"/>
  <c r="Q6" i="24"/>
  <c r="O46" i="3"/>
  <c r="Q44" i="3"/>
  <c r="P45" i="3"/>
  <c r="K57" i="9"/>
  <c r="K62" i="9" s="1"/>
  <c r="P5" i="28"/>
  <c r="P7" i="28"/>
  <c r="P7" i="24"/>
  <c r="P5" i="24"/>
  <c r="O98" i="28" l="1"/>
  <c r="R6" i="40"/>
  <c r="R4" i="40"/>
  <c r="Q5" i="40"/>
  <c r="Q7" i="40"/>
  <c r="M67" i="6"/>
  <c r="Q93" i="28"/>
  <c r="P96" i="28"/>
  <c r="P97" i="28"/>
  <c r="P95" i="28"/>
  <c r="L57" i="9"/>
  <c r="L62" i="9" s="1"/>
  <c r="Q5" i="28"/>
  <c r="Q7" i="28"/>
  <c r="Q5" i="24"/>
  <c r="Q7" i="24"/>
  <c r="R6" i="28"/>
  <c r="R4" i="24"/>
  <c r="R6" i="24"/>
  <c r="R4" i="28"/>
  <c r="P46" i="3"/>
  <c r="R44" i="3"/>
  <c r="Q45" i="3"/>
  <c r="S6" i="40" l="1"/>
  <c r="S4" i="40"/>
  <c r="R5" i="40"/>
  <c r="R7" i="40"/>
  <c r="P98" i="28"/>
  <c r="N67" i="6"/>
  <c r="R93" i="28"/>
  <c r="Q95" i="28"/>
  <c r="Q97" i="28"/>
  <c r="S4" i="28"/>
  <c r="S6" i="28"/>
  <c r="S6" i="24"/>
  <c r="S4" i="24"/>
  <c r="Q46" i="3"/>
  <c r="R5" i="28"/>
  <c r="R7" i="28"/>
  <c r="R5" i="24"/>
  <c r="R7" i="24"/>
  <c r="S44" i="3"/>
  <c r="R45" i="3"/>
  <c r="M57" i="9"/>
  <c r="M62" i="9" s="1"/>
  <c r="T4" i="40" l="1"/>
  <c r="T6" i="40"/>
  <c r="S7" i="40"/>
  <c r="S5" i="40"/>
  <c r="O67" i="6"/>
  <c r="S93" i="28"/>
  <c r="Q98" i="28"/>
  <c r="R95" i="28"/>
  <c r="R97" i="28"/>
  <c r="S5" i="28"/>
  <c r="S7" i="28"/>
  <c r="S5" i="24"/>
  <c r="S7" i="24"/>
  <c r="T6" i="28"/>
  <c r="T4" i="28"/>
  <c r="T6" i="24"/>
  <c r="T4" i="24"/>
  <c r="R46" i="3"/>
  <c r="T44" i="3"/>
  <c r="S45" i="3"/>
  <c r="U4" i="40" l="1"/>
  <c r="U6" i="40"/>
  <c r="T5" i="40"/>
  <c r="T7" i="40"/>
  <c r="P67" i="6"/>
  <c r="T93" i="28"/>
  <c r="R98" i="28"/>
  <c r="S97" i="28"/>
  <c r="S95" i="28"/>
  <c r="U4" i="28"/>
  <c r="U6" i="28"/>
  <c r="U6" i="24"/>
  <c r="U4" i="24"/>
  <c r="S46" i="3"/>
  <c r="U44" i="3"/>
  <c r="T45" i="3"/>
  <c r="T5" i="28"/>
  <c r="T7" i="28"/>
  <c r="T5" i="24"/>
  <c r="T7" i="24"/>
  <c r="V6" i="40" l="1"/>
  <c r="V4" i="40"/>
  <c r="U5" i="40"/>
  <c r="U7" i="40"/>
  <c r="Q67" i="6"/>
  <c r="U93" i="28"/>
  <c r="S98" i="28"/>
  <c r="T97" i="28"/>
  <c r="T95" i="28"/>
  <c r="V4" i="28"/>
  <c r="V6" i="28"/>
  <c r="V4" i="24"/>
  <c r="V6" i="24"/>
  <c r="T46" i="3"/>
  <c r="U45" i="3"/>
  <c r="V44" i="3"/>
  <c r="U7" i="28"/>
  <c r="U5" i="28"/>
  <c r="U5" i="24"/>
  <c r="U7" i="24"/>
  <c r="W6" i="40" l="1"/>
  <c r="W4" i="40"/>
  <c r="V7" i="40"/>
  <c r="V5" i="40"/>
  <c r="R67" i="6"/>
  <c r="V93" i="28"/>
  <c r="T98" i="28"/>
  <c r="U97" i="28"/>
  <c r="U95" i="28"/>
  <c r="V7" i="28"/>
  <c r="V5" i="28"/>
  <c r="V7" i="24"/>
  <c r="V5" i="24"/>
  <c r="V45" i="3"/>
  <c r="W44" i="3"/>
  <c r="W6" i="28"/>
  <c r="W4" i="28"/>
  <c r="W4" i="24"/>
  <c r="W6" i="24"/>
  <c r="U46" i="3"/>
  <c r="W7" i="40" l="1"/>
  <c r="W5" i="40"/>
  <c r="X6" i="40"/>
  <c r="X4" i="40"/>
  <c r="U98" i="28"/>
  <c r="V97" i="28"/>
  <c r="V95" i="28"/>
  <c r="S67" i="6"/>
  <c r="W93" i="28"/>
  <c r="X44" i="3"/>
  <c r="W45" i="3"/>
  <c r="X4" i="28"/>
  <c r="X6" i="28"/>
  <c r="X4" i="24"/>
  <c r="X6" i="24"/>
  <c r="V46" i="3"/>
  <c r="W5" i="28"/>
  <c r="W7" i="28"/>
  <c r="W7" i="24"/>
  <c r="W5" i="24"/>
  <c r="X7" i="40" l="1"/>
  <c r="X5" i="40"/>
  <c r="Y6" i="40"/>
  <c r="Y4" i="40"/>
  <c r="T67" i="6"/>
  <c r="X93" i="28"/>
  <c r="W95" i="28"/>
  <c r="W97" i="28"/>
  <c r="V98" i="28"/>
  <c r="Y4" i="28"/>
  <c r="Y6" i="28"/>
  <c r="Y6" i="24"/>
  <c r="Y4" i="24"/>
  <c r="W46" i="3"/>
  <c r="X5" i="28"/>
  <c r="X7" i="28"/>
  <c r="X7" i="24"/>
  <c r="X5" i="24"/>
  <c r="Y44" i="3"/>
  <c r="X45" i="3"/>
  <c r="Y7" i="40" l="1"/>
  <c r="Y5" i="40"/>
  <c r="Z6" i="40"/>
  <c r="Z4" i="40"/>
  <c r="U67" i="6"/>
  <c r="Y93" i="28"/>
  <c r="W98" i="28"/>
  <c r="X97" i="28"/>
  <c r="X95" i="28"/>
  <c r="Y5" i="28"/>
  <c r="Y7" i="28"/>
  <c r="Y5" i="24"/>
  <c r="Y7" i="24"/>
  <c r="Z6" i="28"/>
  <c r="Z4" i="28"/>
  <c r="Z4" i="24"/>
  <c r="Z6" i="24"/>
  <c r="X46" i="3"/>
  <c r="Z44" i="3"/>
  <c r="Y45" i="3"/>
  <c r="X98" i="28" l="1"/>
  <c r="AA6" i="40"/>
  <c r="AA4" i="40"/>
  <c r="Z7" i="40"/>
  <c r="Z5" i="40"/>
  <c r="V67" i="6"/>
  <c r="Z93" i="28"/>
  <c r="Y97" i="28"/>
  <c r="Y95" i="28"/>
  <c r="AA6" i="28"/>
  <c r="AA4" i="28"/>
  <c r="AA6" i="24"/>
  <c r="AA4" i="24"/>
  <c r="Y46" i="3"/>
  <c r="AA44" i="3"/>
  <c r="Z45" i="3"/>
  <c r="Z5" i="28"/>
  <c r="Z7" i="28"/>
  <c r="Z5" i="24"/>
  <c r="Z7" i="24"/>
  <c r="Y98" i="28" l="1"/>
  <c r="AB6" i="40"/>
  <c r="AB4" i="40"/>
  <c r="AA7" i="40"/>
  <c r="AA5" i="40"/>
  <c r="W67" i="6"/>
  <c r="AA93" i="28"/>
  <c r="Z97" i="28"/>
  <c r="Z95" i="28"/>
  <c r="AA5" i="28"/>
  <c r="AA7" i="28"/>
  <c r="AA5" i="24"/>
  <c r="AA7" i="24"/>
  <c r="AB6" i="28"/>
  <c r="AB4" i="28"/>
  <c r="AB6" i="24"/>
  <c r="AB4" i="24"/>
  <c r="Z46" i="3"/>
  <c r="AB44" i="3"/>
  <c r="AA45" i="3"/>
  <c r="Z98" i="28" l="1"/>
  <c r="AC6" i="40"/>
  <c r="AC4" i="40"/>
  <c r="AB7" i="40"/>
  <c r="AB5" i="40"/>
  <c r="X67" i="6"/>
  <c r="AB93" i="28"/>
  <c r="AA95" i="28"/>
  <c r="AA97" i="28"/>
  <c r="AC4" i="28"/>
  <c r="AC6" i="28"/>
  <c r="AC6" i="24"/>
  <c r="AC4" i="24"/>
  <c r="AA46" i="3"/>
  <c r="AC44" i="3"/>
  <c r="AB45" i="3"/>
  <c r="AB5" i="28"/>
  <c r="AB7" i="28"/>
  <c r="AB7" i="24"/>
  <c r="AB5" i="24"/>
  <c r="AD6" i="40" l="1"/>
  <c r="AD4" i="40"/>
  <c r="AC7" i="40"/>
  <c r="AC5" i="40"/>
  <c r="Y67" i="6"/>
  <c r="AC93" i="28"/>
  <c r="AA98" i="28"/>
  <c r="AB95" i="28"/>
  <c r="AB97" i="28"/>
  <c r="AD4" i="28"/>
  <c r="AD6" i="28"/>
  <c r="AD4" i="24"/>
  <c r="AD6" i="24"/>
  <c r="AB46" i="3"/>
  <c r="AC45" i="3"/>
  <c r="AD44" i="3"/>
  <c r="AC7" i="28"/>
  <c r="AC5" i="28"/>
  <c r="AC5" i="24"/>
  <c r="AC7" i="24"/>
  <c r="AE4" i="40" l="1"/>
  <c r="AE6" i="40"/>
  <c r="AD7" i="40"/>
  <c r="AD5" i="40"/>
  <c r="Z67" i="6"/>
  <c r="AD93" i="28"/>
  <c r="AB98" i="28"/>
  <c r="AC95" i="28"/>
  <c r="AC97" i="28"/>
  <c r="AD7" i="28"/>
  <c r="AD5" i="28"/>
  <c r="AD7" i="24"/>
  <c r="AD5" i="24"/>
  <c r="AD45" i="3"/>
  <c r="AE44" i="3"/>
  <c r="AE6" i="28"/>
  <c r="AE4" i="28"/>
  <c r="AE4" i="24"/>
  <c r="AE6" i="24"/>
  <c r="AC46" i="3"/>
  <c r="AE7" i="40" l="1"/>
  <c r="AE5" i="40"/>
  <c r="AC98" i="28"/>
  <c r="AF6" i="40"/>
  <c r="AF4" i="40"/>
  <c r="AD95" i="28"/>
  <c r="AD97" i="28"/>
  <c r="AA67" i="6"/>
  <c r="AE93" i="28"/>
  <c r="AF4" i="28"/>
  <c r="AF6" i="28"/>
  <c r="AF4" i="24"/>
  <c r="AF6" i="24"/>
  <c r="AD46" i="3"/>
  <c r="AF44" i="3"/>
  <c r="AE45" i="3"/>
  <c r="AE7" i="28"/>
  <c r="AE5" i="28"/>
  <c r="AE7" i="24"/>
  <c r="AE5" i="24"/>
  <c r="AF7" i="40" l="1"/>
  <c r="AF5" i="40"/>
  <c r="AG6" i="40"/>
  <c r="AG4" i="40"/>
  <c r="AB67" i="6"/>
  <c r="AF93" i="28"/>
  <c r="AE97" i="28"/>
  <c r="AE95" i="28"/>
  <c r="AD98" i="28"/>
  <c r="AG4" i="28"/>
  <c r="AG6" i="28"/>
  <c r="AG6" i="24"/>
  <c r="AG4" i="24"/>
  <c r="AE46" i="3"/>
  <c r="AF5" i="28"/>
  <c r="AF7" i="28"/>
  <c r="AF7" i="24"/>
  <c r="AF5" i="24"/>
  <c r="AG44" i="3"/>
  <c r="AF45" i="3"/>
  <c r="AE98" i="28" l="1"/>
  <c r="AH6" i="40"/>
  <c r="AH4" i="40"/>
  <c r="AG7" i="40"/>
  <c r="AG5" i="40"/>
  <c r="AF97" i="28"/>
  <c r="AF95" i="28"/>
  <c r="AC67" i="6"/>
  <c r="AG93" i="28"/>
  <c r="AH6" i="28"/>
  <c r="AH4" i="28"/>
  <c r="AH4" i="24"/>
  <c r="AH6" i="24"/>
  <c r="AF46" i="3"/>
  <c r="AG5" i="28"/>
  <c r="AG7" i="28"/>
  <c r="AG5" i="24"/>
  <c r="AG7" i="24"/>
  <c r="AH44" i="3"/>
  <c r="AG45" i="3"/>
  <c r="AI6" i="40" l="1"/>
  <c r="AI4" i="40"/>
  <c r="AH7" i="40"/>
  <c r="AH5" i="40"/>
  <c r="AD67" i="6"/>
  <c r="AH93" i="28"/>
  <c r="AG95" i="28"/>
  <c r="AG97" i="28"/>
  <c r="AF98" i="28"/>
  <c r="AH7" i="28"/>
  <c r="AH5" i="28"/>
  <c r="AH5" i="24"/>
  <c r="AH7" i="24"/>
  <c r="AI6" i="28"/>
  <c r="AI4" i="28"/>
  <c r="AI6" i="24"/>
  <c r="AI4" i="24"/>
  <c r="AG46" i="3"/>
  <c r="AI44" i="3"/>
  <c r="AH45" i="3"/>
  <c r="AJ6" i="40" l="1"/>
  <c r="AJ4" i="40"/>
  <c r="AG98" i="28"/>
  <c r="AI7" i="40"/>
  <c r="AI5" i="40"/>
  <c r="AE67" i="6"/>
  <c r="AI93" i="28"/>
  <c r="AH97" i="28"/>
  <c r="AH95" i="28"/>
  <c r="AI7" i="28"/>
  <c r="AI5" i="28"/>
  <c r="AI5" i="24"/>
  <c r="AI7" i="24"/>
  <c r="AJ6" i="28"/>
  <c r="AJ4" i="28"/>
  <c r="AJ6" i="24"/>
  <c r="AJ4" i="24"/>
  <c r="AH46" i="3"/>
  <c r="AJ44" i="3"/>
  <c r="AI45" i="3"/>
  <c r="AJ93" i="28" l="1"/>
  <c r="AF67" i="6"/>
  <c r="AH98" i="28"/>
  <c r="AJ7" i="40"/>
  <c r="AJ5" i="40"/>
  <c r="AK6" i="40"/>
  <c r="AK4" i="40"/>
  <c r="AJ97" i="28"/>
  <c r="AJ95" i="28"/>
  <c r="AI97" i="28"/>
  <c r="AI95" i="28"/>
  <c r="AK4" i="28"/>
  <c r="AK6" i="28"/>
  <c r="AK6" i="24"/>
  <c r="AK4" i="24"/>
  <c r="AI46" i="3"/>
  <c r="AK44" i="3"/>
  <c r="AJ45" i="3"/>
  <c r="AJ5" i="28"/>
  <c r="AJ7" i="28"/>
  <c r="AJ7" i="24"/>
  <c r="AJ5" i="24"/>
  <c r="AJ98" i="28" l="1"/>
  <c r="AK93" i="28"/>
  <c r="AG67" i="6"/>
  <c r="AL6" i="40"/>
  <c r="AL4" i="40"/>
  <c r="AK7" i="40"/>
  <c r="AK5" i="40"/>
  <c r="AK97" i="28"/>
  <c r="AK95" i="28"/>
  <c r="AI98" i="28"/>
  <c r="AL4" i="28"/>
  <c r="AL6" i="28"/>
  <c r="AL4" i="24"/>
  <c r="AL6" i="24"/>
  <c r="AJ46" i="3"/>
  <c r="AK45" i="3"/>
  <c r="AL44" i="3"/>
  <c r="AK5" i="28"/>
  <c r="AK7" i="28"/>
  <c r="AK5" i="24"/>
  <c r="AK7" i="24"/>
  <c r="AL93" i="28" l="1"/>
  <c r="AH67" i="6"/>
  <c r="AK98" i="28"/>
  <c r="AM6" i="40"/>
  <c r="AM4" i="40"/>
  <c r="AL7" i="40"/>
  <c r="AL5" i="40"/>
  <c r="AL97" i="28"/>
  <c r="AL95" i="28"/>
  <c r="AL45" i="3"/>
  <c r="AM44" i="3"/>
  <c r="AM4" i="28"/>
  <c r="AM6" i="28"/>
  <c r="AM4" i="24"/>
  <c r="AM6" i="24"/>
  <c r="AK46" i="3"/>
  <c r="AL5" i="28"/>
  <c r="AL7" i="28"/>
  <c r="AL7" i="24"/>
  <c r="AL5" i="24"/>
  <c r="AL98" i="28" l="1"/>
  <c r="AM93" i="28"/>
  <c r="AI67" i="6"/>
  <c r="AM7" i="40"/>
  <c r="AM5" i="40"/>
  <c r="AN6" i="40"/>
  <c r="AN4" i="40"/>
  <c r="AM97" i="28"/>
  <c r="AM95" i="28"/>
  <c r="AM5" i="28"/>
  <c r="AM7" i="28"/>
  <c r="AM7" i="24"/>
  <c r="AM5" i="24"/>
  <c r="AN44" i="3"/>
  <c r="AM45" i="3"/>
  <c r="AN4" i="28"/>
  <c r="AN6" i="28"/>
  <c r="AN4" i="24"/>
  <c r="AN6" i="24"/>
  <c r="AL46" i="3"/>
  <c r="AM98" i="28" l="1"/>
  <c r="AN93" i="28"/>
  <c r="AJ67" i="6"/>
  <c r="AN7" i="40"/>
  <c r="AN5" i="40"/>
  <c r="AO6" i="40"/>
  <c r="AO4" i="40"/>
  <c r="AN95" i="28"/>
  <c r="AN97" i="28"/>
  <c r="AN5" i="28"/>
  <c r="AN7" i="28"/>
  <c r="AN7" i="24"/>
  <c r="AN5" i="24"/>
  <c r="AO44" i="3"/>
  <c r="AN45" i="3"/>
  <c r="AO4" i="28"/>
  <c r="AO6" i="28"/>
  <c r="AO4" i="24"/>
  <c r="AO6" i="24"/>
  <c r="AM46" i="3"/>
  <c r="AO93" i="28" l="1"/>
  <c r="AO97" i="28" s="1"/>
  <c r="AK67" i="6"/>
  <c r="AO7" i="40"/>
  <c r="AO5" i="40"/>
  <c r="AP6" i="40"/>
  <c r="AP4" i="40"/>
  <c r="AN98" i="28"/>
  <c r="AP6" i="28"/>
  <c r="AP4" i="28"/>
  <c r="AP4" i="24"/>
  <c r="AP6" i="24"/>
  <c r="AN46" i="3"/>
  <c r="AP44" i="3"/>
  <c r="AO45" i="3"/>
  <c r="AO5" i="28"/>
  <c r="AO7" i="28"/>
  <c r="AO5" i="24"/>
  <c r="AO7" i="24"/>
  <c r="AO95" i="28" l="1"/>
  <c r="AP93" i="28"/>
  <c r="AL67" i="6"/>
  <c r="AQ6" i="40"/>
  <c r="AQ4" i="40"/>
  <c r="AP7" i="40"/>
  <c r="AP5" i="40"/>
  <c r="AP95" i="28"/>
  <c r="AP97" i="28"/>
  <c r="AQ6" i="28"/>
  <c r="AQ4" i="28"/>
  <c r="AQ6" i="24"/>
  <c r="AQ4" i="24"/>
  <c r="AO46" i="3"/>
  <c r="AQ44" i="3"/>
  <c r="AP45" i="3"/>
  <c r="AP5" i="28"/>
  <c r="AP7" i="28"/>
  <c r="AP5" i="24"/>
  <c r="AP7" i="24"/>
  <c r="AO98" i="28" l="1"/>
  <c r="AQ93" i="28"/>
  <c r="AM67" i="6"/>
  <c r="AP98" i="28"/>
  <c r="AQ5" i="40"/>
  <c r="AQ7" i="40"/>
  <c r="AR6" i="40"/>
  <c r="AR4" i="40"/>
  <c r="AQ97" i="28"/>
  <c r="AQ95" i="28"/>
  <c r="AQ5" i="28"/>
  <c r="AQ7" i="28"/>
  <c r="AQ5" i="24"/>
  <c r="AQ7" i="24"/>
  <c r="AR4" i="28"/>
  <c r="AR6" i="28"/>
  <c r="AR6" i="24"/>
  <c r="AR4" i="24"/>
  <c r="AP46" i="3"/>
  <c r="AR44" i="3"/>
  <c r="AQ45" i="3"/>
  <c r="AR93" i="28" l="1"/>
  <c r="AN67" i="6"/>
  <c r="AR7" i="40"/>
  <c r="AR5" i="40"/>
  <c r="AS6" i="40"/>
  <c r="AS4" i="40"/>
  <c r="AR95" i="28"/>
  <c r="AR97" i="28"/>
  <c r="AQ98" i="28"/>
  <c r="AS44" i="3"/>
  <c r="AR45" i="3"/>
  <c r="AS4" i="28"/>
  <c r="AS6" i="28"/>
  <c r="AS6" i="24"/>
  <c r="AS4" i="24"/>
  <c r="AQ46" i="3"/>
  <c r="AR5" i="28"/>
  <c r="AR7" i="28"/>
  <c r="AR7" i="24"/>
  <c r="AR5" i="24"/>
  <c r="AS93" i="28" l="1"/>
  <c r="AO67" i="6"/>
  <c r="AS7" i="40"/>
  <c r="AS5" i="40"/>
  <c r="AT6" i="40"/>
  <c r="AT4" i="40"/>
  <c r="AS97" i="28"/>
  <c r="AS95" i="28"/>
  <c r="AR98" i="28"/>
  <c r="AS7" i="28"/>
  <c r="AS5" i="28"/>
  <c r="AS5" i="24"/>
  <c r="AS7" i="24"/>
  <c r="AT4" i="28"/>
  <c r="AT6" i="28"/>
  <c r="AT4" i="24"/>
  <c r="AT6" i="24"/>
  <c r="AR46" i="3"/>
  <c r="AS45" i="3"/>
  <c r="AT44" i="3"/>
  <c r="AT93" i="28" l="1"/>
  <c r="AP67" i="6"/>
  <c r="AS98" i="28"/>
  <c r="AT7" i="40"/>
  <c r="AT5" i="40"/>
  <c r="AU6" i="40"/>
  <c r="AU4" i="40"/>
  <c r="AT97" i="28"/>
  <c r="AT95" i="28"/>
  <c r="AT7" i="28"/>
  <c r="AT5" i="28"/>
  <c r="AT7" i="24"/>
  <c r="AT5" i="24"/>
  <c r="AT45" i="3"/>
  <c r="AU44" i="3"/>
  <c r="AU4" i="28"/>
  <c r="AU6" i="28"/>
  <c r="AU4" i="24"/>
  <c r="AU6" i="24"/>
  <c r="AS46" i="3"/>
  <c r="AU93" i="28" l="1"/>
  <c r="AQ67" i="6"/>
  <c r="AT98" i="28"/>
  <c r="AV6" i="40"/>
  <c r="AV4" i="40"/>
  <c r="AU5" i="40"/>
  <c r="AU7" i="40"/>
  <c r="AU97" i="28"/>
  <c r="AU95" i="28"/>
  <c r="AV44" i="3"/>
  <c r="AU45" i="3"/>
  <c r="AV4" i="28"/>
  <c r="AV6" i="28"/>
  <c r="AV4" i="24"/>
  <c r="AV6" i="24"/>
  <c r="AT46" i="3"/>
  <c r="AU7" i="28"/>
  <c r="AU7" i="24"/>
  <c r="AU5" i="28"/>
  <c r="AU5" i="24"/>
  <c r="AU98" i="28" l="1"/>
  <c r="AV93" i="28"/>
  <c r="AR67" i="6"/>
  <c r="AW4" i="40"/>
  <c r="AW6" i="40"/>
  <c r="AV5" i="40"/>
  <c r="AV7" i="40"/>
  <c r="AV97" i="28"/>
  <c r="AV95" i="28"/>
  <c r="AW4" i="28"/>
  <c r="AW6" i="28"/>
  <c r="AW4" i="24"/>
  <c r="AW6" i="24"/>
  <c r="AU46" i="3"/>
  <c r="AV5" i="28"/>
  <c r="AV7" i="28"/>
  <c r="AV7" i="24"/>
  <c r="AV5" i="24"/>
  <c r="AW44" i="3"/>
  <c r="AV45" i="3"/>
  <c r="AW93" i="28" l="1"/>
  <c r="AS67" i="6"/>
  <c r="AV98" i="28"/>
  <c r="AW5" i="40"/>
  <c r="AW7" i="40"/>
  <c r="AX4" i="40"/>
  <c r="AX6" i="40"/>
  <c r="AW97" i="28"/>
  <c r="AW95" i="28"/>
  <c r="AW5" i="28"/>
  <c r="AW7" i="28"/>
  <c r="AW5" i="24"/>
  <c r="AW7" i="24"/>
  <c r="AX6" i="28"/>
  <c r="AX4" i="28"/>
  <c r="AX4" i="24"/>
  <c r="AX6" i="24"/>
  <c r="AV46" i="3"/>
  <c r="AX44" i="3"/>
  <c r="AW45" i="3"/>
  <c r="AX93" i="28" l="1"/>
  <c r="AT67" i="6"/>
  <c r="AW98" i="28"/>
  <c r="AY6" i="40"/>
  <c r="AY4" i="40"/>
  <c r="AX5" i="40"/>
  <c r="AX7" i="40"/>
  <c r="AY6" i="28"/>
  <c r="AY4" i="28"/>
  <c r="AY6" i="24"/>
  <c r="AY4" i="24"/>
  <c r="AW46" i="3"/>
  <c r="AY44" i="3"/>
  <c r="AX45" i="3"/>
  <c r="AX5" i="28"/>
  <c r="AX7" i="28"/>
  <c r="AX5" i="24"/>
  <c r="AX7" i="24"/>
  <c r="AX97" i="28" l="1"/>
  <c r="AX96" i="28"/>
  <c r="AX95" i="28"/>
  <c r="AY93" i="28"/>
  <c r="AU67" i="6"/>
  <c r="AZ4" i="40"/>
  <c r="AZ6" i="40"/>
  <c r="AY7" i="40"/>
  <c r="AY5" i="40"/>
  <c r="AY96" i="28"/>
  <c r="AY95" i="28"/>
  <c r="AY97" i="28"/>
  <c r="AY5" i="28"/>
  <c r="AY7" i="28"/>
  <c r="AY5" i="24"/>
  <c r="AY7" i="24"/>
  <c r="AZ44" i="3"/>
  <c r="AY45" i="3"/>
  <c r="AZ6" i="28"/>
  <c r="AZ4" i="28"/>
  <c r="AZ6" i="24"/>
  <c r="AZ4" i="24"/>
  <c r="AX46" i="3"/>
  <c r="AX98" i="28" l="1"/>
  <c r="AZ93" i="28"/>
  <c r="AV67" i="6"/>
  <c r="AZ7" i="40"/>
  <c r="AZ5" i="40"/>
  <c r="BA6" i="40"/>
  <c r="BA4" i="40"/>
  <c r="AZ95" i="28"/>
  <c r="AZ96" i="28"/>
  <c r="AZ97" i="28"/>
  <c r="AY98" i="28"/>
  <c r="BA4" i="28"/>
  <c r="BA6" i="28"/>
  <c r="BA93" i="28" s="1"/>
  <c r="BA6" i="24"/>
  <c r="BA4" i="24"/>
  <c r="AY46" i="3"/>
  <c r="BA44" i="3"/>
  <c r="AZ45" i="3"/>
  <c r="AZ5" i="28"/>
  <c r="AZ7" i="28"/>
  <c r="AZ5" i="24"/>
  <c r="AZ7" i="24"/>
  <c r="BB6" i="40" l="1"/>
  <c r="BB4" i="40"/>
  <c r="BA7" i="40"/>
  <c r="BA5" i="40"/>
  <c r="BA95" i="28"/>
  <c r="BA96" i="28"/>
  <c r="BA97" i="28"/>
  <c r="AZ98" i="28"/>
  <c r="BA7" i="28"/>
  <c r="BA5" i="28"/>
  <c r="BA5" i="24"/>
  <c r="BA7" i="24"/>
  <c r="BB4" i="28"/>
  <c r="BB6" i="28"/>
  <c r="BB93" i="28" s="1"/>
  <c r="BB4" i="24"/>
  <c r="BB6" i="24"/>
  <c r="AZ46" i="3"/>
  <c r="BA45" i="3"/>
  <c r="BB44" i="3"/>
  <c r="BC4" i="40" l="1"/>
  <c r="BC6" i="40"/>
  <c r="BB7" i="40"/>
  <c r="BB5" i="40"/>
  <c r="BB95" i="28"/>
  <c r="BB97" i="28"/>
  <c r="BB96" i="28"/>
  <c r="BA98" i="28"/>
  <c r="BC6" i="28"/>
  <c r="BC93" i="28" s="1"/>
  <c r="BC4" i="28"/>
  <c r="BC4" i="24"/>
  <c r="BC6" i="24"/>
  <c r="BA46" i="3"/>
  <c r="BB45" i="3"/>
  <c r="BC44" i="3"/>
  <c r="BB7" i="28"/>
  <c r="BB5" i="28"/>
  <c r="BB7" i="24"/>
  <c r="BB5" i="24"/>
  <c r="BB98" i="28" l="1"/>
  <c r="BD6" i="40"/>
  <c r="BD4" i="40"/>
  <c r="BC7" i="40"/>
  <c r="BC5" i="40"/>
  <c r="BC97" i="28"/>
  <c r="BC95" i="28"/>
  <c r="BC96" i="28"/>
  <c r="BD44" i="3"/>
  <c r="BC45" i="3"/>
  <c r="BD6" i="28"/>
  <c r="BD93" i="28" s="1"/>
  <c r="BD4" i="28"/>
  <c r="BD4" i="24"/>
  <c r="BD6" i="24"/>
  <c r="BB46" i="3"/>
  <c r="BC7" i="28"/>
  <c r="BC5" i="28"/>
  <c r="BC7" i="24"/>
  <c r="BC5" i="24"/>
  <c r="BC98" i="28" l="1"/>
  <c r="BE6" i="40"/>
  <c r="BE4" i="40"/>
  <c r="BD7" i="40"/>
  <c r="BD5" i="40"/>
  <c r="BD96" i="28"/>
  <c r="BD95" i="28"/>
  <c r="BD97" i="28"/>
  <c r="BE4" i="28"/>
  <c r="BE6" i="28"/>
  <c r="BE93" i="28" s="1"/>
  <c r="BE6" i="24"/>
  <c r="BE4" i="24"/>
  <c r="BC46" i="3"/>
  <c r="BD5" i="28"/>
  <c r="BD7" i="28"/>
  <c r="BD7" i="24"/>
  <c r="BD5" i="24"/>
  <c r="BE44" i="3"/>
  <c r="BD45" i="3"/>
  <c r="BE7" i="40" l="1"/>
  <c r="BE5" i="40"/>
  <c r="BF6" i="40"/>
  <c r="BF4" i="40"/>
  <c r="BE96" i="28"/>
  <c r="BE95" i="28"/>
  <c r="BE97" i="28"/>
  <c r="BD98" i="28"/>
  <c r="BE5" i="28"/>
  <c r="BE7" i="28"/>
  <c r="BE5" i="24"/>
  <c r="BE7" i="24"/>
  <c r="BF4" i="28"/>
  <c r="BF6" i="28"/>
  <c r="BF93" i="28" s="1"/>
  <c r="BF4" i="24"/>
  <c r="BF6" i="24"/>
  <c r="BD46" i="3"/>
  <c r="BF44" i="3"/>
  <c r="BE45" i="3"/>
  <c r="BG6" i="40" l="1"/>
  <c r="BG4" i="40"/>
  <c r="BF7" i="40"/>
  <c r="BF5" i="40"/>
  <c r="BF96" i="28"/>
  <c r="BF97" i="28"/>
  <c r="BF95" i="28"/>
  <c r="BE98" i="28"/>
  <c r="BG4" i="28"/>
  <c r="BG6" i="28"/>
  <c r="BG93" i="28" s="1"/>
  <c r="BG6" i="24"/>
  <c r="BG4" i="24"/>
  <c r="BE46" i="3"/>
  <c r="BG44" i="3"/>
  <c r="BF45" i="3"/>
  <c r="BF5" i="28"/>
  <c r="BF7" i="28"/>
  <c r="BF5" i="24"/>
  <c r="BF7" i="24"/>
  <c r="BH6" i="40" l="1"/>
  <c r="BH4" i="40"/>
  <c r="BG5" i="40"/>
  <c r="BG7" i="40"/>
  <c r="BG96" i="28"/>
  <c r="BG95" i="28"/>
  <c r="BG97" i="28"/>
  <c r="BF98" i="28"/>
  <c r="BH4" i="28"/>
  <c r="BH6" i="28"/>
  <c r="BH93" i="28" s="1"/>
  <c r="BH6" i="24"/>
  <c r="BH4" i="24"/>
  <c r="BF46" i="3"/>
  <c r="BH44" i="3"/>
  <c r="BG45" i="3"/>
  <c r="BG5" i="28"/>
  <c r="BG7" i="28"/>
  <c r="BG5" i="24"/>
  <c r="BG7" i="24"/>
  <c r="BI4" i="40" l="1"/>
  <c r="BI6" i="40"/>
  <c r="BH7" i="40"/>
  <c r="BH5" i="40"/>
  <c r="BH96" i="28"/>
  <c r="BH97" i="28"/>
  <c r="BH95" i="28"/>
  <c r="BG98" i="28"/>
  <c r="BH5" i="28"/>
  <c r="BH7" i="28"/>
  <c r="BH7" i="24"/>
  <c r="BH5" i="24"/>
  <c r="BI44" i="3"/>
  <c r="BH45" i="3"/>
  <c r="BI4" i="28"/>
  <c r="BI6" i="28"/>
  <c r="BI93" i="28" s="1"/>
  <c r="BI6" i="24"/>
  <c r="BI4" i="24"/>
  <c r="BG46" i="3"/>
  <c r="BI7" i="40" l="1"/>
  <c r="BI5" i="40"/>
  <c r="BH98" i="28"/>
  <c r="BJ6" i="40"/>
  <c r="BJ4" i="40"/>
  <c r="BI96" i="28"/>
  <c r="BI97" i="28"/>
  <c r="BI95" i="28"/>
  <c r="BJ4" i="28"/>
  <c r="BJ6" i="28"/>
  <c r="BJ93" i="28" s="1"/>
  <c r="BJ4" i="24"/>
  <c r="BJ6" i="24"/>
  <c r="BH46" i="3"/>
  <c r="BI45" i="3"/>
  <c r="BJ44" i="3"/>
  <c r="BI7" i="28"/>
  <c r="BI5" i="28"/>
  <c r="BI5" i="24"/>
  <c r="BI7" i="24"/>
  <c r="BI98" i="28" l="1"/>
  <c r="BK6" i="40"/>
  <c r="BK4" i="40"/>
  <c r="BJ5" i="40"/>
  <c r="BJ7" i="40"/>
  <c r="BJ96" i="28"/>
  <c r="BJ97" i="28"/>
  <c r="BJ95" i="28"/>
  <c r="BJ5" i="28"/>
  <c r="BJ7" i="28"/>
  <c r="BJ7" i="24"/>
  <c r="BJ5" i="24"/>
  <c r="BK4" i="28"/>
  <c r="BK6" i="28"/>
  <c r="BK93" i="28" s="1"/>
  <c r="BK4" i="24"/>
  <c r="BK6" i="24"/>
  <c r="BI46" i="3"/>
  <c r="BK44" i="3"/>
  <c r="BJ45" i="3"/>
  <c r="BJ98" i="28" l="1"/>
  <c r="BL6" i="40"/>
  <c r="BL4" i="40"/>
  <c r="BK5" i="40"/>
  <c r="BK7" i="40"/>
  <c r="BK95" i="28"/>
  <c r="BK97" i="28"/>
  <c r="BK96" i="28"/>
  <c r="BL44" i="3"/>
  <c r="BK45" i="3"/>
  <c r="BL4" i="28"/>
  <c r="BL6" i="28"/>
  <c r="BL93" i="28" s="1"/>
  <c r="BL4" i="24"/>
  <c r="BL6" i="24"/>
  <c r="BJ46" i="3"/>
  <c r="BK5" i="28"/>
  <c r="BK7" i="28"/>
  <c r="BK7" i="24"/>
  <c r="BK5" i="24"/>
  <c r="BM4" i="40" l="1"/>
  <c r="BM6" i="40"/>
  <c r="BL7" i="40"/>
  <c r="BL5" i="40"/>
  <c r="BL95" i="28"/>
  <c r="BL96" i="28"/>
  <c r="BL97" i="28"/>
  <c r="BK98" i="28"/>
  <c r="BL5" i="28"/>
  <c r="BL7" i="28"/>
  <c r="BL7" i="24"/>
  <c r="BL5" i="24"/>
  <c r="BM4" i="28"/>
  <c r="BM6" i="28"/>
  <c r="BM93" i="28" s="1"/>
  <c r="BM6" i="24"/>
  <c r="BM4" i="24"/>
  <c r="BK46" i="3"/>
  <c r="BM44" i="3"/>
  <c r="BL45" i="3"/>
  <c r="BN4" i="40" l="1"/>
  <c r="BN6" i="40"/>
  <c r="BM5" i="40"/>
  <c r="BM7" i="40"/>
  <c r="BM95" i="28"/>
  <c r="BM97" i="28"/>
  <c r="BM96" i="28"/>
  <c r="BL98" i="28"/>
  <c r="BN6" i="28"/>
  <c r="BN93" i="28" s="1"/>
  <c r="BN4" i="28"/>
  <c r="BN4" i="24"/>
  <c r="BN6" i="24"/>
  <c r="BL46" i="3"/>
  <c r="BN44" i="3"/>
  <c r="BM45" i="3"/>
  <c r="BM5" i="28"/>
  <c r="BM7" i="28"/>
  <c r="BM5" i="24"/>
  <c r="BM7" i="24"/>
  <c r="BO6" i="40" l="1"/>
  <c r="BO4" i="40"/>
  <c r="BN5" i="40"/>
  <c r="BN7" i="40"/>
  <c r="BN95" i="28"/>
  <c r="BN97" i="28"/>
  <c r="BN96" i="28"/>
  <c r="BM98" i="28"/>
  <c r="BN5" i="28"/>
  <c r="BN7" i="28"/>
  <c r="BN5" i="24"/>
  <c r="BN7" i="24"/>
  <c r="BO44" i="3"/>
  <c r="BN45" i="3"/>
  <c r="BO6" i="28"/>
  <c r="BO93" i="28" s="1"/>
  <c r="BO4" i="28"/>
  <c r="BO6" i="24"/>
  <c r="BO4" i="24"/>
  <c r="BM46" i="3"/>
  <c r="BO5" i="40" l="1"/>
  <c r="BO7" i="40"/>
  <c r="BP4" i="40"/>
  <c r="BP6" i="40"/>
  <c r="BO95" i="28"/>
  <c r="BO96" i="28"/>
  <c r="BO97" i="28"/>
  <c r="BO98" i="28" s="1"/>
  <c r="BN98" i="28"/>
  <c r="BO5" i="28"/>
  <c r="BO7" i="28"/>
  <c r="BO5" i="24"/>
  <c r="BO7" i="24"/>
  <c r="BP6" i="28"/>
  <c r="BP93" i="28" s="1"/>
  <c r="BP6" i="24"/>
  <c r="BP4" i="28"/>
  <c r="BP4" i="24"/>
  <c r="BN46" i="3"/>
  <c r="BP44" i="3"/>
  <c r="BO45" i="3"/>
  <c r="BP7" i="40" l="1"/>
  <c r="BP5" i="40"/>
  <c r="BQ4" i="40"/>
  <c r="BQ6" i="40"/>
  <c r="BP95" i="28"/>
  <c r="BP96" i="28"/>
  <c r="BP97" i="28"/>
  <c r="BP5" i="28"/>
  <c r="BP7" i="28"/>
  <c r="BP7" i="24"/>
  <c r="BP5" i="24"/>
  <c r="BQ4" i="28"/>
  <c r="BQ6" i="28"/>
  <c r="BQ93" i="28" s="1"/>
  <c r="BQ6" i="24"/>
  <c r="BQ4" i="24"/>
  <c r="BO46" i="3"/>
  <c r="BQ44" i="3"/>
  <c r="BP45" i="3"/>
  <c r="BP98" i="28" l="1"/>
  <c r="BR4" i="40"/>
  <c r="BR6" i="40"/>
  <c r="BQ7" i="40"/>
  <c r="BQ5" i="40"/>
  <c r="BQ96" i="28"/>
  <c r="BQ95" i="28"/>
  <c r="BQ97" i="28"/>
  <c r="BQ7" i="28"/>
  <c r="BQ5" i="28"/>
  <c r="BQ5" i="24"/>
  <c r="BQ7" i="24"/>
  <c r="BQ45" i="3"/>
  <c r="BR44" i="3"/>
  <c r="BR4" i="28"/>
  <c r="BR6" i="28"/>
  <c r="BR93" i="28" s="1"/>
  <c r="BR4" i="24"/>
  <c r="BR6" i="24"/>
  <c r="BP46" i="3"/>
  <c r="BS6" i="40" l="1"/>
  <c r="BS4" i="40"/>
  <c r="BQ98" i="28"/>
  <c r="BR5" i="40"/>
  <c r="BR7" i="40"/>
  <c r="BR96" i="28"/>
  <c r="BR97" i="28"/>
  <c r="BR95" i="28"/>
  <c r="BR98" i="28" s="1"/>
  <c r="BS44" i="3"/>
  <c r="BR45" i="3"/>
  <c r="BS4" i="28"/>
  <c r="BS6" i="28"/>
  <c r="BS93" i="28" s="1"/>
  <c r="BS4" i="24"/>
  <c r="BS6" i="24"/>
  <c r="BQ46" i="3"/>
  <c r="BR7" i="28"/>
  <c r="BR5" i="28"/>
  <c r="BR7" i="24"/>
  <c r="BR5" i="24"/>
  <c r="BT6" i="40" l="1"/>
  <c r="BT4" i="40"/>
  <c r="BS7" i="40"/>
  <c r="BS5" i="40"/>
  <c r="BS96" i="28"/>
  <c r="BS95" i="28"/>
  <c r="BS97" i="28"/>
  <c r="BS7" i="28"/>
  <c r="BS5" i="28"/>
  <c r="BS7" i="24"/>
  <c r="BS5" i="24"/>
  <c r="BT44" i="3"/>
  <c r="BS45" i="3"/>
  <c r="BT4" i="28"/>
  <c r="BT6" i="28"/>
  <c r="BT93" i="28" s="1"/>
  <c r="BT4" i="24"/>
  <c r="BT6" i="24"/>
  <c r="BR46" i="3"/>
  <c r="BT7" i="40" l="1"/>
  <c r="BT5" i="40"/>
  <c r="BU6" i="40"/>
  <c r="BU4" i="40"/>
  <c r="BT96" i="28"/>
  <c r="BT97" i="28"/>
  <c r="BT95" i="28"/>
  <c r="BS98" i="28"/>
  <c r="BU4" i="28"/>
  <c r="BU4" i="24"/>
  <c r="BU6" i="28"/>
  <c r="BU93" i="28" s="1"/>
  <c r="BU6" i="24"/>
  <c r="BS46" i="3"/>
  <c r="BU44" i="3"/>
  <c r="BT45" i="3"/>
  <c r="BT5" i="28"/>
  <c r="BT7" i="28"/>
  <c r="BT7" i="24"/>
  <c r="BT5" i="24"/>
  <c r="BT98" i="28" l="1"/>
  <c r="BV6" i="40"/>
  <c r="BV4" i="40"/>
  <c r="BU7" i="40"/>
  <c r="BU5" i="40"/>
  <c r="BU96" i="28"/>
  <c r="BU97" i="28"/>
  <c r="BU95" i="28"/>
  <c r="BV6" i="28"/>
  <c r="BV93" i="28" s="1"/>
  <c r="BV4" i="28"/>
  <c r="BV4" i="24"/>
  <c r="BV6" i="24"/>
  <c r="BT46" i="3"/>
  <c r="BV44" i="3"/>
  <c r="BU45" i="3"/>
  <c r="BU5" i="28"/>
  <c r="BU7" i="28"/>
  <c r="BU5" i="24"/>
  <c r="BU7" i="24"/>
  <c r="BW6" i="40" l="1"/>
  <c r="BW4" i="40"/>
  <c r="BV5" i="40"/>
  <c r="BV7" i="40"/>
  <c r="BU98" i="28"/>
  <c r="BV96" i="28"/>
  <c r="BV97" i="28"/>
  <c r="BV95" i="28"/>
  <c r="BV98" i="28" s="1"/>
  <c r="BV7" i="28"/>
  <c r="BV5" i="24"/>
  <c r="BV5" i="28"/>
  <c r="BV7" i="24"/>
  <c r="BW6" i="28"/>
  <c r="BW93" i="28" s="1"/>
  <c r="BW4" i="28"/>
  <c r="BW6" i="24"/>
  <c r="BW4" i="24"/>
  <c r="BU46" i="3"/>
  <c r="BW44" i="3"/>
  <c r="BV45" i="3"/>
  <c r="BX4" i="40" l="1"/>
  <c r="BX6" i="40"/>
  <c r="BW7" i="40"/>
  <c r="BW5" i="40"/>
  <c r="BW95" i="28"/>
  <c r="BW97" i="28"/>
  <c r="BW96" i="28"/>
  <c r="BW5" i="28"/>
  <c r="BW7" i="28"/>
  <c r="BW5" i="24"/>
  <c r="BW7" i="24"/>
  <c r="BX6" i="28"/>
  <c r="BX93" i="28" s="1"/>
  <c r="BX4" i="28"/>
  <c r="BX6" i="24"/>
  <c r="BX4" i="24"/>
  <c r="BV46" i="3"/>
  <c r="BX44" i="3"/>
  <c r="BW45" i="3"/>
  <c r="BY6" i="40" l="1"/>
  <c r="BY4" i="40"/>
  <c r="BX7" i="40"/>
  <c r="BX5" i="40"/>
  <c r="BX95" i="28"/>
  <c r="BX97" i="28"/>
  <c r="BX96" i="28"/>
  <c r="BW98" i="28"/>
  <c r="BY4" i="28"/>
  <c r="BY6" i="28"/>
  <c r="BY93" i="28" s="1"/>
  <c r="BY6" i="24"/>
  <c r="BY4" i="24"/>
  <c r="BW46" i="3"/>
  <c r="BY44" i="3"/>
  <c r="BX45" i="3"/>
  <c r="BX5" i="28"/>
  <c r="BX7" i="28"/>
  <c r="BX7" i="24"/>
  <c r="BX5" i="24"/>
  <c r="BZ6" i="40" l="1"/>
  <c r="BZ4" i="40"/>
  <c r="BY5" i="40"/>
  <c r="BY7" i="40"/>
  <c r="BY95" i="28"/>
  <c r="BY97" i="28"/>
  <c r="BY96" i="28"/>
  <c r="BY98" i="28" s="1"/>
  <c r="BX98" i="28"/>
  <c r="BZ4" i="28"/>
  <c r="BZ6" i="28"/>
  <c r="BZ93" i="28" s="1"/>
  <c r="BZ4" i="24"/>
  <c r="BZ6" i="24"/>
  <c r="BX46" i="3"/>
  <c r="BY45" i="3"/>
  <c r="BZ44" i="3"/>
  <c r="BY7" i="28"/>
  <c r="BY5" i="28"/>
  <c r="BY5" i="24"/>
  <c r="BY7" i="24"/>
  <c r="CA6" i="40" l="1"/>
  <c r="CA4" i="40"/>
  <c r="BZ5" i="40"/>
  <c r="BZ7" i="40"/>
  <c r="BZ95" i="28"/>
  <c r="BZ97" i="28"/>
  <c r="BZ96" i="28"/>
  <c r="BZ7" i="28"/>
  <c r="BZ5" i="28"/>
  <c r="BZ7" i="24"/>
  <c r="BZ5" i="24"/>
  <c r="CA44" i="3"/>
  <c r="BZ45" i="3"/>
  <c r="CA4" i="28"/>
  <c r="CA6" i="28"/>
  <c r="CA93" i="28" s="1"/>
  <c r="CA4" i="24"/>
  <c r="CA6" i="24"/>
  <c r="BY46" i="3"/>
  <c r="BZ98" i="28" l="1"/>
  <c r="CA5" i="40"/>
  <c r="CA7" i="40"/>
  <c r="CB4" i="40"/>
  <c r="CB6" i="40"/>
  <c r="CA95" i="28"/>
  <c r="CA97" i="28"/>
  <c r="CA96" i="28"/>
  <c r="CA7" i="28"/>
  <c r="CA5" i="28"/>
  <c r="CA7" i="24"/>
  <c r="CA5" i="24"/>
  <c r="CB4" i="28"/>
  <c r="CB6" i="28"/>
  <c r="CB93" i="28" s="1"/>
  <c r="CB4" i="24"/>
  <c r="CB6" i="24"/>
  <c r="BZ46" i="3"/>
  <c r="CB44" i="3"/>
  <c r="CA45" i="3"/>
  <c r="CA98" i="28" l="1"/>
  <c r="CB5" i="40"/>
  <c r="CB7" i="40"/>
  <c r="CC4" i="40"/>
  <c r="CC6" i="40"/>
  <c r="CB95" i="28"/>
  <c r="CB96" i="28"/>
  <c r="CB97" i="28"/>
  <c r="CC4" i="28"/>
  <c r="CC6" i="28"/>
  <c r="CC93" i="28" s="1"/>
  <c r="CC4" i="24"/>
  <c r="CC6" i="24"/>
  <c r="CA46" i="3"/>
  <c r="CC44" i="3"/>
  <c r="CB45" i="3"/>
  <c r="CB5" i="28"/>
  <c r="CB7" i="28"/>
  <c r="CB7" i="24"/>
  <c r="CB5" i="24"/>
  <c r="CD6" i="40" l="1"/>
  <c r="CD4" i="40"/>
  <c r="CC5" i="40"/>
  <c r="CC7" i="40"/>
  <c r="CC96" i="28"/>
  <c r="CC95" i="28"/>
  <c r="CC97" i="28"/>
  <c r="CB98" i="28"/>
  <c r="CD6" i="28"/>
  <c r="CD93" i="28" s="1"/>
  <c r="CD4" i="28"/>
  <c r="CD4" i="24"/>
  <c r="CD6" i="24"/>
  <c r="CB46" i="3"/>
  <c r="CD44" i="3"/>
  <c r="CC45" i="3"/>
  <c r="CC5" i="28"/>
  <c r="CC7" i="28"/>
  <c r="CC5" i="24"/>
  <c r="CC7" i="24"/>
  <c r="CE4" i="40" l="1"/>
  <c r="CE6" i="40"/>
  <c r="CD5" i="40"/>
  <c r="CD7" i="40"/>
  <c r="CD96" i="28"/>
  <c r="CD97" i="28"/>
  <c r="CD95" i="28"/>
  <c r="CC98" i="28"/>
  <c r="CD5" i="28"/>
  <c r="CD7" i="28"/>
  <c r="CD5" i="24"/>
  <c r="CD7" i="24"/>
  <c r="CE4" i="28"/>
  <c r="CE6" i="28"/>
  <c r="CE93" i="28" s="1"/>
  <c r="CE6" i="24"/>
  <c r="CE4" i="24"/>
  <c r="CC46" i="3"/>
  <c r="CE44" i="3"/>
  <c r="CD45" i="3"/>
  <c r="CD98" i="28" l="1"/>
  <c r="CF4" i="40"/>
  <c r="CF6" i="40"/>
  <c r="CE7" i="40"/>
  <c r="CE5" i="40"/>
  <c r="CE96" i="28"/>
  <c r="CE97" i="28"/>
  <c r="CE95" i="28"/>
  <c r="CF4" i="28"/>
  <c r="CF6" i="28"/>
  <c r="CF93" i="28" s="1"/>
  <c r="CF6" i="24"/>
  <c r="CF4" i="24"/>
  <c r="CD46" i="3"/>
  <c r="CE45" i="3"/>
  <c r="CF44" i="3"/>
  <c r="CE5" i="28"/>
  <c r="CE7" i="28"/>
  <c r="CE5" i="24"/>
  <c r="CE7" i="24"/>
  <c r="CE98" i="28" l="1"/>
  <c r="CF7" i="40"/>
  <c r="CF5" i="40"/>
  <c r="CG4" i="40"/>
  <c r="CG6" i="40"/>
  <c r="CF96" i="28"/>
  <c r="CF97" i="28"/>
  <c r="CF95" i="28"/>
  <c r="CG4" i="28"/>
  <c r="CG6" i="28"/>
  <c r="CG93" i="28" s="1"/>
  <c r="CG6" i="24"/>
  <c r="CG4" i="24"/>
  <c r="CE46" i="3"/>
  <c r="CF5" i="28"/>
  <c r="CF7" i="28"/>
  <c r="CF5" i="24"/>
  <c r="CF7" i="24"/>
  <c r="CG44" i="3"/>
  <c r="CF45" i="3"/>
  <c r="CF98" i="28" l="1"/>
  <c r="CG7" i="40"/>
  <c r="CG5" i="40"/>
  <c r="CH6" i="40"/>
  <c r="CH4" i="40"/>
  <c r="CG96" i="28"/>
  <c r="CG97" i="28"/>
  <c r="CG95" i="28"/>
  <c r="CG7" i="28"/>
  <c r="CG5" i="28"/>
  <c r="CG5" i="24"/>
  <c r="CG7" i="24"/>
  <c r="CH4" i="28"/>
  <c r="CH6" i="28"/>
  <c r="CH93" i="28" s="1"/>
  <c r="CH4" i="24"/>
  <c r="CH6" i="24"/>
  <c r="CF46" i="3"/>
  <c r="CH44" i="3"/>
  <c r="CG45" i="3"/>
  <c r="CI6" i="40" l="1"/>
  <c r="CI4" i="40"/>
  <c r="CH7" i="40"/>
  <c r="CH5" i="40"/>
  <c r="CG98" i="28"/>
  <c r="CH96" i="28"/>
  <c r="CH95" i="28"/>
  <c r="CH97" i="28"/>
  <c r="CH7" i="28"/>
  <c r="CH5" i="28"/>
  <c r="CH7" i="24"/>
  <c r="CH5" i="24"/>
  <c r="CI4" i="28"/>
  <c r="CI6" i="28"/>
  <c r="CI93" i="28" s="1"/>
  <c r="CI4" i="24"/>
  <c r="CI6" i="24"/>
  <c r="CG46" i="3"/>
  <c r="CI44" i="3"/>
  <c r="CI45" i="3" s="1"/>
  <c r="CH45" i="3"/>
  <c r="CK6" i="40" l="1"/>
  <c r="CK4" i="40"/>
  <c r="CJ4" i="40"/>
  <c r="CJ6" i="40"/>
  <c r="CI7" i="40"/>
  <c r="CI5" i="40"/>
  <c r="CI96" i="28"/>
  <c r="CI97" i="28"/>
  <c r="CI95" i="28"/>
  <c r="CI98" i="28" s="1"/>
  <c r="CH98" i="28"/>
  <c r="CI5" i="28"/>
  <c r="CI7" i="28"/>
  <c r="CI7" i="24"/>
  <c r="CI5" i="24"/>
  <c r="CJ4" i="28"/>
  <c r="CJ6" i="28"/>
  <c r="CJ93" i="28" s="1"/>
  <c r="CJ4" i="24"/>
  <c r="CJ6" i="24"/>
  <c r="CH46" i="3"/>
  <c r="CK4" i="28"/>
  <c r="CK6" i="28"/>
  <c r="CK6" i="24"/>
  <c r="CK4" i="24"/>
  <c r="CI46" i="3"/>
  <c r="CK5" i="40" l="1"/>
  <c r="CK7" i="40"/>
  <c r="CJ7" i="40"/>
  <c r="CJ5" i="40"/>
  <c r="CJ95" i="28"/>
  <c r="CJ97" i="28"/>
  <c r="CJ96" i="28"/>
  <c r="CL93" i="28"/>
  <c r="CK93" i="28"/>
  <c r="M147" i="28"/>
  <c r="Y147" i="28" s="1"/>
  <c r="L122" i="28" a="1"/>
  <c r="L122" i="28" s="1"/>
  <c r="X122" i="28" s="1"/>
  <c r="M122" i="28"/>
  <c r="Y122" i="28" s="1"/>
  <c r="M139" i="28"/>
  <c r="M142" i="28"/>
  <c r="Y142" i="28" s="1"/>
  <c r="M119" i="28"/>
  <c r="K122" i="28" a="1"/>
  <c r="K122" i="28" s="1"/>
  <c r="W122" i="28" s="1"/>
  <c r="L127" i="28" a="1"/>
  <c r="L127" i="28" s="1"/>
  <c r="L147" i="28" a="1"/>
  <c r="L147" i="28" s="1"/>
  <c r="I127" i="28" a="1"/>
  <c r="I127" i="28" s="1"/>
  <c r="U127" i="28" s="1"/>
  <c r="J127" i="28" a="1"/>
  <c r="J127" i="28" s="1"/>
  <c r="V127" i="28" s="1"/>
  <c r="K147" i="28" a="1"/>
  <c r="K147" i="28" s="1"/>
  <c r="W147" i="28" s="1"/>
  <c r="K139" i="28" a="1"/>
  <c r="K139" i="28" s="1"/>
  <c r="L139" i="28" a="1"/>
  <c r="L139" i="28" s="1"/>
  <c r="K119" i="28" a="1"/>
  <c r="K119" i="28" s="1"/>
  <c r="I122" i="28" a="1"/>
  <c r="I122" i="28" s="1"/>
  <c r="U122" i="28" s="1"/>
  <c r="J142" i="28" a="1"/>
  <c r="J142" i="28" s="1"/>
  <c r="V142" i="28" s="1"/>
  <c r="I119" i="28" a="1"/>
  <c r="I119" i="28" s="1"/>
  <c r="U119" i="28" s="1"/>
  <c r="L142" i="28" a="1"/>
  <c r="L142" i="28" s="1"/>
  <c r="X142" i="28" s="1"/>
  <c r="K142" i="28" a="1"/>
  <c r="K142" i="28" s="1"/>
  <c r="W142" i="28" s="1"/>
  <c r="K127" i="28" a="1"/>
  <c r="K127" i="28" s="1"/>
  <c r="W127" i="28" s="1"/>
  <c r="L119" i="28" a="1"/>
  <c r="L119" i="28" s="1"/>
  <c r="J147" i="28" a="1"/>
  <c r="J147" i="28" s="1"/>
  <c r="V147" i="28" s="1"/>
  <c r="J139" i="28" a="1"/>
  <c r="J139" i="28" s="1"/>
  <c r="J122" i="28" a="1"/>
  <c r="J122" i="28" s="1"/>
  <c r="V122" i="28" s="1"/>
  <c r="I139" i="28" a="1"/>
  <c r="I139" i="28" s="1"/>
  <c r="I147" i="28" a="1"/>
  <c r="I147" i="28" s="1"/>
  <c r="U147" i="28" s="1"/>
  <c r="I142" i="28" a="1"/>
  <c r="I142" i="28" s="1"/>
  <c r="U142" i="28" s="1"/>
  <c r="M127" i="28"/>
  <c r="Y127" i="28" s="1"/>
  <c r="H119" i="28" a="1"/>
  <c r="H119" i="28" s="1"/>
  <c r="J119" i="28" a="1"/>
  <c r="J119" i="28" s="1"/>
  <c r="G122" i="28" a="1"/>
  <c r="G122" i="28" s="1"/>
  <c r="S122" i="28" s="1"/>
  <c r="H147" i="28" a="1"/>
  <c r="H147" i="28" s="1"/>
  <c r="T147" i="28" s="1"/>
  <c r="G147" i="28" a="1"/>
  <c r="G147" i="28" s="1"/>
  <c r="S147" i="28" s="1"/>
  <c r="F139" i="28" a="1"/>
  <c r="F139" i="28" s="1"/>
  <c r="R139" i="28" s="1"/>
  <c r="H122" i="28" a="1"/>
  <c r="H122" i="28" s="1"/>
  <c r="T122" i="28" s="1"/>
  <c r="G127" i="28" a="1"/>
  <c r="G127" i="28" s="1"/>
  <c r="S127" i="28" s="1"/>
  <c r="G142" i="28" a="1"/>
  <c r="G142" i="28" s="1"/>
  <c r="S142" i="28" s="1"/>
  <c r="F127" i="28" a="1"/>
  <c r="F127" i="28" s="1"/>
  <c r="R127" i="28" s="1"/>
  <c r="H127" i="28" a="1"/>
  <c r="H127" i="28" s="1"/>
  <c r="T127" i="28" s="1"/>
  <c r="F142" i="28" a="1"/>
  <c r="F142" i="28" s="1"/>
  <c r="R142" i="28" s="1"/>
  <c r="H139" i="28" a="1"/>
  <c r="H139" i="28" s="1"/>
  <c r="G119" i="28" a="1"/>
  <c r="G119" i="28" s="1"/>
  <c r="G139" i="28" a="1"/>
  <c r="G139" i="28" s="1"/>
  <c r="F147" i="28" a="1"/>
  <c r="F147" i="28" s="1"/>
  <c r="R147" i="28" s="1"/>
  <c r="H142" i="28" a="1"/>
  <c r="H142" i="28" s="1"/>
  <c r="T142" i="28" s="1"/>
  <c r="F122" i="28" a="1"/>
  <c r="F122" i="28" s="1"/>
  <c r="R122" i="28" s="1"/>
  <c r="F119" i="28" a="1"/>
  <c r="F119" i="28" s="1"/>
  <c r="CK5" i="28"/>
  <c r="CK7" i="28"/>
  <c r="CK5" i="24"/>
  <c r="CK7" i="24"/>
  <c r="CJ5" i="28"/>
  <c r="CJ7" i="28"/>
  <c r="CJ7" i="24"/>
  <c r="CJ5" i="24"/>
  <c r="K125" i="28" l="1"/>
  <c r="W125" i="28" s="1"/>
  <c r="W119" i="28"/>
  <c r="G125" i="28"/>
  <c r="S125" i="28" s="1"/>
  <c r="L125" i="28"/>
  <c r="X125" i="28" s="1"/>
  <c r="J125" i="28"/>
  <c r="V125" i="28" s="1"/>
  <c r="X119" i="28"/>
  <c r="F125" i="28"/>
  <c r="R125" i="28" s="1"/>
  <c r="X147" i="28"/>
  <c r="X127" i="28"/>
  <c r="I125" i="28"/>
  <c r="U125" i="28" s="1"/>
  <c r="CK95" i="28"/>
  <c r="CK97" i="28"/>
  <c r="CK96" i="28"/>
  <c r="H125" i="28"/>
  <c r="T125" i="28" s="1"/>
  <c r="CJ98" i="28"/>
  <c r="V119" i="28"/>
  <c r="T119" i="28"/>
  <c r="Y119" i="28"/>
  <c r="M125" i="28"/>
  <c r="Y125" i="28" s="1"/>
  <c r="F145" i="28"/>
  <c r="R145" i="28" s="1"/>
  <c r="U139" i="28"/>
  <c r="I145" i="28"/>
  <c r="U145" i="28" s="1"/>
  <c r="Y139" i="28"/>
  <c r="M145" i="28"/>
  <c r="Y145" i="28" s="1"/>
  <c r="R119" i="28"/>
  <c r="S119" i="28"/>
  <c r="X139" i="28"/>
  <c r="L145" i="28"/>
  <c r="X145" i="28" s="1"/>
  <c r="S139" i="28"/>
  <c r="G145" i="28"/>
  <c r="S145" i="28" s="1"/>
  <c r="T139" i="28"/>
  <c r="H145" i="28"/>
  <c r="T145" i="28" s="1"/>
  <c r="V139" i="28"/>
  <c r="J145" i="28"/>
  <c r="V145" i="28" s="1"/>
  <c r="W139" i="28"/>
  <c r="K145" i="28"/>
  <c r="W145" i="28" s="1"/>
  <c r="CK98" i="28" l="1"/>
  <c r="G43" i="16"/>
  <c r="G55" i="16" s="1"/>
  <c r="G68" i="16" l="1"/>
  <c r="C19" i="6" s="1"/>
  <c r="C23" i="6"/>
  <c r="G67" i="16"/>
  <c r="F43" i="16"/>
  <c r="F55" i="16" s="1"/>
  <c r="H43" i="16"/>
  <c r="H67" i="16" s="1"/>
  <c r="I43" i="16"/>
  <c r="I55" i="16" s="1"/>
  <c r="F67" i="16" l="1"/>
  <c r="H55" i="16"/>
  <c r="D23" i="6" s="1"/>
  <c r="I67" i="16"/>
  <c r="E23" i="6"/>
  <c r="I68" i="16"/>
  <c r="E19" i="6" s="1"/>
  <c r="F68" i="16"/>
  <c r="B19" i="6" s="1"/>
  <c r="B23" i="6"/>
  <c r="H68" i="16" l="1"/>
  <c r="D19" i="6" s="1"/>
  <c r="J43" i="16" l="1"/>
  <c r="J55" i="16" s="1"/>
  <c r="J62" i="16" l="1"/>
  <c r="J68" i="16"/>
  <c r="J67" i="16"/>
  <c r="K43" i="16"/>
  <c r="K67" i="16" s="1"/>
  <c r="M43" i="16"/>
  <c r="M55" i="16" s="1"/>
  <c r="N43" i="16"/>
  <c r="N67" i="16" s="1"/>
  <c r="L43" i="16"/>
  <c r="L55" i="16" s="1"/>
  <c r="L62" i="16" l="1"/>
  <c r="L68" i="16"/>
  <c r="M62" i="16"/>
  <c r="M68" i="16"/>
  <c r="K55" i="16"/>
  <c r="N55" i="16"/>
  <c r="L67" i="16"/>
  <c r="M67" i="16"/>
  <c r="N68" i="16" l="1"/>
  <c r="N62" i="16"/>
  <c r="K68" i="16"/>
  <c r="K6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"doh"</author>
    <author>DOH</author>
  </authors>
  <commentList>
    <comment ref="C18" authorId="0" shapeId="0" xr:uid="{60E5AF41-78EF-4337-94BF-BB14A9DB0C69}">
      <text>
        <r>
          <rPr>
            <b/>
            <sz val="9"/>
            <color indexed="81"/>
            <rFont val="Tahoma"/>
            <family val="2"/>
          </rPr>
          <t>DOH</t>
        </r>
        <r>
          <rPr>
            <sz val="9"/>
            <color indexed="81"/>
            <rFont val="Tahoma"/>
            <family val="2"/>
          </rPr>
          <t xml:space="preserve">
Bei abweichender Anzahl (&lt;3) historischer Perioden überflüssige Spalten in Timelines (unten) von vorne nach hinten (beginnend mit Spalte D) löschen und Counter in der jeweils ersten Periode auf 1 setzen. Bei Veränderungen müssen die CAGR Berechnungen manuell angepasst werden
--&gt; z. B. 2 historische Abschlüsse:
Spalte D löschen und in Spalte E counter (siehe eingeklappte Zeilen) auf 1 setzen. Anschließend in den Berichtstabellen die jeweils 1. Spalte löschen</t>
        </r>
      </text>
    </comment>
    <comment ref="C19" authorId="1" shapeId="0" xr:uid="{145C461C-785A-4DE9-89A6-BED039DD56DF}">
      <text>
        <r>
          <rPr>
            <b/>
            <sz val="9"/>
            <color indexed="81"/>
            <rFont val="Tahoma"/>
            <family val="2"/>
          </rPr>
          <t>DOH:</t>
        </r>
        <r>
          <rPr>
            <sz val="9"/>
            <color indexed="81"/>
            <rFont val="Tahoma"/>
            <family val="2"/>
          </rPr>
          <t xml:space="preserve">
Standardlabels:
Deutsch:
</t>
        </r>
        <r>
          <rPr>
            <b/>
            <sz val="9"/>
            <color indexed="81"/>
            <rFont val="Tahoma"/>
            <family val="2"/>
          </rPr>
          <t>Akt.</t>
        </r>
        <r>
          <rPr>
            <sz val="9"/>
            <color indexed="81"/>
            <rFont val="Tahoma"/>
            <family val="2"/>
          </rPr>
          <t xml:space="preserve">
Englisch:
</t>
        </r>
        <r>
          <rPr>
            <b/>
            <sz val="9"/>
            <color indexed="81"/>
            <rFont val="Tahoma"/>
            <family val="2"/>
          </rPr>
          <t>Act.</t>
        </r>
        <r>
          <rPr>
            <sz val="9"/>
            <color indexed="81"/>
            <rFont val="Tahoma"/>
            <family val="2"/>
          </rPr>
          <t xml:space="preserve">
</t>
        </r>
      </text>
    </comment>
    <comment ref="C23" authorId="1" shapeId="0" xr:uid="{79B362CD-4185-4956-A029-3C99855A0D40}">
      <text>
        <r>
          <rPr>
            <b/>
            <sz val="9"/>
            <color indexed="81"/>
            <rFont val="Tahoma"/>
            <family val="2"/>
          </rPr>
          <t>DOH:</t>
        </r>
        <r>
          <rPr>
            <sz val="9"/>
            <color indexed="81"/>
            <rFont val="Tahoma"/>
            <family val="2"/>
          </rPr>
          <t xml:space="preserve">
Standardlabel:
</t>
        </r>
        <r>
          <rPr>
            <b/>
            <sz val="9"/>
            <color indexed="81"/>
            <rFont val="Tahoma"/>
            <family val="2"/>
          </rPr>
          <t>LTM</t>
        </r>
        <r>
          <rPr>
            <sz val="9"/>
            <color indexed="81"/>
            <rFont val="Tahoma"/>
            <family val="2"/>
          </rPr>
          <t xml:space="preserve">
</t>
        </r>
      </text>
    </comment>
    <comment ref="C24" authorId="1" shapeId="0" xr:uid="{83DEB897-8658-46A1-B199-86265F5DCD05}">
      <text>
        <r>
          <rPr>
            <b/>
            <sz val="9"/>
            <color indexed="81"/>
            <rFont val="Tahoma"/>
            <family val="2"/>
          </rPr>
          <t>DOH:</t>
        </r>
        <r>
          <rPr>
            <sz val="9"/>
            <color indexed="81"/>
            <rFont val="Tahoma"/>
            <family val="2"/>
          </rPr>
          <t xml:space="preserve">
Standardlabel:
</t>
        </r>
        <r>
          <rPr>
            <b/>
            <sz val="9"/>
            <color indexed="81"/>
            <rFont val="Tahoma"/>
            <family val="2"/>
          </rPr>
          <t>YTD</t>
        </r>
      </text>
    </comment>
    <comment ref="C25" authorId="1" shapeId="0" xr:uid="{9C2EF7D9-F06A-4FD4-9FB3-F8F773997B50}">
      <text>
        <r>
          <rPr>
            <b/>
            <sz val="9"/>
            <color indexed="81"/>
            <rFont val="Tahoma"/>
            <family val="2"/>
          </rPr>
          <t>DOH:</t>
        </r>
        <r>
          <rPr>
            <sz val="9"/>
            <color indexed="81"/>
            <rFont val="Tahoma"/>
            <family val="2"/>
          </rPr>
          <t xml:space="preserve">
Standardlabel:
</t>
        </r>
        <r>
          <rPr>
            <b/>
            <sz val="9"/>
            <color indexed="81"/>
            <rFont val="Tahoma"/>
            <family val="2"/>
          </rPr>
          <t>YTG</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tc={8A83D6CF-A4E8-4C67-92CF-A7D7FB91722A}</author>
    <author>tc={04873975-440D-4F6C-B563-3BC1893410DC}</author>
  </authors>
  <commentList>
    <comment ref="F60" authorId="0" shapeId="0" xr:uid="{8A83D6CF-A4E8-4C67-92CF-A7D7FB91722A}">
      <text>
        <t>[Threaded comment]
Your version of Excel allows you to read this threaded comment; however, any edits to it will get removed if the file is opened in a newer version of Excel. Learn more: https://go.microsoft.com/fwlink/?linkid=870924
Comment:
    According to annual report 2022 in Cash Flow statement</t>
      </text>
    </comment>
    <comment ref="H60" authorId="1" shapeId="0" xr:uid="{04873975-440D-4F6C-B563-3BC1893410DC}">
      <text>
        <t>[Threaded comment]
Your version of Excel allows you to read this threaded comment; however, any edits to it will get removed if the file is opened in a newer version of Excel. Learn more: https://go.microsoft.com/fwlink/?linkid=870924
Comment:
    According to annual report 2024 Cash-Flow-Statement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<sst xmlns="http://schemas.openxmlformats.org/spreadsheetml/2006/main" count="61055" uniqueCount="5453">
  <si>
    <t xml:space="preserve">Disclaimer: 
This Databook is confidential and has been prepared exclusively for the benefit of the Client in connection with the Transaction and may not be disclosed, quoted, used or relied on for any other purpose or by any other party than the Client without the prior written consent of BT. 
This Databook is made available to the Client  and we consent to the disclosure, provided that the client agress to non-reliance of this work-in-progress databook. 
Compensation claims of the Purchaser against BT for damages caused by negligence in connection with performance of the assignment are limited to EUR 4.000.000 (in words: Euro four million) for each damage event and for all damage events in total. </t>
  </si>
  <si>
    <t>BakerTilly, #city#date#</t>
  </si>
  <si>
    <t>Status: Working Draft</t>
  </si>
  <si>
    <t>Act.</t>
  </si>
  <si>
    <t>Label</t>
  </si>
  <si>
    <t>Date</t>
  </si>
  <si>
    <t>Counter</t>
  </si>
  <si>
    <t>Timeline (monthly)</t>
  </si>
  <si>
    <t>Timeline (annual for BS)</t>
  </si>
  <si>
    <t>Date (Auto)</t>
  </si>
  <si>
    <t>Timeline (annual for PL and CF)</t>
  </si>
  <si>
    <t>Plan</t>
  </si>
  <si>
    <t>YTG</t>
  </si>
  <si>
    <t>Label (Year to go)</t>
  </si>
  <si>
    <t>YTD</t>
  </si>
  <si>
    <t>Label (Current year trading)</t>
  </si>
  <si>
    <t>LTM</t>
  </si>
  <si>
    <t>Label (Last twelve months)</t>
  </si>
  <si>
    <t>CYT Date</t>
  </si>
  <si>
    <t>CYT Begin Date</t>
  </si>
  <si>
    <t>Number of historical periods</t>
  </si>
  <si>
    <t>End of first historical period</t>
  </si>
  <si>
    <t>Timeline parameter</t>
  </si>
  <si>
    <t>Senior/Assistant</t>
  </si>
  <si>
    <t>Manager</t>
  </si>
  <si>
    <t>Partner</t>
  </si>
  <si>
    <t>Working Group</t>
  </si>
  <si>
    <t>= technische Hilfszelle --&gt; nicht löschen</t>
  </si>
  <si>
    <t>EUR</t>
  </si>
  <si>
    <t>Currency base code</t>
  </si>
  <si>
    <t>Project name</t>
  </si>
  <si>
    <t>= User Input</t>
  </si>
  <si>
    <t>Table labels</t>
  </si>
  <si>
    <t>Summen- und Saldenliste</t>
  </si>
  <si>
    <t>-</t>
  </si>
  <si>
    <t>IST</t>
  </si>
  <si>
    <t>Deutsch</t>
  </si>
  <si>
    <t>Trial balance</t>
  </si>
  <si>
    <t xml:space="preserve">Audited </t>
  </si>
  <si>
    <t>Entity 2</t>
  </si>
  <si>
    <t>Entity 1</t>
  </si>
  <si>
    <t>ja</t>
  </si>
  <si>
    <t>Weitere Auskünfte zu ausgewählten Sachverhalten</t>
  </si>
  <si>
    <t>Detailaufrisse und Controlling-/ERP-Auswertungen</t>
  </si>
  <si>
    <t>Umsatzdaten und ausgewählte KPIs</t>
  </si>
  <si>
    <t>Betriebswirtschaftliche Auswertungen (BWAs) - monatlich</t>
  </si>
  <si>
    <t>Summen- und Saldenlisten (SuSas) - monatlich</t>
  </si>
  <si>
    <t>Jahresabschlüsse (ungeprüft)</t>
  </si>
  <si>
    <t>Manuell Anpassen</t>
  </si>
  <si>
    <t>Entity 4</t>
  </si>
  <si>
    <t>Entity 3</t>
  </si>
  <si>
    <t>Deutsch:</t>
  </si>
  <si>
    <t>Spalte 3</t>
  </si>
  <si>
    <t>Betriebs- und Geschäftsausstattung</t>
  </si>
  <si>
    <t>BGA</t>
  </si>
  <si>
    <t>Anschaffungs- und Herstellungskosten</t>
  </si>
  <si>
    <t>AHK</t>
  </si>
  <si>
    <t>Year-to-Go</t>
  </si>
  <si>
    <t>Year-to-Date</t>
  </si>
  <si>
    <t>Wirtschaftsjahr</t>
  </si>
  <si>
    <t>WJ</t>
  </si>
  <si>
    <t>Work-in-Progress</t>
  </si>
  <si>
    <t>WIP</t>
  </si>
  <si>
    <t>Datenraum</t>
  </si>
  <si>
    <t>VDR</t>
  </si>
  <si>
    <t>Year-on-Year</t>
  </si>
  <si>
    <t>YoY</t>
  </si>
  <si>
    <t>Vorbehalt der Nachprüfung</t>
  </si>
  <si>
    <t>VdN</t>
  </si>
  <si>
    <t>Umsatzsteuer</t>
  </si>
  <si>
    <t>USt</t>
  </si>
  <si>
    <t>Virtual Dataroom</t>
  </si>
  <si>
    <t>US Dollar</t>
  </si>
  <si>
    <t>USD</t>
  </si>
  <si>
    <t>Trade Working Capital</t>
  </si>
  <si>
    <t>TWC</t>
  </si>
  <si>
    <t>Tausend Euro</t>
  </si>
  <si>
    <t>TEUR</t>
  </si>
  <si>
    <t>Tax Due Diligence</t>
  </si>
  <si>
    <t>TDD</t>
  </si>
  <si>
    <t>Spalte 2</t>
  </si>
  <si>
    <t>SuSa</t>
  </si>
  <si>
    <t>Share Purchase Agreement</t>
  </si>
  <si>
    <t>SPA</t>
  </si>
  <si>
    <t>4th quarter</t>
  </si>
  <si>
    <t>Q4</t>
  </si>
  <si>
    <t>Solidaritätszuschlag</t>
  </si>
  <si>
    <t>SolZ</t>
  </si>
  <si>
    <t>Percentage point</t>
  </si>
  <si>
    <t>ppt.</t>
  </si>
  <si>
    <t>sonstige betriebliche Erträge</t>
  </si>
  <si>
    <t>sbE</t>
  </si>
  <si>
    <t>Property, Plant and Equipment</t>
  </si>
  <si>
    <t>PPE</t>
  </si>
  <si>
    <t>sonstige betriebliche Aufwendungen</t>
  </si>
  <si>
    <t>sbA</t>
  </si>
  <si>
    <t>Purchase Price Allocation</t>
  </si>
  <si>
    <t>PPA</t>
  </si>
  <si>
    <t>Rund</t>
  </si>
  <si>
    <t>rd.</t>
  </si>
  <si>
    <t>per annum, annual</t>
  </si>
  <si>
    <t>p.a.</t>
  </si>
  <si>
    <t>4. Quartal</t>
  </si>
  <si>
    <t>other operating expenses</t>
  </si>
  <si>
    <t>OPEX</t>
  </si>
  <si>
    <t>Prozentpunkt</t>
  </si>
  <si>
    <t>Other operating income</t>
  </si>
  <si>
    <t>OOI</t>
  </si>
  <si>
    <t>Last Twelve Months</t>
  </si>
  <si>
    <t>per annum, jährlich</t>
  </si>
  <si>
    <t>Thousand Euro</t>
  </si>
  <si>
    <t>kEUR</t>
  </si>
  <si>
    <t>German Commercial Code</t>
  </si>
  <si>
    <t>HGB</t>
  </si>
  <si>
    <t>Lieferungen und Leistungen</t>
  </si>
  <si>
    <t>L.u.L.</t>
  </si>
  <si>
    <t>hour</t>
  </si>
  <si>
    <t>h</t>
  </si>
  <si>
    <t>Körperschaftsteuergesetz</t>
  </si>
  <si>
    <t>KStG</t>
  </si>
  <si>
    <t>Limited Company</t>
  </si>
  <si>
    <t>GmbH</t>
  </si>
  <si>
    <t>Körperschaftsteuer</t>
  </si>
  <si>
    <t>KSt</t>
  </si>
  <si>
    <t>Fiscal year</t>
  </si>
  <si>
    <t>FY</t>
  </si>
  <si>
    <t>in Höhe von</t>
  </si>
  <si>
    <t>i.H.v.</t>
  </si>
  <si>
    <t xml:space="preserve">Foreign exchange </t>
  </si>
  <si>
    <t>FX</t>
  </si>
  <si>
    <t>in der Regel</t>
  </si>
  <si>
    <t>i.d.R.</t>
  </si>
  <si>
    <t>Full-Time Equivalent</t>
  </si>
  <si>
    <t>FTE</t>
  </si>
  <si>
    <t>Handelsgesetzbuch</t>
  </si>
  <si>
    <t>Financial Due Diligence</t>
  </si>
  <si>
    <t>FDD</t>
  </si>
  <si>
    <t>Stunde</t>
  </si>
  <si>
    <t>Forecast</t>
  </si>
  <si>
    <t>FC</t>
  </si>
  <si>
    <t>Gesellschaft mit beschränkter Haftung</t>
  </si>
  <si>
    <t>Euro</t>
  </si>
  <si>
    <t>Geschäftsjahr</t>
  </si>
  <si>
    <t>GJ</t>
  </si>
  <si>
    <t>End of year</t>
  </si>
  <si>
    <t>EOY</t>
  </si>
  <si>
    <t>Spalte 1</t>
  </si>
  <si>
    <t>Gewerbesteuer</t>
  </si>
  <si>
    <t>GewSt</t>
  </si>
  <si>
    <t>End of period</t>
  </si>
  <si>
    <t>EoP</t>
  </si>
  <si>
    <t>Earnings before Taxes</t>
  </si>
  <si>
    <t>EBT</t>
  </si>
  <si>
    <t>EBIT, Depreciation and Amortization</t>
  </si>
  <si>
    <t xml:space="preserve">EBITDA </t>
  </si>
  <si>
    <t>Earnings before Interests and Taxes</t>
  </si>
  <si>
    <t>EBIT</t>
  </si>
  <si>
    <t>Days sales outstanding</t>
  </si>
  <si>
    <t>DSO</t>
  </si>
  <si>
    <t>Days payables outstanding</t>
  </si>
  <si>
    <t>DPO</t>
  </si>
  <si>
    <t>Debt-like item</t>
  </si>
  <si>
    <t>DLI</t>
  </si>
  <si>
    <t>Days inventory outstanding</t>
  </si>
  <si>
    <t>DIO</t>
  </si>
  <si>
    <t>Debitorenlaufzeit</t>
  </si>
  <si>
    <t>continued</t>
  </si>
  <si>
    <t>cont'd</t>
  </si>
  <si>
    <t>Kreditorenlaufzeit</t>
  </si>
  <si>
    <t>Cost of Goods sold</t>
  </si>
  <si>
    <t>COGS</t>
  </si>
  <si>
    <t>Lagerdauer</t>
  </si>
  <si>
    <t>Cash-like item</t>
  </si>
  <si>
    <t>CLI</t>
  </si>
  <si>
    <t>Commercial Due Diligence</t>
  </si>
  <si>
    <t>CDD</t>
  </si>
  <si>
    <t>Cash Conversion Cycle</t>
  </si>
  <si>
    <t>CCC</t>
  </si>
  <si>
    <t>Capital Expenditures</t>
  </si>
  <si>
    <t>CAPEX</t>
  </si>
  <si>
    <t>Compounded Annual Growth Rate</t>
  </si>
  <si>
    <t>CAGR</t>
  </si>
  <si>
    <t>circa</t>
  </si>
  <si>
    <t>ca.</t>
  </si>
  <si>
    <t>c.</t>
  </si>
  <si>
    <t>Betriebswirtschaftliche Auswertung</t>
  </si>
  <si>
    <t>BWA</t>
  </si>
  <si>
    <t>Baker Tilly</t>
  </si>
  <si>
    <t>BT</t>
  </si>
  <si>
    <t>Beginning of period</t>
  </si>
  <si>
    <t>BoP</t>
  </si>
  <si>
    <t>Betriebsprüfung</t>
  </si>
  <si>
    <t>BP</t>
  </si>
  <si>
    <t>Adjusted</t>
  </si>
  <si>
    <t>Adj.</t>
  </si>
  <si>
    <t>Abgabenordnung</t>
  </si>
  <si>
    <t>AO</t>
  </si>
  <si>
    <t>Actual figures</t>
  </si>
  <si>
    <t>Angepasst</t>
  </si>
  <si>
    <t xml:space="preserve">Adj. </t>
  </si>
  <si>
    <t>long</t>
  </si>
  <si>
    <t>short</t>
  </si>
  <si>
    <t>English</t>
  </si>
  <si>
    <t>Lang</t>
  </si>
  <si>
    <t>kurz</t>
  </si>
  <si>
    <t>Total output</t>
  </si>
  <si>
    <t>Dummy 4</t>
  </si>
  <si>
    <t>Dummy 3</t>
  </si>
  <si>
    <t>Dummy 2</t>
  </si>
  <si>
    <t>Dummy 1</t>
  </si>
  <si>
    <t>Revenue</t>
  </si>
  <si>
    <t>Contribution margin 1 in %</t>
  </si>
  <si>
    <t>Contribution Margin</t>
  </si>
  <si>
    <t>FYXX</t>
  </si>
  <si>
    <t>Customer 5</t>
  </si>
  <si>
    <t>Customer 4</t>
  </si>
  <si>
    <t>Customer 3</t>
  </si>
  <si>
    <t>Customer 2</t>
  </si>
  <si>
    <t>Customer 1</t>
  </si>
  <si>
    <t>TOP Customer Analyse</t>
  </si>
  <si>
    <t>Cash conversion cycle</t>
  </si>
  <si>
    <t>Ø Days payables outstanding (DPO)</t>
  </si>
  <si>
    <t>Ø Days sales outstanding (DSO)</t>
  </si>
  <si>
    <t>Ø Days inventory outstanding (DIO)</t>
  </si>
  <si>
    <t>Monthly Trade Working Capital</t>
  </si>
  <si>
    <t>EBITDA</t>
  </si>
  <si>
    <t>EBITDA-Bridge</t>
  </si>
  <si>
    <t>Adj. EBITDA</t>
  </si>
  <si>
    <t>Total Output</t>
  </si>
  <si>
    <t>EBITDA-margin</t>
  </si>
  <si>
    <t>EBITDA-margin (normalized)</t>
  </si>
  <si>
    <t>Total Output and EBITDA</t>
  </si>
  <si>
    <t>Revenue Split</t>
  </si>
  <si>
    <t>Check</t>
  </si>
  <si>
    <t>Profit acc. to source sheet</t>
  </si>
  <si>
    <t>Jahresergebnis lt. Quelldatei</t>
  </si>
  <si>
    <t>Tax rate</t>
  </si>
  <si>
    <t>Steuerquote</t>
  </si>
  <si>
    <t>YoY Growth Analysis</t>
  </si>
  <si>
    <t>Jährliches Wachstum</t>
  </si>
  <si>
    <t>Profit / Loss</t>
  </si>
  <si>
    <t>Jahresüberschuss</t>
  </si>
  <si>
    <t>Other taxes</t>
  </si>
  <si>
    <t>Sonstige Steuern</t>
  </si>
  <si>
    <t>Income taxes</t>
  </si>
  <si>
    <t>Ertragssteuern</t>
  </si>
  <si>
    <t>Financial result</t>
  </si>
  <si>
    <t>Finanzergebnis</t>
  </si>
  <si>
    <t>Interest expenses</t>
  </si>
  <si>
    <t>Zinsaufwendungen</t>
  </si>
  <si>
    <t>Interest income</t>
  </si>
  <si>
    <t>Zinserträge</t>
  </si>
  <si>
    <t>Investment income</t>
  </si>
  <si>
    <t>Beteiligungsergebnis</t>
  </si>
  <si>
    <t>Depreciation</t>
  </si>
  <si>
    <t>Abschreibungen</t>
  </si>
  <si>
    <t>Other operating expenses</t>
  </si>
  <si>
    <t>Sonstige betriebliche Aufwendungen</t>
  </si>
  <si>
    <t>Personnel expenses</t>
  </si>
  <si>
    <t>Personalaufwand</t>
  </si>
  <si>
    <t>Sonstige betriebliche Erträge</t>
  </si>
  <si>
    <t>Gross profit</t>
  </si>
  <si>
    <t>Rohergebnis</t>
  </si>
  <si>
    <t>Cost of materials</t>
  </si>
  <si>
    <t>Materialaufwand</t>
  </si>
  <si>
    <t>Gesamtleistung</t>
  </si>
  <si>
    <t>Revenues</t>
  </si>
  <si>
    <t>Umsatzerlöse</t>
  </si>
  <si>
    <t>Technische Zeile --&gt; nicht löschen</t>
  </si>
  <si>
    <t>Equity roll forward</t>
  </si>
  <si>
    <t>Net Assets EoP</t>
  </si>
  <si>
    <t>Nettovermögen (Periodenende)</t>
  </si>
  <si>
    <t>Periodical Profit/Loss</t>
  </si>
  <si>
    <t>Jahresergebnis</t>
  </si>
  <si>
    <t>Profit distribution</t>
  </si>
  <si>
    <t>Gewinnausschüttung</t>
  </si>
  <si>
    <t>∆ Capital reserves</t>
  </si>
  <si>
    <t>∆ Kapitalrücklage</t>
  </si>
  <si>
    <t>∆ Subscriped capital</t>
  </si>
  <si>
    <t>∆ Gezeichnetes Kapital</t>
  </si>
  <si>
    <t>Net Assets BoP</t>
  </si>
  <si>
    <t>Nettovermögen (Periodenbeginn)</t>
  </si>
  <si>
    <t>Equity Roll Forward</t>
  </si>
  <si>
    <t>Net assets (Equity)</t>
  </si>
  <si>
    <t>Nettovermögen (Eigenkapital)</t>
  </si>
  <si>
    <t>Deferred tax liabilities</t>
  </si>
  <si>
    <t>Passive latente Steuern</t>
  </si>
  <si>
    <t>Tax provisions</t>
  </si>
  <si>
    <t>Steuerrückstellungen</t>
  </si>
  <si>
    <t>Net cash / Net debt</t>
  </si>
  <si>
    <t>Netto-Finanzvermögen / -Verbindlichkeiten</t>
  </si>
  <si>
    <t>Liabilities to banks</t>
  </si>
  <si>
    <t>Verbindlichkeiten ggü.Kreditinstituten</t>
  </si>
  <si>
    <t>Cash</t>
  </si>
  <si>
    <t>Liquide Mittel</t>
  </si>
  <si>
    <t>Net working capital</t>
  </si>
  <si>
    <t>Net Working Capital</t>
  </si>
  <si>
    <t>Other working capital</t>
  </si>
  <si>
    <t>Other Working Capital</t>
  </si>
  <si>
    <t>Other liabilities</t>
  </si>
  <si>
    <t>Sonstige Passiva</t>
  </si>
  <si>
    <t>Sonstige Verbindlichkeiten</t>
  </si>
  <si>
    <t>Other provisions</t>
  </si>
  <si>
    <t>Sonstige Rückstellungen</t>
  </si>
  <si>
    <t>Other assets</t>
  </si>
  <si>
    <t>Sonstige Aktiva</t>
  </si>
  <si>
    <t>Prepaid expenses</t>
  </si>
  <si>
    <t>Aktive Rechnungsabgrenzungsposten</t>
  </si>
  <si>
    <t>Sonstige Vermögensgegenstände</t>
  </si>
  <si>
    <t>Trade working capital</t>
  </si>
  <si>
    <t>Trade payables</t>
  </si>
  <si>
    <t>Verbindlichkeiten aus LuL</t>
  </si>
  <si>
    <t>Trade receivables</t>
  </si>
  <si>
    <t>Forderungen aus LuL</t>
  </si>
  <si>
    <t>Inventories</t>
  </si>
  <si>
    <t>Vorräte</t>
  </si>
  <si>
    <t>Fixed assets</t>
  </si>
  <si>
    <t>Anlagevermögen</t>
  </si>
  <si>
    <t>Financial assets</t>
  </si>
  <si>
    <t>Finanzanlagen</t>
  </si>
  <si>
    <t>Tangible assets</t>
  </si>
  <si>
    <t>Sachanlagen</t>
  </si>
  <si>
    <t>Intangible assets</t>
  </si>
  <si>
    <t>Immaterielle Vermögensgegenstände</t>
  </si>
  <si>
    <t>Cash EoP Lead NA</t>
  </si>
  <si>
    <t>Liquide Mittel Periodenende Lead NA</t>
  </si>
  <si>
    <t>1. Periode als Ausgangspunkt auf Lead NA verknüpft</t>
  </si>
  <si>
    <t>Free cash conversion</t>
  </si>
  <si>
    <t>Operating cash conversion</t>
  </si>
  <si>
    <t>In % of EBITDA</t>
  </si>
  <si>
    <t>In % des EBITDA</t>
  </si>
  <si>
    <t>Cash EoP</t>
  </si>
  <si>
    <t>Liquide Mittel (Periodenende)</t>
  </si>
  <si>
    <t>Manuell ergänzen</t>
  </si>
  <si>
    <t>Cash BoP</t>
  </si>
  <si>
    <t>Liquide Mittel (Periodenbeginn)</t>
  </si>
  <si>
    <t>Total change in cash</t>
  </si>
  <si>
    <t>Veränderung Liquide Mittel</t>
  </si>
  <si>
    <t>Financing cash flow</t>
  </si>
  <si>
    <t>Cashflow Finanzierung</t>
  </si>
  <si>
    <t>∆ Equity contributions</t>
  </si>
  <si>
    <t>Kapitalerhöhungen / -herabsetzungen</t>
  </si>
  <si>
    <t>Investing cash flow</t>
  </si>
  <si>
    <t>Cashflow Investitionen</t>
  </si>
  <si>
    <t>Expansion CAPEX</t>
  </si>
  <si>
    <t>Erweiterungsinvestitionen</t>
  </si>
  <si>
    <t>Maintenance CAPEX</t>
  </si>
  <si>
    <t>Erhaltungsinvestitionen</t>
  </si>
  <si>
    <t>Operating cash flow</t>
  </si>
  <si>
    <t>Operativer Cashflow</t>
  </si>
  <si>
    <t>Bilanzveränderungen manuell zu ergänzen</t>
  </si>
  <si>
    <t>Total output acc. to Lead PL</t>
  </si>
  <si>
    <t>Gesamleistung lt. Lead PL</t>
  </si>
  <si>
    <r>
      <t xml:space="preserve">*Top10 customers per each fiscal year, order is based on </t>
    </r>
    <r>
      <rPr>
        <sz val="8"/>
        <color rgb="FFFF0000"/>
        <rFont val="Arial"/>
        <family val="2"/>
      </rPr>
      <t>LTM Jan23</t>
    </r>
    <r>
      <rPr>
        <sz val="11"/>
        <color theme="1"/>
        <rFont val="Calibri"/>
        <family val="2"/>
        <scheme val="minor"/>
      </rPr>
      <t xml:space="preserve"> revenues</t>
    </r>
  </si>
  <si>
    <r>
      <t xml:space="preserve">*Top10 Kunden des jeweiligen Jahres markiert, Gliederung basiert auf den </t>
    </r>
    <r>
      <rPr>
        <sz val="8"/>
        <color rgb="FFFF0000"/>
        <rFont val="Arial"/>
        <family val="2"/>
      </rPr>
      <t>LTM Jan23</t>
    </r>
    <r>
      <rPr>
        <sz val="8"/>
        <rFont val="Arial"/>
        <family val="2"/>
      </rPr>
      <t xml:space="preserve"> Umsätzen</t>
    </r>
  </si>
  <si>
    <t>Share Top10 customers</t>
  </si>
  <si>
    <t>Anteil Top10 Kunden</t>
  </si>
  <si>
    <t>Share Top5 customers</t>
  </si>
  <si>
    <t>Anteil Top5 Kunden</t>
  </si>
  <si>
    <t>!ACHTUNG: Anteil TOP Kunden jeweils nachziehen</t>
  </si>
  <si>
    <t xml:space="preserve">Share Top1 customer </t>
  </si>
  <si>
    <t>Anteil Top1 Kunde</t>
  </si>
  <si>
    <t>Gesamtleistung gesamt</t>
  </si>
  <si>
    <t>Other Revenues</t>
  </si>
  <si>
    <t>Sonstige Umsatzerlöse</t>
  </si>
  <si>
    <t>Revenues Top customers</t>
  </si>
  <si>
    <t>Umsatzerlöse Top Kunden</t>
  </si>
  <si>
    <t>Customer 20</t>
  </si>
  <si>
    <t>Kunde 20</t>
  </si>
  <si>
    <t>Customer 19</t>
  </si>
  <si>
    <t>Kunde 19</t>
  </si>
  <si>
    <t>Customer 18</t>
  </si>
  <si>
    <t>Kunde 18</t>
  </si>
  <si>
    <t>Customer 17</t>
  </si>
  <si>
    <t>Kunde 17</t>
  </si>
  <si>
    <t>Customer 16</t>
  </si>
  <si>
    <t>Kunde 16</t>
  </si>
  <si>
    <t>Customer 15</t>
  </si>
  <si>
    <t>Kunde 15</t>
  </si>
  <si>
    <t>Customer 14</t>
  </si>
  <si>
    <t>Kunde 14</t>
  </si>
  <si>
    <t>Customer 13</t>
  </si>
  <si>
    <t>Kunde 13</t>
  </si>
  <si>
    <t>Customer 12</t>
  </si>
  <si>
    <t>Kunde 12</t>
  </si>
  <si>
    <t>Customer 11</t>
  </si>
  <si>
    <t>Kunde 11</t>
  </si>
  <si>
    <t>Customer 10</t>
  </si>
  <si>
    <t>Kunde 10</t>
  </si>
  <si>
    <t>Customer 9</t>
  </si>
  <si>
    <t>Kunde 9</t>
  </si>
  <si>
    <t>Customer 8</t>
  </si>
  <si>
    <t>Kunde 8</t>
  </si>
  <si>
    <t>Customer 7</t>
  </si>
  <si>
    <t>Kunde 7</t>
  </si>
  <si>
    <t>Customer 6</t>
  </si>
  <si>
    <t>Kunde 6</t>
  </si>
  <si>
    <t>Kunde 5</t>
  </si>
  <si>
    <t>Kunde 4</t>
  </si>
  <si>
    <t>Kunde 3</t>
  </si>
  <si>
    <t>!ACHTUNG: Basis der TOP10 Ordnung in der Fußnote aktualisieren (Standard ist Gliederung nach LTM Umsätzen)</t>
  </si>
  <si>
    <t>Kunde 2</t>
  </si>
  <si>
    <t>!ACHTUNG: TOP10 des jeweiligen Jahres* hellgrau/dunkelgrün (YTD) hinterlegen und #RANG ergänzen</t>
  </si>
  <si>
    <t>Kunde 1</t>
  </si>
  <si>
    <t>TOP10 customers per fiscal year*</t>
  </si>
  <si>
    <t>Top10 Kunden pro Geschäftsjahr*</t>
  </si>
  <si>
    <t>#</t>
  </si>
  <si>
    <t>Personnel expenses Lead PL</t>
  </si>
  <si>
    <t>Personalaufwand Lead PL</t>
  </si>
  <si>
    <t>Social security rate</t>
  </si>
  <si>
    <t>Sozialversicherungsquote</t>
  </si>
  <si>
    <t>Overall average personnel expenses</t>
  </si>
  <si>
    <t>Durchschnittlicher Personalaufwand gesamt</t>
  </si>
  <si>
    <t>Average Personnel expenses</t>
  </si>
  <si>
    <t>Total Headcount</t>
  </si>
  <si>
    <t>Average Headcount</t>
  </si>
  <si>
    <t>Social security</t>
  </si>
  <si>
    <t>Sozialabgaben</t>
  </si>
  <si>
    <t>Wages and salaries</t>
  </si>
  <si>
    <t>Löhne und Gehälter</t>
  </si>
  <si>
    <t>Distribution fixed/variable</t>
  </si>
  <si>
    <t>Verteilung fix/variabel</t>
  </si>
  <si>
    <t>Total expenses (until EBITDA) Lead PL</t>
  </si>
  <si>
    <t>Gesamtaufwand (bis EBITDA) Lead PL</t>
  </si>
  <si>
    <t>variable expenses</t>
  </si>
  <si>
    <t>variable Kosten</t>
  </si>
  <si>
    <t>fixed expenses</t>
  </si>
  <si>
    <t>fixe Kosten</t>
  </si>
  <si>
    <t>Anpassen</t>
  </si>
  <si>
    <t>variable</t>
  </si>
  <si>
    <t>of which variable expenses</t>
  </si>
  <si>
    <t>davon variable Kosten</t>
  </si>
  <si>
    <t>fixed</t>
  </si>
  <si>
    <t>of which fixed expenses</t>
  </si>
  <si>
    <t>davon fixe Kosten</t>
  </si>
  <si>
    <t>Total other operating expenses</t>
  </si>
  <si>
    <t>Dummy 13</t>
  </si>
  <si>
    <t>Dummy 12</t>
  </si>
  <si>
    <t>Dummy 11</t>
  </si>
  <si>
    <t>Dummy 10</t>
  </si>
  <si>
    <t>übrige sonstige betriebliche Aufwendungen</t>
  </si>
  <si>
    <t>Dummy 9</t>
  </si>
  <si>
    <t>verschiedene betriebliche Kosten</t>
  </si>
  <si>
    <t>Dummy 8</t>
  </si>
  <si>
    <t>Werbe- und Reisekosten</t>
  </si>
  <si>
    <t>Dummy 7</t>
  </si>
  <si>
    <t>Fahrzeugkosten</t>
  </si>
  <si>
    <t>Dummy 6</t>
  </si>
  <si>
    <t>Reparaturen und Instandhaltungen</t>
  </si>
  <si>
    <t>Dummy 5</t>
  </si>
  <si>
    <t>Category</t>
  </si>
  <si>
    <t>Cost</t>
  </si>
  <si>
    <t>Kostenart</t>
  </si>
  <si>
    <t>Dropdown, bei abweichender Bezeichnung unter Datenüberprüfung anpassen</t>
  </si>
  <si>
    <t>P/L Check</t>
  </si>
  <si>
    <t>Jahresergebnis Lead PL</t>
  </si>
  <si>
    <t>of FY</t>
  </si>
  <si>
    <t>YTD in %</t>
  </si>
  <si>
    <t>des GJ</t>
  </si>
  <si>
    <t>EBITDA Lead PL</t>
  </si>
  <si>
    <t>BT normalized EBITDA II</t>
  </si>
  <si>
    <t>BT normalisiertes EBITDA II</t>
  </si>
  <si>
    <t>Pro forma Anpassungen BT</t>
  </si>
  <si>
    <t>BT pro forma adjustments</t>
  </si>
  <si>
    <t>BT normalized EBITDA I</t>
  </si>
  <si>
    <t>BT normalisiertes EBITDA I</t>
  </si>
  <si>
    <t>BT normalization adjustments</t>
  </si>
  <si>
    <t>Normalisierungsanpassungen BT</t>
  </si>
  <si>
    <t>Management normalized EBITDA</t>
  </si>
  <si>
    <t>Management normalisiertes EBITDA</t>
  </si>
  <si>
    <t>Mgmt normalization adjustments</t>
  </si>
  <si>
    <t>Normalisierungsanpassungen Management</t>
  </si>
  <si>
    <t>Reported EBITDA</t>
  </si>
  <si>
    <t>Ref.</t>
  </si>
  <si>
    <t>CAPEX I Lead CF</t>
  </si>
  <si>
    <t>thereof expansion CAPEX</t>
  </si>
  <si>
    <t>davon Erweiterungsinvestitionen</t>
  </si>
  <si>
    <t>Manuell anpassen</t>
  </si>
  <si>
    <t>thereof maintenance CAPEX</t>
  </si>
  <si>
    <t>davon Erhaltungsinvestitionen</t>
  </si>
  <si>
    <t>Total Investments (CAPEX)</t>
  </si>
  <si>
    <t>Investitionsaufwand (CAPEX) gesamt</t>
  </si>
  <si>
    <t>Further investments</t>
  </si>
  <si>
    <t>Weitere Investitionen</t>
  </si>
  <si>
    <t>ACHTUNG: Grenze Manuell anpassen</t>
  </si>
  <si>
    <r>
      <t>Capital expenditure (</t>
    </r>
    <r>
      <rPr>
        <b/>
        <u/>
        <sz val="8"/>
        <color rgb="FFFF0000"/>
        <rFont val="Arial"/>
        <family val="2"/>
      </rPr>
      <t>&gt;kEUR XXX</t>
    </r>
    <r>
      <rPr>
        <b/>
        <u/>
        <sz val="8"/>
        <rFont val="Arial"/>
        <family val="2"/>
      </rPr>
      <t>)</t>
    </r>
  </si>
  <si>
    <r>
      <t>Getätigte Investitionen (</t>
    </r>
    <r>
      <rPr>
        <b/>
        <u/>
        <sz val="8"/>
        <color rgb="FFFF0000"/>
        <rFont val="Arial"/>
        <family val="2"/>
      </rPr>
      <t>&gt;TEUR XXX</t>
    </r>
    <r>
      <rPr>
        <b/>
        <u/>
        <sz val="8"/>
        <rFont val="Arial"/>
        <family val="2"/>
      </rPr>
      <t>)</t>
    </r>
  </si>
  <si>
    <t>Trade receivables Lead NA</t>
  </si>
  <si>
    <t>Forderungen LuL Lead NA</t>
  </si>
  <si>
    <t>Specific valuation allowance</t>
  </si>
  <si>
    <t>Einzelwertberichtigung</t>
  </si>
  <si>
    <t>General valuation allowance</t>
  </si>
  <si>
    <t>Pauschalwertberichtigung</t>
  </si>
  <si>
    <t>Non-impaired trade receivables</t>
  </si>
  <si>
    <t>&gt; 90 days</t>
  </si>
  <si>
    <t>&gt; 90 Tage</t>
  </si>
  <si>
    <t>61 - 90 days</t>
  </si>
  <si>
    <t>61 - 90 Tage</t>
  </si>
  <si>
    <t>30 - 60 days</t>
  </si>
  <si>
    <t>30 - 60 Tage</t>
  </si>
  <si>
    <t>&lt; 30 days</t>
  </si>
  <si>
    <t>&lt; 30 Tage</t>
  </si>
  <si>
    <t>Current</t>
  </si>
  <si>
    <t>Nicht fällig</t>
  </si>
  <si>
    <t>Ageing structure in %</t>
  </si>
  <si>
    <t>Altersstruktur in %</t>
  </si>
  <si>
    <t>Impairments</t>
  </si>
  <si>
    <t>Wertberichtigungen</t>
  </si>
  <si>
    <t>Inventories Lead NA</t>
  </si>
  <si>
    <t>Vorräte Lead NA</t>
  </si>
  <si>
    <t>in % of Inventories</t>
  </si>
  <si>
    <t>in % der Vorräte</t>
  </si>
  <si>
    <t>Normalized inventories</t>
  </si>
  <si>
    <t>Normalisierte Vorräte</t>
  </si>
  <si>
    <t>Valuation allowance for inventories</t>
  </si>
  <si>
    <t>Wertberichtigung auf Vorräte</t>
  </si>
  <si>
    <t>Other Products</t>
  </si>
  <si>
    <t>Andere Produkte</t>
  </si>
  <si>
    <t>Top 10 Products</t>
  </si>
  <si>
    <t>Top 10 Produkte</t>
  </si>
  <si>
    <t>Product 10</t>
  </si>
  <si>
    <t>Produkt 10</t>
  </si>
  <si>
    <t>Product 9</t>
  </si>
  <si>
    <t>Produkt 9</t>
  </si>
  <si>
    <t>Product 8</t>
  </si>
  <si>
    <t>Produkt 8</t>
  </si>
  <si>
    <t>Product 7</t>
  </si>
  <si>
    <t>Produkt 7</t>
  </si>
  <si>
    <t>Product 6</t>
  </si>
  <si>
    <t>Produkt 6</t>
  </si>
  <si>
    <t>Product 5</t>
  </si>
  <si>
    <t>Produkt 5</t>
  </si>
  <si>
    <t>Product 4</t>
  </si>
  <si>
    <t>Produkt 4</t>
  </si>
  <si>
    <t>Product 3</t>
  </si>
  <si>
    <t>Produkt 3</t>
  </si>
  <si>
    <t>Product 2</t>
  </si>
  <si>
    <t>Produkt 2</t>
  </si>
  <si>
    <t>Product 1</t>
  </si>
  <si>
    <t>Produkt 1</t>
  </si>
  <si>
    <t>Average</t>
  </si>
  <si>
    <t>Mittelwert</t>
  </si>
  <si>
    <t>Swing</t>
  </si>
  <si>
    <t>"mmyy"</t>
  </si>
  <si>
    <t>Max</t>
  </si>
  <si>
    <t>Min</t>
  </si>
  <si>
    <t>Annual Ranges TWC</t>
  </si>
  <si>
    <t>Cash Conversion Cycle (normalized)</t>
  </si>
  <si>
    <t>Cash Conversion Cycle (normalisiert)*</t>
  </si>
  <si>
    <t>Ø Days payables outstanding (DPO - normalized)</t>
  </si>
  <si>
    <t>Ø Kreditorenlaufzeit (DPO - normalisiert)</t>
  </si>
  <si>
    <t>Ø Days sales outstanding (DSO - normalized)</t>
  </si>
  <si>
    <t>Ø Debitorenlaufzeit (DSO - normalisiert)</t>
  </si>
  <si>
    <t>Ø Days inventory outstanding (DIO - normalized)</t>
  </si>
  <si>
    <t>Ø Lagerdauer (DIO - normalisiert)</t>
  </si>
  <si>
    <t>Cash Conversion Cycle*</t>
  </si>
  <si>
    <t>Ø Kreditorenlaufzeit (DPO)</t>
  </si>
  <si>
    <t>Ø Debitorenlaufzeit (DSO)</t>
  </si>
  <si>
    <t>Ø Lagerdauer (DIO)</t>
  </si>
  <si>
    <t>Days</t>
  </si>
  <si>
    <t>Tage</t>
  </si>
  <si>
    <t>Net Cash / Net Debt Lead NA</t>
  </si>
  <si>
    <t>Net cash / net debt (incl. DLI/CLI)</t>
  </si>
  <si>
    <t>Netto-Finanzvermögen / -Verbindlichkeiten (inkl. DLI/CLI)</t>
  </si>
  <si>
    <t>Profit/Loss LTM Lead PL</t>
  </si>
  <si>
    <t>Jahresüberschuss LTM Lead PL</t>
  </si>
  <si>
    <t>Profit/Loss Lead PL</t>
  </si>
  <si>
    <t>Jahresüberschuss Lead PL</t>
  </si>
  <si>
    <t>Neu Verlinken nach Bedarf</t>
  </si>
  <si>
    <t>Dummy</t>
  </si>
  <si>
    <t>Product Mix</t>
  </si>
  <si>
    <t>Produktmix</t>
  </si>
  <si>
    <t>Gross profit Lead PL</t>
  </si>
  <si>
    <t>Rohergebnis Lead PL</t>
  </si>
  <si>
    <t>Total output Lead PL</t>
  </si>
  <si>
    <t>Gesamtleistung Lead PL</t>
  </si>
  <si>
    <t>Total</t>
  </si>
  <si>
    <t>Gesamt</t>
  </si>
  <si>
    <t>Gross margins</t>
  </si>
  <si>
    <t>Rohertragsmargen</t>
  </si>
  <si>
    <t>Revenues Lead PL</t>
  </si>
  <si>
    <t>Umsatzerlöse Lead PL</t>
  </si>
  <si>
    <t>Quantity</t>
  </si>
  <si>
    <t>Menge</t>
  </si>
  <si>
    <t>YoY growth analysis</t>
  </si>
  <si>
    <t>Average revenue per pc.</t>
  </si>
  <si>
    <t>Durchschnittlicher Umsatz pro Stk.</t>
  </si>
  <si>
    <t>Quantity (in '000 pc.)</t>
  </si>
  <si>
    <t>Menge (in '000 Stk.)</t>
  </si>
  <si>
    <t>Umsatz</t>
  </si>
  <si>
    <t>Bandbreite</t>
  </si>
  <si>
    <t>Low</t>
  </si>
  <si>
    <t>High</t>
  </si>
  <si>
    <t>Trade Working Capital Ranges</t>
  </si>
  <si>
    <t>Trade Working Capital Bandbreite</t>
  </si>
  <si>
    <t>month</t>
  </si>
  <si>
    <t>months</t>
  </si>
  <si>
    <t>Last</t>
  </si>
  <si>
    <t>Last 3</t>
  </si>
  <si>
    <t>Last 6</t>
  </si>
  <si>
    <t>Last 9</t>
  </si>
  <si>
    <t>Last 12</t>
  </si>
  <si>
    <t>Monat</t>
  </si>
  <si>
    <t>Monate</t>
  </si>
  <si>
    <t>Letzter</t>
  </si>
  <si>
    <t>Letzte 3</t>
  </si>
  <si>
    <t>Letzte 6</t>
  </si>
  <si>
    <t>Letzte 9</t>
  </si>
  <si>
    <t>Letzte 12</t>
  </si>
  <si>
    <t>Total Dummy</t>
  </si>
  <si>
    <t>Summe Dummy</t>
  </si>
  <si>
    <t>*Degree of wear is calculated as Depreciation / Historical costs</t>
  </si>
  <si>
    <t>*der Abnutzungsgrad ist definiert als Abschreibung / AHK</t>
  </si>
  <si>
    <t>Degree of wear (in %)*</t>
  </si>
  <si>
    <t>Abnutzungsgrad (in %)*</t>
  </si>
  <si>
    <t>Tangible Assets (book value)</t>
  </si>
  <si>
    <t>Accumulated depreciation</t>
  </si>
  <si>
    <t>Kumulierte Abschreibung</t>
  </si>
  <si>
    <t>Tangible Assets (historical costs)</t>
  </si>
  <si>
    <t>Sachanlagen - AHK</t>
  </si>
  <si>
    <t>Dummy 2 (book value)</t>
  </si>
  <si>
    <t>Dummy 2 (historical costs)</t>
  </si>
  <si>
    <t>Dummy 2 - AHK</t>
  </si>
  <si>
    <t>Dummy 1 (book value)</t>
  </si>
  <si>
    <t>Dummy 1 (historical costs)</t>
  </si>
  <si>
    <t>Dummy 1 - AHK</t>
  </si>
  <si>
    <t>Plant &amp; machinery (book value)</t>
  </si>
  <si>
    <t>Technische Anlagen und Maschinen</t>
  </si>
  <si>
    <t>Plant &amp; machinery (historical costs)</t>
  </si>
  <si>
    <t>Technische Anlagen und Maschinen - AHK</t>
  </si>
  <si>
    <t>Trade payables Lead NA</t>
  </si>
  <si>
    <t>Verbindlichkeiten LuL Lead NA</t>
  </si>
  <si>
    <t>Normalized trade payables</t>
  </si>
  <si>
    <t>Normalisierte Verbindlichkeiten aus LuL</t>
  </si>
  <si>
    <t>Equity acc. to source sheet</t>
  </si>
  <si>
    <t>Group</t>
  </si>
  <si>
    <t>Consolidation</t>
  </si>
  <si>
    <t>Sum</t>
  </si>
  <si>
    <t>Gruppe</t>
  </si>
  <si>
    <t>Konsolidierung</t>
  </si>
  <si>
    <t>Summe</t>
  </si>
  <si>
    <t>∆</t>
  </si>
  <si>
    <t>Financials</t>
  </si>
  <si>
    <t>reporting</t>
  </si>
  <si>
    <t>Management-</t>
  </si>
  <si>
    <t>Abschlüsse</t>
  </si>
  <si>
    <t>Testierte</t>
  </si>
  <si>
    <t>ACT P/L Check (Lead PL)</t>
  </si>
  <si>
    <t>in %</t>
  </si>
  <si>
    <t>∆ Act./Plan</t>
  </si>
  <si>
    <t>∆ IST/Plan</t>
  </si>
  <si>
    <t>Change in inventory</t>
  </si>
  <si>
    <t>Bestandsveränderung</t>
  </si>
  <si>
    <t>Premise costs</t>
  </si>
  <si>
    <t>Repair and maintenance</t>
  </si>
  <si>
    <t>Sales costs</t>
  </si>
  <si>
    <t>Delivery costs</t>
  </si>
  <si>
    <t>Vehicle costs</t>
  </si>
  <si>
    <t>Insurance, contributions and levies expenses</t>
  </si>
  <si>
    <t>Advertising and travel expenses</t>
  </si>
  <si>
    <t>Vertriebskosten</t>
  </si>
  <si>
    <t>Versicherung, Beiträge und Abgaben</t>
  </si>
  <si>
    <t>Kosten der Warenabgabe</t>
  </si>
  <si>
    <t>Advance payments received</t>
  </si>
  <si>
    <t>Erhaltene Anzahlungen</t>
  </si>
  <si>
    <t>Liabilities to affiliated/ participating companies</t>
  </si>
  <si>
    <t>Liabilities to shareholders</t>
  </si>
  <si>
    <t>Receivables from affiliated/ participating companies</t>
  </si>
  <si>
    <t>Receivables from shareholders</t>
  </si>
  <si>
    <t>Deferred income</t>
  </si>
  <si>
    <t>Forderungen gegenüber Gesellschaftern</t>
  </si>
  <si>
    <t>Forderungen gegenüber verbundenen/beteiligten Unternehmen</t>
  </si>
  <si>
    <t>Verbindlichkeiten an Gesellschafter</t>
  </si>
  <si>
    <t>Verbindlichkeiten an verbundenen/beteiligten Unternehmen</t>
  </si>
  <si>
    <t>Passive Rechnungsabgrenzungsposten</t>
  </si>
  <si>
    <t>Pensionsrückstellungen</t>
  </si>
  <si>
    <t>Pension provisions</t>
  </si>
  <si>
    <t>/profit and loss/income/sales</t>
  </si>
  <si>
    <t>Own work capitalized</t>
  </si>
  <si>
    <t>Aktivierte Eigenleistungen</t>
  </si>
  <si>
    <t>Mapping_Dropdown_as_reported</t>
  </si>
  <si>
    <t>BT_adjustment_Dropdown</t>
  </si>
  <si>
    <t>/profit and loss</t>
  </si>
  <si>
    <t>/profit and loss/income</t>
  </si>
  <si>
    <t>/profit and loss/income/increase in inventory</t>
  </si>
  <si>
    <t>/profit and loss/income/change in inventory</t>
  </si>
  <si>
    <t>/profit and loss/income/own work capitalised</t>
  </si>
  <si>
    <t>/profit and loss/income/income from investments</t>
  </si>
  <si>
    <t>/profit and loss/income/income from other securities and loans of financial assets</t>
  </si>
  <si>
    <t>/profit and loss/income/interest income</t>
  </si>
  <si>
    <t>/profit and loss/income/other income</t>
  </si>
  <si>
    <t>/profit and loss/expense</t>
  </si>
  <si>
    <t>/profit and loss/expense/decrease in inventory</t>
  </si>
  <si>
    <t>/profit and loss/expense/material expense</t>
  </si>
  <si>
    <t>/profit and loss/expense/personnel expense</t>
  </si>
  <si>
    <t>/profit and loss/expense/depreciation expense</t>
  </si>
  <si>
    <t>/profit and loss/expense/interest expense</t>
  </si>
  <si>
    <t>/profit and loss/expense/taxes</t>
  </si>
  <si>
    <t>/profit and loss/expense/taxes/taxes on income and earnings</t>
  </si>
  <si>
    <t>/profit and loss/expense/taxes/other taxes</t>
  </si>
  <si>
    <t>/profit and loss/profit</t>
  </si>
  <si>
    <t>/working capital</t>
  </si>
  <si>
    <t>/working capital/inventory</t>
  </si>
  <si>
    <t>/working capital/inventory/raw materials, auxiliary materials and operating materials</t>
  </si>
  <si>
    <t>/working capital/inventory/unfinished products, work in progress</t>
  </si>
  <si>
    <t>/working capital/inventory/finished products and goods</t>
  </si>
  <si>
    <t>/working capital/inventory/advance payments made</t>
  </si>
  <si>
    <t>/working capital/other working capital</t>
  </si>
  <si>
    <t>/working capital/other working capital/prepaid expenses</t>
  </si>
  <si>
    <t>/working capital/other working capital/deferred income</t>
  </si>
  <si>
    <t>/working capital/other working capital/other current assets</t>
  </si>
  <si>
    <t>/working capital/other working capital/other current liabilities</t>
  </si>
  <si>
    <t>/working capital/other working capital/other receivables</t>
  </si>
  <si>
    <t>/net debt</t>
  </si>
  <si>
    <t>/net debt/securities</t>
  </si>
  <si>
    <t>/net debt/cash and cash equivalent</t>
  </si>
  <si>
    <t>/net debt/provisions for pensions and similar obligations</t>
  </si>
  <si>
    <t>/net debt/tax provisions</t>
  </si>
  <si>
    <t>/net debt/other provisions</t>
  </si>
  <si>
    <t>/net debt/bonds issued</t>
  </si>
  <si>
    <t>/net debt/liabilities to credit institutions</t>
  </si>
  <si>
    <t>/net debt/liabilities to shareholders</t>
  </si>
  <si>
    <t>/net debt/debt like item</t>
  </si>
  <si>
    <t>/fixed assets</t>
  </si>
  <si>
    <t>/fixed assets/intangible assets</t>
  </si>
  <si>
    <t>/fixed assets/intangible assets/self developed intangible assets</t>
  </si>
  <si>
    <t>/fixed assets/intangible assets/patents, licenses, trademarks and other</t>
  </si>
  <si>
    <t>/fixed assets/intangible assets/goodwill</t>
  </si>
  <si>
    <t>/fixed assets/intangible assets/advance payments on patents &amp; licenses</t>
  </si>
  <si>
    <t>/fixed assets/tangible assets</t>
  </si>
  <si>
    <t>/fixed assets/tangible assets/land, buildings, including buildings on third-party land</t>
  </si>
  <si>
    <t>/fixed assets/tangible assets/technical equipment and machinery</t>
  </si>
  <si>
    <t>/fixed assets/tangible assets/other assets and fixtures, operating and business equipment</t>
  </si>
  <si>
    <t>/fixed assets/tangible assets/advance payments on fixed assets / facilities under construction</t>
  </si>
  <si>
    <t>/fixed assets/financial assets</t>
  </si>
  <si>
    <t>/fixed assets/financial assets/long-term shares in affiliated companies</t>
  </si>
  <si>
    <t>/fixed assets/financial assets/loans to affiliated companies</t>
  </si>
  <si>
    <t>/fixed assets/financial assets/investments in other companies</t>
  </si>
  <si>
    <t>/fixed assets/financial assets/loans to companies in which a participating interest is held</t>
  </si>
  <si>
    <t>/fixed assets/financial assets/financial securities held as fixed assets</t>
  </si>
  <si>
    <t>/fixed assets/financial assets/other loans</t>
  </si>
  <si>
    <t>/equity</t>
  </si>
  <si>
    <t>/equity/issued capital</t>
  </si>
  <si>
    <t>/equity/capital reserves</t>
  </si>
  <si>
    <t>/equity/retained earnings</t>
  </si>
  <si>
    <t>/equity/retained earnings/obligatory retained earnings</t>
  </si>
  <si>
    <t>/equity/retained earnings/retained earnings from shares in a controlling or majority-owned company</t>
  </si>
  <si>
    <t>/equity/retained earnings/retained earnings due to articles of association</t>
  </si>
  <si>
    <t>/equity/profit/loss carried forward</t>
  </si>
  <si>
    <t>/equity/net profit/net loss</t>
  </si>
  <si>
    <t>/equity/net profit/net loss/testtest</t>
  </si>
  <si>
    <t>/working capital/other working capital/receivables from affiliated companies</t>
  </si>
  <si>
    <t>/working capital/other working capital/receivables from shareholders</t>
  </si>
  <si>
    <t>/working capital/other working capital/other provisions</t>
  </si>
  <si>
    <t>/working capital/other working capital/other liabilities</t>
  </si>
  <si>
    <t>/working capital/other working capital/tax provisions</t>
  </si>
  <si>
    <t>/working capital/other working capital/liabilities to affiliated companies</t>
  </si>
  <si>
    <t>/working capital/other working capital/liabilities to shareholders</t>
  </si>
  <si>
    <t>/other/deferred tax liabilities</t>
  </si>
  <si>
    <t>manual adjustment</t>
  </si>
  <si>
    <t>Check TWC</t>
  </si>
  <si>
    <t>Check OWC</t>
  </si>
  <si>
    <t>Check for information regarding maintenance/ expansion or change to generally "CAPEX"</t>
  </si>
  <si>
    <t>Other items to be considered</t>
  </si>
  <si>
    <t>/btadjustment/QOE/normalization_1</t>
  </si>
  <si>
    <t>/btadjustment/QOE/normalization_2</t>
  </si>
  <si>
    <t>/btadjustment/QOE/normalization_3</t>
  </si>
  <si>
    <t>/btadjustment/QOE/normalization_4</t>
  </si>
  <si>
    <t>/btadjustment/QOE/normalization_5</t>
  </si>
  <si>
    <t>/btadjustment/QOE/normalization_6</t>
  </si>
  <si>
    <t>/btadjustment/QOE/proforma_1</t>
  </si>
  <si>
    <t>/btadjustment/QOE/proforma_2</t>
  </si>
  <si>
    <t>/btadjustment/QOE/proforma_3</t>
  </si>
  <si>
    <t>/btadjustment/QOE/proforma_4</t>
  </si>
  <si>
    <t>Trade Working Capital - as reported</t>
  </si>
  <si>
    <t>Revenues LTM</t>
  </si>
  <si>
    <t>Cost of materials LTM</t>
  </si>
  <si>
    <t>BT adjustments</t>
  </si>
  <si>
    <t>BT Anpassungen</t>
  </si>
  <si>
    <t>Net working capital - adjusted</t>
  </si>
  <si>
    <t>Net working capital - normalisiert</t>
  </si>
  <si>
    <t>/btadjustment/working capital/net debt/normalization_1</t>
  </si>
  <si>
    <t>/btadjustment/working capital/net debt/normalization_2</t>
  </si>
  <si>
    <t>/btadjustment/working capital/net debt/normalization_3</t>
  </si>
  <si>
    <t>Virtual Data Room/ Company Information</t>
  </si>
  <si>
    <t>Datenraum/ eigene Analysen</t>
  </si>
  <si>
    <t>BT Anpassungen - gesamt</t>
  </si>
  <si>
    <t>BT adjustments - total</t>
  </si>
  <si>
    <t>/btadjustment/working capital/other items_1</t>
  </si>
  <si>
    <t>/btadjustment/working capital/other items_2</t>
  </si>
  <si>
    <t>/btadjustment/working capital/other items_3</t>
  </si>
  <si>
    <t>/btadjustment/QOE/other items_1</t>
  </si>
  <si>
    <t>/btadjustment/QOE/other items_2</t>
  </si>
  <si>
    <t>/btadjustment/QOE/other items_3</t>
  </si>
  <si>
    <t>/btadjustment/QOE/other items_4</t>
  </si>
  <si>
    <t>/btadjustment/QOE/other items_5</t>
  </si>
  <si>
    <t>/btadjustment/net deb/normalization_1</t>
  </si>
  <si>
    <t>/btadjustment/net deb/normalization_2</t>
  </si>
  <si>
    <t>/btadjustment/net deb/normalization_3</t>
  </si>
  <si>
    <t>/btadjustment/net deb/other items_1</t>
  </si>
  <si>
    <t>/btadjustment/net deb/other items_2</t>
  </si>
  <si>
    <t>/btadjustment/net deb/other items_3</t>
  </si>
  <si>
    <t>/btadjustment/net deb/other items_4</t>
  </si>
  <si>
    <t>/btadjustment/net deb/other items_5</t>
  </si>
  <si>
    <t>/btadjustment/net deb/other items_6</t>
  </si>
  <si>
    <t>BT - other items to be considered</t>
  </si>
  <si>
    <t xml:space="preserve"> </t>
  </si>
  <si>
    <t>/btadjustment/other working capital/normalization_1</t>
  </si>
  <si>
    <t>/btadjustment/trade working capital/normalization_1</t>
  </si>
  <si>
    <t>/btadjustment/trade working capital/normalization_2</t>
  </si>
  <si>
    <t>/btadjustment/trade working capital/normalization_3</t>
  </si>
  <si>
    <t>/btadjustment/trade working capital/normalization_4</t>
  </si>
  <si>
    <t>/btadjustment/trade working capital/normalization_5</t>
  </si>
  <si>
    <t>/btadjustment/trade working capital/normalization_6</t>
  </si>
  <si>
    <t>/btadjustment/other working capital/normalization_2</t>
  </si>
  <si>
    <t>/btadjustment/other working capital/normalization_3</t>
  </si>
  <si>
    <t>/btadjustment/other working capital/normalization_4</t>
  </si>
  <si>
    <t>/btadjustment/other working capital/normalization_5</t>
  </si>
  <si>
    <t>/btadjustment/other working capital/normalization_6</t>
  </si>
  <si>
    <t>BT Anpassungen TWC</t>
  </si>
  <si>
    <t>BT adjustments TWC</t>
  </si>
  <si>
    <t>BT Anpassungen TWC - gesamt</t>
  </si>
  <si>
    <t>BT adjustments TWC - total</t>
  </si>
  <si>
    <t>BT Anpassungen OWC</t>
  </si>
  <si>
    <t>BT adjustments OWC</t>
  </si>
  <si>
    <t>BT Anpassungen OWC - gesamt</t>
  </si>
  <si>
    <t>BT adjustments OWC - total</t>
  </si>
  <si>
    <t>Net Working Capital Bandbreite</t>
  </si>
  <si>
    <t>Net Working Capital Ranges</t>
  </si>
  <si>
    <t>LTM revenue</t>
  </si>
  <si>
    <t>TWC adjusted in %-LTM revenue</t>
  </si>
  <si>
    <t>NWC adjusted in %-LTM revenue</t>
  </si>
  <si>
    <t>n.a.</t>
  </si>
  <si>
    <t>Target Trade Working Capital</t>
  </si>
  <si>
    <t>TWC in % LTM revenue</t>
  </si>
  <si>
    <t>NWC in % LTM revenue</t>
  </si>
  <si>
    <t>Target Working Capital analysis</t>
  </si>
  <si>
    <t>Target Working Capital Analyse</t>
  </si>
  <si>
    <t>Quelle:</t>
  </si>
  <si>
    <t>Source:</t>
  </si>
  <si>
    <t>Classification BT</t>
  </si>
  <si>
    <t>Databook Financial Due Diligence</t>
  </si>
  <si>
    <t>Adjust according to language(DEU/ ENG)</t>
  </si>
  <si>
    <t>TWC in % LTM Revenue</t>
  </si>
  <si>
    <t>Reclassification to net debt</t>
  </si>
  <si>
    <t>Umgliederung - gesamt</t>
  </si>
  <si>
    <t>Reclassification out of NWC</t>
  </si>
  <si>
    <t>Bandbreite TWC/ NWC</t>
  </si>
  <si>
    <t>TWC as reported in % LTM Umsatzerlöse</t>
  </si>
  <si>
    <t>NWC as reported in % LTM Umsatzerlöse</t>
  </si>
  <si>
    <t>NWC adjusted in % LTM Umsatzerlöse</t>
  </si>
  <si>
    <t>TWC as reported in % LTM Revenues</t>
  </si>
  <si>
    <t>NWC as reported in % LTM Revenues</t>
  </si>
  <si>
    <t>NWC adjusted in % LTM Revenues</t>
  </si>
  <si>
    <t>Sonstige debt like / cash like items</t>
  </si>
  <si>
    <t>Other debt like / cash like items</t>
  </si>
  <si>
    <t>/btadjustment/working capital/net debt/normalization_4</t>
  </si>
  <si>
    <t>/btadjustment/working capital/net debt/normalization_5</t>
  </si>
  <si>
    <t>/btadjustment/working capital/net debt/normalization_6</t>
  </si>
  <si>
    <t>Reclassification NWC</t>
  </si>
  <si>
    <t>/btadjustment/net deb/normalization_4</t>
  </si>
  <si>
    <t>/btadjustment/net deb/normalization_5</t>
  </si>
  <si>
    <t>/btadjustment/net deb/normalization_6</t>
  </si>
  <si>
    <t>Free Cashflow</t>
  </si>
  <si>
    <t>in EUR</t>
  </si>
  <si>
    <t>2021</t>
  </si>
  <si>
    <t>2022</t>
  </si>
  <si>
    <t>2023</t>
  </si>
  <si>
    <t>2024</t>
  </si>
  <si>
    <t xml:space="preserve">                Immat. Vermögensgegenst. in Entwicklung</t>
  </si>
  <si>
    <t xml:space="preserve">                Intangible assets under development</t>
  </si>
  <si>
    <t xml:space="preserve">            In der Entwicklung befindliche immaterielle Vermögensgegenstände</t>
  </si>
  <si>
    <t xml:space="preserve">            Intangible assets under development</t>
  </si>
  <si>
    <t xml:space="preserve">                EDV-Software, entgeltl. erworben</t>
  </si>
  <si>
    <t xml:space="preserve">                EDP software, acquired for a fee</t>
  </si>
  <si>
    <t xml:space="preserve">            Entgeltlich erworbene Konzessionen, gewerbliche Schutzrechte und ähnliche Rechte und Werte sowie Lizenzen an solchen Rechten und Werten</t>
  </si>
  <si>
    <t xml:space="preserve">            Acquired concessions, industrial property rights and similar rights and values, as well as licenses to such rights and values</t>
  </si>
  <si>
    <t xml:space="preserve">        Immaterielle Vermögensgegenstände</t>
  </si>
  <si>
    <t xml:space="preserve">        Intangible assets</t>
  </si>
  <si>
    <t xml:space="preserve">                Maschinen</t>
  </si>
  <si>
    <t xml:space="preserve">                Machinery</t>
  </si>
  <si>
    <t xml:space="preserve">            Technische Anlagen und Maschinen</t>
  </si>
  <si>
    <t xml:space="preserve">            Technical equipment and machinery</t>
  </si>
  <si>
    <t xml:space="preserve">                Betriebsausstattung</t>
  </si>
  <si>
    <t xml:space="preserve">                Operating equipment</t>
  </si>
  <si>
    <t xml:space="preserve">                Werkzeuge</t>
  </si>
  <si>
    <t xml:space="preserve">                Tools</t>
  </si>
  <si>
    <t xml:space="preserve">                Sonstige Betriebs-u.Gesch.ausstattung</t>
  </si>
  <si>
    <t xml:space="preserve">                Other operating and business equipment</t>
  </si>
  <si>
    <t xml:space="preserve">            Andere Anlagen, Betriebs- und Geschäftsausstattung</t>
  </si>
  <si>
    <t xml:space="preserve">            Other equipment, operating and office equipment</t>
  </si>
  <si>
    <t xml:space="preserve">                Anzahlungen auf technische Anlagen</t>
  </si>
  <si>
    <t xml:space="preserve">                Advance payments for technical equipment</t>
  </si>
  <si>
    <t xml:space="preserve">                Anzahlung Betriebs- u. Gesch.ausstattung</t>
  </si>
  <si>
    <t xml:space="preserve">                Advance payment for operating and business equipment</t>
  </si>
  <si>
    <t xml:space="preserve">            Geleistete Anzahlungen und Anlagen im Bau</t>
  </si>
  <si>
    <t xml:space="preserve">            Advance payments and assets under construction</t>
  </si>
  <si>
    <t xml:space="preserve">        Sachanlagen</t>
  </si>
  <si>
    <t xml:space="preserve">        Property, plant and equipment</t>
  </si>
  <si>
    <t xml:space="preserve">                Wertpapiere des Anlagevermögens</t>
  </si>
  <si>
    <t xml:space="preserve">                Securities of fixed assets</t>
  </si>
  <si>
    <t xml:space="preserve">            Wertpapiere des Anlagevermögens</t>
  </si>
  <si>
    <t xml:space="preserve">            Securities of fixed assets</t>
  </si>
  <si>
    <t xml:space="preserve">                Genossenschaftsanteile z.lfr.Verbleib</t>
  </si>
  <si>
    <t xml:space="preserve">                Cooperative shares for long-term retention</t>
  </si>
  <si>
    <t xml:space="preserve">            Genossenschaftsanteile</t>
  </si>
  <si>
    <t xml:space="preserve">            Cooperative shares</t>
  </si>
  <si>
    <t xml:space="preserve">        Finanzanlagen</t>
  </si>
  <si>
    <t xml:space="preserve">        Financial assets</t>
  </si>
  <si>
    <t xml:space="preserve">    Anlagevermögen</t>
  </si>
  <si>
    <t xml:space="preserve">    Fixed assets</t>
  </si>
  <si>
    <t xml:space="preserve">                Bestand Roh-,Hilfs- und Betriebsstoffe</t>
  </si>
  <si>
    <t xml:space="preserve">                Inventory of raw, auxiliary, and operating materials</t>
  </si>
  <si>
    <t xml:space="preserve">            Roh-, Hilfs- und Betriebsstoffe</t>
  </si>
  <si>
    <t xml:space="preserve">            Raw materials, auxiliary materials, and operating supplies</t>
  </si>
  <si>
    <t xml:space="preserve">                Unfertige Erzeugnisse</t>
  </si>
  <si>
    <t xml:space="preserve">                Work in progress</t>
  </si>
  <si>
    <t xml:space="preserve">            Unfertige Erzeugnisse, unfertige Leistungen</t>
  </si>
  <si>
    <t xml:space="preserve">            Work in progress, unfinished services</t>
  </si>
  <si>
    <t xml:space="preserve">                Bestand Waren</t>
  </si>
  <si>
    <t xml:space="preserve">                Inventory Goods</t>
  </si>
  <si>
    <t xml:space="preserve">                Fertige Erzeugnisse und Waren</t>
  </si>
  <si>
    <t xml:space="preserve">                Finished goods and merchandise</t>
  </si>
  <si>
    <t xml:space="preserve">            Fertige Erzeugnisse und Waren</t>
  </si>
  <si>
    <t xml:space="preserve">            Finished goods and merchandise</t>
  </si>
  <si>
    <t xml:space="preserve">                Geleistete Anzahlungen 19% Vorsteuer</t>
  </si>
  <si>
    <t xml:space="preserve">                Advance payments 19% VAT</t>
  </si>
  <si>
    <t xml:space="preserve">            Geleistete Anzahlungen</t>
  </si>
  <si>
    <t xml:space="preserve">            Advance payments made</t>
  </si>
  <si>
    <t xml:space="preserve">        Vorräte</t>
  </si>
  <si>
    <t xml:space="preserve">        Inventories</t>
  </si>
  <si>
    <t xml:space="preserve">                Pauschalwertberichtigung Forderg./b.1J</t>
  </si>
  <si>
    <t xml:space="preserve">                General allowance for receivables/under 1 year</t>
  </si>
  <si>
    <t xml:space="preserve">                Einzelwertberichtigung Forderung(b.1J)</t>
  </si>
  <si>
    <t xml:space="preserve">                Specific allowance for receivables (over 1 year)</t>
  </si>
  <si>
    <t xml:space="preserve">                Forderungen aus L+L</t>
  </si>
  <si>
    <t xml:space="preserve">                Trade receivables</t>
  </si>
  <si>
    <t xml:space="preserve">            Forderungen aus Lieferungen und Leistungen</t>
  </si>
  <si>
    <t xml:space="preserve">            Trade receivables</t>
  </si>
  <si>
    <t xml:space="preserve">            Forderungen gegen Gesellschafter</t>
  </si>
  <si>
    <t xml:space="preserve">            Receivables from shareholders</t>
  </si>
  <si>
    <t xml:space="preserve">                Sonstige Vermögensgegenstände</t>
  </si>
  <si>
    <t xml:space="preserve">                Other Assets</t>
  </si>
  <si>
    <t xml:space="preserve">                Forderungen ggb. Krankenkasse aus AAG</t>
  </si>
  <si>
    <t xml:space="preserve">                Receivables from health insurance from AAG</t>
  </si>
  <si>
    <t xml:space="preserve">                Kautionen</t>
  </si>
  <si>
    <t xml:space="preserve">                Deposits</t>
  </si>
  <si>
    <t xml:space="preserve">                Forderung aus Gewerbesteuerüberzahlung</t>
  </si>
  <si>
    <t xml:space="preserve">                Claim from overpayment of trade tax</t>
  </si>
  <si>
    <t xml:space="preserve">                Forderung gegenüber Bundesagentur</t>
  </si>
  <si>
    <t xml:space="preserve">                Receivable from Federal Agency</t>
  </si>
  <si>
    <t xml:space="preserve">                Vorst. in Folgeperiode /-jahr abziehbar</t>
  </si>
  <si>
    <t xml:space="preserve">                Management deductible in subsequent period/year</t>
  </si>
  <si>
    <t xml:space="preserve">                Körperschaftsteuerrückforderung</t>
  </si>
  <si>
    <t xml:space="preserve">                Corporation tax refund</t>
  </si>
  <si>
    <t xml:space="preserve">                Verbindlichkeiten aus Lieferungen+Leist.</t>
  </si>
  <si>
    <t xml:space="preserve">                Liabilities from deliveries and services</t>
  </si>
  <si>
    <t xml:space="preserve">            Sonstige Vermögensgegenstände</t>
  </si>
  <si>
    <t xml:space="preserve">            Other assets</t>
  </si>
  <si>
    <t xml:space="preserve">        Forderungen und sonstige Vermögensgegenstände</t>
  </si>
  <si>
    <t xml:space="preserve">        Receivables and other assets</t>
  </si>
  <si>
    <t xml:space="preserve">                Sonstige Wertpapiere</t>
  </si>
  <si>
    <t xml:space="preserve">                Other securities</t>
  </si>
  <si>
    <t xml:space="preserve">            Sonstige Wertpapiere</t>
  </si>
  <si>
    <t xml:space="preserve">            Other securities</t>
  </si>
  <si>
    <t xml:space="preserve">        Wertpapiere</t>
  </si>
  <si>
    <t xml:space="preserve">        Securities</t>
  </si>
  <si>
    <t xml:space="preserve">            Kasse</t>
  </si>
  <si>
    <t xml:space="preserve">            Cash</t>
  </si>
  <si>
    <t xml:space="preserve">            Postbank Dortmund 231588463</t>
  </si>
  <si>
    <t xml:space="preserve">            Sparkasse an Volme und Ruhr 4065173</t>
  </si>
  <si>
    <t xml:space="preserve">            Savings Bank at Volme and Ruhr 4065173</t>
  </si>
  <si>
    <t xml:space="preserve">            Märkische Bank eG 34801500</t>
  </si>
  <si>
    <t xml:space="preserve">            Commerzbank 660004300</t>
  </si>
  <si>
    <t xml:space="preserve">        Kassenbestand, Bundesbankguthaben, Guthaben bei Kreditinstituten und Schecks</t>
  </si>
  <si>
    <t xml:space="preserve">        Cash on hand, balances with central banks, balances with credit institutions, and checks</t>
  </si>
  <si>
    <t xml:space="preserve">    Umlaufvermögen</t>
  </si>
  <si>
    <t xml:space="preserve">    Current assets</t>
  </si>
  <si>
    <t xml:space="preserve">        Aktive Rechnungsabgrenzung</t>
  </si>
  <si>
    <t xml:space="preserve">        Prepaid expenses</t>
  </si>
  <si>
    <t xml:space="preserve">    Rechnungsabgrenzungsposten</t>
  </si>
  <si>
    <t xml:space="preserve">    Prepaid expenses</t>
  </si>
  <si>
    <t>Aktiva</t>
  </si>
  <si>
    <t>Assets</t>
  </si>
  <si>
    <t xml:space="preserve">            Gezeichnetes Kapital</t>
  </si>
  <si>
    <t xml:space="preserve">            Subscribed Capital</t>
  </si>
  <si>
    <t xml:space="preserve">        Gezeichnetes Kapital</t>
  </si>
  <si>
    <t xml:space="preserve">        Subscribed Capital</t>
  </si>
  <si>
    <t xml:space="preserve">            Gewinnvortrag vor Verwendung</t>
  </si>
  <si>
    <t xml:space="preserve">            Profit carried forward before appropriation</t>
  </si>
  <si>
    <t xml:space="preserve">        Gewinnvortrag</t>
  </si>
  <si>
    <t xml:space="preserve">        Profit carried forward</t>
  </si>
  <si>
    <t xml:space="preserve">        Jahresüberschuss</t>
  </si>
  <si>
    <t xml:space="preserve">        Net income</t>
  </si>
  <si>
    <t xml:space="preserve">    Eigenkapital</t>
  </si>
  <si>
    <t xml:space="preserve">    Equity</t>
  </si>
  <si>
    <t xml:space="preserve">            Rückstellung Pensionen zur Saldierung</t>
  </si>
  <si>
    <t xml:space="preserve">            Provision for pensions for offsetting</t>
  </si>
  <si>
    <t xml:space="preserve">        Rückstellungen für Pensionen und ähnliche Verpflichtungen</t>
  </si>
  <si>
    <t xml:space="preserve">        Provisions for pensions and similar obligations</t>
  </si>
  <si>
    <t xml:space="preserve">            Gewerbesteuerrückstellung § 4 (5b) EStG</t>
  </si>
  <si>
    <t xml:space="preserve">            Trade tax provision § 4 (5b) EStG</t>
  </si>
  <si>
    <t xml:space="preserve">            Körperschaftsteuerrückstellung</t>
  </si>
  <si>
    <t xml:space="preserve">            Provision for corporate tax</t>
  </si>
  <si>
    <t xml:space="preserve">        Steuerrückstellungen</t>
  </si>
  <si>
    <t xml:space="preserve">        Tax provisions</t>
  </si>
  <si>
    <t xml:space="preserve">            Rückstellungen für Personalkosten</t>
  </si>
  <si>
    <t xml:space="preserve">            Provisions for personnel costs</t>
  </si>
  <si>
    <t xml:space="preserve">            Rückstellungen für Aufbewahrungspflicht</t>
  </si>
  <si>
    <t xml:space="preserve">            Provisions for Retention Obligation</t>
  </si>
  <si>
    <t xml:space="preserve">            Sonstige Rückstellungen</t>
  </si>
  <si>
    <t xml:space="preserve">            Other provisions</t>
  </si>
  <si>
    <t xml:space="preserve">            Rückstellungen f. Gewährleistungen</t>
  </si>
  <si>
    <t xml:space="preserve">            Provisions for warranties</t>
  </si>
  <si>
    <t xml:space="preserve">            Rückstellungen für Abschluss u. Prüfung</t>
  </si>
  <si>
    <t xml:space="preserve">            Provisions for completion and audit</t>
  </si>
  <si>
    <t xml:space="preserve">        Sonstige Rückstellungen</t>
  </si>
  <si>
    <t xml:space="preserve">        Other provisions</t>
  </si>
  <si>
    <t xml:space="preserve">    Rückstellungen</t>
  </si>
  <si>
    <t xml:space="preserve">    Provisions</t>
  </si>
  <si>
    <t xml:space="preserve">            Erhaltene Anzahlungen 19% USt</t>
  </si>
  <si>
    <t xml:space="preserve">            Received advance payments 19% VAT</t>
  </si>
  <si>
    <t xml:space="preserve">        Erhaltene Anzahlungen auf Bestellungen</t>
  </si>
  <si>
    <t xml:space="preserve">        Advance payments received on orders</t>
  </si>
  <si>
    <t xml:space="preserve">            Verbindlichkeiten aus Lieferungen+Leist.</t>
  </si>
  <si>
    <t xml:space="preserve">            Liabilities from deliveries and services</t>
  </si>
  <si>
    <t xml:space="preserve">        Verbindlichkeiten aus Lieferungen und Leistungen</t>
  </si>
  <si>
    <t xml:space="preserve">        Liabilities from goods and services</t>
  </si>
  <si>
    <t xml:space="preserve">            Umsatzsteuer Vorjahr</t>
  </si>
  <si>
    <t xml:space="preserve">            Sales tax previous year</t>
  </si>
  <si>
    <t xml:space="preserve">            Umsatzsteuer laufendes Jahr</t>
  </si>
  <si>
    <t xml:space="preserve">            Value-added tax for the current year</t>
  </si>
  <si>
    <t xml:space="preserve">            Umsatzsteuer nach § 13b UStG 19%</t>
  </si>
  <si>
    <t xml:space="preserve">            Value-added tax according to § 13b UStG 19%</t>
  </si>
  <si>
    <t xml:space="preserve">            Umsatzsteuer-Vorauszahlungen 1/11</t>
  </si>
  <si>
    <t xml:space="preserve">            VAT prepayments 1/11</t>
  </si>
  <si>
    <t xml:space="preserve">            Umsatzsteuer-Vorauszahlungen</t>
  </si>
  <si>
    <t xml:space="preserve">            VAT prepayments</t>
  </si>
  <si>
    <t xml:space="preserve">            Umsatzsteuer 19%</t>
  </si>
  <si>
    <t xml:space="preserve">            Value-added tax 19%</t>
  </si>
  <si>
    <t xml:space="preserve">            Umsatzsteuer 16%</t>
  </si>
  <si>
    <t xml:space="preserve">            Value Added Tax 16%</t>
  </si>
  <si>
    <t xml:space="preserve">            Umsatzsteuer aus EU-Erwerb 19%</t>
  </si>
  <si>
    <t xml:space="preserve">            Value-added tax from EU acquisition 19%</t>
  </si>
  <si>
    <t xml:space="preserve">            Umsatzsteuer aus EU-Erwerb</t>
  </si>
  <si>
    <t xml:space="preserve">            Value-added tax from EU acquisition</t>
  </si>
  <si>
    <t xml:space="preserve">            Einfuhrumsatzsteuer</t>
  </si>
  <si>
    <t xml:space="preserve">            Import VAT</t>
  </si>
  <si>
    <t xml:space="preserve">            Abziehbare Vorsteuer § 13b UStG 19%</t>
  </si>
  <si>
    <t xml:space="preserve">            Deductible input tax § 13b UStG 19%</t>
  </si>
  <si>
    <t xml:space="preserve">            Abziehbare Vorsteuer 19%</t>
  </si>
  <si>
    <t xml:space="preserve">            Deductible input tax 19%</t>
  </si>
  <si>
    <t xml:space="preserve">            Abziehbare Vorsteuer 16%</t>
  </si>
  <si>
    <t xml:space="preserve">            Deductible input tax 16%</t>
  </si>
  <si>
    <t xml:space="preserve">            Abziehbare Vorsteuer aus EU-Erwerb 19%</t>
  </si>
  <si>
    <t xml:space="preserve">            Deductible input tax from EU acquisition 19%</t>
  </si>
  <si>
    <t xml:space="preserve">            Abziehbare Vorsteuer aus EU-Erwerb</t>
  </si>
  <si>
    <t xml:space="preserve">            Deductible input tax from EU acquisition</t>
  </si>
  <si>
    <t xml:space="preserve">            Abziehbare Vorsteuer 7%</t>
  </si>
  <si>
    <t xml:space="preserve">            Deductible input tax 7%</t>
  </si>
  <si>
    <t xml:space="preserve">            Abziehbare Vorsteuer 5%</t>
  </si>
  <si>
    <t xml:space="preserve">            Deductible input tax 5%</t>
  </si>
  <si>
    <t xml:space="preserve">            Forderungen aus L+L</t>
  </si>
  <si>
    <t xml:space="preserve">            Sonstige Verbindlichkeiten</t>
  </si>
  <si>
    <t xml:space="preserve">            Other liabilities</t>
  </si>
  <si>
    <t xml:space="preserve">            Verbindlichkeiten aus Lohn und Gehalt</t>
  </si>
  <si>
    <t xml:space="preserve">            Liabilities from wages and salaries</t>
  </si>
  <si>
    <t xml:space="preserve">            Verbindlichk. Lohn- und Kirchensteuer</t>
  </si>
  <si>
    <t xml:space="preserve">            Liabilities: Wage and Church Tax</t>
  </si>
  <si>
    <t xml:space="preserve">            Verbindlichkeiten soziale Sicherheit</t>
  </si>
  <si>
    <t xml:space="preserve">            Liabilities social security</t>
  </si>
  <si>
    <t xml:space="preserve">            Voraus.Beitrag ggb. Sozialversich.träger</t>
  </si>
  <si>
    <t xml:space="preserve">            Advance contribution to social security carriers</t>
  </si>
  <si>
    <t xml:space="preserve">        Sonstige Verbindlichkeiten</t>
  </si>
  <si>
    <t xml:space="preserve">        Other liabilities</t>
  </si>
  <si>
    <t xml:space="preserve">    Verbindlichkeiten</t>
  </si>
  <si>
    <t xml:space="preserve">    Liabilities</t>
  </si>
  <si>
    <t xml:space="preserve">        Passive latente Steuern</t>
  </si>
  <si>
    <t xml:space="preserve">        Deferred tax liabilities</t>
  </si>
  <si>
    <t xml:space="preserve">    Passive latente Steuern</t>
  </si>
  <si>
    <t xml:space="preserve">    Deferred tax liabilities</t>
  </si>
  <si>
    <t>Passiva</t>
  </si>
  <si>
    <t>Liabilities</t>
  </si>
  <si>
    <t xml:space="preserve">    Steuerfreie Umsätze § 4 Nr. 1a UStG</t>
  </si>
  <si>
    <t xml:space="preserve">    Tax-exempt sales § 4 No. 1a UStG</t>
  </si>
  <si>
    <t xml:space="preserve">    Steuerfr. EU-Lieferungen § 4 Nr. 1b UStG</t>
  </si>
  <si>
    <t xml:space="preserve">    Tax-free EU deliveries § 4 No. 1b UStG</t>
  </si>
  <si>
    <t xml:space="preserve">    Steuerfreie Umsätze Offshore usw.</t>
  </si>
  <si>
    <t xml:space="preserve">    Tax-free offshore sales, etc.</t>
  </si>
  <si>
    <t xml:space="preserve">    Nicht steuerbare s. Leistung § 18b UStG</t>
  </si>
  <si>
    <t xml:space="preserve">    Non-taxable service § 18b UStG</t>
  </si>
  <si>
    <t xml:space="preserve">    Erlöse aus Leistungen nach § 13b UStG</t>
  </si>
  <si>
    <t xml:space="preserve">    Revenues from services according to § 13b UStG</t>
  </si>
  <si>
    <t xml:space="preserve">    Nicht steuerbare Umsätze Drittland</t>
  </si>
  <si>
    <t xml:space="preserve">    Non-taxable sales third country</t>
  </si>
  <si>
    <t xml:space="preserve">    Nicht steuerbare Umsätze EU-Land</t>
  </si>
  <si>
    <t xml:space="preserve">    Non-taxable sales EU country</t>
  </si>
  <si>
    <t xml:space="preserve">    Erlöse 16% USt</t>
  </si>
  <si>
    <t xml:space="preserve">    Revenue 16% VAT</t>
  </si>
  <si>
    <t xml:space="preserve">    Erlöse Produktion</t>
  </si>
  <si>
    <t xml:space="preserve">    Production Revenue</t>
  </si>
  <si>
    <t xml:space="preserve">    Erlöse Handel</t>
  </si>
  <si>
    <t xml:space="preserve">    Erlöse Sterilisation</t>
  </si>
  <si>
    <t xml:space="preserve">    Sterilization Revenue</t>
  </si>
  <si>
    <t xml:space="preserve">    Erlöse Wartung</t>
  </si>
  <si>
    <t xml:space="preserve">    Maintenance Revenue</t>
  </si>
  <si>
    <t xml:space="preserve">    Erlöse Miete</t>
  </si>
  <si>
    <t xml:space="preserve">    Rental income</t>
  </si>
  <si>
    <t xml:space="preserve">    Erlöse Abfallverwertung</t>
  </si>
  <si>
    <t xml:space="preserve">    Revenue from waste disposal</t>
  </si>
  <si>
    <t xml:space="preserve">    Gewährte Skonti</t>
  </si>
  <si>
    <t xml:space="preserve">    Granted discounts</t>
  </si>
  <si>
    <t xml:space="preserve">    Gewährte Skonti 16 % USt</t>
  </si>
  <si>
    <t xml:space="preserve">    Gewährte Skonti 19 % USt</t>
  </si>
  <si>
    <t xml:space="preserve">    Granted discounts 19% VAT</t>
  </si>
  <si>
    <t xml:space="preserve">    Gewährte Skonti stfreie EU-Lieferung</t>
  </si>
  <si>
    <t xml:space="preserve">    Granted discounts tax-free EU delivery</t>
  </si>
  <si>
    <t xml:space="preserve">    Gewährte Boni 19% USt</t>
  </si>
  <si>
    <t xml:space="preserve">    Granted bonuses 19% VAT</t>
  </si>
  <si>
    <t xml:space="preserve">    Gewährte Boni</t>
  </si>
  <si>
    <t xml:space="preserve">    Granted Bonuses</t>
  </si>
  <si>
    <t>% Wachstum</t>
  </si>
  <si>
    <t>% Growth</t>
  </si>
  <si>
    <t xml:space="preserve">    Bestandsveränd.unfertige Erzeugnisse</t>
  </si>
  <si>
    <t xml:space="preserve">    Changes in inventories of unfinished goods</t>
  </si>
  <si>
    <t xml:space="preserve">    Bestandsveränderung fertige Erzeugnisse</t>
  </si>
  <si>
    <t xml:space="preserve">    Change in finished goods inventory</t>
  </si>
  <si>
    <t>Erhöhung des Bestandes an fertigen und unfertigen Erzeugnissen</t>
  </si>
  <si>
    <t>% Marge</t>
  </si>
  <si>
    <t>% Margin</t>
  </si>
  <si>
    <t xml:space="preserve">    Abschreibung immaterielle VermG</t>
  </si>
  <si>
    <t xml:space="preserve">    Amortization of intangible assets</t>
  </si>
  <si>
    <t xml:space="preserve">    Abschreibungen auf Sachanlagen</t>
  </si>
  <si>
    <t xml:space="preserve">    Depreciation on tangible assets</t>
  </si>
  <si>
    <t xml:space="preserve">    Sofortabschreibung GWG</t>
  </si>
  <si>
    <t xml:space="preserve">    Immediate depreciation of low-value assets</t>
  </si>
  <si>
    <t xml:space="preserve">    Apl. Abschreibungen auf Sachanlagen</t>
  </si>
  <si>
    <t xml:space="preserve">    Abschreibung Finanzanlagen</t>
  </si>
  <si>
    <t xml:space="preserve">    Depreciation of financial assets</t>
  </si>
  <si>
    <t>Abschreibungen auf Finanzanlagen und auf Wertpapiere des Umlaufvermögens</t>
  </si>
  <si>
    <t>Depreciation on financial assets and on securities of current assets</t>
  </si>
  <si>
    <t xml:space="preserve">    Sonstige Zinsen und ähnliche Erträge</t>
  </si>
  <si>
    <t xml:space="preserve">    Other interest and similar income</t>
  </si>
  <si>
    <t xml:space="preserve">    Zinserträge § 233a AO,Anlage GK KSt,stf</t>
  </si>
  <si>
    <t xml:space="preserve">    Interest income § 233a AO, Annex GK KSt, stf</t>
  </si>
  <si>
    <t>Sonstige Zinsen und ähnliche Erträge</t>
  </si>
  <si>
    <t>Other interest and similar income</t>
  </si>
  <si>
    <t xml:space="preserve">    Zinsaufwendungen f.kfr.Verbindlichkeit.</t>
  </si>
  <si>
    <t xml:space="preserve">    Interest expenses for short-term liabilities.</t>
  </si>
  <si>
    <t xml:space="preserve">    Aufw. Abzins. Pensions-/ähnl. RS,Verr</t>
  </si>
  <si>
    <t xml:space="preserve">    Expenses Discounting Pension/Similar Provisions, Increase</t>
  </si>
  <si>
    <t>Zinsen und ähnliche Aufwendungen</t>
  </si>
  <si>
    <t>Interest and similar expenses</t>
  </si>
  <si>
    <t xml:space="preserve">    Körperschaftsteuer</t>
  </si>
  <si>
    <t xml:space="preserve">    Corporate tax</t>
  </si>
  <si>
    <t xml:space="preserve">    Körperschaftsteuererstattung Vorjahre</t>
  </si>
  <si>
    <t xml:space="preserve">    Corporate tax refund for previous years</t>
  </si>
  <si>
    <t xml:space="preserve">    Solidaritätszuschlag</t>
  </si>
  <si>
    <t xml:space="preserve">    Solidarity surcharge</t>
  </si>
  <si>
    <t xml:space="preserve">    Solidaritätszuschlag für Vorjahre</t>
  </si>
  <si>
    <t xml:space="preserve">    Solidarity surcharge for previous years</t>
  </si>
  <si>
    <t xml:space="preserve">    Kapitalertragsteuer 25 % (KapG)</t>
  </si>
  <si>
    <t xml:space="preserve">    Capital gains tax 25% (corporation)</t>
  </si>
  <si>
    <t xml:space="preserve">    SolZ auf Kapitalertragsteuer 25 % (KapG)</t>
  </si>
  <si>
    <t xml:space="preserve">    SolZ on capital gains tax 25% (KapG)</t>
  </si>
  <si>
    <t xml:space="preserve">    Aufw. Zuführung/Auflösung latente Steuern</t>
  </si>
  <si>
    <t xml:space="preserve">    Expenses for allocation/reversal of deferred taxes</t>
  </si>
  <si>
    <t xml:space="preserve">    GewSt-NZ/Erstattung VJ § 4 (5b) EStG</t>
  </si>
  <si>
    <t xml:space="preserve">    Trade tax non-deductible/Refund PY § 4 (5b) EStG</t>
  </si>
  <si>
    <t xml:space="preserve">    Gewerbesteuer</t>
  </si>
  <si>
    <t xml:space="preserve">    Trade tax</t>
  </si>
  <si>
    <t>Steuern vom Einkommen und vom Ertrag</t>
  </si>
  <si>
    <t xml:space="preserve">   Taxes on income and earnings</t>
  </si>
  <si>
    <t>Erträge</t>
  </si>
  <si>
    <t>Income</t>
  </si>
  <si>
    <t xml:space="preserve">    Kfz-Steuer MK-HX 410</t>
  </si>
  <si>
    <t xml:space="preserve">    Motor vehicle tax MK-HX 410</t>
  </si>
  <si>
    <t xml:space="preserve">    Kfz-Steuer MK-HM 2102</t>
  </si>
  <si>
    <t xml:space="preserve">    Motor vehicle tax MK-HM 2102</t>
  </si>
  <si>
    <t xml:space="preserve">    Kfz-Steuer MK-R 237E/MK-MH 909E</t>
  </si>
  <si>
    <t xml:space="preserve">    Motor vehicle tax MK-R 237E/MK-MH 909E</t>
  </si>
  <si>
    <t xml:space="preserve">    Kfz-Steuer MK-WH 520/MK-XW 3677</t>
  </si>
  <si>
    <t xml:space="preserve">    Motor vehicle tax MK-WH 520/MK-XW 3677</t>
  </si>
  <si>
    <t xml:space="preserve">    Kfz-Steuer MK-MS 171/MS 121</t>
  </si>
  <si>
    <t xml:space="preserve">    Motor vehicle tax MK-MS 171/MS 121</t>
  </si>
  <si>
    <t xml:space="preserve">    Kfz-Steuer MK-XQ 1038/MK-GS 444</t>
  </si>
  <si>
    <t xml:space="preserve">    Motor vehicle tax MK-XQ 1038/MK-GS 444</t>
  </si>
  <si>
    <t xml:space="preserve">    Kfz-Steuer MK-HM 3322/EN-ZB 111</t>
  </si>
  <si>
    <t xml:space="preserve">    Motor vehicle tax MK-HM 3322/EN-ZB 111</t>
  </si>
  <si>
    <t xml:space="preserve">    Kfz-Steuer MK-MS 666/MK-MS 251</t>
  </si>
  <si>
    <t xml:space="preserve">    Motor vehicle tax MK-MS 666/MK-MS 251</t>
  </si>
  <si>
    <t xml:space="preserve">    Kfz-Steuer MK-MS 2233/MK-MS 3344</t>
  </si>
  <si>
    <t xml:space="preserve">    Motor vehicle tax MK-MS 2233/MK-MS 3344</t>
  </si>
  <si>
    <t xml:space="preserve">    Kfz-Steuer MK-MS 232</t>
  </si>
  <si>
    <t xml:space="preserve">    Motor vehicle tax MK-MS 232</t>
  </si>
  <si>
    <t>Gewinn</t>
  </si>
  <si>
    <t>Profit</t>
  </si>
  <si>
    <t>Categorization</t>
  </si>
  <si>
    <t>FY2023</t>
  </si>
  <si>
    <t>FY2024</t>
  </si>
  <si>
    <t>YTD 2025</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</si>
  <si>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</si>
  <si>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</si>
  <si>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</si>
  <si>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</si>
  <si>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</si>
  <si>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</si>
  <si>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</si>
  <si>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</si>
  <si>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</si>
  <si>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</si>
  <si>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</si>
  <si>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</si>
  <si>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</si>
  <si>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</si>
  <si>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</si>
  <si>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</si>
  <si>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</si>
  <si>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</si>
  <si>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</si>
  <si>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</si>
  <si>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</si>
  <si>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</si>
  <si>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</si>
  <si>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</si>
  <si>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</si>
  <si>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</si>
  <si>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</si>
  <si>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</si>
  <si>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</si>
  <si>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</si>
  <si>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</si>
  <si>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</si>
  <si>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</si>
  <si>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 xml:space="preserve">    Tax-free sales offshore, etc.</t>
  </si>
  <si>
    <t xml:space="preserve">    Revenue Trade</t>
  </si>
  <si>
    <t xml:space="preserve">    Granted bonuses</t>
  </si>
  <si>
    <t xml:space="preserve">    Nicht steuerb.Umsätze (Innenumsätze)</t>
  </si>
  <si>
    <t xml:space="preserve">    Non-taxable revenues (internal revenues)</t>
  </si>
  <si>
    <t>Erhöhung oder Verminderung des Bestands an fertigen und unfertigen Erzeugnissen</t>
  </si>
  <si>
    <t>Increase or decrease in inventories of finished goods and work in progress</t>
  </si>
  <si>
    <t xml:space="preserve">    Abgänge Sachanlagen Restbuchwert bei BG</t>
  </si>
  <si>
    <t xml:space="preserve">    Disposals of fixed assets carrying amount at BG</t>
  </si>
  <si>
    <t xml:space="preserve">    Abgänge Finanzanlagen Restbuchwert, BG</t>
  </si>
  <si>
    <t xml:space="preserve">    Disposals of financial assets carrying amount, BG</t>
  </si>
  <si>
    <t xml:space="preserve">    Sonstige Erträge betriebs/periodenfremd</t>
  </si>
  <si>
    <t xml:space="preserve">    Other income non-operating/non-period-related</t>
  </si>
  <si>
    <t xml:space="preserve">    Erträge Zuschreibg. Finanzanlagevermögen</t>
  </si>
  <si>
    <t xml:space="preserve">    Income from Write-ups of Financial Investments</t>
  </si>
  <si>
    <t xml:space="preserve">    Erträge a.Zuschreibung Umlaufvermögen</t>
  </si>
  <si>
    <t xml:space="preserve">    Income from Write-ups of Current Assets</t>
  </si>
  <si>
    <t xml:space="preserve">    Erträge aus Herabsetzung PWB auf Ford</t>
  </si>
  <si>
    <t xml:space="preserve">    Income from the reduction of allowances on receivables</t>
  </si>
  <si>
    <t xml:space="preserve">    Erträge aus Herabsetzung EWB auf Ford</t>
  </si>
  <si>
    <t xml:space="preserve">    Income from the reduction of specific valuation allowances on receivables</t>
  </si>
  <si>
    <t xml:space="preserve">    Versich.entschädigung, Schadenersatz</t>
  </si>
  <si>
    <t xml:space="preserve">    Insurance compensation, damages</t>
  </si>
  <si>
    <t xml:space="preserve">    Erstattungen AufwendungsausgleichsG</t>
  </si>
  <si>
    <t xml:space="preserve">    Reimbursements under the Expense Compensation Act</t>
  </si>
  <si>
    <t xml:space="preserve">    Verrechnete sonstige Sachbezüge</t>
  </si>
  <si>
    <t xml:space="preserve">    Offset other non-cash benefits</t>
  </si>
  <si>
    <t xml:space="preserve">    Verrech. sonstige Sachbezüge Fzg 19% USt</t>
  </si>
  <si>
    <t xml:space="preserve">    Accounting for other non-cash benefits vehicle 19% VAT</t>
  </si>
  <si>
    <t xml:space="preserve">    Sonst. Erträge betr.u. regelmäßig stfrei</t>
  </si>
  <si>
    <t xml:space="preserve">    Other income oper. and regularly tax-free</t>
  </si>
  <si>
    <t xml:space="preserve">    Sonst. Erträge betriebl., regelm.19% USt</t>
  </si>
  <si>
    <t xml:space="preserve">    Other operating income, regular 19% VAT</t>
  </si>
  <si>
    <t xml:space="preserve">    Erlöse Sachanlageverkäufe 19% USt, BG</t>
  </si>
  <si>
    <t xml:space="preserve">    Revenue from sale of tangible assets 19% VAT, BG</t>
  </si>
  <si>
    <t xml:space="preserve">    Erl. Sachanlageverk.§ 4 Nr.1a UStG,Buchg</t>
  </si>
  <si>
    <t xml:space="preserve">    Revenue from disposal of tangible assets § 4 No. 1a UStG, accounting</t>
  </si>
  <si>
    <t xml:space="preserve">    Erlöse Verkäufe Finanzanlagen, BG</t>
  </si>
  <si>
    <t xml:space="preserve">    Proceeds from sales of financial assets, BG</t>
  </si>
  <si>
    <t xml:space="preserve">    Einkauf RHB 19 % Vorsteuer</t>
  </si>
  <si>
    <t xml:space="preserve">    Purchase of raw materials, consumables, and supplies 19% input tax</t>
  </si>
  <si>
    <t xml:space="preserve">    Fremdleistungen Wartung PHV</t>
  </si>
  <si>
    <t xml:space="preserve">    External services maintenance PHV</t>
  </si>
  <si>
    <t xml:space="preserve">    Fremdleistungen Wartung Diverse Kunden</t>
  </si>
  <si>
    <t xml:space="preserve">    External services maintenance various customers</t>
  </si>
  <si>
    <t xml:space="preserve">    Fremdleistungen 19% Vorsteuer</t>
  </si>
  <si>
    <t xml:space="preserve">    External services 19% input tax</t>
  </si>
  <si>
    <t xml:space="preserve">    Leistungen ausländ.Untern.19% Vorst./USt</t>
  </si>
  <si>
    <t xml:space="preserve">    Services foreign companies 19% input VAT/output VAT</t>
  </si>
  <si>
    <t xml:space="preserve">    Wareneingang DL</t>
  </si>
  <si>
    <t xml:space="preserve">    Goods Receipt DL</t>
  </si>
  <si>
    <t xml:space="preserve">    Wareneinkauf Produktion</t>
  </si>
  <si>
    <t xml:space="preserve">    Goods Purchase Production</t>
  </si>
  <si>
    <t xml:space="preserve">    Wareneinkauf Handel</t>
  </si>
  <si>
    <t xml:space="preserve">    Goods Purchases Trade</t>
  </si>
  <si>
    <t xml:space="preserve">    EU-Erwerb 19% Vorst./USt</t>
  </si>
  <si>
    <t xml:space="preserve">    EU acquisition 19% input VAT/output VAT</t>
  </si>
  <si>
    <t xml:space="preserve">    Erhaltene Skonti 19% Vorsteuer</t>
  </si>
  <si>
    <t xml:space="preserve">    Discounts received 19% input tax</t>
  </si>
  <si>
    <t xml:space="preserve">    Erhaltene Skonti Einkauf RHB 19% Vorst.</t>
  </si>
  <si>
    <t xml:space="preserve">    Discounts received on purchases of raw materials, supplies, and consumables 19% input tax.</t>
  </si>
  <si>
    <t xml:space="preserve">    Erhalt. Skonti EU-Erwerb 19% Vorst./USt</t>
  </si>
  <si>
    <t xml:space="preserve">    Received. Discounts EU acquisition 19% input VAT/VAT</t>
  </si>
  <si>
    <t xml:space="preserve">    Bezugsnebenkosten</t>
  </si>
  <si>
    <t xml:space="preserve">    Incidental acquisition costs</t>
  </si>
  <si>
    <t xml:space="preserve">    Bestandsveränderungen Waren</t>
  </si>
  <si>
    <t xml:space="preserve">    Changes in inventories of goods</t>
  </si>
  <si>
    <t xml:space="preserve">    Bestandsveränderung RHB-Stoffe / Waren</t>
  </si>
  <si>
    <t xml:space="preserve">    Change in inventories of raw materials / goods</t>
  </si>
  <si>
    <t>Rohertrag</t>
  </si>
  <si>
    <t xml:space="preserve">    Löhne</t>
  </si>
  <si>
    <t xml:space="preserve">    Wages</t>
  </si>
  <si>
    <t xml:space="preserve">    Gehälter</t>
  </si>
  <si>
    <t xml:space="preserve">    Salaries</t>
  </si>
  <si>
    <t xml:space="preserve">    Geschäftsführergehälter GmbH-Gesells.</t>
  </si>
  <si>
    <t xml:space="preserve">    Managing directors' salaries of GmbH shareholders.</t>
  </si>
  <si>
    <t xml:space="preserve">    Tantiemen Gesellschafter-Geschäftsf.</t>
  </si>
  <si>
    <t xml:space="preserve">    Royalties Shareholder-Managing Director</t>
  </si>
  <si>
    <t xml:space="preserve">    Geschäftsführergehälter</t>
  </si>
  <si>
    <t xml:space="preserve">    Managing directors' salaries</t>
  </si>
  <si>
    <t xml:space="preserve">    Tantiemen Arbeitnehmer</t>
  </si>
  <si>
    <t xml:space="preserve">    Employee Royalties</t>
  </si>
  <si>
    <t xml:space="preserve">    Gesetzliche Sozialaufwendungen</t>
  </si>
  <si>
    <t xml:space="preserve">    Statutory social expenses</t>
  </si>
  <si>
    <t xml:space="preserve">    Beiträge zur Berufsgenossenschaft</t>
  </si>
  <si>
    <t xml:space="preserve">    Contributions to the employers' liability insurance association</t>
  </si>
  <si>
    <t xml:space="preserve">    Freiwillige soziale Aufwendung. LSt-frei</t>
  </si>
  <si>
    <t xml:space="preserve">    Voluntary social expense. Tax-free</t>
  </si>
  <si>
    <t xml:space="preserve">    Soziale Abgaben für Minijobber</t>
  </si>
  <si>
    <t xml:space="preserve">    Social security contributions for mini-jobbers</t>
  </si>
  <si>
    <t xml:space="preserve">    Freiwillige soziale Aufwendung. LSt-pfl.</t>
  </si>
  <si>
    <t xml:space="preserve">    Voluntary social expenses. Subject to wage tax.</t>
  </si>
  <si>
    <t xml:space="preserve">    Pauschale Steuer auf sonstige Bezüge</t>
  </si>
  <si>
    <t xml:space="preserve">    Flat-rate tax on other remuneration</t>
  </si>
  <si>
    <t xml:space="preserve">    Krankengeldzuschüsse</t>
  </si>
  <si>
    <t xml:space="preserve">    Sickness benefit supplements</t>
  </si>
  <si>
    <t xml:space="preserve">    Sachzuwendungen und Dienstleistg. an AN</t>
  </si>
  <si>
    <t xml:space="preserve">    Benefits in kind and services to employees</t>
  </si>
  <si>
    <t xml:space="preserve">    Zuschüsse Agenturen für Arbeit</t>
  </si>
  <si>
    <t xml:space="preserve">    Grants from employment agencies</t>
  </si>
  <si>
    <t xml:space="preserve">    Aufwendung Veränderung Urlaubsrückst.</t>
  </si>
  <si>
    <t xml:space="preserve">    Expense Change in Vacation Provisions</t>
  </si>
  <si>
    <t xml:space="preserve">    Aufwendungen für Altersversorgung</t>
  </si>
  <si>
    <t xml:space="preserve">    Expenses for retirement benefits</t>
  </si>
  <si>
    <t xml:space="preserve">    Vermögenswirksame Leistungen</t>
  </si>
  <si>
    <t xml:space="preserve">    Capital-forming benefits</t>
  </si>
  <si>
    <t xml:space="preserve">    Fahrtkostenerstatt. Whg./Arbeitsstätte</t>
  </si>
  <si>
    <t xml:space="preserve">    Travel cost reimbursement. Residence/workplace</t>
  </si>
  <si>
    <t xml:space="preserve">    Aushilfslöhne</t>
  </si>
  <si>
    <t xml:space="preserve">    Temporary wages</t>
  </si>
  <si>
    <t xml:space="preserve">    Pauschale Steuer für Minijobber</t>
  </si>
  <si>
    <t xml:space="preserve">    Flat-rate tax for mini-jobbers</t>
  </si>
  <si>
    <t xml:space="preserve">    Löhne für Minijobs</t>
  </si>
  <si>
    <t xml:space="preserve">    Wages for mini-jobs</t>
  </si>
  <si>
    <t xml:space="preserve">    Pauschale Steuer für Arbeitnehmer</t>
  </si>
  <si>
    <t xml:space="preserve">    Flat-rate tax for employees</t>
  </si>
  <si>
    <t xml:space="preserve">    Aufwendungen aus Währungsumrechnungen</t>
  </si>
  <si>
    <t xml:space="preserve">    Expenses from currency translations</t>
  </si>
  <si>
    <t>/profit and loss/expense/other expense/other operating expense</t>
  </si>
  <si>
    <t xml:space="preserve">    Sonstige Aufwendungen</t>
  </si>
  <si>
    <t xml:space="preserve">    Other expenses</t>
  </si>
  <si>
    <t xml:space="preserve">    Abgänge Sachanlagen Restbuchwert bei BV</t>
  </si>
  <si>
    <t xml:space="preserve">    Disposals of fixed assets carrying amount at BV</t>
  </si>
  <si>
    <t xml:space="preserve">    Abgänge Finanzanlagen Restbuchwert, BV</t>
  </si>
  <si>
    <t xml:space="preserve">    Disposals of financial assets carrying amount, BV</t>
  </si>
  <si>
    <t xml:space="preserve">    Verluste aus Abgang von Umlaufvermögen</t>
  </si>
  <si>
    <t xml:space="preserve">    Losses from the disposal of current assets</t>
  </si>
  <si>
    <t xml:space="preserve">    Sonst. Grundstücksaufwendungen neutral</t>
  </si>
  <si>
    <t xml:space="preserve">    Other property expenses neutral</t>
  </si>
  <si>
    <t xml:space="preserve">    Zuwendungen,Spenden kirchl./rel./gemein.</t>
  </si>
  <si>
    <t xml:space="preserve">    Donations, church/religious/community contributions</t>
  </si>
  <si>
    <t xml:space="preserve">    Forderungsverluste 19% USt</t>
  </si>
  <si>
    <t xml:space="preserve">    Bad debt losses 19% VAT</t>
  </si>
  <si>
    <t xml:space="preserve">    Einstellung in die PWB auf Forderungen</t>
  </si>
  <si>
    <t xml:space="preserve">    Allocation to the general bad debt provision on receivables</t>
  </si>
  <si>
    <t xml:space="preserve">    Einstellung in die EWB auf Forderungen</t>
  </si>
  <si>
    <t xml:space="preserve">    Allocation to the allowances for doubtful accounts</t>
  </si>
  <si>
    <t xml:space="preserve">    Miete, unbewegliche Wirtschaftsgüter</t>
  </si>
  <si>
    <t xml:space="preserve">    Rent, immovable assets</t>
  </si>
  <si>
    <t>/profit and loss/expense/other expense/premise costs</t>
  </si>
  <si>
    <t xml:space="preserve">    Miet- und Pachtnebenkosten</t>
  </si>
  <si>
    <t xml:space="preserve">    Rental and lease incidental costs</t>
  </si>
  <si>
    <t xml:space="preserve">    Gas, Strom, Wasser</t>
  </si>
  <si>
    <t xml:space="preserve">    Gas, electricity, water</t>
  </si>
  <si>
    <t xml:space="preserve">    Reinigung</t>
  </si>
  <si>
    <t xml:space="preserve">    Cleaning</t>
  </si>
  <si>
    <t xml:space="preserve">    Instandhaltung betrieblicher Räume</t>
  </si>
  <si>
    <t xml:space="preserve">    Maintenance of operational premises</t>
  </si>
  <si>
    <t xml:space="preserve">    Versicherungen</t>
  </si>
  <si>
    <t xml:space="preserve">    Insurance</t>
  </si>
  <si>
    <t>/profit and loss/expense/other expense/insurance contributions and levies</t>
  </si>
  <si>
    <t xml:space="preserve">    Beiträge</t>
  </si>
  <si>
    <t xml:space="preserve">    Contributions</t>
  </si>
  <si>
    <t xml:space="preserve">    Personalleasing</t>
  </si>
  <si>
    <t xml:space="preserve">    Personnel leasing</t>
  </si>
  <si>
    <t xml:space="preserve">    Kfz-Versicherung MK-M 4045</t>
  </si>
  <si>
    <t xml:space="preserve">    Motor vehicle insurance MK-M 4045</t>
  </si>
  <si>
    <t>/profit and loss/expense/other expense/vehicle costs</t>
  </si>
  <si>
    <t xml:space="preserve">    Kfz-Versicherung MK-HX 410</t>
  </si>
  <si>
    <t xml:space="preserve">    Car Insurance MK-HX 410</t>
  </si>
  <si>
    <t xml:space="preserve">    Kfz-Versicherung MK-HM 2102</t>
  </si>
  <si>
    <t xml:space="preserve">    Motor vehicle insurance MK-HM 2102</t>
  </si>
  <si>
    <t xml:space="preserve">    Kfz-Versicherung MK-R 237E/MK-MH 909E</t>
  </si>
  <si>
    <t xml:space="preserve">    Motor vehicle insurance MK-R 237E/MK-MH 909E</t>
  </si>
  <si>
    <t xml:space="preserve">    Kfz-Versicherung Elektrofahrzeuge</t>
  </si>
  <si>
    <t xml:space="preserve">    Car Insurance Electric Vehicles</t>
  </si>
  <si>
    <t xml:space="preserve">    Kfz-Versicherung MK-WH 520</t>
  </si>
  <si>
    <t xml:space="preserve">    Motor Vehicle Insurance MK-WH 520</t>
  </si>
  <si>
    <t xml:space="preserve">    Kfz-Versicherung MK-WH 520/MK-XW 3677</t>
  </si>
  <si>
    <t xml:space="preserve">    Motor vehicle insurance MK-WH 520/MK-XW 3677</t>
  </si>
  <si>
    <t xml:space="preserve">    Kfz-Versicherung MK-MS 171/MS 121</t>
  </si>
  <si>
    <t xml:space="preserve">    Motor vehicle insurance MK-MS 171/MS 121</t>
  </si>
  <si>
    <t xml:space="preserve">    Kfz-Versicherung MK-MS 503</t>
  </si>
  <si>
    <t xml:space="preserve">    Motor Vehicle Insurance MK-MS 503</t>
  </si>
  <si>
    <t xml:space="preserve">    Kfz-Versicherung MK-XQ 1038/MK-GS 444</t>
  </si>
  <si>
    <t xml:space="preserve">    Motor vehicle insurance MK-XQ 1038/MK-GS 444</t>
  </si>
  <si>
    <t xml:space="preserve">    Kfz-Vers. MK-HM 3322/AM 567</t>
  </si>
  <si>
    <t xml:space="preserve">    Motor vehicle insurance MK-HM 3322/AM 567</t>
  </si>
  <si>
    <t xml:space="preserve">    Kfz-Versicherung MK-HM 3322/EN-ZB 111</t>
  </si>
  <si>
    <t xml:space="preserve">    Motor vehicle insurance MK-HM 3322/EN-ZB 111</t>
  </si>
  <si>
    <t xml:space="preserve">    Kfz-Vers. MK-HM 3322/EN-ZB 111</t>
  </si>
  <si>
    <t xml:space="preserve">    Kfz-Versicherung MK-MS 6666/MK-MS 232</t>
  </si>
  <si>
    <t xml:space="preserve">    Motor vehicle insurance MK-MS 6666/MK-MS 232</t>
  </si>
  <si>
    <t xml:space="preserve">    Kfz-Versicherung MK-MS 666/MK-MS 251</t>
  </si>
  <si>
    <t xml:space="preserve">    Motor vehicle insurance MK-MS 666/MK-MS 251</t>
  </si>
  <si>
    <t xml:space="preserve">    Kfz-Versicherung MK-MS 2233/MK-MS 3344</t>
  </si>
  <si>
    <t xml:space="preserve">    Motor vehicle insurance MK-MS 2233/MK-MS 3344</t>
  </si>
  <si>
    <t xml:space="preserve">    Kfz-Versicherung</t>
  </si>
  <si>
    <t xml:space="preserve">    Car insurance</t>
  </si>
  <si>
    <t xml:space="preserve">    Lfd. Kfz-Betriebskosten MK-M 4045</t>
  </si>
  <si>
    <t xml:space="preserve">    Current vehicle operating costs MK-M 4045</t>
  </si>
  <si>
    <t xml:space="preserve">    Lfd. Kfz-Betriebsk. MK-HX 410</t>
  </si>
  <si>
    <t xml:space="preserve">    Current vehicle operating costs MK-HX 410</t>
  </si>
  <si>
    <t xml:space="preserve">    Lfd. Kfz-Betriebskosten MK-HX 410</t>
  </si>
  <si>
    <t xml:space="preserve">    Lfd. Kfz-Betriebskosten MK-HM 2102</t>
  </si>
  <si>
    <t xml:space="preserve">    Current vehicle operating costs MK-HM 2102</t>
  </si>
  <si>
    <t xml:space="preserve">    Lfd. Kfz-Betriebsk. MK-R 237E/MK-MH 909E</t>
  </si>
  <si>
    <t xml:space="preserve">    Current vehicle operating costs MK-R 237E/MK-MH 909E</t>
  </si>
  <si>
    <t xml:space="preserve">    Lfd. Kfz-Betriebsk. Elektrofahrzeuge</t>
  </si>
  <si>
    <t xml:space="preserve">    Current vehicle operating costs for electric vehicles</t>
  </si>
  <si>
    <t xml:space="preserve">    Lfd. Kfz-Betriebskosten Elektrofahrzeuge</t>
  </si>
  <si>
    <t xml:space="preserve">    Lfd. Kfz-Betriebskosten MK-WH 520</t>
  </si>
  <si>
    <t xml:space="preserve">    Current vehicle operating costs MK-WH 520</t>
  </si>
  <si>
    <t xml:space="preserve">    Lfd. Kfz-Betriebsk. MK-WH 520/MK-XW 3677</t>
  </si>
  <si>
    <t xml:space="preserve">    Current vehicle operating costs MK-WH 520/MK-XW 3677</t>
  </si>
  <si>
    <t xml:space="preserve">    Lfd. Kfz-Betriebskosten MK-MS 171/MS 121</t>
  </si>
  <si>
    <t xml:space="preserve">    Current vehicle operating costs MK-MS 171/MS 121</t>
  </si>
  <si>
    <t xml:space="preserve">    Lfd. Kfz-Betriebsk. MK-MS 171/MS 121</t>
  </si>
  <si>
    <t xml:space="preserve">    Lfd. Kfz-Betriebskosten MK-MS 503</t>
  </si>
  <si>
    <t xml:space="preserve">    Current vehicle operating costs MK-MS 503</t>
  </si>
  <si>
    <t xml:space="preserve">    Lfd. Kfz-Betriebsk. MK-XQ 1038/MK-GS 444</t>
  </si>
  <si>
    <t xml:space="preserve">    Current vehicle operating costs MK-XQ 1038/MK-GS 444</t>
  </si>
  <si>
    <t xml:space="preserve">    Lfd. Kfz-Betr. MK-HM 3322/AM 567</t>
  </si>
  <si>
    <t xml:space="preserve">    Current vehicle operation MK-HM 3322/AM 567</t>
  </si>
  <si>
    <t xml:space="preserve">    Lfd. Kfz-Betriebsk. MK-HM 3322/EN-ZB 111</t>
  </si>
  <si>
    <t xml:space="preserve">    Current vehicle operating costs MK-HM 3322/EN-ZB 111</t>
  </si>
  <si>
    <t xml:space="preserve">    Lfd. Kfz-Betriebsk. MK-MS 6666/MK-MS 232</t>
  </si>
  <si>
    <t xml:space="preserve">    Current vehicle operating costs MK-MS 6666/MK-MS 232</t>
  </si>
  <si>
    <t xml:space="preserve">    Lfd. Kfz-Betriebsk. MK-MS 666/MK-MS 251</t>
  </si>
  <si>
    <t xml:space="preserve">    Current vehicle operating costs MK-MS 666/MK-MS 251</t>
  </si>
  <si>
    <t xml:space="preserve">    Lfd. Kfz-Betriebsk. MK-MS 2233/MK-MS3344</t>
  </si>
  <si>
    <t xml:space="preserve">    Current vehicle operating costs MK-MS 2233/MK-MS3344</t>
  </si>
  <si>
    <t xml:space="preserve">    Lfd. Kfz-Betriebskosten</t>
  </si>
  <si>
    <t xml:space="preserve">    Current vehicle operating costs</t>
  </si>
  <si>
    <t xml:space="preserve">    Kfz-Reparaturen MK-M 4045</t>
  </si>
  <si>
    <t xml:space="preserve">    Vehicle repairs MK-M 4045</t>
  </si>
  <si>
    <t xml:space="preserve">    Kfz-Reparaturen MK-HX 410</t>
  </si>
  <si>
    <t xml:space="preserve">    Vehicle repairs MK-HX 410</t>
  </si>
  <si>
    <t xml:space="preserve">    Kfz-Reparaturen MK-HM 2102</t>
  </si>
  <si>
    <t xml:space="preserve">    Vehicle Repairs MK-HM 2102</t>
  </si>
  <si>
    <t xml:space="preserve">    Kfz-Reparaturen MK-R 237E/MK-MH 909E</t>
  </si>
  <si>
    <t xml:space="preserve">    Vehicle repairs MK-R 237E/MK-MH 909E</t>
  </si>
  <si>
    <t xml:space="preserve">    Kfz-Reparaturen Elektrofahrzeuge</t>
  </si>
  <si>
    <t xml:space="preserve">    Vehicle repairs electric vehicles</t>
  </si>
  <si>
    <t xml:space="preserve">    Kfz-Reparaturen MK-WH 520</t>
  </si>
  <si>
    <t xml:space="preserve">    Vehicle repairs MK-WH 520</t>
  </si>
  <si>
    <t xml:space="preserve">    Kfz-Reparaturen MK-WH 520/MK-XW 3677</t>
  </si>
  <si>
    <t xml:space="preserve">    Vehicle repairs MK-WH 520/MK-XW 3677</t>
  </si>
  <si>
    <t xml:space="preserve">    Kfz-Reparaturen MK-MS 171/MS 121</t>
  </si>
  <si>
    <t xml:space="preserve">    Vehicle repairs MK-MS 171/MS 121</t>
  </si>
  <si>
    <t xml:space="preserve">    Kfz-Reparaturen MK-MS 503</t>
  </si>
  <si>
    <t xml:space="preserve">    Vehicle Repairs MK-MS 503</t>
  </si>
  <si>
    <t xml:space="preserve">    Kfz-Reparaturen MK-XQ 1038/MK-GS 444</t>
  </si>
  <si>
    <t xml:space="preserve">    Vehicle repairs MK-XQ 1038/MK-GS 444</t>
  </si>
  <si>
    <t xml:space="preserve">    Kfz-Rep. MK-HM 3322/AM 567</t>
  </si>
  <si>
    <t xml:space="preserve">    Car repair MK-HM 3322/AM 567</t>
  </si>
  <si>
    <t xml:space="preserve">    Kfz-Reparaturen MK-Hm 3322/EN-ZB 111</t>
  </si>
  <si>
    <t xml:space="preserve">    Vehicle repairs MK-Hm 3322/EN-ZB 111</t>
  </si>
  <si>
    <t xml:space="preserve">    Kfz-Rep. MK-HM 3322/EN-ZB 111</t>
  </si>
  <si>
    <t xml:space="preserve">    Car repair MK-HM 3322/EN-ZB 111</t>
  </si>
  <si>
    <t xml:space="preserve">    Kfz-Reparaturen MK-MS 6666/MK-MS 232</t>
  </si>
  <si>
    <t xml:space="preserve">    Vehicle repairs MK-MS 6666/MK-MS 232</t>
  </si>
  <si>
    <t xml:space="preserve">    Kfz-Reparaturen MK-MS 666/MK-MS 251</t>
  </si>
  <si>
    <t xml:space="preserve">    Vehicle repairs MK-MS 666/MK-MS 251</t>
  </si>
  <si>
    <t xml:space="preserve">    Kfz-Reparaturen MK-MS 2233/MK-MS 3344</t>
  </si>
  <si>
    <t xml:space="preserve">    Vehicle repairs MK-MS 2233/MK-MS 3344</t>
  </si>
  <si>
    <t xml:space="preserve">    Kfz-Reparaturen</t>
  </si>
  <si>
    <t xml:space="preserve">    Vehicle repairs</t>
  </si>
  <si>
    <t xml:space="preserve">    Leasingfahrzeugkosten MK-M 4045</t>
  </si>
  <si>
    <t xml:space="preserve">    Leasing vehicle costs MK-M 4045</t>
  </si>
  <si>
    <t xml:space="preserve">    Leasingfahrzeugk. MK-HX 410</t>
  </si>
  <si>
    <t xml:space="preserve">    Leasing vehicle MK-HX 410</t>
  </si>
  <si>
    <t xml:space="preserve">    Leasingfahrzeugkosten MK-HX 410</t>
  </si>
  <si>
    <t xml:space="preserve">    Leasing vehicle costs MK-HX 410</t>
  </si>
  <si>
    <t xml:space="preserve">    Leasingfahrzeugkosten MK-HM 2102</t>
  </si>
  <si>
    <t xml:space="preserve">    Leasing vehicle costs MK-HM 2102</t>
  </si>
  <si>
    <t xml:space="preserve">    Leasingfahrzeugk. MK-R 237E/MK-MH 909E</t>
  </si>
  <si>
    <t xml:space="preserve">    Leasing vehicle k. MK-R 237E/MK-MH 909E</t>
  </si>
  <si>
    <t xml:space="preserve">    Leasingfahrzeugk. Elektrofahrzeuge</t>
  </si>
  <si>
    <t xml:space="preserve">    Leasing vehicles. Electric vehicles</t>
  </si>
  <si>
    <t xml:space="preserve">    Leasingfahrzeugkosten Elektrofahrzeuge</t>
  </si>
  <si>
    <t xml:space="preserve">    Leasing vehicle costs electric vehicles</t>
  </si>
  <si>
    <t xml:space="preserve">    Leasingfahrzeugkosten MK-WH 520</t>
  </si>
  <si>
    <t xml:space="preserve">    Leasing vehicle costs MK-WH 520</t>
  </si>
  <si>
    <t xml:space="preserve">    Leasingfahrzeugk. MK-WH 520/MK-XW 3677</t>
  </si>
  <si>
    <t xml:space="preserve">    Leasing vehicle k. MK-WH 520/MK-XW 3677</t>
  </si>
  <si>
    <t xml:space="preserve">    Leasingfahrzeugkosten MK-MS 171/MS 121</t>
  </si>
  <si>
    <t xml:space="preserve">    Leasing vehicle costs MK-MS 171/MS 121</t>
  </si>
  <si>
    <t xml:space="preserve">    Leasingfahrzeugk. MK--MS 171/MS 121</t>
  </si>
  <si>
    <t xml:space="preserve">    Leasing vehicle k. MK--MS 171/MS 121</t>
  </si>
  <si>
    <t xml:space="preserve">    Leasingfahrzeugkosten MK-MS 503</t>
  </si>
  <si>
    <t xml:space="preserve">    Leasing vehicle costs MK-MS 503</t>
  </si>
  <si>
    <t xml:space="preserve">    Leasingfahrzeugk. MK-XQ 1038/MK-GS 444</t>
  </si>
  <si>
    <t xml:space="preserve">    Leasing vehicle MK-XQ 1038/MK-GS 444</t>
  </si>
  <si>
    <t xml:space="preserve">    Leasingfahrz. MK-HM 3322/AM 567/EN-ZB111</t>
  </si>
  <si>
    <t xml:space="preserve">    Leasing vehicle MK-HM 3322/AM 567/EN-ZB111</t>
  </si>
  <si>
    <t xml:space="preserve">    Leasingfahrzeugk. MK-HM 3322/EN-ZB 111</t>
  </si>
  <si>
    <t xml:space="preserve">    Leasing vehicle MK-HM 3322/EN-ZB 111</t>
  </si>
  <si>
    <t xml:space="preserve">    Leasingfahrzeugk. MK-MS 6666/MK-MS 232</t>
  </si>
  <si>
    <t xml:space="preserve">    Leasing vehicle k. MK-MS 6666/MK-MS 232</t>
  </si>
  <si>
    <t xml:space="preserve">    Leasingfahrzeugk. MK-MS 666/MK-MS 251</t>
  </si>
  <si>
    <t xml:space="preserve">    Leasing vehicle k. MK-MS 666/MK-MS 251</t>
  </si>
  <si>
    <t xml:space="preserve">    Leasingfahrzeugk. MK-MS 2233/MK-MS 3344</t>
  </si>
  <si>
    <t xml:space="preserve">    Leasing vehicle k. MK-MS 2233/MK-MS 3344</t>
  </si>
  <si>
    <t xml:space="preserve">    Leasing E-Bikes</t>
  </si>
  <si>
    <t xml:space="preserve">    Leasing e-bikes</t>
  </si>
  <si>
    <t xml:space="preserve">    Sonstige Kfz-Kosten MK-M 4045</t>
  </si>
  <si>
    <t xml:space="preserve">    Other vehicle costs MK-M 4045</t>
  </si>
  <si>
    <t xml:space="preserve">    Sonstige Kfz-Kosten MK-HX 410</t>
  </si>
  <si>
    <t xml:space="preserve">    Other vehicle costs MK-HX 410</t>
  </si>
  <si>
    <t xml:space="preserve">    Sonstige Kfz-Kosten MK-HM 2102</t>
  </si>
  <si>
    <t xml:space="preserve">    Other vehicle costs MK-HM 2102</t>
  </si>
  <si>
    <t xml:space="preserve">    Sonstige Kfz-Kosten MK-R 237E/MK-MH 909E</t>
  </si>
  <si>
    <t xml:space="preserve">    Other vehicle costs MK-R 237E/MK-MH 909E</t>
  </si>
  <si>
    <t xml:space="preserve">    Sonstige Kfz-Kosten Elektrofahrzeuge</t>
  </si>
  <si>
    <t xml:space="preserve">    Other vehicle costs for electric vehicles</t>
  </si>
  <si>
    <t xml:space="preserve">    Sonstige Kfz-Kosten MK-WH 520</t>
  </si>
  <si>
    <t xml:space="preserve">    Other vehicle costs MK-WH 520</t>
  </si>
  <si>
    <t xml:space="preserve">    Sonstige Kfz-Kosten MK-WH 520/MK-XW 3677</t>
  </si>
  <si>
    <t xml:space="preserve">    Other vehicle costs MK-WH 520/MK-XW 3677</t>
  </si>
  <si>
    <t xml:space="preserve">    Sonstige Kfz-Kosten MK-MS 171/MS 121</t>
  </si>
  <si>
    <t xml:space="preserve">    Other vehicle costs MK-MS 171/MS 121</t>
  </si>
  <si>
    <t xml:space="preserve">    Sonstige Kfz-Kosten MK-MS 503</t>
  </si>
  <si>
    <t xml:space="preserve">    Other vehicle costs MK-MS 503</t>
  </si>
  <si>
    <t xml:space="preserve">    Sonstige Kfz-Kosten MK-XQ 1038/MK-GS 444</t>
  </si>
  <si>
    <t xml:space="preserve">    Other vehicle costs MK-XQ 1038/MK-GS 444</t>
  </si>
  <si>
    <t xml:space="preserve">    Sonstige Kfz-Kosten MK-HM 3322/AM 567</t>
  </si>
  <si>
    <t xml:space="preserve">    Other vehicle costs MK-HM 3322/AM 567</t>
  </si>
  <si>
    <t xml:space="preserve">    Sonstige Kfz-Kosten MK-HM 3322/EN-ZB 111</t>
  </si>
  <si>
    <t xml:space="preserve">    Other vehicle costs MK-HM 3322/EN-ZB 111</t>
  </si>
  <si>
    <t xml:space="preserve">    Sonstige Kfz-Kosten MK-MS 6666/MK-MS 232</t>
  </si>
  <si>
    <t xml:space="preserve">    Other vehicle costs MK-MS 6666/MK-MS 232</t>
  </si>
  <si>
    <t xml:space="preserve">    Sonstige Kfz-Kosten MK-MS 666/MK-MS 251</t>
  </si>
  <si>
    <t xml:space="preserve">    Other vehicle costs MK-MS 666/MK-MS 251</t>
  </si>
  <si>
    <t xml:space="preserve">    Sonstige Kfz-Kosten MK-MS 2233/MK-MS3344</t>
  </si>
  <si>
    <t xml:space="preserve">    Other vehicle costs MK-MS 2233/MK-MS3344</t>
  </si>
  <si>
    <t xml:space="preserve">    Sonstige Kfz-Kosten</t>
  </si>
  <si>
    <t xml:space="preserve">    Other vehicle costs</t>
  </si>
  <si>
    <t xml:space="preserve">    Fremdfahrzeugkosten</t>
  </si>
  <si>
    <t xml:space="preserve">    External vehicle costs</t>
  </si>
  <si>
    <t xml:space="preserve">    Werbekosten</t>
  </si>
  <si>
    <t xml:space="preserve">    Advertising costs</t>
  </si>
  <si>
    <t>/profit and loss/expense/other expense/advertising and travel</t>
  </si>
  <si>
    <t xml:space="preserve">    Streuartikel</t>
  </si>
  <si>
    <t xml:space="preserve">    Promotional items</t>
  </si>
  <si>
    <t xml:space="preserve">    Messekosten</t>
  </si>
  <si>
    <t xml:space="preserve">    Trade fair costs</t>
  </si>
  <si>
    <t xml:space="preserve">    Geschenke abzugsfähig mit § 37b EStG</t>
  </si>
  <si>
    <t xml:space="preserve">    Gifts deductible under § 37b EStG</t>
  </si>
  <si>
    <t xml:space="preserve">    Pausch. Steuer Geschenke/Zuwend. abz.</t>
  </si>
  <si>
    <t xml:space="preserve">    Flat-rate tax on gifts/benefits deductible.</t>
  </si>
  <si>
    <t xml:space="preserve">    Repräsentationskosten</t>
  </si>
  <si>
    <t xml:space="preserve">    Representation costs</t>
  </si>
  <si>
    <t xml:space="preserve">    Kosten Firmenjubiläum</t>
  </si>
  <si>
    <t xml:space="preserve">    Anniversary costs</t>
  </si>
  <si>
    <t xml:space="preserve">    Bewirtungskosten</t>
  </si>
  <si>
    <t xml:space="preserve">    Entertainment expenses</t>
  </si>
  <si>
    <t xml:space="preserve">    Nicht abzugsfähige Bewirtungskosten</t>
  </si>
  <si>
    <t xml:space="preserve">    Non-deductible entertainment expenses</t>
  </si>
  <si>
    <t xml:space="preserve">    Reisekosten Arbeitnehmer, Fahrtkosten</t>
  </si>
  <si>
    <t xml:space="preserve">    Travel expenses employees, travel costs</t>
  </si>
  <si>
    <t xml:space="preserve">    Reisekosten AN Verpfleg.mehraufwand</t>
  </si>
  <si>
    <t xml:space="preserve">    Travel expenses for additional meal allowances</t>
  </si>
  <si>
    <t xml:space="preserve">    Reisekosten AN Übernachtungsaufwand</t>
  </si>
  <si>
    <t xml:space="preserve">    Travel expenses for accommodation expenses</t>
  </si>
  <si>
    <t xml:space="preserve">    Kilometergelderstattung Arbeitnehmer</t>
  </si>
  <si>
    <t xml:space="preserve">    Mileage reimbursement for employees</t>
  </si>
  <si>
    <t xml:space="preserve">    Ausgangsfrachten</t>
  </si>
  <si>
    <t xml:space="preserve">    Outgoing freight</t>
  </si>
  <si>
    <t>/profit and loss/expense/other expense/delivery costs</t>
  </si>
  <si>
    <t xml:space="preserve">    Fremdarbeiten (Vertrieb)</t>
  </si>
  <si>
    <t xml:space="preserve">    External services (Sales)</t>
  </si>
  <si>
    <t>/profit and loss/expense/other expense/sales costs</t>
  </si>
  <si>
    <t xml:space="preserve">    Aufwand für Gewährleistungen</t>
  </si>
  <si>
    <t xml:space="preserve">    Expenses for warranties</t>
  </si>
  <si>
    <t xml:space="preserve">    Reparatur/Instandh. Anlagen u. Maschinen</t>
  </si>
  <si>
    <t xml:space="preserve">    Repair/Maintenance of Equipment and Machinery</t>
  </si>
  <si>
    <t>/profit and loss/expense/other expense/repair and maintenance</t>
  </si>
  <si>
    <t xml:space="preserve">    Reparatur/Instandh.v.and.Anlagen u. BGA</t>
  </si>
  <si>
    <t xml:space="preserve">    Repair/Maintenance of other equipment and BGA</t>
  </si>
  <si>
    <t xml:space="preserve">    Wartungskosten für Hard- und Software</t>
  </si>
  <si>
    <t xml:space="preserve">    Maintenance costs for hardware and software</t>
  </si>
  <si>
    <t xml:space="preserve">    Mietleasing bewegl. WG techn. Anlagen</t>
  </si>
  <si>
    <t xml:space="preserve">    Lease of movable tangible assets technical equipment</t>
  </si>
  <si>
    <t xml:space="preserve">    Sonstige betriebliche Aufwendungen</t>
  </si>
  <si>
    <t xml:space="preserve">    Other operating expenses</t>
  </si>
  <si>
    <t xml:space="preserve">    Sonstige betriebl.u.regelm.Aufwendungen</t>
  </si>
  <si>
    <t xml:space="preserve">    Other operating and regular expenses</t>
  </si>
  <si>
    <t xml:space="preserve">    Porto</t>
  </si>
  <si>
    <t xml:space="preserve">    Postage</t>
  </si>
  <si>
    <t xml:space="preserve">    Telefon</t>
  </si>
  <si>
    <t xml:space="preserve">    Telephone</t>
  </si>
  <si>
    <t xml:space="preserve">    Bürobedarf</t>
  </si>
  <si>
    <t xml:space="preserve">    Office supplies</t>
  </si>
  <si>
    <t xml:space="preserve">    Zeitschriften, Bücher (Fachliteratur)</t>
  </si>
  <si>
    <t xml:space="preserve">    Magazines, books (specialist literature)</t>
  </si>
  <si>
    <t xml:space="preserve">    Zeitschrift./Bücher/dig.Medien(Fachlit.)</t>
  </si>
  <si>
    <t xml:space="preserve">    Magazines/Books/Digital Media (Technical Literature)</t>
  </si>
  <si>
    <t xml:space="preserve">    Fortbildungskosten</t>
  </si>
  <si>
    <t xml:space="preserve">    Training costs</t>
  </si>
  <si>
    <t xml:space="preserve">    Rechts- und Beratungskosten</t>
  </si>
  <si>
    <t xml:space="preserve">    Legal and consulting costs</t>
  </si>
  <si>
    <t xml:space="preserve">    Entwicklungskosten Apherese</t>
  </si>
  <si>
    <t xml:space="preserve">    Development costs apheresis</t>
  </si>
  <si>
    <t xml:space="preserve">    Entwicklungskosten Phagenfalle</t>
  </si>
  <si>
    <t xml:space="preserve">    Development costs for phage trap</t>
  </si>
  <si>
    <t xml:space="preserve">    Mieten für Einrichtungen bewegliche WG</t>
  </si>
  <si>
    <t xml:space="preserve">    Rents for movable asset facilities</t>
  </si>
  <si>
    <t xml:space="preserve">    Aufwendungen für Lizenzen, Konzessionen</t>
  </si>
  <si>
    <t xml:space="preserve">    Expenses for licenses, concessions</t>
  </si>
  <si>
    <t xml:space="preserve">    Aufwand Abraum-/Abfallbeseitigung</t>
  </si>
  <si>
    <t xml:space="preserve">    Expense for overburden/waste disposal</t>
  </si>
  <si>
    <t xml:space="preserve">    Nebenkosten des Geldverkehrs</t>
  </si>
  <si>
    <t xml:space="preserve">    Incidental costs of monetary transactions</t>
  </si>
  <si>
    <t xml:space="preserve">    Verwahrentgelt</t>
  </si>
  <si>
    <t xml:space="preserve">    Custody fee</t>
  </si>
  <si>
    <t xml:space="preserve">    Sonstiger Betriebsbedarf</t>
  </si>
  <si>
    <t xml:space="preserve">    Erlöse Sachanlageverkäufe 19% USt, BV</t>
  </si>
  <si>
    <t xml:space="preserve">    Revenue from sales of tangible assets 19% VAT, BV</t>
  </si>
  <si>
    <t xml:space="preserve">    Erl. Sachanlageverk. § 4 Nr.1a UStG (BV)</t>
  </si>
  <si>
    <t xml:space="preserve">    Revenue from the sale of tangible assets § 4 No.1a UStG (BV)</t>
  </si>
  <si>
    <t xml:space="preserve">    Erlöse Verkäufe Finanzanlagen, BV</t>
  </si>
  <si>
    <t xml:space="preserve">    Proceeds from sales of financial assets, BV</t>
  </si>
  <si>
    <t xml:space="preserve">    Apportionment of depreciation on tangible assets</t>
  </si>
  <si>
    <t>sonstige Erträge</t>
  </si>
  <si>
    <t>other income</t>
  </si>
  <si>
    <t xml:space="preserve">    Zinsaufwendungen f.lfr.Verbindlichkeit.</t>
  </si>
  <si>
    <t xml:space="preserve">    Interest expenses for long-term liabilities.</t>
  </si>
  <si>
    <t xml:space="preserve">    Aufw. Zuführg/Auflösung latente Steuern</t>
  </si>
  <si>
    <t xml:space="preserve">    Kfz-Steuer MK-M 4045</t>
  </si>
  <si>
    <t xml:space="preserve">    Motor vehicle tax MK-M 4045</t>
  </si>
  <si>
    <t xml:space="preserve">    Kfz-Steuer Elektrofahrzeuge</t>
  </si>
  <si>
    <t xml:space="preserve">    Motor vehicle tax electric vehicles</t>
  </si>
  <si>
    <t xml:space="preserve">    Kfz-Steuer MK-WH 520</t>
  </si>
  <si>
    <t xml:space="preserve">    Motor vehicle tax MK-WH 520</t>
  </si>
  <si>
    <t xml:space="preserve">    Kfz-Steuer MK-MS 503</t>
  </si>
  <si>
    <t xml:space="preserve">    Motor vehicle tax MK-MS 503</t>
  </si>
  <si>
    <t xml:space="preserve">    Kfz-Steuer MK-HM 3322/AM 567</t>
  </si>
  <si>
    <t xml:space="preserve">    Motor vehicle tax MK-HM 3322/AM 567</t>
  </si>
  <si>
    <t xml:space="preserve">    Kfz-Steuer MK-MS 6666/MK-MS 232</t>
  </si>
  <si>
    <t xml:space="preserve">    Motor vehicle tax MK-MS 6666/MK-MS 232</t>
  </si>
  <si>
    <t xml:space="preserve">    Kfz-Steuer</t>
  </si>
  <si>
    <t xml:space="preserve">    Vehicle tax</t>
  </si>
  <si>
    <t>Net income</t>
  </si>
  <si>
    <t>Materialkosten in % der Gesamtleistung</t>
  </si>
  <si>
    <t>Material costs as a % of total output</t>
  </si>
  <si>
    <t>Personalkosten in % der Gesamtleistung</t>
  </si>
  <si>
    <t>Personnel costs as a % of total output</t>
  </si>
  <si>
    <t>Betriebskosten in % der Gesamtleistung</t>
  </si>
  <si>
    <t>Operating costs as a % of total output</t>
  </si>
  <si>
    <t/>
  </si>
  <si>
    <t xml:space="preserve">            In der Entwicklung befindliche immaterielle Vermögensgegenstände (Annual Report Value)</t>
  </si>
  <si>
    <t xml:space="preserve">            Intangible assets under development (Annual Report Value)</t>
  </si>
  <si>
    <t xml:space="preserve">            In der Entwicklung befindliche immaterielle Vermögensgegenstände (Cross Check)</t>
  </si>
  <si>
    <t xml:space="preserve">            Intangible assets under development (Cross Check)</t>
  </si>
  <si>
    <t xml:space="preserve">                IT software, acquired for a fee</t>
  </si>
  <si>
    <t xml:space="preserve">            Entgeltlich erworbene Konzessionen, gewerbliche Schutzrechte und ähnliche Rechte und Werte sowie Lizenzen an solchen Rechten und Werten (Annual Report Value)</t>
  </si>
  <si>
    <t xml:space="preserve">            Acquired concessions, industrial property rights and similar rights and values, as well as licenses to such rights and values (Annual Report Value)</t>
  </si>
  <si>
    <t xml:space="preserve">            Entgeltlich erworbene Konzessionen, gewerbliche Schutzrechte und ähnliche Rechte und Werte sowie Lizenzen an solchen Rechten und Werten (Cross Check)</t>
  </si>
  <si>
    <t xml:space="preserve">            Acquired concessions, industrial property rights and similar rights and values, as well as licenses to such rights and values (Cross Check)</t>
  </si>
  <si>
    <t xml:space="preserve">        Immaterielle Vermögensgegenstände (Annual Report Value)</t>
  </si>
  <si>
    <t xml:space="preserve">        Intangible Assets (Annual Report Value)</t>
  </si>
  <si>
    <t xml:space="preserve">        Immaterielle Vermögensgegenstände (Cross Check)</t>
  </si>
  <si>
    <t xml:space="preserve">        Intangible Assets (Cross Check)</t>
  </si>
  <si>
    <t xml:space="preserve">            Technische Anlagen und Maschinen (Annual Report Value)</t>
  </si>
  <si>
    <t xml:space="preserve">            Technical equipment and machinery (Annual Report Value)</t>
  </si>
  <si>
    <t xml:space="preserve">            Technische Anlagen und Maschinen (Cross Check)</t>
  </si>
  <si>
    <t xml:space="preserve">            Technical equipment and machinery (Cross Check)</t>
  </si>
  <si>
    <t xml:space="preserve">                Other Operating and Business Equipment</t>
  </si>
  <si>
    <t xml:space="preserve">            Andere Anlagen, Betriebs- und Geschäftsausstattung (Annual Report Value)</t>
  </si>
  <si>
    <t xml:space="preserve">            Other equipment, operating and office equipment (Annual Report Value)</t>
  </si>
  <si>
    <t xml:space="preserve">            Andere Anlagen, Betriebs- und Geschäftsausstattung (Cross Check)</t>
  </si>
  <si>
    <t xml:space="preserve">            Other equipment, operating and office equipment (Cross Check)</t>
  </si>
  <si>
    <t xml:space="preserve">        Sachanlagen (Annual Report Value)</t>
  </si>
  <si>
    <t xml:space="preserve">        Property, Plant and Equipment (Annual Report Value)</t>
  </si>
  <si>
    <t xml:space="preserve">        Sachanlagen (Cross Check)</t>
  </si>
  <si>
    <t xml:space="preserve">        Property, Plant and Equipment (Cross Check)</t>
  </si>
  <si>
    <t xml:space="preserve">            Wertpapiere des Anlagevermögens (Annual Report Value)</t>
  </si>
  <si>
    <t xml:space="preserve">            Securities of fixed assets (Annual Report Value)</t>
  </si>
  <si>
    <t xml:space="preserve">            Wertpapiere des Anlagevermögens (Cross Check)</t>
  </si>
  <si>
    <t xml:space="preserve">            Securities of fixed assets (Cross Check)</t>
  </si>
  <si>
    <t xml:space="preserve">            Genossenschaftsanteile (Annual Report Value)</t>
  </si>
  <si>
    <t xml:space="preserve">            Cooperative shares (Annual Report Value)</t>
  </si>
  <si>
    <t xml:space="preserve">            Genossenschaftsanteile (Cross Check)</t>
  </si>
  <si>
    <t xml:space="preserve">            Cooperative shares (Cross Check)</t>
  </si>
  <si>
    <t xml:space="preserve">        Finanzanlagen (Annual Report Value)</t>
  </si>
  <si>
    <t xml:space="preserve">        Financial assets (Annual Report Value)</t>
  </si>
  <si>
    <t xml:space="preserve">        Finanzanlagen (Cross Check)</t>
  </si>
  <si>
    <t xml:space="preserve">        Financial Assets (Cross Check)</t>
  </si>
  <si>
    <t xml:space="preserve">    Anlagevermögen (Annual Report Value)</t>
  </si>
  <si>
    <t xml:space="preserve">    Fixed Assets (Annual Report Value)</t>
  </si>
  <si>
    <t xml:space="preserve">    Anlagevermögen (Cross Check)</t>
  </si>
  <si>
    <t xml:space="preserve">    Fixed Assets (Cross Check)</t>
  </si>
  <si>
    <t xml:space="preserve">            Roh-, Hilfs- und Betriebsstoffe (Annual Report Value)</t>
  </si>
  <si>
    <t xml:space="preserve">            Raw materials, auxiliary materials, and operating supplies (Annual Report Value)</t>
  </si>
  <si>
    <t xml:space="preserve">            Roh-, Hilfs- und Betriebsstoffe (Cross Check)</t>
  </si>
  <si>
    <t xml:space="preserve">            Raw materials, auxiliary materials, and operating supplies (Cross Check)</t>
  </si>
  <si>
    <t xml:space="preserve">            Unfertige Erzeugnisse, unfertige Leistungen (Annual Report Value)</t>
  </si>
  <si>
    <t xml:space="preserve">            Work in progress, unfinished services (Annual Report Value)</t>
  </si>
  <si>
    <t xml:space="preserve">            Unfertige Erzeugnisse, unfertige Leistungen (Cross Check)</t>
  </si>
  <si>
    <t xml:space="preserve">            Work in progress, unfinished services (Cross Check)</t>
  </si>
  <si>
    <t xml:space="preserve">            Fertige Erzeugnisse und Waren (Annual Report Value)</t>
  </si>
  <si>
    <t xml:space="preserve">            Finished goods and merchandise (Annual Report Value)</t>
  </si>
  <si>
    <t xml:space="preserve">            Fertige Erzeugnisse und Waren (Cross Check)</t>
  </si>
  <si>
    <t xml:space="preserve">            Finished goods and merchandise (Cross Check)</t>
  </si>
  <si>
    <t xml:space="preserve">                Geleistete Anzahlungen auf Vorräte</t>
  </si>
  <si>
    <t xml:space="preserve">                Advance payments on inventories</t>
  </si>
  <si>
    <t xml:space="preserve">            Geleistete Anzahlungen (Annual Report Value)</t>
  </si>
  <si>
    <t xml:space="preserve">            Advance payments made (Annual Report Value)</t>
  </si>
  <si>
    <t xml:space="preserve">            Geleistete Anzahlungen (Cross Check)</t>
  </si>
  <si>
    <t xml:space="preserve">            Advance payments made (Cross Check)</t>
  </si>
  <si>
    <t xml:space="preserve">        Vorräte (Annual Report Value)</t>
  </si>
  <si>
    <t xml:space="preserve">        Inventories (Annual Report Value)</t>
  </si>
  <si>
    <t xml:space="preserve">        Vorräte (Cross Check)</t>
  </si>
  <si>
    <t xml:space="preserve">        Inventories (Cross Check)</t>
  </si>
  <si>
    <t xml:space="preserve">            Forderungen aus Lieferungen und Leistungen (Annual Report Value)</t>
  </si>
  <si>
    <t xml:space="preserve">            Trade receivables (Annual Report Value)</t>
  </si>
  <si>
    <t xml:space="preserve">            Forderungen aus Lieferungen und Leistungen (Cross Check)</t>
  </si>
  <si>
    <t xml:space="preserve">            Trade receivables (Cross Check)</t>
  </si>
  <si>
    <t xml:space="preserve">                Other assets</t>
  </si>
  <si>
    <t xml:space="preserve">                Receivables from health insurance under AAG</t>
  </si>
  <si>
    <t xml:space="preserve">                Liabilities from goods and services</t>
  </si>
  <si>
    <t xml:space="preserve">                Geldtransit</t>
  </si>
  <si>
    <t xml:space="preserve">                Cash in transit</t>
  </si>
  <si>
    <t xml:space="preserve">                Durchlaufende Posten</t>
  </si>
  <si>
    <t xml:space="preserve">                Transitory Items</t>
  </si>
  <si>
    <t xml:space="preserve">            Sonstige Vermögensgegenstände (Annual Report Value)</t>
  </si>
  <si>
    <t xml:space="preserve">            Other Assets (Annual Report Value)</t>
  </si>
  <si>
    <t xml:space="preserve">            Sonstige Vermögensgegenstände (Cross Check)</t>
  </si>
  <si>
    <t xml:space="preserve">            Other Assets (Cross Check)</t>
  </si>
  <si>
    <t xml:space="preserve">        Forderungen und sonstige Vermögensgegenstände (Annual Report Value)</t>
  </si>
  <si>
    <t xml:space="preserve">        Receivables and other assets (Annual Report Value)</t>
  </si>
  <si>
    <t xml:space="preserve">        Forderungen und sonstige Vermögensgegenstände (Cross Check)</t>
  </si>
  <si>
    <t xml:space="preserve">        Receivables and other assets (Cross Check)</t>
  </si>
  <si>
    <t xml:space="preserve">            Sonstige Wertpapiere (Annual Report Value)</t>
  </si>
  <si>
    <t xml:space="preserve">            Other securities (Annual Report Value)</t>
  </si>
  <si>
    <t xml:space="preserve">            Sonstige Wertpapiere (Cross Check)</t>
  </si>
  <si>
    <t xml:space="preserve">            Other securities (Cross Check)</t>
  </si>
  <si>
    <t xml:space="preserve">        Wertpapiere (Annual Report Value)</t>
  </si>
  <si>
    <t xml:space="preserve">        Securities (Annual Report Value)</t>
  </si>
  <si>
    <t xml:space="preserve">        Wertpapiere (Cross Check)</t>
  </si>
  <si>
    <t xml:space="preserve">        Securities (Cross Check)</t>
  </si>
  <si>
    <t xml:space="preserve">        Kassenbestand, Bundesbankguthaben, Guthaben bei Kreditinstituten und Schecks (Annual Report Value)</t>
  </si>
  <si>
    <t xml:space="preserve">        Cash on hand, balances with central banks, balances with credit institutions, and checks (Annual Report Value)</t>
  </si>
  <si>
    <t xml:space="preserve">        Kassenbestand, Bundesbankguthaben, Guthaben bei Kreditinstituten und Schecks (Cross Check)</t>
  </si>
  <si>
    <t xml:space="preserve">        Cash on hand, balances with central banks, balances with credit institutions, and checks (Cross Check)</t>
  </si>
  <si>
    <t xml:space="preserve">    Umlaufvermögen (Annual Report Value)</t>
  </si>
  <si>
    <t xml:space="preserve">    Current Assets (Annual Report Value)</t>
  </si>
  <si>
    <t xml:space="preserve">    Umlaufvermögen (Cross Check)</t>
  </si>
  <si>
    <t xml:space="preserve">    Current Assets (Cross Check)</t>
  </si>
  <si>
    <t xml:space="preserve">    Rechnungsabgrenzungsposten (Annual Report Value)</t>
  </si>
  <si>
    <t xml:space="preserve">    Prepaid expenses (Annual Report Value)</t>
  </si>
  <si>
    <t xml:space="preserve">    Rechnungsabgrenzungsposten (Cross Check)</t>
  </si>
  <si>
    <t xml:space="preserve">    Prepaid expenses (Cross Check)</t>
  </si>
  <si>
    <t>Aktiva (Annual Report Value)</t>
  </si>
  <si>
    <t>Assets (Annual Report Value)</t>
  </si>
  <si>
    <t>Aktiva (Cross Check)</t>
  </si>
  <si>
    <t>Assets (Cross Check)</t>
  </si>
  <si>
    <t xml:space="preserve">        Gezeichnetes Kapital (Annual Report Value)</t>
  </si>
  <si>
    <t xml:space="preserve">        Subscribed Capital (Annual Report Value)</t>
  </si>
  <si>
    <t xml:space="preserve">        Gezeichnetes Kapital (Cross Check)</t>
  </si>
  <si>
    <t xml:space="preserve">        Subscribed Capital (Cross Check)</t>
  </si>
  <si>
    <t xml:space="preserve">        Gewinnvortrag (Annual Report Value)</t>
  </si>
  <si>
    <t xml:space="preserve">        Retained Earnings (Annual Report Value)</t>
  </si>
  <si>
    <t xml:space="preserve">        Gewinnvortrag (Cross Check)</t>
  </si>
  <si>
    <t xml:space="preserve">        Profit carried forward (Cross Check)</t>
  </si>
  <si>
    <t xml:space="preserve">    Eigenkapital (Annual Report Value)</t>
  </si>
  <si>
    <t xml:space="preserve">    Equity (Annual Report Value)</t>
  </si>
  <si>
    <t xml:space="preserve">    Eigenkapital (Cross Check)</t>
  </si>
  <si>
    <t xml:space="preserve">    Equity (Cross Check)</t>
  </si>
  <si>
    <t xml:space="preserve">            Provision for pensions to balance</t>
  </si>
  <si>
    <t xml:space="preserve">        Rückstellungen für Pensionen und ähnliche Verpflichtungen (Annual Report Value)</t>
  </si>
  <si>
    <t xml:space="preserve">        Provisions for pensions and similar obligations (Annual Report Value)</t>
  </si>
  <si>
    <t xml:space="preserve">        Rückstellungen für Pensionen und ähnliche Verpflichtungen (Cross Check)</t>
  </si>
  <si>
    <t xml:space="preserve">        Provisions for pensions and similar obligations (Cross Check)</t>
  </si>
  <si>
    <t xml:space="preserve">            Corporation tax provision</t>
  </si>
  <si>
    <t xml:space="preserve">        Steuerrückstellungen (Annual Report Value)</t>
  </si>
  <si>
    <t xml:space="preserve">        Tax Provisions (Annual Report Value)</t>
  </si>
  <si>
    <t xml:space="preserve">        Steuerrückstellungen (Cross Check)</t>
  </si>
  <si>
    <t xml:space="preserve">        Tax Provisions (Cross Check)</t>
  </si>
  <si>
    <t xml:space="preserve">        Sonstige Rückstellungen (Annual Report Value)</t>
  </si>
  <si>
    <t xml:space="preserve">        Other Provisions (Annual Report Value)</t>
  </si>
  <si>
    <t xml:space="preserve">        Sonstige Rückstellungen (Cross Check)</t>
  </si>
  <si>
    <t xml:space="preserve">        Other Provisions (Cross Check)</t>
  </si>
  <si>
    <t xml:space="preserve">    Rückstellungen (Annual Report Value)</t>
  </si>
  <si>
    <t xml:space="preserve">    Provisions (Annual Report Value)</t>
  </si>
  <si>
    <t xml:space="preserve">    Rückstellungen (Cross Check)</t>
  </si>
  <si>
    <t xml:space="preserve">    Provisions (Cross Check)</t>
  </si>
  <si>
    <t xml:space="preserve">            Erhalt. Anzahlungen auf Bestellungen</t>
  </si>
  <si>
    <t xml:space="preserve">            Received advance payments on orders</t>
  </si>
  <si>
    <t>/working capital/all trade payables/advances received on orders</t>
  </si>
  <si>
    <t xml:space="preserve">        Erhaltene Anzahlungen auf Bestellungen (Annual Report Value)</t>
  </si>
  <si>
    <t xml:space="preserve">        Advance payments received on orders (Annual Report Value)</t>
  </si>
  <si>
    <t xml:space="preserve">        Erhaltene Anzahlungen auf Bestellungen (Cross Check)</t>
  </si>
  <si>
    <t xml:space="preserve">        Advance payments received on orders (Cross Check)</t>
  </si>
  <si>
    <t xml:space="preserve">            Value-added tax prepayments</t>
  </si>
  <si>
    <t xml:space="preserve">            Umsatzsteuerverbindlichkeiten Vorjahr</t>
  </si>
  <si>
    <t xml:space="preserve">            Value-added tax liabilities previous year</t>
  </si>
  <si>
    <t xml:space="preserve">            Lohn- und Gehaltsverrechnungen</t>
  </si>
  <si>
    <t xml:space="preserve">            Payroll and salary accounting</t>
  </si>
  <si>
    <t xml:space="preserve">            Umsatzsteuer frühere Jahre</t>
  </si>
  <si>
    <t xml:space="preserve">            Value-added tax from previous years</t>
  </si>
  <si>
    <t xml:space="preserve">        Sonstige Verbindlichkeiten (Annual Report Value)</t>
  </si>
  <si>
    <t xml:space="preserve">        Other Liabilities (Annual Report Value)</t>
  </si>
  <si>
    <t xml:space="preserve">        Sonstige Verbindlichkeiten (Cross Check)</t>
  </si>
  <si>
    <t xml:space="preserve">        Other liabilities (Cross Check)</t>
  </si>
  <si>
    <t xml:space="preserve">            Sparkasse an Volme und Ruhr 6036050976</t>
  </si>
  <si>
    <t xml:space="preserve">            Savings Bank at Volme and Ruhr 6036050976</t>
  </si>
  <si>
    <t xml:space="preserve">        Verbindlichkeiten gegenüber Kreditinstituten</t>
  </si>
  <si>
    <t xml:space="preserve">        Liabilities to banks</t>
  </si>
  <si>
    <t xml:space="preserve">    Verbindlichkeiten (Annual Report Value)</t>
  </si>
  <si>
    <t xml:space="preserve">    Liabilities (Annual Report Value)</t>
  </si>
  <si>
    <t xml:space="preserve">    Verbindlichkeiten (Cross Check)</t>
  </si>
  <si>
    <t xml:space="preserve">    Liabilities (Cross Check)</t>
  </si>
  <si>
    <t xml:space="preserve">    Passive latente Steuern (Annual Report Value)</t>
  </si>
  <si>
    <t xml:space="preserve">    Deferred tax liabilities (Annual Report Value)</t>
  </si>
  <si>
    <t xml:space="preserve">    Passive latente Steuern (Cross Check)</t>
  </si>
  <si>
    <t xml:space="preserve">    Deferred tax liabilities (Cross Check)</t>
  </si>
  <si>
    <t>Passiva (Annual Report Value)</t>
  </si>
  <si>
    <t>Liabilities (Annual Report Value)</t>
  </si>
  <si>
    <t>Passiva (Cross Check)</t>
  </si>
  <si>
    <t>Liabilities (Cross Check)</t>
  </si>
  <si>
    <t>Unassigned Accounts</t>
  </si>
  <si>
    <t>Adjusted Categorization</t>
  </si>
  <si>
    <t xml:space="preserve">    EDV-Software, entgeltl. erworben</t>
  </si>
  <si>
    <t xml:space="preserve">    EDP software, acquired for a fee</t>
  </si>
  <si>
    <t xml:space="preserve">    Immat. Vermögensgegenst. in Entwicklung</t>
  </si>
  <si>
    <t xml:space="preserve">    Intangible assets under development</t>
  </si>
  <si>
    <t xml:space="preserve">    Maschinen</t>
  </si>
  <si>
    <t xml:space="preserve">    Machinery</t>
  </si>
  <si>
    <t xml:space="preserve">    Betriebsausstattung</t>
  </si>
  <si>
    <t xml:space="preserve">    Operating equipment</t>
  </si>
  <si>
    <t xml:space="preserve">    Werkzeuge</t>
  </si>
  <si>
    <t xml:space="preserve">    Tools</t>
  </si>
  <si>
    <t xml:space="preserve">    Sonstige Betriebs-u.Gesch.ausstattung</t>
  </si>
  <si>
    <t xml:space="preserve">    Other operating and business equipment</t>
  </si>
  <si>
    <t xml:space="preserve">    Anzahlung Betriebs- u. Gesch.ausstattung</t>
  </si>
  <si>
    <t xml:space="preserve">    Advance payment for operating and business equipment</t>
  </si>
  <si>
    <t>/fixed assets/tangible assets/advance payments on fixed assets - facilities under construction</t>
  </si>
  <si>
    <t xml:space="preserve">    Wertpapiere des Anlagevermögens</t>
  </si>
  <si>
    <t xml:space="preserve">    Securities of fixed assets</t>
  </si>
  <si>
    <t xml:space="preserve">    Genossenschaftsanteile z.lfr.Verbleib</t>
  </si>
  <si>
    <t xml:space="preserve">    Cooperative shares for long-term retention</t>
  </si>
  <si>
    <t xml:space="preserve">    Sparkasse an Volme und Ruhr 6036050976</t>
  </si>
  <si>
    <t xml:space="preserve">    Savings Bank at Volme and Ruhr 6036050976</t>
  </si>
  <si>
    <t xml:space="preserve">    Gezeichnetes Kapital</t>
  </si>
  <si>
    <t xml:space="preserve">    Subscribed Capital</t>
  </si>
  <si>
    <t xml:space="preserve">    Gewinnvortrag vor Verwendung</t>
  </si>
  <si>
    <t xml:space="preserve">    Profit carried forward before appropriation</t>
  </si>
  <si>
    <t>/equity/profit-loss carried forward</t>
  </si>
  <si>
    <t xml:space="preserve">    Rückstellung Pensionen zur Saldierung</t>
  </si>
  <si>
    <t xml:space="preserve">    Provision for pensions for offsetting</t>
  </si>
  <si>
    <t xml:space="preserve">    Gewerbesteuerrückstellung § 4 (5b) EStG</t>
  </si>
  <si>
    <t xml:space="preserve">    Trade tax provision § 4 (5b) EStG</t>
  </si>
  <si>
    <t xml:space="preserve">    Körperschaftsteuerrückstellung</t>
  </si>
  <si>
    <t xml:space="preserve">    Provision for corporate tax</t>
  </si>
  <si>
    <t xml:space="preserve">    Rückstellungen für Personalkosten</t>
  </si>
  <si>
    <t xml:space="preserve">    Provisions for personnel costs</t>
  </si>
  <si>
    <t xml:space="preserve">    Rückstellungen für Aufbewahrungspflicht</t>
  </si>
  <si>
    <t xml:space="preserve">    Provisions for retention obligation</t>
  </si>
  <si>
    <t xml:space="preserve">    Sonstige Rückstellungen</t>
  </si>
  <si>
    <t xml:space="preserve">    Other provisions</t>
  </si>
  <si>
    <t xml:space="preserve">    Rückstellungen f. Gewährleistungen</t>
  </si>
  <si>
    <t xml:space="preserve">    Provisions for warranties</t>
  </si>
  <si>
    <t xml:space="preserve">    Rückstellungen für Abschluss u. Prüfung</t>
  </si>
  <si>
    <t xml:space="preserve">    Provisions for completion and audit</t>
  </si>
  <si>
    <t xml:space="preserve">    Aktive Rechnungsabgrenzung</t>
  </si>
  <si>
    <t xml:space="preserve">    Pauschalwertberichtigung Forderg./b.1J</t>
  </si>
  <si>
    <t xml:space="preserve">    General allowance for receivables/over 1 year</t>
  </si>
  <si>
    <t>/working capital/all trade receivables/trade receivables</t>
  </si>
  <si>
    <t xml:space="preserve">    Einzelwertberichtigung Forderung(b.1J)</t>
  </si>
  <si>
    <t xml:space="preserve">    Specific allowance for doubtful accounts (over 1 year)</t>
  </si>
  <si>
    <t xml:space="preserve">    Kasse</t>
  </si>
  <si>
    <t xml:space="preserve">    Cash</t>
  </si>
  <si>
    <t xml:space="preserve">    Postbank Dortmund 231588463</t>
  </si>
  <si>
    <t xml:space="preserve">    Sparkasse an Volme und Ruhr 4065173</t>
  </si>
  <si>
    <t xml:space="preserve">    Savings Bank at Volme and Ruhr 4065173</t>
  </si>
  <si>
    <t xml:space="preserve">    Märkische Bank eG 34801500</t>
  </si>
  <si>
    <t xml:space="preserve">    Commerzbank 660004300</t>
  </si>
  <si>
    <t xml:space="preserve">    Sonstige Wertpapiere</t>
  </si>
  <si>
    <t xml:space="preserve">    Other securities</t>
  </si>
  <si>
    <t xml:space="preserve">    Geldtransit</t>
  </si>
  <si>
    <t xml:space="preserve">    Cash in transit</t>
  </si>
  <si>
    <t xml:space="preserve">    Forderungen aus L+L</t>
  </si>
  <si>
    <t xml:space="preserve">    Trade receivables</t>
  </si>
  <si>
    <t xml:space="preserve">    Sonstige Vermögensgegenstände</t>
  </si>
  <si>
    <t xml:space="preserve">    Other assets</t>
  </si>
  <si>
    <t xml:space="preserve">    Geleistete Anzahlungen auf Vorräte</t>
  </si>
  <si>
    <t xml:space="preserve">    Advance payments on inventories</t>
  </si>
  <si>
    <t xml:space="preserve">    Geleistete Anzahlungen 19% Vorsteuer</t>
  </si>
  <si>
    <t xml:space="preserve">    Advance payments 19% VAT</t>
  </si>
  <si>
    <t xml:space="preserve">    Forderungen ggb. Krankenkasse aus AAG</t>
  </si>
  <si>
    <t xml:space="preserve">    Receivables from health insurance from AAG</t>
  </si>
  <si>
    <t xml:space="preserve">    Kautionen</t>
  </si>
  <si>
    <t xml:space="preserve">    Deposits</t>
  </si>
  <si>
    <t xml:space="preserve">    Forderung aus Gewerbesteuerüberzahlung</t>
  </si>
  <si>
    <t xml:space="preserve">    Claim from overpayment of trade tax</t>
  </si>
  <si>
    <t xml:space="preserve">    Forderung gegenüber Bundesagentur</t>
  </si>
  <si>
    <t xml:space="preserve">    Receivable from Federal Agency</t>
  </si>
  <si>
    <t xml:space="preserve">    Vorst. in Folgeperiode /-jahr abziehbar</t>
  </si>
  <si>
    <t xml:space="preserve">    Deductible in the following period/year</t>
  </si>
  <si>
    <t xml:space="preserve">    Körperschaftsteuerrückforderung</t>
  </si>
  <si>
    <t xml:space="preserve">    Corporate tax refund request</t>
  </si>
  <si>
    <t xml:space="preserve">    Abziehbare Vorsteuer 7%</t>
  </si>
  <si>
    <t xml:space="preserve">    Deductible input tax 7%</t>
  </si>
  <si>
    <t xml:space="preserve">    Abziehbare Vorsteuer aus EU-Erwerb 19%</t>
  </si>
  <si>
    <t xml:space="preserve">    Deductible input tax from EU acquisition 19%</t>
  </si>
  <si>
    <t xml:space="preserve">    Abziehbare Vorsteuer 19%</t>
  </si>
  <si>
    <t xml:space="preserve">    Deductible input tax 19%</t>
  </si>
  <si>
    <t xml:space="preserve">    Abziehbare Vorsteuer § 13b UStG 19%</t>
  </si>
  <si>
    <t xml:space="preserve">    Deductible input tax § 13b UStG 19%</t>
  </si>
  <si>
    <t xml:space="preserve">    Einfuhrumsatzsteuer</t>
  </si>
  <si>
    <t xml:space="preserve">    Import VAT</t>
  </si>
  <si>
    <t xml:space="preserve">    Durchlaufende Posten</t>
  </si>
  <si>
    <t xml:space="preserve">    Transitory items</t>
  </si>
  <si>
    <t xml:space="preserve">    Verbindlichkeiten aus Lieferungen+Leist.</t>
  </si>
  <si>
    <t xml:space="preserve">    Liabilities from goods and services.</t>
  </si>
  <si>
    <t>/working capital/all trade payables/trade payables</t>
  </si>
  <si>
    <t xml:space="preserve">    Sonstige Verbindlichkeiten</t>
  </si>
  <si>
    <t xml:space="preserve">    Other liabilities</t>
  </si>
  <si>
    <t xml:space="preserve">    Erhalt. Anzahlungen auf Bestellungen</t>
  </si>
  <si>
    <t xml:space="preserve">    Received. Advance payments on orders</t>
  </si>
  <si>
    <t xml:space="preserve">    Erhaltene Anzahlungen 19% USt</t>
  </si>
  <si>
    <t xml:space="preserve">    Received advance payments 19% VAT</t>
  </si>
  <si>
    <t xml:space="preserve">    Verbindlichkeiten aus Lohn und Gehalt</t>
  </si>
  <si>
    <t xml:space="preserve">    Liabilities from wages and salaries</t>
  </si>
  <si>
    <t xml:space="preserve">    Verbindlichk. Lohn- und Kirchensteuer</t>
  </si>
  <si>
    <t xml:space="preserve">    Liabilities: Wage and church tax</t>
  </si>
  <si>
    <t xml:space="preserve">    Verbindlichkeiten soziale Sicherheit</t>
  </si>
  <si>
    <t xml:space="preserve">    Liabilities social security</t>
  </si>
  <si>
    <t xml:space="preserve">    Lohn- und Gehaltsverrechnungen</t>
  </si>
  <si>
    <t xml:space="preserve">    Payroll accounting</t>
  </si>
  <si>
    <t xml:space="preserve">    Voraus.Beitrag ggb. Sozialversich.träger</t>
  </si>
  <si>
    <t xml:space="preserve">    Advance payment to social security institutions</t>
  </si>
  <si>
    <t xml:space="preserve">    Umsatzsteuer aus EU-Erwerb 19%</t>
  </si>
  <si>
    <t xml:space="preserve">    Value-added tax from EU acquisition 19%</t>
  </si>
  <si>
    <t xml:space="preserve">    Umsatzsteuer 19%</t>
  </si>
  <si>
    <t xml:space="preserve">    Value-added tax 19%</t>
  </si>
  <si>
    <t xml:space="preserve">    Umsatzsteuer-Vorauszahlungen</t>
  </si>
  <si>
    <t xml:space="preserve">    Value-added tax prepayments</t>
  </si>
  <si>
    <t xml:space="preserve">    Umsatzsteuer-Vorauszahlungen 1/11</t>
  </si>
  <si>
    <t xml:space="preserve">    VAT prepayments 1/11</t>
  </si>
  <si>
    <t xml:space="preserve">    Umsatzsteuer nach § 13b UStG 19%</t>
  </si>
  <si>
    <t xml:space="preserve">    Value-added tax according to § 13b UStG 19%</t>
  </si>
  <si>
    <t xml:space="preserve">    Umsatzsteuer laufendes Jahr</t>
  </si>
  <si>
    <t xml:space="preserve">    Sales tax for the current year</t>
  </si>
  <si>
    <t xml:space="preserve">    Umsatzsteuer Vorjahr</t>
  </si>
  <si>
    <t xml:space="preserve">    Sales Tax Previous Year</t>
  </si>
  <si>
    <t xml:space="preserve">    Umsatzsteuerverbindlichkeiten Vorjahr</t>
  </si>
  <si>
    <t xml:space="preserve">    Liabilities from value-added tax previous year</t>
  </si>
  <si>
    <t xml:space="preserve">    Umsatzsteuer frühere Jahre</t>
  </si>
  <si>
    <t xml:space="preserve">    Value-added tax from previous years</t>
  </si>
  <si>
    <t xml:space="preserve">    Exp. Discounting Pension/Similar Provisions, Increase</t>
  </si>
  <si>
    <t xml:space="preserve">    Corporate tax refund previous years</t>
  </si>
  <si>
    <t xml:space="preserve">    Allocation to the provision for doubtful accounts</t>
  </si>
  <si>
    <t xml:space="preserve">    Allocation to the allowance for doubtful accounts</t>
  </si>
  <si>
    <t xml:space="preserve">    Income from Write-ups on Financial Investments</t>
  </si>
  <si>
    <t xml:space="preserve">    Income from write-ups of current assets</t>
  </si>
  <si>
    <t xml:space="preserve">    Goods Purchase Trade</t>
  </si>
  <si>
    <t xml:space="preserve">    Received discounts 19% input tax</t>
  </si>
  <si>
    <t xml:space="preserve">    Received cash discounts on purchases of raw materials, supplies, and consumables 19% input tax.</t>
  </si>
  <si>
    <t xml:space="preserve">    Received cash discounts EU acquisition 19% input VAT/output VAT</t>
  </si>
  <si>
    <t xml:space="preserve">    Bestand Roh-,Hilfs- und Betriebsstoffe</t>
  </si>
  <si>
    <t xml:space="preserve">    Inventory of raw, auxiliary, and operating materials</t>
  </si>
  <si>
    <t xml:space="preserve">    Bestand Waren</t>
  </si>
  <si>
    <t xml:space="preserve">    Inventory Goods</t>
  </si>
  <si>
    <t xml:space="preserve">    Managing Director Salaries GmbH Shareholders.</t>
  </si>
  <si>
    <t xml:space="preserve">    Voluntary social expenses. Tax-free</t>
  </si>
  <si>
    <t xml:space="preserve">    Social contributions for mini-jobbers</t>
  </si>
  <si>
    <t xml:space="preserve">    Voluntary social expenses. Subject to income tax.</t>
  </si>
  <si>
    <t xml:space="preserve">    Expense change in vacation provisions.</t>
  </si>
  <si>
    <t xml:space="preserve">    Travel cost reimbursement. Home/workplace</t>
  </si>
  <si>
    <t xml:space="preserve">    Motor vehicle tax</t>
  </si>
  <si>
    <t xml:space="preserve">    Motor vehicle insurance MK-HX 410</t>
  </si>
  <si>
    <t xml:space="preserve">    Motor vehicle insurance for electric vehicles</t>
  </si>
  <si>
    <t xml:space="preserve">    Motor vehicle insurance MK-WH 520</t>
  </si>
  <si>
    <t xml:space="preserve">    Motor vehicle insurance MK-MS 503</t>
  </si>
  <si>
    <t xml:space="preserve">    Motor Vehicle Insurance MK-HM 3322/EN-ZB 111</t>
  </si>
  <si>
    <t xml:space="preserve">    Car Insurance MK-MS 666/MK-MS 251</t>
  </si>
  <si>
    <t xml:space="preserve">    Vehicle Repairs MK-HX 410</t>
  </si>
  <si>
    <t xml:space="preserve">    Leasing vehicle MK-R 237E/MK-MH 909E</t>
  </si>
  <si>
    <t xml:space="preserve">    Leasing vehicle k. Electric vehicles</t>
  </si>
  <si>
    <t xml:space="preserve">    Leasing vehicle MK--MS 171/MS 121</t>
  </si>
  <si>
    <t xml:space="preserve">    Leasing vehicle. MK-HM 3322/EN-ZB 111</t>
  </si>
  <si>
    <t xml:space="preserve">    Third-party vehicle costs</t>
  </si>
  <si>
    <t xml:space="preserve">    Flat-rate tax gifts/donations deductible.</t>
  </si>
  <si>
    <t xml:space="preserve">    Costs for company anniversary</t>
  </si>
  <si>
    <t xml:space="preserve">    Travel expenses for employees, travel costs</t>
  </si>
  <si>
    <t xml:space="preserve">    Expense for warranties</t>
  </si>
  <si>
    <t xml:space="preserve">    Rental leasing of movable fixed assets technical equipment</t>
  </si>
  <si>
    <t xml:space="preserve">    Magazines, Books (Technical Literature)</t>
  </si>
  <si>
    <t xml:space="preserve">    Legal and consulting fees</t>
  </si>
  <si>
    <t xml:space="preserve">    Development costs Apheresis</t>
  </si>
  <si>
    <t xml:space="preserve">    Unfertige Erzeugnisse</t>
  </si>
  <si>
    <t xml:space="preserve">    Work in progress</t>
  </si>
  <si>
    <t xml:space="preserve">    Fertige Erzeugnisse und Waren</t>
  </si>
  <si>
    <t xml:space="preserve">    Finished goods and merchandise</t>
  </si>
  <si>
    <t xml:space="preserve">    Revenue from services according to § 13b UStG</t>
  </si>
  <si>
    <t xml:space="preserve">    Production Revenues</t>
  </si>
  <si>
    <t xml:space="preserve">    Revenues from trading</t>
  </si>
  <si>
    <t xml:space="preserve">    Other operating income, regular, 19% VAT</t>
  </si>
  <si>
    <t xml:space="preserve">    Granted discount-free EU delivery</t>
  </si>
  <si>
    <t xml:space="preserve">    Revenue from the sale of tangible assets § 4 No.1a UStG (business assets)</t>
  </si>
  <si>
    <t xml:space="preserve">    Revenue from sales of tangible assets 19% VAT, gross amount</t>
  </si>
  <si>
    <t xml:space="preserve">    Non-taxable sales (internal sales)</t>
  </si>
  <si>
    <t xml:space="preserve">    Change in inventories of unfinished goods</t>
  </si>
  <si>
    <t>Trial Balance</t>
  </si>
  <si>
    <t xml:space="preserve">    Granted Discounts</t>
  </si>
  <si>
    <t xml:space="preserve">    Discounts granted 16% VAT</t>
  </si>
  <si>
    <t xml:space="preserve">    Discounts granted for tax-free EU delivery</t>
  </si>
  <si>
    <t>Increase in inventories of finished and unfinished products</t>
  </si>
  <si>
    <t xml:space="preserve">        Abgänge Sachanlagen Restbuchwert bei BG</t>
  </si>
  <si>
    <t xml:space="preserve">        Disposals of fixed assets carrying amount at BG</t>
  </si>
  <si>
    <t xml:space="preserve">        Erträge Zuschreib. Finanzanlagevermögen</t>
  </si>
  <si>
    <t xml:space="preserve">        Income Write-ups Financial Assets</t>
  </si>
  <si>
    <t xml:space="preserve">        Erlöse Sachanlageverkäufe 19% USt, BG</t>
  </si>
  <si>
    <t xml:space="preserve">        Revenue from sale of tangible assets 19% VAT, BG</t>
  </si>
  <si>
    <t xml:space="preserve">        Erl. Sachanlageverk.§ 4 Nr.1a UStG,Buchg</t>
  </si>
  <si>
    <t xml:space="preserve">        Disposal of tangible assets § 4 No. 1a UStG, accounting</t>
  </si>
  <si>
    <t xml:space="preserve">    Erträge aus dem Abgang von Gegenständen des Anlagevermögens und aus Zuschreibungen zu Gegenständen des Anlagevermögens</t>
  </si>
  <si>
    <t xml:space="preserve">    Income from the disposal of fixed assets and from write-ups to fixed assets</t>
  </si>
  <si>
    <t xml:space="preserve">        Erträge aus Herabsetzung PWB auf Ford</t>
  </si>
  <si>
    <t xml:space="preserve">        Income from reduction of allowances on receivables</t>
  </si>
  <si>
    <t xml:space="preserve">    Erträge aus der Herabsetzung der Pauschalwertberichtigung auf Forderungen</t>
  </si>
  <si>
    <t xml:space="preserve">    Income from the reduction of general allowances on receivables</t>
  </si>
  <si>
    <t xml:space="preserve">        Sonstige Erträge betriebs/periodenfremd</t>
  </si>
  <si>
    <t xml:space="preserve">        Other income non-operating/non-period-related</t>
  </si>
  <si>
    <t xml:space="preserve">        Erträge aus Herabsetzung EWB auf Ford</t>
  </si>
  <si>
    <t xml:space="preserve">        Income from the reduction of specific allowances on receivables</t>
  </si>
  <si>
    <t xml:space="preserve">        Versich.entschädigung, Schadenersatz</t>
  </si>
  <si>
    <t xml:space="preserve">        Insurance compensation, damages</t>
  </si>
  <si>
    <t xml:space="preserve">        Erstattungen AufwendungsausgleichsG</t>
  </si>
  <si>
    <t xml:space="preserve">        Reimbursements under the Expense Compensation Act</t>
  </si>
  <si>
    <t xml:space="preserve">        Verrechnete sonstige Sachbezüge</t>
  </si>
  <si>
    <t xml:space="preserve">        Offset other non-cash benefits</t>
  </si>
  <si>
    <t xml:space="preserve">        Verrech. sonstige Sachbezüge Fzg 19% USt</t>
  </si>
  <si>
    <t xml:space="preserve">        Accounting for other benefits in kind vehicles 19% VAT</t>
  </si>
  <si>
    <t xml:space="preserve">        Sonst. Erträge betriebl., regelm.19% USt</t>
  </si>
  <si>
    <t xml:space="preserve">        Other operating income, regular 19% VAT</t>
  </si>
  <si>
    <t xml:space="preserve">        Other operating income, regular, 19% VAT</t>
  </si>
  <si>
    <t xml:space="preserve">    Übrige sonstige betriebliche Erträge</t>
  </si>
  <si>
    <t xml:space="preserve">    Other miscellaneous operating income</t>
  </si>
  <si>
    <t xml:space="preserve">        Einkauf RHB 19 % Vorsteuer</t>
  </si>
  <si>
    <t xml:space="preserve">        Purchase of raw materials, supplies, and consumables 19% input tax</t>
  </si>
  <si>
    <t xml:space="preserve">        Wareneingang DL</t>
  </si>
  <si>
    <t xml:space="preserve">        Goods Receipt DL</t>
  </si>
  <si>
    <t xml:space="preserve">        Wareneinkauf Produktion</t>
  </si>
  <si>
    <t xml:space="preserve">        Goods Purchase Production</t>
  </si>
  <si>
    <t xml:space="preserve">        Wareneinkauf Handel</t>
  </si>
  <si>
    <t xml:space="preserve">        Merchandise Purchases Trading</t>
  </si>
  <si>
    <t xml:space="preserve">        EU-Erwerb 19% Vorst./USt</t>
  </si>
  <si>
    <t xml:space="preserve">        EU acquisition 19% input VAT/output VAT</t>
  </si>
  <si>
    <t xml:space="preserve">        Erhaltene Skonti 19% Vorsteuer</t>
  </si>
  <si>
    <t xml:space="preserve">        Received discounts 19% input tax</t>
  </si>
  <si>
    <t xml:space="preserve">        Erhaltene Skonti 16% Vorsteuer</t>
  </si>
  <si>
    <t xml:space="preserve">        Received discounts 16% input tax</t>
  </si>
  <si>
    <t xml:space="preserve">        Erhalt. Skonti EU-Erwerb 19% Vorst./USt</t>
  </si>
  <si>
    <t xml:space="preserve">        Received cash discounts EU acquisition 19% input VAT/VAT</t>
  </si>
  <si>
    <t xml:space="preserve">        Bezugsnebenkosten</t>
  </si>
  <si>
    <t xml:space="preserve">        Ancillary acquisition costs</t>
  </si>
  <si>
    <t xml:space="preserve">        Bestandsveränderungen Waren</t>
  </si>
  <si>
    <t xml:space="preserve">        Changes in inventories of goods</t>
  </si>
  <si>
    <t xml:space="preserve">        Bestandsveränderung RHB-Stoffe / Waren</t>
  </si>
  <si>
    <t xml:space="preserve">        Change in inventories of raw materials / goods</t>
  </si>
  <si>
    <t xml:space="preserve">    Aufwendungen für Roh-, Hilfs- und Betriebsstoffe und für bezogene Waren</t>
  </si>
  <si>
    <t xml:space="preserve">    Expenses for raw materials, supplies, and purchased goods</t>
  </si>
  <si>
    <t xml:space="preserve">        Fremdleistungen Wartung PHV</t>
  </si>
  <si>
    <t xml:space="preserve">        External services maintenance PHV</t>
  </si>
  <si>
    <t xml:space="preserve">        Fremdleistungen Wartung Diverse Kunden</t>
  </si>
  <si>
    <t xml:space="preserve">        External Services Maintenance Various Customers</t>
  </si>
  <si>
    <t xml:space="preserve">        Fremdleistungen 19% Vorsteuer</t>
  </si>
  <si>
    <t xml:space="preserve">        External services 19% input tax</t>
  </si>
  <si>
    <t xml:space="preserve">        Leistungen ausländ.Untern.19% Vorst./USt</t>
  </si>
  <si>
    <t xml:space="preserve">        Services foreign companies 19% input VAT/output VAT</t>
  </si>
  <si>
    <t xml:space="preserve">    Aufwendungen für bezogene Leistungen</t>
  </si>
  <si>
    <t xml:space="preserve">    Expenses for purchased services</t>
  </si>
  <si>
    <t>Bruttogewinn</t>
  </si>
  <si>
    <t xml:space="preserve">        Löhne</t>
  </si>
  <si>
    <t xml:space="preserve">        Wages</t>
  </si>
  <si>
    <t xml:space="preserve">        Gehälter</t>
  </si>
  <si>
    <t xml:space="preserve">        Salaries</t>
  </si>
  <si>
    <t xml:space="preserve">        Geschäftsführergehälter GmbH-Gesells.</t>
  </si>
  <si>
    <t xml:space="preserve">        Managing Directors' Salaries GmbH Shareholders</t>
  </si>
  <si>
    <t xml:space="preserve">        Tantiemen Gesellschafter-Geschäftsf.</t>
  </si>
  <si>
    <t xml:space="preserve">        Royalties Shareholder-Managing Director</t>
  </si>
  <si>
    <t xml:space="preserve">        Geschäftsführergehälter</t>
  </si>
  <si>
    <t xml:space="preserve">        Managing Director Salaries</t>
  </si>
  <si>
    <t xml:space="preserve">        Tantiemen Arbeitnehmer</t>
  </si>
  <si>
    <t xml:space="preserve">        Employee Royalties</t>
  </si>
  <si>
    <t xml:space="preserve">        Freiwillige soziale Aufwendung. LSt-pfl.</t>
  </si>
  <si>
    <t xml:space="preserve">        Voluntary social expenses. Subject to income tax.</t>
  </si>
  <si>
    <t xml:space="preserve">        Pauschale Steuer auf sonstige Bezüge</t>
  </si>
  <si>
    <t xml:space="preserve">        Flat-rate tax on other remuneration</t>
  </si>
  <si>
    <t xml:space="preserve">        Krankengeldzuschüsse</t>
  </si>
  <si>
    <t xml:space="preserve">        Sickness benefit supplements</t>
  </si>
  <si>
    <t xml:space="preserve">        Sachzuwendungen und Dienstleistg. an AN</t>
  </si>
  <si>
    <t xml:space="preserve">        Benefits in kind and services to employees</t>
  </si>
  <si>
    <t xml:space="preserve">        Zuschüsse Agenturen für Arbeit</t>
  </si>
  <si>
    <t xml:space="preserve">        Grants from employment agencies</t>
  </si>
  <si>
    <t xml:space="preserve">        Aufwendung Veränderung Urlaubsrückst.</t>
  </si>
  <si>
    <t xml:space="preserve">        Expense Change in Vacation Provisions</t>
  </si>
  <si>
    <t xml:space="preserve">        Vermögenswirksame Leistungen</t>
  </si>
  <si>
    <t xml:space="preserve">        Capital-forming benefits</t>
  </si>
  <si>
    <t xml:space="preserve">        Fahrtkostenersatt. Whg./Arbeitsstätte</t>
  </si>
  <si>
    <t xml:space="preserve">        Travel cost reimbursement. Residence/workplace</t>
  </si>
  <si>
    <t xml:space="preserve">        Aushilfslöhne</t>
  </si>
  <si>
    <t xml:space="preserve">        Temporary wages</t>
  </si>
  <si>
    <t xml:space="preserve">        Pauschale Steuer für Minijobber</t>
  </si>
  <si>
    <t xml:space="preserve">        Flat-rate tax for mini-jobbers</t>
  </si>
  <si>
    <t xml:space="preserve">        Löhne für Minijobs</t>
  </si>
  <si>
    <t xml:space="preserve">        Wages for mini-jobs</t>
  </si>
  <si>
    <t xml:space="preserve">        Pauschale Steuer für Arbeitnehmer</t>
  </si>
  <si>
    <t xml:space="preserve">        Flat-rate tax for employees</t>
  </si>
  <si>
    <t xml:space="preserve">    Löhne und Gehälter</t>
  </si>
  <si>
    <t xml:space="preserve">    Wages and salaries</t>
  </si>
  <si>
    <t xml:space="preserve">        Gesetzliche Sozialaufwendungen</t>
  </si>
  <si>
    <t xml:space="preserve">        Statutory social expenses</t>
  </si>
  <si>
    <t xml:space="preserve">        Beiträge zur Berufsgenossenschaft</t>
  </si>
  <si>
    <t xml:space="preserve">        Contributions to the employers' liability insurance association</t>
  </si>
  <si>
    <t xml:space="preserve">        Freiwillige soziale Aufwendung. LSt-frei</t>
  </si>
  <si>
    <t xml:space="preserve">        Voluntary social expenses. Tax-free</t>
  </si>
  <si>
    <t xml:space="preserve">        Soziale Abgaben für Minijobber</t>
  </si>
  <si>
    <t xml:space="preserve">        Social security contributions for mini-jobbers</t>
  </si>
  <si>
    <t xml:space="preserve">        Aufwendungen für Altersversorgung</t>
  </si>
  <si>
    <t xml:space="preserve">        Expenses for retirement benefits</t>
  </si>
  <si>
    <t xml:space="preserve">    Soziale Abgaben und Aufwendungen für Altersversorgung und für Unterstützung</t>
  </si>
  <si>
    <t xml:space="preserve">    Social security contributions and expenses for retirement benefits and support</t>
  </si>
  <si>
    <t xml:space="preserve">        Miete, unbewegliche Wirtschaftsgüter</t>
  </si>
  <si>
    <t xml:space="preserve">        Rent, immovable assets</t>
  </si>
  <si>
    <t xml:space="preserve">        Miet- und Pachtennebenkosten</t>
  </si>
  <si>
    <t xml:space="preserve">        Rental and lease ancillary costs</t>
  </si>
  <si>
    <t xml:space="preserve">        Gas, Strom, Wasser</t>
  </si>
  <si>
    <t xml:space="preserve">        Gas, electricity, water</t>
  </si>
  <si>
    <t xml:space="preserve">        Reinigung</t>
  </si>
  <si>
    <t xml:space="preserve">        Cleaning</t>
  </si>
  <si>
    <t xml:space="preserve">        Instandhaltung betrieblicher Räume</t>
  </si>
  <si>
    <t xml:space="preserve">        Maintenance of operational premises</t>
  </si>
  <si>
    <t xml:space="preserve">    Raumkosten</t>
  </si>
  <si>
    <t xml:space="preserve">    Space costs</t>
  </si>
  <si>
    <t xml:space="preserve">        Sonst. Grundstücksaufwendungen neutral</t>
  </si>
  <si>
    <t xml:space="preserve">        Other property expenses neutral</t>
  </si>
  <si>
    <t xml:space="preserve">    Grundstücksaufwendungen</t>
  </si>
  <si>
    <t xml:space="preserve">    Property expenses</t>
  </si>
  <si>
    <t xml:space="preserve">        Ausgleichsabgabe n.d.SchwerbehindertenG.</t>
  </si>
  <si>
    <t xml:space="preserve">        Compensation levy according to the Severely Disabled Persons Act.</t>
  </si>
  <si>
    <t xml:space="preserve">        Versicherungen</t>
  </si>
  <si>
    <t xml:space="preserve">        Insurance</t>
  </si>
  <si>
    <t xml:space="preserve">        Beiträge</t>
  </si>
  <si>
    <t xml:space="preserve">        Contributions</t>
  </si>
  <si>
    <t xml:space="preserve">    Versicherungen, Beiträge und Abgaben</t>
  </si>
  <si>
    <t xml:space="preserve">    Insurance, contributions, and levies</t>
  </si>
  <si>
    <t xml:space="preserve">        Reparatur/Instandh. Anlagen u. Maschinen</t>
  </si>
  <si>
    <t xml:space="preserve">        Repair/Maintenance of Equipment and Machinery</t>
  </si>
  <si>
    <t xml:space="preserve">        Reparatur/Instandh.v.and.Anlagen u. BGA</t>
  </si>
  <si>
    <t xml:space="preserve">        Repair/Maintenance of other equipment and BGA</t>
  </si>
  <si>
    <t xml:space="preserve">        Wartungskosten für Hard- und Software</t>
  </si>
  <si>
    <t xml:space="preserve">        Maintenance costs for hardware and software</t>
  </si>
  <si>
    <t xml:space="preserve">    Reparaturen und Instandhaltungen</t>
  </si>
  <si>
    <t xml:space="preserve">    Repairs and maintenance</t>
  </si>
  <si>
    <t xml:space="preserve">        Kfz-Versicherung MK-HX 410</t>
  </si>
  <si>
    <t xml:space="preserve">        Car Insurance MK-HX 410</t>
  </si>
  <si>
    <t xml:space="preserve">        Kfz-Versicherung MK-HM 2102</t>
  </si>
  <si>
    <t xml:space="preserve">        Motor Vehicle Insurance MK-HM 2102</t>
  </si>
  <si>
    <t xml:space="preserve">        Kfz-Versicherung Elektrofahrzeuge</t>
  </si>
  <si>
    <t xml:space="preserve">        Car Insurance Electric Vehicles</t>
  </si>
  <si>
    <t xml:space="preserve">        Kfz-Versicherung MK-WH 520/MK-XW 3677</t>
  </si>
  <si>
    <t xml:space="preserve">        Motor vehicle insurance MK-WH 520/MK-XW 3677</t>
  </si>
  <si>
    <t xml:space="preserve">        Kfz-Versicherung MK-MS 171/MS 121</t>
  </si>
  <si>
    <t xml:space="preserve">        Motor vehicle insurance MK-MS 171/MS 121</t>
  </si>
  <si>
    <t xml:space="preserve">        Kfz-Versicherung MK-XQ 1038/MK-GS 444</t>
  </si>
  <si>
    <t xml:space="preserve">        Car Insurance MK-XQ 1038/MK-GS 444</t>
  </si>
  <si>
    <t xml:space="preserve">        Kfz-Versicherung MK-HM 3322/EN-ZB 111</t>
  </si>
  <si>
    <t xml:space="preserve">        Motor vehicle insurance MK-HM 3322/EN-ZB 111</t>
  </si>
  <si>
    <t xml:space="preserve">        Kfz-Versicherung MK-MS 666/MK-MS 251</t>
  </si>
  <si>
    <t xml:space="preserve">        Motor vehicle insurance MK-MS 666/MK-MS 251</t>
  </si>
  <si>
    <t xml:space="preserve">        Kfz-Versicherung MK-MS 2233/MK-MS 3344</t>
  </si>
  <si>
    <t xml:space="preserve">        Motor vehicle insurance MK-MS 2233/MK-MS 3344</t>
  </si>
  <si>
    <t xml:space="preserve">        Kfz-Versicherung</t>
  </si>
  <si>
    <t xml:space="preserve">        Car Insurance</t>
  </si>
  <si>
    <t xml:space="preserve">        Lfd. Kfz-Betriebsk. MK-HX 410</t>
  </si>
  <si>
    <t xml:space="preserve">        Current vehicle operating costs MK-HX 410</t>
  </si>
  <si>
    <t xml:space="preserve">        Lfd. Kfz-Betriebskosten MK-HM 2102</t>
  </si>
  <si>
    <t xml:space="preserve">        Current vehicle operating costs MK-HM 2102</t>
  </si>
  <si>
    <t xml:space="preserve">        Lfd. Kfz-Betriebsk. MK-WH 520/MK-XW 3677</t>
  </si>
  <si>
    <t xml:space="preserve">        Current vehicle operating costs MK-WH 520/MK-XW 3677</t>
  </si>
  <si>
    <t xml:space="preserve">        Lfd. Kfz-Betriebskosten MK-MS 252</t>
  </si>
  <si>
    <t xml:space="preserve">        Current vehicle operating costs MK-MS 252</t>
  </si>
  <si>
    <t xml:space="preserve">        Lfd. Kfz-Betriebsk. MK-MS 171/MS 121</t>
  </si>
  <si>
    <t xml:space="preserve">        Current vehicle operating costs MK-MS 171/MS 121</t>
  </si>
  <si>
    <t xml:space="preserve">        Lfd. Kfz-Betriebsk. MK-XQ 1038/MK-GS 444</t>
  </si>
  <si>
    <t xml:space="preserve">        Current vehicle operating costs MK-XQ 1038/MK-GS 444</t>
  </si>
  <si>
    <t xml:space="preserve">        Lfd. Kfz-Betriebsk. MK-HM 3322/EN-ZB 111</t>
  </si>
  <si>
    <t xml:space="preserve">        Current vehicle operating costs MK-HM 3322/EN-ZB 111</t>
  </si>
  <si>
    <t xml:space="preserve">        Lfd. Kfz-Betriebsk. MK-MS 666/MK-MS 251</t>
  </si>
  <si>
    <t xml:space="preserve">        Current vehicle operating costs MK-MS 666/MK-MS 251</t>
  </si>
  <si>
    <t xml:space="preserve">        Lfd. Kfz-Betriebsk. MK-MS 2233/MK-MS 3344</t>
  </si>
  <si>
    <t xml:space="preserve">        Current vehicle operating costs MK-MS 2233/MK-MS 3344</t>
  </si>
  <si>
    <t xml:space="preserve">        Lfd. Kfz-Betriebskosten MK-MS 232</t>
  </si>
  <si>
    <t xml:space="preserve">        Current vehicle operating costs MK-MS 232</t>
  </si>
  <si>
    <t xml:space="preserve">        Kfz-Reparaturen MK-HX 410</t>
  </si>
  <si>
    <t xml:space="preserve">        Vehicle Repairs MK-HX 410</t>
  </si>
  <si>
    <t xml:space="preserve">        Kfz-Reparaturen MK-HM 2102</t>
  </si>
  <si>
    <t xml:space="preserve">        Vehicle Repairs MK-HM 2102</t>
  </si>
  <si>
    <t xml:space="preserve">        Kfz-Reparaturen Elektrofahrzeuge</t>
  </si>
  <si>
    <t xml:space="preserve">        Vehicle repairs electric vehicles</t>
  </si>
  <si>
    <t xml:space="preserve">        Kfz-Reparaturen MK-WH 520/MK-XW 3677</t>
  </si>
  <si>
    <t xml:space="preserve">        Vehicle repairs MK-WH 520/MK-XW 3677</t>
  </si>
  <si>
    <t xml:space="preserve">        Kfz-Reparaturen MK-MS 171/MS 121</t>
  </si>
  <si>
    <t xml:space="preserve">        Vehicle Repairs MK-MS 171/MS 121</t>
  </si>
  <si>
    <t xml:space="preserve">        Kfz-Reparaturen MK-XQ 1038/MK-GS 444</t>
  </si>
  <si>
    <t xml:space="preserve">        Vehicle repairs MK-XQ 1038/MK-GS 444</t>
  </si>
  <si>
    <t xml:space="preserve">        Kfz-Reparaturen MK-Hm 3322/EN-ZB 111</t>
  </si>
  <si>
    <t xml:space="preserve">        Vehicle repairs MK-Hm 3322/EN-ZB 111</t>
  </si>
  <si>
    <t xml:space="preserve">        Kfz-Reparaturen MK-MS 666/MK-MS 251</t>
  </si>
  <si>
    <t xml:space="preserve">        Vehicle repairs MK-MS 666/MK-MS 251</t>
  </si>
  <si>
    <t xml:space="preserve">        Kfz-Reparaturen MK-MS 2233/MK-MS 3344</t>
  </si>
  <si>
    <t xml:space="preserve">        Vehicle repairs MK-MS 2233/MK-MS 3344</t>
  </si>
  <si>
    <t xml:space="preserve">        Kfz-Reparaturen</t>
  </si>
  <si>
    <t xml:space="preserve">        Vehicle repairs</t>
  </si>
  <si>
    <t xml:space="preserve">        Leasingfahrzeug. MK-HX 410</t>
  </si>
  <si>
    <t xml:space="preserve">        Leasing vehicle. MK-HX 410</t>
  </si>
  <si>
    <t xml:space="preserve">        Leasingfahrzeugkosten MK-HM 2102</t>
  </si>
  <si>
    <t xml:space="preserve">        Leasing vehicle costs MK-HM 2102</t>
  </si>
  <si>
    <t xml:space="preserve">        Leasingfahrzeug. Elektrofahrzeuge</t>
  </si>
  <si>
    <t xml:space="preserve">        Leasing vehicle. Electric vehicles</t>
  </si>
  <si>
    <t xml:space="preserve">        Leasingfahrzeug. MK-WH 520/MK-XW 3677</t>
  </si>
  <si>
    <t xml:space="preserve">        Leasing vehicle. MK-WH 520/MK-XW 3677</t>
  </si>
  <si>
    <t xml:space="preserve">        Leasingfahrzeug. MK-MS 171/MS 121</t>
  </si>
  <si>
    <t xml:space="preserve">        Leasing vehicle. MK-MS 171/MS 121</t>
  </si>
  <si>
    <t xml:space="preserve">        Leasingfahrzeug. MK-XQ 1038/MK-GS 444</t>
  </si>
  <si>
    <t xml:space="preserve">        Leasing vehicle. MK-XQ 1038/MK-GS 444</t>
  </si>
  <si>
    <t xml:space="preserve">        Leasingfahrzeug. MK-HM 3322/EN-ZB 111</t>
  </si>
  <si>
    <t xml:space="preserve">        Leasing vehicle. MK-HM 3322/EN-ZB 111</t>
  </si>
  <si>
    <t xml:space="preserve">        Leasingfahrzeug. MK-MS 666/MK-MS 251</t>
  </si>
  <si>
    <t xml:space="preserve">        Leasing vehicle. MK-MS 666/MK-MS 251</t>
  </si>
  <si>
    <t xml:space="preserve">        Leasingfahrzeug. MK-MS 2233/MK-MS 3344</t>
  </si>
  <si>
    <t xml:space="preserve">        Leasing vehicle. MK-MS 2233/MK-MS 3344</t>
  </si>
  <si>
    <t xml:space="preserve">        Leasing E-Bikes</t>
  </si>
  <si>
    <t xml:space="preserve">        Sonstige Kfz-Kosten MK-HX 410</t>
  </si>
  <si>
    <t xml:space="preserve">        Other vehicle costs MK-HX 410</t>
  </si>
  <si>
    <t xml:space="preserve">        Sonstige Kfz-Kosten MK-HM 2102</t>
  </si>
  <si>
    <t xml:space="preserve">        Other vehicle costs MK-HM 2102</t>
  </si>
  <si>
    <t xml:space="preserve">        Sonstige Kfz-Kosten Elektrofahrzeuge</t>
  </si>
  <si>
    <t xml:space="preserve">        Other vehicle costs electric vehicles</t>
  </si>
  <si>
    <t xml:space="preserve">        Sonstige Kfz-Kosten MK-WH 520/MK-XW 3677</t>
  </si>
  <si>
    <t xml:space="preserve">        Other vehicle costs MK-WH 520/MK-XW 3677</t>
  </si>
  <si>
    <t xml:space="preserve">        Sonstige Kfz-Kosten MK-MS 171/MS 121</t>
  </si>
  <si>
    <t xml:space="preserve">        Other vehicle costs MK-MS 171/MS 121</t>
  </si>
  <si>
    <t xml:space="preserve">        Sonstige Kfz-Kosten MK-XQ 1038/MK-GS 444</t>
  </si>
  <si>
    <t xml:space="preserve">        Other vehicle costs MK-XQ 1038/MK-GS 444</t>
  </si>
  <si>
    <t xml:space="preserve">        Sonstige Kfz-Kosten MK-HM 3322/EN-ZB 111</t>
  </si>
  <si>
    <t xml:space="preserve">        Other vehicle costs MK-HM 3322/EN-ZB 111</t>
  </si>
  <si>
    <t xml:space="preserve">        Sonstige Kfz-Kosten MK-MS 666/MK-MS 251</t>
  </si>
  <si>
    <t xml:space="preserve">        Other vehicle costs MK-MS 666/MK-MS 251</t>
  </si>
  <si>
    <t xml:space="preserve">        Sonstige Kfz-Kosten MK-MS 2233/MK-MS 3344</t>
  </si>
  <si>
    <t xml:space="preserve">        Other vehicle costs MK-MS 2233/MK-MS 3344</t>
  </si>
  <si>
    <t xml:space="preserve">        Sonstige Kfz-Kosten MK-AM 232</t>
  </si>
  <si>
    <t xml:space="preserve">        Other vehicle costs MK-AM 232</t>
  </si>
  <si>
    <t xml:space="preserve">        Fremdfahrzeugkosten</t>
  </si>
  <si>
    <t xml:space="preserve">        Third-party vehicle costs</t>
  </si>
  <si>
    <t xml:space="preserve">    Fahrzeugkosten</t>
  </si>
  <si>
    <t xml:space="preserve">    Vehicle costs</t>
  </si>
  <si>
    <t xml:space="preserve">        Werbekosten</t>
  </si>
  <si>
    <t xml:space="preserve">        Advertising costs</t>
  </si>
  <si>
    <t xml:space="preserve">        Streuartikel</t>
  </si>
  <si>
    <t xml:space="preserve">        Promotional items</t>
  </si>
  <si>
    <t xml:space="preserve">        Messekosten</t>
  </si>
  <si>
    <t xml:space="preserve">        Trade fair costs</t>
  </si>
  <si>
    <t xml:space="preserve">        Geschenke abzugsfähig mit § 37b EStG</t>
  </si>
  <si>
    <t xml:space="preserve">        Gifts deductible under § 37b EStG</t>
  </si>
  <si>
    <t xml:space="preserve">        Pausch. Steuer Geschenke/Zuwend. abz.</t>
  </si>
  <si>
    <t xml:space="preserve">        Flat-rate tax gifts/donations deductible.</t>
  </si>
  <si>
    <t xml:space="preserve">        Repräsentationskosten</t>
  </si>
  <si>
    <t xml:space="preserve">        Representation costs</t>
  </si>
  <si>
    <t xml:space="preserve">        Kosten Firmenjubiläum</t>
  </si>
  <si>
    <t xml:space="preserve">        Costs for company anniversary</t>
  </si>
  <si>
    <t xml:space="preserve">        Bewirtungskosten</t>
  </si>
  <si>
    <t xml:space="preserve">        Entertainment expenses</t>
  </si>
  <si>
    <t xml:space="preserve">        Nicht abzugsfähige Bewirtungskosten</t>
  </si>
  <si>
    <t xml:space="preserve">        Non-deductible entertainment expenses</t>
  </si>
  <si>
    <t xml:space="preserve">        Reisekosten Arbeitnehmer, Fahrtkosten</t>
  </si>
  <si>
    <t xml:space="preserve">        Travel expenses employees, travel costs</t>
  </si>
  <si>
    <t xml:space="preserve">        Reisekosten AN Verpfleg.mehraufwand</t>
  </si>
  <si>
    <t xml:space="preserve">        Travel expenses for additional meal allowances</t>
  </si>
  <si>
    <t xml:space="preserve">        Reisekosten AN Übernachtungsaufwand</t>
  </si>
  <si>
    <t xml:space="preserve">        Travel expenses for employee accommodation expenses</t>
  </si>
  <si>
    <t xml:space="preserve">        Kilometergelderstattung Arbeitnehmer</t>
  </si>
  <si>
    <t xml:space="preserve">        Mileage reimbursement for employees</t>
  </si>
  <si>
    <t xml:space="preserve">    Werbe- und Reisekosten</t>
  </si>
  <si>
    <t xml:space="preserve">    Advertising and travel expenses</t>
  </si>
  <si>
    <t xml:space="preserve">        Ausgangsfrachten</t>
  </si>
  <si>
    <t xml:space="preserve">        Outgoing freight</t>
  </si>
  <si>
    <t xml:space="preserve">        Verkaufsprovisionen</t>
  </si>
  <si>
    <t xml:space="preserve">        Sales commissions</t>
  </si>
  <si>
    <t xml:space="preserve">        Fremdarbeiten (Vertrieb)</t>
  </si>
  <si>
    <t xml:space="preserve">        External services (Sales)</t>
  </si>
  <si>
    <t xml:space="preserve">        Aufwand für Gewährleistungen</t>
  </si>
  <si>
    <t xml:space="preserve">        Expenses for warranties</t>
  </si>
  <si>
    <t xml:space="preserve">    Kosten der Warenabgabe</t>
  </si>
  <si>
    <t xml:space="preserve">    Cost of goods sold</t>
  </si>
  <si>
    <t xml:space="preserve">        Sonstige Aufwendungen</t>
  </si>
  <si>
    <t xml:space="preserve">        Other expenses</t>
  </si>
  <si>
    <t xml:space="preserve">        Personalleasing</t>
  </si>
  <si>
    <t xml:space="preserve">        Personnel leasing</t>
  </si>
  <si>
    <t xml:space="preserve">        Miete/Leasing beweg. WG techn. Anlagen</t>
  </si>
  <si>
    <t xml:space="preserve">        Rent/Leasing mov. FA technical equipment</t>
  </si>
  <si>
    <t xml:space="preserve">        Sonstige betriebl.u.regelm.Aufwendungen</t>
  </si>
  <si>
    <t xml:space="preserve">        Other operating and regular expenses</t>
  </si>
  <si>
    <t xml:space="preserve">        Porto</t>
  </si>
  <si>
    <t xml:space="preserve">        Postage</t>
  </si>
  <si>
    <t xml:space="preserve">        Telefon</t>
  </si>
  <si>
    <t xml:space="preserve">        Telephone</t>
  </si>
  <si>
    <t xml:space="preserve">        Bürobedarf</t>
  </si>
  <si>
    <t xml:space="preserve">        Office supplies</t>
  </si>
  <si>
    <t xml:space="preserve">        Zeitschrift./Bücher/dig.Medien(Fachlit.)</t>
  </si>
  <si>
    <t xml:space="preserve">        Magazine/Books/Digital Media (Technical Literature)</t>
  </si>
  <si>
    <t xml:space="preserve">        Fortbildungskosten</t>
  </si>
  <si>
    <t xml:space="preserve">        Training costs</t>
  </si>
  <si>
    <t xml:space="preserve">        Rechts- und Beratungskosten</t>
  </si>
  <si>
    <t xml:space="preserve">        Legal and consulting fees</t>
  </si>
  <si>
    <t xml:space="preserve">        Mieten für Einrichtungen bewegliche WG</t>
  </si>
  <si>
    <t xml:space="preserve">        Rent for movable asset facilities</t>
  </si>
  <si>
    <t xml:space="preserve">        Aufwendungen für Lizenzen, Konzessionen</t>
  </si>
  <si>
    <t xml:space="preserve">        Expenses for licenses, concessions</t>
  </si>
  <si>
    <t xml:space="preserve">        Aufwand Abraum-/Abfallbeseitigung</t>
  </si>
  <si>
    <t xml:space="preserve">        Expense for overburden/waste disposal</t>
  </si>
  <si>
    <t xml:space="preserve">        Nebenkosten des Geldverkehrs</t>
  </si>
  <si>
    <t xml:space="preserve">        Incidental costs of monetary transactions</t>
  </si>
  <si>
    <t xml:space="preserve">        Verwahrentgelt</t>
  </si>
  <si>
    <t xml:space="preserve">        Custody fee</t>
  </si>
  <si>
    <t xml:space="preserve">        Sonstiger Betriebsbedarf</t>
  </si>
  <si>
    <t xml:space="preserve">        Other operating expenses</t>
  </si>
  <si>
    <t xml:space="preserve">        Sonstige betriebliche Aufwendungen</t>
  </si>
  <si>
    <t xml:space="preserve">    Verschiedene betriebliche Kosten</t>
  </si>
  <si>
    <t xml:space="preserve">    Various operating costs</t>
  </si>
  <si>
    <t xml:space="preserve">        Abgänge Sachanlagen Restbuchwert bei BV</t>
  </si>
  <si>
    <t xml:space="preserve">        Disposals of fixed assets carrying amount at BV</t>
  </si>
  <si>
    <t xml:space="preserve">        Abgänge Finanzanlagen Restbuchwert, BV</t>
  </si>
  <si>
    <t xml:space="preserve">        Disposals of financial assets carrying amount, BV</t>
  </si>
  <si>
    <t xml:space="preserve">        Erlöse Sachanlageverkäufe 19% USt, BV</t>
  </si>
  <si>
    <t xml:space="preserve">        Revenue from sales of tangible assets 19% VAT, BV</t>
  </si>
  <si>
    <t xml:space="preserve">        Erl. Sachanlageverk. § 4 Nr.1a UStG (BV)</t>
  </si>
  <si>
    <t xml:space="preserve">        Revenue from disposal of tangible fixed assets § 4 No.1a UStG (business assets)</t>
  </si>
  <si>
    <t xml:space="preserve">        Erlöse Verkäufe Finanzanlagen, BV</t>
  </si>
  <si>
    <t xml:space="preserve">        Proceeds from sales of financial assets, BV</t>
  </si>
  <si>
    <t xml:space="preserve">    Verluste aus dem Abgang von Gegenständen des Anlagevermögens</t>
  </si>
  <si>
    <t xml:space="preserve">    Losses from the disposal of fixed assets</t>
  </si>
  <si>
    <t xml:space="preserve">        Forderungsverluste 19% USt</t>
  </si>
  <si>
    <t xml:space="preserve">        Bad debt losses 19% VAT</t>
  </si>
  <si>
    <t xml:space="preserve">        Einstellung in die PWB auf Forderungen</t>
  </si>
  <si>
    <t xml:space="preserve">        Allocation to the provision for doubtful accounts</t>
  </si>
  <si>
    <t xml:space="preserve">        Einstellung in die EWB auf Forderungen</t>
  </si>
  <si>
    <t xml:space="preserve">        Allocation to the specific loan loss provisions</t>
  </si>
  <si>
    <t xml:space="preserve">    Verluste aus Wertminderungen von Gegenständen des Umlaufvermögens und Einstellung in die Wertberichtigung zu Forderungen</t>
  </si>
  <si>
    <t xml:space="preserve">    Losses from impairments of current assets and additions to the allowance for doubtful accounts</t>
  </si>
  <si>
    <t xml:space="preserve">        Zuwendungen,Spenden kirchl./rel./gemein.</t>
  </si>
  <si>
    <t xml:space="preserve">        Donations, church/religious/community contributions.</t>
  </si>
  <si>
    <t xml:space="preserve">    Übrige sonstige betriebliche Aufwendungen</t>
  </si>
  <si>
    <t xml:space="preserve">    Other miscellaneous operating expenses</t>
  </si>
  <si>
    <t xml:space="preserve">    Impairment losses on property, plant and equipment</t>
  </si>
  <si>
    <t>Taxes on income and earnings</t>
  </si>
  <si>
    <t>Material costs as a percentage of total output</t>
  </si>
  <si>
    <t>Short-term securities</t>
  </si>
  <si>
    <t>Sonstige Wertpapiere</t>
  </si>
  <si>
    <t>/working capital/all trade payables/payables to affiliated companies</t>
  </si>
  <si>
    <t>/working capital/all trade payables/liabilities from bills</t>
  </si>
  <si>
    <t>/working capital/all trade payables</t>
  </si>
  <si>
    <t>/working capital/all trade receivables</t>
  </si>
  <si>
    <t>/working capital/all trade receivables/receivables from affiliated companies</t>
  </si>
  <si>
    <t>source</t>
  </si>
  <si>
    <t>Steuerfreien Umsätze</t>
  </si>
  <si>
    <t>Gesamtumsatz</t>
  </si>
  <si>
    <t>Sonstige Umsätze</t>
  </si>
  <si>
    <t>Veränderung gesamt</t>
  </si>
  <si>
    <t>Materialaufwandsquote</t>
  </si>
  <si>
    <t>Fremdleistungsquote</t>
  </si>
  <si>
    <t>Waren DL Quote</t>
  </si>
  <si>
    <t>Waren Produktion</t>
  </si>
  <si>
    <t>Waren Handel</t>
  </si>
  <si>
    <t>Sonstige kosten</t>
  </si>
  <si>
    <t>Veränderung Materialaufwand</t>
  </si>
  <si>
    <t>Anteil an der Gesamt-Umsatzveränderung (in%)</t>
  </si>
  <si>
    <t>Veränderung des Umsatzstroms zum Vorjahr (absolut)</t>
  </si>
  <si>
    <t>/profit and loss/expense/depreciation on financial assets</t>
  </si>
  <si>
    <t>Abschreibungn auf Finanzanlagen</t>
  </si>
  <si>
    <t>Miet- und Grundstücksaufwendungen</t>
  </si>
  <si>
    <t>Grundstuckskosten</t>
  </si>
  <si>
    <t>Abschreibungen auf Finanzanlagen</t>
  </si>
  <si>
    <t>Projekt Namur</t>
  </si>
  <si>
    <t xml:space="preserve">  </t>
  </si>
  <si>
    <t>AKTIVA</t>
  </si>
  <si>
    <t>Forderungen</t>
  </si>
  <si>
    <t>Verbindlichkeiten</t>
  </si>
  <si>
    <t>Erhaltene Anzahlung</t>
  </si>
  <si>
    <t>TWC Veränderung y-o-y (ansolut)</t>
  </si>
  <si>
    <t>TWC (Bestand)</t>
  </si>
  <si>
    <t>Sonstige VG</t>
  </si>
  <si>
    <t>Forderungen aus Sozial- und Steuerforderungen</t>
  </si>
  <si>
    <t>Sonstige Rst. (absolut)</t>
  </si>
  <si>
    <t>Sonstige Rst. (Veränderung)</t>
  </si>
  <si>
    <t>Sonstige Verbl. (Absolut)</t>
  </si>
  <si>
    <t>Sonstige Verb.</t>
  </si>
  <si>
    <t>Verbindlichkeiten aus Personalaufwendungen</t>
  </si>
  <si>
    <t>Sonstige Verbl. (Veränderung)</t>
  </si>
  <si>
    <t>OWC (Veränderung)</t>
  </si>
  <si>
    <t>n.q.</t>
  </si>
  <si>
    <t>Transaktionsbezogene Kosten Projekt Namur</t>
  </si>
  <si>
    <t>Kündigung Lieferantenvertrag</t>
  </si>
  <si>
    <t>Geschäftsführergehalt</t>
  </si>
  <si>
    <t>Tantieme Geschäftsführer</t>
  </si>
  <si>
    <t>GF Gehalt</t>
  </si>
  <si>
    <t>GF Tantieme</t>
  </si>
  <si>
    <t>MA Tantieme</t>
  </si>
  <si>
    <t>MA Gehalt</t>
  </si>
  <si>
    <t>Tantieme Mitarbeiter (MA)</t>
  </si>
  <si>
    <t>MA - Löhne und Gehälter</t>
  </si>
  <si>
    <t>GF Vergütung</t>
  </si>
  <si>
    <t>Geschäftsführer</t>
  </si>
  <si>
    <t>Mitarbeiter</t>
  </si>
  <si>
    <t>BT Kategorisierung</t>
  </si>
  <si>
    <t>n/a</t>
  </si>
  <si>
    <t>Löhne und Gehälter (Gesamt)</t>
  </si>
  <si>
    <t>Durchschnittlicher Personalaufwand (excl. Sozialabgaben)</t>
  </si>
  <si>
    <t>Anzahl FTE</t>
  </si>
  <si>
    <t>Durchschnittliche Mitarbeiter</t>
  </si>
  <si>
    <t>Erlöse Produktion</t>
  </si>
  <si>
    <t>Erlöse Handel</t>
  </si>
  <si>
    <t>Erlöse Sterilisation</t>
  </si>
  <si>
    <t>Erlöse Wartung</t>
  </si>
  <si>
    <t>Erlöse Miete</t>
  </si>
  <si>
    <t>Erlöse Abfallverwertung</t>
  </si>
  <si>
    <t>Sonstige Erlöse</t>
  </si>
  <si>
    <t>Skonti und Boni</t>
  </si>
  <si>
    <t>Steuerfreie/nicht steuerbare Umsätze</t>
  </si>
  <si>
    <t>/netdebt/Etragssteuerforderungen</t>
  </si>
  <si>
    <t xml:space="preserve">Erlöse Dienstleistung </t>
  </si>
  <si>
    <t>Tantieme</t>
  </si>
  <si>
    <t>Umgliederung aus NWC in ND</t>
  </si>
  <si>
    <t xml:space="preserve">Sonstige Anpassungen </t>
  </si>
  <si>
    <t>sonst. VG</t>
  </si>
  <si>
    <t>sonst. Rst.</t>
  </si>
  <si>
    <t>Kommentar BT</t>
  </si>
  <si>
    <t>/btadjustment/QOE/AbgangFinanzanlagen</t>
  </si>
  <si>
    <t>/btadjustment/QOE/betriebsundperiodenfremd</t>
  </si>
  <si>
    <t>/btadjustment/QOE/Schadensentschädigung</t>
  </si>
  <si>
    <t>Betriebs-/periodenfremde Erträge</t>
  </si>
  <si>
    <t>/btadjustment/QOE/ZuschreibungenFinanz</t>
  </si>
  <si>
    <t>Zuschreibungen Finanzanlagen</t>
  </si>
  <si>
    <t>Versicherung</t>
  </si>
  <si>
    <t>Betriebskosten</t>
  </si>
  <si>
    <t>Reparatur</t>
  </si>
  <si>
    <t>Leasing</t>
  </si>
  <si>
    <t>Sonstige Kosten</t>
  </si>
  <si>
    <t>Fremdfahrzeugkosten</t>
  </si>
  <si>
    <t>Fahrzeugkosten Veränderung (absolut)</t>
  </si>
  <si>
    <t>Fahrzeugkosten (absolut)</t>
  </si>
  <si>
    <t>Fahrzeugkosten Anteil an Veränderung (in%)</t>
  </si>
  <si>
    <t>/btadjustment/QOE/Firmenjubiläum</t>
  </si>
  <si>
    <t>Firmenjubiläum</t>
  </si>
  <si>
    <t>Verluste aus Verkauf von Finanzanlagen</t>
  </si>
  <si>
    <t>Miete für Betriebsgebäude</t>
  </si>
  <si>
    <t>Heinz Meise</t>
  </si>
  <si>
    <t>Wolfgang Henze</t>
  </si>
  <si>
    <t>Plausibilisierung GF Gehälter</t>
  </si>
  <si>
    <t>Herr Heinz Meise</t>
  </si>
  <si>
    <t>Grundgehalt</t>
  </si>
  <si>
    <t>Herr Wolfgang Henze</t>
  </si>
  <si>
    <t>Grundgehalt (Anteilig ab Juli 24)</t>
  </si>
  <si>
    <t>Gesamt GF</t>
  </si>
  <si>
    <t>Verluste aus Anlageabgang</t>
  </si>
  <si>
    <t>Personalleasing</t>
  </si>
  <si>
    <t>Sonstige Aufwendungen</t>
  </si>
  <si>
    <t>Rechts- und Beratungskosten</t>
  </si>
  <si>
    <t>Miet- und Leasingaufwendungen</t>
  </si>
  <si>
    <t>Aufwendungen für Lizenten, Konzessionen</t>
  </si>
  <si>
    <t>Betriebsbedarf</t>
  </si>
  <si>
    <t>sonstige , Abraum Porto bis Zeitschrift</t>
  </si>
  <si>
    <t>Sonstige Aufwendungen, Fortbildungskosten, Währungsumrechnunbg,. Spnenden, Forderungsverlust, Nebenkostengeöverkehr, Verwahrentgelt., Entwicklungskosten, EWB PWB</t>
  </si>
  <si>
    <t>/profit and loss/expense/other expense/VerlusteausAnlageAbgang</t>
  </si>
  <si>
    <t>/profit and loss/expense/other expense/SonstigeAufwendungen</t>
  </si>
  <si>
    <t>/profit and loss/expense/other expense/Personalleasing</t>
  </si>
  <si>
    <t>/profit and loss/expense/other expense/MietundLeasingaufwendungen</t>
  </si>
  <si>
    <t>/profit and loss/expense/other expense/Betriebsbedarf</t>
  </si>
  <si>
    <t>/profit and loss/expense/other expense/RechtsBeratungskosten</t>
  </si>
  <si>
    <t>/profit and loss/expense/other expense/AufwendungenfürLizenzenKonzessionen</t>
  </si>
  <si>
    <t>Erträge aus Herabsetzung von EWB</t>
  </si>
  <si>
    <t>/btadjustment/QOE/HerabsetzungEWB</t>
  </si>
  <si>
    <t>/btadjustment/QOE/EinstellungEWB</t>
  </si>
  <si>
    <t>Mit Legal/Tax sprechen bzgl. Fremdüblichkeit</t>
  </si>
  <si>
    <t>Post-Transaktions-Anpassungen</t>
  </si>
  <si>
    <t>In 2024 gab es keine EWB? Forderungen checken (Frage zu EWB gestellt)</t>
  </si>
  <si>
    <t>Weitere Adjustierung</t>
  </si>
  <si>
    <t>Produktion</t>
  </si>
  <si>
    <t>Handel</t>
  </si>
  <si>
    <t>Sterilisation</t>
  </si>
  <si>
    <t>Wartung</t>
  </si>
  <si>
    <t>Miete</t>
  </si>
  <si>
    <t>Skonti</t>
  </si>
  <si>
    <t>SteuerfreiNichtSteuerbar</t>
  </si>
  <si>
    <t>Abfall</t>
  </si>
  <si>
    <t>Sonstige Dienstleistung</t>
  </si>
  <si>
    <t>Aufwendungen EWB</t>
  </si>
  <si>
    <t>EWB Gesamt</t>
  </si>
  <si>
    <t>Betriebs/-periodenfremde Erträge/Aufw.</t>
  </si>
  <si>
    <t>Betriebs-/periodenfremde Aufwendungen</t>
  </si>
  <si>
    <t>Aufw./Erträge aus Finanzanlagen</t>
  </si>
  <si>
    <t>Forderungen aus LuL &gt;90 Tage</t>
  </si>
  <si>
    <t>Aufwendungen für Lizenzen und Konzessionen</t>
  </si>
  <si>
    <t>Check geht nicht auf da Finanzanlagen hier direkt im ND drin sind</t>
  </si>
  <si>
    <t>COVID19-Effekt</t>
  </si>
  <si>
    <t>Abgänge</t>
  </si>
  <si>
    <t>sonstige BGA (Konto 490)</t>
  </si>
  <si>
    <t>Buchwert</t>
  </si>
  <si>
    <t>Meise</t>
  </si>
  <si>
    <t>Reinert</t>
  </si>
  <si>
    <t>Henze</t>
  </si>
  <si>
    <t>Kanzlei-Rechnungswesen - RW - 19683/167/2024 / Meise GmbH -  OPOS-Liste (Debitoren) - Posten</t>
  </si>
  <si>
    <t>BL</t>
  </si>
  <si>
    <t>Konto</t>
  </si>
  <si>
    <t>Beschriftung</t>
  </si>
  <si>
    <t>Rechnungs-Nr.</t>
  </si>
  <si>
    <t>Datum</t>
  </si>
  <si>
    <t>Fälligkeit</t>
  </si>
  <si>
    <t>Betrag Soll</t>
  </si>
  <si>
    <t>Betrag Haben</t>
  </si>
  <si>
    <t>Saldo</t>
  </si>
  <si>
    <t>S/H Saldo</t>
  </si>
  <si>
    <t>Gegenkonto</t>
  </si>
  <si>
    <t>R</t>
  </si>
  <si>
    <t>Ausgl.</t>
  </si>
  <si>
    <t>fällig</t>
  </si>
  <si>
    <t>Belegfeld 2</t>
  </si>
  <si>
    <t>Kz</t>
  </si>
  <si>
    <t>Buchungstext</t>
  </si>
  <si>
    <t>KOST1</t>
  </si>
  <si>
    <t>KOST2</t>
  </si>
  <si>
    <t>USt%</t>
  </si>
  <si>
    <t>Stapel-Nr.</t>
  </si>
  <si>
    <t>BSNr.</t>
  </si>
  <si>
    <t>ZI</t>
  </si>
  <si>
    <t>GP-Bank</t>
  </si>
  <si>
    <t>Div. Adresse</t>
  </si>
  <si>
    <t>Mdt-Bank</t>
  </si>
  <si>
    <t>SEPA-Mandatsreferenz</t>
  </si>
  <si>
    <t>Zahlungskondition</t>
  </si>
  <si>
    <t>Sachverhalt</t>
  </si>
  <si>
    <t>Zinssperre</t>
  </si>
  <si>
    <t>Kreditlimit</t>
  </si>
  <si>
    <t>Straße</t>
  </si>
  <si>
    <t>PLZ</t>
  </si>
  <si>
    <t>Ort</t>
  </si>
  <si>
    <t>Land</t>
  </si>
  <si>
    <t>Unternehmensgegenstand</t>
  </si>
  <si>
    <t>Kunden-/Lief.-Nr.</t>
  </si>
  <si>
    <t>Nummer Fremdsystem</t>
  </si>
  <si>
    <t>Kurzbezeichnung</t>
  </si>
  <si>
    <t>Telefon</t>
  </si>
  <si>
    <t>R  Diverse IL</t>
  </si>
  <si>
    <t>501417</t>
  </si>
  <si>
    <t>14.04.2021</t>
  </si>
  <si>
    <t>H</t>
  </si>
  <si>
    <t>Ravensburg, Promed Bubser GmbH</t>
  </si>
  <si>
    <t>04-2021/0002</t>
  </si>
  <si>
    <t xml:space="preserve">Kriterium </t>
  </si>
  <si>
    <t>Dez24</t>
  </si>
  <si>
    <t>Betrag (TEUR)</t>
  </si>
  <si>
    <t>Bonn, Universitätsklinikum</t>
  </si>
  <si>
    <t>501441</t>
  </si>
  <si>
    <t>08.06.2021</t>
  </si>
  <si>
    <t>Universitätsklinikum Bonn</t>
  </si>
  <si>
    <t>06-2021/0003</t>
  </si>
  <si>
    <t>Sigmund-Freud-Strasse 25</t>
  </si>
  <si>
    <t>53105</t>
  </si>
  <si>
    <t>Bonn</t>
  </si>
  <si>
    <t>Anstalt des Öffentlichen Rechts</t>
  </si>
  <si>
    <t>Bonn, Universit</t>
  </si>
  <si>
    <t>+49 228 287-0</t>
  </si>
  <si>
    <t>Wroclaw, Articomed Polska PL8992671686</t>
  </si>
  <si>
    <t>501506</t>
  </si>
  <si>
    <t>03.12.2021</t>
  </si>
  <si>
    <t>Articomed Polska EU</t>
  </si>
  <si>
    <t>12-2021/0001</t>
  </si>
  <si>
    <t>Wroclaw, Artico</t>
  </si>
  <si>
    <t>Zagreb, Mediva d.o.o. HR50711859834</t>
  </si>
  <si>
    <t>501550</t>
  </si>
  <si>
    <t>21.03.2022</t>
  </si>
  <si>
    <t>MEDIVA d.o.o. EU</t>
  </si>
  <si>
    <t>03-2022/0003</t>
  </si>
  <si>
    <t xml:space="preserve">Zagreb, Mediva </t>
  </si>
  <si>
    <t>501564</t>
  </si>
  <si>
    <t>29.04.2022</t>
  </si>
  <si>
    <t>Roth, Privatpraxis</t>
  </si>
  <si>
    <t>04-2022/0003</t>
  </si>
  <si>
    <t>10020</t>
  </si>
  <si>
    <t>Heidelberg, Universitätsklinikum</t>
  </si>
  <si>
    <t>501625</t>
  </si>
  <si>
    <t>08.12.2022</t>
  </si>
  <si>
    <t>Universitätsklinikum Heidelberg</t>
  </si>
  <si>
    <t>10000</t>
  </si>
  <si>
    <t>12-2022/0003</t>
  </si>
  <si>
    <t>Heidelberg, Uni</t>
  </si>
  <si>
    <t>07.01.2023</t>
  </si>
  <si>
    <t>Nancy, SAS M.D. FR16818311078</t>
  </si>
  <si>
    <t>356119</t>
  </si>
  <si>
    <t>SAS FRANCE MEDICAL EU</t>
  </si>
  <si>
    <t>Nancy, SAS M.D.</t>
  </si>
  <si>
    <t>Forderung</t>
  </si>
  <si>
    <t>12.12.2022</t>
  </si>
  <si>
    <t>GUTSCHR. UEBERWEISUNGEREF+MEISESVWZ+356119AWV-MELDEPFLICHT B</t>
  </si>
  <si>
    <t>1500006</t>
  </si>
  <si>
    <t>19.01.2023</t>
  </si>
  <si>
    <t>01-2023/0003</t>
  </si>
  <si>
    <t>Ulrichstein, medicap clinic GmbH</t>
  </si>
  <si>
    <t>1500013</t>
  </si>
  <si>
    <t>17.02.2023</t>
  </si>
  <si>
    <t>medicap clinic GmbH</t>
  </si>
  <si>
    <t>02-2023/0003</t>
  </si>
  <si>
    <t>Ulrichstein, me</t>
  </si>
  <si>
    <t>1302132</t>
  </si>
  <si>
    <t>01.05.2023</t>
  </si>
  <si>
    <t>31.05.2023</t>
  </si>
  <si>
    <t>Artcline GmbH</t>
  </si>
  <si>
    <t>05-2023/0006</t>
  </si>
  <si>
    <t>31.07.2023</t>
  </si>
  <si>
    <t>SAMMEL-LS-EINZUGKREF+AGEY202307271745211MREF+K10982CRED+DE22</t>
  </si>
  <si>
    <t>07-2023/0002</t>
  </si>
  <si>
    <t>31.08.2023</t>
  </si>
  <si>
    <t>SAMMEL-LS-EINZUGKREF+AGGJ202308281846181MREF+K10982CRED+DE22</t>
  </si>
  <si>
    <t>08-2023/0003</t>
  </si>
  <si>
    <t>29.09.2023</t>
  </si>
  <si>
    <t>SAMMEL-LS-EINZUGKREF+AGIB202309261932141MREF+K10982CRED+DE22</t>
  </si>
  <si>
    <t>09-2023/0004</t>
  </si>
  <si>
    <t>30.10.2023</t>
  </si>
  <si>
    <t>SAMMEL-LS-EINZUGKREF+AGK9202310251856001MREF+K10982CRED+DE22</t>
  </si>
  <si>
    <t>10-2023/0003</t>
  </si>
  <si>
    <t>28.11.2023</t>
  </si>
  <si>
    <t>SAMMEL-LS-EINZUGKREF+AGLS202311231938021SVWZ+ANZAHL       2</t>
  </si>
  <si>
    <t>11-2023/0003</t>
  </si>
  <si>
    <t>29.12.2023</t>
  </si>
  <si>
    <t>SAMMEL-LS-EINZUGKREF+AGNF202312221911321SVWZ+ANZAHL       4</t>
  </si>
  <si>
    <t>12-2023/0004</t>
  </si>
  <si>
    <t>31.01.2024</t>
  </si>
  <si>
    <t>SAMMEL-LS-EINZUGKREF+AGOK202401171220441MREF+K10982CRED+DE22</t>
  </si>
  <si>
    <t>01-2024/0005</t>
  </si>
  <si>
    <t>29.02.2024</t>
  </si>
  <si>
    <t>SAMMEL-LS-EINZUGKREF+AGQK202402231704191MREF+K10982CRED+DE22</t>
  </si>
  <si>
    <t>02-2024/0004</t>
  </si>
  <si>
    <t>28.03.2024</t>
  </si>
  <si>
    <t>SAMMEL-LS-EINZUGKREF+AGSQ202403261916431SVWZ+ANZAHL       2</t>
  </si>
  <si>
    <t>03-2024/0003</t>
  </si>
  <si>
    <t>29.04.2024</t>
  </si>
  <si>
    <t>SAMMEL-LS-EINZUGKREF+AGUE202404241904341SVWZ+ANZAHL       2</t>
  </si>
  <si>
    <t>04-2024/0003</t>
  </si>
  <si>
    <t>31.05.2024</t>
  </si>
  <si>
    <t>SAMMEL-LS-EINZUGKREF+AGW8202405291831461MREF+K10982CRED+DE22</t>
  </si>
  <si>
    <t>05-2024/0002</t>
  </si>
  <si>
    <t>28.06.2024</t>
  </si>
  <si>
    <t>SAMMEL-LS-EINZUGKREF+AGXW202406251859251SVWZ+ANZAHL       2</t>
  </si>
  <si>
    <t>06-2024/0002</t>
  </si>
  <si>
    <t>31.07.2024</t>
  </si>
  <si>
    <t>SAMMEL-LS-EINZUGKREF+AGZO202407261908321MREF+K10982CRED+DE22</t>
  </si>
  <si>
    <t>07-2024/0003</t>
  </si>
  <si>
    <t>30.08.2024</t>
  </si>
  <si>
    <t>SAMMEL-LS-EINZUGKREF+AH1B202408271909111MREF+K10982CRED+DE22</t>
  </si>
  <si>
    <t>08-2024/0003</t>
  </si>
  <si>
    <t>30.09.2024</t>
  </si>
  <si>
    <t>SAMMEL-LS-EINZUGKREF+AH34202409251839221SVWZ+ANZAHL       2</t>
  </si>
  <si>
    <t>09-2024/0003</t>
  </si>
  <si>
    <t>30.10.2024</t>
  </si>
  <si>
    <t>SAMMEL-LS-EINZUGKREF+AH51202410251801131MREF+K10982CRED+DE22</t>
  </si>
  <si>
    <t>10-2024/0003</t>
  </si>
  <si>
    <t>28.11.2024</t>
  </si>
  <si>
    <t>SAMMEL-LS-EINZUGKREF+AH6F202411251813131MREF+K10982CRED+DE22</t>
  </si>
  <si>
    <t>11-2024/0003</t>
  </si>
  <si>
    <t>23.12.2024</t>
  </si>
  <si>
    <t>SAMMEL-LS-EINZUGKREF+AH7Y202412181735321SVWZ+ANZAHL       3</t>
  </si>
  <si>
    <t>12-2024/0002</t>
  </si>
  <si>
    <t>S</t>
  </si>
  <si>
    <t xml:space="preserve">Ha Noi, Tuan Ngoc Minh Investment JSC / </t>
  </si>
  <si>
    <t>1500053</t>
  </si>
  <si>
    <t>26.07.2023</t>
  </si>
  <si>
    <t>Tuan Ngoc Minh Investment JSC</t>
  </si>
  <si>
    <t>Ha Noi, Tuan Ng</t>
  </si>
  <si>
    <t>1500082</t>
  </si>
  <si>
    <t>26.10.2023</t>
  </si>
  <si>
    <t>Sonneberg, MEDINOS Kliniken des Landkrei</t>
  </si>
  <si>
    <t>1303469</t>
  </si>
  <si>
    <t>05.12.2023</t>
  </si>
  <si>
    <t>04.01.2024</t>
  </si>
  <si>
    <t>MEDINOS Kliniken des Landkreises</t>
  </si>
  <si>
    <t>12-2023/0001</t>
  </si>
  <si>
    <t>Sonneberg, MEDI</t>
  </si>
  <si>
    <t>ZK: MEDINOS Kliniken des Landkreises</t>
  </si>
  <si>
    <t>1303650</t>
  </si>
  <si>
    <t>19.12.2023</t>
  </si>
  <si>
    <t>18.01.2024</t>
  </si>
  <si>
    <t>Rostock, Artcline GmbH</t>
  </si>
  <si>
    <t>1500097</t>
  </si>
  <si>
    <t>1</t>
  </si>
  <si>
    <t>1303873</t>
  </si>
  <si>
    <t>17.01.2024</t>
  </si>
  <si>
    <t>16.02.2024</t>
  </si>
  <si>
    <t>12-2023/0008</t>
  </si>
  <si>
    <t>1303908</t>
  </si>
  <si>
    <t>19.01.2024</t>
  </si>
  <si>
    <t>18.02.2024</t>
  </si>
  <si>
    <t>D   Diverse IL</t>
  </si>
  <si>
    <t>2300249</t>
  </si>
  <si>
    <t>30.01.2024</t>
  </si>
  <si>
    <t>Dresden, Universitätsklinikum Carl Gustav Carus</t>
  </si>
  <si>
    <t>Hannover, Medizinische Hochschule</t>
  </si>
  <si>
    <t>1500114</t>
  </si>
  <si>
    <t>15.02.2024</t>
  </si>
  <si>
    <t>Medizinische Hochschule Hannover</t>
  </si>
  <si>
    <t>Hannover, Mediz</t>
  </si>
  <si>
    <t>1304233</t>
  </si>
  <si>
    <t>20.02.2024</t>
  </si>
  <si>
    <t>21.03.2024</t>
  </si>
  <si>
    <t>K   Diverse IL</t>
  </si>
  <si>
    <t>1500128</t>
  </si>
  <si>
    <t>18.04.2024</t>
  </si>
  <si>
    <t>Köln, Klinik am Ring GmbH &amp; Co.KG</t>
  </si>
  <si>
    <t>18.05.2024</t>
  </si>
  <si>
    <t>aescoLOGIC GmbH</t>
  </si>
  <si>
    <t>1500136</t>
  </si>
  <si>
    <t>26.04.2024</t>
  </si>
  <si>
    <t>Bremen, Gemeinschaftspraxis und Dialyse</t>
  </si>
  <si>
    <t>1305193</t>
  </si>
  <si>
    <t>24.05.2024</t>
  </si>
  <si>
    <t>23.06.2024</t>
  </si>
  <si>
    <t>Gemeinschaftspraxis und Dialyse</t>
  </si>
  <si>
    <t>Bremen, Gemeins</t>
  </si>
  <si>
    <t>1305255</t>
  </si>
  <si>
    <t>29.05.2024</t>
  </si>
  <si>
    <t>Pulheim-Brauweiler, ProServ Rhein-Erft</t>
  </si>
  <si>
    <t>1500145</t>
  </si>
  <si>
    <t>10.06.2024</t>
  </si>
  <si>
    <t>ProServ</t>
  </si>
  <si>
    <t>Pulheim-Brauwei</t>
  </si>
  <si>
    <t>1305589</t>
  </si>
  <si>
    <t>02.07.2024</t>
  </si>
  <si>
    <t>01.08.2024</t>
  </si>
  <si>
    <t>Lustmühle, Paracelsus Klinik Lustmühle A</t>
  </si>
  <si>
    <t>1305597</t>
  </si>
  <si>
    <t>Paracelsus Klinik Lustmühle AG</t>
  </si>
  <si>
    <t>Lustmühle, Para</t>
  </si>
  <si>
    <t>1305835</t>
  </si>
  <si>
    <t>30.07.2024</t>
  </si>
  <si>
    <t>29.08.2024</t>
  </si>
  <si>
    <t>1305836</t>
  </si>
  <si>
    <t>B   Diverse IL</t>
  </si>
  <si>
    <t>1305905</t>
  </si>
  <si>
    <t>Berlin, Privatpraxis zum Königssee</t>
  </si>
  <si>
    <t>1305950</t>
  </si>
  <si>
    <t>12.08.2024</t>
  </si>
  <si>
    <t>11.09.2024</t>
  </si>
  <si>
    <t>1306105</t>
  </si>
  <si>
    <t>28.09.2024</t>
  </si>
  <si>
    <t>P   Diverse IL</t>
  </si>
  <si>
    <t>1306153</t>
  </si>
  <si>
    <t>05.09.2024</t>
  </si>
  <si>
    <t>05.10.2024</t>
  </si>
  <si>
    <t>Potsdam, VitaSangius GmbH</t>
  </si>
  <si>
    <t xml:space="preserve">Getz Healthcare Pty Ltd. / Australien </t>
  </si>
  <si>
    <t>1306237</t>
  </si>
  <si>
    <t>13.09.2024</t>
  </si>
  <si>
    <t>13.10.2024</t>
  </si>
  <si>
    <t>Getz Healthcare Pty Ltd.</t>
  </si>
  <si>
    <t>Getz Healthcare</t>
  </si>
  <si>
    <t>Barcelona, Qiagen/Stat dx ESB65336018</t>
  </si>
  <si>
    <t>4701</t>
  </si>
  <si>
    <t>23.09.2024</t>
  </si>
  <si>
    <t>STAT-Dx Life, S.L. EU</t>
  </si>
  <si>
    <t>12-2024/0004</t>
  </si>
  <si>
    <t>Barcelona, Qiag</t>
  </si>
  <si>
    <t>31.10.2024</t>
  </si>
  <si>
    <t>15.11.2024</t>
  </si>
  <si>
    <t>ZK: STAT-Dx Life, S.L. EU</t>
  </si>
  <si>
    <t>1500168</t>
  </si>
  <si>
    <t>24.09.2024</t>
  </si>
  <si>
    <t>2300329</t>
  </si>
  <si>
    <t>24.10.2024</t>
  </si>
  <si>
    <t>2300336</t>
  </si>
  <si>
    <t>26.09.2024</t>
  </si>
  <si>
    <t>26.10.2024</t>
  </si>
  <si>
    <t>1306384</t>
  </si>
  <si>
    <t>Getz Healthcare Limited</t>
  </si>
  <si>
    <t>1306434</t>
  </si>
  <si>
    <t>04.10.2024</t>
  </si>
  <si>
    <t>03.11.2024</t>
  </si>
  <si>
    <t>Reilingen, FB Klinik &amp; Praxis Service</t>
  </si>
  <si>
    <t>1306450</t>
  </si>
  <si>
    <t>08.10.2024</t>
  </si>
  <si>
    <t>07.11.2024</t>
  </si>
  <si>
    <t>FB Klinik &amp; Praxis Service UG</t>
  </si>
  <si>
    <t>Reilingen, FB K</t>
  </si>
  <si>
    <t>Rheda-Wiedenbrück, Praxis Dr. Rawitzer</t>
  </si>
  <si>
    <t>1306496</t>
  </si>
  <si>
    <t>11.10.2024</t>
  </si>
  <si>
    <t>10.11.2024</t>
  </si>
  <si>
    <t>JO.MED MVZ GmbH</t>
  </si>
  <si>
    <t>Rheda-Wiedenbrü</t>
  </si>
  <si>
    <t>Oensingen, Z-Systems AG / Schweiz</t>
  </si>
  <si>
    <t>4300626</t>
  </si>
  <si>
    <t>17.10.2024</t>
  </si>
  <si>
    <t>16.11.2024</t>
  </si>
  <si>
    <t>Z-Systems AG</t>
  </si>
  <si>
    <t>Oensingen, Z-Sy</t>
  </si>
  <si>
    <t>13.11.2024</t>
  </si>
  <si>
    <t xml:space="preserve">Z-Systems </t>
  </si>
  <si>
    <t>1500170</t>
  </si>
  <si>
    <t>21.10.2024</t>
  </si>
  <si>
    <t>G   Diverse IL</t>
  </si>
  <si>
    <t>1306569</t>
  </si>
  <si>
    <t>20.11.2024</t>
  </si>
  <si>
    <t>Groß-Gerau, NANO Medical GmbH</t>
  </si>
  <si>
    <t>ZK: Groß-Gerau, NANO Medical GmbH</t>
  </si>
  <si>
    <t>Lüdenscheid, Sportklinik Hellersen</t>
  </si>
  <si>
    <t>1306584</t>
  </si>
  <si>
    <t>22.10.2024</t>
  </si>
  <si>
    <t>21.11.2024</t>
  </si>
  <si>
    <t>Sportklinik Hellersen</t>
  </si>
  <si>
    <t>Lüdenscheid, Sp</t>
  </si>
  <si>
    <t>1306637</t>
  </si>
  <si>
    <t>29.10.2024</t>
  </si>
  <si>
    <t>2300359</t>
  </si>
  <si>
    <t>04.11.2024</t>
  </si>
  <si>
    <t>04.12.2024</t>
  </si>
  <si>
    <t>2300360</t>
  </si>
  <si>
    <t>2300361</t>
  </si>
  <si>
    <t>S   Diverse IL</t>
  </si>
  <si>
    <t>1306734</t>
  </si>
  <si>
    <t>07.12.2024</t>
  </si>
  <si>
    <t>Sankt Augustin, Plieske + Lederer GmbH</t>
  </si>
  <si>
    <t>ZK: Sankt Augustin, Plieske + Lederer GmbH</t>
  </si>
  <si>
    <t>Wien, Allgemeines Krankenhaus ATU3680150</t>
  </si>
  <si>
    <t>356114</t>
  </si>
  <si>
    <t>Korr. wurde bereits ausgeziffert!</t>
  </si>
  <si>
    <t>11-2024/0002</t>
  </si>
  <si>
    <t>Wien, Allgemein</t>
  </si>
  <si>
    <t>A   Diverse IL</t>
  </si>
  <si>
    <t>1306755</t>
  </si>
  <si>
    <t>08.11.2024</t>
  </si>
  <si>
    <t>08.12.2024</t>
  </si>
  <si>
    <t>Alsdorf, Tietze &amp; Pozo Medizintechnik GmbH</t>
  </si>
  <si>
    <t>1306761</t>
  </si>
  <si>
    <t>1306763</t>
  </si>
  <si>
    <t>L   Diverse IL</t>
  </si>
  <si>
    <t>1306753</t>
  </si>
  <si>
    <t>Bonifatius Hospital Lingen gGmbH</t>
  </si>
  <si>
    <t>1306758</t>
  </si>
  <si>
    <t>1306756</t>
  </si>
  <si>
    <t>1306770</t>
  </si>
  <si>
    <t>GUTSCHR. UEBERWEISUNGEREF+10611/11800SVWZ+13006749 / 1306770</t>
  </si>
  <si>
    <t>1306750</t>
  </si>
  <si>
    <t>1306751</t>
  </si>
  <si>
    <t>4300652</t>
  </si>
  <si>
    <t>1306782</t>
  </si>
  <si>
    <t>11.11.2024</t>
  </si>
  <si>
    <t>11.12.2024</t>
  </si>
  <si>
    <t>1306784</t>
  </si>
  <si>
    <t>2300364</t>
  </si>
  <si>
    <t>12.11.2024</t>
  </si>
  <si>
    <t>12.12.2024</t>
  </si>
  <si>
    <t>2300365</t>
  </si>
  <si>
    <t>2300362</t>
  </si>
  <si>
    <t>Cordoba, Promedon SA / Argentinien</t>
  </si>
  <si>
    <t>1500177</t>
  </si>
  <si>
    <t>PROMEDON SA</t>
  </si>
  <si>
    <t>Cordoba, Promed</t>
  </si>
  <si>
    <t>Signy, Haemonetics S.A. / Schweiz</t>
  </si>
  <si>
    <t>1306791</t>
  </si>
  <si>
    <t>22.12.2024</t>
  </si>
  <si>
    <t>Haemonetics S.A.</t>
  </si>
  <si>
    <t>10010</t>
  </si>
  <si>
    <t>Signy, Haemonet</t>
  </si>
  <si>
    <t>J   Diverse IL</t>
  </si>
  <si>
    <t>1306796</t>
  </si>
  <si>
    <t>13.12.2024</t>
  </si>
  <si>
    <t>Jena, Dr. med. Joachim Pum</t>
  </si>
  <si>
    <t>03.12.2024</t>
  </si>
  <si>
    <t>GUTSCHR. UEBERWEISUNGSVWZ+RECHNUNG NR. 1306796</t>
  </si>
  <si>
    <t>1500179</t>
  </si>
  <si>
    <t>Seehausen, Internistische Gemeinschaftspraxis</t>
  </si>
  <si>
    <t>1500180</t>
  </si>
  <si>
    <t>Dialysezentrum Güstrow/Bützow</t>
  </si>
  <si>
    <t>1306836</t>
  </si>
  <si>
    <t>18.11.2024</t>
  </si>
  <si>
    <t>18.12.2024</t>
  </si>
  <si>
    <t>1500181</t>
  </si>
  <si>
    <t>Lübeck, Nephrologische Gemeinschaftspraxis</t>
  </si>
  <si>
    <t>1911</t>
  </si>
  <si>
    <t>19.11.2024</t>
  </si>
  <si>
    <t>GUTSCHR. AUSLANDSUEBERW.REF.:      241118081A000043BETRAG EU</t>
  </si>
  <si>
    <t>E   Diverse IL</t>
  </si>
  <si>
    <t>1306866</t>
  </si>
  <si>
    <t>20.12.2024</t>
  </si>
  <si>
    <t>Nephrologisches Zentrum Elmshorn</t>
  </si>
  <si>
    <t>1306875</t>
  </si>
  <si>
    <t>1306876</t>
  </si>
  <si>
    <t>1500182</t>
  </si>
  <si>
    <t>Hirzel, Acutronic Medical Systems AG / S</t>
  </si>
  <si>
    <t>1306877</t>
  </si>
  <si>
    <t>Thora Tech Medical GmbH</t>
  </si>
  <si>
    <t>Hirzel, Acutron</t>
  </si>
  <si>
    <t>1306879</t>
  </si>
  <si>
    <t>21.12.2024</t>
  </si>
  <si>
    <t>1306884</t>
  </si>
  <si>
    <t>1500183</t>
  </si>
  <si>
    <t>1500184</t>
  </si>
  <si>
    <t>Täby, Nordic Biolabs AB SE556443678901</t>
  </si>
  <si>
    <t>1306881</t>
  </si>
  <si>
    <t>Nordic Biolabs AB EU</t>
  </si>
  <si>
    <t>Täby, Nordic Bi</t>
  </si>
  <si>
    <t>4300598</t>
  </si>
  <si>
    <t>Z-Systems GmbH -4300626 Doppelt!</t>
  </si>
  <si>
    <t>1306913</t>
  </si>
  <si>
    <t>22.11.2024</t>
  </si>
  <si>
    <t>25.11.2024</t>
  </si>
  <si>
    <t>GUTSCHR. UEBERWEISUNGEREF+VIREMENT DE SAS FRANCE MEDICALSVWZ</t>
  </si>
  <si>
    <t>GUTSCHR. UEBERWEISUNGEREF+VIREMENT DE SAS FRANCE MEDICALS EU</t>
  </si>
  <si>
    <t>4300659</t>
  </si>
  <si>
    <t>F   Diverse IL</t>
  </si>
  <si>
    <t>1500189</t>
  </si>
  <si>
    <t>Fürth, AOZ Ambulantes OP –Zentrum</t>
  </si>
  <si>
    <t>2300373</t>
  </si>
  <si>
    <t>26.11.2024</t>
  </si>
  <si>
    <t>26.12.2024</t>
  </si>
  <si>
    <t>2300374</t>
  </si>
  <si>
    <t>2300375</t>
  </si>
  <si>
    <t>1500194</t>
  </si>
  <si>
    <t>ST  Diverse IL</t>
  </si>
  <si>
    <t>1500191</t>
  </si>
  <si>
    <t>Stralsund, Orthopädische Schwerpunktpraxis</t>
  </si>
  <si>
    <t>Viernheim, St. Josef Krankenhaus</t>
  </si>
  <si>
    <t>1500193</t>
  </si>
  <si>
    <t>St. Josef Krankenhaus</t>
  </si>
  <si>
    <t xml:space="preserve">Viernheim, St. </t>
  </si>
  <si>
    <t>1306939</t>
  </si>
  <si>
    <t>05.01.2025</t>
  </si>
  <si>
    <t>1500197</t>
  </si>
  <si>
    <t>27.11.2024</t>
  </si>
  <si>
    <t>Elbe Kliniken Stade-Buxtehude GmbH</t>
  </si>
  <si>
    <t>H   Diverse IL</t>
  </si>
  <si>
    <t>2300376</t>
  </si>
  <si>
    <t>27.12.2024</t>
  </si>
  <si>
    <t>Hamburg, HCG Healthcare</t>
  </si>
  <si>
    <t>2300377</t>
  </si>
  <si>
    <t>2300378</t>
  </si>
  <si>
    <t>1500196</t>
  </si>
  <si>
    <t>Santiago, Promedon S.A. / Chile</t>
  </si>
  <si>
    <t>1306958</t>
  </si>
  <si>
    <t>Promedon Chile S.A.</t>
  </si>
  <si>
    <t>Santiago, Prome</t>
  </si>
  <si>
    <t>1306978</t>
  </si>
  <si>
    <t>29.11.2024</t>
  </si>
  <si>
    <t>29.12.2024</t>
  </si>
  <si>
    <t>Cigliano, F.M. S.p.A. IT01240770022</t>
  </si>
  <si>
    <t>1306983</t>
  </si>
  <si>
    <t>F.M. S.p.A. EU</t>
  </si>
  <si>
    <t>11000</t>
  </si>
  <si>
    <t xml:space="preserve">Cigliano, F.M. </t>
  </si>
  <si>
    <t>ZK: F.M. S.p.A. EU</t>
  </si>
  <si>
    <t>1306984</t>
  </si>
  <si>
    <t>08.01.2025</t>
  </si>
  <si>
    <t>Bad Homburg, Patienten-Heimversorgung</t>
  </si>
  <si>
    <t>1306993</t>
  </si>
  <si>
    <t>02.01.2025</t>
  </si>
  <si>
    <t>Patienten-Heimversorgung</t>
  </si>
  <si>
    <t>Nehringstrasse 17</t>
  </si>
  <si>
    <t>61352</t>
  </si>
  <si>
    <t>Bad Homburg</t>
  </si>
  <si>
    <t>Gemeinnützige Stiftung</t>
  </si>
  <si>
    <t>Bad Homburg, Pa</t>
  </si>
  <si>
    <t>+49 6172 127-0</t>
  </si>
  <si>
    <t>1307002</t>
  </si>
  <si>
    <t>12.01.2025</t>
  </si>
  <si>
    <t>1307022</t>
  </si>
  <si>
    <t>03.01.2025</t>
  </si>
  <si>
    <t>ZK: Alsdorf, Tietze &amp; Pozo Medizintechnik GmbH</t>
  </si>
  <si>
    <t>1307021</t>
  </si>
  <si>
    <t>ZK: JO.MED MVZ GmbH</t>
  </si>
  <si>
    <t>1307009</t>
  </si>
  <si>
    <t>Törökbálint, Plazmaszolgálat Kft HU14380</t>
  </si>
  <si>
    <t>1307007</t>
  </si>
  <si>
    <t>Plazmaszolgálat Kft EU</t>
  </si>
  <si>
    <t>Törökbálint, Pl</t>
  </si>
  <si>
    <t>ZK: Plazmaszolgálat Kft EU</t>
  </si>
  <si>
    <t>1307024</t>
  </si>
  <si>
    <t>Wiener Gesundheitsverbund EU</t>
  </si>
  <si>
    <t>1307036</t>
  </si>
  <si>
    <t>05.12.2024</t>
  </si>
  <si>
    <t>04.01.2025</t>
  </si>
  <si>
    <t>Eberle GmbH &amp; Co. KG</t>
  </si>
  <si>
    <t>1307028</t>
  </si>
  <si>
    <t>Eberle GmbH &amp; C</t>
  </si>
  <si>
    <t>1307035</t>
  </si>
  <si>
    <t>4300661</t>
  </si>
  <si>
    <t>06.12.2024</t>
  </si>
  <si>
    <t>Bad Schwartau, Curasonix GmbH</t>
  </si>
  <si>
    <t>Köln, DHZ Hämapherese gGmbH</t>
  </si>
  <si>
    <t>1307037</t>
  </si>
  <si>
    <t>DHZ Hämapherese gGmbH</t>
  </si>
  <si>
    <t>Köln, DHZ Hämap</t>
  </si>
  <si>
    <t>1307043</t>
  </si>
  <si>
    <t>1307041</t>
  </si>
  <si>
    <t>Thora Tech GmbH</t>
  </si>
  <si>
    <t>4300660</t>
  </si>
  <si>
    <t>1307052</t>
  </si>
  <si>
    <t>09.12.2024</t>
  </si>
  <si>
    <t>ZK: Bonifatius Hospital Lingen gGmbH</t>
  </si>
  <si>
    <t>1307047</t>
  </si>
  <si>
    <t>Villaviciosa de Od´on, Biogen Diag. ESB0</t>
  </si>
  <si>
    <t>1307056</t>
  </si>
  <si>
    <t>Biogen Diagnostica, S.L. EU</t>
  </si>
  <si>
    <t>Villaviciosa de</t>
  </si>
  <si>
    <t>1307061</t>
  </si>
  <si>
    <t>10.12.2024</t>
  </si>
  <si>
    <t>09.01.2025</t>
  </si>
  <si>
    <t>Neu-Isenburg, KfH Kuratorium f. Dialyse</t>
  </si>
  <si>
    <t>1307063</t>
  </si>
  <si>
    <t>KfH Kuratorium für Dialyse und</t>
  </si>
  <si>
    <t>Martin-Benhaim-Str.20</t>
  </si>
  <si>
    <t>63263</t>
  </si>
  <si>
    <t>Neu-Isenburg</t>
  </si>
  <si>
    <t>Nierentransplantation e.V</t>
  </si>
  <si>
    <t>Neu-Isenburg, K</t>
  </si>
  <si>
    <t>Playa de Muro, Centro de Dialisis Alcudi</t>
  </si>
  <si>
    <t>1307058</t>
  </si>
  <si>
    <t>Centro de Dialisis Alcudia SL EU</t>
  </si>
  <si>
    <t xml:space="preserve">Playa de Muro, </t>
  </si>
  <si>
    <t>1307059</t>
  </si>
  <si>
    <t>1307080</t>
  </si>
  <si>
    <t>10.01.2025</t>
  </si>
  <si>
    <t>1307079</t>
  </si>
  <si>
    <t>1307088</t>
  </si>
  <si>
    <t>11.01.2025</t>
  </si>
  <si>
    <t>Essen, Universitätsklinikum</t>
  </si>
  <si>
    <t>1307083</t>
  </si>
  <si>
    <t>Universitätsklinikum Essen AÖR</t>
  </si>
  <si>
    <t>Hufelandstrasse 55</t>
  </si>
  <si>
    <t>45147</t>
  </si>
  <si>
    <t>Essen</t>
  </si>
  <si>
    <t>Medizinische Klinik</t>
  </si>
  <si>
    <t>Essen, Universi</t>
  </si>
  <si>
    <t>+49 201 723-2419</t>
  </si>
  <si>
    <t>4100</t>
  </si>
  <si>
    <t>1307090</t>
  </si>
  <si>
    <t>1307105</t>
  </si>
  <si>
    <t>Schweiz, Stiftung Zürcher Blutspendedien</t>
  </si>
  <si>
    <t>1307106</t>
  </si>
  <si>
    <t>Stiftung Zürcher Blutspendedienst SRK</t>
  </si>
  <si>
    <t>Schweiz, Stiftu</t>
  </si>
  <si>
    <t>1307126</t>
  </si>
  <si>
    <t>16.12.2024</t>
  </si>
  <si>
    <t>15.01.2025</t>
  </si>
  <si>
    <t>1307112</t>
  </si>
  <si>
    <t>1307115</t>
  </si>
  <si>
    <t>Frechen, St. Katharinen-Hospital GmbH</t>
  </si>
  <si>
    <t>1307117</t>
  </si>
  <si>
    <t>St. Katharinen-Hospital GmbH Frechen</t>
  </si>
  <si>
    <t>Frechen, St. Ka</t>
  </si>
  <si>
    <t>1307118</t>
  </si>
  <si>
    <t>1307125</t>
  </si>
  <si>
    <t>Liverpool, NHS Blood and Transplant</t>
  </si>
  <si>
    <t>1307123</t>
  </si>
  <si>
    <t>NHS Blood and Transplant</t>
  </si>
  <si>
    <t xml:space="preserve">Liverpool, NHS </t>
  </si>
  <si>
    <t>1307139</t>
  </si>
  <si>
    <t>17.12.2024</t>
  </si>
  <si>
    <t>16.01.2025</t>
  </si>
  <si>
    <t>1307127</t>
  </si>
  <si>
    <t>Dresden,Universitätsklinikum Carl Gustav Carus</t>
  </si>
  <si>
    <t>Emsdetten, Dialysegemeinschaft</t>
  </si>
  <si>
    <t>1307128</t>
  </si>
  <si>
    <t>Nephrologische Zentren Münsterland GbR</t>
  </si>
  <si>
    <t>Nordwalder Strasse 50</t>
  </si>
  <si>
    <t>48282</t>
  </si>
  <si>
    <t>Emsdetten</t>
  </si>
  <si>
    <t>Dr. Tillmann /  Dr. Hansen</t>
  </si>
  <si>
    <t>Emsdetten, Dial</t>
  </si>
  <si>
    <t>+49 2572 940-08</t>
  </si>
  <si>
    <t>Essen, Elisabeth-Krankenhaus</t>
  </si>
  <si>
    <t>1307129</t>
  </si>
  <si>
    <t>Elisabeth-Krankenhaus Essen</t>
  </si>
  <si>
    <t>Essen, Elisabet</t>
  </si>
  <si>
    <t>Garbsen, Medizinisches Versorgungsz.</t>
  </si>
  <si>
    <t>1307130</t>
  </si>
  <si>
    <t>Medizinisches Versorgungszentrum</t>
  </si>
  <si>
    <t>Garbsen, Medizi</t>
  </si>
  <si>
    <t>1307134</t>
  </si>
  <si>
    <t>Langenhagen, Eickenhof-Dialyse</t>
  </si>
  <si>
    <t>1307132</t>
  </si>
  <si>
    <t>26.01.2025</t>
  </si>
  <si>
    <t>1307147</t>
  </si>
  <si>
    <t>17.01.2025</t>
  </si>
  <si>
    <t>1307148</t>
  </si>
  <si>
    <t>1307149</t>
  </si>
  <si>
    <t>1307150</t>
  </si>
  <si>
    <t>1307151</t>
  </si>
  <si>
    <t>1307141</t>
  </si>
  <si>
    <t>1307142</t>
  </si>
  <si>
    <t>GFO Klinik Engelskirchen</t>
  </si>
  <si>
    <t>1307143</t>
  </si>
  <si>
    <t>Universitätsklinikum Frankfurt</t>
  </si>
  <si>
    <t>I   Diverse IL</t>
  </si>
  <si>
    <t>1307144</t>
  </si>
  <si>
    <t>Isernhagen. HepaNet GmbH</t>
  </si>
  <si>
    <t>Langenfeld, Dt. Gesellsch. f. Humanplasm</t>
  </si>
  <si>
    <t>1307154</t>
  </si>
  <si>
    <t>Octapharma AG</t>
  </si>
  <si>
    <t>Langenfeld, Dt.</t>
  </si>
  <si>
    <t>1307155</t>
  </si>
  <si>
    <t>1307156</t>
  </si>
  <si>
    <t>1307157</t>
  </si>
  <si>
    <t>ZK: Octapharma AG</t>
  </si>
  <si>
    <t>1307158</t>
  </si>
  <si>
    <t>1307159</t>
  </si>
  <si>
    <t>1307160</t>
  </si>
  <si>
    <t>1307161</t>
  </si>
  <si>
    <t>1307162</t>
  </si>
  <si>
    <t>Maxdorf, SoluGen GmbH</t>
  </si>
  <si>
    <t>1307153</t>
  </si>
  <si>
    <t>SoluGen GmbH</t>
  </si>
  <si>
    <t>Maxdorf, SoluGe</t>
  </si>
  <si>
    <t>ZK: SoluGen GmbH</t>
  </si>
  <si>
    <t>Z   Diverse IL</t>
  </si>
  <si>
    <t>1307152</t>
  </si>
  <si>
    <t>Zeulenroda, SERIMED GmbH &amp; Co. KG</t>
  </si>
  <si>
    <t>Linz, Österr. Rotes Kreuz ATU23006707</t>
  </si>
  <si>
    <t>1307146</t>
  </si>
  <si>
    <t>Österreichisches Rotes Kreuz EU</t>
  </si>
  <si>
    <t>Linz, Österr. R</t>
  </si>
  <si>
    <t>1307175</t>
  </si>
  <si>
    <t>19.12.2024</t>
  </si>
  <si>
    <t>18.01.2025</t>
  </si>
  <si>
    <t>1307176</t>
  </si>
  <si>
    <t>1307166</t>
  </si>
  <si>
    <t>Dresden, DRK-Blutspendedienst Nord-Ost gGmbH</t>
  </si>
  <si>
    <t>1307168</t>
  </si>
  <si>
    <t>1307169</t>
  </si>
  <si>
    <t>1307170</t>
  </si>
  <si>
    <t>1307171</t>
  </si>
  <si>
    <t>1307172</t>
  </si>
  <si>
    <t>Köln, Uniklinik Köln</t>
  </si>
  <si>
    <t>1307173</t>
  </si>
  <si>
    <t>Uniklinik Köln</t>
  </si>
  <si>
    <t>Köln, Uniklinik</t>
  </si>
  <si>
    <t>1307177</t>
  </si>
  <si>
    <t>Mainz, Universitätsmedizin der Uni Mainz</t>
  </si>
  <si>
    <t>1307174</t>
  </si>
  <si>
    <t>Universitätsmedizin Mainz</t>
  </si>
  <si>
    <t>Mainz, Universi</t>
  </si>
  <si>
    <t>4300664</t>
  </si>
  <si>
    <t>1307178</t>
  </si>
  <si>
    <t>28.01.2025</t>
  </si>
  <si>
    <t>1307199</t>
  </si>
  <si>
    <t>19.01.2025</t>
  </si>
  <si>
    <t>Ahlen, medicalORDER services GmbH</t>
  </si>
  <si>
    <t>1307192</t>
  </si>
  <si>
    <t>medicalORDER services GmbH</t>
  </si>
  <si>
    <t>Ahlen, medicalO</t>
  </si>
  <si>
    <t>ZK: medicalORDER services GmbH</t>
  </si>
  <si>
    <t>Aachen, Kath. Stiftung Marienhospital</t>
  </si>
  <si>
    <t>1307180</t>
  </si>
  <si>
    <t>Marienhospital Aachen GmbH</t>
  </si>
  <si>
    <t>Aachen, Kath. S</t>
  </si>
  <si>
    <t>ZK: Marienhospital Aachen GmbH</t>
  </si>
  <si>
    <t>1307193</t>
  </si>
  <si>
    <t>1307194</t>
  </si>
  <si>
    <t>Bad Ems,  J. Koch Medizinprodukte KG</t>
  </si>
  <si>
    <t>1307189</t>
  </si>
  <si>
    <t>Jürgen Koch Medizinprodukte KG</t>
  </si>
  <si>
    <t>Bad Ems,  J. Ko</t>
  </si>
  <si>
    <t xml:space="preserve">Baden Baden, DRK BSD </t>
  </si>
  <si>
    <t>1307185</t>
  </si>
  <si>
    <t>DRK BSD Baden-Württemberg Hessen</t>
  </si>
  <si>
    <t>Baden Baden, DR</t>
  </si>
  <si>
    <t>Braunschweig, Städtisches Klinikum</t>
  </si>
  <si>
    <t>1307181</t>
  </si>
  <si>
    <t>Städtisches Klinikum Braunschweig gGmbH</t>
  </si>
  <si>
    <t>10030</t>
  </si>
  <si>
    <t>Braunschweig, S</t>
  </si>
  <si>
    <t>1307182</t>
  </si>
  <si>
    <t>1307184</t>
  </si>
  <si>
    <t>1307186</t>
  </si>
  <si>
    <t>Kaiserslautern, Westpfalz-Klinikum GmbH</t>
  </si>
  <si>
    <t>ZK: Kaiserslautern, Westpfalz-Klinikum GmbH</t>
  </si>
  <si>
    <t>1307191</t>
  </si>
  <si>
    <t>Universitätsklinikum Kiel</t>
  </si>
  <si>
    <t>Kirchheimbolanden, Westpfalz-Klinikum Gm</t>
  </si>
  <si>
    <t>1307187</t>
  </si>
  <si>
    <t>Westpfalz-Klinikum GmbH</t>
  </si>
  <si>
    <t>Kirchheimboland</t>
  </si>
  <si>
    <t>ZK: Westpfalz-Klinikum GmbH</t>
  </si>
  <si>
    <t>1307190</t>
  </si>
  <si>
    <t>1307202</t>
  </si>
  <si>
    <t>1307203</t>
  </si>
  <si>
    <t>1307204</t>
  </si>
  <si>
    <t>1307205</t>
  </si>
  <si>
    <t>1307197</t>
  </si>
  <si>
    <t>QIAGEN GmbH</t>
  </si>
  <si>
    <t>4300665</t>
  </si>
  <si>
    <t>4300667</t>
  </si>
  <si>
    <t>1307188</t>
  </si>
  <si>
    <t>Reutlingen, Klitra Praxisbedarf GmbH &amp; Co. KG</t>
  </si>
  <si>
    <t>ZK: Reutlingen, Klitra Praxisbedarf GmbH &amp; Co. KG</t>
  </si>
  <si>
    <t>1307183</t>
  </si>
  <si>
    <t>1307195</t>
  </si>
  <si>
    <t>Würzburg, Universitätsklinikum</t>
  </si>
  <si>
    <t>1307200</t>
  </si>
  <si>
    <t>Universitätsklinikum Würzburg</t>
  </si>
  <si>
    <t>Würzburg, Unive</t>
  </si>
  <si>
    <t>1307201</t>
  </si>
  <si>
    <t>Bettlach, Mathys European Orthopaedics /</t>
  </si>
  <si>
    <t>4300670</t>
  </si>
  <si>
    <t>Mathys AG Bettlach</t>
  </si>
  <si>
    <t>Bettlach, Mathy</t>
  </si>
  <si>
    <t>4300671</t>
  </si>
  <si>
    <t>1307198</t>
  </si>
  <si>
    <t>4300668</t>
  </si>
  <si>
    <t>4300669</t>
  </si>
  <si>
    <t>1307196</t>
  </si>
  <si>
    <t>1307209</t>
  </si>
  <si>
    <t>22.01.2025</t>
  </si>
  <si>
    <t>1307210</t>
  </si>
  <si>
    <t>Jena, ApherMED</t>
  </si>
  <si>
    <t>Niedereschbach, Deutsche NephroNet AG</t>
  </si>
  <si>
    <t>1307211</t>
  </si>
  <si>
    <t>Deutsche NephroNet AG</t>
  </si>
  <si>
    <t>Sandsteinweg 33</t>
  </si>
  <si>
    <t>78078</t>
  </si>
  <si>
    <t>Niedereschbach</t>
  </si>
  <si>
    <t>Niedereschbach,</t>
  </si>
  <si>
    <t>+49 7725 9164-0</t>
  </si>
  <si>
    <t>ZK: Deutsche NephroNet AG</t>
  </si>
  <si>
    <t>T   Diverse IL</t>
  </si>
  <si>
    <t>1305393</t>
  </si>
  <si>
    <t>Verpackungsmaschine TARGO Leasing GmbH</t>
  </si>
  <si>
    <t>12-2024/JA04</t>
  </si>
  <si>
    <t>1307206</t>
  </si>
  <si>
    <t>Drucker TARGO Leasing GmbH</t>
  </si>
  <si>
    <t>1307212</t>
  </si>
  <si>
    <t>01.02.2025</t>
  </si>
  <si>
    <t>2300379</t>
  </si>
  <si>
    <t>30.12.2024</t>
  </si>
  <si>
    <t>29.01.2025</t>
  </si>
  <si>
    <t>2300380</t>
  </si>
  <si>
    <t>2300381</t>
  </si>
  <si>
    <t>2300384</t>
  </si>
  <si>
    <t>2300401</t>
  </si>
  <si>
    <t>2300382</t>
  </si>
  <si>
    <t>2300383</t>
  </si>
  <si>
    <t>2300406</t>
  </si>
  <si>
    <t>Praxis Dr. Xu</t>
  </si>
  <si>
    <t>12-2024/0011</t>
  </si>
  <si>
    <t>2300410</t>
  </si>
  <si>
    <t>Nephrologische Gemeinschaftspraxis</t>
  </si>
  <si>
    <t>2300411</t>
  </si>
  <si>
    <t>2300412</t>
  </si>
  <si>
    <t>1500216</t>
  </si>
  <si>
    <t>2300399</t>
  </si>
  <si>
    <t>2300400</t>
  </si>
  <si>
    <t>2300407</t>
  </si>
  <si>
    <t>1500218</t>
  </si>
  <si>
    <t xml:space="preserve">Dublin, Irish Blood Transfusion Service </t>
  </si>
  <si>
    <t>1500220</t>
  </si>
  <si>
    <t>Irish Blood Transfusion Service EU</t>
  </si>
  <si>
    <t>Dublin, Irish B</t>
  </si>
  <si>
    <t xml:space="preserve">Hagen, M. Meyer GmbH + Co. KG </t>
  </si>
  <si>
    <t>2024911419</t>
  </si>
  <si>
    <t>31.12.2024</t>
  </si>
  <si>
    <t>30.01.2025</t>
  </si>
  <si>
    <t>M. Meyer GmbH &amp; Co. KG</t>
  </si>
  <si>
    <t>Hagen, M. Meyer</t>
  </si>
  <si>
    <t>4300695</t>
  </si>
  <si>
    <t>Kanzlei-Rechnungswesen - RW - 19683/167/2025 / Meise GmbH -  OPOS-Liste (Debitoren) - Posten - Sep</t>
  </si>
  <si>
    <t>Verbindlichkeit</t>
  </si>
  <si>
    <t>SAMMEL-LS-EINZUGKREF+AH8U202501201226141MREF+K10982CRED+DE22</t>
  </si>
  <si>
    <t>01-2025/0005</t>
  </si>
  <si>
    <t>28.02.2025</t>
  </si>
  <si>
    <t>SAMMEL-LS-EINZUGKREF+AHAY202502261853341MREF+K10982CRED+DE22</t>
  </si>
  <si>
    <t>02-2025/0003</t>
  </si>
  <si>
    <t>31.03.2025</t>
  </si>
  <si>
    <t>SAMMEL-LS-EINZUGKREF+AHCR202503261859481MREF+K10982CRED+DE22</t>
  </si>
  <si>
    <t>03-2025/0003</t>
  </si>
  <si>
    <t>30.04.2025</t>
  </si>
  <si>
    <t>SAMMEL-LS-EINZUGKREF+AHEQ202504251938491MREF+K10982CRED+DE22</t>
  </si>
  <si>
    <t>04-2025/0003</t>
  </si>
  <si>
    <t>02.06.2025</t>
  </si>
  <si>
    <t>SAMMEL-LS-EINZUGKREF+AHGT202505301043121MREF+K10982CRED+DE22</t>
  </si>
  <si>
    <t>06-2025/0003</t>
  </si>
  <si>
    <t>30.06.2025</t>
  </si>
  <si>
    <t>SAMMEL-LS-EINZUGKREF+AHIB202506261851481MREF+K10982CRED+DE22</t>
  </si>
  <si>
    <t>31.07.2025</t>
  </si>
  <si>
    <t>SAMMEL-LS-EINZUGKREF+AHK5202507281800131SVWZ+ANZAHL       2</t>
  </si>
  <si>
    <t>07-2025/0004</t>
  </si>
  <si>
    <t>29.08.2025</t>
  </si>
  <si>
    <t>SAMMEL-LS-EINZUGKREF+AHLX202508261917141MREF+K10982CRED+DE22</t>
  </si>
  <si>
    <t>08-2025/0003</t>
  </si>
  <si>
    <t>01.08.2025</t>
  </si>
  <si>
    <t>GUTSCHR. UEBERWEISUNGEREF+CCB.212.UE.POS00467621</t>
  </si>
  <si>
    <t>01.09.2025</t>
  </si>
  <si>
    <t>GUTSCHRIFT ÜBERWEISUNGEREF+ENDTOENDIDNAVISO10681A2SVWZ+LB430</t>
  </si>
  <si>
    <t>09-2025/0003</t>
  </si>
  <si>
    <t>Lüdenscheid, Gemeinschaftspraxis</t>
  </si>
  <si>
    <t>1307253</t>
  </si>
  <si>
    <t>06.01.2025</t>
  </si>
  <si>
    <t>05.02.2025</t>
  </si>
  <si>
    <t>Nierenzentrum Lüdenscheid</t>
  </si>
  <si>
    <t>Lüdenscheid, Ge</t>
  </si>
  <si>
    <t>07.01.2025</t>
  </si>
  <si>
    <t>GUTSCHR. UEBERWEISUNGEREF+CCB.007.UE.POS00040126SVWZ+RE 1307</t>
  </si>
  <si>
    <t>1307334</t>
  </si>
  <si>
    <t>14.01.2025</t>
  </si>
  <si>
    <t>13.02.2025</t>
  </si>
  <si>
    <t>1307406</t>
  </si>
  <si>
    <t>21.01.2025</t>
  </si>
  <si>
    <t>20.02.2025</t>
  </si>
  <si>
    <t>1307413</t>
  </si>
  <si>
    <t>21.02.2025</t>
  </si>
  <si>
    <t>1307531</t>
  </si>
  <si>
    <t>31.01.2025</t>
  </si>
  <si>
    <t>02.03.2025</t>
  </si>
  <si>
    <t>Rostock, Artcline GmbH 76000521</t>
  </si>
  <si>
    <t>Rostock, Artcline GmbH DEU8294, E08194, E31849</t>
  </si>
  <si>
    <t>1307554</t>
  </si>
  <si>
    <t>07.03.2025</t>
  </si>
  <si>
    <t>1307579</t>
  </si>
  <si>
    <t>06.02.2025</t>
  </si>
  <si>
    <t>08.03.2025</t>
  </si>
  <si>
    <t>1307572</t>
  </si>
  <si>
    <t>Kronberg, RS Medicare GmbH</t>
  </si>
  <si>
    <t>1500214</t>
  </si>
  <si>
    <t>12.02.2025</t>
  </si>
  <si>
    <t>1307670</t>
  </si>
  <si>
    <t>17.02.2025</t>
  </si>
  <si>
    <t>19.03.2025</t>
  </si>
  <si>
    <t>1307667</t>
  </si>
  <si>
    <t>1307732</t>
  </si>
  <si>
    <t>23.03.2025</t>
  </si>
  <si>
    <t>1307740</t>
  </si>
  <si>
    <t>1307792</t>
  </si>
  <si>
    <t>26.02.2025</t>
  </si>
  <si>
    <t>28.03.2025</t>
  </si>
  <si>
    <t>1500219</t>
  </si>
  <si>
    <t>27.02.2025</t>
  </si>
  <si>
    <t>1307840</t>
  </si>
  <si>
    <t>04.03.2025</t>
  </si>
  <si>
    <t>03.04.2025</t>
  </si>
  <si>
    <t>1307842</t>
  </si>
  <si>
    <t>1307846</t>
  </si>
  <si>
    <t>05.03.2025</t>
  </si>
  <si>
    <t>04.04.2025</t>
  </si>
  <si>
    <t>1307868</t>
  </si>
  <si>
    <t>06.03.2025</t>
  </si>
  <si>
    <t>05.04.2025</t>
  </si>
  <si>
    <t>1500222</t>
  </si>
  <si>
    <t>1307909</t>
  </si>
  <si>
    <t>11.03.2025</t>
  </si>
  <si>
    <t>10.04.2025</t>
  </si>
  <si>
    <t>4300742</t>
  </si>
  <si>
    <t>12.03.2025</t>
  </si>
  <si>
    <t>11.04.2025</t>
  </si>
  <si>
    <t>1307934</t>
  </si>
  <si>
    <t>13.03.2025</t>
  </si>
  <si>
    <t>12.04.2025</t>
  </si>
  <si>
    <t>24.03.2025</t>
  </si>
  <si>
    <t>SEPA-CT HABEN EINZELBUCHUNGEREF+NOTPROVIDEDSVWZ+R.-Nr.:13079</t>
  </si>
  <si>
    <t>1307980</t>
  </si>
  <si>
    <t>18.04.2025</t>
  </si>
  <si>
    <t>1308013</t>
  </si>
  <si>
    <t>21.03.2025</t>
  </si>
  <si>
    <t>20.04.2025</t>
  </si>
  <si>
    <t>Rostock, Artcline GmbH 76002224</t>
  </si>
  <si>
    <t>Rostock, Artcline GmbH E08374</t>
  </si>
  <si>
    <t>Rostock, Artcline GmbH E32104</t>
  </si>
  <si>
    <t>Rostock, Artcline GmbH DEU8700</t>
  </si>
  <si>
    <t>1308014</t>
  </si>
  <si>
    <t>Rostock, Artcline GmbH 76002524</t>
  </si>
  <si>
    <t>Rostock, Artcline GmbH DEU8701</t>
  </si>
  <si>
    <t>Rostock, Artcline GmbH E08429</t>
  </si>
  <si>
    <t>Rostock, Artcline GmbH E32364</t>
  </si>
  <si>
    <t>Strabourg, EDQM FR</t>
  </si>
  <si>
    <t>1308040</t>
  </si>
  <si>
    <t>26.03.2025</t>
  </si>
  <si>
    <t>25.04.2025</t>
  </si>
  <si>
    <t>Council of Europe - EDQM</t>
  </si>
  <si>
    <t>Strabourg, EDQM</t>
  </si>
  <si>
    <t>15.05.2025</t>
  </si>
  <si>
    <t>GUTSCHR. UEBERWEISUNGEREF+261868SVWZ+1308040AWV-MELDEPFLICHT</t>
  </si>
  <si>
    <t>05-2025/0003</t>
  </si>
  <si>
    <t>1308064</t>
  </si>
  <si>
    <t>27.04.2025</t>
  </si>
  <si>
    <t>1308125</t>
  </si>
  <si>
    <t>02.04.2025</t>
  </si>
  <si>
    <t>02.05.2025</t>
  </si>
  <si>
    <t>1308112</t>
  </si>
  <si>
    <t>Articomed Polska</t>
  </si>
  <si>
    <t>ZK: Articomed Polska</t>
  </si>
  <si>
    <t>2300423</t>
  </si>
  <si>
    <t>03.05.2025</t>
  </si>
  <si>
    <t>1308135</t>
  </si>
  <si>
    <t>1308136</t>
  </si>
  <si>
    <t>Westerstede, Nierenzentrum Ammerland</t>
  </si>
  <si>
    <t>1500229</t>
  </si>
  <si>
    <t>Nierenzentrum Ammerland</t>
  </si>
  <si>
    <t>Westerstede, Ni</t>
  </si>
  <si>
    <t>1308231</t>
  </si>
  <si>
    <t>11.05.2025</t>
  </si>
  <si>
    <t>2300428</t>
  </si>
  <si>
    <t>2300429</t>
  </si>
  <si>
    <t>1308242</t>
  </si>
  <si>
    <t>14.04.2025</t>
  </si>
  <si>
    <t>14.05.2025</t>
  </si>
  <si>
    <t>1308388</t>
  </si>
  <si>
    <t>29.04.2025</t>
  </si>
  <si>
    <t>29.05.2025</t>
  </si>
  <si>
    <t>Düsseldorf, Privatärztliche Praxis</t>
  </si>
  <si>
    <t>1308371</t>
  </si>
  <si>
    <t>1308370</t>
  </si>
  <si>
    <t>Düren, CTW St.Augustinus KH</t>
  </si>
  <si>
    <t>1308399</t>
  </si>
  <si>
    <t>30.05.2025</t>
  </si>
  <si>
    <t>St. Augustinus Krankenhaus</t>
  </si>
  <si>
    <t>Düren, CTW St.A</t>
  </si>
  <si>
    <t>1308419</t>
  </si>
  <si>
    <t>01.06.2025</t>
  </si>
  <si>
    <t>1308445</t>
  </si>
  <si>
    <t>05.05.2025</t>
  </si>
  <si>
    <t>04.06.2025</t>
  </si>
  <si>
    <t>1308451</t>
  </si>
  <si>
    <t>06.05.2025</t>
  </si>
  <si>
    <t>05.06.2025</t>
  </si>
  <si>
    <t>1308501</t>
  </si>
  <si>
    <t>12.05.2025</t>
  </si>
  <si>
    <t>11.06.2025</t>
  </si>
  <si>
    <t>1500238</t>
  </si>
  <si>
    <t>1308527</t>
  </si>
  <si>
    <t>13.06.2025</t>
  </si>
  <si>
    <t>1308539</t>
  </si>
  <si>
    <t>Basel, Universitätsspital Basel / Schwei</t>
  </si>
  <si>
    <t>1308543</t>
  </si>
  <si>
    <t>14.06.2025</t>
  </si>
  <si>
    <t>Universitätsspital Basel</t>
  </si>
  <si>
    <t>Basel, Universi</t>
  </si>
  <si>
    <t>1308562</t>
  </si>
  <si>
    <t>16.05.2025</t>
  </si>
  <si>
    <t>15.06.2025</t>
  </si>
  <si>
    <t>1308600</t>
  </si>
  <si>
    <t>20.05.2025</t>
  </si>
  <si>
    <t>19.06.2025</t>
  </si>
  <si>
    <t>1308606</t>
  </si>
  <si>
    <t>21.05.2025</t>
  </si>
  <si>
    <t>20.06.2025</t>
  </si>
  <si>
    <t>Magdeburg, VitaSangius GmbH</t>
  </si>
  <si>
    <t>1308614</t>
  </si>
  <si>
    <t>Rostock, ProMedTec Germany GmbH</t>
  </si>
  <si>
    <t>ZK: Rostock, ProMedTec Germany GmbH</t>
  </si>
  <si>
    <t>1308618</t>
  </si>
  <si>
    <t>22.05.2025</t>
  </si>
  <si>
    <t>21.06.2025</t>
  </si>
  <si>
    <t>1308638</t>
  </si>
  <si>
    <t>23.05.2025</t>
  </si>
  <si>
    <t>22.06.2025</t>
  </si>
  <si>
    <t>2300438</t>
  </si>
  <si>
    <t>26.05.2025</t>
  </si>
  <si>
    <t>25.06.2025</t>
  </si>
  <si>
    <t>2300441</t>
  </si>
  <si>
    <t>1308641</t>
  </si>
  <si>
    <t>27.05.2025</t>
  </si>
  <si>
    <t>26.06.2025</t>
  </si>
  <si>
    <t>1308675</t>
  </si>
  <si>
    <t>28.05.2025</t>
  </si>
  <si>
    <t>27.06.2025</t>
  </si>
  <si>
    <t>1308685</t>
  </si>
  <si>
    <t>29.06.2025</t>
  </si>
  <si>
    <t>1308730</t>
  </si>
  <si>
    <t>03.06.2025</t>
  </si>
  <si>
    <t>03.07.2025</t>
  </si>
  <si>
    <t>1308746</t>
  </si>
  <si>
    <t>04.07.2025</t>
  </si>
  <si>
    <t>1308754</t>
  </si>
  <si>
    <t>05.07.2025</t>
  </si>
  <si>
    <t>Lessines, Baxter Healthcare SA BE0861967</t>
  </si>
  <si>
    <t>1308758</t>
  </si>
  <si>
    <t>Vantive Health GmbH EU</t>
  </si>
  <si>
    <t>Lessines, Baxte</t>
  </si>
  <si>
    <t>ZK: Vantive Health GmbH EU</t>
  </si>
  <si>
    <t>1308775</t>
  </si>
  <si>
    <t>06.06.2025</t>
  </si>
  <si>
    <t>06.07.2025</t>
  </si>
  <si>
    <t>Universitätsklinikum Köln (AöR)</t>
  </si>
  <si>
    <t>1308777</t>
  </si>
  <si>
    <t>1308778</t>
  </si>
  <si>
    <t>Bad Tölz, Med Vital Gesundheitszentrum G</t>
  </si>
  <si>
    <t>2300449</t>
  </si>
  <si>
    <t>10.06.2025</t>
  </si>
  <si>
    <t>10.07.2025</t>
  </si>
  <si>
    <t>Deutsches Zentrum für Zelltherapie</t>
  </si>
  <si>
    <t>Bad Tölz, Med V</t>
  </si>
  <si>
    <t>2300450</t>
  </si>
  <si>
    <t>2300451</t>
  </si>
  <si>
    <t>2300452</t>
  </si>
  <si>
    <t>1308817</t>
  </si>
  <si>
    <t>12.06.2025</t>
  </si>
  <si>
    <t>12.07.2025</t>
  </si>
  <si>
    <t>1308838</t>
  </si>
  <si>
    <t>13.07.2025</t>
  </si>
  <si>
    <t>23.06.2025</t>
  </si>
  <si>
    <t>GUTSCHR. UEBERWEISUNGEREF+4517144087-0000003SVWZ+RNR. 130883</t>
  </si>
  <si>
    <t>1308856</t>
  </si>
  <si>
    <t>16.06.2025</t>
  </si>
  <si>
    <t>16.07.2025</t>
  </si>
  <si>
    <t>2300460</t>
  </si>
  <si>
    <t>17.06.2025</t>
  </si>
  <si>
    <t>17.07.2025</t>
  </si>
  <si>
    <t>1308882</t>
  </si>
  <si>
    <t>20.07.2025</t>
  </si>
  <si>
    <t>1308891</t>
  </si>
  <si>
    <t>23.07.2025</t>
  </si>
  <si>
    <t>1308904</t>
  </si>
  <si>
    <t>24.06.2025</t>
  </si>
  <si>
    <t>24.07.2025</t>
  </si>
  <si>
    <t>1308935</t>
  </si>
  <si>
    <t>25.07.2025</t>
  </si>
  <si>
    <t>M   Diverse IL</t>
  </si>
  <si>
    <t>1308933</t>
  </si>
  <si>
    <t>Mülheim, Facharzt für Orthopädie</t>
  </si>
  <si>
    <t>1308946</t>
  </si>
  <si>
    <t>26.07.2025</t>
  </si>
  <si>
    <t>1308994</t>
  </si>
  <si>
    <t>30.07.2025</t>
  </si>
  <si>
    <t>1309005</t>
  </si>
  <si>
    <t>01.07.2025</t>
  </si>
  <si>
    <t>1309017</t>
  </si>
  <si>
    <t>02.07.2025</t>
  </si>
  <si>
    <t>1309026</t>
  </si>
  <si>
    <t>02.08.2025</t>
  </si>
  <si>
    <t>Brüssel, C.A.F.-D.C.F. BE0462229645</t>
  </si>
  <si>
    <t>1309031</t>
  </si>
  <si>
    <t>Prothya Biosolutions Belgium EU</t>
  </si>
  <si>
    <t>Brüssel, C.A.F.</t>
  </si>
  <si>
    <t>Currenxie UK Ltd.</t>
  </si>
  <si>
    <t>1800010</t>
  </si>
  <si>
    <t>08.07.2025</t>
  </si>
  <si>
    <t>GUTSCHR. AUSLANDSUEBERW.REF.:      250708081A000046BETRAG EU</t>
  </si>
  <si>
    <t>Currenxie UK Lt</t>
  </si>
  <si>
    <t>1309107</t>
  </si>
  <si>
    <t>14.07.2025</t>
  </si>
  <si>
    <t>13.08.2025</t>
  </si>
  <si>
    <t>2500015</t>
  </si>
  <si>
    <t>15.07.2025</t>
  </si>
  <si>
    <t>1309128</t>
  </si>
  <si>
    <t>14.08.2025</t>
  </si>
  <si>
    <t>1309112</t>
  </si>
  <si>
    <t>1309113</t>
  </si>
  <si>
    <t>1309131</t>
  </si>
  <si>
    <t>1309157</t>
  </si>
  <si>
    <t>16.08.2025</t>
  </si>
  <si>
    <t>1309158</t>
  </si>
  <si>
    <t>1309183</t>
  </si>
  <si>
    <t>21.07.2025</t>
  </si>
  <si>
    <t>20.08.2025</t>
  </si>
  <si>
    <t>Baden-Baden, Swiss Vitality Clinics</t>
  </si>
  <si>
    <t>1309182</t>
  </si>
  <si>
    <t>2300461</t>
  </si>
  <si>
    <t>22.07.2025</t>
  </si>
  <si>
    <t>21.08.2025</t>
  </si>
  <si>
    <t>2300462</t>
  </si>
  <si>
    <t>1309198</t>
  </si>
  <si>
    <t>22.08.2025</t>
  </si>
  <si>
    <t>1309215</t>
  </si>
  <si>
    <t>23.08.2025</t>
  </si>
  <si>
    <t>Bad Tölz, petracell Kosmetik</t>
  </si>
  <si>
    <t>1309243</t>
  </si>
  <si>
    <t>29.07.2025</t>
  </si>
  <si>
    <t>28.08.2025</t>
  </si>
  <si>
    <t>1309263</t>
  </si>
  <si>
    <t>30.08.2025</t>
  </si>
  <si>
    <t>1309266</t>
  </si>
  <si>
    <t>1309259</t>
  </si>
  <si>
    <t>Klinikum der Universität München AöR</t>
  </si>
  <si>
    <t>ZK: Klinikum der Universität München AöR</t>
  </si>
  <si>
    <t>1309270</t>
  </si>
  <si>
    <t>1309283</t>
  </si>
  <si>
    <t>31.08.2025</t>
  </si>
  <si>
    <t>1309310</t>
  </si>
  <si>
    <t>05.08.2025</t>
  </si>
  <si>
    <t>04.09.2025</t>
  </si>
  <si>
    <t>2300477</t>
  </si>
  <si>
    <t>06.08.2025</t>
  </si>
  <si>
    <t>05.09.2025</t>
  </si>
  <si>
    <t>1309318</t>
  </si>
  <si>
    <t>1309332</t>
  </si>
  <si>
    <t>07.08.2025</t>
  </si>
  <si>
    <t>06.09.2025</t>
  </si>
  <si>
    <t>1309343</t>
  </si>
  <si>
    <t>08.08.2025</t>
  </si>
  <si>
    <t>07.09.2025</t>
  </si>
  <si>
    <t>1309348</t>
  </si>
  <si>
    <t>17.09.2025</t>
  </si>
  <si>
    <t>1309356</t>
  </si>
  <si>
    <t>11.08.2025</t>
  </si>
  <si>
    <t>10.09.2025</t>
  </si>
  <si>
    <t>1309386</t>
  </si>
  <si>
    <t>12.09.2025</t>
  </si>
  <si>
    <t>1309401</t>
  </si>
  <si>
    <t>15.08.2025</t>
  </si>
  <si>
    <t>14.09.2025</t>
  </si>
  <si>
    <t>1309410</t>
  </si>
  <si>
    <t>1309411</t>
  </si>
  <si>
    <t>1309423</t>
  </si>
  <si>
    <t>18.08.2025</t>
  </si>
  <si>
    <t>1309414</t>
  </si>
  <si>
    <t>1309416</t>
  </si>
  <si>
    <t>1309437</t>
  </si>
  <si>
    <t>19.08.2025</t>
  </si>
  <si>
    <t>18.09.2025</t>
  </si>
  <si>
    <t>4300869</t>
  </si>
  <si>
    <t>19.09.2025</t>
  </si>
  <si>
    <t>1309483</t>
  </si>
  <si>
    <t>21.09.2025</t>
  </si>
  <si>
    <t>1309490</t>
  </si>
  <si>
    <t>25.08.2025</t>
  </si>
  <si>
    <t>24.09.2025</t>
  </si>
  <si>
    <t>1309493</t>
  </si>
  <si>
    <t>2300483</t>
  </si>
  <si>
    <t>26.08.2025</t>
  </si>
  <si>
    <t>25.09.2025</t>
  </si>
  <si>
    <t>1309509</t>
  </si>
  <si>
    <t>1309522</t>
  </si>
  <si>
    <t>27.08.2025</t>
  </si>
  <si>
    <t>26.09.2025</t>
  </si>
  <si>
    <t>1309519</t>
  </si>
  <si>
    <t>1309526</t>
  </si>
  <si>
    <t>27.09.2025</t>
  </si>
  <si>
    <t>1309548</t>
  </si>
  <si>
    <t>01.10.2025</t>
  </si>
  <si>
    <t>1309547</t>
  </si>
  <si>
    <t>1309557</t>
  </si>
  <si>
    <t>02.09.2025</t>
  </si>
  <si>
    <t>02.10.2025</t>
  </si>
  <si>
    <t>2300491</t>
  </si>
  <si>
    <t>2300492</t>
  </si>
  <si>
    <t>1309558</t>
  </si>
  <si>
    <t>2300493</t>
  </si>
  <si>
    <t>1309555</t>
  </si>
  <si>
    <t>1309570</t>
  </si>
  <si>
    <t>03.09.2025</t>
  </si>
  <si>
    <t>03.10.2025</t>
  </si>
  <si>
    <t>1500259</t>
  </si>
  <si>
    <t>Rostock, Albutec GmbH</t>
  </si>
  <si>
    <t>1309574</t>
  </si>
  <si>
    <t>Aachen, Universitätsklinikum</t>
  </si>
  <si>
    <t>1309594</t>
  </si>
  <si>
    <t>05.10.2025</t>
  </si>
  <si>
    <t>Universitätsklinikum Aachen AöR</t>
  </si>
  <si>
    <t>Aachen, Univers</t>
  </si>
  <si>
    <t>ZK: Universitätsklinikum Aachen AöR</t>
  </si>
  <si>
    <t>Bochum, Augusta-Kranken-Anstalt</t>
  </si>
  <si>
    <t>1309605</t>
  </si>
  <si>
    <t>Augusta-Kranken-Anstalt gGmbH</t>
  </si>
  <si>
    <t>Bochum, Augusta</t>
  </si>
  <si>
    <t>1309602</t>
  </si>
  <si>
    <t>1309595</t>
  </si>
  <si>
    <t>1309597</t>
  </si>
  <si>
    <t>1309603</t>
  </si>
  <si>
    <t>1309611</t>
  </si>
  <si>
    <t>08.09.2025</t>
  </si>
  <si>
    <t>08.10.2025</t>
  </si>
  <si>
    <t>1800015</t>
  </si>
  <si>
    <t>ECHTZEIT-GUTSCHRIFTSVWZ+INVOICE 1107358</t>
  </si>
  <si>
    <t>1309625</t>
  </si>
  <si>
    <t>09.09.2025</t>
  </si>
  <si>
    <t>09.10.2025</t>
  </si>
  <si>
    <t>1309627</t>
  </si>
  <si>
    <t>1309620</t>
  </si>
  <si>
    <t>1309621</t>
  </si>
  <si>
    <t>Graz, Steiermärk. Krankenanstaltenges. A</t>
  </si>
  <si>
    <t>1309632</t>
  </si>
  <si>
    <t>10.10.2025</t>
  </si>
  <si>
    <t>Steiermärkische EU</t>
  </si>
  <si>
    <t>Graz, Steiermär</t>
  </si>
  <si>
    <t>Carlson Medical GmbH</t>
  </si>
  <si>
    <t>1309642</t>
  </si>
  <si>
    <t>11.09.2025</t>
  </si>
  <si>
    <t>11.10.2025</t>
  </si>
  <si>
    <t>Carlson Medical</t>
  </si>
  <si>
    <t>Eltville, ARTHROVISION GmbH</t>
  </si>
  <si>
    <t>1309648</t>
  </si>
  <si>
    <t>Maxxspine Innovative GmbH</t>
  </si>
  <si>
    <t>Eltville, ARTHR</t>
  </si>
  <si>
    <t>1309657</t>
  </si>
  <si>
    <t>12.10.2025</t>
  </si>
  <si>
    <t>St. Vincenz-Krankenhaus Datteln</t>
  </si>
  <si>
    <t>ZK: St. Vincenz-Krankenhaus Datteln</t>
  </si>
  <si>
    <t>1309659</t>
  </si>
  <si>
    <t>1500262</t>
  </si>
  <si>
    <t>1309658</t>
  </si>
  <si>
    <t>ZK: St. Josef Krankenhaus</t>
  </si>
  <si>
    <t>1309668</t>
  </si>
  <si>
    <t>15.09.2025</t>
  </si>
  <si>
    <t>15.10.2025</t>
  </si>
  <si>
    <t>Amsterdam, Sanquin Blood Supply NL806388</t>
  </si>
  <si>
    <t>1309667</t>
  </si>
  <si>
    <t>Sanquin Bloedvoorziening EU</t>
  </si>
  <si>
    <t>Amsterdam, Sanq</t>
  </si>
  <si>
    <t>1309671</t>
  </si>
  <si>
    <t>1309669</t>
  </si>
  <si>
    <t>1309676</t>
  </si>
  <si>
    <t>16.09.2025</t>
  </si>
  <si>
    <t>16.10.2025</t>
  </si>
  <si>
    <t>1309675</t>
  </si>
  <si>
    <t>Berlin, TAGESKLINIK ESPLANADE</t>
  </si>
  <si>
    <t>ZK: Berlin, TAGESKLINIK ESPLANADE</t>
  </si>
  <si>
    <t>1309704</t>
  </si>
  <si>
    <t>17.10.2025</t>
  </si>
  <si>
    <t>1309697</t>
  </si>
  <si>
    <t>1309700</t>
  </si>
  <si>
    <t>1309702</t>
  </si>
  <si>
    <t>1309698</t>
  </si>
  <si>
    <t>1309719</t>
  </si>
  <si>
    <t>18.10.2025</t>
  </si>
  <si>
    <t>1309717</t>
  </si>
  <si>
    <t>1309730</t>
  </si>
  <si>
    <t>19.10.2025</t>
  </si>
  <si>
    <t>Bad Salzufler Dialysezentrum</t>
  </si>
  <si>
    <t>1309731</t>
  </si>
  <si>
    <t>1309735</t>
  </si>
  <si>
    <t>1309737</t>
  </si>
  <si>
    <t>1309739</t>
  </si>
  <si>
    <t>1309728</t>
  </si>
  <si>
    <t>W   Diverse IL</t>
  </si>
  <si>
    <t>4300911</t>
  </si>
  <si>
    <t>Kreiskrankenhaus Weilburg gGmbH</t>
  </si>
  <si>
    <t>4300902</t>
  </si>
  <si>
    <t>4300903</t>
  </si>
  <si>
    <t>4300904</t>
  </si>
  <si>
    <t>4300905</t>
  </si>
  <si>
    <t>4300906</t>
  </si>
  <si>
    <t>4300907</t>
  </si>
  <si>
    <t>4300908</t>
  </si>
  <si>
    <t>4300909</t>
  </si>
  <si>
    <t>1309729</t>
  </si>
  <si>
    <t>Friedrichshafen, Gemeinschaftspraxis</t>
  </si>
  <si>
    <t>1309742</t>
  </si>
  <si>
    <t>22.09.2025</t>
  </si>
  <si>
    <t>22.10.2025</t>
  </si>
  <si>
    <t>Gemeinschaftspraxis für Innere Medizin</t>
  </si>
  <si>
    <t>Werastrasse 33</t>
  </si>
  <si>
    <t>88045</t>
  </si>
  <si>
    <t>Friedrichshafen</t>
  </si>
  <si>
    <t>+49 7541 92180</t>
  </si>
  <si>
    <t>1309746</t>
  </si>
  <si>
    <t>1309741</t>
  </si>
  <si>
    <t>1309743</t>
  </si>
  <si>
    <t>Wiesbaden, Aukamm-Apotheke</t>
  </si>
  <si>
    <t>1309760</t>
  </si>
  <si>
    <t>23.09.2025</t>
  </si>
  <si>
    <t>23.10.2025</t>
  </si>
  <si>
    <t>1309755</t>
  </si>
  <si>
    <t>Heiligenstadt, Nieren- u. Dialysezentrum</t>
  </si>
  <si>
    <t>1309749</t>
  </si>
  <si>
    <t>Nieren- und Dialysezentrum Eichsfeld</t>
  </si>
  <si>
    <t xml:space="preserve">Heiligenstadt, </t>
  </si>
  <si>
    <t>1309759</t>
  </si>
  <si>
    <t>1309747</t>
  </si>
  <si>
    <t>1309758</t>
  </si>
  <si>
    <t>1309756</t>
  </si>
  <si>
    <t>1309750</t>
  </si>
  <si>
    <t>1309753</t>
  </si>
  <si>
    <t>1309761</t>
  </si>
  <si>
    <t>1309752</t>
  </si>
  <si>
    <t>1309754</t>
  </si>
  <si>
    <t xml:space="preserve">Schaffhausen, Praxis Dr. Ruth Robertson </t>
  </si>
  <si>
    <t>1309757</t>
  </si>
  <si>
    <t>Zentrum für ärztliche</t>
  </si>
  <si>
    <t>Schaffhausen, P</t>
  </si>
  <si>
    <t>1309770</t>
  </si>
  <si>
    <t>24.10.2025</t>
  </si>
  <si>
    <t>Frankfurt, BG-Unfallklinik</t>
  </si>
  <si>
    <t>1309766</t>
  </si>
  <si>
    <t>BG-Unfallklinik</t>
  </si>
  <si>
    <t>Frankfurt, BG-U</t>
  </si>
  <si>
    <t>1309764</t>
  </si>
  <si>
    <t>Heilbronn, Medical Praxisbedarf GmbH</t>
  </si>
  <si>
    <t>ZK: Heilbronn, Medical Praxisbedarf GmbH</t>
  </si>
  <si>
    <t>1309773</t>
  </si>
  <si>
    <t>1309776</t>
  </si>
  <si>
    <t>1309777</t>
  </si>
  <si>
    <t>1309778</t>
  </si>
  <si>
    <t>1309779</t>
  </si>
  <si>
    <t>1309780</t>
  </si>
  <si>
    <t>1309762</t>
  </si>
  <si>
    <t>1309767</t>
  </si>
  <si>
    <t>1309771</t>
  </si>
  <si>
    <t>1309772</t>
  </si>
  <si>
    <t>1309774</t>
  </si>
  <si>
    <t>1309769</t>
  </si>
  <si>
    <t>1309775</t>
  </si>
  <si>
    <t>1309782</t>
  </si>
  <si>
    <t>25.10.2025</t>
  </si>
  <si>
    <t>1309781</t>
  </si>
  <si>
    <t>1309790</t>
  </si>
  <si>
    <t>Mannheim, Nierenzentrum</t>
  </si>
  <si>
    <t>2300498</t>
  </si>
  <si>
    <t>DTZ Dialyse Trainings-Zentren GmbH</t>
  </si>
  <si>
    <t>Mannheim, Niere</t>
  </si>
  <si>
    <t>2300499</t>
  </si>
  <si>
    <t>2300500</t>
  </si>
  <si>
    <t>Neuwied, Lohmann &amp; Rauscher</t>
  </si>
  <si>
    <t>1309785</t>
  </si>
  <si>
    <t>Lohmann &amp; Rauscher GmbH &amp; Co. KG</t>
  </si>
  <si>
    <t>Neuwied, Lohman</t>
  </si>
  <si>
    <t>2300501</t>
  </si>
  <si>
    <t>1309789</t>
  </si>
  <si>
    <t>1309788</t>
  </si>
  <si>
    <t>1309796</t>
  </si>
  <si>
    <t>26.10.2025</t>
  </si>
  <si>
    <t>Berlin, MVZ an der Evangelischen</t>
  </si>
  <si>
    <t>1309791</t>
  </si>
  <si>
    <t>1309795</t>
  </si>
  <si>
    <t>1309797</t>
  </si>
  <si>
    <t>1309798</t>
  </si>
  <si>
    <t>1309799</t>
  </si>
  <si>
    <t>1309801</t>
  </si>
  <si>
    <t>1309794</t>
  </si>
  <si>
    <t>1309793</t>
  </si>
  <si>
    <t>Johannes Wesling Klinikum Minden</t>
  </si>
  <si>
    <t>1309792</t>
  </si>
  <si>
    <t>1309800</t>
  </si>
  <si>
    <t>2300502</t>
  </si>
  <si>
    <t>1309802</t>
  </si>
  <si>
    <t>29.09.2025</t>
  </si>
  <si>
    <t>29.10.2025</t>
  </si>
  <si>
    <t>1309804</t>
  </si>
  <si>
    <t>Buxheim, ACT Medical Center</t>
  </si>
  <si>
    <t>1309805</t>
  </si>
  <si>
    <t>ACT Medical Center GmbH</t>
  </si>
  <si>
    <t>Buxheim, ACT Me</t>
  </si>
  <si>
    <t>Essen, Nephrologische Praxis</t>
  </si>
  <si>
    <t>1309808</t>
  </si>
  <si>
    <t>Dialyse-und Lipid-Zentrum Nordrhein</t>
  </si>
  <si>
    <t>Essen, Nephrolo</t>
  </si>
  <si>
    <t>Hagen, DRK Blutspendedienst West gGmbH</t>
  </si>
  <si>
    <t>1309809</t>
  </si>
  <si>
    <t>DRK-Blutspendedienst West gGmbH</t>
  </si>
  <si>
    <t>Feithstrasse 180-186</t>
  </si>
  <si>
    <t>58097</t>
  </si>
  <si>
    <t>Hagen</t>
  </si>
  <si>
    <t>Institut für Virusinaktivierung</t>
  </si>
  <si>
    <t>Hagen, DRK Blut</t>
  </si>
  <si>
    <t>+49 2331 807-0</t>
  </si>
  <si>
    <t>4300912</t>
  </si>
  <si>
    <t>Mannheim, Fast Forward Discoveries GmbH</t>
  </si>
  <si>
    <t>1309806</t>
  </si>
  <si>
    <t>1309803</t>
  </si>
  <si>
    <t>ZK: Ravensburg, Promed Bubser GmbH</t>
  </si>
  <si>
    <t>1309807</t>
  </si>
  <si>
    <t>4300913</t>
  </si>
  <si>
    <t>4300914</t>
  </si>
  <si>
    <t>4300915</t>
  </si>
  <si>
    <t>4300916</t>
  </si>
  <si>
    <t>4300917</t>
  </si>
  <si>
    <t>4300918</t>
  </si>
  <si>
    <t>4300919</t>
  </si>
  <si>
    <t>4300920</t>
  </si>
  <si>
    <t>4300921</t>
  </si>
  <si>
    <t>4300922</t>
  </si>
  <si>
    <t>4300923</t>
  </si>
  <si>
    <t>4300924</t>
  </si>
  <si>
    <t>4300925</t>
  </si>
  <si>
    <t>4300926</t>
  </si>
  <si>
    <t>1309815</t>
  </si>
  <si>
    <t>30.09.2025</t>
  </si>
  <si>
    <t>30.10.2025</t>
  </si>
  <si>
    <t>1309839</t>
  </si>
  <si>
    <t>1309816</t>
  </si>
  <si>
    <t>Barkelsby, Praevivo med GmbH</t>
  </si>
  <si>
    <t>1309836</t>
  </si>
  <si>
    <t>ZK: Bensheim, Praxis</t>
  </si>
  <si>
    <t>Bensheim, Praxis</t>
  </si>
  <si>
    <t>1309847</t>
  </si>
  <si>
    <t>Dialyse Bochum, Dr. med. Lutz Fricke</t>
  </si>
  <si>
    <t>4300929</t>
  </si>
  <si>
    <t>1309810</t>
  </si>
  <si>
    <t>1309818</t>
  </si>
  <si>
    <t>1309819</t>
  </si>
  <si>
    <t>1309843</t>
  </si>
  <si>
    <t>1309822</t>
  </si>
  <si>
    <t>1309838</t>
  </si>
  <si>
    <t>Städtisches Klinikum Dessau</t>
  </si>
  <si>
    <t>ZK: Städtisches Klinikum Dessau</t>
  </si>
  <si>
    <t>2300503</t>
  </si>
  <si>
    <t>2300504</t>
  </si>
  <si>
    <t>2300505</t>
  </si>
  <si>
    <t>Diepholz, Dialyse</t>
  </si>
  <si>
    <t>1309823</t>
  </si>
  <si>
    <t>Dialyse Diepholz</t>
  </si>
  <si>
    <t>Diepholz, Dialy</t>
  </si>
  <si>
    <t>1309844</t>
  </si>
  <si>
    <t>1309811</t>
  </si>
  <si>
    <t>1309840</t>
  </si>
  <si>
    <t>1309835</t>
  </si>
  <si>
    <t>FGI Fachhandelsgesellschaft</t>
  </si>
  <si>
    <t>1309842</t>
  </si>
  <si>
    <t>1309820</t>
  </si>
  <si>
    <t>1309821</t>
  </si>
  <si>
    <t>Geilenkirchen, St. Elisabeth Krankenhaus</t>
  </si>
  <si>
    <t>1309814</t>
  </si>
  <si>
    <t>St. Elisabeth Krankenhaus Geilenkirchen</t>
  </si>
  <si>
    <t xml:space="preserve">Geilenkirchen, </t>
  </si>
  <si>
    <t>1309813</t>
  </si>
  <si>
    <t>Hofheim, OPTISERV GmbH</t>
  </si>
  <si>
    <t>1309846</t>
  </si>
  <si>
    <t>Hamburg, Gemeinschaftspraxis, Walddörfer Dialyse</t>
  </si>
  <si>
    <t>2025911098</t>
  </si>
  <si>
    <t>Manfred Meyer GmbH &amp; Co. KG</t>
  </si>
  <si>
    <t>1309837</t>
  </si>
  <si>
    <t>1309824</t>
  </si>
  <si>
    <t>1309825</t>
  </si>
  <si>
    <t>1309826</t>
  </si>
  <si>
    <t>1309827</t>
  </si>
  <si>
    <t>1309828</t>
  </si>
  <si>
    <t>1309829</t>
  </si>
  <si>
    <t>1309830</t>
  </si>
  <si>
    <t>1309831</t>
  </si>
  <si>
    <t>1309832</t>
  </si>
  <si>
    <t>1309833</t>
  </si>
  <si>
    <t>1309834</t>
  </si>
  <si>
    <t>1309848</t>
  </si>
  <si>
    <t>1309849</t>
  </si>
  <si>
    <t>1309850</t>
  </si>
  <si>
    <t>1309851</t>
  </si>
  <si>
    <t>Offenburg, Orthoklinik</t>
  </si>
  <si>
    <t>1309841</t>
  </si>
  <si>
    <t>Orthoklinik Offenburg</t>
  </si>
  <si>
    <t>Offenburg, Orth</t>
  </si>
  <si>
    <t>1309812</t>
  </si>
  <si>
    <t>ZK: ProServ</t>
  </si>
  <si>
    <t>4300927</t>
  </si>
  <si>
    <t>4300928</t>
  </si>
  <si>
    <t>1309845</t>
  </si>
  <si>
    <t>1309817</t>
  </si>
  <si>
    <t>1800017</t>
  </si>
  <si>
    <t>Kanzlei-Rechnungswesen - RW - 19683/167/2024 / Meise GmbH -  OPOS-Liste (Kreditoren) - Posten</t>
  </si>
  <si>
    <t>Medica S.P.A. IT01604300366</t>
  </si>
  <si>
    <t>1882/2022</t>
  </si>
  <si>
    <t>01.01.2024</t>
  </si>
  <si>
    <t>Medica Storno Ausbuchung EU 01.01.2023 EU</t>
  </si>
  <si>
    <t>12-2024/JA15</t>
  </si>
  <si>
    <t>Medica S.P.A. I</t>
  </si>
  <si>
    <t>United Parcel Service</t>
  </si>
  <si>
    <t>834411321</t>
  </si>
  <si>
    <t>06.05.2024</t>
  </si>
  <si>
    <t>05.06.2024</t>
  </si>
  <si>
    <t>United Parcel S</t>
  </si>
  <si>
    <t>EC Innovations SAS FR71948837174</t>
  </si>
  <si>
    <t>37</t>
  </si>
  <si>
    <t>27.08.2024</t>
  </si>
  <si>
    <t>EC Innovations SAS</t>
  </si>
  <si>
    <t xml:space="preserve">EC Innovations </t>
  </si>
  <si>
    <t>F. M. S.p.A. IT01240770022</t>
  </si>
  <si>
    <t>24001003F0</t>
  </si>
  <si>
    <t>F. M. S.p.A. IT</t>
  </si>
  <si>
    <t>24001056F0</t>
  </si>
  <si>
    <t>28.10.2024</t>
  </si>
  <si>
    <t>4200</t>
  </si>
  <si>
    <t>24001064F0</t>
  </si>
  <si>
    <t>Guthaben</t>
  </si>
  <si>
    <t>MedNovum Co., Ltd. / Kanada</t>
  </si>
  <si>
    <t>17/MedCan-2024</t>
  </si>
  <si>
    <t>MedNovum Co., Ltd.</t>
  </si>
  <si>
    <t>12-2024/0010</t>
  </si>
  <si>
    <t>MedNovum Co., L</t>
  </si>
  <si>
    <t>Haemotronic S.P.A. IT00227070232</t>
  </si>
  <si>
    <t>NF-2424/00704/VE</t>
  </si>
  <si>
    <t>Haemotronic EU</t>
  </si>
  <si>
    <t>Haemotronic S.P</t>
  </si>
  <si>
    <t>SIS-Ter S.p.A. IT00975820192</t>
  </si>
  <si>
    <t>2205076992</t>
  </si>
  <si>
    <t>SIS-TER S.p.A. EU</t>
  </si>
  <si>
    <t xml:space="preserve">SIS-Ter S.p.A. </t>
  </si>
  <si>
    <t>24001109F0</t>
  </si>
  <si>
    <t>B6447768</t>
  </si>
  <si>
    <t>DIN Media GmbH</t>
  </si>
  <si>
    <t>2617/2024</t>
  </si>
  <si>
    <t>Medica S.P.A. EU</t>
  </si>
  <si>
    <t>U   Diverse IL</t>
  </si>
  <si>
    <t>DE1M24-0251</t>
  </si>
  <si>
    <t>25.12.2024</t>
  </si>
  <si>
    <t>ULMA Packaging GmbH</t>
  </si>
  <si>
    <t>24001152F0</t>
  </si>
  <si>
    <t>23.02.2025</t>
  </si>
  <si>
    <t>24001167F0</t>
  </si>
  <si>
    <t>Amazon EU S.à.r.l.</t>
  </si>
  <si>
    <t>CZ4YGDXAEUI</t>
  </si>
  <si>
    <t>01.12.2024</t>
  </si>
  <si>
    <t>Amazon EU S.à.r</t>
  </si>
  <si>
    <t>INVDE2451183932024266</t>
  </si>
  <si>
    <t>02.12.2024</t>
  </si>
  <si>
    <t>01.01.2025</t>
  </si>
  <si>
    <t>Amazon.de</t>
  </si>
  <si>
    <t>Wipak Oy FI20791815</t>
  </si>
  <si>
    <t>2190172320</t>
  </si>
  <si>
    <t>Wipak Oy</t>
  </si>
  <si>
    <t>Wipak Oy FI2079</t>
  </si>
  <si>
    <t>1QWC-KRK4-TM33</t>
  </si>
  <si>
    <t>24001177F0</t>
  </si>
  <si>
    <t>03.03.2025</t>
  </si>
  <si>
    <t>DE43UVL7IAEUI</t>
  </si>
  <si>
    <t>DE43UVYBRAEUI</t>
  </si>
  <si>
    <t>DE43UW670AEUI</t>
  </si>
  <si>
    <t>INVDE16206371120246904</t>
  </si>
  <si>
    <t>819268404</t>
  </si>
  <si>
    <t>FedEx Express Deutschland GmbH</t>
  </si>
  <si>
    <t>2762/2024</t>
  </si>
  <si>
    <t>02.02.2025</t>
  </si>
  <si>
    <t>ZK: Medica S.P.A. EU</t>
  </si>
  <si>
    <t>2763/2024</t>
  </si>
  <si>
    <t>Afersmart 76004724 Medica S.P.A. EU</t>
  </si>
  <si>
    <t>Afersmart 76004824 Medica S.P.A. EU</t>
  </si>
  <si>
    <t>Afersmart 76005124 Medica S.P.A. EU</t>
  </si>
  <si>
    <t>Afersmart 76005224 Medica S.P.A. EU</t>
  </si>
  <si>
    <t>Afersmart 76005324 Medica S.P.A. EU</t>
  </si>
  <si>
    <t>11PF-43ND-WC93</t>
  </si>
  <si>
    <t>1XGH-QR17-W7WT</t>
  </si>
  <si>
    <t>DE43VM9YVAEUI</t>
  </si>
  <si>
    <t>93126</t>
  </si>
  <si>
    <t>Mednet GmbH</t>
  </si>
  <si>
    <t>ZK: Mednet GmbH</t>
  </si>
  <si>
    <t>467671</t>
  </si>
  <si>
    <t>Profi Label GmbH &amp; Co. KG</t>
  </si>
  <si>
    <t>ZK: Profi Label GmbH &amp; Co. KG</t>
  </si>
  <si>
    <t>819279921</t>
  </si>
  <si>
    <t>VitaloPackaging Slovakia s.r.o. SK202197</t>
  </si>
  <si>
    <t>624001818</t>
  </si>
  <si>
    <t>VitaloPackaging Slovakia s.r.o. EU</t>
  </si>
  <si>
    <t>VitaloPackaging</t>
  </si>
  <si>
    <t>ZK: VitaloPackaging Slovakia s.r.o. EU</t>
  </si>
  <si>
    <t>320245905913</t>
  </si>
  <si>
    <t>Büromarkt Böttcher AG</t>
  </si>
  <si>
    <t>Office Discount</t>
  </si>
  <si>
    <t>144078655</t>
  </si>
  <si>
    <t>GVS S.p.A. IT00644831208</t>
  </si>
  <si>
    <t>NF-2424/001514/VE</t>
  </si>
  <si>
    <t>GVS S.p.A. EU</t>
  </si>
  <si>
    <t>GVS S.p.A. IT00</t>
  </si>
  <si>
    <t>1PN4-GF7Q-CR4H</t>
  </si>
  <si>
    <t>1Q3T-KRML-CT6F</t>
  </si>
  <si>
    <t>240367</t>
  </si>
  <si>
    <t>Bell Verlag &amp; Medien</t>
  </si>
  <si>
    <t>240368</t>
  </si>
  <si>
    <t>Meding GmbH</t>
  </si>
  <si>
    <t>61314</t>
  </si>
  <si>
    <t>Kruppstraße 8</t>
  </si>
  <si>
    <t>58553</t>
  </si>
  <si>
    <t>Halver-Oeckinghausen</t>
  </si>
  <si>
    <t>Deutschland</t>
  </si>
  <si>
    <t>PL44CV0QAEUI</t>
  </si>
  <si>
    <t>93212</t>
  </si>
  <si>
    <t>1HVD-DKLN-7TC6</t>
  </si>
  <si>
    <t>24001229F0</t>
  </si>
  <si>
    <t>104/2025</t>
  </si>
  <si>
    <t>11.02.2025</t>
  </si>
  <si>
    <t>Medica S.P.A. EU für Rg.2866/2024 (Lieferung 12 2024) EU</t>
  </si>
  <si>
    <t>2864/2024</t>
  </si>
  <si>
    <t>2865/2024</t>
  </si>
  <si>
    <t>2867/2024</t>
  </si>
  <si>
    <t>2868/2024</t>
  </si>
  <si>
    <t>2869/2024</t>
  </si>
  <si>
    <t>BGS</t>
  </si>
  <si>
    <t>34643370</t>
  </si>
  <si>
    <t>467727</t>
  </si>
  <si>
    <t>2410001179</t>
  </si>
  <si>
    <t>Modula GmbH</t>
  </si>
  <si>
    <t>12-2024/0009</t>
  </si>
  <si>
    <t>2410001200</t>
  </si>
  <si>
    <t>Kabo s.r.l. IT01869310340</t>
  </si>
  <si>
    <t>390/2024/V1</t>
  </si>
  <si>
    <t>KABO s.r.l. EU</t>
  </si>
  <si>
    <t>Kabo s.r.l. IT0</t>
  </si>
  <si>
    <t>34643533</t>
  </si>
  <si>
    <t>2205077365</t>
  </si>
  <si>
    <t>INVDE133015081202420461</t>
  </si>
  <si>
    <t>1368349</t>
  </si>
  <si>
    <t>Leseberg Automobile GmbH</t>
  </si>
  <si>
    <t>38500/2024/12/005</t>
  </si>
  <si>
    <t>Südwestfalen-Revision GmbH</t>
  </si>
  <si>
    <t>ALFAService S.r..l.</t>
  </si>
  <si>
    <t>240858</t>
  </si>
  <si>
    <t>Roller D.40 ALFAService S.r.l. EU</t>
  </si>
  <si>
    <t>ALFAService S.r</t>
  </si>
  <si>
    <t>181210806</t>
  </si>
  <si>
    <t>Dachser SE</t>
  </si>
  <si>
    <t>2402999</t>
  </si>
  <si>
    <t>Hamburg Messe und Congress GmbH</t>
  </si>
  <si>
    <t>36273426</t>
  </si>
  <si>
    <t>Toshiba TEC Germany Imaging Systems GmbH</t>
  </si>
  <si>
    <t>ÜDAS Hagebölling GmbH</t>
  </si>
  <si>
    <t>54616</t>
  </si>
  <si>
    <t>ÜDAS Hageböllin</t>
  </si>
  <si>
    <t>20240923</t>
  </si>
  <si>
    <t>WDS Druckluft Service GmbH</t>
  </si>
  <si>
    <t>1MCF-CJ3P-GRFQ</t>
  </si>
  <si>
    <t>2401322</t>
  </si>
  <si>
    <t>Auto-Technik &amp; Lack-Centrum GmbH</t>
  </si>
  <si>
    <t>20241203</t>
  </si>
  <si>
    <t>ABEXSO Logistik</t>
  </si>
  <si>
    <t>34643867</t>
  </si>
  <si>
    <t>C   Diverse IL</t>
  </si>
  <si>
    <t>202445133</t>
  </si>
  <si>
    <t>CA Vending Krugmann GmbH &amp; Co. KG</t>
  </si>
  <si>
    <t>181211068</t>
  </si>
  <si>
    <t>2411396</t>
  </si>
  <si>
    <t>W. Linnepe KG</t>
  </si>
  <si>
    <t>N   Diverse IL</t>
  </si>
  <si>
    <t>R24/302382</t>
  </si>
  <si>
    <t>Nölke GmbH</t>
  </si>
  <si>
    <t>281791</t>
  </si>
  <si>
    <t>stewe Dienstleistungen GmbH</t>
  </si>
  <si>
    <t>FRAM014141C01</t>
  </si>
  <si>
    <t>FRAM014157C01</t>
  </si>
  <si>
    <t>Trans-Bavaria GmbH</t>
  </si>
  <si>
    <t>815034</t>
  </si>
  <si>
    <t>Trans-Bavaria G</t>
  </si>
  <si>
    <t>54661</t>
  </si>
  <si>
    <t>Margi S.r.l. IT00617450143</t>
  </si>
  <si>
    <t>0</t>
  </si>
  <si>
    <t>Margi S.r.l EU</t>
  </si>
  <si>
    <t>Margi S.r.l. IT</t>
  </si>
  <si>
    <t>50179077</t>
  </si>
  <si>
    <t>20.01.2025</t>
  </si>
  <si>
    <t>ITSG Informationstechnische</t>
  </si>
  <si>
    <t>171</t>
  </si>
  <si>
    <t>AGTF e.V. Deutschland</t>
  </si>
  <si>
    <t>5901225-4408</t>
  </si>
  <si>
    <t>Hotel Dresel</t>
  </si>
  <si>
    <t>20242544</t>
  </si>
  <si>
    <t>ah Axel Hüttebräucker 2023</t>
  </si>
  <si>
    <t>Lubin &amp; Hiller GmbH</t>
  </si>
  <si>
    <t>60536050</t>
  </si>
  <si>
    <t>EGU</t>
  </si>
  <si>
    <t xml:space="preserve">Lubin &amp; Hiller </t>
  </si>
  <si>
    <t>34643962</t>
  </si>
  <si>
    <t>202445196</t>
  </si>
  <si>
    <t>2024-17</t>
  </si>
  <si>
    <t>Ejder Cindemir</t>
  </si>
  <si>
    <t>107699</t>
  </si>
  <si>
    <t>DT-Med. Schippers GmbH</t>
  </si>
  <si>
    <t>5901225-4443</t>
  </si>
  <si>
    <t>Klefinghaus GmbH</t>
  </si>
  <si>
    <t>1086677</t>
  </si>
  <si>
    <t>Pressluft Klefinghaus GmbH</t>
  </si>
  <si>
    <t>Klefinghaus Gmb</t>
  </si>
  <si>
    <t>819346240</t>
  </si>
  <si>
    <t>9011686233</t>
  </si>
  <si>
    <t>Testo Industrial Services</t>
  </si>
  <si>
    <t>819362642</t>
  </si>
  <si>
    <t>24.12.2024</t>
  </si>
  <si>
    <t>23.01.2025</t>
  </si>
  <si>
    <t>8043544770</t>
  </si>
  <si>
    <t>MEWA Textil-Service AG &amp; Co.</t>
  </si>
  <si>
    <t>A   Diverse DL</t>
  </si>
  <si>
    <t>EI258000002</t>
  </si>
  <si>
    <t>28.12.2024</t>
  </si>
  <si>
    <t>27.01.2025</t>
  </si>
  <si>
    <t>Alrex Alpha ltd.</t>
  </si>
  <si>
    <t>2400215</t>
  </si>
  <si>
    <t>Duomedica GmbH</t>
  </si>
  <si>
    <t>1/2024</t>
  </si>
  <si>
    <t>HzMs Invest GmbH &amp; Co. KG</t>
  </si>
  <si>
    <t>2/2024</t>
  </si>
  <si>
    <t>Lobbe Entsorgung GmbH</t>
  </si>
  <si>
    <t>50012724873</t>
  </si>
  <si>
    <t>Lobbe Entsorgun</t>
  </si>
  <si>
    <t>819366847</t>
  </si>
  <si>
    <t>Emergo Europe BV NL806214557B01</t>
  </si>
  <si>
    <t>38810007237</t>
  </si>
  <si>
    <t>Emergo Europe BV</t>
  </si>
  <si>
    <t>Emergo Europe B</t>
  </si>
  <si>
    <t>8567124</t>
  </si>
  <si>
    <t>Hees GmbH</t>
  </si>
  <si>
    <t>MS-05409</t>
  </si>
  <si>
    <t>Brandenburg &amp; Partner</t>
  </si>
  <si>
    <t>18024</t>
  </si>
  <si>
    <t>Dickhagen Elektrotechnik</t>
  </si>
  <si>
    <t>896079766</t>
  </si>
  <si>
    <t>DOKOM21</t>
  </si>
  <si>
    <t>754603057</t>
  </si>
  <si>
    <t>Ev. Johanneswerk gGmbH</t>
  </si>
  <si>
    <t>R/2024/04069</t>
  </si>
  <si>
    <t>Fruitsnacks Germany FSG GmbH</t>
  </si>
  <si>
    <t>RE-24-1086</t>
  </si>
  <si>
    <t>FACT-Werbeagentur GmbH</t>
  </si>
  <si>
    <t>75790034</t>
  </si>
  <si>
    <t>Kühne + Nagel (AG &amp; Co.) KG</t>
  </si>
  <si>
    <t>O   Diverse IL</t>
  </si>
  <si>
    <t>374913</t>
  </si>
  <si>
    <t>Elis Textilmanagement GmbH</t>
  </si>
  <si>
    <t>9011687089</t>
  </si>
  <si>
    <t>RE2024121068</t>
  </si>
  <si>
    <t>Gebr. Zobel &amp; Co. Speditions GmbH</t>
  </si>
  <si>
    <t>1102217</t>
  </si>
  <si>
    <t>Merz Work-Group GmbH</t>
  </si>
  <si>
    <t>SCH Diverse IL</t>
  </si>
  <si>
    <t>202510010</t>
  </si>
  <si>
    <t>Siegfried Scholz</t>
  </si>
  <si>
    <t>M25R00017</t>
  </si>
  <si>
    <t>07.02.2025</t>
  </si>
  <si>
    <t>HEB Service GmbH</t>
  </si>
  <si>
    <t>2025141</t>
  </si>
  <si>
    <t>09.02.2025</t>
  </si>
  <si>
    <t>Hüttebräucker</t>
  </si>
  <si>
    <t>021100952832</t>
  </si>
  <si>
    <t>Stadtwerke Heidelberg Strom 12 2024</t>
  </si>
  <si>
    <t>R24/25-0095</t>
  </si>
  <si>
    <t>Lars Geck</t>
  </si>
  <si>
    <t>309950</t>
  </si>
  <si>
    <t>22.03.2025</t>
  </si>
  <si>
    <t>WTS Rüdiger Grau GmbH</t>
  </si>
  <si>
    <t>133522819</t>
  </si>
  <si>
    <t>29.03.2025</t>
  </si>
  <si>
    <t>TransMIT GmbH IV 2024</t>
  </si>
  <si>
    <t>Kanzlei-Rechnungswesen - RW - 19683/167/2025 / Meise GmbH -  OPOS-Liste (Kreditoren) - Posten - Sep</t>
  </si>
  <si>
    <t>2025-41876</t>
  </si>
  <si>
    <t>Conventus GmbH</t>
  </si>
  <si>
    <t>Sep25</t>
  </si>
  <si>
    <t>25000651F0</t>
  </si>
  <si>
    <t>06.10.2025</t>
  </si>
  <si>
    <t>25000675F0</t>
  </si>
  <si>
    <t>11.07.2025</t>
  </si>
  <si>
    <t>25000724F0</t>
  </si>
  <si>
    <t>28.07.2025</t>
  </si>
  <si>
    <t>25000743F0</t>
  </si>
  <si>
    <t>25000750F0</t>
  </si>
  <si>
    <t>2500825</t>
  </si>
  <si>
    <t>SB, Auto-Technik &amp; Lack-Centrum GmbH</t>
  </si>
  <si>
    <t>2205079434</t>
  </si>
  <si>
    <t>22556149</t>
  </si>
  <si>
    <t>Frank Gräfe</t>
  </si>
  <si>
    <t>Borla IT03748390014</t>
  </si>
  <si>
    <t>4765/2025/FD</t>
  </si>
  <si>
    <t>Borla EU</t>
  </si>
  <si>
    <t>Borla IT0374839</t>
  </si>
  <si>
    <t>820401105</t>
  </si>
  <si>
    <t>IT5000QJK5WO5I</t>
  </si>
  <si>
    <t>IT5001M0E5J2JI</t>
  </si>
  <si>
    <t>Infomed SAS FR87533237640</t>
  </si>
  <si>
    <t>9103-4025</t>
  </si>
  <si>
    <t>Infomed SA EU</t>
  </si>
  <si>
    <t>Infomed SAS FR8</t>
  </si>
  <si>
    <t>DE534PIC8AEUI</t>
  </si>
  <si>
    <t>930581931</t>
  </si>
  <si>
    <t>Südwestfälische IHK-Beitrag 2023</t>
  </si>
  <si>
    <t>820410203</t>
  </si>
  <si>
    <t>H.M.C. Premedical S.p.A. IT02504130366</t>
  </si>
  <si>
    <t>25V2-00929</t>
  </si>
  <si>
    <t>07.11.2025</t>
  </si>
  <si>
    <t>H.M.C Premedical S.p.A. EU</t>
  </si>
  <si>
    <t>H.M.C. Premedic</t>
  </si>
  <si>
    <t>DE50014MQOGWFI</t>
  </si>
  <si>
    <t>DE50FAAZ7471PI</t>
  </si>
  <si>
    <t>DE536GJ7IAEUI</t>
  </si>
  <si>
    <t>20251476/16811</t>
  </si>
  <si>
    <t>Cohausz · Hannig · Borkowski · Wißgott</t>
  </si>
  <si>
    <t>96078</t>
  </si>
  <si>
    <t>492317</t>
  </si>
  <si>
    <t>Steris Deutschland GmbH</t>
  </si>
  <si>
    <t>NF-2525/00469/V2</t>
  </si>
  <si>
    <t>08.11.2025</t>
  </si>
  <si>
    <t>1GQ3-HY1M-NR4L</t>
  </si>
  <si>
    <t>DE500X55CNYX7I</t>
  </si>
  <si>
    <t>RE-2509-003</t>
  </si>
  <si>
    <t>adjutem GmbH</t>
  </si>
  <si>
    <t>868199044</t>
  </si>
  <si>
    <t>1MMQ-GKK7-1RWK</t>
  </si>
  <si>
    <t>Bosch Induktionskochfeld, Amazon.de</t>
  </si>
  <si>
    <t>DE537LKTTAEUI</t>
  </si>
  <si>
    <t>DE537PDFXAEUI</t>
  </si>
  <si>
    <t>DE537QSABAEUI</t>
  </si>
  <si>
    <t>XX50000HXP4CDT</t>
  </si>
  <si>
    <t>25000840F0</t>
  </si>
  <si>
    <t>11.12.2025</t>
  </si>
  <si>
    <t>IT25-AEUI-12394890</t>
  </si>
  <si>
    <t>IT500LGE1LVPBI</t>
  </si>
  <si>
    <t>IT5013ZGDXVSJI</t>
  </si>
  <si>
    <t xml:space="preserve">Infomed SA / Schweiz </t>
  </si>
  <si>
    <t>SAMMELÜBERWEISUNGKREF+AHN7202509151609001SVWZ+ANZAHL 8</t>
  </si>
  <si>
    <t>Infomed SA / Sc</t>
  </si>
  <si>
    <t>1RCF-1KD6-47V7</t>
  </si>
  <si>
    <t>9210438649</t>
  </si>
  <si>
    <t>Biesterfeld Spezialchemie GmbH</t>
  </si>
  <si>
    <t>2025-45072485</t>
  </si>
  <si>
    <t>Präzisionswaage, Kern &amp; Sohn GmbH</t>
  </si>
  <si>
    <t>Kern &amp; Sohn GmbH</t>
  </si>
  <si>
    <t>96139</t>
  </si>
  <si>
    <t xml:space="preserve">MPH Medical Devices s.r.o. CZ25952374 </t>
  </si>
  <si>
    <t>6145405</t>
  </si>
  <si>
    <t>W.O.M. World of Medicine GmbH EU</t>
  </si>
  <si>
    <t>MPH Medical Dev</t>
  </si>
  <si>
    <t>250205</t>
  </si>
  <si>
    <t>R180773673</t>
  </si>
  <si>
    <t>Engelbert Strauss GmbH &amp; Co. KG</t>
  </si>
  <si>
    <t>Fleima-Plastic GmbH</t>
  </si>
  <si>
    <t>R250908</t>
  </si>
  <si>
    <t xml:space="preserve">Fleima-Plastic </t>
  </si>
  <si>
    <t>ZK: Fleima-Plastic GmbH</t>
  </si>
  <si>
    <t>Raumedic AG</t>
  </si>
  <si>
    <t>22161024</t>
  </si>
  <si>
    <t>INV-SAL000266</t>
  </si>
  <si>
    <t>SAL-GmbH</t>
  </si>
  <si>
    <t>21101073515</t>
  </si>
  <si>
    <t>Stadtwerke Heidelberg</t>
  </si>
  <si>
    <t>GVR25-14045</t>
  </si>
  <si>
    <t>ACE Zydek</t>
  </si>
  <si>
    <t>Comef S.P.A IT00153860366</t>
  </si>
  <si>
    <t>601/2025</t>
  </si>
  <si>
    <t>16.11.2025</t>
  </si>
  <si>
    <t>Comef SRL EU</t>
  </si>
  <si>
    <t>Comef S.P.A IT0</t>
  </si>
  <si>
    <t>ZK: Comef SRL EU</t>
  </si>
  <si>
    <t>2190185354</t>
  </si>
  <si>
    <t>DE5000FASJWXHI</t>
  </si>
  <si>
    <t>34665300</t>
  </si>
  <si>
    <t>2190185402</t>
  </si>
  <si>
    <t>Wipak Oy EU</t>
  </si>
  <si>
    <t>2025038</t>
  </si>
  <si>
    <t>1JWL-9D94-PXF3</t>
  </si>
  <si>
    <t>20.09.2025</t>
  </si>
  <si>
    <t>20.10.2025</t>
  </si>
  <si>
    <t>34665451</t>
  </si>
  <si>
    <t>181272459</t>
  </si>
  <si>
    <t>R250932</t>
  </si>
  <si>
    <t>Güllemann</t>
  </si>
  <si>
    <t>9411-25</t>
  </si>
  <si>
    <t>Güllemann-Druck GmbH</t>
  </si>
  <si>
    <t>Medical Device Services</t>
  </si>
  <si>
    <t>202501920</t>
  </si>
  <si>
    <t>GBA Medical Device Services</t>
  </si>
  <si>
    <t xml:space="preserve">Medical Device </t>
  </si>
  <si>
    <t>Modenplast GmbH</t>
  </si>
  <si>
    <t>2025101565</t>
  </si>
  <si>
    <t>HMExtrusion GmbH</t>
  </si>
  <si>
    <t>Vereinigte Papierwarenfabriken</t>
  </si>
  <si>
    <t>200843979</t>
  </si>
  <si>
    <t>VP</t>
  </si>
  <si>
    <t>Vereinigte Papi</t>
  </si>
  <si>
    <t>Silplast S.r.l.  IT00262650286</t>
  </si>
  <si>
    <t>137</t>
  </si>
  <si>
    <t>21.11.2025</t>
  </si>
  <si>
    <t>Silplast S.r.l. EU</t>
  </si>
  <si>
    <t>Silplast S.r.l.</t>
  </si>
  <si>
    <t>DE623983965-1</t>
  </si>
  <si>
    <t>Kabelbinderzange, Contorion GmbH</t>
  </si>
  <si>
    <t>181272908</t>
  </si>
  <si>
    <t>HPT Hochwertige Pharmatechnik</t>
  </si>
  <si>
    <t>R045537</t>
  </si>
  <si>
    <t>Röchling Medical Solutions SE</t>
  </si>
  <si>
    <t>HPT Hochwertige</t>
  </si>
  <si>
    <t>1105261</t>
  </si>
  <si>
    <t>R   Diverse IL</t>
  </si>
  <si>
    <t>329520781</t>
  </si>
  <si>
    <t>RS Components GmbH</t>
  </si>
  <si>
    <t>253686</t>
  </si>
  <si>
    <t>Breu GmbH</t>
  </si>
  <si>
    <t>95604186</t>
  </si>
  <si>
    <t>Cretschmar MesseCargo GmbH</t>
  </si>
  <si>
    <t>202543555</t>
  </si>
  <si>
    <t>404212440</t>
  </si>
  <si>
    <t>Cytiva Europe GmbH</t>
  </si>
  <si>
    <t>181273090</t>
  </si>
  <si>
    <t>181273193</t>
  </si>
  <si>
    <t>181273261</t>
  </si>
  <si>
    <t>660731</t>
  </si>
  <si>
    <t>Enviro Pack GmbH</t>
  </si>
  <si>
    <t>Lienkämper GmbH &amp; Co. KG</t>
  </si>
  <si>
    <t>425011259</t>
  </si>
  <si>
    <t>Wilh. Lienkämper GmbH &amp; Co. KG</t>
  </si>
  <si>
    <t>Lienkämper GmbH</t>
  </si>
  <si>
    <t>RE25001899</t>
  </si>
  <si>
    <t>W. Stahl</t>
  </si>
  <si>
    <t>34665848</t>
  </si>
  <si>
    <t>2500293</t>
  </si>
  <si>
    <t>181273542</t>
  </si>
  <si>
    <t>FGI mbH</t>
  </si>
  <si>
    <t>800934</t>
  </si>
  <si>
    <t>800952</t>
  </si>
  <si>
    <t>9303094066</t>
  </si>
  <si>
    <t>Greiner Bio-One GmbH</t>
  </si>
  <si>
    <t>1102710</t>
  </si>
  <si>
    <t>9011829961</t>
  </si>
  <si>
    <t>9011830061</t>
  </si>
  <si>
    <t>FR5003BJATKE3I</t>
  </si>
  <si>
    <t>Hangzhou Cobetter Filtration Equipment /</t>
  </si>
  <si>
    <t>LDG11-002</t>
  </si>
  <si>
    <t>Hangzhou Cobetter</t>
  </si>
  <si>
    <t>Hangzhou Cobett</t>
  </si>
  <si>
    <t>2025039</t>
  </si>
  <si>
    <t>253755</t>
  </si>
  <si>
    <t>2500296</t>
  </si>
  <si>
    <t>9303094067</t>
  </si>
  <si>
    <t>9303094097</t>
  </si>
  <si>
    <t>8043666886</t>
  </si>
  <si>
    <t>202502025</t>
  </si>
  <si>
    <t>820488745</t>
  </si>
  <si>
    <t>20250686</t>
  </si>
  <si>
    <t>20250688</t>
  </si>
  <si>
    <t>2190185788</t>
  </si>
  <si>
    <t>820491822</t>
  </si>
  <si>
    <t>28.09.2025</t>
  </si>
  <si>
    <t>28.10.2025</t>
  </si>
  <si>
    <t>EI258000021</t>
  </si>
  <si>
    <t>202543659</t>
  </si>
  <si>
    <t>181273854</t>
  </si>
  <si>
    <t>181274155</t>
  </si>
  <si>
    <t>R045642</t>
  </si>
  <si>
    <t>1102716</t>
  </si>
  <si>
    <t>8601065</t>
  </si>
  <si>
    <t>14125</t>
  </si>
  <si>
    <t>181274619</t>
  </si>
  <si>
    <t>181274717</t>
  </si>
  <si>
    <t>896361118</t>
  </si>
  <si>
    <t>437365</t>
  </si>
  <si>
    <t>661161</t>
  </si>
  <si>
    <t>ZK: Enviro Pack GmbH</t>
  </si>
  <si>
    <t>754603304</t>
  </si>
  <si>
    <t>R/2025/04431</t>
  </si>
  <si>
    <t>RE-25-0622</t>
  </si>
  <si>
    <t>801033</t>
  </si>
  <si>
    <t>544615</t>
  </si>
  <si>
    <t>Senger GmbH &amp; Co. KG</t>
  </si>
  <si>
    <t>RE55918030-2</t>
  </si>
  <si>
    <t>Starcar GmbH</t>
  </si>
  <si>
    <t>V   Diverse IL</t>
  </si>
  <si>
    <t>2025-09337</t>
  </si>
  <si>
    <t>VEA Beratungs-GmbH</t>
  </si>
  <si>
    <t>2292/2025</t>
  </si>
  <si>
    <t>2293/2025</t>
  </si>
  <si>
    <t>Tantieme f. Henze wurde in 2024 und 2025 auf falsches Konto gebucht, manuell angepasst</t>
  </si>
  <si>
    <t>Tantieme f. Henze wurde in 2024 und 2025 auf falsches Konto gebucht, manuell angepasst
Tantieme 2023 entfällt auf Reinert EUR 27.750 sowie Henze mit EUR 16.000</t>
  </si>
  <si>
    <t>Anteilig bis Juli berücksichtigt, da letzte Anpassung. Aug-Sep direkt im Net Debt berücksichtigt</t>
  </si>
  <si>
    <t>Rückstellung für Tantieme</t>
  </si>
  <si>
    <t>Verbindlichkeiten LuL überfällig</t>
  </si>
  <si>
    <t>in TEUR</t>
  </si>
  <si>
    <t>in kEUR</t>
  </si>
  <si>
    <t>Quelle: Datenraum/ eigene Analysen</t>
  </si>
  <si>
    <t>Source: Virtual Data Room/ Company Information</t>
  </si>
  <si>
    <t>Sonstige Erträge</t>
  </si>
  <si>
    <t>Sonstige betriebliche Erträge (absolut)</t>
  </si>
  <si>
    <t>Gewinne aus Anlageabgang</t>
  </si>
  <si>
    <t>Erträge aus Herabsetzung von EWB/PWB</t>
  </si>
  <si>
    <t>Sachbezüge Mitarbeiter</t>
  </si>
  <si>
    <t>Zuschreibungen UV FAV</t>
  </si>
  <si>
    <t>Sonstige betriebliche Erträge (Veränderung absolut)</t>
  </si>
  <si>
    <t>Verbl. LuL</t>
  </si>
  <si>
    <t>nein</t>
  </si>
  <si>
    <t>Heinz Meise GmbH</t>
  </si>
  <si>
    <t>Jahresabschlüsse (geprüft)</t>
  </si>
  <si>
    <t>Neue Miete?</t>
  </si>
  <si>
    <t>Kanzlei-Rechnungswesen - RW - 19683/167/2025 / Meise GmbH - Summen- und Saldenliste - Summen und Salden (pro Monat) Oktober</t>
  </si>
  <si>
    <t>EB-Wert</t>
  </si>
  <si>
    <t>Okt 2025 
Soll</t>
  </si>
  <si>
    <t xml:space="preserve"> 
Haben</t>
  </si>
  <si>
    <t>kum. Werte 
Soll</t>
  </si>
  <si>
    <t>EDV-Software, entgeltl. erworben</t>
  </si>
  <si>
    <t>Immat. Vermögensgegenst. in Entwicklung</t>
  </si>
  <si>
    <t>Maschinen</t>
  </si>
  <si>
    <t>Betriebsausstattung</t>
  </si>
  <si>
    <t>Werkzeuge</t>
  </si>
  <si>
    <t>Geringwertige Wirtschaftsgüter</t>
  </si>
  <si>
    <t>Sonstige Betriebs-u.Gesch.ausstattung</t>
  </si>
  <si>
    <t>Wertpapiere des Anlagevermögens</t>
  </si>
  <si>
    <t>Genossenschaftsanteile z.lfr.Verbleib</t>
  </si>
  <si>
    <t>Darlehn Spk an Volme und Ruhr 6036050976</t>
  </si>
  <si>
    <t>Gezeichnetes Kapital</t>
  </si>
  <si>
    <t>Gewinnvortrag vor Verwendung</t>
  </si>
  <si>
    <t>Rückstellung Pensionen zur Saldierung</t>
  </si>
  <si>
    <t>Gewerbesteuerrückstellung § 4 (5b) EStG</t>
  </si>
  <si>
    <t>Körperschaftsteuerrückstellung</t>
  </si>
  <si>
    <t>Rückstellungen für Personalkosten</t>
  </si>
  <si>
    <t>Rückstellungen für Aufbewahrungspflicht</t>
  </si>
  <si>
    <t>Rückstellungen f. Gewährleistungen</t>
  </si>
  <si>
    <t>Rückstellungen für Abschluss u. Prüfung</t>
  </si>
  <si>
    <t>Aktive Rechnungsabgrenzung</t>
  </si>
  <si>
    <t>Pauschalwertberichtigung Forderg./b.1J</t>
  </si>
  <si>
    <t>Einzelwertberichtigung Forderung(b.1J)</t>
  </si>
  <si>
    <t>Kasse</t>
  </si>
  <si>
    <t>Postbank Dortmund 231588463</t>
  </si>
  <si>
    <t>Sparkasse an Volme und Ruhr 4065173</t>
  </si>
  <si>
    <t>Märkische Bank eG 34801500</t>
  </si>
  <si>
    <t>Commerzbank 660004300</t>
  </si>
  <si>
    <t>Geldtransit</t>
  </si>
  <si>
    <t>Forderungen aus L+L</t>
  </si>
  <si>
    <t>Geleistete Anzahlungen auf Vorräte</t>
  </si>
  <si>
    <t>Geleistete Anzahlungen 19% Vorsteuer</t>
  </si>
  <si>
    <t>Forderungen ggb. Krankenkasse aus AAG</t>
  </si>
  <si>
    <t>Kautionen</t>
  </si>
  <si>
    <t>Forderung aus Gewerbesteuerüberzahlung</t>
  </si>
  <si>
    <t>Forderung gegenüber Bundesagentur</t>
  </si>
  <si>
    <t>Vorst. in Folgeperiode /-jahr abziehbar</t>
  </si>
  <si>
    <t>Körperschaftsteuerrückforderung</t>
  </si>
  <si>
    <t>Abziehbare Vorsteuer 7%</t>
  </si>
  <si>
    <t>Abziehbare Vorsteuer aus EU-Erwerb 19%</t>
  </si>
  <si>
    <t>Abziehbare Vorsteuer 19%</t>
  </si>
  <si>
    <t>Abziehbare Vorsteuer § 13b UStG 19%</t>
  </si>
  <si>
    <t>Einfuhrumsatzsteuer</t>
  </si>
  <si>
    <t>Durchlaufende Posten</t>
  </si>
  <si>
    <t>Verbindlichkeiten aus Lieferungen+Leist.</t>
  </si>
  <si>
    <t>Erhaltene Anzahlungen 19% USt</t>
  </si>
  <si>
    <t>Verbindlichkeiten aus Lohn und Gehalt</t>
  </si>
  <si>
    <t>Verbindlichk. Lohn- und Kirchensteuer</t>
  </si>
  <si>
    <t>Verbindlichkeiten soziale Sicherheit</t>
  </si>
  <si>
    <t>Lohn- und Gehaltsverrechnungen</t>
  </si>
  <si>
    <t>Voraus.Beitrag ggb. Sozialversich.träger</t>
  </si>
  <si>
    <t>Umsatzsteuer aus EU-Erwerb 19%</t>
  </si>
  <si>
    <t>Umsatzsteuer 19%</t>
  </si>
  <si>
    <t>Umsatzsteuer-Vorauszahlungen</t>
  </si>
  <si>
    <t>Umsatzsteuer-Vorauszahlungen 1/11</t>
  </si>
  <si>
    <t>Umsatzsteuer nach § 13b UStG 19%</t>
  </si>
  <si>
    <t>Umsatzsteuer laufendes Jahr</t>
  </si>
  <si>
    <t>Umsatzsteuerverbindlichkeiten Vorjahr</t>
  </si>
  <si>
    <t>Umsatzsteuerverbindlichk. frühere Jahre</t>
  </si>
  <si>
    <t>N. abzugsf. and.Nebenleistg §4 (5b) EStG</t>
  </si>
  <si>
    <t>Zinsaufwendungen f.kfr.Verbindlichkeit.</t>
  </si>
  <si>
    <t>Zinsaufwendungen f.lfr.Verbindlichkeit.</t>
  </si>
  <si>
    <t>Aufw. Abzins. Pensions-/ähnl. RS,Verr</t>
  </si>
  <si>
    <t>Aufwendungen aus Währungsumrechnungen</t>
  </si>
  <si>
    <t>Körperschaftsteuererstattung Vorjahre</t>
  </si>
  <si>
    <t>Kapitalertragsteuer 25 % (KapG)</t>
  </si>
  <si>
    <t>SolZ auf Kapitalertragsteuer 25 % (KapG)</t>
  </si>
  <si>
    <t>Aufw. Zuführg/Auflösung latente Steuern</t>
  </si>
  <si>
    <t>GewSt-NZ/Erstattung VJ § 4 (5b) EStG</t>
  </si>
  <si>
    <t>Abgänge Sachanlagen Restbuchwert bei BV</t>
  </si>
  <si>
    <t>Abgänge Finanzanlagen Restbuchwert, BV</t>
  </si>
  <si>
    <t>Abgänge Sachanlagen Restbuchwert bei BG</t>
  </si>
  <si>
    <t>Abgänge Finanzanlagen Restbuchwert, BG</t>
  </si>
  <si>
    <t>Verluste aus Abgang von Umlaufvermögen</t>
  </si>
  <si>
    <t>Sonst. Grundstücksaufwendungen neutral</t>
  </si>
  <si>
    <t>Zuwendungen,Spenden kirchl./rel./gemein.</t>
  </si>
  <si>
    <t>Forderungsverluste 19% USt</t>
  </si>
  <si>
    <t>Einstellung in die PWB auf Forderungen</t>
  </si>
  <si>
    <t>Zinserträge § 233a AO,Anlage GK KSt,stf</t>
  </si>
  <si>
    <t>Sonstige Erträge betriebs/periodenfremd</t>
  </si>
  <si>
    <t>Erträge a.Zuschreibung Umlaufvermögen</t>
  </si>
  <si>
    <t>Erträge aus Herabsetzung EWB auf Ford</t>
  </si>
  <si>
    <t>Versich.entschädigung, Schadenersatz</t>
  </si>
  <si>
    <t>Erstattungen AufwendungsausgleichsG</t>
  </si>
  <si>
    <t>Einkauf RHB 19 % Vorsteuer</t>
  </si>
  <si>
    <t>Fremdleistungen Wartung PHV</t>
  </si>
  <si>
    <t>Fremdleistungen Wartung Diverse Kunden</t>
  </si>
  <si>
    <t>Fremdleistungen 19% Vorsteuer</t>
  </si>
  <si>
    <t>Leistungen ausländ.Untern.19% Vorst./USt</t>
  </si>
  <si>
    <t>Wareneingang DL</t>
  </si>
  <si>
    <t>Wareneinkauf Produktion</t>
  </si>
  <si>
    <t>Wareneinkauf Handel</t>
  </si>
  <si>
    <t>EU-Erwerb 19% Vorst./USt</t>
  </si>
  <si>
    <t>Erhaltene Skonti 19% Vorsteuer</t>
  </si>
  <si>
    <t>Erhaltene Skonti Einkauf RHB 19% Vorst.</t>
  </si>
  <si>
    <t>Erhalt. Skonti EU-Erwerb 19% Vorst./USt</t>
  </si>
  <si>
    <t>Bezugsnebenkosten</t>
  </si>
  <si>
    <t>Bestandsveränderungen Waren</t>
  </si>
  <si>
    <t>Bestandsveränderung RHB-Stoffe / Waren</t>
  </si>
  <si>
    <t>Bestand Roh-,Hilfs- und Betriebsstoffe</t>
  </si>
  <si>
    <t>Bestand Waren</t>
  </si>
  <si>
    <t>Löhne</t>
  </si>
  <si>
    <t>Gehälter</t>
  </si>
  <si>
    <t>Geschäftsführergehälter GmbH-Gesells.</t>
  </si>
  <si>
    <t>Tantiemen Gesellschafter-Geschäftsf.</t>
  </si>
  <si>
    <t>Geschäftsführergehälter</t>
  </si>
  <si>
    <t>Tantiemen Arbeitnehmer</t>
  </si>
  <si>
    <t>Gesetzliche Sozialaufwendungen</t>
  </si>
  <si>
    <t>Beiträge zur Berufsgenossenschaft</t>
  </si>
  <si>
    <t>Freiwillige soziale Aufwendung. LSt-frei</t>
  </si>
  <si>
    <t>Soziale Abgaben für Minijobber</t>
  </si>
  <si>
    <t>Freiwillige soziale Aufwendung. LSt-pfl.</t>
  </si>
  <si>
    <t>Pauschale Steuer auf sonstige Bezüge</t>
  </si>
  <si>
    <t>Krankengeldzuschüsse</t>
  </si>
  <si>
    <t>Sachzuwendungen und Dienstleistg. an AN</t>
  </si>
  <si>
    <t>Aufwendung Veränderung Urlaubsrückst.</t>
  </si>
  <si>
    <t>Aufwendungen für Altersversorgung</t>
  </si>
  <si>
    <t>Vermögenswirksame Leistungen</t>
  </si>
  <si>
    <t>Fahrtkostenerstatt. Whg./Arbeitsstätte</t>
  </si>
  <si>
    <t>Aushilfslöhne</t>
  </si>
  <si>
    <t>Pauschale Steuer für Minijobber</t>
  </si>
  <si>
    <t>Löhne für Minijobs</t>
  </si>
  <si>
    <t>Pauschale Steuer für Arbeitnehmer</t>
  </si>
  <si>
    <t>Miete, unbewegliche Wirtschaftsgüter</t>
  </si>
  <si>
    <t>Miet- und Pachtnebenkosten</t>
  </si>
  <si>
    <t>Gas, Strom, Wasser</t>
  </si>
  <si>
    <t>Reinigung</t>
  </si>
  <si>
    <t>Instandhaltung betrieblicher Räume</t>
  </si>
  <si>
    <t>Versicherungen</t>
  </si>
  <si>
    <t>Beiträge</t>
  </si>
  <si>
    <t>Kfz-Steuer MK-HX 410</t>
  </si>
  <si>
    <t>Kfz-Steuer MK-WH 520/MK-XW 3677</t>
  </si>
  <si>
    <t>Kfz-Steuer MK-MS 171/MS 121</t>
  </si>
  <si>
    <t xml:space="preserve">Kfz-Steuer MK-XQ 1038/MK-GS 444 </t>
  </si>
  <si>
    <t>Kfz-Steuer MK-HM 3322/EN-ZB 111</t>
  </si>
  <si>
    <t>Kfz-Steuer MK-MS 666/MK-MS 251</t>
  </si>
  <si>
    <t>Kfz-Steuer MK-MS 2233/MK-MS 3344</t>
  </si>
  <si>
    <t>Kfz-Versicherung MK-HX 410</t>
  </si>
  <si>
    <t>Kfz-Versicherung Elektrofahrzeuge</t>
  </si>
  <si>
    <t>Kfz-Versicherung MK-WH 520/MK-XW 3677</t>
  </si>
  <si>
    <t>Kfz-Versicherung MK-MS 171/MS 121</t>
  </si>
  <si>
    <t>Kfz-Versicherung MK-XQ 1038/MK-GS 444</t>
  </si>
  <si>
    <t>Kfz-Vers. MK-HM 3322/EN-ZB 111</t>
  </si>
  <si>
    <t>Kfz-Versicherung MK-MS 666/MK-MS 251</t>
  </si>
  <si>
    <t>Kfz-Versicherung MK-MS 2233/MK-MS 3344</t>
  </si>
  <si>
    <t>Kfz-Versicherung</t>
  </si>
  <si>
    <t>Lfd. Kfz-Betriebskosten MK-HX 410</t>
  </si>
  <si>
    <t>Lfd. Kfz-Betriebskosten Elektrofahrzeuge</t>
  </si>
  <si>
    <t>Lfd. Kfz-Betriebsk. MK-WH 520/MK-XW 3677</t>
  </si>
  <si>
    <t>Lfd. Kfz-Betriebskosten MK-MS 171/MS 121</t>
  </si>
  <si>
    <t>Lfd. Kfz-Betriebsk. MK-XQ 1038/MK-GS 444</t>
  </si>
  <si>
    <t>Lfd. Kfz-Betriebsk. MK-HM 3322/EN-ZB 111</t>
  </si>
  <si>
    <t>Lfd. Kfz-Betriebsk. MK-MS 666/MK-MS 251</t>
  </si>
  <si>
    <t>Lfd. Kfz-Betriebsk. MK-MS 2233/MK-MS3344</t>
  </si>
  <si>
    <t>Kfz-Reparaturen MK-HX 410</t>
  </si>
  <si>
    <t>Kfz-Reparaturen Elektrofahrzeuge</t>
  </si>
  <si>
    <t>Kfz-Reparaturen MK-WH 520/MK-XW 3677</t>
  </si>
  <si>
    <t>Kfz-Reparaturen MK-MS 171/MS 121</t>
  </si>
  <si>
    <t>Kfz-Reparaturen MK-XQ 1038/MK-GS 444</t>
  </si>
  <si>
    <t>Kfz-Rep. MK-HM 3322/EN-ZB 111</t>
  </si>
  <si>
    <t>Kfz-Reparaturen MK-MS 666/MK-MS 251</t>
  </si>
  <si>
    <t>Kfz-Reparaturen MK-MS 2233/MK-MS 3344</t>
  </si>
  <si>
    <t xml:space="preserve">Kfz-Reparaturen </t>
  </si>
  <si>
    <t>Leasingfahrzeugkosten MK-HX 410</t>
  </si>
  <si>
    <t>Leasingfahrzeugkosten Elektrofahrzeuge</t>
  </si>
  <si>
    <t>Leasingfahrzeugk. MK-WH 520/MK-XW 3677</t>
  </si>
  <si>
    <t>Leasingfahrzeugkosten MK-MS 171/MS 121</t>
  </si>
  <si>
    <t>Leasingfahrzeugk. MK-XQ 1038/MK-GS 444</t>
  </si>
  <si>
    <t>Leasingfahrzeugk. MK-HM 3322/EN-ZB 111</t>
  </si>
  <si>
    <t>Leasingfahrzeugk. MK-MS 666/MK-MS 251</t>
  </si>
  <si>
    <t>Leasingfahrzeugk. MK-MS 2233/MK-MS 3344</t>
  </si>
  <si>
    <t>Leasing E-Bikes</t>
  </si>
  <si>
    <t>Sonstige Kfz-Kosten MK-HX 410</t>
  </si>
  <si>
    <t>Sonstige Kfz-Kosten Elektrofahrzeuge</t>
  </si>
  <si>
    <t>Sonstige Kfz-Kosten MK-WH 520/MK-XW 3677</t>
  </si>
  <si>
    <t>Sonstige Kfz-Kosten MK-MS 171/MS 121</t>
  </si>
  <si>
    <t>Sonstige Kfz-Kosten MK-XQ 1038/MK-GS 444</t>
  </si>
  <si>
    <t>Sonstige Kfz-Kosten MK-HM 3322/EN-ZB 111</t>
  </si>
  <si>
    <t>Sonstige Kfz-Kosten MK-MS 666/MK-MS 251</t>
  </si>
  <si>
    <t>Sonstige Kfz-Kosten MK-MS 2233/MK-MS3344</t>
  </si>
  <si>
    <t>Werbekosten</t>
  </si>
  <si>
    <t>Streuartikel</t>
  </si>
  <si>
    <t>Messekosten</t>
  </si>
  <si>
    <t>Geschenke abzugsfähig mit § 37b EStG</t>
  </si>
  <si>
    <t>Pausch. Steuer Geschenke/Zuwend. abz.</t>
  </si>
  <si>
    <t>Repräsentationskosten</t>
  </si>
  <si>
    <t>Bewirtungskosten</t>
  </si>
  <si>
    <t>Nicht abzugsfähige Bewirtungskosten</t>
  </si>
  <si>
    <t>Reisekosten Arbeitnehmer, Fahrtkosten</t>
  </si>
  <si>
    <t>Reisekosten AN Verpfleg.mehraufwand</t>
  </si>
  <si>
    <t>Reisekosten AN Übernachtungsaufwand</t>
  </si>
  <si>
    <t>Kilometergelderstattung Arbeitnehmer</t>
  </si>
  <si>
    <t>Ausgangsfrachten</t>
  </si>
  <si>
    <t>Aufwand für Gewährleistungen</t>
  </si>
  <si>
    <t>Reparatur/Instandh. Anlagen u. Maschinen</t>
  </si>
  <si>
    <t>Reparatur/Instandh.v.and.Anlagen u. BGA</t>
  </si>
  <si>
    <t>Wartungskosten für Hard- und Software</t>
  </si>
  <si>
    <t>Mietleasing bewegl. WG techn. Anlagen</t>
  </si>
  <si>
    <t>Abschreibung immaterielle VermG</t>
  </si>
  <si>
    <t>Abschreibungen auf Sachanlagen</t>
  </si>
  <si>
    <t>Sofortabschreibung GWG</t>
  </si>
  <si>
    <t>Abschreibung Finanzanlagen</t>
  </si>
  <si>
    <t>Porto</t>
  </si>
  <si>
    <t>Bürobedarf</t>
  </si>
  <si>
    <t>Zeitschrift./Bücher/dig.Medien(Fachlit.)</t>
  </si>
  <si>
    <t>Fortbildungskosten</t>
  </si>
  <si>
    <t>Entwicklungskosten Apherese</t>
  </si>
  <si>
    <t>Entwicklungskosten Phagenfalle</t>
  </si>
  <si>
    <t>Mieten für Einrichtungen bewegliche WG</t>
  </si>
  <si>
    <t>Aufwendungen für Lizenzen, Konzessionen</t>
  </si>
  <si>
    <t>Aufwand Abraum-/Abfallbeseitigung</t>
  </si>
  <si>
    <t>Nebenkosten des Geldverkehrs</t>
  </si>
  <si>
    <t>Sonstiger Betriebsbedarf</t>
  </si>
  <si>
    <t>Unfertige Erzeugnisse</t>
  </si>
  <si>
    <t>Fertige Erzeugnisse und Waren</t>
  </si>
  <si>
    <t>Steuerfreie Umsätze § 4 Nr. 1a UStG</t>
  </si>
  <si>
    <t>Steuerfr. EU-Lieferungen § 4 Nr. 1b UStG</t>
  </si>
  <si>
    <t>Steuerfreie Umsätze Offshore usw.</t>
  </si>
  <si>
    <t>Nicht steuerbare s. Leistung § 18b UStG</t>
  </si>
  <si>
    <t>Erlöse aus Leistungen nach § 13b UStG</t>
  </si>
  <si>
    <t>Nicht steuerbare Umsätze Drittland</t>
  </si>
  <si>
    <t>Verrechnete sonstige Sachbezüge</t>
  </si>
  <si>
    <t>Verrech. sonstige Sachbezüge Fzg 19% USt</t>
  </si>
  <si>
    <t>Sonst. Erträge betr.u. regelmäßig stfrei</t>
  </si>
  <si>
    <t>Sonst. Erträge betriebl., regelm.19% USt</t>
  </si>
  <si>
    <t>Gewährte Skonti</t>
  </si>
  <si>
    <t>Gewährte Skonti 19 % USt</t>
  </si>
  <si>
    <t>Gewährte Skonti stfreie EU-Lieferung</t>
  </si>
  <si>
    <t>Gewährte Boni 19% USt</t>
  </si>
  <si>
    <t>Gewährte Boni</t>
  </si>
  <si>
    <t>Erlöse Sachanlageverkäufe 19% USt, BV</t>
  </si>
  <si>
    <t>Erl. Sachanlageverk. § 4 Nr.1a UStG (BV)</t>
  </si>
  <si>
    <t>Erlöse Verkäufe Finanzanlagen, BV</t>
  </si>
  <si>
    <t>Erlöse Sachanlageverkäufe 19% USt, BG</t>
  </si>
  <si>
    <t>Erl. Sachanlageverk.§ 4 Nr.1a UStG,Buchg</t>
  </si>
  <si>
    <t>Erlöse Verkäufe Finanzanlagen, BG</t>
  </si>
  <si>
    <t>Nicht steuerb.Umsätze (Innenumsätze)</t>
  </si>
  <si>
    <t>Bestandsveränd.unfertige Erzeugnisse</t>
  </si>
  <si>
    <t>Bestandsveränderung fertige Erzeugnisse</t>
  </si>
  <si>
    <t>Saldenvorträge Sachkonten</t>
  </si>
  <si>
    <t>Saldenvorträge Debitoren</t>
  </si>
  <si>
    <t>Saldenvorträge Kreditoren</t>
  </si>
  <si>
    <t>2025/10</t>
  </si>
  <si>
    <t>2025/11</t>
  </si>
  <si>
    <t>2025/12</t>
  </si>
  <si>
    <t>Kanzlei-Rechnungswesen - RW - 19683/167/2025 / Meise GmbH - Summen- und Saldenliste - Summen und Salden (pro Monat) November</t>
  </si>
  <si>
    <t>Nov 2025 
Soll</t>
  </si>
  <si>
    <t>Fremdarbeiten (Vertrieb)</t>
  </si>
  <si>
    <t>Kanzlei-Rechnungswesen - RW - 19683/167/2025 / Meise GmbH - Summen- und Saldenliste - Summen und Salden (pro Monat) Dezember</t>
  </si>
  <si>
    <t>Dez 2025 
Soll</t>
  </si>
  <si>
    <t>Erträge aus Herabsetzung PWB auf Ford</t>
  </si>
  <si>
    <t>Erträge Auflösung von Rückstellungen</t>
  </si>
  <si>
    <t>Kfz-Versicherung E-Bikes</t>
  </si>
  <si>
    <t>Reisekosten Arbeitnehmer</t>
  </si>
  <si>
    <t>Sonstige betriebl.u.regelm.Aufwendungen</t>
  </si>
  <si>
    <t>Nicht steuerbare Umsätze EU-Land</t>
  </si>
  <si>
    <t>FY2025</t>
  </si>
  <si>
    <t>Aufgrund nachträglicher Datenlieferung LTM auf IST geändert, um weitere Änderung von Verlinkungen zu vermeiden</t>
  </si>
  <si>
    <t>Kanzlei-Rechnungswesen - RW - 19683/167/2025 / Meise GmbH - [BWA-Nr. 1 - Vorjahresvergleich Dez 2025]</t>
  </si>
  <si>
    <t>Zeile</t>
  </si>
  <si>
    <t>Zeilen-/Kontobezeichnung</t>
  </si>
  <si>
    <t>Dez/2025</t>
  </si>
  <si>
    <t>Dez/2024</t>
  </si>
  <si>
    <t>Veränderung
absolut</t>
  </si>
  <si>
    <t xml:space="preserve">
in %</t>
  </si>
  <si>
    <t>Jan/2025 -
Dez/2025</t>
  </si>
  <si>
    <t>Jan/2024 -
Dez/2024</t>
  </si>
  <si>
    <t>Bestandsveränderg. FE/UE</t>
  </si>
  <si>
    <t>Material-/Wareneinkauf</t>
  </si>
  <si>
    <t>So. betr. Erlöse</t>
  </si>
  <si>
    <t>Betrieblicher Rohertrag</t>
  </si>
  <si>
    <t>Kostenarten:</t>
  </si>
  <si>
    <t>Personalkosten</t>
  </si>
  <si>
    <t>Raumkosten</t>
  </si>
  <si>
    <t>Betriebliche Steuern</t>
  </si>
  <si>
    <t xml:space="preserve">    Kfz-Steuer MK-XQ 1038/MK-GS 444 </t>
  </si>
  <si>
    <t>Versicherungen/Beiträge</t>
  </si>
  <si>
    <t>Besondere Kosten</t>
  </si>
  <si>
    <t>Fahrzeugkosten (ohne Steuer)</t>
  </si>
  <si>
    <t xml:space="preserve">    Kfz-Versicherung E-Bikes</t>
  </si>
  <si>
    <t xml:space="preserve">    Kfz-Reparaturen </t>
  </si>
  <si>
    <t>Werbe-/Reisekosten</t>
  </si>
  <si>
    <t xml:space="preserve">    Reisekosten Arbeitnehmer</t>
  </si>
  <si>
    <t>Kosten Warenabgabe</t>
  </si>
  <si>
    <t>Reparatur/Instandhaltung</t>
  </si>
  <si>
    <t>Gesamtkosten</t>
  </si>
  <si>
    <t>Betriebsergebnis</t>
  </si>
  <si>
    <t>Zinsaufwand</t>
  </si>
  <si>
    <t>Sonstiger neutraler Aufwand</t>
  </si>
  <si>
    <t xml:space="preserve"> Neutraler Aufwand</t>
  </si>
  <si>
    <t>Sonstiger neutraler Ertrag</t>
  </si>
  <si>
    <t xml:space="preserve">    Erträge Auflösung von Rückstellungen</t>
  </si>
  <si>
    <t>Verrechnete kalk. Kosten</t>
  </si>
  <si>
    <t xml:space="preserve"> Neutraler Ertrag</t>
  </si>
  <si>
    <t>Kontenklasse unbesetzt</t>
  </si>
  <si>
    <t>Ergebnis vor Steuern</t>
  </si>
  <si>
    <t>Steuern Einkommen u. Ertrag</t>
  </si>
  <si>
    <t>Vorläufiges Ergebnis</t>
  </si>
  <si>
    <t>Gemäß Aussage Management sind die Zahlen vorläufg, beinhalten jedoch alle wesentlichen Anpassungen per Dez25 wie Vorräte, Rückstellungen</t>
  </si>
  <si>
    <t>Jahresabschlussbuchung GJ25</t>
  </si>
  <si>
    <t>Check nach neuem Aeging</t>
  </si>
  <si>
    <t>Check Verlinkungen der Umsatzerlöse und Umgliederung aus nicht steuerbaren Umsätzen</t>
  </si>
  <si>
    <t>RHB</t>
  </si>
  <si>
    <t>Waren</t>
  </si>
  <si>
    <t>Forderung aus GewSteuerüberzahlung/ KSt</t>
  </si>
  <si>
    <t>Gewinn- und Verlustrechnung</t>
  </si>
  <si>
    <t>Bereinigungen</t>
  </si>
  <si>
    <t>Kommentare Bereinigungsannahmen</t>
  </si>
  <si>
    <t>(in TEUR)</t>
  </si>
  <si>
    <t>Ist</t>
  </si>
  <si>
    <t>%</t>
  </si>
  <si>
    <t>Ber.</t>
  </si>
  <si>
    <t>Vorl.</t>
  </si>
  <si>
    <t>1.</t>
  </si>
  <si>
    <t>2.</t>
  </si>
  <si>
    <t>Bestandsveränderungen</t>
  </si>
  <si>
    <t>3.</t>
  </si>
  <si>
    <t>4.</t>
  </si>
  <si>
    <t>a)</t>
  </si>
  <si>
    <t>Erträge aus der Herabsetzung der Einzel-/Pauschalwertberichtigung auf Forderungen</t>
  </si>
  <si>
    <t>b)</t>
  </si>
  <si>
    <t>Erträge aus Auflösung von Rückstellungen</t>
  </si>
  <si>
    <t>c)</t>
  </si>
  <si>
    <t>Unentgeltliche Wertabgaben und Erbringung sonstiger Leistungen und Zuwendungen von Gegenständen</t>
  </si>
  <si>
    <t>d)</t>
  </si>
  <si>
    <t>Erträge aus dem Abgang von Anlagevermögen</t>
  </si>
  <si>
    <t>e)</t>
  </si>
  <si>
    <t>Übrige sonstige betriebliche Erträge</t>
  </si>
  <si>
    <t>5.</t>
  </si>
  <si>
    <t>Aufw. für Roh-, Hilfs- und Betriebsstoffe</t>
  </si>
  <si>
    <t>Aufwendungen für bezogene Leistungen</t>
  </si>
  <si>
    <t>6.</t>
  </si>
  <si>
    <t>Rohertrag I</t>
  </si>
  <si>
    <t>7.</t>
  </si>
  <si>
    <t>Löhne u. Gehälter</t>
  </si>
  <si>
    <r>
      <rPr>
        <b/>
        <sz val="10"/>
        <color theme="1"/>
        <rFont val="Arial"/>
        <family val="2"/>
      </rPr>
      <t>2024:</t>
    </r>
    <r>
      <rPr>
        <sz val="10"/>
        <color theme="1"/>
        <rFont val="Arial"/>
        <family val="2"/>
      </rPr>
      <t xml:space="preserve"> Kto. 4120 Reinert Karenzentschädigung 10 x 6.764,98 EUR // Kto. 4124/4126 GesGF Heinz Meise Gehalt 12 x 19.000,00 EUR + Tantieme 76.000,00 (aktueller GF kann die alleinige Geschäftsführung übernehmen).</t>
    </r>
  </si>
  <si>
    <t>davon GF-Gehalt + Tantiemen</t>
  </si>
  <si>
    <t>Soziale Abgaben u. Aufwendungen</t>
  </si>
  <si>
    <t>Sozialabgaben pauschal 11%</t>
  </si>
  <si>
    <t>davon Altersvorsorge GF</t>
  </si>
  <si>
    <t>Fremdleistungen</t>
  </si>
  <si>
    <t>8.</t>
  </si>
  <si>
    <t>Rohertrag II</t>
  </si>
  <si>
    <t>9.</t>
  </si>
  <si>
    <t>Versicherungen, Beiträge und Abgaben</t>
  </si>
  <si>
    <r>
      <rPr>
        <b/>
        <sz val="10"/>
        <color theme="1"/>
        <rFont val="Arial"/>
        <family val="2"/>
      </rPr>
      <t>2023:</t>
    </r>
    <r>
      <rPr>
        <sz val="10"/>
        <color theme="1"/>
        <rFont val="Arial"/>
        <family val="2"/>
      </rPr>
      <t xml:space="preserve"> Kto. 4641 Kosten Firmenjubiläum </t>
    </r>
  </si>
  <si>
    <t>f)</t>
  </si>
  <si>
    <t>g)</t>
  </si>
  <si>
    <t>Grundstücksaufwendungen</t>
  </si>
  <si>
    <t>h)</t>
  </si>
  <si>
    <t>Übrige sonstige betriebliche Aufwendungen</t>
  </si>
  <si>
    <t>i)</t>
  </si>
  <si>
    <r>
      <rPr>
        <b/>
        <sz val="10"/>
        <color theme="1"/>
        <rFont val="Arial"/>
        <family val="2"/>
      </rPr>
      <t>2023-2024:</t>
    </r>
    <r>
      <rPr>
        <sz val="10"/>
        <color theme="1"/>
        <rFont val="Arial"/>
        <family val="2"/>
      </rPr>
      <t xml:space="preserve"> Kto. 4950 Beratungskosten 8P + Brandenburg&amp;Partner (MDR) // </t>
    </r>
    <r>
      <rPr>
        <b/>
        <sz val="10"/>
        <color theme="1"/>
        <rFont val="Arial"/>
        <family val="2"/>
      </rPr>
      <t>2024:</t>
    </r>
    <r>
      <rPr>
        <sz val="10"/>
        <color theme="1"/>
        <rFont val="Arial"/>
        <family val="2"/>
      </rPr>
      <t xml:space="preserve"> Kto. 4951 Entwicklungskosten (Apherese) // </t>
    </r>
    <r>
      <rPr>
        <b/>
        <sz val="10"/>
        <color theme="1"/>
        <rFont val="Arial"/>
        <family val="2"/>
      </rPr>
      <t>2022-2023:</t>
    </r>
    <r>
      <rPr>
        <sz val="10"/>
        <color theme="1"/>
        <rFont val="Arial"/>
        <family val="2"/>
      </rPr>
      <t xml:space="preserve"> Kto. 2300 Sonstige Aufw., davon außerordentlich Ausb.TNT Doppelzahlung aus 2020/Reisek.Vorjahre</t>
    </r>
  </si>
  <si>
    <t>j)</t>
  </si>
  <si>
    <t>Abgang UV</t>
  </si>
  <si>
    <t>k)</t>
  </si>
  <si>
    <t>Abgang AV</t>
  </si>
  <si>
    <r>
      <rPr>
        <b/>
        <sz val="10"/>
        <color theme="1"/>
        <rFont val="Arial"/>
        <family val="2"/>
      </rPr>
      <t>2024:</t>
    </r>
    <r>
      <rPr>
        <sz val="10"/>
        <color theme="1"/>
        <rFont val="Arial"/>
        <family val="2"/>
      </rPr>
      <t xml:space="preserve"> Kto. 2312 Abgänge Finanzanlagen Restbuchw. BV abzgl. Kto. 8818 Erlöse Verkäufe Finanzanlagen BV</t>
    </r>
  </si>
  <si>
    <t>10.</t>
  </si>
  <si>
    <t>11.</t>
  </si>
  <si>
    <r>
      <rPr>
        <b/>
        <sz val="10"/>
        <color theme="1"/>
        <rFont val="Arial"/>
        <family val="2"/>
      </rPr>
      <t>2022-2023:</t>
    </r>
    <r>
      <rPr>
        <sz val="10"/>
        <color theme="1"/>
        <rFont val="Arial"/>
        <family val="2"/>
      </rPr>
      <t xml:space="preserve"> Kto. 4870 Abschreibung Finanzanlagen</t>
    </r>
  </si>
  <si>
    <t>12.</t>
  </si>
  <si>
    <t>13.</t>
  </si>
  <si>
    <t>Zinsen und ähnliche Erträge</t>
  </si>
  <si>
    <t>14.</t>
  </si>
  <si>
    <t>15.</t>
  </si>
  <si>
    <t xml:space="preserve">EBT </t>
  </si>
  <si>
    <t>16.</t>
  </si>
  <si>
    <t>Steuern vom EuE</t>
  </si>
  <si>
    <t>17.</t>
  </si>
  <si>
    <t>sonstige Steuern</t>
  </si>
  <si>
    <t>18.</t>
  </si>
  <si>
    <t>Planung veraltet</t>
  </si>
  <si>
    <t xml:space="preserve">2024: Kto. 4120 Reinert Karenzentschädigung 10 x 6.764,98 EUR </t>
  </si>
  <si>
    <t>OPEN</t>
  </si>
  <si>
    <t>Geschäftsführergehalt (Beratervertrag)</t>
  </si>
  <si>
    <t xml:space="preserve">2023: Kto. 4641 Kosten Firmenjubiläum </t>
  </si>
  <si>
    <t>2023-2024: Kto. 4950 Beratungskosten 8P + Brandenburg&amp;Partner (MDR)</t>
  </si>
  <si>
    <t xml:space="preserve">2023-2024: Kto. 4950 Beratungskosten 8P </t>
  </si>
  <si>
    <t>Buchhaltung/ Kaufmännischer Leiter</t>
  </si>
  <si>
    <t>Karenzentschädigung Herr Reinert</t>
  </si>
  <si>
    <r>
      <rPr>
        <b/>
        <sz val="10"/>
        <color theme="1"/>
        <rFont val="Arial"/>
        <family val="2"/>
      </rPr>
      <t>2025</t>
    </r>
    <r>
      <rPr>
        <sz val="10"/>
        <color theme="1"/>
        <rFont val="Arial"/>
        <family val="2"/>
      </rPr>
      <t>: Kto. 2700 SIHK Beitrag 2023 (2.362,88)</t>
    </r>
  </si>
  <si>
    <t>Sozialabgaben (und sonstiges) pauschal 11% (insb. Sonstiges: z.B. Privater Range Rover)</t>
  </si>
  <si>
    <r>
      <rPr>
        <b/>
        <sz val="10"/>
        <color theme="1"/>
        <rFont val="Arial"/>
        <family val="2"/>
      </rPr>
      <t>2023:</t>
    </r>
    <r>
      <rPr>
        <sz val="10"/>
        <color theme="1"/>
        <rFont val="Arial"/>
        <family val="2"/>
      </rPr>
      <t xml:space="preserve"> Kto. 4641 Kosten Firmenjubiläum (32.306,75)</t>
    </r>
  </si>
  <si>
    <r>
      <rPr>
        <b/>
        <sz val="10"/>
        <color theme="1"/>
        <rFont val="Arial"/>
        <family val="2"/>
      </rPr>
      <t>2024:</t>
    </r>
    <r>
      <rPr>
        <sz val="10"/>
        <color theme="1"/>
        <rFont val="Arial"/>
        <family val="2"/>
      </rPr>
      <t xml:space="preserve"> Kto. 2312 Abgänge Finanzanlagen Restbuchw. BV (102.680) abzgl. Kto. 8818 Erlöse Verkäufe Finanzanlagen BV (80.849,6)</t>
    </r>
  </si>
  <si>
    <t>Geschäftsführer Herr Henze</t>
  </si>
  <si>
    <t>Kto. 4124/4126 GesGF Heinz Meise Gehalt 12 x 19.000,00 EUR + Tantieme 76.000,00 (aktueller GF kann die alleinige Geschäftsführung übernehmen); Sozialabgaben (und sonstiges) pauschal 11% (insb. Sonstiges: z.B. Privater Range Rover)</t>
  </si>
  <si>
    <t>SIHK Beitrag 2022</t>
  </si>
  <si>
    <r>
      <rPr>
        <b/>
        <sz val="10"/>
        <color theme="1"/>
        <rFont val="Arial"/>
        <family val="2"/>
      </rPr>
      <t xml:space="preserve">2025: </t>
    </r>
    <r>
      <rPr>
        <sz val="10"/>
        <color theme="1"/>
        <rFont val="Arial"/>
        <family val="2"/>
      </rPr>
      <t xml:space="preserve">Kto. 2300 SIHK Beitrag 2022 (8.178,42), Medvital geleistete Anzahlung Ausbuchung (50 TEUR), Kto. 2312/2317/2325 Abgänge Finanzanlagen (34.174.90), Kto. 2715/8818/8838 Erlöse Verkäufe Finanzanlagen (40.095,46), Kto. 4950 Normec bup GmbH (MDR) (99.035) </t>
    </r>
    <r>
      <rPr>
        <b/>
        <sz val="10"/>
        <color theme="1"/>
        <rFont val="Arial"/>
        <family val="2"/>
      </rPr>
      <t xml:space="preserve">
2024:</t>
    </r>
    <r>
      <rPr>
        <sz val="10"/>
        <color theme="1"/>
        <rFont val="Arial"/>
        <family val="2"/>
      </rPr>
      <t xml:space="preserve"> Kto. 4950 Beratungskosten 8P + Brandenburg&amp;Partner (MDR) (152.202,50), Kto. 2300 Berufsgenossenschaft 2021-2023 (5.174,89) 
</t>
    </r>
    <r>
      <rPr>
        <b/>
        <sz val="10"/>
        <color theme="1"/>
        <rFont val="Arial"/>
        <family val="2"/>
      </rPr>
      <t>2023</t>
    </r>
    <r>
      <rPr>
        <sz val="10"/>
        <color theme="1"/>
        <rFont val="Arial"/>
        <family val="2"/>
      </rPr>
      <t xml:space="preserve">: Kto. 4950 Beratungskosten 8P + Brandenburg&amp;Partner (MDR) (64.500), Kto. 2300 Ausb.TNT Doppelzahlung aus 2020/Reisek.Vorjahre (2.804,03) &amp; Berufsgenossenschaft 2021/2022 (2.368,25) 
</t>
    </r>
    <r>
      <rPr>
        <b/>
        <sz val="10"/>
        <color theme="1"/>
        <rFont val="Arial"/>
        <family val="2"/>
      </rPr>
      <t>2022</t>
    </r>
    <r>
      <rPr>
        <sz val="10"/>
        <color theme="1"/>
        <rFont val="Arial"/>
        <family val="2"/>
      </rPr>
      <t>: Kto. 2300 Ausb.TNT Doppelzahlung aus 2020/Reisek.Vorjahre (2.010,16) &amp; Berufsgenossenschaft 2021/2022 (3.506,88)</t>
    </r>
  </si>
  <si>
    <t xml:space="preserve">2023: Kto. 2300 Ausb.TNT Doppelzahlung aus 2020/Reisek.Vorjahre (2.804,03) &amp; Berufsgenossenschaft 2021/2022 (2.368,25); 2024: Kto. 2300 Berufsgenossenschaft 2021-2023 (5.174,89) </t>
  </si>
  <si>
    <t>2025: Medvital geleistete Anzahlung Ausbuchung (50 TEUR)</t>
  </si>
  <si>
    <t>2024: Kto. 2312 Abgänge Finanzanlagen Restbuchw. BV abzgl. Kto. 8818 Erlöse Verkäufe Finanzanlagen BV; 2025: Kto. 2312/2317/2325 Abgänge Finanzanlagen (34.174.90), Kto. 2715/8818/8838 Erlöse Verkäufe Finanzanlagen (40.095,46)</t>
  </si>
  <si>
    <t>Rechts- und Beratungskosten Brandenburg&amp;Partner (MDR)</t>
  </si>
  <si>
    <t>Rechts- und Beratungskosten 8P (MDR)</t>
  </si>
  <si>
    <t>Rechts- und Beratungskosten Normec bup GmbH (MDR)</t>
  </si>
  <si>
    <t>Ausbuchung geleistete Anzahlung Medvital</t>
  </si>
  <si>
    <t>Doppelzahlung Reisekosten &amp; Berufsgenossenschaft</t>
  </si>
  <si>
    <t>Kanzlei-Rechnungswesen - RW - 19683/167/2025 / Meise GmbH -  OPOS-Liste (Kreditoren) - Posten</t>
  </si>
  <si>
    <t>Fällig</t>
  </si>
  <si>
    <t>Dez25</t>
  </si>
  <si>
    <t>Verbl. LuL lt. OPOS Liste</t>
  </si>
  <si>
    <t>2026137</t>
  </si>
  <si>
    <t>12.01.2026</t>
  </si>
  <si>
    <t>11.02.2026</t>
  </si>
  <si>
    <t>ah</t>
  </si>
  <si>
    <t>12-2025/0002</t>
  </si>
  <si>
    <t>Verbl. LuL lt. Susa</t>
  </si>
  <si>
    <t>90158028</t>
  </si>
  <si>
    <t>16.12.2025</t>
  </si>
  <si>
    <t>15.01.2026</t>
  </si>
  <si>
    <t>adesso SE</t>
  </si>
  <si>
    <t>12-2025/0003</t>
  </si>
  <si>
    <t>fällig bis 30 Tage</t>
  </si>
  <si>
    <t>Differenz</t>
  </si>
  <si>
    <t>OK</t>
  </si>
  <si>
    <t>1KN6-9MHN-93K6</t>
  </si>
  <si>
    <t>04.12.2025</t>
  </si>
  <si>
    <t>03.01.2026</t>
  </si>
  <si>
    <t>fällig 31 - 60 Tage</t>
  </si>
  <si>
    <t>DE54QCZLXAEUI</t>
  </si>
  <si>
    <t>fällig 61 - 90 Tage</t>
  </si>
  <si>
    <t>DE54S2OMGAEUI</t>
  </si>
  <si>
    <t>18.12.2025</t>
  </si>
  <si>
    <t>17.01.2026</t>
  </si>
  <si>
    <t>fällig &gt; 90 Tage</t>
  </si>
  <si>
    <t>DE54T4DUFAEUI</t>
  </si>
  <si>
    <t>19.12.2025</t>
  </si>
  <si>
    <t>18.01.2026</t>
  </si>
  <si>
    <t>INV/2532282</t>
  </si>
  <si>
    <t>09.12.2025</t>
  </si>
  <si>
    <t>08.01.2026</t>
  </si>
  <si>
    <t>Altmann Analytik GmbH &amp; Co.KG</t>
  </si>
  <si>
    <t>RE-2512-001</t>
  </si>
  <si>
    <t>07.12.2025</t>
  </si>
  <si>
    <t>06.01.2026</t>
  </si>
  <si>
    <t>255004</t>
  </si>
  <si>
    <t>R2026010075</t>
  </si>
  <si>
    <t>13.01.2026</t>
  </si>
  <si>
    <t>12.02.2026</t>
  </si>
  <si>
    <t>Bremicker GmbH Kühlaggregatanschluss</t>
  </si>
  <si>
    <t>12-2025/JA03</t>
  </si>
  <si>
    <t>34673104</t>
  </si>
  <si>
    <t>22.12.2025</t>
  </si>
  <si>
    <t>21.01.2026</t>
  </si>
  <si>
    <t>107989</t>
  </si>
  <si>
    <t>23.12.2025</t>
  </si>
  <si>
    <t>22.01.2026</t>
  </si>
  <si>
    <t>107991</t>
  </si>
  <si>
    <t>29.12.2025</t>
  </si>
  <si>
    <t>28.01.2026</t>
  </si>
  <si>
    <t>125134</t>
  </si>
  <si>
    <t>Diener electronic GmbH + Co. KG</t>
  </si>
  <si>
    <t>2500387</t>
  </si>
  <si>
    <t>2500401</t>
  </si>
  <si>
    <t>31.12.2025</t>
  </si>
  <si>
    <t>30.01.2026</t>
  </si>
  <si>
    <t>div.</t>
  </si>
  <si>
    <t>896422477</t>
  </si>
  <si>
    <t>3101494144</t>
  </si>
  <si>
    <t>Deutsche Post AG</t>
  </si>
  <si>
    <t>500589</t>
  </si>
  <si>
    <t>754603392</t>
  </si>
  <si>
    <t>590513</t>
  </si>
  <si>
    <t>Farnell GmbH</t>
  </si>
  <si>
    <t>868758079</t>
  </si>
  <si>
    <t>Federal Express Europe Inc.</t>
  </si>
  <si>
    <t>R/2025/06367</t>
  </si>
  <si>
    <t>RE-25-0797</t>
  </si>
  <si>
    <t>90443575</t>
  </si>
  <si>
    <t>10.12.2025</t>
  </si>
  <si>
    <t>09.01.2026</t>
  </si>
  <si>
    <t>Freudenberg Medical Europe GmbH</t>
  </si>
  <si>
    <t>1/2025</t>
  </si>
  <si>
    <t>30.12.2025</t>
  </si>
  <si>
    <t>2/2025</t>
  </si>
  <si>
    <t>P408852</t>
  </si>
  <si>
    <t>29.01.2026</t>
  </si>
  <si>
    <t>Heubeck AG</t>
  </si>
  <si>
    <t>470899</t>
  </si>
  <si>
    <t>02.12.2025</t>
  </si>
  <si>
    <t>01.01.2026</t>
  </si>
  <si>
    <t>2026-1581</t>
  </si>
  <si>
    <t>Inlingua Sprachschule</t>
  </si>
  <si>
    <t>RE25-04016</t>
  </si>
  <si>
    <t>Jüke Systemtechnik GmbH</t>
  </si>
  <si>
    <t>8043707825</t>
  </si>
  <si>
    <t>26.12.2025</t>
  </si>
  <si>
    <t>25.01.2026</t>
  </si>
  <si>
    <t>MEWA Textil-Service SE &amp; Co. Deutschland</t>
  </si>
  <si>
    <t>2025200176</t>
  </si>
  <si>
    <t>15.12.2025</t>
  </si>
  <si>
    <t>148686106</t>
  </si>
  <si>
    <t>Q   Diverse IL</t>
  </si>
  <si>
    <t>RE2025-1056</t>
  </si>
  <si>
    <t>qcmed Quality Consulting Medical GmbH</t>
  </si>
  <si>
    <t>25R19538</t>
  </si>
  <si>
    <t>01.12.2025</t>
  </si>
  <si>
    <t>Boyd Weiler GmbH &amp; Co. KG</t>
  </si>
  <si>
    <t>202610008</t>
  </si>
  <si>
    <t>31.01.2026</t>
  </si>
  <si>
    <t>820767336</t>
  </si>
  <si>
    <t>08.12.2025</t>
  </si>
  <si>
    <t>07.01.2026</t>
  </si>
  <si>
    <t>820821127</t>
  </si>
  <si>
    <t>820826996</t>
  </si>
  <si>
    <t>DE1S25-2922</t>
  </si>
  <si>
    <t>30.11.2025</t>
  </si>
  <si>
    <t>837793991</t>
  </si>
  <si>
    <t>RE2025120871</t>
  </si>
  <si>
    <t>FR52E85ALAEUI</t>
  </si>
  <si>
    <t>220</t>
  </si>
  <si>
    <t>14.11.2025</t>
  </si>
  <si>
    <t>25000907F0</t>
  </si>
  <si>
    <t>10-2025/0003</t>
  </si>
  <si>
    <t>25000943F0</t>
  </si>
  <si>
    <t>25000991F0</t>
  </si>
  <si>
    <t>27.10.2025</t>
  </si>
  <si>
    <t>25001011F0</t>
  </si>
  <si>
    <t>31.10.2025</t>
  </si>
  <si>
    <t>25001040F0</t>
  </si>
  <si>
    <t>05.02.2026</t>
  </si>
  <si>
    <t>11-2025/0003</t>
  </si>
  <si>
    <t>25001076F0</t>
  </si>
  <si>
    <t>24.11.2025</t>
  </si>
  <si>
    <t>22.02.2026</t>
  </si>
  <si>
    <t>25V2-01195</t>
  </si>
  <si>
    <t>06.11.2025</t>
  </si>
  <si>
    <t>05.01.2026</t>
  </si>
  <si>
    <t>3918-4625</t>
  </si>
  <si>
    <t>Infomed SA (Storno Proforma-Rg.Warenlief.2026) EU</t>
  </si>
  <si>
    <t>3919-4625</t>
  </si>
  <si>
    <t>LUC &amp; BEL IT03438920369</t>
  </si>
  <si>
    <t>857/V</t>
  </si>
  <si>
    <t>17.12.2025</t>
  </si>
  <si>
    <t>16.01.2026</t>
  </si>
  <si>
    <t>LUC &amp; BEL SRL EU</t>
  </si>
  <si>
    <t>LUC &amp; BEL IT034</t>
  </si>
  <si>
    <t>Elcam Medical Italy SPA 12096350157</t>
  </si>
  <si>
    <t>7252044</t>
  </si>
  <si>
    <t>09.02.2026</t>
  </si>
  <si>
    <t>Elcam Medical Italy SPA EU</t>
  </si>
  <si>
    <t>Elcam Medical I</t>
  </si>
  <si>
    <t>2562/2025</t>
  </si>
  <si>
    <t>3039/2025</t>
  </si>
  <si>
    <t>15.02.2026</t>
  </si>
  <si>
    <t>SAGE S.R.L IT01608840367</t>
  </si>
  <si>
    <t>281</t>
  </si>
  <si>
    <t>19.11.2025</t>
  </si>
  <si>
    <t>SAGE S.R.L EU</t>
  </si>
  <si>
    <t>SAGE S.R.L IT01</t>
  </si>
  <si>
    <t>Emergo Global Representation, LCC / USA</t>
  </si>
  <si>
    <t>75840010692</t>
  </si>
  <si>
    <t>28.12.2025</t>
  </si>
  <si>
    <t>27.01.2026</t>
  </si>
  <si>
    <t>Emergo Global Representation, LLC</t>
  </si>
  <si>
    <t>Emergo Global R</t>
  </si>
  <si>
    <t>Kanzlei-Rechnungswesen - RW - 19683/167/2025 / Meise GmbH -  OPOS-Liste (Debitoren) - Posten</t>
  </si>
  <si>
    <t>Forderungen LuL lt. OPOS Liste</t>
  </si>
  <si>
    <t>1310618</t>
  </si>
  <si>
    <t>Forderungen LuL lt. Susa</t>
  </si>
  <si>
    <t>1310675</t>
  </si>
  <si>
    <t>4300990</t>
  </si>
  <si>
    <t>26.11.2025</t>
  </si>
  <si>
    <t>Aschaffenburg, ISEGA - Forschungs- und</t>
  </si>
  <si>
    <t>1310667</t>
  </si>
  <si>
    <t>1310587</t>
  </si>
  <si>
    <t>1310670</t>
  </si>
  <si>
    <t>5182</t>
  </si>
  <si>
    <t>Baden-Baden, Swiss Vitality</t>
  </si>
  <si>
    <t>1309929</t>
  </si>
  <si>
    <t>09.11.2025</t>
  </si>
  <si>
    <t>1310045</t>
  </si>
  <si>
    <t>22.11.2025</t>
  </si>
  <si>
    <t>1310130</t>
  </si>
  <si>
    <t>1310181</t>
  </si>
  <si>
    <t>1310218</t>
  </si>
  <si>
    <t>12.11.2025</t>
  </si>
  <si>
    <t>12.12.2025</t>
  </si>
  <si>
    <t>Burghausen, Medias Klinikum</t>
  </si>
  <si>
    <t>1310319</t>
  </si>
  <si>
    <t>20.11.2025</t>
  </si>
  <si>
    <t>20.12.2025</t>
  </si>
  <si>
    <t>1310427</t>
  </si>
  <si>
    <t>1500275</t>
  </si>
  <si>
    <t>2300511</t>
  </si>
  <si>
    <t>2300512</t>
  </si>
  <si>
    <t>2300513</t>
  </si>
  <si>
    <t>2300514</t>
  </si>
  <si>
    <t>2300530</t>
  </si>
  <si>
    <t>05.12.2025</t>
  </si>
  <si>
    <t>04.01.2026</t>
  </si>
  <si>
    <t>2300538</t>
  </si>
  <si>
    <t>14.01.2026</t>
  </si>
  <si>
    <t>2300539</t>
  </si>
  <si>
    <t>2300540</t>
  </si>
  <si>
    <t>2500016</t>
  </si>
  <si>
    <t>2500017</t>
  </si>
  <si>
    <t>1310557</t>
  </si>
  <si>
    <t>1310560</t>
  </si>
  <si>
    <t>1310561</t>
  </si>
  <si>
    <t>1310562</t>
  </si>
  <si>
    <t>1310563</t>
  </si>
  <si>
    <t>1310572</t>
  </si>
  <si>
    <t>1310579</t>
  </si>
  <si>
    <t>1310603</t>
  </si>
  <si>
    <t>1310604</t>
  </si>
  <si>
    <t>1310605</t>
  </si>
  <si>
    <t>1310606</t>
  </si>
  <si>
    <t>1310607</t>
  </si>
  <si>
    <t>1310616</t>
  </si>
  <si>
    <t>1310622</t>
  </si>
  <si>
    <t>1310623</t>
  </si>
  <si>
    <t>1310641</t>
  </si>
  <si>
    <t>1310658</t>
  </si>
  <si>
    <t>1310659</t>
  </si>
  <si>
    <t>1310661</t>
  </si>
  <si>
    <t>1310672</t>
  </si>
  <si>
    <t>1310646</t>
  </si>
  <si>
    <t>2300527</t>
  </si>
  <si>
    <t>2300528</t>
  </si>
  <si>
    <t>2300529</t>
  </si>
  <si>
    <t>2300549</t>
  </si>
  <si>
    <t>Burghof, MedicoTec Medizintechnik</t>
  </si>
  <si>
    <t>1310640</t>
  </si>
  <si>
    <t>MedicoTec Medizintechnik GmbH</t>
  </si>
  <si>
    <t>Burghof, Medico</t>
  </si>
  <si>
    <t>1310582</t>
  </si>
  <si>
    <t>1310084</t>
  </si>
  <si>
    <t>27.11.2025</t>
  </si>
  <si>
    <t>1310171</t>
  </si>
  <si>
    <t>06.12.2025</t>
  </si>
  <si>
    <t>1310406</t>
  </si>
  <si>
    <t>28.11.2025</t>
  </si>
  <si>
    <t>1310425</t>
  </si>
  <si>
    <t>1310438</t>
  </si>
  <si>
    <t>03.12.2025</t>
  </si>
  <si>
    <t>02.01.2026</t>
  </si>
  <si>
    <t>1310505</t>
  </si>
  <si>
    <t>1310583</t>
  </si>
  <si>
    <t>1310676</t>
  </si>
  <si>
    <t>1310680</t>
  </si>
  <si>
    <t>2300535</t>
  </si>
  <si>
    <t>11.01.2026</t>
  </si>
  <si>
    <t>2300536</t>
  </si>
  <si>
    <t>2300537</t>
  </si>
  <si>
    <t>1310198</t>
  </si>
  <si>
    <t>11.11.2025</t>
  </si>
  <si>
    <t>1310601</t>
  </si>
  <si>
    <t>Dresden, Nephrologische Gemeinschaftspra</t>
  </si>
  <si>
    <t>1310173</t>
  </si>
  <si>
    <t>Dresden, Nephro</t>
  </si>
  <si>
    <t>1310466</t>
  </si>
  <si>
    <t>1310552</t>
  </si>
  <si>
    <t>1310634</t>
  </si>
  <si>
    <t>1310642</t>
  </si>
  <si>
    <t>1310645</t>
  </si>
  <si>
    <t>1310502</t>
  </si>
  <si>
    <t>1310574</t>
  </si>
  <si>
    <t>1310673</t>
  </si>
  <si>
    <t>1310399</t>
  </si>
  <si>
    <t>Erlangen, Universitätsklinikum</t>
  </si>
  <si>
    <t>1310590</t>
  </si>
  <si>
    <t>Universitätsklinikum Erlangen</t>
  </si>
  <si>
    <t>Erlangen, Unive</t>
  </si>
  <si>
    <t>1310529</t>
  </si>
  <si>
    <t>10.01.2026</t>
  </si>
  <si>
    <t>Grenzland MVZ Furth im Wald</t>
  </si>
  <si>
    <t>1309885</t>
  </si>
  <si>
    <t>07.10.2025</t>
  </si>
  <si>
    <t>1309975</t>
  </si>
  <si>
    <t>15.11.2025</t>
  </si>
  <si>
    <t>1310103</t>
  </si>
  <si>
    <t>29.11.2025</t>
  </si>
  <si>
    <t>1310265</t>
  </si>
  <si>
    <t>14.12.2025</t>
  </si>
  <si>
    <t>1310479</t>
  </si>
  <si>
    <t>1310597</t>
  </si>
  <si>
    <t>Guben, Diakoniekrankenhaus Naemi-Wilke</t>
  </si>
  <si>
    <t>1310463</t>
  </si>
  <si>
    <t>1310464</t>
  </si>
  <si>
    <t>1310566</t>
  </si>
  <si>
    <t>1310581</t>
  </si>
  <si>
    <t>1310678</t>
  </si>
  <si>
    <t>1310575</t>
  </si>
  <si>
    <t>Hamburg, PROVIREX</t>
  </si>
  <si>
    <t>1310586</t>
  </si>
  <si>
    <t>1310625</t>
  </si>
  <si>
    <t>Hüfingen, HAEMO-Pro GmbH</t>
  </si>
  <si>
    <t>1310638</t>
  </si>
  <si>
    <t>Heidelberg, Klinik Sankt Elisabeth GmbH</t>
  </si>
  <si>
    <t>1310657</t>
  </si>
  <si>
    <t>1310449</t>
  </si>
  <si>
    <t>DRK Blutspendedienst West gGmbH</t>
  </si>
  <si>
    <t>Hilter a.T.W., B. Braun</t>
  </si>
  <si>
    <t>1310649</t>
  </si>
  <si>
    <t>B. Braun Gesundheitszentren GmbH</t>
  </si>
  <si>
    <t xml:space="preserve">Hilter a.T.W., </t>
  </si>
  <si>
    <t>1310650</t>
  </si>
  <si>
    <t>1500281</t>
  </si>
  <si>
    <t>1500282</t>
  </si>
  <si>
    <t>4301024</t>
  </si>
  <si>
    <t>Kreisklinik Jugenheim</t>
  </si>
  <si>
    <t>1309985</t>
  </si>
  <si>
    <t>GUTSCHRIFT ÜBERWEISUNGSVWZ+RG 1309985 v.17.10.2025 abzgl. 1</t>
  </si>
  <si>
    <t>1500276</t>
  </si>
  <si>
    <t>Krefeld, HELIOS Beschaffungsmanagement GmbH</t>
  </si>
  <si>
    <t>1310500</t>
  </si>
  <si>
    <t>1310655</t>
  </si>
  <si>
    <t>1310669</t>
  </si>
  <si>
    <t>1310143</t>
  </si>
  <si>
    <t>04.11.2025</t>
  </si>
  <si>
    <t>1310202</t>
  </si>
  <si>
    <t>1310299</t>
  </si>
  <si>
    <t>1310356</t>
  </si>
  <si>
    <t>1310422</t>
  </si>
  <si>
    <t>1310683</t>
  </si>
  <si>
    <t>1310309</t>
  </si>
  <si>
    <t>Klinikum Ludwigshafen gGmbH</t>
  </si>
  <si>
    <t>1310450</t>
  </si>
  <si>
    <t>1310507</t>
  </si>
  <si>
    <t>1310595</t>
  </si>
  <si>
    <t>Lingen, Krankenhausapotheke der</t>
  </si>
  <si>
    <t>1310620</t>
  </si>
  <si>
    <t>1310627</t>
  </si>
  <si>
    <t>1310630</t>
  </si>
  <si>
    <t>1310633</t>
  </si>
  <si>
    <t>1310679</t>
  </si>
  <si>
    <t>2300541</t>
  </si>
  <si>
    <t>2300542</t>
  </si>
  <si>
    <t>2300551</t>
  </si>
  <si>
    <t>2500018</t>
  </si>
  <si>
    <t>1310647</t>
  </si>
  <si>
    <t>1310488</t>
  </si>
  <si>
    <t>1310542</t>
  </si>
  <si>
    <t>Mannheim, Dammeyer + Selzer</t>
  </si>
  <si>
    <t>1310652</t>
  </si>
  <si>
    <t>1500280</t>
  </si>
  <si>
    <t>1500279</t>
  </si>
  <si>
    <t>München, Hepa Wash GmbH</t>
  </si>
  <si>
    <t>1310473</t>
  </si>
  <si>
    <t>ADVITOS GmbH</t>
  </si>
  <si>
    <t>München, Hepa W</t>
  </si>
  <si>
    <t>Münster, Universitätsklinikum</t>
  </si>
  <si>
    <t>1310434</t>
  </si>
  <si>
    <t>Universitätsklinikum Münster AöR</t>
  </si>
  <si>
    <t>Münster, Univer</t>
  </si>
  <si>
    <t>1310539</t>
  </si>
  <si>
    <t>1310162</t>
  </si>
  <si>
    <t>1310176</t>
  </si>
  <si>
    <t>4301039</t>
  </si>
  <si>
    <t>4301040</t>
  </si>
  <si>
    <t>SAMMELLASTSCHRIFTEINZUGKREF+AHP7202510231930191MREF+K10982CR</t>
  </si>
  <si>
    <t>SAMMELLASTSCHRIFTEINZUGKREF+AHPQ202510291840281MREF+K10982CR</t>
  </si>
  <si>
    <t>SAMMELLASTSCHRIFTEINZUGKREF+AHRW202512031326211MREF+K10982CR</t>
  </si>
  <si>
    <t>SAMMELLASTSCHRIFTEINZUGKREF+AHTF202512232237061SVWZ+ANZAHL 5</t>
  </si>
  <si>
    <t>1310653</t>
  </si>
  <si>
    <t>Remscheid, Dialysezentrum</t>
  </si>
  <si>
    <t>1310621</t>
  </si>
  <si>
    <t>Diaverum MVZ Am Neuen Garten GmbH</t>
  </si>
  <si>
    <t>Rosenhügeler Strasse 4 a</t>
  </si>
  <si>
    <t>42859</t>
  </si>
  <si>
    <t>Remscheid</t>
  </si>
  <si>
    <t>Dr. Garnier / Dr. Kissinger</t>
  </si>
  <si>
    <t>Remscheid, Dial</t>
  </si>
  <si>
    <t>02191/495140o.</t>
  </si>
  <si>
    <t>1309941</t>
  </si>
  <si>
    <t>14.10.2025</t>
  </si>
  <si>
    <t>13.11.2025</t>
  </si>
  <si>
    <t>GUTSCHRIFT ÜBERWEISUNGEREF+10611/11800ABWA+FB Klinik &amp; Praxi</t>
  </si>
  <si>
    <t>1310459</t>
  </si>
  <si>
    <t>1310475</t>
  </si>
  <si>
    <t>GUTSCHRIFT ÜBERWEISUNGABWA+FB Klinik &amp; Praxis Service, (haft</t>
  </si>
  <si>
    <t>1310629</t>
  </si>
  <si>
    <t>Solingen, Städtisches Klinikum</t>
  </si>
  <si>
    <t>1310596</t>
  </si>
  <si>
    <t>Städtisches Klinikum Solingen</t>
  </si>
  <si>
    <t>Gotenstrasse 1</t>
  </si>
  <si>
    <t>42653</t>
  </si>
  <si>
    <t>Solingen</t>
  </si>
  <si>
    <t>Dialyseabteilung</t>
  </si>
  <si>
    <t>Solingen, Städt</t>
  </si>
  <si>
    <t>+49 212 542418</t>
  </si>
  <si>
    <t>Stuttgart, Leibinger Medizintechnik</t>
  </si>
  <si>
    <t>1310624</t>
  </si>
  <si>
    <t>Leibinger Medizintechnik</t>
  </si>
  <si>
    <t>Stuttgart, Leib</t>
  </si>
  <si>
    <t>1310628</t>
  </si>
  <si>
    <t>Trochtelfingen, wefi medical GmbH</t>
  </si>
  <si>
    <t>1310428</t>
  </si>
  <si>
    <t>1310636</t>
  </si>
  <si>
    <t>4301027</t>
  </si>
  <si>
    <t>4301028</t>
  </si>
  <si>
    <t>1310347</t>
  </si>
  <si>
    <t>25.11.2025</t>
  </si>
  <si>
    <t>25.12.2025</t>
  </si>
  <si>
    <t>Baden, Altra Medical Handelsges.m.b.H. A</t>
  </si>
  <si>
    <t>1310681</t>
  </si>
  <si>
    <t>ALTRA MEDICAL EU</t>
  </si>
  <si>
    <t>Baden, Altra Me</t>
  </si>
  <si>
    <t>1309876</t>
  </si>
  <si>
    <t>1310286</t>
  </si>
  <si>
    <t>18.11.2025</t>
  </si>
  <si>
    <t>1310063</t>
  </si>
  <si>
    <t>1310324</t>
  </si>
  <si>
    <t>1500270</t>
  </si>
  <si>
    <t>17.11.2025</t>
  </si>
  <si>
    <t>1500271</t>
  </si>
  <si>
    <t>1500277</t>
  </si>
  <si>
    <t>1310447</t>
  </si>
  <si>
    <t>Andreas Stürmer MSc. ATU75880227</t>
  </si>
  <si>
    <t>1310307</t>
  </si>
  <si>
    <t>Andreas Stürmer, MSc. EU</t>
  </si>
  <si>
    <t>Andreas Stürmer</t>
  </si>
  <si>
    <t>1310314</t>
  </si>
  <si>
    <t>1310395</t>
  </si>
  <si>
    <t>27.12.2025</t>
  </si>
  <si>
    <t>1309858</t>
  </si>
  <si>
    <t>01.11.2025</t>
  </si>
  <si>
    <t>1309913</t>
  </si>
  <si>
    <t>1309915</t>
  </si>
  <si>
    <t>1310005</t>
  </si>
  <si>
    <t>21.10.2025</t>
  </si>
  <si>
    <t>1310044</t>
  </si>
  <si>
    <t>1310333</t>
  </si>
  <si>
    <t>21.12.2025</t>
  </si>
  <si>
    <t>1310654</t>
  </si>
  <si>
    <t>1310660</t>
  </si>
  <si>
    <t>2300546</t>
  </si>
  <si>
    <t>2300547</t>
  </si>
  <si>
    <t>2300548</t>
  </si>
  <si>
    <t xml:space="preserve">Palma, Cell4Care Spain SL </t>
  </si>
  <si>
    <t>1310348</t>
  </si>
  <si>
    <t>Cell4Care Spain SL EU</t>
  </si>
  <si>
    <t>Palma, Cell4Car</t>
  </si>
  <si>
    <t>2300533</t>
  </si>
  <si>
    <t>2300534</t>
  </si>
  <si>
    <t>Salzburg, Vitality Health GUC GmbH ATU82</t>
  </si>
  <si>
    <t>1310446</t>
  </si>
  <si>
    <t>Vitality Health GUC GmbH EU</t>
  </si>
  <si>
    <t>Salzburg, Vital</t>
  </si>
  <si>
    <t>2300531</t>
  </si>
  <si>
    <t>1310424</t>
  </si>
  <si>
    <t>1310644</t>
  </si>
  <si>
    <t>10.11.2025</t>
  </si>
  <si>
    <t>Articomed Polen DZ</t>
  </si>
  <si>
    <t>1309973</t>
  </si>
  <si>
    <t>Wien, Revisalut GmbH ATU76318012</t>
  </si>
  <si>
    <t>1309928</t>
  </si>
  <si>
    <t>Revisalut GmbH EU</t>
  </si>
  <si>
    <t>Wien, Revisalut</t>
  </si>
  <si>
    <t>1310124</t>
  </si>
  <si>
    <t>1310389</t>
  </si>
  <si>
    <t>1310403</t>
  </si>
  <si>
    <t>1310544</t>
  </si>
  <si>
    <t>1310548</t>
  </si>
  <si>
    <t>1310549</t>
  </si>
  <si>
    <t>1310651</t>
  </si>
  <si>
    <t>1310663</t>
  </si>
  <si>
    <t>Kadima, Bepex Ltd. / Israel</t>
  </si>
  <si>
    <t>1310664</t>
  </si>
  <si>
    <t>Bepex Ltd</t>
  </si>
  <si>
    <t>Kadima, Bepex L</t>
  </si>
  <si>
    <t>4300930</t>
  </si>
  <si>
    <t>4300931</t>
  </si>
  <si>
    <t>4300932</t>
  </si>
  <si>
    <t>4300933</t>
  </si>
  <si>
    <t>4300936</t>
  </si>
  <si>
    <t>23.11.2025</t>
  </si>
  <si>
    <t>4301025</t>
  </si>
  <si>
    <t>4301026</t>
  </si>
  <si>
    <t>4301041</t>
  </si>
  <si>
    <t>1310528</t>
  </si>
  <si>
    <t>19.01.2026</t>
  </si>
  <si>
    <t>ZAHLUNGSEINGANG AUSLANDEREF+OTCL202588202005SVWZ+AUFTRAGG: C</t>
  </si>
  <si>
    <t>1310222</t>
  </si>
  <si>
    <t>1310318</t>
  </si>
  <si>
    <t>1800018</t>
  </si>
  <si>
    <t>ECHTZEIT-GUTSCHRIFTSVWZ+INVOICE 110624</t>
  </si>
  <si>
    <t>&lt;</t>
  </si>
  <si>
    <t>Geleistete Anzahlung</t>
  </si>
  <si>
    <t>Entwicklungskosten JÜKE (Apheresegerät)</t>
  </si>
  <si>
    <t>Rechts- und Beratungskosten adesso SE (MDR)</t>
  </si>
  <si>
    <t xml:space="preserve">Unterstützung unserer QM-Abt. hinsichtlich Dokumentenerstellung für die MDR   ( Medical Device Regulation ) </t>
  </si>
  <si>
    <t>Rechts- und Beratungskosten (MDR)</t>
  </si>
  <si>
    <t>NWC Adjustierung</t>
  </si>
  <si>
    <t>NWC</t>
  </si>
  <si>
    <t>Werthaltigkeit Forderung</t>
  </si>
  <si>
    <t>Bei WC Berechnung rausnehmen</t>
  </si>
  <si>
    <t>TWC reported</t>
  </si>
  <si>
    <t>TWC adjusted</t>
  </si>
  <si>
    <t>Kaufpreisbestimmung - Equity Bridge</t>
  </si>
  <si>
    <t>in Euro</t>
  </si>
  <si>
    <t>Stand 10.02.2026</t>
  </si>
  <si>
    <t>Konto Nr.</t>
  </si>
  <si>
    <t>Bilanzpositionen</t>
  </si>
  <si>
    <t>Net Debt</t>
  </si>
  <si>
    <t>Auswirkung auf den Kaufpreis</t>
  </si>
  <si>
    <t>Ergebnis</t>
  </si>
  <si>
    <t>SUSA</t>
  </si>
  <si>
    <t>entgeltlich erworbene Konzessionen,
gewerbliche Schutzrechte und ähnliehe
Rechte und Werte sowie
Lizenzen an solchen Rechten und Werten</t>
  </si>
  <si>
    <t>Anzahlungen auf technische Anlagen</t>
  </si>
  <si>
    <t>Anzahlung Betriebs- u. Gesch.ausstattung</t>
  </si>
  <si>
    <t>+</t>
  </si>
  <si>
    <t>Ø </t>
  </si>
  <si>
    <t>Erhalt. Anzahlungen auf Bestellungen</t>
  </si>
  <si>
    <t>Forderungen aus Lieferungen und Leistungen</t>
  </si>
  <si>
    <t>Forderungen gg. Gesellschafter H.G.Meise</t>
  </si>
  <si>
    <t>Kassenbestand, Bundesbankguthaben etc.</t>
  </si>
  <si>
    <t xml:space="preserve">Rechnungsabgrenzungposten </t>
  </si>
  <si>
    <t>Eigenkapital</t>
  </si>
  <si>
    <t>Rückstellungen für Pensionen und ähnliche Verpflichtungen</t>
  </si>
  <si>
    <t xml:space="preserve">Sonstige Rückstellungen </t>
  </si>
  <si>
    <t>Verbindlichkeiten ggü. Kreditinstituten</t>
  </si>
  <si>
    <t>Sparkasse an Volme und Ruhr 6036050976</t>
  </si>
  <si>
    <t xml:space="preserve">Verbindlichkeiten aus Lieferungen und Leistungen </t>
  </si>
  <si>
    <t>Verbindlichk. a. Einbehaltung (KapESt)</t>
  </si>
  <si>
    <t>Abziehbare Vorsteuer 5%</t>
  </si>
  <si>
    <t>Abziehbare Vorsteuer aus EU-Erwerb</t>
  </si>
  <si>
    <t>Abziehbare Vorsteuer 16%</t>
  </si>
  <si>
    <t>Abziehbare Vorsteuer§ 13b UStG 16%</t>
  </si>
  <si>
    <t>Abziehbare Vorsteuer aus EU-Erwerb 16%</t>
  </si>
  <si>
    <t>Umsatzsteuer aus EU-Erwerb</t>
  </si>
  <si>
    <t>Umsatzsteuer 16%</t>
  </si>
  <si>
    <t>Umsatzsteuer nach § 13b UStG</t>
  </si>
  <si>
    <t>Umsatzsteuer aus EU-Erwerb 16%</t>
  </si>
  <si>
    <t>Umsatzsteuer Vorjahr</t>
  </si>
  <si>
    <t>Kontrolle:</t>
  </si>
  <si>
    <t>Net Working Capital Berechnung</t>
  </si>
  <si>
    <t>Total NWC</t>
  </si>
  <si>
    <t>in% zur Gesamtleistung</t>
  </si>
  <si>
    <t>Bestimmung Soll-NWC</t>
  </si>
  <si>
    <t>2020-2024</t>
  </si>
  <si>
    <t>2021-2025</t>
  </si>
  <si>
    <t>Durchschnittswert: NWC / Gesamtleistung</t>
  </si>
  <si>
    <t>langfristiger Durchschnitt ist realistisch, da NWC aufgrund Medica Situation in 2023-2025 erhöht war</t>
  </si>
  <si>
    <t>NWC Anpassungsbetrag</t>
  </si>
  <si>
    <t>Net Debt Berechnung</t>
  </si>
  <si>
    <t>Kassenbestand &amp; Bankguthaben</t>
  </si>
  <si>
    <t>Saldo Net Debt</t>
  </si>
  <si>
    <t>Equity Value Berechnung</t>
  </si>
  <si>
    <t>Total Equity Bridge</t>
  </si>
  <si>
    <t>HM berücksichtigt hier nicht Rückstellungen für Abschluss u. Prüfung</t>
  </si>
  <si>
    <t>Target NWC</t>
  </si>
  <si>
    <t>HM berücksichtigt dies als Net Debt Item</t>
  </si>
  <si>
    <t>HM berücksichtigt alle Steuerverbindlichkeiten als Net Debt</t>
  </si>
  <si>
    <t>Daten aus Equity Bridge HM übertragen</t>
  </si>
  <si>
    <t>Werte geschätzt</t>
  </si>
  <si>
    <t>in % Umsatzerlöse</t>
  </si>
  <si>
    <t>NWC reported</t>
  </si>
  <si>
    <t>NWC adjusted</t>
  </si>
  <si>
    <t>Durchschnitt</t>
  </si>
  <si>
    <t>5J</t>
  </si>
  <si>
    <t>4J</t>
  </si>
  <si>
    <t>3J</t>
  </si>
  <si>
    <t>TWC adjusted in %</t>
  </si>
  <si>
    <t>NWC adjusted in %</t>
  </si>
  <si>
    <t>NWC Anpassung</t>
  </si>
  <si>
    <t>NWC Target</t>
  </si>
  <si>
    <t>Beratungskosten MDR GJ26</t>
  </si>
  <si>
    <t>RHB-Aufwand</t>
  </si>
  <si>
    <t>AFERSMART</t>
  </si>
  <si>
    <t>FIXED ASSETS</t>
  </si>
  <si>
    <t>Umsatzeffekt</t>
  </si>
  <si>
    <t>Kapbindungseffekt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</si>
</sst>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164" formatCode="_(* #,##0.00_);_(* \(#,##0.00\);_(* &quot;-&quot;??_);_(@_)"/>
    <numFmt numFmtId="165" formatCode="_(* #,##0_);_(* \(#,##0\);_(* &quot;-&quot;?_);@_)"/>
    <numFmt numFmtId="166" formatCode="&quot;FY&quot;yy"/>
    <numFmt numFmtId="167" formatCode="&quot;GJ&quot;yy"/>
    <numFmt numFmtId="168" formatCode="mmmyy"/>
    <numFmt numFmtId="169" formatCode="[$-409]mmmyy"/>
    <numFmt numFmtId="170" formatCode="0.0%_);\(0.0%\)"/>
    <numFmt numFmtId="171" formatCode="0.0%"/>
    <numFmt numFmtId="172" formatCode="_-* #,##0_-;\-* #,##0_-;_-* &quot;-&quot;??_-;_-@_-"/>
    <numFmt numFmtId="173" formatCode="&quot;[&quot;0&quot;]&quot;"/>
    <numFmt numFmtId="174" formatCode="_(* #,##0.00_);_(* \(#,##0.00\);_(* &quot;-&quot;?_);@_)"/>
    <numFmt numFmtId="175" formatCode="#,##0_);\(#,##0\);&quot;-&quot;_);@_)"/>
    <numFmt numFmtId="176" formatCode="_(* #,##0.0_);_(* \(#,##0.0\);_(* &quot;-&quot;?_);@_)"/>
    <numFmt numFmtId="177" formatCode="_(* #,##0.000_);_(* \(#,##0.000\);_(* &quot;-&quot;?_);@_)"/>
    <numFmt numFmtId="178" formatCode="_-* #,##0.00\ _€_-;\-* #,##0.00\ _€_-;_-* &quot;-&quot;??\ _€_-;_-@_-"/>
    <numFmt numFmtId="179" formatCode="#;\-#;#"/>
    <numFmt numFmtId="180" formatCode="#,###,###,###,###,##0.00"/>
    <numFmt numFmtId="181" formatCode="#####"/>
    <numFmt numFmtId="182" formatCode="#0"/>
    <numFmt numFmtId="183" formatCode="##0"/>
    <numFmt numFmtId="184" formatCode="#0.00"/>
    <numFmt numFmtId="185" formatCode="#,###,###,##0"/>
    <numFmt numFmtId="186" formatCode="#,##0.0;\-#,##0.0;&quot;-&quot;"/>
    <numFmt numFmtId="187" formatCode="#,##0.00;\-#,##0.00;&quot;-&quot;"/>
    <numFmt numFmtId="188" formatCode="##,###,###,###,###,###,##0.00"/>
    <numFmt numFmtId="189" formatCode="_(* #,##0_);_(* \(#,##0\);_(* &quot;-&quot;??_);_(@_)"/>
    <numFmt numFmtId="190" formatCode="#,##0,"/>
    <numFmt numFmtId="191" formatCode="#,##0.00,"/>
    <numFmt numFmtId="192" formatCode="#,##0.0000,"/>
    <numFmt numFmtId="193" formatCode="#,##0.000,"/>
    <numFmt numFmtId="194" formatCode="_-* #,##0.0\ _€_-;\-* #,##0.0\ _€_-;_-* &quot;-&quot;?\ _€_-;_-@_-"/>
    <numFmt numFmtId="195" formatCode="_ * #,##0_ ;_ * \-#,##0_ ;_ * &quot;-&quot;??_ ;_ @_ "/>
    <numFmt numFmtId="196" formatCode="_ * #,##0.000_ ;_ * \-#,##0.000_ ;_ * &quot;-&quot;??_ ;_ @_ "/>
  </numFmts>
  <fonts count="81" x14ac:knownFonts="1">
    <font>
      <sz val="11"/>
      <color theme="1"/>
      <name val="Calibri"/>
      <family val="2"/>
      <scheme val="minor"/>
    </font>
    <font>
      <sz val="8"/>
      <color theme="1"/>
      <name val="Arial"/>
      <family val="2"/>
    </font>
    <font>
      <sz val="8"/>
      <color theme="1"/>
      <name val="Arial"/>
      <family val="2"/>
    </font>
    <font>
      <sz val="8"/>
      <color theme="1"/>
      <name val="Arial"/>
      <family val="2"/>
    </font>
    <font>
      <sz val="8"/>
      <color theme="1"/>
      <name val="Arial"/>
      <family val="2"/>
    </font>
    <font>
      <sz val="8"/>
      <color theme="1"/>
      <name val="Arial"/>
      <family val="2"/>
    </font>
    <font>
      <sz val="8"/>
      <color theme="1"/>
      <name val="Arial"/>
      <family val="2"/>
    </font>
    <font>
      <sz val="8"/>
      <color theme="1"/>
      <name val="Arial"/>
      <family val="2"/>
    </font>
    <font>
      <sz val="11"/>
      <color theme="1"/>
      <name val="Calibri"/>
      <family val="2"/>
      <scheme val="minor"/>
    </font>
    <font>
      <b/>
      <sz val="8"/>
      <color theme="0"/>
      <name val="Arial"/>
      <family val="2"/>
    </font>
    <font>
      <sz val="8"/>
      <color rgb="FFFF0000"/>
      <name val="Arial"/>
      <family val="2"/>
    </font>
    <font>
      <b/>
      <sz val="8"/>
      <color theme="1"/>
      <name val="Arial"/>
      <family val="2"/>
    </font>
    <font>
      <sz val="8"/>
      <color theme="0"/>
      <name val="Arial"/>
      <family val="2"/>
    </font>
    <font>
      <sz val="9"/>
      <color theme="1"/>
      <name val="Arial"/>
      <family val="2"/>
    </font>
    <font>
      <sz val="10"/>
      <color theme="1"/>
      <name val="Arial"/>
      <family val="2"/>
    </font>
    <font>
      <b/>
      <sz val="11"/>
      <color theme="1"/>
      <name val="Arial"/>
      <family val="2"/>
    </font>
    <font>
      <b/>
      <sz val="16"/>
      <color rgb="FFFF0000"/>
      <name val="Arial"/>
      <family val="2"/>
    </font>
    <font>
      <b/>
      <sz val="72"/>
      <color theme="1"/>
      <name val="Arial"/>
      <family val="2"/>
    </font>
    <font>
      <b/>
      <sz val="36"/>
      <color theme="1"/>
      <name val="Arial"/>
      <family val="2"/>
    </font>
    <font>
      <sz val="11"/>
      <color theme="1"/>
      <name val="Arial"/>
      <family val="2"/>
    </font>
    <font>
      <b/>
      <sz val="9"/>
      <color theme="0"/>
      <name val="Arial"/>
      <family val="2"/>
    </font>
    <font>
      <sz val="9"/>
      <color rgb="FF1F497D"/>
      <name val="Arial"/>
      <family val="2"/>
    </font>
    <font>
      <b/>
      <sz val="8"/>
      <color rgb="FFFFFFFF"/>
      <name val="Arial"/>
      <family val="2"/>
    </font>
    <font>
      <sz val="9"/>
      <color theme="0"/>
      <name val="Arial"/>
      <family val="2"/>
    </font>
    <font>
      <sz val="8"/>
      <color theme="1" tint="0.24994659260841701"/>
      <name val="Arial"/>
      <family val="2"/>
    </font>
    <font>
      <b/>
      <sz val="9"/>
      <color rgb="FF1F497D"/>
      <name val="Arial"/>
      <family val="2"/>
    </font>
    <font>
      <b/>
      <sz val="9"/>
      <color indexed="81"/>
      <name val="Tahoma"/>
      <family val="2"/>
    </font>
    <font>
      <sz val="9"/>
      <color indexed="81"/>
      <name val="Tahoma"/>
      <family val="2"/>
    </font>
    <font>
      <b/>
      <sz val="9"/>
      <color theme="1"/>
      <name val="Arial"/>
      <family val="2"/>
    </font>
    <font>
      <i/>
      <sz val="9"/>
      <color theme="1"/>
      <name val="Arial"/>
      <family val="2"/>
    </font>
    <font>
      <sz val="8"/>
      <name val="Arial"/>
      <family val="2"/>
    </font>
    <font>
      <b/>
      <sz val="8"/>
      <color rgb="FFC9EC51"/>
      <name val="Arial"/>
      <family val="2"/>
    </font>
    <font>
      <b/>
      <sz val="8"/>
      <color rgb="FFFF0000"/>
      <name val="Arial"/>
      <family val="2"/>
    </font>
    <font>
      <sz val="9"/>
      <color theme="0" tint="-0.34998626667073579"/>
      <name val="Arial"/>
      <family val="2"/>
    </font>
    <font>
      <sz val="10"/>
      <name val="Arial"/>
      <family val="2"/>
    </font>
    <font>
      <b/>
      <sz val="10"/>
      <name val="Arial"/>
      <family val="2"/>
    </font>
    <font>
      <sz val="8"/>
      <color rgb="FF0070C0"/>
      <name val="Arial"/>
      <family val="2"/>
    </font>
    <font>
      <sz val="9"/>
      <name val="Arial"/>
      <family val="2"/>
    </font>
    <font>
      <b/>
      <sz val="9"/>
      <name val="Arial"/>
      <family val="2"/>
    </font>
    <font>
      <sz val="8"/>
      <color theme="1" tint="0.249977111117893"/>
      <name val="Arial"/>
      <family val="2"/>
    </font>
    <font>
      <b/>
      <sz val="8"/>
      <name val="Arial"/>
      <family val="2"/>
    </font>
    <font>
      <sz val="9"/>
      <color theme="1" tint="0.249977111117893"/>
      <name val="Arial"/>
      <family val="2"/>
    </font>
    <font>
      <b/>
      <sz val="8"/>
      <color theme="1" tint="0.24994659260841701"/>
      <name val="Arial"/>
      <family val="2"/>
    </font>
    <font>
      <b/>
      <sz val="8"/>
      <color theme="1" tint="0.249977111117893"/>
      <name val="Arial"/>
      <family val="2"/>
    </font>
    <font>
      <b/>
      <sz val="8"/>
      <color theme="7"/>
      <name val="Arial"/>
      <family val="2"/>
    </font>
    <font>
      <sz val="11"/>
      <color rgb="FFFF0000"/>
      <name val="Calibri"/>
      <family val="2"/>
      <scheme val="minor"/>
    </font>
    <font>
      <sz val="9"/>
      <color theme="1"/>
      <name val="Calibri"/>
      <family val="2"/>
      <scheme val="minor"/>
    </font>
    <font>
      <i/>
      <sz val="8"/>
      <color theme="1"/>
      <name val="Arial"/>
      <family val="2"/>
    </font>
    <font>
      <b/>
      <i/>
      <sz val="8"/>
      <color theme="1"/>
      <name val="Arial"/>
      <family val="2"/>
    </font>
    <font>
      <sz val="9"/>
      <color theme="0" tint="-0.499984740745262"/>
      <name val="Arial"/>
      <family val="2"/>
    </font>
    <font>
      <b/>
      <u/>
      <sz val="8"/>
      <name val="Arial"/>
      <family val="2"/>
    </font>
    <font>
      <sz val="9"/>
      <color rgb="FF00B0F0"/>
      <name val="Arial"/>
      <family val="2"/>
    </font>
    <font>
      <sz val="8"/>
      <color theme="0" tint="-0.249977111117893"/>
      <name val="Arial"/>
      <family val="2"/>
    </font>
    <font>
      <i/>
      <sz val="8"/>
      <name val="Arial"/>
      <family val="2"/>
    </font>
    <font>
      <b/>
      <u/>
      <sz val="8"/>
      <color rgb="FFFF0000"/>
      <name val="Arial"/>
      <family val="2"/>
    </font>
    <font>
      <sz val="9"/>
      <color rgb="FFFF0000"/>
      <name val="Arial"/>
      <family val="2"/>
    </font>
    <font>
      <sz val="11"/>
      <color rgb="FFFF0000"/>
      <name val="Calibri"/>
      <family val="2"/>
    </font>
    <font>
      <b/>
      <sz val="11"/>
      <color theme="1"/>
      <name val="Calibri"/>
      <family val="2"/>
      <scheme val="minor"/>
    </font>
    <font>
      <i/>
      <sz val="8"/>
      <color theme="7"/>
      <name val="Arial"/>
      <family val="2"/>
    </font>
    <font>
      <b/>
      <sz val="11"/>
      <name val="Calibri"/>
      <family val="2"/>
    </font>
    <font>
      <sz val="8"/>
      <color rgb="FFD3D3D3"/>
      <name val="Calibri"/>
      <family val="2"/>
    </font>
    <font>
      <b/>
      <sz val="11"/>
      <color theme="0"/>
      <name val="Calibri"/>
      <family val="2"/>
    </font>
    <font>
      <b/>
      <sz val="9"/>
      <color rgb="FFFF0000"/>
      <name val="Arial"/>
      <family val="2"/>
    </font>
    <font>
      <sz val="8"/>
      <color rgb="FF006100"/>
      <name val="Arial"/>
      <family val="2"/>
    </font>
    <font>
      <b/>
      <sz val="10"/>
      <color rgb="FF006100"/>
      <name val="Arial"/>
      <family val="2"/>
    </font>
    <font>
      <b/>
      <sz val="11"/>
      <color theme="1"/>
      <name val="Calibri"/>
      <family val="2"/>
      <scheme val="minor"/>
    </font>
    <font>
      <b/>
      <sz val="10"/>
      <color theme="0"/>
      <name val="Arial"/>
      <family val="2"/>
    </font>
    <font>
      <b/>
      <sz val="10"/>
      <color theme="1"/>
      <name val="Arial"/>
      <family val="2"/>
    </font>
    <font>
      <b/>
      <sz val="11"/>
      <color theme="0" tint="-0.34998626667073579"/>
      <name val="Arial"/>
      <family val="2"/>
    </font>
    <font>
      <sz val="11"/>
      <color theme="0" tint="-0.34998626667073579"/>
      <name val="Arial"/>
      <family val="2"/>
    </font>
    <font>
      <sz val="10"/>
      <color theme="0" tint="-0.34998626667073579"/>
      <name val="Arial"/>
      <family val="2"/>
    </font>
    <font>
      <sz val="11"/>
      <color theme="0" tint="-0.249977111117893"/>
      <name val="Arial"/>
      <family val="2"/>
    </font>
    <font>
      <sz val="10"/>
      <color rgb="FFFF0000"/>
      <name val="Arial"/>
      <family val="2"/>
    </font>
    <font>
      <sz val="11"/>
      <color rgb="FFFF0000"/>
      <name val="Arial"/>
      <family val="2"/>
    </font>
    <font>
      <b/>
      <sz val="11"/>
      <color rgb="FF00B050"/>
      <name val="Calibri"/>
      <family val="2"/>
      <scheme val="minor"/>
    </font>
    <font>
      <sz val="12"/>
      <color theme="0"/>
      <name val="Arial"/>
      <family val="2"/>
    </font>
    <font>
      <b/>
      <sz val="12"/>
      <color theme="0"/>
      <name val="Arial"/>
      <family val="2"/>
    </font>
    <font>
      <i/>
      <sz val="12"/>
      <color theme="0"/>
      <name val="Arial"/>
      <family val="2"/>
    </font>
    <font>
      <b/>
      <i/>
      <sz val="10"/>
      <color theme="1"/>
      <name val="Arial"/>
      <family val="2"/>
    </font>
    <font>
      <i/>
      <sz val="10"/>
      <color theme="1"/>
      <name val="Arial"/>
      <family val="2"/>
    </font>
    <font>
      <sz val="10"/>
      <color theme="0"/>
      <name val="Arial"/>
      <family val="2"/>
    </font>
  </fonts>
  <fills count="55">
    <fill>
      <patternFill patternType="none"/>
    </fill>
    <fill>
      <patternFill patternType="gray125"/>
    </fill>
    <fill>
      <patternFill patternType="solid">
        <fgColor rgb="FFFFFF00"/>
        <bgColor indexed="64"/>
      </patternFill>
    </fill>
    <fill>
      <patternFill patternType="solid">
        <fgColor rgb="FFD9D9D6"/>
        <bgColor indexed="64"/>
      </patternFill>
    </fill>
    <fill>
      <patternFill patternType="lightUp">
        <fgColor theme="0" tint="-0.499984740745262"/>
        <bgColor rgb="FFC0C0C0"/>
      </patternFill>
    </fill>
    <fill>
      <patternFill patternType="solid">
        <fgColor rgb="FFC0C0C0"/>
        <bgColor indexed="64"/>
      </patternFill>
    </fill>
    <fill>
      <patternFill patternType="solid">
        <fgColor theme="0"/>
        <bgColor indexed="64"/>
      </patternFill>
    </fill>
    <fill>
      <patternFill patternType="solid">
        <fgColor theme="8"/>
        <bgColor indexed="64"/>
      </patternFill>
    </fill>
    <fill>
      <patternFill patternType="solid">
        <fgColor rgb="FF00B0F0"/>
        <bgColor indexed="64"/>
      </patternFill>
    </fill>
    <fill>
      <patternFill patternType="solid">
        <fgColor rgb="FF17191F"/>
        <bgColor indexed="64"/>
      </patternFill>
    </fill>
    <fill>
      <patternFill patternType="solid">
        <fgColor rgb="FF81DCDA"/>
        <bgColor indexed="64"/>
      </patternFill>
    </fill>
    <fill>
      <patternFill patternType="solid">
        <fgColor theme="7"/>
        <bgColor indexed="64"/>
      </patternFill>
    </fill>
    <fill>
      <patternFill patternType="solid">
        <fgColor rgb="FFCEE7FE"/>
        <bgColor indexed="64"/>
      </patternFill>
    </fill>
    <fill>
      <patternFill patternType="solid">
        <fgColor rgb="FFFFC000"/>
        <bgColor indexed="64"/>
      </patternFill>
    </fill>
    <fill>
      <patternFill patternType="solid">
        <fgColor theme="0" tint="-0.249977111117893"/>
        <bgColor indexed="64"/>
      </patternFill>
    </fill>
    <fill>
      <patternFill patternType="solid">
        <fgColor theme="1" tint="0.249977111117893"/>
        <bgColor indexed="64"/>
      </patternFill>
    </fill>
    <fill>
      <patternFill patternType="solid">
        <fgColor rgb="FFF4F4F3"/>
        <bgColor indexed="64"/>
      </patternFill>
    </fill>
    <fill>
      <patternFill patternType="solid">
        <fgColor rgb="FFDCE0E6"/>
        <bgColor indexed="64"/>
      </patternFill>
    </fill>
    <fill>
      <patternFill patternType="solid">
        <fgColor rgb="FFC1EAE6"/>
        <bgColor indexed="64"/>
      </patternFill>
    </fill>
    <fill>
      <patternFill patternType="solid">
        <fgColor rgb="FFB3B3B3"/>
        <bgColor indexed="64"/>
      </patternFill>
    </fill>
    <fill>
      <patternFill patternType="lightUp">
        <fgColor theme="0" tint="-0.499984740745262"/>
        <bgColor rgb="FFCEE7FE"/>
      </patternFill>
    </fill>
    <fill>
      <patternFill patternType="lightUp">
        <fgColor theme="0" tint="-0.499984740745262"/>
        <bgColor rgb="FF81DCDA"/>
      </patternFill>
    </fill>
    <fill>
      <patternFill patternType="lightUp">
        <fgColor theme="0" tint="-0.499984740745262"/>
        <bgColor rgb="FFB3B3B3"/>
      </patternFill>
    </fill>
    <fill>
      <patternFill patternType="lightUp">
        <fgColor theme="0" tint="-0.499984740745262"/>
        <bgColor theme="0"/>
      </patternFill>
    </fill>
    <fill>
      <patternFill patternType="solid">
        <fgColor theme="1"/>
        <bgColor indexed="64"/>
      </patternFill>
    </fill>
    <fill>
      <patternFill patternType="lightUp">
        <bgColor theme="0"/>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4"/>
        <bgColor indexed="64"/>
      </patternFill>
    </fill>
    <fill>
      <patternFill patternType="solid">
        <fgColor theme="3" tint="0.79998168889431442"/>
        <bgColor indexed="64"/>
      </patternFill>
    </fill>
    <fill>
      <patternFill patternType="solid">
        <fgColor rgb="FFFF0000"/>
        <bgColor indexed="64"/>
      </patternFill>
    </fill>
    <fill>
      <patternFill patternType="solid">
        <fgColor rgb="FF49BAA9"/>
      </patternFill>
    </fill>
    <fill>
      <patternFill patternType="solid">
        <fgColor theme="2" tint="0.79998168889431442"/>
        <bgColor indexed="64"/>
      </patternFill>
    </fill>
    <fill>
      <patternFill patternType="solid">
        <fgColor theme="2" tint="0.39997558519241921"/>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5"/>
        <bgColor indexed="64"/>
      </patternFill>
    </fill>
    <fill>
      <patternFill patternType="solid">
        <fgColor theme="6" tint="0.79998168889431442"/>
        <bgColor indexed="64"/>
      </patternFill>
    </fill>
    <fill>
      <patternFill patternType="solid">
        <fgColor rgb="FF00B050"/>
        <bgColor indexed="64"/>
      </patternFill>
    </fill>
    <fill>
      <patternFill patternType="solid">
        <fgColor theme="8" tint="0.499984740745262"/>
        <bgColor indexed="64"/>
      </patternFill>
    </fill>
    <fill>
      <patternFill patternType="solid">
        <fgColor theme="2" tint="0.59999389629810485"/>
        <bgColor indexed="64"/>
      </patternFill>
    </fill>
    <fill>
      <patternFill patternType="solid">
        <fgColor rgb="FFC6EFCE"/>
      </patternFill>
    </fill>
    <fill>
      <patternFill patternType="solid">
        <fgColor rgb="FFB4B4B4"/>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rgb="FFB1905F"/>
        <bgColor indexed="64"/>
      </patternFill>
    </fill>
    <fill>
      <patternFill patternType="solid">
        <fgColor rgb="FF92D050"/>
        <bgColor indexed="64"/>
      </patternFill>
    </fill>
    <fill>
      <patternFill patternType="solid">
        <fgColor rgb="FF9D9D9C"/>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5" tint="0.39997558519241921"/>
        <bgColor indexed="64"/>
      </patternFill>
    </fill>
  </fills>
  <borders count="35">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dashed">
        <color rgb="FF1F497D"/>
      </left>
      <right style="dashed">
        <color rgb="FF1F497D"/>
      </right>
      <top style="dashed">
        <color rgb="FF1F497D"/>
      </top>
      <bottom style="dashed">
        <color rgb="FF1F497D"/>
      </bottom>
      <diagonal/>
    </border>
    <border>
      <left/>
      <right/>
      <top style="thin">
        <color rgb="FF1F497D"/>
      </top>
      <bottom style="thin">
        <color rgb="FF1F497D"/>
      </bottom>
      <diagonal/>
    </border>
    <border>
      <left style="thin">
        <color rgb="FF1F497D"/>
      </left>
      <right/>
      <top style="thin">
        <color rgb="FF1F497D"/>
      </top>
      <bottom style="thin">
        <color rgb="FF1F497D"/>
      </bottom>
      <diagonal/>
    </border>
    <border>
      <left style="dotted">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rgb="FF00AEEC"/>
      </bottom>
      <diagonal/>
    </border>
    <border>
      <left/>
      <right/>
      <top style="thin">
        <color theme="7"/>
      </top>
      <bottom style="thin">
        <color theme="7"/>
      </bottom>
      <diagonal/>
    </border>
    <border>
      <left/>
      <right/>
      <top style="thin">
        <color theme="7"/>
      </top>
      <bottom/>
      <diagonal/>
    </border>
    <border>
      <left/>
      <right/>
      <top style="thin">
        <color rgb="FF00AEEC"/>
      </top>
      <bottom/>
      <diagonal/>
    </border>
    <border>
      <left/>
      <right/>
      <top style="thin">
        <color indexed="64"/>
      </top>
      <bottom style="medium">
        <color indexed="64"/>
      </bottom>
      <diagonal/>
    </border>
    <border>
      <left/>
      <right/>
      <top/>
      <bottom style="thin">
        <color theme="0"/>
      </bottom>
      <diagonal/>
    </border>
    <border>
      <left/>
      <right/>
      <top style="thin">
        <color auto="1"/>
      </top>
      <bottom style="thick">
        <color auto="1"/>
      </bottom>
      <diagonal/>
    </border>
    <border>
      <left/>
      <right/>
      <top style="thick">
        <color auto="1"/>
      </top>
      <bottom/>
      <diagonal/>
    </border>
    <border>
      <left/>
      <right/>
      <top/>
      <bottom style="thick">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style="thick">
        <color auto="1"/>
      </bottom>
      <diagonal/>
    </border>
    <border>
      <left/>
      <right style="thin">
        <color auto="1"/>
      </right>
      <top/>
      <bottom style="thick">
        <color auto="1"/>
      </bottom>
      <diagonal/>
    </border>
  </borders>
  <cellStyleXfs count="49">
    <xf numFmtId="0" fontId="0" fillId="0" borderId="0"/>
    <xf numFmtId="0" fontId="13" fillId="0" borderId="0"/>
    <xf numFmtId="165" fontId="13" fillId="6" borderId="9"/>
    <xf numFmtId="0" fontId="20" fillId="7" borderId="0">
      <alignment horizontal="right"/>
    </xf>
    <xf numFmtId="166" fontId="9" fillId="8" borderId="0">
      <alignment horizontal="right"/>
    </xf>
    <xf numFmtId="0" fontId="24" fillId="6" borderId="0"/>
    <xf numFmtId="167" fontId="9" fillId="11" borderId="0">
      <alignment horizontal="right"/>
    </xf>
    <xf numFmtId="168" fontId="9" fillId="11" borderId="0">
      <alignment horizontal="right"/>
    </xf>
    <xf numFmtId="165" fontId="24" fillId="12" borderId="0">
      <alignment horizontal="right"/>
    </xf>
    <xf numFmtId="165" fontId="24" fillId="6" borderId="0">
      <alignment horizontal="right"/>
    </xf>
    <xf numFmtId="169" fontId="9" fillId="11" borderId="0">
      <alignment horizontal="right"/>
    </xf>
    <xf numFmtId="170" fontId="24" fillId="12" borderId="0">
      <alignment horizontal="right"/>
    </xf>
    <xf numFmtId="170" fontId="24" fillId="6" borderId="0">
      <alignment horizontal="right"/>
    </xf>
    <xf numFmtId="170" fontId="24" fillId="17" borderId="0">
      <alignment horizontal="right"/>
    </xf>
    <xf numFmtId="0" fontId="24" fillId="0" borderId="21"/>
    <xf numFmtId="0" fontId="42" fillId="6" borderId="0"/>
    <xf numFmtId="165" fontId="13" fillId="20" borderId="0"/>
    <xf numFmtId="165" fontId="13" fillId="23" borderId="0"/>
    <xf numFmtId="165" fontId="24" fillId="17" borderId="0">
      <alignment horizontal="right"/>
    </xf>
    <xf numFmtId="170" fontId="44" fillId="6" borderId="22">
      <alignment horizontal="right"/>
    </xf>
    <xf numFmtId="165" fontId="44" fillId="17" borderId="23"/>
    <xf numFmtId="165" fontId="44" fillId="12" borderId="23"/>
    <xf numFmtId="165" fontId="44" fillId="6" borderId="23"/>
    <xf numFmtId="170" fontId="44" fillId="6" borderId="23">
      <alignment horizontal="right"/>
    </xf>
    <xf numFmtId="165" fontId="44" fillId="17" borderId="22"/>
    <xf numFmtId="165" fontId="44" fillId="12" borderId="22"/>
    <xf numFmtId="165" fontId="44" fillId="6" borderId="22"/>
    <xf numFmtId="0" fontId="44" fillId="6" borderId="22"/>
    <xf numFmtId="9" fontId="8" fillId="0" borderId="0" applyFont="0" applyFill="0" applyBorder="0" applyAlignment="0" applyProtection="0"/>
    <xf numFmtId="0" fontId="44" fillId="6" borderId="24"/>
    <xf numFmtId="0" fontId="13" fillId="0" borderId="0"/>
    <xf numFmtId="164" fontId="8" fillId="0" borderId="0" applyFont="0" applyFill="0" applyBorder="0" applyAlignment="0" applyProtection="0"/>
    <xf numFmtId="9" fontId="8" fillId="0" borderId="0" applyFont="0" applyFill="0" applyBorder="0" applyAlignment="0" applyProtection="0"/>
    <xf numFmtId="0" fontId="9" fillId="7" borderId="0"/>
    <xf numFmtId="170" fontId="44" fillId="12" borderId="23">
      <alignment horizontal="right"/>
    </xf>
    <xf numFmtId="166" fontId="25" fillId="7" borderId="0">
      <alignment horizontal="right"/>
    </xf>
    <xf numFmtId="167" fontId="25" fillId="7" borderId="0">
      <alignment horizontal="right"/>
    </xf>
    <xf numFmtId="164" fontId="8" fillId="0" borderId="0" applyFont="0" applyFill="0" applyBorder="0" applyAlignment="0" applyProtection="0"/>
    <xf numFmtId="9" fontId="8" fillId="0" borderId="0" applyFont="0" applyFill="0" applyBorder="0" applyAlignment="0" applyProtection="0"/>
    <xf numFmtId="0" fontId="8" fillId="0" borderId="0"/>
    <xf numFmtId="0" fontId="63" fillId="43" borderId="0" applyNumberFormat="0" applyBorder="0" applyAlignment="0" applyProtection="0"/>
    <xf numFmtId="0" fontId="8" fillId="0" borderId="0"/>
    <xf numFmtId="0" fontId="4" fillId="0" borderId="0"/>
    <xf numFmtId="164" fontId="4"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8" fillId="0" borderId="0" applyFont="0" applyFill="0" applyBorder="0" applyAlignment="0" applyProtection="0"/>
    <xf numFmtId="0" fontId="1" fillId="0" borderId="0"/>
  </cellStyleXfs>
  <cellXfs count="1049">
    <xf numFmtId="0" fontId="0" fillId="0" borderId="0" xfId="0"/>
    <xf numFmtId="0" fontId="13" fillId="0" borderId="0" xfId="1"/>
    <xf numFmtId="0" fontId="13" fillId="2" borderId="0" xfId="1" applyFill="1"/>
    <xf numFmtId="15" fontId="13" fillId="2" borderId="0" xfId="1" applyNumberFormat="1" applyFill="1"/>
    <xf numFmtId="0" fontId="15" fillId="0" borderId="0" xfId="1" applyFont="1"/>
    <xf numFmtId="0" fontId="16" fillId="0" borderId="0" xfId="1" applyFont="1"/>
    <xf numFmtId="0" fontId="17" fillId="0" borderId="0" xfId="1" applyFont="1"/>
    <xf numFmtId="0" fontId="18" fillId="0" borderId="0" xfId="1" applyFont="1"/>
    <xf numFmtId="0" fontId="13" fillId="3" borderId="0" xfId="1" applyFill="1"/>
    <xf numFmtId="0" fontId="19" fillId="3" borderId="0" xfId="1" applyFont="1" applyFill="1"/>
    <xf numFmtId="0" fontId="13" fillId="3" borderId="0" xfId="1" applyFill="1" applyAlignment="1">
      <alignment horizontal="right"/>
    </xf>
    <xf numFmtId="14" fontId="13" fillId="3" borderId="0" xfId="1" applyNumberFormat="1" applyFill="1"/>
    <xf numFmtId="14" fontId="13" fillId="4" borderId="0" xfId="1" applyNumberFormat="1" applyFill="1"/>
    <xf numFmtId="0" fontId="13" fillId="5" borderId="0" xfId="1" applyFill="1"/>
    <xf numFmtId="165" fontId="13" fillId="6" borderId="9" xfId="2"/>
    <xf numFmtId="0" fontId="21" fillId="5" borderId="10" xfId="3" applyFont="1" applyFill="1" applyBorder="1">
      <alignment horizontal="right"/>
    </xf>
    <xf numFmtId="0" fontId="21" fillId="5" borderId="11" xfId="3" applyFont="1" applyFill="1" applyBorder="1" applyAlignment="1">
      <alignment horizontal="left"/>
    </xf>
    <xf numFmtId="166" fontId="22" fillId="9" borderId="0" xfId="4" applyFont="1" applyFill="1" applyAlignment="1">
      <alignment horizontal="left"/>
    </xf>
    <xf numFmtId="0" fontId="19" fillId="5" borderId="0" xfId="1" applyFont="1" applyFill="1"/>
    <xf numFmtId="165" fontId="13" fillId="6" borderId="12" xfId="2" applyBorder="1"/>
    <xf numFmtId="165" fontId="13" fillId="6" borderId="13" xfId="2" applyBorder="1"/>
    <xf numFmtId="0" fontId="23" fillId="3" borderId="14" xfId="3" applyFont="1" applyFill="1" applyBorder="1">
      <alignment horizontal="right"/>
    </xf>
    <xf numFmtId="0" fontId="13" fillId="3" borderId="15" xfId="3" applyFont="1" applyFill="1" applyBorder="1" applyAlignment="1">
      <alignment horizontal="left"/>
    </xf>
    <xf numFmtId="165" fontId="13" fillId="3" borderId="0" xfId="1" applyNumberFormat="1" applyFill="1"/>
    <xf numFmtId="165" fontId="13" fillId="6" borderId="12" xfId="2" applyBorder="1" applyAlignment="1">
      <alignment horizontal="right"/>
    </xf>
    <xf numFmtId="0" fontId="13" fillId="3" borderId="0" xfId="5" applyFont="1" applyFill="1"/>
    <xf numFmtId="166" fontId="25" fillId="3" borderId="0" xfId="4" applyFont="1" applyFill="1">
      <alignment horizontal="right"/>
    </xf>
    <xf numFmtId="14" fontId="13" fillId="6" borderId="12" xfId="2" applyNumberFormat="1" applyBorder="1"/>
    <xf numFmtId="0" fontId="13" fillId="3" borderId="0" xfId="1" applyFill="1" applyAlignment="1">
      <alignment horizontal="left"/>
    </xf>
    <xf numFmtId="0" fontId="13" fillId="3" borderId="0" xfId="1" quotePrefix="1" applyFill="1"/>
    <xf numFmtId="0" fontId="13" fillId="6" borderId="0" xfId="1" applyFill="1"/>
    <xf numFmtId="168" fontId="22" fillId="9" borderId="0" xfId="7" applyFont="1" applyFill="1">
      <alignment horizontal="right"/>
    </xf>
    <xf numFmtId="167" fontId="22" fillId="9" borderId="0" xfId="6" applyFont="1" applyFill="1">
      <alignment horizontal="right"/>
    </xf>
    <xf numFmtId="167" fontId="22" fillId="9" borderId="0" xfId="6" applyFont="1" applyFill="1" applyAlignment="1">
      <alignment horizontal="left"/>
    </xf>
    <xf numFmtId="0" fontId="29" fillId="0" borderId="0" xfId="1" applyFont="1"/>
    <xf numFmtId="165" fontId="30" fillId="6" borderId="0" xfId="8" applyFont="1" applyFill="1">
      <alignment horizontal="right"/>
    </xf>
    <xf numFmtId="165" fontId="30" fillId="6" borderId="0" xfId="9" applyFont="1">
      <alignment horizontal="right"/>
    </xf>
    <xf numFmtId="0" fontId="30" fillId="6" borderId="0" xfId="5" applyFont="1"/>
    <xf numFmtId="169" fontId="22" fillId="9" borderId="0" xfId="10" applyFont="1" applyFill="1">
      <alignment horizontal="right"/>
    </xf>
    <xf numFmtId="166" fontId="22" fillId="9" borderId="0" xfId="4" applyFont="1" applyFill="1">
      <alignment horizontal="right"/>
    </xf>
    <xf numFmtId="170" fontId="30" fillId="0" borderId="2" xfId="11" applyFont="1" applyFill="1" applyBorder="1">
      <alignment horizontal="right"/>
    </xf>
    <xf numFmtId="170" fontId="30" fillId="6" borderId="2" xfId="12" applyFont="1" applyBorder="1">
      <alignment horizontal="right"/>
    </xf>
    <xf numFmtId="0" fontId="30" fillId="6" borderId="2" xfId="5" applyFont="1" applyBorder="1"/>
    <xf numFmtId="0" fontId="30" fillId="6" borderId="7" xfId="5" applyFont="1" applyBorder="1"/>
    <xf numFmtId="165" fontId="30" fillId="10" borderId="16" xfId="8" applyFont="1" applyFill="1" applyBorder="1" applyAlignment="1">
      <alignment horizontal="center" vertical="center"/>
    </xf>
    <xf numFmtId="165" fontId="30" fillId="6" borderId="18" xfId="9" applyFont="1" applyBorder="1" applyAlignment="1">
      <alignment horizontal="center" vertical="center"/>
    </xf>
    <xf numFmtId="0" fontId="30" fillId="6" borderId="19" xfId="5" applyFont="1" applyBorder="1"/>
    <xf numFmtId="165" fontId="30" fillId="10" borderId="19" xfId="8" applyFont="1" applyFill="1" applyBorder="1" applyAlignment="1">
      <alignment horizontal="center" vertical="center"/>
    </xf>
    <xf numFmtId="165" fontId="30" fillId="6" borderId="19" xfId="9" applyFont="1" applyBorder="1" applyAlignment="1">
      <alignment horizontal="center" vertical="center"/>
    </xf>
    <xf numFmtId="0" fontId="13" fillId="13" borderId="0" xfId="1" applyFill="1"/>
    <xf numFmtId="167" fontId="31" fillId="0" borderId="0" xfId="6" applyFont="1" applyFill="1">
      <alignment horizontal="right"/>
    </xf>
    <xf numFmtId="0" fontId="13" fillId="0" borderId="20" xfId="1" applyBorder="1"/>
    <xf numFmtId="0" fontId="33" fillId="0" borderId="20" xfId="1" applyFont="1" applyBorder="1"/>
    <xf numFmtId="0" fontId="33" fillId="0" borderId="0" xfId="1" applyFont="1"/>
    <xf numFmtId="0" fontId="34" fillId="2" borderId="0" xfId="1" applyFont="1" applyFill="1" applyAlignment="1">
      <alignment horizontal="left" wrapText="1" readingOrder="1"/>
    </xf>
    <xf numFmtId="0" fontId="35" fillId="2" borderId="0" xfId="1" applyFont="1" applyFill="1" applyAlignment="1">
      <alignment horizontal="left" wrapText="1" readingOrder="1"/>
    </xf>
    <xf numFmtId="0" fontId="34" fillId="0" borderId="0" xfId="1" applyFont="1" applyAlignment="1">
      <alignment horizontal="left" wrapText="1" readingOrder="1"/>
    </xf>
    <xf numFmtId="0" fontId="35" fillId="0" borderId="0" xfId="1" applyFont="1" applyAlignment="1">
      <alignment horizontal="left" wrapText="1" readingOrder="1"/>
    </xf>
    <xf numFmtId="0" fontId="28" fillId="14" borderId="0" xfId="1" applyFont="1" applyFill="1"/>
    <xf numFmtId="0" fontId="13" fillId="15" borderId="0" xfId="1" applyFill="1"/>
    <xf numFmtId="165" fontId="7" fillId="16" borderId="0" xfId="9" applyFont="1" applyFill="1">
      <alignment horizontal="right"/>
    </xf>
    <xf numFmtId="165" fontId="7" fillId="16" borderId="0" xfId="9" applyFont="1" applyFill="1" applyAlignment="1">
      <alignment horizontal="left"/>
    </xf>
    <xf numFmtId="0" fontId="7" fillId="10" borderId="0" xfId="5" applyFont="1" applyFill="1"/>
    <xf numFmtId="0" fontId="13" fillId="16" borderId="0" xfId="1" applyFill="1"/>
    <xf numFmtId="169" fontId="22" fillId="9" borderId="0" xfId="10" applyFont="1" applyFill="1" applyAlignment="1">
      <alignment horizontal="left"/>
    </xf>
    <xf numFmtId="0" fontId="7" fillId="16" borderId="0" xfId="5" applyFont="1" applyFill="1"/>
    <xf numFmtId="170" fontId="30" fillId="16" borderId="0" xfId="12" applyFont="1" applyFill="1">
      <alignment horizontal="right"/>
    </xf>
    <xf numFmtId="165" fontId="36" fillId="16" borderId="0" xfId="9" applyFont="1" applyFill="1">
      <alignment horizontal="right"/>
    </xf>
    <xf numFmtId="165" fontId="37" fillId="0" borderId="17" xfId="1" applyNumberFormat="1" applyFont="1" applyBorder="1" applyAlignment="1">
      <alignment horizontal="right" vertical="center"/>
    </xf>
    <xf numFmtId="49" fontId="38" fillId="0" borderId="18" xfId="1" applyNumberFormat="1" applyFont="1" applyBorder="1" applyAlignment="1">
      <alignment horizontal="left" vertical="center"/>
    </xf>
    <xf numFmtId="49" fontId="38" fillId="0" borderId="17" xfId="1" applyNumberFormat="1" applyFont="1" applyBorder="1" applyAlignment="1">
      <alignment horizontal="left" vertical="center"/>
    </xf>
    <xf numFmtId="165" fontId="37" fillId="0" borderId="0" xfId="1" applyNumberFormat="1" applyFont="1" applyAlignment="1">
      <alignment horizontal="right" vertical="center"/>
    </xf>
    <xf numFmtId="49" fontId="30" fillId="0" borderId="0" xfId="1" applyNumberFormat="1" applyFont="1" applyAlignment="1">
      <alignment horizontal="left" vertical="center"/>
    </xf>
    <xf numFmtId="170" fontId="24" fillId="6" borderId="2" xfId="12" applyBorder="1">
      <alignment horizontal="right"/>
    </xf>
    <xf numFmtId="170" fontId="24" fillId="6" borderId="0" xfId="12">
      <alignment horizontal="right"/>
    </xf>
    <xf numFmtId="170" fontId="30" fillId="0" borderId="2" xfId="13" applyFont="1" applyFill="1" applyBorder="1">
      <alignment horizontal="right"/>
    </xf>
    <xf numFmtId="0" fontId="30" fillId="6" borderId="2" xfId="14" applyFont="1" applyFill="1" applyBorder="1"/>
    <xf numFmtId="165" fontId="24" fillId="6" borderId="0" xfId="9">
      <alignment horizontal="right"/>
    </xf>
    <xf numFmtId="170" fontId="30" fillId="18" borderId="0" xfId="13" applyFont="1" applyFill="1">
      <alignment horizontal="right"/>
    </xf>
    <xf numFmtId="170" fontId="30" fillId="10" borderId="0" xfId="11" applyFont="1" applyFill="1">
      <alignment horizontal="right"/>
    </xf>
    <xf numFmtId="170" fontId="30" fillId="19" borderId="0" xfId="11" applyFont="1" applyFill="1">
      <alignment horizontal="right"/>
    </xf>
    <xf numFmtId="170" fontId="30" fillId="6" borderId="0" xfId="12" applyFont="1">
      <alignment horizontal="right"/>
    </xf>
    <xf numFmtId="0" fontId="30" fillId="6" borderId="0" xfId="14" applyFont="1" applyFill="1" applyBorder="1"/>
    <xf numFmtId="170" fontId="39" fillId="6" borderId="0" xfId="12" applyFont="1">
      <alignment horizontal="right"/>
    </xf>
    <xf numFmtId="170" fontId="40" fillId="18" borderId="0" xfId="13" applyFont="1" applyFill="1">
      <alignment horizontal="right"/>
    </xf>
    <xf numFmtId="170" fontId="40" fillId="10" borderId="0" xfId="11" applyFont="1" applyFill="1">
      <alignment horizontal="right"/>
    </xf>
    <xf numFmtId="170" fontId="40" fillId="19" borderId="0" xfId="11" applyFont="1" applyFill="1">
      <alignment horizontal="right"/>
    </xf>
    <xf numFmtId="170" fontId="40" fillId="6" borderId="0" xfId="12" applyFont="1">
      <alignment horizontal="right"/>
    </xf>
    <xf numFmtId="0" fontId="40" fillId="6" borderId="0" xfId="14" applyFont="1" applyFill="1" applyBorder="1"/>
    <xf numFmtId="0" fontId="41" fillId="0" borderId="0" xfId="1" applyFont="1"/>
    <xf numFmtId="0" fontId="40" fillId="6" borderId="0" xfId="15" applyFont="1"/>
    <xf numFmtId="0" fontId="28" fillId="0" borderId="0" xfId="1" applyFont="1"/>
    <xf numFmtId="170" fontId="42" fillId="6" borderId="0" xfId="12" applyFont="1">
      <alignment horizontal="right"/>
    </xf>
    <xf numFmtId="170" fontId="43" fillId="6" borderId="0" xfId="12" applyFont="1">
      <alignment horizontal="right"/>
    </xf>
    <xf numFmtId="165" fontId="37" fillId="21" borderId="0" xfId="16" applyFont="1" applyFill="1"/>
    <xf numFmtId="165" fontId="37" fillId="22" borderId="0" xfId="16" applyFont="1" applyFill="1"/>
    <xf numFmtId="165" fontId="37" fillId="23" borderId="0" xfId="17" applyFont="1"/>
    <xf numFmtId="165" fontId="24" fillId="18" borderId="0" xfId="18" applyFill="1">
      <alignment horizontal="right"/>
    </xf>
    <xf numFmtId="165" fontId="24" fillId="10" borderId="0" xfId="8" applyFill="1">
      <alignment horizontal="right"/>
    </xf>
    <xf numFmtId="0" fontId="24" fillId="6" borderId="0" xfId="5"/>
    <xf numFmtId="170" fontId="11" fillId="6" borderId="17" xfId="19" applyFont="1" applyBorder="1">
      <alignment horizontal="right"/>
    </xf>
    <xf numFmtId="165" fontId="7" fillId="6" borderId="0" xfId="9" applyFont="1">
      <alignment horizontal="right"/>
    </xf>
    <xf numFmtId="165" fontId="11" fillId="18" borderId="17" xfId="20" applyFont="1" applyFill="1" applyBorder="1"/>
    <xf numFmtId="165" fontId="11" fillId="10" borderId="17" xfId="21" applyFont="1" applyFill="1" applyBorder="1"/>
    <xf numFmtId="165" fontId="11" fillId="6" borderId="17" xfId="22" applyFont="1" applyBorder="1"/>
    <xf numFmtId="0" fontId="11" fillId="6" borderId="17" xfId="15" applyFont="1" applyBorder="1"/>
    <xf numFmtId="170" fontId="7" fillId="6" borderId="2" xfId="12" applyFont="1" applyBorder="1">
      <alignment horizontal="right"/>
    </xf>
    <xf numFmtId="165" fontId="7" fillId="18" borderId="0" xfId="18" applyFont="1" applyFill="1">
      <alignment horizontal="right"/>
    </xf>
    <xf numFmtId="165" fontId="7" fillId="10" borderId="0" xfId="8" applyFont="1" applyFill="1">
      <alignment horizontal="right"/>
    </xf>
    <xf numFmtId="0" fontId="7" fillId="6" borderId="0" xfId="5" applyFont="1"/>
    <xf numFmtId="0" fontId="7" fillId="6" borderId="2" xfId="5" applyFont="1" applyBorder="1"/>
    <xf numFmtId="170" fontId="7" fillId="6" borderId="0" xfId="12" applyFont="1">
      <alignment horizontal="right"/>
    </xf>
    <xf numFmtId="170" fontId="11" fillId="6" borderId="7" xfId="23" applyFont="1" applyBorder="1">
      <alignment horizontal="right"/>
    </xf>
    <xf numFmtId="165" fontId="11" fillId="18" borderId="7" xfId="20" applyFont="1" applyFill="1" applyBorder="1"/>
    <xf numFmtId="165" fontId="11" fillId="10" borderId="7" xfId="21" applyFont="1" applyFill="1" applyBorder="1"/>
    <xf numFmtId="165" fontId="11" fillId="6" borderId="7" xfId="22" applyFont="1" applyBorder="1"/>
    <xf numFmtId="0" fontId="11" fillId="6" borderId="7" xfId="15" applyFont="1" applyBorder="1"/>
    <xf numFmtId="165" fontId="7" fillId="18" borderId="2" xfId="18" applyFont="1" applyFill="1" applyBorder="1">
      <alignment horizontal="right"/>
    </xf>
    <xf numFmtId="165" fontId="7" fillId="10" borderId="2" xfId="8" applyFont="1" applyFill="1" applyBorder="1">
      <alignment horizontal="right"/>
    </xf>
    <xf numFmtId="165" fontId="7" fillId="6" borderId="2" xfId="9" applyFont="1" applyBorder="1">
      <alignment horizontal="right"/>
    </xf>
    <xf numFmtId="0" fontId="7" fillId="6" borderId="0" xfId="5" applyFont="1" applyAlignment="1">
      <alignment horizontal="left" indent="1"/>
    </xf>
    <xf numFmtId="165" fontId="7" fillId="0" borderId="0" xfId="9" applyFont="1" applyFill="1">
      <alignment horizontal="right"/>
    </xf>
    <xf numFmtId="166" fontId="31" fillId="6" borderId="0" xfId="4" applyFont="1" applyFill="1">
      <alignment horizontal="right"/>
    </xf>
    <xf numFmtId="166" fontId="31" fillId="6" borderId="0" xfId="4" applyFont="1" applyFill="1" applyAlignment="1">
      <alignment horizontal="left"/>
    </xf>
    <xf numFmtId="166" fontId="31" fillId="24" borderId="0" xfId="4" applyFont="1" applyFill="1">
      <alignment horizontal="right"/>
    </xf>
    <xf numFmtId="165" fontId="30" fillId="6" borderId="2" xfId="18" applyFont="1" applyFill="1" applyBorder="1">
      <alignment horizontal="right"/>
    </xf>
    <xf numFmtId="165" fontId="30" fillId="6" borderId="2" xfId="8" applyFont="1" applyFill="1" applyBorder="1">
      <alignment horizontal="right"/>
    </xf>
    <xf numFmtId="165" fontId="30" fillId="6" borderId="2" xfId="9" applyFont="1" applyBorder="1">
      <alignment horizontal="right"/>
    </xf>
    <xf numFmtId="165" fontId="30" fillId="18" borderId="0" xfId="18" applyFont="1" applyFill="1">
      <alignment horizontal="right"/>
    </xf>
    <xf numFmtId="165" fontId="30" fillId="10" borderId="0" xfId="8" applyFont="1" applyFill="1">
      <alignment horizontal="right"/>
    </xf>
    <xf numFmtId="165" fontId="40" fillId="18" borderId="17" xfId="24" applyFont="1" applyFill="1" applyBorder="1"/>
    <xf numFmtId="165" fontId="40" fillId="10" borderId="17" xfId="25" applyFont="1" applyFill="1" applyBorder="1"/>
    <xf numFmtId="165" fontId="40" fillId="6" borderId="17" xfId="26" applyFont="1" applyBorder="1"/>
    <xf numFmtId="0" fontId="40" fillId="6" borderId="17" xfId="27" applyFont="1" applyBorder="1"/>
    <xf numFmtId="165" fontId="30" fillId="18" borderId="2" xfId="18" applyFont="1" applyFill="1" applyBorder="1">
      <alignment horizontal="right"/>
    </xf>
    <xf numFmtId="165" fontId="30" fillId="10" borderId="2" xfId="8" applyFont="1" applyFill="1" applyBorder="1">
      <alignment horizontal="right"/>
    </xf>
    <xf numFmtId="165" fontId="37" fillId="23" borderId="2" xfId="17" applyFont="1" applyBorder="1"/>
    <xf numFmtId="0" fontId="30" fillId="6" borderId="2" xfId="5" applyFont="1" applyBorder="1" applyAlignment="1">
      <alignment horizontal="left" indent="1"/>
    </xf>
    <xf numFmtId="0" fontId="30" fillId="6" borderId="0" xfId="5" applyFont="1" applyAlignment="1">
      <alignment horizontal="left" indent="1"/>
    </xf>
    <xf numFmtId="165" fontId="40" fillId="18" borderId="7" xfId="20" applyFont="1" applyFill="1" applyBorder="1"/>
    <xf numFmtId="165" fontId="40" fillId="10" borderId="7" xfId="21" applyFont="1" applyFill="1" applyBorder="1"/>
    <xf numFmtId="165" fontId="40" fillId="6" borderId="7" xfId="22" applyFont="1" applyBorder="1"/>
    <xf numFmtId="165" fontId="40" fillId="18" borderId="0" xfId="20" applyFont="1" applyFill="1" applyBorder="1"/>
    <xf numFmtId="165" fontId="40" fillId="10" borderId="0" xfId="21" applyFont="1" applyFill="1" applyBorder="1"/>
    <xf numFmtId="165" fontId="40" fillId="6" borderId="0" xfId="22" applyFont="1" applyBorder="1"/>
    <xf numFmtId="165" fontId="40" fillId="18" borderId="17" xfId="20" applyFont="1" applyFill="1" applyBorder="1"/>
    <xf numFmtId="165" fontId="40" fillId="10" borderId="17" xfId="21" applyFont="1" applyFill="1" applyBorder="1"/>
    <xf numFmtId="165" fontId="40" fillId="6" borderId="17" xfId="22" applyFont="1" applyBorder="1"/>
    <xf numFmtId="165" fontId="40" fillId="18" borderId="2" xfId="18" applyFont="1" applyFill="1" applyBorder="1">
      <alignment horizontal="right"/>
    </xf>
    <xf numFmtId="165" fontId="40" fillId="10" borderId="2" xfId="8" applyFont="1" applyFill="1" applyBorder="1">
      <alignment horizontal="right"/>
    </xf>
    <xf numFmtId="165" fontId="40" fillId="6" borderId="2" xfId="9" applyFont="1" applyBorder="1">
      <alignment horizontal="right"/>
    </xf>
    <xf numFmtId="0" fontId="40" fillId="6" borderId="2" xfId="5" applyFont="1" applyBorder="1"/>
    <xf numFmtId="165" fontId="40" fillId="18" borderId="0" xfId="18" applyFont="1" applyFill="1">
      <alignment horizontal="right"/>
    </xf>
    <xf numFmtId="165" fontId="40" fillId="10" borderId="0" xfId="8" applyFont="1" applyFill="1">
      <alignment horizontal="right"/>
    </xf>
    <xf numFmtId="165" fontId="40" fillId="6" borderId="0" xfId="9" applyFont="1">
      <alignment horizontal="right"/>
    </xf>
    <xf numFmtId="0" fontId="40" fillId="6" borderId="0" xfId="5" applyFont="1"/>
    <xf numFmtId="169" fontId="31" fillId="6" borderId="0" xfId="10" applyFont="1" applyFill="1">
      <alignment horizontal="right"/>
    </xf>
    <xf numFmtId="169" fontId="31" fillId="6" borderId="0" xfId="10" applyFont="1" applyFill="1" applyAlignment="1">
      <alignment horizontal="left"/>
    </xf>
    <xf numFmtId="0" fontId="37" fillId="0" borderId="17" xfId="1" applyFont="1" applyBorder="1" applyAlignment="1">
      <alignment horizontal="right" vertical="center"/>
    </xf>
    <xf numFmtId="0" fontId="45" fillId="2" borderId="0" xfId="1" applyFont="1" applyFill="1"/>
    <xf numFmtId="165" fontId="30" fillId="19" borderId="0" xfId="8" applyFont="1" applyFill="1">
      <alignment horizontal="right"/>
    </xf>
    <xf numFmtId="171" fontId="30" fillId="18" borderId="0" xfId="28" applyNumberFormat="1" applyFont="1" applyFill="1" applyBorder="1" applyAlignment="1">
      <alignment horizontal="right"/>
    </xf>
    <xf numFmtId="171" fontId="30" fillId="19" borderId="0" xfId="28" applyNumberFormat="1" applyFont="1" applyFill="1" applyBorder="1" applyAlignment="1">
      <alignment horizontal="right"/>
    </xf>
    <xf numFmtId="171" fontId="30" fillId="6" borderId="0" xfId="28" applyNumberFormat="1" applyFont="1" applyFill="1" applyBorder="1" applyAlignment="1">
      <alignment horizontal="right"/>
    </xf>
    <xf numFmtId="0" fontId="30" fillId="6" borderId="0" xfId="29" applyFont="1" applyBorder="1"/>
    <xf numFmtId="165" fontId="40" fillId="18" borderId="0" xfId="24" applyFont="1" applyFill="1" applyBorder="1"/>
    <xf numFmtId="165" fontId="40" fillId="19" borderId="0" xfId="21" applyFont="1" applyFill="1" applyBorder="1"/>
    <xf numFmtId="165" fontId="40" fillId="6" borderId="0" xfId="26" applyFont="1" applyBorder="1"/>
    <xf numFmtId="0" fontId="40" fillId="6" borderId="0" xfId="29" applyFont="1" applyBorder="1"/>
    <xf numFmtId="165" fontId="40" fillId="18" borderId="2" xfId="24" applyFont="1" applyFill="1" applyBorder="1"/>
    <xf numFmtId="165" fontId="40" fillId="10" borderId="2" xfId="21" applyFont="1" applyFill="1" applyBorder="1"/>
    <xf numFmtId="165" fontId="40" fillId="19" borderId="2" xfId="21" applyFont="1" applyFill="1" applyBorder="1"/>
    <xf numFmtId="165" fontId="40" fillId="6" borderId="2" xfId="22" applyFont="1" applyBorder="1"/>
    <xf numFmtId="165" fontId="40" fillId="6" borderId="2" xfId="26" applyFont="1" applyBorder="1"/>
    <xf numFmtId="0" fontId="40" fillId="6" borderId="2" xfId="29" applyFont="1" applyBorder="1"/>
    <xf numFmtId="165" fontId="30" fillId="19" borderId="2" xfId="8" applyFont="1" applyFill="1" applyBorder="1">
      <alignment horizontal="right"/>
    </xf>
    <xf numFmtId="165" fontId="30" fillId="2" borderId="0" xfId="8" applyFont="1" applyFill="1">
      <alignment horizontal="right"/>
    </xf>
    <xf numFmtId="165" fontId="40" fillId="19" borderId="7" xfId="21" applyFont="1" applyFill="1" applyBorder="1"/>
    <xf numFmtId="165" fontId="37" fillId="23" borderId="7" xfId="17" applyFont="1" applyBorder="1"/>
    <xf numFmtId="0" fontId="45" fillId="0" borderId="0" xfId="1" applyFont="1"/>
    <xf numFmtId="165" fontId="40" fillId="19" borderId="17" xfId="21" applyFont="1" applyFill="1" applyBorder="1"/>
    <xf numFmtId="165" fontId="37" fillId="23" borderId="17" xfId="17" applyFont="1" applyBorder="1"/>
    <xf numFmtId="165" fontId="30" fillId="6" borderId="0" xfId="9" applyFont="1" applyAlignment="1">
      <alignment horizontal="left"/>
    </xf>
    <xf numFmtId="165" fontId="40" fillId="19" borderId="0" xfId="8" applyFont="1" applyFill="1">
      <alignment horizontal="right"/>
    </xf>
    <xf numFmtId="165" fontId="38" fillId="23" borderId="0" xfId="17" applyFont="1"/>
    <xf numFmtId="0" fontId="13" fillId="0" borderId="0" xfId="30"/>
    <xf numFmtId="172" fontId="46" fillId="0" borderId="0" xfId="31" applyNumberFormat="1" applyFont="1" applyFill="1"/>
    <xf numFmtId="170" fontId="30" fillId="6" borderId="2" xfId="11" applyFont="1" applyFill="1" applyBorder="1">
      <alignment horizontal="right"/>
    </xf>
    <xf numFmtId="0" fontId="30" fillId="0" borderId="2" xfId="14" applyFont="1" applyBorder="1"/>
    <xf numFmtId="165" fontId="7" fillId="6" borderId="0" xfId="8" applyFont="1" applyFill="1">
      <alignment horizontal="right"/>
    </xf>
    <xf numFmtId="165" fontId="7" fillId="19" borderId="0" xfId="9" applyFont="1" applyFill="1">
      <alignment horizontal="right"/>
    </xf>
    <xf numFmtId="171" fontId="7" fillId="2" borderId="0" xfId="32" applyNumberFormat="1" applyFont="1" applyFill="1" applyAlignment="1">
      <alignment horizontal="right"/>
    </xf>
    <xf numFmtId="171" fontId="7" fillId="6" borderId="0" xfId="32" applyNumberFormat="1" applyFont="1" applyFill="1" applyAlignment="1">
      <alignment horizontal="right"/>
    </xf>
    <xf numFmtId="0" fontId="13" fillId="13" borderId="0" xfId="30" applyFill="1"/>
    <xf numFmtId="165" fontId="11" fillId="10" borderId="25" xfId="8" applyFont="1" applyFill="1" applyBorder="1">
      <alignment horizontal="right"/>
    </xf>
    <xf numFmtId="165" fontId="11" fillId="6" borderId="25" xfId="8" applyFont="1" applyFill="1" applyBorder="1">
      <alignment horizontal="right"/>
    </xf>
    <xf numFmtId="165" fontId="11" fillId="19" borderId="25" xfId="9" applyFont="1" applyFill="1" applyBorder="1">
      <alignment horizontal="right"/>
    </xf>
    <xf numFmtId="165" fontId="11" fillId="6" borderId="25" xfId="9" applyFont="1" applyBorder="1">
      <alignment horizontal="right"/>
    </xf>
    <xf numFmtId="0" fontId="11" fillId="6" borderId="25" xfId="5" applyFont="1" applyBorder="1"/>
    <xf numFmtId="165" fontId="7" fillId="10" borderId="0" xfId="9" applyFont="1" applyFill="1">
      <alignment horizontal="right"/>
    </xf>
    <xf numFmtId="0" fontId="13" fillId="19" borderId="0" xfId="30" applyFill="1"/>
    <xf numFmtId="165" fontId="47" fillId="10" borderId="17" xfId="9" applyFont="1" applyFill="1" applyBorder="1">
      <alignment horizontal="right"/>
    </xf>
    <xf numFmtId="165" fontId="7" fillId="10" borderId="17" xfId="8" applyFont="1" applyFill="1" applyBorder="1">
      <alignment horizontal="right"/>
    </xf>
    <xf numFmtId="165" fontId="7" fillId="6" borderId="17" xfId="8" applyFont="1" applyFill="1" applyBorder="1">
      <alignment horizontal="right"/>
    </xf>
    <xf numFmtId="165" fontId="47" fillId="19" borderId="17" xfId="9" applyFont="1" applyFill="1" applyBorder="1">
      <alignment horizontal="right"/>
    </xf>
    <xf numFmtId="165" fontId="7" fillId="19" borderId="17" xfId="9" applyFont="1" applyFill="1" applyBorder="1">
      <alignment horizontal="right"/>
    </xf>
    <xf numFmtId="165" fontId="7" fillId="6" borderId="17" xfId="9" applyFont="1" applyBorder="1">
      <alignment horizontal="right"/>
    </xf>
    <xf numFmtId="165" fontId="47" fillId="6" borderId="17" xfId="9" applyFont="1" applyBorder="1">
      <alignment horizontal="right"/>
    </xf>
    <xf numFmtId="165" fontId="7" fillId="0" borderId="17" xfId="9" applyFont="1" applyFill="1" applyBorder="1">
      <alignment horizontal="right"/>
    </xf>
    <xf numFmtId="0" fontId="47" fillId="6" borderId="17" xfId="5" applyFont="1" applyBorder="1"/>
    <xf numFmtId="0" fontId="7" fillId="6" borderId="17" xfId="5" applyFont="1" applyBorder="1"/>
    <xf numFmtId="165" fontId="48" fillId="10" borderId="0" xfId="8" applyFont="1" applyFill="1">
      <alignment horizontal="right"/>
    </xf>
    <xf numFmtId="165" fontId="11" fillId="6" borderId="0" xfId="8" applyFont="1" applyFill="1">
      <alignment horizontal="right"/>
    </xf>
    <xf numFmtId="165" fontId="47" fillId="19" borderId="0" xfId="9" applyFont="1" applyFill="1">
      <alignment horizontal="right"/>
    </xf>
    <xf numFmtId="165" fontId="11" fillId="6" borderId="0" xfId="9" applyFont="1">
      <alignment horizontal="right"/>
    </xf>
    <xf numFmtId="165" fontId="47" fillId="6" borderId="0" xfId="9" applyFont="1">
      <alignment horizontal="right"/>
    </xf>
    <xf numFmtId="165" fontId="48" fillId="6" borderId="0" xfId="9" applyFont="1">
      <alignment horizontal="right"/>
    </xf>
    <xf numFmtId="0" fontId="47" fillId="6" borderId="0" xfId="5" applyFont="1"/>
    <xf numFmtId="165" fontId="47" fillId="10" borderId="0" xfId="8" applyFont="1" applyFill="1">
      <alignment horizontal="right"/>
    </xf>
    <xf numFmtId="172" fontId="13" fillId="0" borderId="0" xfId="31" applyNumberFormat="1" applyFont="1"/>
    <xf numFmtId="0" fontId="49" fillId="0" borderId="0" xfId="30" quotePrefix="1" applyFont="1" applyAlignment="1">
      <alignment horizontal="right"/>
    </xf>
    <xf numFmtId="165" fontId="11" fillId="10" borderId="0" xfId="9" applyFont="1" applyFill="1">
      <alignment horizontal="right"/>
    </xf>
    <xf numFmtId="165" fontId="47" fillId="10" borderId="0" xfId="9" applyFont="1" applyFill="1">
      <alignment horizontal="right"/>
    </xf>
    <xf numFmtId="165" fontId="11" fillId="18" borderId="0" xfId="8" applyFont="1" applyFill="1">
      <alignment horizontal="right"/>
    </xf>
    <xf numFmtId="165" fontId="47" fillId="18" borderId="0" xfId="8" applyFont="1" applyFill="1">
      <alignment horizontal="right"/>
    </xf>
    <xf numFmtId="172" fontId="13" fillId="13" borderId="0" xfId="31" applyNumberFormat="1" applyFont="1" applyFill="1"/>
    <xf numFmtId="165" fontId="48" fillId="18" borderId="0" xfId="8" applyFont="1" applyFill="1">
      <alignment horizontal="right"/>
    </xf>
    <xf numFmtId="166" fontId="31" fillId="0" borderId="0" xfId="4" applyFont="1" applyFill="1">
      <alignment horizontal="right"/>
    </xf>
    <xf numFmtId="166" fontId="50" fillId="6" borderId="0" xfId="4" applyFont="1" applyFill="1" applyAlignment="1">
      <alignment horizontal="left"/>
    </xf>
    <xf numFmtId="0" fontId="29" fillId="0" borderId="0" xfId="30" applyFont="1"/>
    <xf numFmtId="167" fontId="9" fillId="24" borderId="0" xfId="6" applyFill="1">
      <alignment horizontal="right"/>
    </xf>
    <xf numFmtId="167" fontId="9" fillId="24" borderId="0" xfId="6" quotePrefix="1" applyFill="1">
      <alignment horizontal="right"/>
    </xf>
    <xf numFmtId="166" fontId="9" fillId="24" borderId="0" xfId="4" applyFill="1" applyAlignment="1">
      <alignment horizontal="left"/>
    </xf>
    <xf numFmtId="166" fontId="9" fillId="24" borderId="0" xfId="4" applyFill="1">
      <alignment horizontal="right"/>
    </xf>
    <xf numFmtId="168" fontId="9" fillId="24" borderId="0" xfId="7" applyFill="1">
      <alignment horizontal="right"/>
    </xf>
    <xf numFmtId="167" fontId="9" fillId="24" borderId="0" xfId="6" applyFill="1" applyAlignment="1">
      <alignment horizontal="center"/>
    </xf>
    <xf numFmtId="167" fontId="9" fillId="24" borderId="0" xfId="6" applyFill="1" applyAlignment="1">
      <alignment horizontal="left"/>
    </xf>
    <xf numFmtId="17" fontId="13" fillId="0" borderId="0" xfId="30" applyNumberFormat="1"/>
    <xf numFmtId="170" fontId="30" fillId="6" borderId="2" xfId="13" applyFont="1" applyFill="1" applyBorder="1">
      <alignment horizontal="right"/>
    </xf>
    <xf numFmtId="0" fontId="30" fillId="6" borderId="0" xfId="5" applyFont="1" applyAlignment="1">
      <alignment horizontal="left"/>
    </xf>
    <xf numFmtId="170" fontId="40" fillId="6" borderId="2" xfId="19" applyFont="1" applyBorder="1">
      <alignment horizontal="right"/>
    </xf>
    <xf numFmtId="0" fontId="40" fillId="6" borderId="0" xfId="27" applyFont="1" applyBorder="1"/>
    <xf numFmtId="165" fontId="40" fillId="18" borderId="2" xfId="20" applyFont="1" applyFill="1" applyBorder="1"/>
    <xf numFmtId="170" fontId="40" fillId="6" borderId="2" xfId="23" applyFont="1" applyBorder="1">
      <alignment horizontal="right"/>
    </xf>
    <xf numFmtId="170" fontId="40" fillId="6" borderId="7" xfId="23" applyFont="1" applyBorder="1">
      <alignment horizontal="right"/>
    </xf>
    <xf numFmtId="165" fontId="13" fillId="0" borderId="17" xfId="1" applyNumberFormat="1" applyBorder="1"/>
    <xf numFmtId="170" fontId="40" fillId="6" borderId="17" xfId="19" applyFont="1" applyBorder="1">
      <alignment horizontal="right"/>
    </xf>
    <xf numFmtId="0" fontId="51" fillId="0" borderId="0" xfId="1" applyFont="1"/>
    <xf numFmtId="0" fontId="52" fillId="0" borderId="0" xfId="5" applyFont="1" applyFill="1"/>
    <xf numFmtId="0" fontId="13" fillId="0" borderId="0" xfId="1" applyAlignment="1">
      <alignment horizontal="right"/>
    </xf>
    <xf numFmtId="0" fontId="13" fillId="0" borderId="17" xfId="1" applyBorder="1"/>
    <xf numFmtId="0" fontId="37" fillId="0" borderId="0" xfId="1" applyFont="1"/>
    <xf numFmtId="0" fontId="37" fillId="0" borderId="0" xfId="1" applyFont="1" applyAlignment="1">
      <alignment horizontal="right"/>
    </xf>
    <xf numFmtId="0" fontId="37" fillId="6" borderId="2" xfId="1" applyFont="1" applyFill="1" applyBorder="1"/>
    <xf numFmtId="0" fontId="37" fillId="6" borderId="0" xfId="1" applyFont="1" applyFill="1"/>
    <xf numFmtId="165" fontId="30" fillId="6" borderId="17" xfId="9" applyFont="1" applyBorder="1">
      <alignment horizontal="right"/>
    </xf>
    <xf numFmtId="165" fontId="30" fillId="6" borderId="7" xfId="9" applyFont="1" applyBorder="1">
      <alignment horizontal="right"/>
    </xf>
    <xf numFmtId="0" fontId="40" fillId="6" borderId="7" xfId="29" applyFont="1" applyBorder="1"/>
    <xf numFmtId="166" fontId="31" fillId="6" borderId="0" xfId="4" applyFont="1" applyFill="1" applyAlignment="1">
      <alignment horizontal="center"/>
    </xf>
    <xf numFmtId="0" fontId="31" fillId="6" borderId="0" xfId="33" applyFont="1" applyFill="1"/>
    <xf numFmtId="166" fontId="9" fillId="24" borderId="0" xfId="4" applyFill="1" applyAlignment="1">
      <alignment horizontal="center"/>
    </xf>
    <xf numFmtId="169" fontId="9" fillId="24" borderId="0" xfId="10" applyFill="1">
      <alignment horizontal="right"/>
    </xf>
    <xf numFmtId="0" fontId="22" fillId="9" borderId="0" xfId="33" applyFont="1" applyFill="1" applyAlignment="1">
      <alignment horizontal="left"/>
    </xf>
    <xf numFmtId="166" fontId="20" fillId="24" borderId="0" xfId="3" applyNumberFormat="1" applyFill="1" applyAlignment="1">
      <alignment horizontal="center"/>
    </xf>
    <xf numFmtId="0" fontId="22" fillId="9" borderId="0" xfId="33" applyFont="1" applyFill="1" applyAlignment="1">
      <alignment horizontal="right"/>
    </xf>
    <xf numFmtId="0" fontId="13" fillId="0" borderId="0" xfId="1" applyAlignment="1">
      <alignment horizontal="center"/>
    </xf>
    <xf numFmtId="49" fontId="38" fillId="0" borderId="17" xfId="1" applyNumberFormat="1" applyFont="1" applyBorder="1" applyAlignment="1">
      <alignment horizontal="center" vertical="center"/>
    </xf>
    <xf numFmtId="49" fontId="30" fillId="0" borderId="0" xfId="1" applyNumberFormat="1" applyFont="1" applyAlignment="1">
      <alignment horizontal="center" vertical="center"/>
    </xf>
    <xf numFmtId="0" fontId="40" fillId="6" borderId="0" xfId="15" applyFont="1" applyAlignment="1">
      <alignment horizontal="center"/>
    </xf>
    <xf numFmtId="0" fontId="30" fillId="6" borderId="0" xfId="5" applyFont="1" applyAlignment="1">
      <alignment horizontal="center"/>
    </xf>
    <xf numFmtId="165" fontId="40" fillId="10" borderId="2" xfId="25" applyFont="1" applyFill="1" applyBorder="1"/>
    <xf numFmtId="0" fontId="40" fillId="6" borderId="2" xfId="27" applyFont="1" applyBorder="1"/>
    <xf numFmtId="0" fontId="40" fillId="6" borderId="17" xfId="29" applyFont="1" applyBorder="1"/>
    <xf numFmtId="173" fontId="30" fillId="6" borderId="2" xfId="5" applyNumberFormat="1" applyFont="1" applyBorder="1" applyAlignment="1">
      <alignment horizontal="center"/>
    </xf>
    <xf numFmtId="173" fontId="30" fillId="6" borderId="0" xfId="5" applyNumberFormat="1" applyFont="1" applyAlignment="1">
      <alignment horizontal="center"/>
    </xf>
    <xf numFmtId="173" fontId="38" fillId="6" borderId="0" xfId="5" applyNumberFormat="1" applyFont="1" applyAlignment="1">
      <alignment horizontal="center"/>
    </xf>
    <xf numFmtId="165" fontId="40" fillId="10" borderId="0" xfId="25" applyFont="1" applyFill="1" applyBorder="1"/>
    <xf numFmtId="173" fontId="40" fillId="6" borderId="0" xfId="27" applyNumberFormat="1" applyFont="1" applyBorder="1" applyAlignment="1">
      <alignment horizontal="center"/>
    </xf>
    <xf numFmtId="165" fontId="30" fillId="6" borderId="0" xfId="18" applyFont="1" applyFill="1">
      <alignment horizontal="right"/>
    </xf>
    <xf numFmtId="165" fontId="30" fillId="6" borderId="2" xfId="18" applyFont="1" applyFill="1" applyBorder="1" applyAlignment="1"/>
    <xf numFmtId="165" fontId="30" fillId="6" borderId="2" xfId="8" applyFont="1" applyFill="1" applyBorder="1" applyAlignment="1"/>
    <xf numFmtId="165" fontId="30" fillId="6" borderId="2" xfId="9" applyFont="1" applyBorder="1" applyAlignment="1"/>
    <xf numFmtId="165" fontId="30" fillId="18" borderId="0" xfId="18" applyFont="1" applyFill="1" applyAlignment="1"/>
    <xf numFmtId="165" fontId="30" fillId="10" borderId="0" xfId="8" applyFont="1" applyFill="1" applyAlignment="1"/>
    <xf numFmtId="165" fontId="30" fillId="6" borderId="0" xfId="9" applyFont="1" applyAlignment="1"/>
    <xf numFmtId="165" fontId="53" fillId="10" borderId="0" xfId="8" applyFont="1" applyFill="1" applyAlignment="1"/>
    <xf numFmtId="165" fontId="53" fillId="6" borderId="0" xfId="9" applyFont="1" applyAlignment="1"/>
    <xf numFmtId="0" fontId="53" fillId="6" borderId="0" xfId="5" applyFont="1"/>
    <xf numFmtId="165" fontId="40" fillId="25" borderId="17" xfId="22" applyFont="1" applyFill="1" applyBorder="1"/>
    <xf numFmtId="165" fontId="40" fillId="18" borderId="0" xfId="18" applyFont="1" applyFill="1" applyAlignment="1"/>
    <xf numFmtId="165" fontId="40" fillId="10" borderId="0" xfId="8" applyFont="1" applyFill="1" applyAlignment="1"/>
    <xf numFmtId="165" fontId="40" fillId="6" borderId="0" xfId="9" applyFont="1" applyAlignment="1"/>
    <xf numFmtId="165" fontId="30" fillId="25" borderId="0" xfId="9" applyFont="1" applyFill="1" applyAlignment="1"/>
    <xf numFmtId="0" fontId="50" fillId="6" borderId="0" xfId="5" applyFont="1"/>
    <xf numFmtId="165" fontId="30" fillId="0" borderId="2" xfId="8" applyFont="1" applyFill="1" applyBorder="1">
      <alignment horizontal="right"/>
    </xf>
    <xf numFmtId="170" fontId="40" fillId="10" borderId="0" xfId="34" applyFont="1" applyFill="1" applyBorder="1">
      <alignment horizontal="right"/>
    </xf>
    <xf numFmtId="170" fontId="40" fillId="6" borderId="0" xfId="23" applyFont="1" applyBorder="1">
      <alignment horizontal="right"/>
    </xf>
    <xf numFmtId="170" fontId="30" fillId="10" borderId="2" xfId="11" applyFont="1" applyFill="1" applyBorder="1">
      <alignment horizontal="right"/>
    </xf>
    <xf numFmtId="165" fontId="53" fillId="10" borderId="0" xfId="25" applyFont="1" applyFill="1" applyBorder="1" applyAlignment="1">
      <alignment horizontal="right"/>
    </xf>
    <xf numFmtId="165" fontId="53" fillId="6" borderId="0" xfId="9" applyFont="1">
      <alignment horizontal="right"/>
    </xf>
    <xf numFmtId="165" fontId="30" fillId="10" borderId="0" xfId="25" applyFont="1" applyFill="1" applyBorder="1" applyAlignment="1">
      <alignment horizontal="right"/>
    </xf>
    <xf numFmtId="169" fontId="9" fillId="24" borderId="0" xfId="10" applyFill="1" applyAlignment="1"/>
    <xf numFmtId="168" fontId="9" fillId="24" borderId="0" xfId="7" applyFill="1" applyAlignment="1"/>
    <xf numFmtId="0" fontId="30" fillId="26" borderId="0" xfId="5" applyFont="1" applyFill="1"/>
    <xf numFmtId="165" fontId="30" fillId="6" borderId="0" xfId="9" applyFont="1" applyAlignment="1">
      <alignment horizontal="center"/>
    </xf>
    <xf numFmtId="49" fontId="30" fillId="26" borderId="0" xfId="9" applyNumberFormat="1" applyFont="1" applyFill="1" applyAlignment="1">
      <alignment horizontal="center"/>
    </xf>
    <xf numFmtId="0" fontId="56" fillId="0" borderId="0" xfId="1" applyFont="1"/>
    <xf numFmtId="165" fontId="30" fillId="18" borderId="2" xfId="18" applyFont="1" applyFill="1" applyBorder="1" applyAlignment="1"/>
    <xf numFmtId="169" fontId="31" fillId="0" borderId="0" xfId="10" applyFont="1" applyFill="1">
      <alignment horizontal="right"/>
    </xf>
    <xf numFmtId="165" fontId="13" fillId="0" borderId="16" xfId="1" applyNumberFormat="1" applyBorder="1"/>
    <xf numFmtId="49" fontId="38" fillId="0" borderId="19" xfId="1" applyNumberFormat="1" applyFont="1" applyBorder="1" applyAlignment="1">
      <alignment horizontal="left" vertical="center"/>
    </xf>
    <xf numFmtId="165" fontId="40" fillId="6" borderId="0" xfId="22" applyFont="1" applyBorder="1" applyAlignment="1">
      <alignment horizontal="right"/>
    </xf>
    <xf numFmtId="0" fontId="30" fillId="6" borderId="0" xfId="14" applyFont="1" applyFill="1" applyBorder="1" applyAlignment="1">
      <alignment horizontal="left" indent="1"/>
    </xf>
    <xf numFmtId="0" fontId="7" fillId="0" borderId="0" xfId="1" applyFont="1"/>
    <xf numFmtId="170" fontId="30" fillId="0" borderId="0" xfId="12" applyFont="1" applyFill="1">
      <alignment horizontal="right"/>
    </xf>
    <xf numFmtId="0" fontId="40" fillId="0" borderId="0" xfId="27" applyFont="1" applyFill="1" applyBorder="1"/>
    <xf numFmtId="170" fontId="40" fillId="6" borderId="17" xfId="23" applyFont="1" applyBorder="1">
      <alignment horizontal="right"/>
    </xf>
    <xf numFmtId="170" fontId="24" fillId="0" borderId="0" xfId="12" applyFill="1">
      <alignment horizontal="right"/>
    </xf>
    <xf numFmtId="165" fontId="24" fillId="0" borderId="0" xfId="9" applyFill="1">
      <alignment horizontal="right"/>
    </xf>
    <xf numFmtId="174" fontId="30" fillId="3" borderId="0" xfId="18" applyNumberFormat="1" applyFont="1" applyFill="1">
      <alignment horizontal="right"/>
    </xf>
    <xf numFmtId="174" fontId="30" fillId="6" borderId="0" xfId="9" applyNumberFormat="1" applyFont="1">
      <alignment horizontal="right"/>
    </xf>
    <xf numFmtId="170" fontId="30" fillId="3" borderId="0" xfId="13" applyFont="1" applyFill="1">
      <alignment horizontal="right"/>
    </xf>
    <xf numFmtId="174" fontId="30" fillId="10" borderId="0" xfId="8" applyNumberFormat="1" applyFont="1" applyFill="1">
      <alignment horizontal="right"/>
    </xf>
    <xf numFmtId="174" fontId="30" fillId="19" borderId="0" xfId="8" applyNumberFormat="1" applyFont="1" applyFill="1">
      <alignment horizontal="right"/>
    </xf>
    <xf numFmtId="165" fontId="30" fillId="3" borderId="0" xfId="18" applyFont="1" applyFill="1">
      <alignment horizontal="right"/>
    </xf>
    <xf numFmtId="15" fontId="13" fillId="0" borderId="0" xfId="1" applyNumberFormat="1"/>
    <xf numFmtId="15" fontId="30" fillId="6" borderId="0" xfId="12" applyNumberFormat="1" applyFont="1">
      <alignment horizontal="right"/>
    </xf>
    <xf numFmtId="15" fontId="30" fillId="3" borderId="0" xfId="18" applyNumberFormat="1" applyFont="1" applyFill="1">
      <alignment horizontal="right"/>
    </xf>
    <xf numFmtId="15" fontId="30" fillId="10" borderId="0" xfId="8" applyNumberFormat="1" applyFont="1" applyFill="1">
      <alignment horizontal="right"/>
    </xf>
    <xf numFmtId="15" fontId="30" fillId="19" borderId="0" xfId="8" applyNumberFormat="1" applyFont="1" applyFill="1">
      <alignment horizontal="right"/>
    </xf>
    <xf numFmtId="15" fontId="30" fillId="6" borderId="0" xfId="9" applyNumberFormat="1" applyFont="1">
      <alignment horizontal="right"/>
    </xf>
    <xf numFmtId="15" fontId="40" fillId="6" borderId="0" xfId="15" applyNumberFormat="1" applyFont="1"/>
    <xf numFmtId="0" fontId="44" fillId="6" borderId="0" xfId="27" applyBorder="1"/>
    <xf numFmtId="166" fontId="9" fillId="24" borderId="0" xfId="4" applyFill="1" applyAlignment="1">
      <alignment horizontal="right" wrapText="1"/>
    </xf>
    <xf numFmtId="0" fontId="38" fillId="0" borderId="0" xfId="1" applyFont="1"/>
    <xf numFmtId="171" fontId="30" fillId="18" borderId="0" xfId="28" applyNumberFormat="1" applyFont="1" applyFill="1" applyAlignment="1">
      <alignment horizontal="right"/>
    </xf>
    <xf numFmtId="171" fontId="30" fillId="10" borderId="0" xfId="28" applyNumberFormat="1" applyFont="1" applyFill="1" applyAlignment="1">
      <alignment horizontal="right"/>
    </xf>
    <xf numFmtId="171" fontId="30" fillId="6" borderId="0" xfId="28" applyNumberFormat="1" applyFont="1" applyFill="1" applyAlignment="1">
      <alignment horizontal="right"/>
    </xf>
    <xf numFmtId="165" fontId="30" fillId="26" borderId="0" xfId="18" applyFont="1" applyFill="1">
      <alignment horizontal="right"/>
    </xf>
    <xf numFmtId="165" fontId="30" fillId="26" borderId="0" xfId="8" applyFont="1" applyFill="1">
      <alignment horizontal="right"/>
    </xf>
    <xf numFmtId="165" fontId="30" fillId="26" borderId="0" xfId="9" applyFont="1" applyFill="1">
      <alignment horizontal="right"/>
    </xf>
    <xf numFmtId="0" fontId="30" fillId="26" borderId="0" xfId="5" applyFont="1" applyFill="1" applyAlignment="1">
      <alignment horizontal="left" indent="1"/>
    </xf>
    <xf numFmtId="165" fontId="40" fillId="3" borderId="17" xfId="24" applyFont="1" applyFill="1" applyBorder="1"/>
    <xf numFmtId="0" fontId="13" fillId="0" borderId="7" xfId="1" applyBorder="1"/>
    <xf numFmtId="165" fontId="40" fillId="3" borderId="7" xfId="20" applyFont="1" applyFill="1" applyBorder="1"/>
    <xf numFmtId="165" fontId="30" fillId="3" borderId="2" xfId="18" applyFont="1" applyFill="1" applyBorder="1">
      <alignment horizontal="right"/>
    </xf>
    <xf numFmtId="165" fontId="40" fillId="3" borderId="0" xfId="20" applyFont="1" applyFill="1" applyBorder="1"/>
    <xf numFmtId="165" fontId="40" fillId="3" borderId="2" xfId="20" applyFont="1" applyFill="1" applyBorder="1"/>
    <xf numFmtId="165" fontId="40" fillId="3" borderId="2" xfId="18" applyFont="1" applyFill="1" applyBorder="1">
      <alignment horizontal="right"/>
    </xf>
    <xf numFmtId="165" fontId="40" fillId="3" borderId="0" xfId="18" applyFont="1" applyFill="1">
      <alignment horizontal="right"/>
    </xf>
    <xf numFmtId="169" fontId="22" fillId="9" borderId="0" xfId="10" applyFont="1" applyFill="1" applyAlignment="1"/>
    <xf numFmtId="0" fontId="20" fillId="24" borderId="0" xfId="3" applyFill="1" applyAlignment="1">
      <alignment horizontal="left"/>
    </xf>
    <xf numFmtId="0" fontId="9" fillId="24" borderId="0" xfId="33" applyFill="1"/>
    <xf numFmtId="0" fontId="13" fillId="0" borderId="17" xfId="1" applyBorder="1" applyAlignment="1">
      <alignment horizontal="right"/>
    </xf>
    <xf numFmtId="166" fontId="20" fillId="24" borderId="0" xfId="35" applyFont="1" applyFill="1">
      <alignment horizontal="right"/>
    </xf>
    <xf numFmtId="0" fontId="9" fillId="24" borderId="0" xfId="33" applyFill="1" applyAlignment="1">
      <alignment horizontal="right"/>
    </xf>
    <xf numFmtId="0" fontId="9" fillId="24" borderId="0" xfId="33" applyFill="1" applyAlignment="1">
      <alignment horizontal="center"/>
    </xf>
    <xf numFmtId="166" fontId="12" fillId="24" borderId="0" xfId="4" applyFont="1" applyFill="1">
      <alignment horizontal="right"/>
    </xf>
    <xf numFmtId="167" fontId="12" fillId="24" borderId="0" xfId="6" applyFont="1" applyFill="1">
      <alignment horizontal="right"/>
    </xf>
    <xf numFmtId="167" fontId="23" fillId="24" borderId="0" xfId="36" applyFont="1" applyFill="1">
      <alignment horizontal="right"/>
    </xf>
    <xf numFmtId="165" fontId="12" fillId="24" borderId="0" xfId="9" applyFont="1" applyFill="1">
      <alignment horizontal="right"/>
    </xf>
    <xf numFmtId="0" fontId="12" fillId="24" borderId="0" xfId="33" applyFont="1" applyFill="1" applyAlignment="1">
      <alignment horizontal="right"/>
    </xf>
    <xf numFmtId="166" fontId="23" fillId="24" borderId="0" xfId="35" applyFont="1" applyFill="1">
      <alignment horizontal="right"/>
    </xf>
    <xf numFmtId="166" fontId="23" fillId="24" borderId="0" xfId="3" applyNumberFormat="1" applyFont="1" applyFill="1" applyAlignment="1">
      <alignment horizontal="center"/>
    </xf>
    <xf numFmtId="0" fontId="13" fillId="27" borderId="0" xfId="1" applyFill="1"/>
    <xf numFmtId="0" fontId="6" fillId="6" borderId="0" xfId="5" applyFont="1"/>
    <xf numFmtId="0" fontId="57" fillId="28" borderId="0" xfId="0" applyFont="1" applyFill="1"/>
    <xf numFmtId="0" fontId="13" fillId="29" borderId="0" xfId="1" applyFill="1"/>
    <xf numFmtId="0" fontId="55" fillId="0" borderId="0" xfId="1" applyFont="1"/>
    <xf numFmtId="0" fontId="6" fillId="0" borderId="0" xfId="1" applyFont="1"/>
    <xf numFmtId="0" fontId="6" fillId="29" borderId="0" xfId="1" applyFont="1" applyFill="1"/>
    <xf numFmtId="175" fontId="40" fillId="6" borderId="0" xfId="5" applyNumberFormat="1" applyFont="1"/>
    <xf numFmtId="0" fontId="40" fillId="6" borderId="17" xfId="5" applyFont="1" applyBorder="1"/>
    <xf numFmtId="165" fontId="30" fillId="6" borderId="17" xfId="9" applyFont="1" applyBorder="1" applyAlignment="1"/>
    <xf numFmtId="165" fontId="30" fillId="18" borderId="17" xfId="18" applyFont="1" applyFill="1" applyBorder="1" applyAlignment="1"/>
    <xf numFmtId="0" fontId="28" fillId="6" borderId="0" xfId="1" applyFont="1" applyFill="1"/>
    <xf numFmtId="171" fontId="30" fillId="26" borderId="0" xfId="38" applyNumberFormat="1" applyFont="1" applyFill="1" applyAlignment="1">
      <alignment horizontal="center"/>
    </xf>
    <xf numFmtId="172" fontId="30" fillId="26" borderId="0" xfId="37" applyNumberFormat="1" applyFont="1" applyFill="1" applyAlignment="1">
      <alignment horizontal="center"/>
    </xf>
    <xf numFmtId="0" fontId="38" fillId="6" borderId="0" xfId="1" applyFont="1" applyFill="1"/>
    <xf numFmtId="165" fontId="40" fillId="6" borderId="7" xfId="20" applyFont="1" applyFill="1" applyBorder="1"/>
    <xf numFmtId="165" fontId="40" fillId="6" borderId="2" xfId="24" applyFont="1" applyFill="1" applyBorder="1"/>
    <xf numFmtId="170" fontId="30" fillId="6" borderId="0" xfId="13" applyFont="1" applyFill="1">
      <alignment horizontal="right"/>
    </xf>
    <xf numFmtId="170" fontId="40" fillId="6" borderId="0" xfId="13" applyFont="1" applyFill="1">
      <alignment horizontal="right"/>
    </xf>
    <xf numFmtId="165" fontId="37" fillId="6" borderId="0" xfId="1" applyNumberFormat="1" applyFont="1" applyFill="1" applyAlignment="1">
      <alignment horizontal="right" vertical="center"/>
    </xf>
    <xf numFmtId="0" fontId="13" fillId="6" borderId="17" xfId="1" applyFill="1" applyBorder="1"/>
    <xf numFmtId="165" fontId="13" fillId="6" borderId="17" xfId="1" applyNumberFormat="1" applyFill="1" applyBorder="1"/>
    <xf numFmtId="165" fontId="40" fillId="6" borderId="0" xfId="18" applyFont="1" applyFill="1">
      <alignment horizontal="right"/>
    </xf>
    <xf numFmtId="165" fontId="40" fillId="6" borderId="2" xfId="18" applyFont="1" applyFill="1" applyBorder="1">
      <alignment horizontal="right"/>
    </xf>
    <xf numFmtId="165" fontId="40" fillId="6" borderId="17" xfId="20" applyFont="1" applyFill="1" applyBorder="1"/>
    <xf numFmtId="165" fontId="40" fillId="6" borderId="0" xfId="20" applyFont="1" applyFill="1" applyBorder="1"/>
    <xf numFmtId="165" fontId="40" fillId="6" borderId="17" xfId="24" applyFont="1" applyFill="1" applyBorder="1"/>
    <xf numFmtId="165" fontId="30" fillId="6" borderId="17" xfId="18" applyFont="1" applyFill="1" applyBorder="1">
      <alignment horizontal="right"/>
    </xf>
    <xf numFmtId="14" fontId="58" fillId="6" borderId="0" xfId="1" applyNumberFormat="1" applyFont="1" applyFill="1"/>
    <xf numFmtId="0" fontId="28" fillId="6" borderId="8" xfId="1" applyFont="1" applyFill="1" applyBorder="1"/>
    <xf numFmtId="0" fontId="28" fillId="6" borderId="7" xfId="1" applyFont="1" applyFill="1" applyBorder="1"/>
    <xf numFmtId="0" fontId="28" fillId="6" borderId="7" xfId="1" applyFont="1" applyFill="1" applyBorder="1" applyAlignment="1">
      <alignment horizontal="right"/>
    </xf>
    <xf numFmtId="172" fontId="28" fillId="6" borderId="7" xfId="37" applyNumberFormat="1" applyFont="1" applyFill="1" applyBorder="1" applyAlignment="1">
      <alignment horizontal="right"/>
    </xf>
    <xf numFmtId="172" fontId="28" fillId="6" borderId="6" xfId="37" applyNumberFormat="1" applyFont="1" applyFill="1" applyBorder="1" applyAlignment="1">
      <alignment horizontal="right"/>
    </xf>
    <xf numFmtId="0" fontId="28" fillId="6" borderId="5" xfId="1" applyFont="1" applyFill="1" applyBorder="1"/>
    <xf numFmtId="171" fontId="28" fillId="6" borderId="0" xfId="38" applyNumberFormat="1" applyFont="1" applyFill="1" applyBorder="1" applyAlignment="1">
      <alignment horizontal="right"/>
    </xf>
    <xf numFmtId="171" fontId="28" fillId="6" borderId="4" xfId="38" applyNumberFormat="1" applyFont="1" applyFill="1" applyBorder="1" applyAlignment="1">
      <alignment horizontal="right"/>
    </xf>
    <xf numFmtId="0" fontId="28" fillId="6" borderId="3" xfId="1" applyFont="1" applyFill="1" applyBorder="1"/>
    <xf numFmtId="0" fontId="28" fillId="6" borderId="2" xfId="1" applyFont="1" applyFill="1" applyBorder="1"/>
    <xf numFmtId="171" fontId="28" fillId="6" borderId="2" xfId="38" applyNumberFormat="1" applyFont="1" applyFill="1" applyBorder="1" applyAlignment="1">
      <alignment horizontal="right"/>
    </xf>
    <xf numFmtId="171" fontId="28" fillId="6" borderId="1" xfId="38" applyNumberFormat="1" applyFont="1" applyFill="1" applyBorder="1" applyAlignment="1">
      <alignment horizontal="right"/>
    </xf>
    <xf numFmtId="165" fontId="37" fillId="0" borderId="7" xfId="1" applyNumberFormat="1" applyFont="1" applyBorder="1" applyAlignment="1">
      <alignment horizontal="right" vertical="center"/>
    </xf>
    <xf numFmtId="0" fontId="13" fillId="6" borderId="7" xfId="1" applyFill="1" applyBorder="1" applyAlignment="1">
      <alignment horizontal="right"/>
    </xf>
    <xf numFmtId="0" fontId="30" fillId="6" borderId="8" xfId="5" applyFont="1" applyBorder="1"/>
    <xf numFmtId="0" fontId="30" fillId="6" borderId="7" xfId="29" applyFont="1" applyBorder="1"/>
    <xf numFmtId="0" fontId="30" fillId="6" borderId="6" xfId="29" applyFont="1" applyBorder="1"/>
    <xf numFmtId="0" fontId="30" fillId="6" borderId="5" xfId="5" applyFont="1" applyBorder="1"/>
    <xf numFmtId="0" fontId="13" fillId="6" borderId="0" xfId="1" applyFill="1" applyAlignment="1">
      <alignment horizontal="right"/>
    </xf>
    <xf numFmtId="0" fontId="30" fillId="6" borderId="4" xfId="29" applyFont="1" applyBorder="1"/>
    <xf numFmtId="0" fontId="30" fillId="6" borderId="3" xfId="5" applyFont="1" applyBorder="1"/>
    <xf numFmtId="0" fontId="30" fillId="6" borderId="2" xfId="29" applyFont="1" applyBorder="1"/>
    <xf numFmtId="0" fontId="30" fillId="6" borderId="1" xfId="29" applyFont="1" applyBorder="1"/>
    <xf numFmtId="0" fontId="40" fillId="28" borderId="0" xfId="29" applyFont="1" applyFill="1" applyBorder="1"/>
    <xf numFmtId="165" fontId="40" fillId="28" borderId="0" xfId="22" applyFont="1" applyFill="1" applyBorder="1"/>
    <xf numFmtId="0" fontId="11" fillId="10" borderId="0" xfId="5" applyFont="1" applyFill="1"/>
    <xf numFmtId="0" fontId="28" fillId="28" borderId="0" xfId="1" applyFont="1" applyFill="1"/>
    <xf numFmtId="0" fontId="35" fillId="28" borderId="0" xfId="29" applyFont="1" applyFill="1" applyBorder="1" applyAlignment="1">
      <alignment vertical="center"/>
    </xf>
    <xf numFmtId="175" fontId="13" fillId="6" borderId="8" xfId="1" applyNumberFormat="1" applyFill="1" applyBorder="1"/>
    <xf numFmtId="175" fontId="13" fillId="6" borderId="7" xfId="1" applyNumberFormat="1" applyFill="1" applyBorder="1"/>
    <xf numFmtId="175" fontId="13" fillId="6" borderId="7" xfId="1" applyNumberFormat="1" applyFill="1" applyBorder="1" applyAlignment="1">
      <alignment horizontal="right"/>
    </xf>
    <xf numFmtId="175" fontId="13" fillId="6" borderId="7" xfId="37" applyNumberFormat="1" applyFont="1" applyFill="1" applyBorder="1" applyAlignment="1">
      <alignment horizontal="right"/>
    </xf>
    <xf numFmtId="175" fontId="13" fillId="6" borderId="6" xfId="37" applyNumberFormat="1" applyFont="1" applyFill="1" applyBorder="1" applyAlignment="1">
      <alignment horizontal="right"/>
    </xf>
    <xf numFmtId="175" fontId="13" fillId="6" borderId="5" xfId="1" applyNumberFormat="1" applyFill="1" applyBorder="1"/>
    <xf numFmtId="175" fontId="13" fillId="6" borderId="0" xfId="1" applyNumberFormat="1" applyFill="1"/>
    <xf numFmtId="175" fontId="13" fillId="6" borderId="0" xfId="38" applyNumberFormat="1" applyFont="1" applyFill="1" applyBorder="1" applyAlignment="1">
      <alignment horizontal="right"/>
    </xf>
    <xf numFmtId="175" fontId="13" fillId="6" borderId="4" xfId="38" applyNumberFormat="1" applyFont="1" applyFill="1" applyBorder="1" applyAlignment="1">
      <alignment horizontal="right"/>
    </xf>
    <xf numFmtId="175" fontId="13" fillId="6" borderId="3" xfId="1" applyNumberFormat="1" applyFill="1" applyBorder="1"/>
    <xf numFmtId="175" fontId="13" fillId="6" borderId="2" xfId="1" applyNumberFormat="1" applyFill="1" applyBorder="1"/>
    <xf numFmtId="175" fontId="13" fillId="6" borderId="2" xfId="38" applyNumberFormat="1" applyFont="1" applyFill="1" applyBorder="1" applyAlignment="1">
      <alignment horizontal="right"/>
    </xf>
    <xf numFmtId="175" fontId="13" fillId="6" borderId="1" xfId="38" applyNumberFormat="1" applyFont="1" applyFill="1" applyBorder="1" applyAlignment="1">
      <alignment horizontal="right"/>
    </xf>
    <xf numFmtId="0" fontId="55" fillId="3" borderId="0" xfId="1" applyFont="1" applyFill="1"/>
    <xf numFmtId="14" fontId="13" fillId="3" borderId="0" xfId="1" applyNumberFormat="1" applyFill="1" applyAlignment="1">
      <alignment horizontal="left"/>
    </xf>
    <xf numFmtId="170" fontId="30" fillId="0" borderId="0" xfId="11" applyFont="1" applyFill="1">
      <alignment horizontal="right"/>
    </xf>
    <xf numFmtId="167" fontId="31" fillId="6" borderId="0" xfId="6" applyFont="1" applyFill="1" applyAlignment="1">
      <alignment horizontal="left"/>
    </xf>
    <xf numFmtId="167" fontId="31" fillId="6" borderId="0" xfId="6" applyFont="1" applyFill="1">
      <alignment horizontal="right"/>
    </xf>
    <xf numFmtId="167" fontId="32" fillId="6" borderId="0" xfId="6" applyFont="1" applyFill="1" applyAlignment="1">
      <alignment horizontal="left"/>
    </xf>
    <xf numFmtId="165" fontId="30" fillId="6" borderId="7" xfId="9" applyFont="1" applyBorder="1" applyAlignment="1">
      <alignment horizontal="center" vertical="center"/>
    </xf>
    <xf numFmtId="165" fontId="30" fillId="6" borderId="7" xfId="8" applyFont="1" applyFill="1" applyBorder="1" applyAlignment="1">
      <alignment horizontal="center" vertical="center"/>
    </xf>
    <xf numFmtId="165" fontId="13" fillId="3" borderId="0" xfId="1" applyNumberFormat="1" applyFill="1" applyAlignment="1">
      <alignment horizontal="right"/>
    </xf>
    <xf numFmtId="0" fontId="13" fillId="30" borderId="0" xfId="1" applyFill="1"/>
    <xf numFmtId="165" fontId="55" fillId="0" borderId="0" xfId="1" applyNumberFormat="1" applyFont="1"/>
    <xf numFmtId="9" fontId="7" fillId="16" borderId="0" xfId="38" applyFont="1" applyFill="1" applyAlignment="1">
      <alignment horizontal="right"/>
    </xf>
    <xf numFmtId="165" fontId="40" fillId="6" borderId="17" xfId="9" applyFont="1" applyBorder="1" applyAlignment="1"/>
    <xf numFmtId="165" fontId="40" fillId="18" borderId="17" xfId="18" applyFont="1" applyFill="1" applyBorder="1" applyAlignment="1"/>
    <xf numFmtId="0" fontId="59" fillId="31" borderId="0" xfId="0" applyFont="1" applyFill="1" applyAlignment="1">
      <alignment horizontal="left"/>
    </xf>
    <xf numFmtId="0" fontId="59" fillId="31" borderId="0" xfId="0" applyFont="1" applyFill="1"/>
    <xf numFmtId="164" fontId="59" fillId="31" borderId="0" xfId="0" applyNumberFormat="1" applyFont="1" applyFill="1" applyAlignment="1">
      <alignment horizontal="right"/>
    </xf>
    <xf numFmtId="0" fontId="59" fillId="0" borderId="0" xfId="0" applyFont="1"/>
    <xf numFmtId="0" fontId="0" fillId="0" borderId="0" xfId="0" applyAlignment="1">
      <alignment horizontal="left"/>
    </xf>
    <xf numFmtId="164" fontId="0" fillId="0" borderId="0" xfId="0" applyNumberFormat="1" applyAlignment="1">
      <alignment horizontal="right"/>
    </xf>
    <xf numFmtId="0" fontId="59" fillId="0" borderId="17" xfId="0" applyFont="1" applyBorder="1" applyAlignment="1">
      <alignment horizontal="left"/>
    </xf>
    <xf numFmtId="0" fontId="59" fillId="0" borderId="17" xfId="0" applyFont="1" applyBorder="1"/>
    <xf numFmtId="164" fontId="59" fillId="0" borderId="17" xfId="0" applyNumberFormat="1" applyFont="1" applyBorder="1" applyAlignment="1">
      <alignment horizontal="right"/>
    </xf>
    <xf numFmtId="10" fontId="0" fillId="0" borderId="0" xfId="0" applyNumberFormat="1" applyAlignment="1">
      <alignment horizontal="right"/>
    </xf>
    <xf numFmtId="0" fontId="59" fillId="0" borderId="27" xfId="0" applyFont="1" applyBorder="1"/>
    <xf numFmtId="164" fontId="59" fillId="0" borderId="27" xfId="0" applyNumberFormat="1" applyFont="1" applyBorder="1" applyAlignment="1">
      <alignment horizontal="right"/>
    </xf>
    <xf numFmtId="164" fontId="59" fillId="0" borderId="0" xfId="0" applyNumberFormat="1" applyFont="1" applyAlignment="1">
      <alignment horizontal="right"/>
    </xf>
    <xf numFmtId="0" fontId="60" fillId="0" borderId="0" xfId="0" applyFont="1"/>
    <xf numFmtId="164" fontId="60" fillId="0" borderId="0" xfId="0" applyNumberFormat="1" applyFont="1" applyAlignment="1">
      <alignment horizontal="right"/>
    </xf>
    <xf numFmtId="176" fontId="37" fillId="0" borderId="17" xfId="1" applyNumberFormat="1" applyFont="1" applyBorder="1" applyAlignment="1">
      <alignment horizontal="right" vertical="center"/>
    </xf>
    <xf numFmtId="177" fontId="37" fillId="0" borderId="17" xfId="1" applyNumberFormat="1" applyFont="1" applyBorder="1" applyAlignment="1">
      <alignment horizontal="right" vertical="center"/>
    </xf>
    <xf numFmtId="164" fontId="0" fillId="2" borderId="0" xfId="0" applyNumberFormat="1" applyFill="1" applyAlignment="1">
      <alignment horizontal="right"/>
    </xf>
    <xf numFmtId="10" fontId="13" fillId="0" borderId="0" xfId="1" applyNumberFormat="1"/>
    <xf numFmtId="0" fontId="0" fillId="32" borderId="0" xfId="0" applyFill="1" applyAlignment="1">
      <alignment horizontal="left"/>
    </xf>
    <xf numFmtId="0" fontId="0" fillId="32" borderId="0" xfId="0" applyFill="1"/>
    <xf numFmtId="164" fontId="0" fillId="32" borderId="0" xfId="0" applyNumberFormat="1" applyFill="1" applyAlignment="1">
      <alignment horizontal="right"/>
    </xf>
    <xf numFmtId="9" fontId="0" fillId="0" borderId="0" xfId="0" applyNumberFormat="1" applyAlignment="1">
      <alignment horizontal="right"/>
    </xf>
    <xf numFmtId="171" fontId="0" fillId="0" borderId="0" xfId="0" applyNumberFormat="1" applyAlignment="1">
      <alignment horizontal="right"/>
    </xf>
    <xf numFmtId="0" fontId="0" fillId="0" borderId="20" xfId="0" applyBorder="1" applyAlignment="1">
      <alignment horizontal="left"/>
    </xf>
    <xf numFmtId="0" fontId="0" fillId="0" borderId="20" xfId="0" applyBorder="1"/>
    <xf numFmtId="164" fontId="0" fillId="0" borderId="20" xfId="0" applyNumberFormat="1" applyBorder="1" applyAlignment="1">
      <alignment horizontal="right"/>
    </xf>
    <xf numFmtId="0" fontId="0" fillId="33" borderId="0" xfId="0" applyFill="1"/>
    <xf numFmtId="164" fontId="0" fillId="33" borderId="0" xfId="0" applyNumberFormat="1" applyFill="1" applyAlignment="1">
      <alignment horizontal="right"/>
    </xf>
    <xf numFmtId="0" fontId="0" fillId="34" borderId="0" xfId="0" applyFill="1" applyAlignment="1">
      <alignment horizontal="left"/>
    </xf>
    <xf numFmtId="0" fontId="0" fillId="34" borderId="0" xfId="0" applyFill="1"/>
    <xf numFmtId="164" fontId="0" fillId="34" borderId="0" xfId="0" applyNumberFormat="1" applyFill="1" applyAlignment="1">
      <alignment horizontal="right"/>
    </xf>
    <xf numFmtId="0" fontId="57" fillId="0" borderId="0" xfId="0" applyFont="1"/>
    <xf numFmtId="165" fontId="13" fillId="0" borderId="0" xfId="1" applyNumberFormat="1"/>
    <xf numFmtId="178" fontId="0" fillId="0" borderId="0" xfId="0" applyNumberFormat="1"/>
    <xf numFmtId="0" fontId="13" fillId="35" borderId="0" xfId="1" applyFill="1"/>
    <xf numFmtId="9" fontId="30" fillId="6" borderId="0" xfId="9" applyNumberFormat="1" applyFont="1">
      <alignment horizontal="right"/>
    </xf>
    <xf numFmtId="9" fontId="13" fillId="0" borderId="0" xfId="1" applyNumberFormat="1"/>
    <xf numFmtId="0" fontId="13" fillId="28" borderId="0" xfId="1" applyFill="1"/>
    <xf numFmtId="0" fontId="10" fillId="6" borderId="0" xfId="5" applyFont="1"/>
    <xf numFmtId="164" fontId="57" fillId="0" borderId="0" xfId="0" applyNumberFormat="1" applyFont="1" applyAlignment="1">
      <alignment horizontal="right"/>
    </xf>
    <xf numFmtId="0" fontId="0" fillId="36" borderId="0" xfId="0" applyFill="1" applyAlignment="1">
      <alignment horizontal="left"/>
    </xf>
    <xf numFmtId="0" fontId="0" fillId="36" borderId="0" xfId="0" applyFill="1"/>
    <xf numFmtId="164" fontId="0" fillId="36" borderId="0" xfId="0" applyNumberFormat="1" applyFill="1" applyAlignment="1">
      <alignment horizontal="right"/>
    </xf>
    <xf numFmtId="0" fontId="13" fillId="0" borderId="2" xfId="1" applyBorder="1"/>
    <xf numFmtId="165" fontId="13" fillId="0" borderId="2" xfId="1" applyNumberFormat="1" applyBorder="1"/>
    <xf numFmtId="9" fontId="13" fillId="0" borderId="2" xfId="1" applyNumberFormat="1" applyBorder="1"/>
    <xf numFmtId="0" fontId="28" fillId="0" borderId="2" xfId="1" applyFont="1" applyBorder="1"/>
    <xf numFmtId="9" fontId="13" fillId="6" borderId="0" xfId="38" applyFont="1" applyFill="1" applyBorder="1" applyAlignment="1">
      <alignment horizontal="right"/>
    </xf>
    <xf numFmtId="9" fontId="13" fillId="6" borderId="2" xfId="38" applyFont="1" applyFill="1" applyBorder="1" applyAlignment="1">
      <alignment horizontal="right"/>
    </xf>
    <xf numFmtId="168" fontId="9" fillId="28" borderId="0" xfId="7" applyFill="1">
      <alignment horizontal="right"/>
    </xf>
    <xf numFmtId="167" fontId="9" fillId="28" borderId="0" xfId="6" applyFill="1">
      <alignment horizontal="right"/>
    </xf>
    <xf numFmtId="165" fontId="13" fillId="6" borderId="0" xfId="1" applyNumberFormat="1" applyFill="1"/>
    <xf numFmtId="165" fontId="30" fillId="6" borderId="0" xfId="5" applyNumberFormat="1" applyFont="1"/>
    <xf numFmtId="0" fontId="28" fillId="37" borderId="0" xfId="1" applyFont="1" applyFill="1"/>
    <xf numFmtId="165" fontId="40" fillId="6" borderId="7" xfId="22" applyFont="1" applyBorder="1" applyAlignment="1">
      <alignment horizontal="right"/>
    </xf>
    <xf numFmtId="176" fontId="30" fillId="6" borderId="0" xfId="9" applyNumberFormat="1" applyFont="1">
      <alignment horizontal="right"/>
    </xf>
    <xf numFmtId="176" fontId="30" fillId="19" borderId="0" xfId="8" applyNumberFormat="1" applyFont="1" applyFill="1">
      <alignment horizontal="right"/>
    </xf>
    <xf numFmtId="176" fontId="40" fillId="6" borderId="0" xfId="9" applyNumberFormat="1" applyFont="1">
      <alignment horizontal="right"/>
    </xf>
    <xf numFmtId="176" fontId="40" fillId="19" borderId="0" xfId="8" applyNumberFormat="1" applyFont="1" applyFill="1">
      <alignment horizontal="right"/>
    </xf>
    <xf numFmtId="164" fontId="59" fillId="31" borderId="0" xfId="0" applyNumberFormat="1" applyFont="1" applyFill="1" applyAlignment="1">
      <alignment horizontal="left"/>
    </xf>
    <xf numFmtId="164" fontId="61" fillId="24" borderId="0" xfId="0" applyNumberFormat="1" applyFont="1" applyFill="1" applyAlignment="1">
      <alignment horizontal="left"/>
    </xf>
    <xf numFmtId="0" fontId="59" fillId="0" borderId="0" xfId="0" applyFont="1" applyAlignment="1">
      <alignment horizontal="left"/>
    </xf>
    <xf numFmtId="0" fontId="7" fillId="6" borderId="0" xfId="5" applyFont="1" applyAlignment="1">
      <alignment horizontal="left" indent="2"/>
    </xf>
    <xf numFmtId="0" fontId="0" fillId="29" borderId="0" xfId="0" applyFill="1" applyAlignment="1">
      <alignment horizontal="left"/>
    </xf>
    <xf numFmtId="0" fontId="0" fillId="29" borderId="0" xfId="0" applyFill="1"/>
    <xf numFmtId="171" fontId="0" fillId="29" borderId="0" xfId="0" applyNumberFormat="1" applyFill="1" applyAlignment="1">
      <alignment horizontal="right"/>
    </xf>
    <xf numFmtId="164" fontId="0" fillId="29" borderId="0" xfId="0" applyNumberFormat="1" applyFill="1" applyAlignment="1">
      <alignment horizontal="right"/>
    </xf>
    <xf numFmtId="171" fontId="0" fillId="0" borderId="0" xfId="0" applyNumberFormat="1"/>
    <xf numFmtId="0" fontId="20" fillId="28" borderId="0" xfId="1" applyFont="1" applyFill="1"/>
    <xf numFmtId="0" fontId="62" fillId="0" borderId="0" xfId="1" applyFont="1"/>
    <xf numFmtId="178" fontId="0" fillId="32" borderId="0" xfId="0" applyNumberFormat="1" applyFill="1"/>
    <xf numFmtId="0" fontId="57" fillId="0" borderId="0" xfId="0" applyFont="1" applyAlignment="1">
      <alignment horizontal="left"/>
    </xf>
    <xf numFmtId="0" fontId="0" fillId="13" borderId="0" xfId="0" applyFill="1"/>
    <xf numFmtId="0" fontId="0" fillId="38" borderId="0" xfId="0" applyFill="1"/>
    <xf numFmtId="0" fontId="0" fillId="39" borderId="0" xfId="0" applyFill="1"/>
    <xf numFmtId="0" fontId="0" fillId="40" borderId="0" xfId="0" applyFill="1"/>
    <xf numFmtId="0" fontId="0" fillId="2" borderId="0" xfId="0" applyFill="1"/>
    <xf numFmtId="0" fontId="0" fillId="41" borderId="0" xfId="0" applyFill="1"/>
    <xf numFmtId="0" fontId="0" fillId="30" borderId="0" xfId="0" applyFill="1" applyAlignment="1">
      <alignment horizontal="left"/>
    </xf>
    <xf numFmtId="165" fontId="5" fillId="6" borderId="0" xfId="9" applyFont="1">
      <alignment horizontal="right"/>
    </xf>
    <xf numFmtId="0" fontId="30" fillId="6" borderId="0" xfId="15" applyFont="1" applyAlignment="1">
      <alignment horizontal="left" indent="1"/>
    </xf>
    <xf numFmtId="0" fontId="30" fillId="6" borderId="0" xfId="15" applyFont="1" applyAlignment="1">
      <alignment horizontal="left"/>
    </xf>
    <xf numFmtId="0" fontId="40" fillId="6" borderId="0" xfId="15" applyFont="1" applyAlignment="1">
      <alignment horizontal="left"/>
    </xf>
    <xf numFmtId="173" fontId="40" fillId="6" borderId="0" xfId="5" applyNumberFormat="1" applyFont="1" applyAlignment="1">
      <alignment horizontal="center"/>
    </xf>
    <xf numFmtId="165" fontId="10" fillId="6" borderId="0" xfId="9" applyFont="1">
      <alignment horizontal="right"/>
    </xf>
    <xf numFmtId="0" fontId="0" fillId="42" borderId="0" xfId="0" applyFill="1" applyAlignment="1">
      <alignment horizontal="left"/>
    </xf>
    <xf numFmtId="0" fontId="0" fillId="42" borderId="0" xfId="0" applyFill="1"/>
    <xf numFmtId="164" fontId="0" fillId="42" borderId="0" xfId="0" applyNumberFormat="1" applyFill="1" applyAlignment="1">
      <alignment horizontal="right"/>
    </xf>
    <xf numFmtId="0" fontId="22" fillId="24" borderId="0" xfId="33" applyFont="1" applyFill="1" applyAlignment="1">
      <alignment horizontal="left"/>
    </xf>
    <xf numFmtId="167" fontId="22" fillId="24" borderId="0" xfId="6" applyFont="1" applyFill="1" applyAlignment="1">
      <alignment horizontal="left"/>
    </xf>
    <xf numFmtId="3" fontId="0" fillId="0" borderId="0" xfId="0" applyNumberFormat="1"/>
    <xf numFmtId="4" fontId="13" fillId="0" borderId="0" xfId="1" applyNumberFormat="1"/>
    <xf numFmtId="0" fontId="0" fillId="2" borderId="0" xfId="0" applyFill="1" applyAlignment="1">
      <alignment horizontal="left"/>
    </xf>
    <xf numFmtId="0" fontId="8" fillId="0" borderId="0" xfId="41"/>
    <xf numFmtId="49" fontId="8" fillId="44" borderId="0" xfId="41" applyNumberFormat="1" applyFill="1" applyAlignment="1">
      <alignment horizontal="center"/>
    </xf>
    <xf numFmtId="49" fontId="8" fillId="0" borderId="0" xfId="41" applyNumberFormat="1"/>
    <xf numFmtId="179" fontId="8" fillId="0" borderId="0" xfId="41" applyNumberFormat="1"/>
    <xf numFmtId="180" fontId="8" fillId="0" borderId="0" xfId="41" applyNumberFormat="1"/>
    <xf numFmtId="181" fontId="8" fillId="0" borderId="0" xfId="41" applyNumberFormat="1"/>
    <xf numFmtId="182" fontId="8" fillId="0" borderId="0" xfId="41" applyNumberFormat="1"/>
    <xf numFmtId="183" fontId="8" fillId="0" borderId="0" xfId="41" applyNumberFormat="1"/>
    <xf numFmtId="184" fontId="8" fillId="0" borderId="0" xfId="41" applyNumberFormat="1"/>
    <xf numFmtId="185" fontId="8" fillId="0" borderId="0" xfId="41" applyNumberFormat="1"/>
    <xf numFmtId="4" fontId="8" fillId="0" borderId="0" xfId="41" applyNumberFormat="1"/>
    <xf numFmtId="0" fontId="20" fillId="24" borderId="0" xfId="42" applyFont="1" applyFill="1"/>
    <xf numFmtId="17" fontId="20" fillId="24" borderId="0" xfId="42" quotePrefix="1" applyNumberFormat="1" applyFont="1" applyFill="1" applyAlignment="1">
      <alignment horizontal="left"/>
    </xf>
    <xf numFmtId="0" fontId="20" fillId="24" borderId="0" xfId="42" applyFont="1" applyFill="1" applyAlignment="1">
      <alignment horizontal="left"/>
    </xf>
    <xf numFmtId="164" fontId="13" fillId="37" borderId="0" xfId="42" applyNumberFormat="1" applyFont="1" applyFill="1"/>
    <xf numFmtId="172" fontId="14" fillId="0" borderId="0" xfId="43" quotePrefix="1" applyNumberFormat="1" applyFont="1"/>
    <xf numFmtId="186" fontId="13" fillId="0" borderId="0" xfId="42" applyNumberFormat="1" applyFont="1" applyAlignment="1">
      <alignment horizontal="center"/>
    </xf>
    <xf numFmtId="172" fontId="14" fillId="0" borderId="0" xfId="43" applyNumberFormat="1" applyFont="1"/>
    <xf numFmtId="0" fontId="4" fillId="0" borderId="0" xfId="42"/>
    <xf numFmtId="187" fontId="4" fillId="0" borderId="0" xfId="42" applyNumberFormat="1" applyAlignment="1">
      <alignment horizontal="center"/>
    </xf>
    <xf numFmtId="172" fontId="8" fillId="0" borderId="0" xfId="41" applyNumberFormat="1"/>
    <xf numFmtId="4" fontId="64" fillId="43" borderId="0" xfId="40" applyNumberFormat="1" applyFont="1"/>
    <xf numFmtId="2" fontId="8" fillId="0" borderId="0" xfId="41" applyNumberFormat="1"/>
    <xf numFmtId="14" fontId="8" fillId="14" borderId="0" xfId="41" applyNumberFormat="1" applyFill="1"/>
    <xf numFmtId="14" fontId="8" fillId="0" borderId="0" xfId="41" applyNumberFormat="1"/>
    <xf numFmtId="0" fontId="40" fillId="6" borderId="7" xfId="5" applyFont="1" applyBorder="1"/>
    <xf numFmtId="9" fontId="40" fillId="6" borderId="7" xfId="38" applyFont="1" applyFill="1" applyBorder="1" applyAlignment="1">
      <alignment horizontal="right"/>
    </xf>
    <xf numFmtId="170" fontId="40" fillId="10" borderId="7" xfId="11" applyFont="1" applyFill="1" applyBorder="1">
      <alignment horizontal="right"/>
    </xf>
    <xf numFmtId="9" fontId="40" fillId="6" borderId="0" xfId="38" applyFont="1" applyFill="1" applyBorder="1" applyAlignment="1">
      <alignment horizontal="right"/>
    </xf>
    <xf numFmtId="0" fontId="13" fillId="0" borderId="0" xfId="1" applyAlignment="1">
      <alignment wrapText="1"/>
    </xf>
    <xf numFmtId="49" fontId="57" fillId="0" borderId="0" xfId="41" applyNumberFormat="1" applyFont="1" applyAlignment="1">
      <alignment horizontal="left"/>
    </xf>
    <xf numFmtId="49" fontId="65" fillId="0" borderId="0" xfId="41" applyNumberFormat="1" applyFont="1" applyAlignment="1">
      <alignment horizontal="left"/>
    </xf>
    <xf numFmtId="164" fontId="0" fillId="34" borderId="0" xfId="0" applyNumberFormat="1" applyFill="1" applyAlignment="1">
      <alignment horizontal="left"/>
    </xf>
    <xf numFmtId="0" fontId="0" fillId="45" borderId="0" xfId="0" applyFill="1"/>
    <xf numFmtId="0" fontId="0" fillId="46" borderId="0" xfId="0" applyFill="1"/>
    <xf numFmtId="0" fontId="0" fillId="47" borderId="0" xfId="0" applyFill="1"/>
    <xf numFmtId="0" fontId="0" fillId="30" borderId="0" xfId="0" applyFill="1"/>
    <xf numFmtId="49" fontId="8" fillId="32" borderId="0" xfId="41" applyNumberFormat="1" applyFill="1"/>
    <xf numFmtId="179" fontId="8" fillId="32" borderId="0" xfId="41" applyNumberFormat="1" applyFill="1"/>
    <xf numFmtId="0" fontId="8" fillId="32" borderId="0" xfId="41" applyFill="1"/>
    <xf numFmtId="180" fontId="8" fillId="32" borderId="0" xfId="41" applyNumberFormat="1" applyFill="1"/>
    <xf numFmtId="181" fontId="8" fillId="32" borderId="0" xfId="41" applyNumberFormat="1" applyFill="1"/>
    <xf numFmtId="182" fontId="8" fillId="32" borderId="0" xfId="41" applyNumberFormat="1" applyFill="1"/>
    <xf numFmtId="183" fontId="8" fillId="32" borderId="0" xfId="41" applyNumberFormat="1" applyFill="1"/>
    <xf numFmtId="184" fontId="8" fillId="32" borderId="0" xfId="41" applyNumberFormat="1" applyFill="1"/>
    <xf numFmtId="185" fontId="8" fillId="32" borderId="0" xfId="41" applyNumberFormat="1" applyFill="1"/>
    <xf numFmtId="4" fontId="8" fillId="32" borderId="0" xfId="41" applyNumberFormat="1" applyFill="1"/>
    <xf numFmtId="164" fontId="13" fillId="32" borderId="0" xfId="42" applyNumberFormat="1" applyFont="1" applyFill="1"/>
    <xf numFmtId="172" fontId="14" fillId="32" borderId="0" xfId="43" quotePrefix="1" applyNumberFormat="1" applyFont="1" applyFill="1"/>
    <xf numFmtId="186" fontId="13" fillId="32" borderId="0" xfId="42" applyNumberFormat="1" applyFont="1" applyFill="1" applyAlignment="1">
      <alignment horizontal="center"/>
    </xf>
    <xf numFmtId="172" fontId="14" fillId="32" borderId="0" xfId="43" applyNumberFormat="1" applyFont="1" applyFill="1"/>
    <xf numFmtId="172" fontId="14" fillId="0" borderId="0" xfId="44" applyNumberFormat="1" applyFont="1"/>
    <xf numFmtId="0" fontId="20" fillId="24" borderId="0" xfId="45" applyFont="1" applyFill="1"/>
    <xf numFmtId="17" fontId="20" fillId="24" borderId="0" xfId="45" quotePrefix="1" applyNumberFormat="1" applyFont="1" applyFill="1" applyAlignment="1">
      <alignment horizontal="left"/>
    </xf>
    <xf numFmtId="0" fontId="3" fillId="0" borderId="0" xfId="46"/>
    <xf numFmtId="0" fontId="20" fillId="24" borderId="0" xfId="45" applyFont="1" applyFill="1" applyAlignment="1">
      <alignment horizontal="left"/>
    </xf>
    <xf numFmtId="164" fontId="13" fillId="37" borderId="0" xfId="45" applyNumberFormat="1" applyFont="1" applyFill="1"/>
    <xf numFmtId="172" fontId="14" fillId="0" borderId="0" xfId="44" quotePrefix="1" applyNumberFormat="1" applyFont="1"/>
    <xf numFmtId="186" fontId="13" fillId="0" borderId="0" xfId="45" applyNumberFormat="1" applyFont="1" applyAlignment="1">
      <alignment horizontal="center"/>
    </xf>
    <xf numFmtId="187" fontId="3" fillId="0" borderId="0" xfId="46" applyNumberFormat="1" applyAlignment="1">
      <alignment horizontal="center"/>
    </xf>
    <xf numFmtId="0" fontId="30" fillId="0" borderId="0" xfId="5" applyFont="1" applyFill="1"/>
    <xf numFmtId="165" fontId="30" fillId="0" borderId="0" xfId="9" applyFont="1" applyFill="1" applyAlignment="1">
      <alignment horizontal="center" vertical="center"/>
    </xf>
    <xf numFmtId="165" fontId="30" fillId="0" borderId="0" xfId="8" applyFont="1" applyFill="1" applyAlignment="1">
      <alignment horizontal="center" vertical="center"/>
    </xf>
    <xf numFmtId="167" fontId="22" fillId="0" borderId="0" xfId="6" applyFont="1" applyFill="1" applyAlignment="1">
      <alignment horizontal="left"/>
    </xf>
    <xf numFmtId="167" fontId="31" fillId="0" borderId="0" xfId="6" applyFont="1" applyFill="1" applyAlignment="1">
      <alignment horizontal="left"/>
    </xf>
    <xf numFmtId="167" fontId="32" fillId="0" borderId="0" xfId="6" applyFont="1" applyFill="1" applyAlignment="1">
      <alignment horizontal="left"/>
    </xf>
    <xf numFmtId="167" fontId="40" fillId="6" borderId="0" xfId="6" applyFont="1" applyFill="1" applyAlignment="1">
      <alignment horizontal="left"/>
    </xf>
    <xf numFmtId="49" fontId="0" fillId="44" borderId="0" xfId="0" applyNumberFormat="1" applyFill="1" applyAlignment="1">
      <alignment horizontal="center"/>
    </xf>
    <xf numFmtId="49" fontId="0" fillId="44" borderId="0" xfId="0" applyNumberFormat="1" applyFill="1" applyAlignment="1">
      <alignment horizontal="center" wrapText="1"/>
    </xf>
    <xf numFmtId="181" fontId="0" fillId="0" borderId="0" xfId="0" applyNumberFormat="1"/>
    <xf numFmtId="49" fontId="0" fillId="0" borderId="0" xfId="0" applyNumberFormat="1"/>
    <xf numFmtId="188" fontId="0" fillId="0" borderId="0" xfId="0" applyNumberFormat="1"/>
    <xf numFmtId="182" fontId="0" fillId="0" borderId="0" xfId="0" applyNumberFormat="1"/>
    <xf numFmtId="181" fontId="0" fillId="0" borderId="28" xfId="0" applyNumberFormat="1" applyBorder="1"/>
    <xf numFmtId="49" fontId="0" fillId="0" borderId="28" xfId="0" applyNumberFormat="1" applyBorder="1"/>
    <xf numFmtId="188" fontId="0" fillId="0" borderId="28" xfId="0" applyNumberFormat="1" applyBorder="1"/>
    <xf numFmtId="182" fontId="0" fillId="0" borderId="28" xfId="0" applyNumberFormat="1" applyBorder="1"/>
    <xf numFmtId="0" fontId="0" fillId="0" borderId="28" xfId="0" applyBorder="1"/>
    <xf numFmtId="189" fontId="0" fillId="0" borderId="0" xfId="37" applyNumberFormat="1" applyFont="1"/>
    <xf numFmtId="189" fontId="0" fillId="0" borderId="29" xfId="37" applyNumberFormat="1" applyFont="1" applyBorder="1"/>
    <xf numFmtId="165" fontId="7" fillId="2" borderId="0" xfId="9" applyFont="1" applyFill="1">
      <alignment horizontal="right"/>
    </xf>
    <xf numFmtId="4" fontId="0" fillId="0" borderId="0" xfId="0" applyNumberFormat="1"/>
    <xf numFmtId="189" fontId="30" fillId="6" borderId="7" xfId="37" applyNumberFormat="1" applyFont="1" applyFill="1" applyBorder="1"/>
    <xf numFmtId="189" fontId="30" fillId="6" borderId="0" xfId="37" applyNumberFormat="1" applyFont="1" applyFill="1" applyBorder="1"/>
    <xf numFmtId="189" fontId="30" fillId="6" borderId="2" xfId="37" applyNumberFormat="1" applyFont="1" applyFill="1" applyBorder="1"/>
    <xf numFmtId="189" fontId="0" fillId="0" borderId="0" xfId="0" applyNumberFormat="1" applyAlignment="1">
      <alignment horizontal="right"/>
    </xf>
    <xf numFmtId="171" fontId="13" fillId="0" borderId="0" xfId="1" applyNumberFormat="1"/>
    <xf numFmtId="49" fontId="57" fillId="0" borderId="0" xfId="0" applyNumberFormat="1" applyFont="1" applyAlignment="1">
      <alignment horizontal="left"/>
    </xf>
    <xf numFmtId="0" fontId="14" fillId="0" borderId="4" xfId="0" applyFont="1" applyBorder="1" applyAlignment="1">
      <alignment vertical="center"/>
    </xf>
    <xf numFmtId="0" fontId="19" fillId="0" borderId="30" xfId="0" applyFont="1" applyBorder="1" applyAlignment="1">
      <alignment vertical="center"/>
    </xf>
    <xf numFmtId="0" fontId="19" fillId="0" borderId="0" xfId="0" applyFont="1" applyAlignment="1">
      <alignment vertical="center"/>
    </xf>
    <xf numFmtId="0" fontId="14" fillId="0" borderId="0" xfId="0" applyFont="1" applyAlignment="1">
      <alignment vertical="center"/>
    </xf>
    <xf numFmtId="0" fontId="66" fillId="48" borderId="3" xfId="0" applyFont="1" applyFill="1" applyBorder="1" applyAlignment="1">
      <alignment horizontal="center" vertical="center"/>
    </xf>
    <xf numFmtId="0" fontId="66" fillId="48" borderId="2" xfId="0" applyFont="1" applyFill="1" applyBorder="1" applyAlignment="1">
      <alignment horizontal="center" vertical="center"/>
    </xf>
    <xf numFmtId="0" fontId="66" fillId="48" borderId="1" xfId="0" applyFont="1" applyFill="1" applyBorder="1" applyAlignment="1">
      <alignment horizontal="center" vertical="center"/>
    </xf>
    <xf numFmtId="0" fontId="19" fillId="0" borderId="4" xfId="0" applyFont="1" applyBorder="1" applyAlignment="1">
      <alignment vertical="center"/>
    </xf>
    <xf numFmtId="0" fontId="15" fillId="6" borderId="18" xfId="0" applyFont="1" applyFill="1" applyBorder="1" applyAlignment="1">
      <alignment vertical="center"/>
    </xf>
    <xf numFmtId="0" fontId="67" fillId="6" borderId="17" xfId="0" applyFont="1" applyFill="1" applyBorder="1" applyAlignment="1">
      <alignment vertical="center" wrapText="1"/>
    </xf>
    <xf numFmtId="190" fontId="15" fillId="6" borderId="19" xfId="47" applyNumberFormat="1" applyFont="1" applyFill="1" applyBorder="1" applyAlignment="1">
      <alignment vertical="center"/>
    </xf>
    <xf numFmtId="9" fontId="15" fillId="6" borderId="16" xfId="38" applyFont="1" applyFill="1" applyBorder="1" applyAlignment="1">
      <alignment vertical="center"/>
    </xf>
    <xf numFmtId="190" fontId="68" fillId="6" borderId="19" xfId="47" applyNumberFormat="1" applyFont="1" applyFill="1" applyBorder="1" applyAlignment="1">
      <alignment vertical="center"/>
    </xf>
    <xf numFmtId="9" fontId="15" fillId="6" borderId="16" xfId="38" applyFont="1" applyFill="1" applyBorder="1" applyAlignment="1">
      <alignment horizontal="right" vertical="center"/>
    </xf>
    <xf numFmtId="0" fontId="15" fillId="0" borderId="18" xfId="0" applyFont="1" applyBorder="1" applyAlignment="1">
      <alignment vertical="center"/>
    </xf>
    <xf numFmtId="0" fontId="67" fillId="6" borderId="16" xfId="0" applyFont="1" applyFill="1" applyBorder="1" applyAlignment="1">
      <alignment vertical="center" wrapText="1"/>
    </xf>
    <xf numFmtId="190" fontId="19" fillId="0" borderId="32" xfId="0" applyNumberFormat="1" applyFont="1" applyBorder="1" applyAlignment="1">
      <alignment vertical="center"/>
    </xf>
    <xf numFmtId="0" fontId="14" fillId="0" borderId="19" xfId="0" applyFont="1" applyBorder="1" applyAlignment="1">
      <alignment vertical="center"/>
    </xf>
    <xf numFmtId="0" fontId="19" fillId="6" borderId="18" xfId="0" applyFont="1" applyFill="1" applyBorder="1" applyAlignment="1">
      <alignment vertical="center"/>
    </xf>
    <xf numFmtId="0" fontId="34" fillId="6" borderId="17" xfId="0" applyFont="1" applyFill="1" applyBorder="1" applyAlignment="1">
      <alignment vertical="center" wrapText="1"/>
    </xf>
    <xf numFmtId="190" fontId="19" fillId="6" borderId="19" xfId="47" applyNumberFormat="1" applyFont="1" applyFill="1" applyBorder="1" applyAlignment="1">
      <alignment vertical="center"/>
    </xf>
    <xf numFmtId="9" fontId="19" fillId="6" borderId="16" xfId="38" applyFont="1" applyFill="1" applyBorder="1" applyAlignment="1">
      <alignment vertical="center"/>
    </xf>
    <xf numFmtId="190" fontId="69" fillId="6" borderId="19" xfId="47" applyNumberFormat="1" applyFont="1" applyFill="1" applyBorder="1" applyAlignment="1">
      <alignment vertical="center"/>
    </xf>
    <xf numFmtId="9" fontId="19" fillId="6" borderId="16" xfId="38" applyFont="1" applyFill="1" applyBorder="1" applyAlignment="1">
      <alignment horizontal="right" vertical="center"/>
    </xf>
    <xf numFmtId="0" fontId="19" fillId="0" borderId="18" xfId="0" applyFont="1" applyBorder="1" applyAlignment="1">
      <alignment vertical="center"/>
    </xf>
    <xf numFmtId="0" fontId="34" fillId="6" borderId="16" xfId="0" applyFont="1" applyFill="1" applyBorder="1" applyAlignment="1">
      <alignment vertical="center" wrapText="1"/>
    </xf>
    <xf numFmtId="190" fontId="19" fillId="6" borderId="5" xfId="47" applyNumberFormat="1" applyFont="1" applyFill="1" applyBorder="1" applyAlignment="1">
      <alignment vertical="center"/>
    </xf>
    <xf numFmtId="0" fontId="14" fillId="0" borderId="32" xfId="0" applyFont="1" applyBorder="1" applyAlignment="1">
      <alignment vertical="center"/>
    </xf>
    <xf numFmtId="0" fontId="15" fillId="0" borderId="8" xfId="0" applyFont="1" applyBorder="1" applyAlignment="1">
      <alignment vertical="center"/>
    </xf>
    <xf numFmtId="0" fontId="67" fillId="6" borderId="7" xfId="0" applyFont="1" applyFill="1" applyBorder="1" applyAlignment="1">
      <alignment vertical="center" wrapText="1"/>
    </xf>
    <xf numFmtId="190" fontId="19" fillId="0" borderId="31" xfId="38" applyNumberFormat="1" applyFont="1" applyBorder="1" applyAlignment="1">
      <alignment vertical="center"/>
    </xf>
    <xf numFmtId="0" fontId="15" fillId="0" borderId="4" xfId="0" applyFont="1" applyBorder="1" applyAlignment="1">
      <alignment vertical="center"/>
    </xf>
    <xf numFmtId="0" fontId="15" fillId="6" borderId="5" xfId="0" applyFont="1" applyFill="1" applyBorder="1" applyAlignment="1">
      <alignment vertical="center"/>
    </xf>
    <xf numFmtId="0" fontId="67" fillId="6" borderId="0" xfId="0" applyFont="1" applyFill="1" applyAlignment="1">
      <alignment vertical="center"/>
    </xf>
    <xf numFmtId="190" fontId="15" fillId="6" borderId="30" xfId="47" applyNumberFormat="1" applyFont="1" applyFill="1" applyBorder="1" applyAlignment="1">
      <alignment vertical="center"/>
    </xf>
    <xf numFmtId="9" fontId="15" fillId="6" borderId="4" xfId="38" applyFont="1" applyFill="1" applyBorder="1" applyAlignment="1">
      <alignment vertical="center"/>
    </xf>
    <xf numFmtId="190" fontId="68" fillId="6" borderId="30" xfId="47" applyNumberFormat="1" applyFont="1" applyFill="1" applyBorder="1" applyAlignment="1">
      <alignment vertical="center"/>
    </xf>
    <xf numFmtId="9" fontId="15" fillId="6" borderId="4" xfId="38" applyFont="1" applyFill="1" applyBorder="1" applyAlignment="1">
      <alignment horizontal="right" vertical="center"/>
    </xf>
    <xf numFmtId="0" fontId="15" fillId="0" borderId="30" xfId="0" applyFont="1" applyBorder="1" applyAlignment="1">
      <alignment vertical="center"/>
    </xf>
    <xf numFmtId="0" fontId="15" fillId="0" borderId="0" xfId="0" applyFont="1" applyAlignment="1">
      <alignment vertical="center"/>
    </xf>
    <xf numFmtId="0" fontId="67" fillId="6" borderId="7" xfId="0" applyFont="1" applyFill="1" applyBorder="1" applyAlignment="1">
      <alignment vertical="center"/>
    </xf>
    <xf numFmtId="190" fontId="15" fillId="0" borderId="31" xfId="0" applyNumberFormat="1" applyFont="1" applyBorder="1" applyAlignment="1">
      <alignment vertical="center"/>
    </xf>
    <xf numFmtId="0" fontId="67" fillId="0" borderId="30" xfId="0" applyFont="1" applyBorder="1" applyAlignment="1">
      <alignment vertical="center"/>
    </xf>
    <xf numFmtId="0" fontId="19" fillId="6" borderId="5" xfId="0" applyFont="1" applyFill="1" applyBorder="1" applyAlignment="1">
      <alignment horizontal="right" vertical="center"/>
    </xf>
    <xf numFmtId="0" fontId="14" fillId="6" borderId="0" xfId="0" applyFont="1" applyFill="1" applyAlignment="1">
      <alignment vertical="center" wrapText="1"/>
    </xf>
    <xf numFmtId="190" fontId="19" fillId="6" borderId="30" xfId="47" applyNumberFormat="1" applyFont="1" applyFill="1" applyBorder="1" applyAlignment="1">
      <alignment vertical="center"/>
    </xf>
    <xf numFmtId="9" fontId="19" fillId="6" borderId="4" xfId="38" applyFont="1" applyFill="1" applyBorder="1" applyAlignment="1">
      <alignment vertical="center"/>
    </xf>
    <xf numFmtId="190" fontId="69" fillId="6" borderId="30" xfId="47" applyNumberFormat="1" applyFont="1" applyFill="1" applyBorder="1" applyAlignment="1">
      <alignment vertical="center"/>
    </xf>
    <xf numFmtId="9" fontId="19" fillId="6" borderId="4" xfId="38" applyFont="1" applyFill="1" applyBorder="1" applyAlignment="1">
      <alignment horizontal="right" vertical="center"/>
    </xf>
    <xf numFmtId="0" fontId="19" fillId="0" borderId="5" xfId="0" applyFont="1" applyBorder="1" applyAlignment="1">
      <alignment horizontal="right" vertical="center"/>
    </xf>
    <xf numFmtId="190" fontId="19" fillId="0" borderId="30" xfId="0" applyNumberFormat="1" applyFont="1" applyBorder="1" applyAlignment="1">
      <alignment vertical="center"/>
    </xf>
    <xf numFmtId="0" fontId="14" fillId="0" borderId="30" xfId="0" applyFont="1" applyBorder="1" applyAlignment="1">
      <alignment vertical="center"/>
    </xf>
    <xf numFmtId="0" fontId="14" fillId="6" borderId="0" xfId="0" applyFont="1" applyFill="1" applyAlignment="1">
      <alignment vertical="center"/>
    </xf>
    <xf numFmtId="9" fontId="19" fillId="6" borderId="1" xfId="38" applyFont="1" applyFill="1" applyBorder="1" applyAlignment="1">
      <alignment horizontal="right" vertical="center"/>
    </xf>
    <xf numFmtId="0" fontId="15" fillId="6" borderId="8" xfId="0" applyFont="1" applyFill="1" applyBorder="1" applyAlignment="1">
      <alignment vertical="center"/>
    </xf>
    <xf numFmtId="190" fontId="15" fillId="6" borderId="31" xfId="47" applyNumberFormat="1" applyFont="1" applyFill="1" applyBorder="1" applyAlignment="1">
      <alignment vertical="center"/>
    </xf>
    <xf numFmtId="9" fontId="15" fillId="6" borderId="6" xfId="38" applyFont="1" applyFill="1" applyBorder="1" applyAlignment="1">
      <alignment vertical="center"/>
    </xf>
    <xf numFmtId="190" fontId="68" fillId="6" borderId="31" xfId="47" applyNumberFormat="1" applyFont="1" applyFill="1" applyBorder="1" applyAlignment="1">
      <alignment vertical="center"/>
    </xf>
    <xf numFmtId="9" fontId="15" fillId="6" borderId="6" xfId="38" applyFont="1" applyFill="1" applyBorder="1" applyAlignment="1">
      <alignment horizontal="right" vertical="center"/>
    </xf>
    <xf numFmtId="190" fontId="19" fillId="0" borderId="31" xfId="0" applyNumberFormat="1" applyFont="1" applyBorder="1" applyAlignment="1">
      <alignment vertical="center"/>
    </xf>
    <xf numFmtId="0" fontId="14" fillId="6" borderId="0" xfId="0" applyFont="1" applyFill="1" applyAlignment="1">
      <alignment horizontal="left" vertical="center" wrapText="1"/>
    </xf>
    <xf numFmtId="0" fontId="19" fillId="0" borderId="3" xfId="0" applyFont="1" applyBorder="1" applyAlignment="1">
      <alignment horizontal="right" vertical="center"/>
    </xf>
    <xf numFmtId="0" fontId="14" fillId="6" borderId="2" xfId="0" applyFont="1" applyFill="1" applyBorder="1" applyAlignment="1">
      <alignment horizontal="left" vertical="center" wrapText="1"/>
    </xf>
    <xf numFmtId="0" fontId="67" fillId="6" borderId="6" xfId="0" applyFont="1" applyFill="1" applyBorder="1" applyAlignment="1">
      <alignment vertical="center" wrapText="1"/>
    </xf>
    <xf numFmtId="0" fontId="14" fillId="6" borderId="4" xfId="0" applyFont="1" applyFill="1" applyBorder="1" applyAlignment="1">
      <alignment horizontal="left" vertical="center" wrapText="1"/>
    </xf>
    <xf numFmtId="190" fontId="19" fillId="6" borderId="30" xfId="0" applyNumberFormat="1" applyFont="1" applyFill="1" applyBorder="1" applyAlignment="1">
      <alignment vertical="center"/>
    </xf>
    <xf numFmtId="190" fontId="19" fillId="6" borderId="4" xfId="0" applyNumberFormat="1" applyFont="1" applyFill="1" applyBorder="1" applyAlignment="1">
      <alignment vertical="center"/>
    </xf>
    <xf numFmtId="0" fontId="70" fillId="6" borderId="0" xfId="0" applyFont="1" applyFill="1" applyAlignment="1">
      <alignment horizontal="left" vertical="center" wrapText="1"/>
    </xf>
    <xf numFmtId="190" fontId="71" fillId="6" borderId="30" xfId="47" applyNumberFormat="1" applyFont="1" applyFill="1" applyBorder="1" applyAlignment="1">
      <alignment vertical="center"/>
    </xf>
    <xf numFmtId="9" fontId="71" fillId="6" borderId="4" xfId="38" applyFont="1" applyFill="1" applyBorder="1" applyAlignment="1">
      <alignment vertical="center"/>
    </xf>
    <xf numFmtId="190" fontId="71" fillId="6" borderId="30" xfId="0" applyNumberFormat="1" applyFont="1" applyFill="1" applyBorder="1" applyAlignment="1">
      <alignment vertical="center"/>
    </xf>
    <xf numFmtId="190" fontId="71" fillId="6" borderId="4" xfId="0" applyNumberFormat="1" applyFont="1" applyFill="1" applyBorder="1" applyAlignment="1">
      <alignment vertical="center"/>
    </xf>
    <xf numFmtId="0" fontId="19" fillId="6" borderId="3" xfId="0" applyFont="1" applyFill="1" applyBorder="1" applyAlignment="1">
      <alignment horizontal="right" vertical="center"/>
    </xf>
    <xf numFmtId="9" fontId="19" fillId="6" borderId="1" xfId="38" applyFont="1" applyFill="1" applyBorder="1" applyAlignment="1">
      <alignment vertical="center"/>
    </xf>
    <xf numFmtId="190" fontId="69" fillId="6" borderId="32" xfId="47" applyNumberFormat="1" applyFont="1" applyFill="1" applyBorder="1" applyAlignment="1">
      <alignment vertical="center"/>
    </xf>
    <xf numFmtId="0" fontId="14" fillId="6" borderId="1" xfId="0" applyFont="1" applyFill="1" applyBorder="1" applyAlignment="1">
      <alignment horizontal="left" vertical="center" wrapText="1"/>
    </xf>
    <xf numFmtId="190" fontId="19" fillId="6" borderId="32" xfId="0" applyNumberFormat="1" applyFont="1" applyFill="1" applyBorder="1" applyAlignment="1">
      <alignment vertical="center"/>
    </xf>
    <xf numFmtId="0" fontId="34" fillId="6" borderId="2" xfId="0" applyFont="1" applyFill="1" applyBorder="1" applyAlignment="1">
      <alignment horizontal="left" vertical="center" wrapText="1"/>
    </xf>
    <xf numFmtId="0" fontId="14" fillId="6" borderId="17" xfId="0" applyFont="1" applyFill="1" applyBorder="1" applyAlignment="1">
      <alignment vertical="center" wrapText="1"/>
    </xf>
    <xf numFmtId="0" fontId="14" fillId="6" borderId="16" xfId="0" applyFont="1" applyFill="1" applyBorder="1" applyAlignment="1">
      <alignment vertical="center" wrapText="1"/>
    </xf>
    <xf numFmtId="0" fontId="19" fillId="6" borderId="8" xfId="0" applyFont="1" applyFill="1" applyBorder="1" applyAlignment="1">
      <alignment vertical="center"/>
    </xf>
    <xf numFmtId="0" fontId="14" fillId="6" borderId="7" xfId="0" applyFont="1" applyFill="1" applyBorder="1" applyAlignment="1">
      <alignment vertical="center" wrapText="1"/>
    </xf>
    <xf numFmtId="190" fontId="19" fillId="6" borderId="31" xfId="47" applyNumberFormat="1" applyFont="1" applyFill="1" applyBorder="1" applyAlignment="1">
      <alignment vertical="center"/>
    </xf>
    <xf numFmtId="9" fontId="19" fillId="6" borderId="6" xfId="38" applyFont="1" applyFill="1" applyBorder="1" applyAlignment="1">
      <alignment vertical="center"/>
    </xf>
    <xf numFmtId="190" fontId="69" fillId="6" borderId="31" xfId="47" applyNumberFormat="1" applyFont="1" applyFill="1" applyBorder="1" applyAlignment="1">
      <alignment vertical="center"/>
    </xf>
    <xf numFmtId="9" fontId="19" fillId="6" borderId="6" xfId="38" applyFont="1" applyFill="1" applyBorder="1" applyAlignment="1">
      <alignment horizontal="right" vertical="center"/>
    </xf>
    <xf numFmtId="0" fontId="19" fillId="0" borderId="8" xfId="0" applyFont="1" applyBorder="1" applyAlignment="1">
      <alignment vertical="center"/>
    </xf>
    <xf numFmtId="0" fontId="14" fillId="6" borderId="6" xfId="0" applyFont="1" applyFill="1" applyBorder="1" applyAlignment="1">
      <alignment vertical="center" wrapText="1"/>
    </xf>
    <xf numFmtId="0" fontId="19" fillId="6" borderId="5" xfId="0" applyFont="1" applyFill="1" applyBorder="1" applyAlignment="1">
      <alignment vertical="center"/>
    </xf>
    <xf numFmtId="0" fontId="19" fillId="0" borderId="5" xfId="0" applyFont="1" applyBorder="1" applyAlignment="1">
      <alignment vertical="center"/>
    </xf>
    <xf numFmtId="0" fontId="14" fillId="6" borderId="4" xfId="0" applyFont="1" applyFill="1" applyBorder="1" applyAlignment="1">
      <alignment vertical="center" wrapText="1"/>
    </xf>
    <xf numFmtId="0" fontId="19" fillId="6" borderId="3" xfId="0" applyFont="1" applyFill="1" applyBorder="1" applyAlignment="1">
      <alignment vertical="center"/>
    </xf>
    <xf numFmtId="0" fontId="14" fillId="6" borderId="2" xfId="0" applyFont="1" applyFill="1" applyBorder="1" applyAlignment="1">
      <alignment vertical="center" wrapText="1"/>
    </xf>
    <xf numFmtId="190" fontId="19" fillId="6" borderId="32" xfId="47" applyNumberFormat="1" applyFont="1" applyFill="1" applyBorder="1" applyAlignment="1">
      <alignment vertical="center"/>
    </xf>
    <xf numFmtId="0" fontId="19" fillId="0" borderId="3" xfId="0" applyFont="1" applyBorder="1" applyAlignment="1">
      <alignment vertical="center"/>
    </xf>
    <xf numFmtId="0" fontId="14" fillId="6" borderId="1" xfId="0" applyFont="1" applyFill="1" applyBorder="1" applyAlignment="1">
      <alignment vertical="center" wrapText="1"/>
    </xf>
    <xf numFmtId="0" fontId="72" fillId="6" borderId="0" xfId="0" applyFont="1" applyFill="1" applyAlignment="1">
      <alignment vertical="center" wrapText="1"/>
    </xf>
    <xf numFmtId="190" fontId="73" fillId="0" borderId="0" xfId="0" applyNumberFormat="1" applyFont="1" applyAlignment="1">
      <alignment vertical="center"/>
    </xf>
    <xf numFmtId="0" fontId="73" fillId="0" borderId="0" xfId="0" applyFont="1" applyAlignment="1">
      <alignment vertical="center"/>
    </xf>
    <xf numFmtId="9" fontId="73" fillId="0" borderId="0" xfId="38" applyFont="1" applyBorder="1" applyAlignment="1">
      <alignment vertical="center"/>
    </xf>
    <xf numFmtId="0" fontId="19" fillId="0" borderId="7" xfId="0" applyFont="1" applyBorder="1" applyAlignment="1">
      <alignment vertical="center"/>
    </xf>
    <xf numFmtId="190" fontId="19" fillId="0" borderId="0" xfId="0" applyNumberFormat="1" applyFont="1" applyAlignment="1">
      <alignment vertical="center"/>
    </xf>
    <xf numFmtId="171" fontId="19" fillId="0" borderId="0" xfId="38" applyNumberFormat="1" applyFont="1" applyBorder="1" applyAlignment="1">
      <alignment vertical="center"/>
    </xf>
    <xf numFmtId="9" fontId="19" fillId="0" borderId="0" xfId="38" applyFont="1" applyBorder="1" applyAlignment="1">
      <alignment vertical="center"/>
    </xf>
    <xf numFmtId="9" fontId="68" fillId="6" borderId="16" xfId="38" applyFont="1" applyFill="1" applyBorder="1" applyAlignment="1">
      <alignment vertical="center"/>
    </xf>
    <xf numFmtId="190" fontId="15" fillId="0" borderId="19" xfId="47" applyNumberFormat="1" applyFont="1" applyFill="1" applyBorder="1" applyAlignment="1">
      <alignment vertical="center"/>
    </xf>
    <xf numFmtId="9" fontId="69" fillId="6" borderId="16" xfId="38" applyFont="1" applyFill="1" applyBorder="1" applyAlignment="1">
      <alignment vertical="center"/>
    </xf>
    <xf numFmtId="190" fontId="19" fillId="0" borderId="19" xfId="47" applyNumberFormat="1" applyFont="1" applyFill="1" applyBorder="1" applyAlignment="1">
      <alignment vertical="center"/>
    </xf>
    <xf numFmtId="190" fontId="19" fillId="0" borderId="31" xfId="38" applyNumberFormat="1" applyFont="1" applyFill="1" applyBorder="1" applyAlignment="1">
      <alignment vertical="center"/>
    </xf>
    <xf numFmtId="9" fontId="68" fillId="6" borderId="4" xfId="38" applyFont="1" applyFill="1" applyBorder="1" applyAlignment="1">
      <alignment vertical="center"/>
    </xf>
    <xf numFmtId="190" fontId="15" fillId="0" borderId="30" xfId="47" applyNumberFormat="1" applyFont="1" applyFill="1" applyBorder="1" applyAlignment="1">
      <alignment vertical="center"/>
    </xf>
    <xf numFmtId="9" fontId="69" fillId="6" borderId="4" xfId="38" applyFont="1" applyFill="1" applyBorder="1" applyAlignment="1">
      <alignment vertical="center"/>
    </xf>
    <xf numFmtId="190" fontId="19" fillId="0" borderId="30" xfId="47" applyNumberFormat="1" applyFont="1" applyFill="1" applyBorder="1" applyAlignment="1">
      <alignment vertical="center"/>
    </xf>
    <xf numFmtId="190" fontId="69" fillId="0" borderId="30" xfId="47" applyNumberFormat="1" applyFont="1" applyFill="1" applyBorder="1" applyAlignment="1">
      <alignment vertical="center"/>
    </xf>
    <xf numFmtId="9" fontId="68" fillId="6" borderId="6" xfId="38" applyFont="1" applyFill="1" applyBorder="1" applyAlignment="1">
      <alignment vertical="center"/>
    </xf>
    <xf numFmtId="190" fontId="15" fillId="0" borderId="31" xfId="47" applyNumberFormat="1" applyFont="1" applyFill="1" applyBorder="1" applyAlignment="1">
      <alignment vertical="center"/>
    </xf>
    <xf numFmtId="190" fontId="68" fillId="0" borderId="31" xfId="47" applyNumberFormat="1" applyFont="1" applyFill="1" applyBorder="1" applyAlignment="1">
      <alignment vertical="center"/>
    </xf>
    <xf numFmtId="190" fontId="19" fillId="0" borderId="4" xfId="0" applyNumberFormat="1" applyFont="1" applyBorder="1" applyAlignment="1">
      <alignment vertical="center"/>
    </xf>
    <xf numFmtId="190" fontId="71" fillId="0" borderId="30" xfId="47" applyNumberFormat="1" applyFont="1" applyFill="1" applyBorder="1" applyAlignment="1">
      <alignment vertical="center"/>
    </xf>
    <xf numFmtId="190" fontId="71" fillId="0" borderId="4" xfId="0" applyNumberFormat="1" applyFont="1" applyBorder="1" applyAlignment="1">
      <alignment vertical="center"/>
    </xf>
    <xf numFmtId="9" fontId="69" fillId="6" borderId="1" xfId="38" applyFont="1" applyFill="1" applyBorder="1" applyAlignment="1">
      <alignment vertical="center"/>
    </xf>
    <xf numFmtId="190" fontId="69" fillId="0" borderId="32" xfId="47" applyNumberFormat="1" applyFont="1" applyFill="1" applyBorder="1" applyAlignment="1">
      <alignment vertical="center"/>
    </xf>
    <xf numFmtId="0" fontId="14" fillId="0" borderId="30" xfId="0" applyFont="1" applyBorder="1" applyAlignment="1">
      <alignment vertical="center" wrapText="1"/>
    </xf>
    <xf numFmtId="191" fontId="19" fillId="0" borderId="30" xfId="0" applyNumberFormat="1" applyFont="1" applyBorder="1" applyAlignment="1">
      <alignment vertical="center"/>
    </xf>
    <xf numFmtId="9" fontId="69" fillId="6" borderId="6" xfId="38" applyFont="1" applyFill="1" applyBorder="1" applyAlignment="1">
      <alignment vertical="center"/>
    </xf>
    <xf numFmtId="190" fontId="19" fillId="0" borderId="31" xfId="47" applyNumberFormat="1" applyFont="1" applyFill="1" applyBorder="1" applyAlignment="1">
      <alignment vertical="center"/>
    </xf>
    <xf numFmtId="190" fontId="19" fillId="0" borderId="32" xfId="47" applyNumberFormat="1" applyFont="1" applyFill="1" applyBorder="1" applyAlignment="1">
      <alignment vertical="center"/>
    </xf>
    <xf numFmtId="192" fontId="73" fillId="0" borderId="0" xfId="0" applyNumberFormat="1" applyFont="1" applyAlignment="1">
      <alignment vertical="center"/>
    </xf>
    <xf numFmtId="193" fontId="73" fillId="0" borderId="0" xfId="0" applyNumberFormat="1" applyFont="1" applyAlignment="1">
      <alignment vertical="center"/>
    </xf>
    <xf numFmtId="194" fontId="19" fillId="0" borderId="0" xfId="0" applyNumberFormat="1" applyFont="1" applyAlignment="1">
      <alignment vertical="center"/>
    </xf>
    <xf numFmtId="0" fontId="14" fillId="49" borderId="32" xfId="0" applyFont="1" applyFill="1" applyBorder="1" applyAlignment="1">
      <alignment vertical="center"/>
    </xf>
    <xf numFmtId="0" fontId="14" fillId="49" borderId="30" xfId="0" applyFont="1" applyFill="1" applyBorder="1" applyAlignment="1">
      <alignment vertical="center"/>
    </xf>
    <xf numFmtId="165" fontId="2" fillId="6" borderId="0" xfId="9" applyFont="1">
      <alignment horizontal="right"/>
    </xf>
    <xf numFmtId="191" fontId="15" fillId="0" borderId="31" xfId="0" applyNumberFormat="1" applyFont="1" applyBorder="1" applyAlignment="1">
      <alignment vertical="center"/>
    </xf>
    <xf numFmtId="0" fontId="30" fillId="6" borderId="2" xfId="15" applyFont="1" applyBorder="1" applyAlignment="1">
      <alignment horizontal="left" indent="1"/>
    </xf>
    <xf numFmtId="0" fontId="40" fillId="6" borderId="2" xfId="15" applyFont="1" applyBorder="1"/>
    <xf numFmtId="173" fontId="40" fillId="6" borderId="2" xfId="5" applyNumberFormat="1" applyFont="1" applyBorder="1" applyAlignment="1">
      <alignment horizontal="center"/>
    </xf>
    <xf numFmtId="0" fontId="2" fillId="6" borderId="0" xfId="5" applyFont="1"/>
    <xf numFmtId="167" fontId="9" fillId="24" borderId="8" xfId="6" applyFill="1" applyBorder="1" applyAlignment="1">
      <alignment horizontal="left"/>
    </xf>
    <xf numFmtId="167" fontId="9" fillId="24" borderId="7" xfId="6" applyFill="1" applyBorder="1">
      <alignment horizontal="right"/>
    </xf>
    <xf numFmtId="168" fontId="9" fillId="24" borderId="7" xfId="7" applyFill="1" applyBorder="1">
      <alignment horizontal="right"/>
    </xf>
    <xf numFmtId="168" fontId="9" fillId="24" borderId="6" xfId="7" applyFill="1" applyBorder="1">
      <alignment horizontal="right"/>
    </xf>
    <xf numFmtId="167" fontId="9" fillId="24" borderId="3" xfId="6" applyFill="1" applyBorder="1" applyAlignment="1">
      <alignment horizontal="left"/>
    </xf>
    <xf numFmtId="167" fontId="9" fillId="24" borderId="2" xfId="6" applyFill="1" applyBorder="1">
      <alignment horizontal="right"/>
    </xf>
    <xf numFmtId="168" fontId="9" fillId="24" borderId="2" xfId="7" applyFill="1" applyBorder="1">
      <alignment horizontal="right"/>
    </xf>
    <xf numFmtId="168" fontId="9" fillId="24" borderId="1" xfId="7" applyFill="1" applyBorder="1">
      <alignment horizontal="right"/>
    </xf>
    <xf numFmtId="173" fontId="40" fillId="6" borderId="0" xfId="5" quotePrefix="1" applyNumberFormat="1" applyFont="1" applyAlignment="1">
      <alignment horizontal="center"/>
    </xf>
    <xf numFmtId="0" fontId="40" fillId="6" borderId="17" xfId="29" applyFont="1" applyBorder="1" applyAlignment="1">
      <alignment horizontal="center"/>
    </xf>
    <xf numFmtId="0" fontId="40" fillId="6" borderId="0" xfId="5" applyFont="1" applyAlignment="1">
      <alignment horizontal="center"/>
    </xf>
    <xf numFmtId="0" fontId="40" fillId="6" borderId="7" xfId="29" applyFont="1" applyBorder="1" applyAlignment="1">
      <alignment horizontal="center"/>
    </xf>
    <xf numFmtId="0" fontId="40" fillId="6" borderId="2" xfId="29" applyFont="1" applyBorder="1" applyAlignment="1">
      <alignment horizontal="center"/>
    </xf>
    <xf numFmtId="171" fontId="13" fillId="0" borderId="0" xfId="38" applyNumberFormat="1" applyFont="1"/>
    <xf numFmtId="165" fontId="30" fillId="6" borderId="0" xfId="26" applyFont="1" applyBorder="1" applyAlignment="1">
      <alignment horizontal="right"/>
    </xf>
    <xf numFmtId="14" fontId="0" fillId="0" borderId="0" xfId="0" applyNumberFormat="1"/>
    <xf numFmtId="0" fontId="20" fillId="24" borderId="0" xfId="48" applyFont="1" applyFill="1"/>
    <xf numFmtId="17" fontId="20" fillId="24" borderId="0" xfId="48" quotePrefix="1" applyNumberFormat="1" applyFont="1" applyFill="1" applyAlignment="1">
      <alignment horizontal="left"/>
    </xf>
    <xf numFmtId="179" fontId="0" fillId="0" borderId="0" xfId="0" applyNumberFormat="1"/>
    <xf numFmtId="180" fontId="0" fillId="0" borderId="0" xfId="0" applyNumberFormat="1"/>
    <xf numFmtId="183" fontId="0" fillId="0" borderId="0" xfId="0" applyNumberFormat="1"/>
    <xf numFmtId="184" fontId="0" fillId="0" borderId="0" xfId="0" applyNumberFormat="1"/>
    <xf numFmtId="185" fontId="0" fillId="0" borderId="0" xfId="0" applyNumberFormat="1"/>
    <xf numFmtId="164" fontId="13" fillId="37" borderId="0" xfId="48" applyNumberFormat="1" applyFont="1" applyFill="1"/>
    <xf numFmtId="0" fontId="74" fillId="0" borderId="0" xfId="0" applyFont="1"/>
    <xf numFmtId="164" fontId="13" fillId="37" borderId="2" xfId="48" applyNumberFormat="1" applyFont="1" applyFill="1" applyBorder="1"/>
    <xf numFmtId="4" fontId="0" fillId="0" borderId="2" xfId="0" applyNumberFormat="1" applyBorder="1"/>
    <xf numFmtId="164" fontId="28" fillId="0" borderId="0" xfId="48" applyNumberFormat="1" applyFont="1"/>
    <xf numFmtId="4" fontId="57" fillId="0" borderId="0" xfId="0" applyNumberFormat="1" applyFont="1"/>
    <xf numFmtId="0" fontId="32" fillId="6" borderId="0" xfId="27" applyFont="1" applyBorder="1"/>
    <xf numFmtId="179" fontId="0" fillId="2" borderId="0" xfId="0" applyNumberFormat="1" applyFill="1"/>
    <xf numFmtId="49" fontId="0" fillId="2" borderId="0" xfId="0" applyNumberFormat="1" applyFill="1"/>
    <xf numFmtId="180" fontId="0" fillId="2" borderId="0" xfId="0" applyNumberFormat="1" applyFill="1"/>
    <xf numFmtId="181" fontId="0" fillId="2" borderId="0" xfId="0" applyNumberFormat="1" applyFill="1"/>
    <xf numFmtId="182" fontId="0" fillId="2" borderId="0" xfId="0" applyNumberFormat="1" applyFill="1"/>
    <xf numFmtId="183" fontId="0" fillId="2" borderId="0" xfId="0" applyNumberFormat="1" applyFill="1"/>
    <xf numFmtId="184" fontId="0" fillId="2" borderId="0" xfId="0" applyNumberFormat="1" applyFill="1"/>
    <xf numFmtId="185" fontId="0" fillId="2" borderId="0" xfId="0" applyNumberFormat="1" applyFill="1"/>
    <xf numFmtId="4" fontId="8" fillId="2" borderId="0" xfId="41" applyNumberFormat="1" applyFill="1"/>
    <xf numFmtId="0" fontId="75" fillId="48" borderId="18" xfId="0" applyFont="1" applyFill="1" applyBorder="1" applyAlignment="1">
      <alignment vertical="center"/>
    </xf>
    <xf numFmtId="0" fontId="76" fillId="48" borderId="17" xfId="0" applyFont="1" applyFill="1" applyBorder="1" applyAlignment="1">
      <alignment vertical="center"/>
    </xf>
    <xf numFmtId="0" fontId="75" fillId="48" borderId="17" xfId="0" applyFont="1" applyFill="1" applyBorder="1" applyAlignment="1">
      <alignment vertical="center"/>
    </xf>
    <xf numFmtId="0" fontId="75" fillId="48" borderId="17" xfId="0" applyFont="1" applyFill="1" applyBorder="1" applyAlignment="1">
      <alignment horizontal="center" vertical="center"/>
    </xf>
    <xf numFmtId="0" fontId="77" fillId="0" borderId="0" xfId="0" applyFont="1" applyAlignment="1">
      <alignment vertical="center"/>
    </xf>
    <xf numFmtId="0" fontId="75" fillId="0" borderId="0" xfId="0" applyFont="1" applyAlignment="1">
      <alignment vertical="center"/>
    </xf>
    <xf numFmtId="0" fontId="14" fillId="6" borderId="0" xfId="0" applyFont="1" applyFill="1"/>
    <xf numFmtId="0" fontId="78" fillId="0" borderId="0" xfId="0" applyFont="1"/>
    <xf numFmtId="0" fontId="14" fillId="6" borderId="0" xfId="0" applyFont="1" applyFill="1" applyAlignment="1">
      <alignment horizontal="center"/>
    </xf>
    <xf numFmtId="0" fontId="79" fillId="6" borderId="0" xfId="0" applyFont="1" applyFill="1"/>
    <xf numFmtId="0" fontId="14" fillId="6" borderId="2" xfId="0" applyFont="1" applyFill="1" applyBorder="1"/>
    <xf numFmtId="0" fontId="14" fillId="0" borderId="0" xfId="0" applyFont="1"/>
    <xf numFmtId="0" fontId="14" fillId="6" borderId="5" xfId="0" applyFont="1" applyFill="1" applyBorder="1"/>
    <xf numFmtId="0" fontId="67" fillId="6" borderId="0" xfId="0" applyFont="1" applyFill="1"/>
    <xf numFmtId="0" fontId="14" fillId="6" borderId="4" xfId="0" applyFont="1" applyFill="1" applyBorder="1"/>
    <xf numFmtId="0" fontId="14" fillId="6" borderId="30" xfId="0" applyFont="1" applyFill="1" applyBorder="1"/>
    <xf numFmtId="0" fontId="14" fillId="50" borderId="16" xfId="0" applyFont="1" applyFill="1" applyBorder="1" applyAlignment="1">
      <alignment horizontal="center"/>
    </xf>
    <xf numFmtId="0" fontId="14" fillId="50" borderId="19" xfId="0" applyFont="1" applyFill="1" applyBorder="1" applyAlignment="1">
      <alignment horizontal="center"/>
    </xf>
    <xf numFmtId="17" fontId="67" fillId="50" borderId="16" xfId="0" applyNumberFormat="1" applyFont="1" applyFill="1" applyBorder="1" applyAlignment="1">
      <alignment horizontal="center" vertical="center"/>
    </xf>
    <xf numFmtId="0" fontId="79" fillId="0" borderId="0" xfId="0" applyFont="1"/>
    <xf numFmtId="0" fontId="14" fillId="0" borderId="19" xfId="0" applyFont="1" applyBorder="1" applyAlignment="1">
      <alignment horizontal="center"/>
    </xf>
    <xf numFmtId="0" fontId="14" fillId="0" borderId="18" xfId="0" applyFont="1" applyBorder="1"/>
    <xf numFmtId="0" fontId="14" fillId="0" borderId="30" xfId="0" applyFont="1" applyBorder="1"/>
    <xf numFmtId="9" fontId="14" fillId="0" borderId="16" xfId="38" applyFont="1" applyFill="1" applyBorder="1" applyAlignment="1">
      <alignment horizontal="center" vertical="center"/>
    </xf>
    <xf numFmtId="9" fontId="14" fillId="0" borderId="19" xfId="38" applyFont="1" applyFill="1" applyBorder="1" applyAlignment="1">
      <alignment horizontal="center" vertical="center"/>
    </xf>
    <xf numFmtId="195" fontId="67" fillId="0" borderId="19" xfId="47" applyNumberFormat="1" applyFont="1" applyFill="1" applyBorder="1"/>
    <xf numFmtId="0" fontId="67" fillId="0" borderId="18" xfId="0" applyFont="1" applyBorder="1"/>
    <xf numFmtId="0" fontId="34" fillId="0" borderId="19" xfId="0" applyFont="1" applyBorder="1" applyAlignment="1">
      <alignment horizontal="left" vertical="center" wrapText="1"/>
    </xf>
    <xf numFmtId="195" fontId="14" fillId="0" borderId="19" xfId="47" applyNumberFormat="1" applyFont="1" applyFill="1" applyBorder="1"/>
    <xf numFmtId="0" fontId="34" fillId="0" borderId="0" xfId="0" applyFont="1" applyAlignment="1">
      <alignment horizontal="left" vertical="center" wrapText="1"/>
    </xf>
    <xf numFmtId="0" fontId="67" fillId="0" borderId="19" xfId="0" applyFont="1" applyBorder="1" applyAlignment="1">
      <alignment horizontal="center"/>
    </xf>
    <xf numFmtId="0" fontId="67" fillId="0" borderId="0" xfId="0" applyFont="1"/>
    <xf numFmtId="0" fontId="67" fillId="0" borderId="30" xfId="0" applyFont="1" applyBorder="1"/>
    <xf numFmtId="9" fontId="67" fillId="0" borderId="16" xfId="38" applyFont="1" applyFill="1" applyBorder="1" applyAlignment="1">
      <alignment horizontal="center" vertical="center"/>
    </xf>
    <xf numFmtId="9" fontId="67" fillId="0" borderId="19" xfId="38" applyFont="1" applyFill="1" applyBorder="1" applyAlignment="1">
      <alignment horizontal="center" vertical="center"/>
    </xf>
    <xf numFmtId="0" fontId="34" fillId="0" borderId="18" xfId="0" applyFont="1" applyBorder="1" applyAlignment="1">
      <alignment horizontal="left" vertical="center"/>
    </xf>
    <xf numFmtId="0" fontId="67" fillId="52" borderId="19" xfId="0" applyFont="1" applyFill="1" applyBorder="1" applyAlignment="1">
      <alignment horizontal="center"/>
    </xf>
    <xf numFmtId="0" fontId="34" fillId="0" borderId="2" xfId="0" applyFont="1" applyBorder="1" applyAlignment="1">
      <alignment horizontal="left" vertical="center"/>
    </xf>
    <xf numFmtId="0" fontId="67" fillId="53" borderId="19" xfId="0" applyFont="1" applyFill="1" applyBorder="1" applyAlignment="1">
      <alignment horizontal="center"/>
    </xf>
    <xf numFmtId="195" fontId="14" fillId="0" borderId="19" xfId="0" applyNumberFormat="1" applyFont="1" applyBorder="1"/>
    <xf numFmtId="0" fontId="14" fillId="0" borderId="18" xfId="0" applyFont="1" applyBorder="1" applyAlignment="1">
      <alignment wrapText="1"/>
    </xf>
    <xf numFmtId="0" fontId="14" fillId="0" borderId="16" xfId="0" applyFont="1" applyBorder="1"/>
    <xf numFmtId="0" fontId="67" fillId="54" borderId="19" xfId="0" applyFont="1" applyFill="1" applyBorder="1" applyAlignment="1">
      <alignment horizontal="center"/>
    </xf>
    <xf numFmtId="195" fontId="79" fillId="0" borderId="0" xfId="0" applyNumberFormat="1" applyFont="1"/>
    <xf numFmtId="9" fontId="14" fillId="0" borderId="18" xfId="0" applyNumberFormat="1" applyFont="1" applyBorder="1"/>
    <xf numFmtId="4" fontId="14" fillId="0" borderId="18" xfId="0" applyNumberFormat="1" applyFont="1" applyBorder="1"/>
    <xf numFmtId="0" fontId="14" fillId="6" borderId="19" xfId="0" applyFont="1" applyFill="1" applyBorder="1" applyAlignment="1">
      <alignment horizontal="center"/>
    </xf>
    <xf numFmtId="0" fontId="14" fillId="6" borderId="18" xfId="0" applyFont="1" applyFill="1" applyBorder="1"/>
    <xf numFmtId="195" fontId="72" fillId="6" borderId="0" xfId="47" applyNumberFormat="1" applyFont="1" applyFill="1"/>
    <xf numFmtId="195" fontId="14" fillId="6" borderId="0" xfId="47" applyNumberFormat="1" applyFont="1" applyFill="1"/>
    <xf numFmtId="0" fontId="67" fillId="0" borderId="0" xfId="0" applyFont="1" applyAlignment="1">
      <alignment horizontal="center"/>
    </xf>
    <xf numFmtId="0" fontId="72" fillId="6" borderId="0" xfId="0" applyFont="1" applyFill="1" applyAlignment="1">
      <alignment horizontal="center"/>
    </xf>
    <xf numFmtId="196" fontId="72" fillId="6" borderId="0" xfId="47" applyNumberFormat="1" applyFont="1" applyFill="1"/>
    <xf numFmtId="195" fontId="79" fillId="6" borderId="0" xfId="0" applyNumberFormat="1" applyFont="1" applyFill="1"/>
    <xf numFmtId="195" fontId="14" fillId="6" borderId="0" xfId="0" applyNumberFormat="1" applyFont="1" applyFill="1"/>
    <xf numFmtId="0" fontId="67" fillId="0" borderId="2" xfId="0" applyFont="1" applyBorder="1" applyAlignment="1">
      <alignment horizontal="center"/>
    </xf>
    <xf numFmtId="0" fontId="66" fillId="48" borderId="5" xfId="0" applyFont="1" applyFill="1" applyBorder="1" applyAlignment="1">
      <alignment vertical="center"/>
    </xf>
    <xf numFmtId="0" fontId="66" fillId="48" borderId="7" xfId="0" applyFont="1" applyFill="1" applyBorder="1"/>
    <xf numFmtId="0" fontId="66" fillId="48" borderId="7" xfId="0" applyFont="1" applyFill="1" applyBorder="1" applyAlignment="1">
      <alignment vertical="center"/>
    </xf>
    <xf numFmtId="0" fontId="66" fillId="48" borderId="6" xfId="0" applyFont="1" applyFill="1" applyBorder="1" applyAlignment="1">
      <alignment vertical="center"/>
    </xf>
    <xf numFmtId="17" fontId="66" fillId="48" borderId="19" xfId="0" applyNumberFormat="1" applyFont="1" applyFill="1" applyBorder="1" applyAlignment="1">
      <alignment horizontal="center" vertical="center"/>
    </xf>
    <xf numFmtId="17" fontId="66" fillId="48" borderId="16" xfId="0" applyNumberFormat="1" applyFont="1" applyFill="1" applyBorder="1" applyAlignment="1">
      <alignment horizontal="center" vertical="center"/>
    </xf>
    <xf numFmtId="0" fontId="78" fillId="6" borderId="0" xfId="0" applyFont="1" applyFill="1"/>
    <xf numFmtId="0" fontId="66" fillId="6" borderId="8" xfId="0" applyFont="1" applyFill="1" applyBorder="1" applyAlignment="1">
      <alignment horizontal="center" vertical="center"/>
    </xf>
    <xf numFmtId="0" fontId="66" fillId="6" borderId="7" xfId="0" applyFont="1" applyFill="1" applyBorder="1"/>
    <xf numFmtId="0" fontId="14" fillId="6" borderId="7" xfId="0" applyFont="1" applyFill="1" applyBorder="1"/>
    <xf numFmtId="0" fontId="14" fillId="6" borderId="7" xfId="0" applyFont="1" applyFill="1" applyBorder="1" applyAlignment="1">
      <alignment horizontal="center"/>
    </xf>
    <xf numFmtId="0" fontId="66" fillId="6" borderId="6" xfId="0" applyFont="1" applyFill="1" applyBorder="1"/>
    <xf numFmtId="195" fontId="67" fillId="6" borderId="6" xfId="47" applyNumberFormat="1" applyFont="1" applyFill="1" applyBorder="1"/>
    <xf numFmtId="0" fontId="14" fillId="6" borderId="4" xfId="0" applyFont="1" applyFill="1" applyBorder="1" applyAlignment="1">
      <alignment horizontal="center" vertical="center"/>
    </xf>
    <xf numFmtId="0" fontId="67" fillId="6" borderId="18" xfId="0" applyFont="1" applyFill="1" applyBorder="1"/>
    <xf numFmtId="0" fontId="14" fillId="6" borderId="17" xfId="0" applyFont="1" applyFill="1" applyBorder="1" applyAlignment="1">
      <alignment vertical="center"/>
    </xf>
    <xf numFmtId="0" fontId="72" fillId="6" borderId="17" xfId="0" applyFont="1" applyFill="1" applyBorder="1"/>
    <xf numFmtId="0" fontId="72" fillId="6" borderId="17" xfId="0" applyFont="1" applyFill="1" applyBorder="1" applyAlignment="1">
      <alignment horizontal="center"/>
    </xf>
    <xf numFmtId="0" fontId="14" fillId="6" borderId="16" xfId="0" applyFont="1" applyFill="1" applyBorder="1" applyAlignment="1">
      <alignment vertical="center"/>
    </xf>
    <xf numFmtId="0" fontId="14" fillId="6" borderId="3" xfId="0" applyFont="1" applyFill="1" applyBorder="1"/>
    <xf numFmtId="0" fontId="14" fillId="6" borderId="2" xfId="0" applyFont="1" applyFill="1" applyBorder="1" applyAlignment="1">
      <alignment vertical="center"/>
    </xf>
    <xf numFmtId="0" fontId="14" fillId="6" borderId="2" xfId="0" applyFont="1" applyFill="1" applyBorder="1" applyAlignment="1">
      <alignment horizontal="center"/>
    </xf>
    <xf numFmtId="195" fontId="14" fillId="6" borderId="19" xfId="47" applyNumberFormat="1" applyFont="1" applyFill="1" applyBorder="1" applyAlignment="1">
      <alignment horizontal="center" vertical="center"/>
    </xf>
    <xf numFmtId="0" fontId="67" fillId="50" borderId="8" xfId="0" applyFont="1" applyFill="1" applyBorder="1"/>
    <xf numFmtId="0" fontId="67" fillId="50" borderId="7" xfId="0" applyFont="1" applyFill="1" applyBorder="1"/>
    <xf numFmtId="0" fontId="67" fillId="50" borderId="7" xfId="0" applyFont="1" applyFill="1" applyBorder="1" applyAlignment="1">
      <alignment horizontal="center"/>
    </xf>
    <xf numFmtId="0" fontId="67" fillId="50" borderId="31" xfId="0" applyFont="1" applyFill="1" applyBorder="1"/>
    <xf numFmtId="0" fontId="14" fillId="6" borderId="8" xfId="0" applyFont="1" applyFill="1" applyBorder="1"/>
    <xf numFmtId="0" fontId="14" fillId="6" borderId="7" xfId="0" applyFont="1" applyFill="1" applyBorder="1" applyAlignment="1">
      <alignment vertical="center"/>
    </xf>
    <xf numFmtId="195" fontId="14" fillId="6" borderId="31" xfId="47" applyNumberFormat="1" applyFont="1" applyFill="1" applyBorder="1" applyAlignment="1">
      <alignment horizontal="center" vertical="center"/>
    </xf>
    <xf numFmtId="0" fontId="67" fillId="6" borderId="17" xfId="0" applyFont="1" applyFill="1" applyBorder="1" applyAlignment="1">
      <alignment vertical="center"/>
    </xf>
    <xf numFmtId="0" fontId="67" fillId="6" borderId="17" xfId="0" applyFont="1" applyFill="1" applyBorder="1"/>
    <xf numFmtId="0" fontId="67" fillId="6" borderId="17" xfId="0" applyFont="1" applyFill="1" applyBorder="1" applyAlignment="1">
      <alignment horizontal="center"/>
    </xf>
    <xf numFmtId="195" fontId="35" fillId="6" borderId="19" xfId="47" applyNumberFormat="1" applyFont="1" applyFill="1" applyBorder="1" applyAlignment="1">
      <alignment horizontal="center" vertical="center"/>
    </xf>
    <xf numFmtId="195" fontId="35" fillId="0" borderId="19" xfId="47" applyNumberFormat="1" applyFont="1" applyFill="1" applyBorder="1" applyAlignment="1">
      <alignment horizontal="center" vertical="center"/>
    </xf>
    <xf numFmtId="0" fontId="67" fillId="0" borderId="5" xfId="0" applyFont="1" applyBorder="1"/>
    <xf numFmtId="0" fontId="67" fillId="6" borderId="0" xfId="0" applyFont="1" applyFill="1" applyAlignment="1">
      <alignment horizontal="center"/>
    </xf>
    <xf numFmtId="195" fontId="35" fillId="6" borderId="31" xfId="47" applyNumberFormat="1" applyFont="1" applyFill="1" applyBorder="1" applyAlignment="1">
      <alignment horizontal="center" vertical="center"/>
    </xf>
    <xf numFmtId="0" fontId="67" fillId="6" borderId="16" xfId="0" applyFont="1" applyFill="1" applyBorder="1" applyAlignment="1">
      <alignment vertical="center"/>
    </xf>
    <xf numFmtId="0" fontId="67" fillId="50" borderId="5" xfId="0" applyFont="1" applyFill="1" applyBorder="1"/>
    <xf numFmtId="0" fontId="67" fillId="50" borderId="0" xfId="0" applyFont="1" applyFill="1"/>
    <xf numFmtId="0" fontId="67" fillId="50" borderId="0" xfId="0" applyFont="1" applyFill="1" applyAlignment="1">
      <alignment horizontal="center"/>
    </xf>
    <xf numFmtId="195" fontId="35" fillId="50" borderId="31" xfId="47" applyNumberFormat="1" applyFont="1" applyFill="1" applyBorder="1"/>
    <xf numFmtId="0" fontId="79" fillId="6" borderId="18" xfId="0" applyFont="1" applyFill="1" applyBorder="1"/>
    <xf numFmtId="0" fontId="14" fillId="6" borderId="17" xfId="0" applyFont="1" applyFill="1" applyBorder="1"/>
    <xf numFmtId="0" fontId="14" fillId="6" borderId="17" xfId="0" applyFont="1" applyFill="1" applyBorder="1" applyAlignment="1">
      <alignment horizontal="center"/>
    </xf>
    <xf numFmtId="171" fontId="34" fillId="6" borderId="19" xfId="38" applyNumberFormat="1" applyFont="1" applyFill="1" applyBorder="1" applyAlignment="1">
      <alignment horizontal="right" vertical="center"/>
    </xf>
    <xf numFmtId="0" fontId="14" fillId="6" borderId="5" xfId="0" applyFont="1" applyFill="1" applyBorder="1" applyAlignment="1">
      <alignment horizontal="left" indent="2"/>
    </xf>
    <xf numFmtId="9" fontId="34" fillId="6" borderId="30" xfId="38" applyFont="1" applyFill="1" applyBorder="1" applyAlignment="1">
      <alignment horizontal="center" vertical="center"/>
    </xf>
    <xf numFmtId="0" fontId="67" fillId="50" borderId="18" xfId="0" applyFont="1" applyFill="1" applyBorder="1"/>
    <xf numFmtId="0" fontId="67" fillId="50" borderId="17" xfId="0" applyFont="1" applyFill="1" applyBorder="1"/>
    <xf numFmtId="0" fontId="67" fillId="50" borderId="19" xfId="0" applyFont="1" applyFill="1" applyBorder="1"/>
    <xf numFmtId="0" fontId="79" fillId="6" borderId="5" xfId="0" applyFont="1" applyFill="1" applyBorder="1"/>
    <xf numFmtId="171" fontId="34" fillId="6" borderId="0" xfId="0" applyNumberFormat="1" applyFont="1" applyFill="1" applyAlignment="1">
      <alignment horizontal="center"/>
    </xf>
    <xf numFmtId="0" fontId="35" fillId="6" borderId="0" xfId="0" applyFont="1" applyFill="1" applyAlignment="1">
      <alignment vertical="center"/>
    </xf>
    <xf numFmtId="171" fontId="34" fillId="6" borderId="19" xfId="38" applyNumberFormat="1" applyFont="1" applyFill="1" applyBorder="1" applyAlignment="1">
      <alignment horizontal="center" vertical="center"/>
    </xf>
    <xf numFmtId="171" fontId="34" fillId="6" borderId="30" xfId="38" applyNumberFormat="1" applyFont="1" applyFill="1" applyBorder="1" applyAlignment="1">
      <alignment horizontal="center" vertical="center"/>
    </xf>
    <xf numFmtId="171" fontId="34" fillId="6" borderId="17" xfId="0" applyNumberFormat="1" applyFont="1" applyFill="1" applyBorder="1" applyAlignment="1">
      <alignment horizontal="center"/>
    </xf>
    <xf numFmtId="171" fontId="34" fillId="6" borderId="17" xfId="38" applyNumberFormat="1" applyFont="1" applyFill="1" applyBorder="1" applyAlignment="1">
      <alignment vertical="center"/>
    </xf>
    <xf numFmtId="195" fontId="34" fillId="6" borderId="19" xfId="47" applyNumberFormat="1" applyFont="1" applyFill="1" applyBorder="1"/>
    <xf numFmtId="0" fontId="34" fillId="6" borderId="17" xfId="0" applyFont="1" applyFill="1" applyBorder="1" applyAlignment="1">
      <alignment vertical="center"/>
    </xf>
    <xf numFmtId="171" fontId="34" fillId="6" borderId="2" xfId="0" applyNumberFormat="1" applyFont="1" applyFill="1" applyBorder="1"/>
    <xf numFmtId="171" fontId="34" fillId="6" borderId="2" xfId="0" applyNumberFormat="1" applyFont="1" applyFill="1" applyBorder="1" applyAlignment="1">
      <alignment horizontal="center"/>
    </xf>
    <xf numFmtId="171" fontId="14" fillId="6" borderId="19" xfId="38" applyNumberFormat="1" applyFont="1" applyFill="1" applyBorder="1" applyAlignment="1">
      <alignment horizontal="center" vertical="center"/>
    </xf>
    <xf numFmtId="0" fontId="67" fillId="50" borderId="3" xfId="0" applyFont="1" applyFill="1" applyBorder="1"/>
    <xf numFmtId="0" fontId="67" fillId="50" borderId="2" xfId="0" applyFont="1" applyFill="1" applyBorder="1"/>
    <xf numFmtId="0" fontId="67" fillId="50" borderId="2" xfId="0" applyFont="1" applyFill="1" applyBorder="1" applyAlignment="1">
      <alignment horizontal="center"/>
    </xf>
    <xf numFmtId="0" fontId="67" fillId="50" borderId="32" xfId="0" applyFont="1" applyFill="1" applyBorder="1"/>
    <xf numFmtId="195" fontId="35" fillId="50" borderId="32" xfId="47" applyNumberFormat="1" applyFont="1" applyFill="1" applyBorder="1"/>
    <xf numFmtId="195" fontId="14" fillId="6" borderId="0" xfId="47" applyNumberFormat="1" applyFont="1" applyFill="1" applyBorder="1"/>
    <xf numFmtId="0" fontId="66" fillId="48" borderId="8" xfId="0" applyFont="1" applyFill="1" applyBorder="1"/>
    <xf numFmtId="0" fontId="80" fillId="48" borderId="7" xfId="0" applyFont="1" applyFill="1" applyBorder="1"/>
    <xf numFmtId="0" fontId="80" fillId="48" borderId="17" xfId="0" applyFont="1" applyFill="1" applyBorder="1"/>
    <xf numFmtId="0" fontId="80" fillId="48" borderId="17" xfId="0" applyFont="1" applyFill="1" applyBorder="1" applyAlignment="1">
      <alignment horizontal="center"/>
    </xf>
    <xf numFmtId="195" fontId="80" fillId="48" borderId="7" xfId="47" applyNumberFormat="1" applyFont="1" applyFill="1" applyBorder="1"/>
    <xf numFmtId="0" fontId="14" fillId="6" borderId="16" xfId="0" applyFont="1" applyFill="1" applyBorder="1"/>
    <xf numFmtId="195" fontId="14" fillId="6" borderId="19" xfId="47" applyNumberFormat="1" applyFont="1" applyFill="1" applyBorder="1"/>
    <xf numFmtId="195" fontId="67" fillId="6" borderId="19" xfId="47" applyNumberFormat="1" applyFont="1" applyFill="1" applyBorder="1"/>
    <xf numFmtId="0" fontId="67" fillId="6" borderId="16" xfId="0" applyFont="1" applyFill="1" applyBorder="1"/>
    <xf numFmtId="0" fontId="67" fillId="6" borderId="19" xfId="0" applyFont="1" applyFill="1" applyBorder="1"/>
    <xf numFmtId="0" fontId="67" fillId="6" borderId="3" xfId="0" applyFont="1" applyFill="1" applyBorder="1"/>
    <xf numFmtId="0" fontId="67" fillId="6" borderId="2" xfId="0" applyFont="1" applyFill="1" applyBorder="1"/>
    <xf numFmtId="0" fontId="67" fillId="6" borderId="2" xfId="0" applyFont="1" applyFill="1" applyBorder="1" applyAlignment="1">
      <alignment horizontal="center"/>
    </xf>
    <xf numFmtId="0" fontId="67" fillId="6" borderId="32" xfId="0" applyFont="1" applyFill="1" applyBorder="1"/>
    <xf numFmtId="195" fontId="67" fillId="6" borderId="32" xfId="47" applyNumberFormat="1" applyFont="1" applyFill="1" applyBorder="1"/>
    <xf numFmtId="195" fontId="35" fillId="50" borderId="32" xfId="47" applyNumberFormat="1" applyFont="1" applyFill="1" applyBorder="1" applyAlignment="1">
      <alignment horizontal="right"/>
    </xf>
    <xf numFmtId="0" fontId="14" fillId="6" borderId="19" xfId="0" applyFont="1" applyFill="1" applyBorder="1"/>
    <xf numFmtId="0" fontId="67" fillId="50" borderId="3" xfId="0" applyFont="1" applyFill="1" applyBorder="1" applyAlignment="1">
      <alignment vertical="center"/>
    </xf>
    <xf numFmtId="195" fontId="35" fillId="50" borderId="32" xfId="47" applyNumberFormat="1" applyFont="1" applyFill="1" applyBorder="1" applyAlignment="1">
      <alignment horizontal="right" vertical="center"/>
    </xf>
    <xf numFmtId="49" fontId="14" fillId="6" borderId="0" xfId="0" applyNumberFormat="1" applyFont="1" applyFill="1"/>
    <xf numFmtId="0" fontId="28" fillId="2" borderId="0" xfId="1" applyFont="1" applyFill="1"/>
    <xf numFmtId="165" fontId="37" fillId="2" borderId="0" xfId="1" applyNumberFormat="1" applyFont="1" applyFill="1" applyAlignment="1">
      <alignment horizontal="right" vertical="center"/>
    </xf>
    <xf numFmtId="0" fontId="13" fillId="0" borderId="29" xfId="1" applyBorder="1"/>
    <xf numFmtId="10" fontId="13" fillId="0" borderId="29" xfId="1" applyNumberFormat="1" applyBorder="1"/>
    <xf numFmtId="0" fontId="20" fillId="24" borderId="8" xfId="1" applyFont="1" applyFill="1" applyBorder="1"/>
    <xf numFmtId="0" fontId="20" fillId="24" borderId="7" xfId="1" applyFont="1" applyFill="1" applyBorder="1"/>
    <xf numFmtId="0" fontId="20" fillId="24" borderId="6" xfId="1" applyFont="1" applyFill="1" applyBorder="1"/>
    <xf numFmtId="0" fontId="13" fillId="0" borderId="5" xfId="1" applyBorder="1"/>
    <xf numFmtId="0" fontId="13" fillId="0" borderId="4" xfId="1" applyBorder="1"/>
    <xf numFmtId="165" fontId="13" fillId="0" borderId="4" xfId="1" applyNumberFormat="1" applyBorder="1"/>
    <xf numFmtId="10" fontId="13" fillId="0" borderId="4" xfId="1" applyNumberFormat="1" applyBorder="1"/>
    <xf numFmtId="0" fontId="29" fillId="0" borderId="5" xfId="1" applyFont="1" applyBorder="1"/>
    <xf numFmtId="171" fontId="13" fillId="0" borderId="0" xfId="38" applyNumberFormat="1" applyFont="1" applyBorder="1"/>
    <xf numFmtId="171" fontId="13" fillId="0" borderId="4" xfId="38" applyNumberFormat="1" applyFont="1" applyBorder="1"/>
    <xf numFmtId="0" fontId="13" fillId="0" borderId="33" xfId="1" applyBorder="1"/>
    <xf numFmtId="10" fontId="13" fillId="0" borderId="34" xfId="1" applyNumberFormat="1" applyBorder="1"/>
    <xf numFmtId="0" fontId="13" fillId="0" borderId="3" xfId="1" applyBorder="1"/>
    <xf numFmtId="171" fontId="13" fillId="0" borderId="2" xfId="38" applyNumberFormat="1" applyFont="1" applyBorder="1"/>
    <xf numFmtId="171" fontId="13" fillId="0" borderId="1" xfId="38" applyNumberFormat="1" applyFont="1" applyBorder="1"/>
    <xf numFmtId="0" fontId="20" fillId="24" borderId="7" xfId="1" applyFont="1" applyFill="1" applyBorder="1" applyAlignment="1">
      <alignment horizontal="right"/>
    </xf>
    <xf numFmtId="0" fontId="20" fillId="24" borderId="6" xfId="1" applyFont="1" applyFill="1" applyBorder="1" applyAlignment="1">
      <alignment horizontal="right"/>
    </xf>
    <xf numFmtId="171" fontId="13" fillId="0" borderId="2" xfId="1" applyNumberFormat="1" applyBorder="1"/>
    <xf numFmtId="10" fontId="13" fillId="0" borderId="2" xfId="1" applyNumberFormat="1" applyBorder="1"/>
    <xf numFmtId="10" fontId="13" fillId="0" borderId="1" xfId="1" applyNumberFormat="1" applyBorder="1"/>
    <xf numFmtId="165" fontId="29" fillId="0" borderId="0" xfId="1" applyNumberFormat="1" applyFont="1"/>
    <xf numFmtId="165" fontId="29" fillId="0" borderId="4" xfId="1" applyNumberFormat="1" applyFont="1" applyBorder="1"/>
    <xf numFmtId="0" fontId="13" fillId="37" borderId="3" xfId="1" applyFill="1" applyBorder="1"/>
    <xf numFmtId="0" fontId="13" fillId="37" borderId="2" xfId="1" applyFill="1" applyBorder="1"/>
    <xf numFmtId="165" fontId="13" fillId="37" borderId="2" xfId="1" applyNumberFormat="1" applyFill="1" applyBorder="1"/>
    <xf numFmtId="165" fontId="13" fillId="37" borderId="1" xfId="1" applyNumberFormat="1" applyFill="1" applyBorder="1"/>
    <xf numFmtId="0" fontId="14" fillId="0" borderId="8" xfId="1" applyFont="1" applyBorder="1" applyAlignment="1">
      <alignment horizontal="left" vertical="center" wrapText="1"/>
    </xf>
    <xf numFmtId="0" fontId="14" fillId="0" borderId="7" xfId="1" applyFont="1" applyBorder="1" applyAlignment="1">
      <alignment horizontal="left" vertical="center"/>
    </xf>
    <xf numFmtId="0" fontId="14" fillId="0" borderId="6" xfId="1" applyFont="1" applyBorder="1" applyAlignment="1">
      <alignment horizontal="left" vertical="center"/>
    </xf>
    <xf numFmtId="0" fontId="14" fillId="0" borderId="5" xfId="1" applyFont="1" applyBorder="1" applyAlignment="1">
      <alignment horizontal="left" vertical="center"/>
    </xf>
    <xf numFmtId="0" fontId="14" fillId="0" borderId="0" xfId="1" applyFont="1" applyAlignment="1">
      <alignment horizontal="left" vertical="center"/>
    </xf>
    <xf numFmtId="0" fontId="14" fillId="0" borderId="4" xfId="1" applyFont="1" applyBorder="1" applyAlignment="1">
      <alignment horizontal="left" vertical="center"/>
    </xf>
    <xf numFmtId="0" fontId="14" fillId="0" borderId="3" xfId="1" applyFont="1" applyBorder="1" applyAlignment="1">
      <alignment horizontal="left" vertical="center"/>
    </xf>
    <xf numFmtId="0" fontId="14" fillId="0" borderId="2" xfId="1" applyFont="1" applyBorder="1" applyAlignment="1">
      <alignment horizontal="left" vertical="center"/>
    </xf>
    <xf numFmtId="0" fontId="14" fillId="0" borderId="1" xfId="1" applyFont="1" applyBorder="1" applyAlignment="1">
      <alignment horizontal="left" vertical="center"/>
    </xf>
    <xf numFmtId="167" fontId="22" fillId="9" borderId="0" xfId="6" applyFont="1" applyFill="1" applyAlignment="1">
      <alignment horizontal="right" vertical="center"/>
    </xf>
    <xf numFmtId="165" fontId="30" fillId="0" borderId="0" xfId="9" applyFont="1" applyFill="1" applyAlignment="1">
      <alignment horizontal="center" vertical="center"/>
    </xf>
    <xf numFmtId="165" fontId="30" fillId="6" borderId="17" xfId="9" applyFont="1" applyBorder="1" applyAlignment="1">
      <alignment horizontal="center" vertical="center"/>
    </xf>
    <xf numFmtId="167" fontId="22" fillId="0" borderId="0" xfId="6" applyFont="1" applyFill="1" applyAlignment="1">
      <alignment horizontal="right" vertical="center"/>
    </xf>
    <xf numFmtId="167" fontId="22" fillId="9" borderId="26" xfId="6" applyFont="1" applyFill="1" applyBorder="1" applyAlignment="1">
      <alignment horizontal="center"/>
    </xf>
    <xf numFmtId="168" fontId="9" fillId="24" borderId="26" xfId="7" applyFill="1" applyBorder="1" applyAlignment="1">
      <alignment horizontal="center"/>
    </xf>
    <xf numFmtId="166" fontId="9" fillId="24" borderId="26" xfId="4" applyFill="1" applyBorder="1" applyAlignment="1">
      <alignment horizontal="center"/>
    </xf>
    <xf numFmtId="169" fontId="9" fillId="24" borderId="26" xfId="10" applyFill="1" applyBorder="1" applyAlignment="1">
      <alignment horizontal="center"/>
    </xf>
    <xf numFmtId="167" fontId="9" fillId="24" borderId="26" xfId="6" applyFill="1" applyBorder="1" applyAlignment="1">
      <alignment horizontal="center"/>
    </xf>
    <xf numFmtId="166" fontId="20" fillId="24" borderId="26" xfId="3" applyNumberFormat="1" applyFill="1" applyBorder="1" applyAlignment="1">
      <alignment horizontal="center"/>
    </xf>
    <xf numFmtId="0" fontId="67" fillId="6" borderId="17" xfId="0" applyFont="1" applyFill="1" applyBorder="1" applyAlignment="1">
      <alignment horizontal="center" vertical="center"/>
    </xf>
    <xf numFmtId="171" fontId="34" fillId="6" borderId="17" xfId="38" applyNumberFormat="1" applyFont="1" applyFill="1" applyBorder="1" applyAlignment="1">
      <alignment horizontal="center" vertical="center"/>
    </xf>
    <xf numFmtId="0" fontId="76" fillId="48" borderId="17" xfId="0" applyFont="1" applyFill="1" applyBorder="1" applyAlignment="1">
      <alignment horizontal="center" vertical="center"/>
    </xf>
    <xf numFmtId="0" fontId="76" fillId="48" borderId="16" xfId="0" applyFont="1" applyFill="1" applyBorder="1" applyAlignment="1">
      <alignment horizontal="center" vertical="center"/>
    </xf>
    <xf numFmtId="0" fontId="67" fillId="50" borderId="31" xfId="0" applyFont="1" applyFill="1" applyBorder="1" applyAlignment="1">
      <alignment horizontal="center" vertical="center"/>
    </xf>
    <xf numFmtId="0" fontId="67" fillId="50" borderId="32" xfId="0" applyFont="1" applyFill="1" applyBorder="1" applyAlignment="1">
      <alignment horizontal="center" vertical="center"/>
    </xf>
    <xf numFmtId="0" fontId="67" fillId="50" borderId="8" xfId="0" applyFont="1" applyFill="1" applyBorder="1" applyAlignment="1">
      <alignment horizontal="center" vertical="center"/>
    </xf>
    <xf numFmtId="0" fontId="67" fillId="50" borderId="3" xfId="0" applyFont="1" applyFill="1" applyBorder="1" applyAlignment="1">
      <alignment horizontal="center" vertical="center"/>
    </xf>
    <xf numFmtId="0" fontId="67" fillId="51" borderId="6" xfId="0" applyFont="1" applyFill="1" applyBorder="1" applyAlignment="1">
      <alignment horizontal="center" vertical="center" wrapText="1"/>
    </xf>
    <xf numFmtId="0" fontId="67" fillId="51" borderId="32" xfId="0" applyFont="1" applyFill="1" applyBorder="1" applyAlignment="1">
      <alignment horizontal="center" vertical="center" wrapText="1"/>
    </xf>
    <xf numFmtId="0" fontId="67" fillId="51" borderId="8" xfId="0" applyFont="1" applyFill="1" applyBorder="1" applyAlignment="1">
      <alignment horizontal="center" vertical="center" wrapText="1"/>
    </xf>
    <xf numFmtId="0" fontId="67" fillId="51" borderId="17" xfId="0" applyFont="1" applyFill="1" applyBorder="1" applyAlignment="1">
      <alignment horizontal="center" vertical="center" wrapText="1"/>
    </xf>
    <xf numFmtId="0" fontId="67" fillId="51" borderId="19" xfId="0" applyFont="1" applyFill="1" applyBorder="1" applyAlignment="1">
      <alignment horizontal="center" vertical="center" wrapText="1"/>
    </xf>
    <xf numFmtId="167" fontId="9" fillId="24" borderId="0" xfId="6" applyFill="1">
      <alignment horizontal="right"/>
    </xf>
    <xf numFmtId="169" fontId="22" fillId="9" borderId="0" xfId="10" applyFont="1" applyFill="1">
      <alignment horizontal="right"/>
    </xf>
    <xf numFmtId="166" fontId="9" fillId="24" borderId="0" xfId="4" applyFill="1">
      <alignment horizontal="right"/>
    </xf>
    <xf numFmtId="0" fontId="12" fillId="24" borderId="0" xfId="33" applyFont="1" applyFill="1" applyAlignment="1">
      <alignment horizontal="center"/>
    </xf>
    <xf numFmtId="166" fontId="9" fillId="24" borderId="26" xfId="6" applyNumberFormat="1" applyFill="1" applyBorder="1" applyAlignment="1">
      <alignment horizontal="center"/>
    </xf>
    <xf numFmtId="0" fontId="9" fillId="24" borderId="0" xfId="33" applyFill="1" applyAlignment="1">
      <alignment horizontal="center"/>
    </xf>
    <xf numFmtId="49" fontId="65" fillId="0" borderId="0" xfId="0" applyNumberFormat="1" applyFont="1" applyAlignment="1">
      <alignment horizontal="left"/>
    </xf>
    <xf numFmtId="0" fontId="0" fillId="0" borderId="0" xfId="0"/>
    <xf numFmtId="49" fontId="57" fillId="0" borderId="0" xfId="0" applyNumberFormat="1" applyFont="1" applyAlignment="1">
      <alignment horizontal="left"/>
    </xf>
    <xf numFmtId="49" fontId="57" fillId="0" borderId="0" xfId="41" applyNumberFormat="1" applyFont="1" applyAlignment="1">
      <alignment horizontal="left"/>
    </xf>
    <xf numFmtId="0" fontId="8" fillId="0" borderId="0" xfId="41"/>
    <xf numFmtId="0" fontId="66" fillId="48" borderId="8" xfId="0" applyFont="1" applyFill="1" applyBorder="1" applyAlignment="1">
      <alignment horizontal="center" vertical="center"/>
    </xf>
    <xf numFmtId="0" fontId="66" fillId="48" borderId="7" xfId="0" applyFont="1" applyFill="1" applyBorder="1" applyAlignment="1">
      <alignment horizontal="center" vertical="center"/>
    </xf>
    <xf numFmtId="0" fontId="66" fillId="48" borderId="6" xfId="0" applyFont="1" applyFill="1" applyBorder="1" applyAlignment="1">
      <alignment horizontal="center" vertical="center"/>
    </xf>
    <xf numFmtId="0" fontId="66" fillId="48" borderId="8" xfId="0" applyFont="1" applyFill="1" applyBorder="1" applyAlignment="1">
      <alignment horizontal="left" vertical="center"/>
    </xf>
    <xf numFmtId="0" fontId="66" fillId="48" borderId="6" xfId="0" applyFont="1" applyFill="1" applyBorder="1" applyAlignment="1">
      <alignment horizontal="left" vertical="center"/>
    </xf>
    <xf numFmtId="0" fontId="66" fillId="48" borderId="31" xfId="0" applyFont="1" applyFill="1" applyBorder="1" applyAlignment="1">
      <alignment horizontal="center" vertical="center"/>
    </xf>
    <xf numFmtId="0" fontId="66" fillId="48" borderId="32" xfId="0" applyFont="1" applyFill="1" applyBorder="1" applyAlignment="1">
      <alignment horizontal="center" vertical="center"/>
    </xf>
    <xf numFmtId="0" fontId="66" fillId="48" borderId="3" xfId="0" applyFont="1" applyFill="1" applyBorder="1" applyAlignment="1">
      <alignment horizontal="left" vertical="center"/>
    </xf>
    <xf numFmtId="0" fontId="66" fillId="48" borderId="1" xfId="0" applyFont="1" applyFill="1" applyBorder="1" applyAlignment="1">
      <alignment horizontal="left" vertical="center"/>
    </xf>
    <xf numFmtId="0" fontId="66" fillId="48" borderId="2" xfId="0" applyFont="1" applyFill="1" applyBorder="1" applyAlignment="1">
      <alignment horizontal="left" vertical="center"/>
    </xf>
    <xf numFmtId="190" fontId="19" fillId="6" borderId="30" xfId="47" applyNumberFormat="1" applyFont="1" applyFill="1" applyBorder="1" applyAlignment="1">
      <alignment horizontal="right" vertical="center"/>
    </xf>
    <xf numFmtId="190" fontId="19" fillId="6" borderId="32" xfId="47" applyNumberFormat="1" applyFont="1" applyFill="1" applyBorder="1" applyAlignment="1">
      <alignment horizontal="right" vertical="center"/>
    </xf>
    <xf numFmtId="9" fontId="19" fillId="6" borderId="4" xfId="38" applyFont="1" applyFill="1" applyBorder="1" applyAlignment="1">
      <alignment horizontal="right" vertical="center"/>
    </xf>
    <xf numFmtId="9" fontId="19" fillId="6" borderId="1" xfId="38" applyFont="1" applyFill="1" applyBorder="1" applyAlignment="1">
      <alignment horizontal="right" vertical="center"/>
    </xf>
    <xf numFmtId="0" fontId="66" fillId="48" borderId="7" xfId="0" applyFont="1" applyFill="1" applyBorder="1" applyAlignment="1">
      <alignment horizontal="left" vertical="center"/>
    </xf>
    <xf numFmtId="0" fontId="73" fillId="2" borderId="0" xfId="0" applyFont="1" applyFill="1" applyAlignment="1">
      <alignment horizontal="center" vertical="center"/>
    </xf>
    <xf numFmtId="190" fontId="19" fillId="6" borderId="30" xfId="0" applyNumberFormat="1" applyFont="1" applyFill="1" applyBorder="1" applyAlignment="1">
      <alignment horizontal="right" vertical="center"/>
    </xf>
    <xf numFmtId="190" fontId="19" fillId="6" borderId="32" xfId="0" applyNumberFormat="1" applyFont="1" applyFill="1" applyBorder="1" applyAlignment="1">
      <alignment horizontal="right" vertical="center"/>
    </xf>
    <xf numFmtId="9" fontId="19" fillId="6" borderId="30" xfId="38" applyFont="1" applyFill="1" applyBorder="1" applyAlignment="1">
      <alignment horizontal="right" vertical="center"/>
    </xf>
    <xf numFmtId="9" fontId="19" fillId="6" borderId="32" xfId="38" applyFont="1" applyFill="1" applyBorder="1" applyAlignment="1">
      <alignment horizontal="right" vertical="center"/>
    </xf>
    <xf numFmtId="0" fontId="66" fillId="48" borderId="5" xfId="0" applyFont="1" applyFill="1" applyBorder="1" applyAlignment="1">
      <alignment horizontal="center" vertical="center"/>
    </xf>
    <xf numFmtId="0" fontId="66" fillId="48" borderId="0" xfId="0" applyFont="1" applyFill="1" applyAlignment="1">
      <alignment horizontal="center" vertical="center"/>
    </xf>
    <xf numFmtId="194" fontId="13" fillId="0" borderId="0" xfId="1" applyNumberFormat="1"/>
  </cellXfs>
  <cellStyles count="49">
    <cellStyle name="Comma" xfId="37" builtinId="3"/>
    <cellStyle name="Comma 2" xfId="44" xr:uid="{344F1AC5-AF92-458E-A253-B22FEEFC951D}"/>
    <cellStyle name="Date_FY_PLAN" xfId="35" xr:uid="{DBE3FC1E-94F1-4C4C-A1A7-9E3D3072C42E}"/>
    <cellStyle name="Date_GJ_PLAN" xfId="36" xr:uid="{2092CDBD-E5BF-4F82-AA81-43C0EBDBEA72}"/>
    <cellStyle name="Good" xfId="40" builtinId="26"/>
    <cellStyle name="Header_DE" xfId="6" xr:uid="{D4B162F3-76BC-4AD0-BA5C-4C7DFBD8C6F1}"/>
    <cellStyle name="Header_DE_Month" xfId="7" xr:uid="{B1C13455-706C-41EB-9E2A-0146F2EB6D5E}"/>
    <cellStyle name="Header_EN_Month" xfId="10" xr:uid="{70B99E1A-ECD8-477C-8AE2-97764EBF758E}"/>
    <cellStyle name="Header_EN_Year" xfId="4" xr:uid="{EE5F50AF-5952-4063-B1A0-3C0868FE94A2}"/>
    <cellStyle name="Komma 2" xfId="43" xr:uid="{B0204543-A291-46B2-92EE-EBF706C754D5}"/>
    <cellStyle name="Komma 3" xfId="47" xr:uid="{2D67FD14-1B97-438B-99AE-AA716E25457F}"/>
    <cellStyle name="Komma 4" xfId="31" xr:uid="{89D2926E-EC77-46A1-8C46-8D75F9C460D6}"/>
    <cellStyle name="n/a_ACT" xfId="17" xr:uid="{5B761F1E-1C1E-4E9F-806A-C815ABBA2523}"/>
    <cellStyle name="n/a_YTD" xfId="16" xr:uid="{562E8D1A-9BEB-4FEC-A339-D11883CBB8F4}"/>
    <cellStyle name="NEW_#_9 SubTotal" xfId="22" xr:uid="{FC25C87C-1EA9-4D86-96EA-FE6626B884D0}"/>
    <cellStyle name="NEW_#_Plan" xfId="18" xr:uid="{9B37CCEA-7D50-4557-A216-9650360DBD50}"/>
    <cellStyle name="NEW_#_Subtotal" xfId="21" xr:uid="{E92F5A74-8270-4C84-804A-9FCE116FF053}"/>
    <cellStyle name="NEW_#_Subtotal_Plan" xfId="20" xr:uid="{902EB8F5-4879-43C4-97CF-F26EC9E3FE3E}"/>
    <cellStyle name="NEW_#_Total" xfId="26" xr:uid="{747E0BEC-62D4-4655-8A7F-D827E43634D8}"/>
    <cellStyle name="NEW_#_Total_Plan" xfId="24" xr:uid="{8B670E3F-2744-4CD4-BC67-0479557960B5}"/>
    <cellStyle name="New_#_Total_YTD" xfId="25" xr:uid="{A481700C-3A74-410C-8539-A215CE780F6B}"/>
    <cellStyle name="NEW_#9_YTD" xfId="8" xr:uid="{97BCF706-4D7F-4988-B7E0-E3982A0AAD53}"/>
    <cellStyle name="NEW_%_Plan" xfId="13" xr:uid="{796C81FF-52A4-4F80-9DA7-B810FC04CD4C}"/>
    <cellStyle name="NEW_%_Subtotal" xfId="23" xr:uid="{6E3FDBA5-3DE4-4D08-BE69-7AC06D3A32D0}"/>
    <cellStyle name="NEW_%_Total" xfId="19" xr:uid="{8BA63194-38B2-428D-A283-AC61ED425C00}"/>
    <cellStyle name="NEW_%_YTD" xfId="11" xr:uid="{FC2EE56C-1071-48FF-8FC9-BF0CA75DA072}"/>
    <cellStyle name="NEW_%_YTD_Subtotal" xfId="34" xr:uid="{B15B6686-5EB9-42B9-AE53-383DDB954913}"/>
    <cellStyle name="NEW_ACT_#" xfId="9" xr:uid="{577F538E-29F9-49A3-A0C2-0747F8B0DAB9}"/>
    <cellStyle name="NEW_Act_%" xfId="12" xr:uid="{2D2717F1-DC85-4B63-A6B7-85618B327708}"/>
    <cellStyle name="NEW_Text" xfId="5" xr:uid="{E229178E-8873-43F1-AD8E-082F85282C66}"/>
    <cellStyle name="NEW_Text_Bold" xfId="15" xr:uid="{4DD375C9-AFE5-4535-9D53-38CEC5050E0F}"/>
    <cellStyle name="NEW_Text_Subtotal" xfId="29" xr:uid="{5B773F94-95FE-49F2-AA4C-E43EBE1D021D}"/>
    <cellStyle name="NEW_Text_Total" xfId="27" xr:uid="{B8AB50C3-53BF-4EB7-871F-DAE4904528D0}"/>
    <cellStyle name="Normal" xfId="0" builtinId="0"/>
    <cellStyle name="Normal 2" xfId="46" xr:uid="{C1DDEE2A-14D3-4C06-87CE-51E479D2068C}"/>
    <cellStyle name="Percent" xfId="38" builtinId="5"/>
    <cellStyle name="Percent 2" xfId="32" xr:uid="{435A006E-C6BA-4820-9C7A-218A6CA44C72}"/>
    <cellStyle name="Prozent 2" xfId="28" xr:uid="{3AE22AB9-0807-4C70-AC51-5F2F72677D55}"/>
    <cellStyle name="Standard 2" xfId="1" xr:uid="{834F4CFC-BCE4-4644-A514-C12C57A16A2C}"/>
    <cellStyle name="Standard 2 2" xfId="41" xr:uid="{017C9F18-D8C7-4A12-815C-5496C6BACDA8}"/>
    <cellStyle name="Standard 2 2 2" xfId="30" xr:uid="{C3260E2D-4DBC-4B37-986F-BF43B56B0168}"/>
    <cellStyle name="Standard 3" xfId="39" xr:uid="{40385D84-6EC7-486D-A3E4-6CF3F2A1772B}"/>
    <cellStyle name="Standard 5 2 2" xfId="42" xr:uid="{ABE04F4F-4B4F-426F-88EE-335C7EDE4E4C}"/>
    <cellStyle name="Standard 5 2 2 2" xfId="45" xr:uid="{01FB193A-A57C-40A3-9068-235B17F6AECD}"/>
    <cellStyle name="Standard 5 2 2 3" xfId="48" xr:uid="{318DAA52-7E51-4140-AB23-E0584D0B5092}"/>
    <cellStyle name="Text_8" xfId="14" xr:uid="{2DD757A6-83D4-48AE-97CB-B9FF84573136}"/>
    <cellStyle name="Text_Head1" xfId="33" xr:uid="{576438F7-E72F-4E82-8078-BB432E8EFABF}"/>
    <cellStyle name="Text_Head2_ACT" xfId="3" xr:uid="{6F8CED80-3D1E-4913-88D6-185264434748}"/>
    <cellStyle name="User_Input" xfId="2" xr:uid="{1CDB2DF7-9E19-4C6F-9A8B-F8DC86C98F0F}"/>
  </cellStyles>
  <dxfs count="326">
    <dxf>
      <font>
        <color theme="0" tint="-0.24994659260841701"/>
      </font>
    </dxf>
    <dxf>
      <font>
        <color theme="0" tint="-0.24994659260841701"/>
      </font>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tint="-0.24994659260841701"/>
      </font>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66CCFF"/>
      </font>
    </dxf>
    <dxf>
      <font>
        <color rgb="FFFF6666"/>
      </font>
    </dxf>
    <dxf>
      <font>
        <color rgb="FFFF6666"/>
      </font>
    </dxf>
    <dxf>
      <font>
        <color rgb="FF66CCFF"/>
      </font>
    </dxf>
    <dxf>
      <font>
        <color rgb="FFFF6666"/>
      </font>
    </dxf>
    <dxf>
      <font>
        <color rgb="FFFF6666"/>
      </font>
    </dxf>
    <dxf>
      <font>
        <color rgb="FF66CCFF"/>
      </font>
    </dxf>
    <dxf>
      <font>
        <color rgb="FFFF6666"/>
      </font>
    </dxf>
    <dxf>
      <font>
        <color rgb="FFFF6666"/>
      </font>
    </dxf>
    <dxf>
      <font>
        <color rgb="FF66CCFF"/>
      </font>
    </dxf>
    <dxf>
      <font>
        <color rgb="FFFF6666"/>
      </font>
    </dxf>
    <dxf>
      <font>
        <color rgb="FFFF6666"/>
      </font>
    </dxf>
    <dxf>
      <font>
        <color rgb="FFFF6666"/>
      </font>
    </dxf>
    <dxf>
      <font>
        <color rgb="FFFF6666"/>
      </font>
    </dxf>
    <dxf>
      <font>
        <color rgb="FF66CCFF"/>
      </font>
    </dxf>
    <dxf>
      <font>
        <color rgb="FF66CCFF"/>
      </font>
    </dxf>
    <dxf>
      <font>
        <color rgb="FFFF6666"/>
      </font>
    </dxf>
    <dxf>
      <font>
        <color rgb="FF66CCFF"/>
      </font>
    </dxf>
    <dxf>
      <font>
        <color rgb="FFFF6666"/>
      </font>
    </dxf>
    <dxf>
      <font>
        <color rgb="FF66CCFF"/>
      </font>
    </dxf>
    <dxf>
      <font>
        <color rgb="FFFF6666"/>
      </font>
    </dxf>
    <dxf>
      <font>
        <color rgb="FFFF6666"/>
      </font>
    </dxf>
    <dxf>
      <font>
        <color rgb="FF66CCFF"/>
      </font>
    </dxf>
    <dxf>
      <font>
        <color rgb="FFFF6666"/>
      </font>
    </dxf>
    <dxf>
      <font>
        <color rgb="FFFF6666"/>
      </font>
    </dxf>
    <dxf>
      <font>
        <color rgb="FFFF6666"/>
      </font>
    </dxf>
    <dxf>
      <font>
        <color rgb="FFFF6666"/>
      </font>
    </dxf>
    <dxf>
      <font>
        <color rgb="FFFF6666"/>
      </font>
    </dxf>
    <dxf>
      <font>
        <color rgb="FF66CCFF"/>
      </font>
    </dxf>
    <dxf>
      <font>
        <color rgb="FFFF6666"/>
      </font>
    </dxf>
    <dxf>
      <font>
        <color rgb="FFFF6666"/>
      </font>
    </dxf>
    <dxf>
      <font>
        <color rgb="FFFF6666"/>
      </font>
    </dxf>
    <dxf>
      <font>
        <color rgb="FF66CCFF"/>
      </font>
    </dxf>
    <dxf>
      <font>
        <color rgb="FFFF6666"/>
      </font>
    </dxf>
    <dxf>
      <font>
        <color rgb="FFFF6666"/>
      </font>
    </dxf>
    <dxf>
      <font>
        <color rgb="FF66CCFF"/>
      </font>
    </dxf>
    <dxf>
      <font>
        <color rgb="FF66CCFF"/>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66CCFF"/>
      </font>
    </dxf>
    <dxf>
      <font>
        <color rgb="FF66CCFF"/>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FF666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tint="0.499984740745262"/>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ont>
        <color theme="0" tint="-0.24994659260841701"/>
      </font>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tint="-0.24994659260841701"/>
      </font>
    </dxf>
    <dxf>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CCFF66"/>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4.xml"/><Relationship Id="rId69"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2.xml"/><Relationship Id="rId7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rgbClr val="000000"/>
                </a:solidFill>
                <a:latin typeface="Arial" panose="020B0604020202020204" pitchFamily="34" charset="0"/>
                <a:ea typeface="Arial"/>
                <a:cs typeface="Arial"/>
              </a:defRPr>
            </a:pPr>
            <a:r>
              <a:rPr lang="en-US" sz="800" b="0" i="0" u="none">
                <a:solidFill>
                  <a:srgbClr val="000000"/>
                </a:solidFill>
                <a:latin typeface="Arial" panose="020B0604020202020204" pitchFamily="34" charset="0"/>
              </a:rPr>
              <a:t>Diagrammtitel</a:t>
            </a:r>
          </a:p>
        </c:rich>
      </c:tx>
      <c:overlay val="0"/>
      <c:spPr>
        <a:noFill/>
        <a:ln>
          <a:noFill/>
        </a:ln>
        <a:effectLst/>
      </c:spPr>
      <c:txPr>
        <a:bodyPr rot="0" spcFirstLastPara="1" vertOverflow="ellipsis" vert="horz" wrap="square" anchor="ctr" anchorCtr="1"/>
        <a:lstStyle/>
        <a:p>
          <a:pPr>
            <a:defRPr sz="800" b="0" i="0" u="none" strike="noStrike" kern="1200" spc="0" baseline="0">
              <a:solidFill>
                <a:srgbClr val="000000"/>
              </a:solidFill>
              <a:latin typeface="Arial" panose="020B0604020202020204" pitchFamily="34" charset="0"/>
              <a:ea typeface="Arial"/>
              <a:cs typeface="Arial"/>
            </a:defRPr>
          </a:pPr>
          <a:endParaRPr lang="de-DE"/>
        </a:p>
      </c:txPr>
    </c:title>
    <c:autoTitleDeleted val="0"/>
    <c:plotArea>
      <c:layout/>
      <c:lineChart>
        <c:grouping val="standard"/>
        <c:varyColors val="0"/>
        <c:ser>
          <c:idx val="4"/>
          <c:order val="4"/>
          <c:tx>
            <c:strRef>
              <c:f>NA_monthly!$C$12:$D$12</c:f>
              <c:strCache>
                <c:ptCount val="2"/>
                <c:pt idx="0">
                  <c:v>Dummy 1</c:v>
                </c:pt>
                <c:pt idx="1">
                  <c:v>Dummy 1</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NA_monthly!$E$4:$BA$7</c:f>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f>NA_monthly!$E$12:$BA$12</c:f>
            </c:numRef>
          </c:val>
          <c:smooth val="0"/>
          <c:extLst>
            <c:ext xmlns:c16="http://schemas.microsoft.com/office/drawing/2014/chart" uri="{C3380CC4-5D6E-409C-BE32-E72D297353CC}">
              <c16:uniqueId val="{00000004-FAC3-49A7-9028-862517013189}"/>
            </c:ext>
          </c:extLst>
        </c:ser>
        <c:ser>
          <c:idx val="5"/>
          <c:order val="5"/>
          <c:tx>
            <c:strRef>
              <c:f>NA_monthly!$C$13:$D$13</c:f>
              <c:strCache>
                <c:ptCount val="2"/>
                <c:pt idx="0">
                  <c:v>Dummy 2</c:v>
                </c:pt>
                <c:pt idx="1">
                  <c:v>Dummy 2</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NA_monthly!$E$4:$BA$7</c:f>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f>NA_monthly!$E$13:$BA$13</c:f>
            </c:numRef>
          </c:val>
          <c:smooth val="0"/>
          <c:extLst>
            <c:ext xmlns:c16="http://schemas.microsoft.com/office/drawing/2014/chart" uri="{C3380CC4-5D6E-409C-BE32-E72D297353CC}">
              <c16:uniqueId val="{00000005-FAC3-49A7-9028-862517013189}"/>
            </c:ext>
          </c:extLst>
        </c:ser>
        <c:ser>
          <c:idx val="6"/>
          <c:order val="6"/>
          <c:tx>
            <c:strRef>
              <c:f>NA_monthly!$C$14:$D$14</c:f>
              <c:strCache>
                <c:ptCount val="2"/>
                <c:pt idx="0">
                  <c:v>Dummy 3</c:v>
                </c:pt>
                <c:pt idx="1">
                  <c:v>Dummy 3</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multiLvlStrRef>
              <c:f>NA_monthly!$E$4:$BA$7</c:f>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f>NA_monthly!$E$14:$BA$14</c:f>
            </c:numRef>
          </c:val>
          <c:smooth val="0"/>
          <c:extLst>
            <c:ext xmlns:c16="http://schemas.microsoft.com/office/drawing/2014/chart" uri="{C3380CC4-5D6E-409C-BE32-E72D297353CC}">
              <c16:uniqueId val="{00000006-FAC3-49A7-9028-862517013189}"/>
            </c:ext>
          </c:extLst>
        </c:ser>
        <c:ser>
          <c:idx val="9"/>
          <c:order val="9"/>
          <c:tx>
            <c:strRef>
              <c:f>NA_monthly!$C$17:$D$17</c:f>
              <c:strCache>
                <c:ptCount val="2"/>
                <c:pt idx="0">
                  <c:v>Forderungen aus LuL</c:v>
                </c:pt>
                <c:pt idx="1">
                  <c:v>Trade receivables</c:v>
                </c:pt>
              </c:strCache>
            </c:strRef>
          </c:tx>
          <c:spPr>
            <a:ln w="28575" cap="rnd">
              <a:solidFill>
                <a:srgbClr val="C8D0F2"/>
              </a:solidFill>
              <a:prstDash val="solid"/>
              <a:round/>
            </a:ln>
            <a:effectLst/>
          </c:spPr>
          <c:marker>
            <c:symbol val="none"/>
          </c:marker>
          <c:cat>
            <c:multiLvlStrRef>
              <c:f>NA_monthly!$E$4:$BA$7</c:f>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f>NA_monthly!$E$17:$BA$17</c:f>
              <c:numCache>
                <c:formatCode>_(* #,##0_);_(* \(#,##0\);_(* "-"?_);@_)</c:formatCode>
                <c:ptCount val="37"/>
                <c:pt idx="0">
                  <c:v>1780.65607</c:v>
                </c:pt>
                <c:pt idx="1">
                  <c:v>1632.6005600000001</c:v>
                </c:pt>
                <c:pt idx="2">
                  <c:v>1793.4025900000001</c:v>
                </c:pt>
                <c:pt idx="3">
                  <c:v>1751.10328</c:v>
                </c:pt>
                <c:pt idx="4">
                  <c:v>1671.63177</c:v>
                </c:pt>
                <c:pt idx="5">
                  <c:v>1639.4459999999999</c:v>
                </c:pt>
                <c:pt idx="6">
                  <c:v>1443.8945900000001</c:v>
                </c:pt>
                <c:pt idx="7">
                  <c:v>1348.43524</c:v>
                </c:pt>
                <c:pt idx="8">
                  <c:v>1745.89879</c:v>
                </c:pt>
                <c:pt idx="9">
                  <c:v>1767.18218</c:v>
                </c:pt>
                <c:pt idx="10">
                  <c:v>1716.31565</c:v>
                </c:pt>
                <c:pt idx="11">
                  <c:v>2131.1523900000002</c:v>
                </c:pt>
                <c:pt idx="12">
                  <c:v>1586.36779</c:v>
                </c:pt>
                <c:pt idx="13">
                  <c:v>1605.97471</c:v>
                </c:pt>
                <c:pt idx="14">
                  <c:v>1674.9479699999999</c:v>
                </c:pt>
                <c:pt idx="15">
                  <c:v>1803.8231899999998</c:v>
                </c:pt>
                <c:pt idx="16">
                  <c:v>1817.6321200000002</c:v>
                </c:pt>
                <c:pt idx="17">
                  <c:v>1638.9565600000001</c:v>
                </c:pt>
                <c:pt idx="18">
                  <c:v>1552.90816</c:v>
                </c:pt>
                <c:pt idx="19">
                  <c:v>1338.6239499999999</c:v>
                </c:pt>
                <c:pt idx="20">
                  <c:v>1333.7283300000001</c:v>
                </c:pt>
                <c:pt idx="21">
                  <c:v>1598.78574</c:v>
                </c:pt>
                <c:pt idx="22">
                  <c:v>1531.8539699999999</c:v>
                </c:pt>
                <c:pt idx="23">
                  <c:v>1354.8587199999999</c:v>
                </c:pt>
                <c:pt idx="24">
                  <c:v>1988.8013600000002</c:v>
                </c:pt>
                <c:pt idx="25">
                  <c:v>1577.43236</c:v>
                </c:pt>
                <c:pt idx="26">
                  <c:v>1852.36472</c:v>
                </c:pt>
                <c:pt idx="27">
                  <c:v>1735.83005</c:v>
                </c:pt>
                <c:pt idx="28">
                  <c:v>1754.3786499999999</c:v>
                </c:pt>
                <c:pt idx="29">
                  <c:v>2011.44795</c:v>
                </c:pt>
                <c:pt idx="30">
                  <c:v>1976.809</c:v>
                </c:pt>
                <c:pt idx="31">
                  <c:v>1432.4888100000001</c:v>
                </c:pt>
                <c:pt idx="32">
                  <c:v>1896.4532899999999</c:v>
                </c:pt>
                <c:pt idx="33">
                  <c:v>1659.3406299999999</c:v>
                </c:pt>
                <c:pt idx="34">
                  <c:v>1609.32999</c:v>
                </c:pt>
                <c:pt idx="35">
                  <c:v>1582.9748300000001</c:v>
                </c:pt>
                <c:pt idx="36">
                  <c:v>1415.6542099999999</c:v>
                </c:pt>
              </c:numCache>
            </c:numRef>
          </c:val>
          <c:smooth val="0"/>
          <c:extLst>
            <c:ext xmlns:c16="http://schemas.microsoft.com/office/drawing/2014/chart" uri="{C3380CC4-5D6E-409C-BE32-E72D297353CC}">
              <c16:uniqueId val="{00000009-FAC3-49A7-9028-862517013189}"/>
            </c:ext>
          </c:extLst>
        </c:ser>
        <c:ser>
          <c:idx val="10"/>
          <c:order val="10"/>
          <c:tx>
            <c:strRef>
              <c:f>NA_monthly!$C$18:$D$18</c:f>
              <c:strCache>
                <c:ptCount val="2"/>
                <c:pt idx="0">
                  <c:v>Verbindlichkeiten aus LuL</c:v>
                </c:pt>
                <c:pt idx="1">
                  <c:v>Trade payables</c:v>
                </c:pt>
              </c:strCache>
            </c:strRef>
          </c:tx>
          <c:spPr>
            <a:ln w="28575" cap="rnd">
              <a:solidFill>
                <a:srgbClr val="A3B2E9"/>
              </a:solidFill>
              <a:prstDash val="solid"/>
              <a:round/>
            </a:ln>
            <a:effectLst/>
          </c:spPr>
          <c:marker>
            <c:symbol val="none"/>
          </c:marker>
          <c:cat>
            <c:multiLvlStrRef>
              <c:f>NA_monthly!$E$4:$BA$7</c:f>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f>NA_monthly!$E$18:$BA$18</c:f>
              <c:numCache>
                <c:formatCode>_(* #,##0_);_(* \(#,##0\);_(* "-"?_);@_)</c:formatCode>
                <c:ptCount val="37"/>
                <c:pt idx="0">
                  <c:v>-752.85966000000008</c:v>
                </c:pt>
                <c:pt idx="1">
                  <c:v>-720.20325000000003</c:v>
                </c:pt>
                <c:pt idx="2">
                  <c:v>-918.93565999999998</c:v>
                </c:pt>
                <c:pt idx="3">
                  <c:v>-1279.0962500000001</c:v>
                </c:pt>
                <c:pt idx="4">
                  <c:v>-902.91686000000004</c:v>
                </c:pt>
                <c:pt idx="5">
                  <c:v>-856.02628000000004</c:v>
                </c:pt>
                <c:pt idx="6">
                  <c:v>-847.41624999999999</c:v>
                </c:pt>
                <c:pt idx="7">
                  <c:v>-672.21708000000001</c:v>
                </c:pt>
                <c:pt idx="8">
                  <c:v>-561.68408000000011</c:v>
                </c:pt>
                <c:pt idx="9">
                  <c:v>-854.94693000000007</c:v>
                </c:pt>
                <c:pt idx="10">
                  <c:v>-650.98143999999991</c:v>
                </c:pt>
                <c:pt idx="11">
                  <c:v>-666.47857999999997</c:v>
                </c:pt>
                <c:pt idx="12">
                  <c:v>-898.28356000000008</c:v>
                </c:pt>
                <c:pt idx="13">
                  <c:v>-971.52920999999992</c:v>
                </c:pt>
                <c:pt idx="14">
                  <c:v>-605.96082999999999</c:v>
                </c:pt>
                <c:pt idx="15">
                  <c:v>-595.02235999999994</c:v>
                </c:pt>
                <c:pt idx="16">
                  <c:v>-797.91459999999995</c:v>
                </c:pt>
                <c:pt idx="17">
                  <c:v>-945.44709</c:v>
                </c:pt>
                <c:pt idx="18">
                  <c:v>-872.95371999999998</c:v>
                </c:pt>
                <c:pt idx="19">
                  <c:v>-1612.43831</c:v>
                </c:pt>
                <c:pt idx="20">
                  <c:v>-1160.36464</c:v>
                </c:pt>
                <c:pt idx="21">
                  <c:v>-1327.0726299999999</c:v>
                </c:pt>
                <c:pt idx="22">
                  <c:v>-699.23821999999996</c:v>
                </c:pt>
                <c:pt idx="23">
                  <c:v>-767.01546999999994</c:v>
                </c:pt>
                <c:pt idx="24">
                  <c:v>-1270.4380100000001</c:v>
                </c:pt>
                <c:pt idx="25">
                  <c:v>-1120.2880299999999</c:v>
                </c:pt>
                <c:pt idx="26">
                  <c:v>-1118.8356999999999</c:v>
                </c:pt>
                <c:pt idx="27">
                  <c:v>-838.37626999999998</c:v>
                </c:pt>
                <c:pt idx="28">
                  <c:v>-830.92728</c:v>
                </c:pt>
                <c:pt idx="29">
                  <c:v>-845.06696999999997</c:v>
                </c:pt>
                <c:pt idx="30">
                  <c:v>-425.35079999999999</c:v>
                </c:pt>
                <c:pt idx="31">
                  <c:v>-598.66930000000002</c:v>
                </c:pt>
                <c:pt idx="32">
                  <c:v>-544.47850000000005</c:v>
                </c:pt>
                <c:pt idx="33">
                  <c:v>-381.92289</c:v>
                </c:pt>
                <c:pt idx="34">
                  <c:v>-261.23649999999998</c:v>
                </c:pt>
                <c:pt idx="35">
                  <c:v>-635.67131000000006</c:v>
                </c:pt>
                <c:pt idx="36">
                  <c:v>-62.544739999999997</c:v>
                </c:pt>
              </c:numCache>
            </c:numRef>
          </c:val>
          <c:smooth val="0"/>
          <c:extLst>
            <c:ext xmlns:c16="http://schemas.microsoft.com/office/drawing/2014/chart" uri="{C3380CC4-5D6E-409C-BE32-E72D297353CC}">
              <c16:uniqueId val="{0000000A-FAC3-49A7-9028-862517013189}"/>
            </c:ext>
          </c:extLst>
        </c:ser>
        <c:dLbls>
          <c:showLegendKey val="0"/>
          <c:showVal val="0"/>
          <c:showCatName val="0"/>
          <c:showSerName val="0"/>
          <c:showPercent val="0"/>
          <c:showBubbleSize val="0"/>
        </c:dLbls>
        <c:smooth val="0"/>
        <c:axId val="254129440"/>
        <c:axId val="254117440"/>
        <c:extLst>
          <c:ext xmlns:c15="http://schemas.microsoft.com/office/drawing/2012/chart" uri="{02D57815-91ED-43cb-92C2-25804820EDAC}">
            <c15:filteredLineSeries>
              <c15:ser>
                <c:idx val="0"/>
                <c:order val="0"/>
                <c:tx>
                  <c:strRef>
                    <c:extLst>
                      <c:ext uri="{02D57815-91ED-43cb-92C2-25804820EDAC}">
                        <c15:formulaRef>
                          <c15:sqref>NA_monthly!$C$8:$D$8</c15:sqref>
                        </c15:formulaRef>
                      </c:ext>
                    </c:extLst>
                    <c:strCache>
                      <c:ptCount val="2"/>
                      <c:pt idx="0">
                        <c:v>in TEUR</c:v>
                      </c:pt>
                      <c:pt idx="1">
                        <c:v>in kEUR</c:v>
                      </c:pt>
                    </c:strCache>
                  </c:strRef>
                </c:tx>
                <c:spPr>
                  <a:ln w="28575" cap="rnd">
                    <a:solidFill>
                      <a:srgbClr val="00B7B3"/>
                    </a:solidFill>
                    <a:prstDash val="solid"/>
                    <a:round/>
                  </a:ln>
                  <a:effectLst/>
                </c:spPr>
                <c:marker>
                  <c:symbol val="none"/>
                </c:marker>
                <c:cat>
                  <c:multiLvlStrRef>
                    <c:extLst>
                      <c:ext uri="{02D57815-91ED-43cb-92C2-25804820EDAC}">
                        <c15:formulaRef>
                          <c15:sqref>NA_monthly!$E$4:$BA$7</c15:sqref>
                        </c15:formulaRef>
                      </c:ext>
                    </c:extLst>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extLst>
                      <c:ext uri="{02D57815-91ED-43cb-92C2-25804820EDAC}">
                        <c15:formulaRef>
                          <c15:sqref>NA_monthly!$E$8:$BA$8</c15:sqref>
                        </c15:formulaRef>
                      </c:ext>
                    </c:extLst>
                    <c:numCache>
                      <c:formatCode>_(* #,##0_);_(* \(#,##0\);_(* "-"?_);@_)</c:formatCode>
                      <c:ptCount val="37"/>
                    </c:numCache>
                  </c:numRef>
                </c:val>
                <c:smooth val="0"/>
                <c:extLst>
                  <c:ext xmlns:c16="http://schemas.microsoft.com/office/drawing/2014/chart" uri="{C3380CC4-5D6E-409C-BE32-E72D297353CC}">
                    <c16:uniqueId val="{00000000-FAC3-49A7-9028-862517013189}"/>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NA_monthly!$C$9:$D$9</c15:sqref>
                        </c15:formulaRef>
                      </c:ext>
                    </c:extLst>
                    <c:strCache>
                      <c:ptCount val="2"/>
                      <c:pt idx="0">
                        <c:v>Immaterielle Vermögensgegenstände</c:v>
                      </c:pt>
                      <c:pt idx="1">
                        <c:v>Intangible assets</c:v>
                      </c:pt>
                    </c:strCache>
                  </c:strRef>
                </c:tx>
                <c:spPr>
                  <a:ln w="28575" cap="rnd">
                    <a:solidFill>
                      <a:srgbClr val="2B303A"/>
                    </a:solidFill>
                    <a:prstDash val="solid"/>
                    <a:round/>
                  </a:ln>
                  <a:effectLst/>
                </c:spPr>
                <c:marker>
                  <c:symbol val="none"/>
                </c:marker>
                <c:cat>
                  <c:multiLvlStrRef>
                    <c:extLst xmlns:c15="http://schemas.microsoft.com/office/drawing/2012/chart">
                      <c:ext xmlns:c15="http://schemas.microsoft.com/office/drawing/2012/chart" uri="{02D57815-91ED-43cb-92C2-25804820EDAC}">
                        <c15:formulaRef>
                          <c15:sqref>NA_monthly!$E$4:$BA$7</c15:sqref>
                        </c15:formulaRef>
                      </c:ext>
                    </c:extLst>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extLst xmlns:c15="http://schemas.microsoft.com/office/drawing/2012/chart">
                      <c:ext xmlns:c15="http://schemas.microsoft.com/office/drawing/2012/chart" uri="{02D57815-91ED-43cb-92C2-25804820EDAC}">
                        <c15:formulaRef>
                          <c15:sqref>NA_monthly!$E$9:$BA$9</c15:sqref>
                        </c15:formulaRef>
                      </c:ext>
                    </c:extLst>
                    <c:numCache>
                      <c:formatCode>_(* #,##0_);_(* \(#,##0\);_(* "-"?_);@_)</c:formatCode>
                      <c:ptCount val="37"/>
                      <c:pt idx="0">
                        <c:v>6.1539999999999999</c:v>
                      </c:pt>
                      <c:pt idx="1">
                        <c:v>5.9416799999999999</c:v>
                      </c:pt>
                      <c:pt idx="2">
                        <c:v>5.7293400000000005</c:v>
                      </c:pt>
                      <c:pt idx="3">
                        <c:v>5.5170200000000005</c:v>
                      </c:pt>
                      <c:pt idx="4">
                        <c:v>5.3046800000000003</c:v>
                      </c:pt>
                      <c:pt idx="5">
                        <c:v>5.0923400000000001</c:v>
                      </c:pt>
                      <c:pt idx="6">
                        <c:v>4.88002</c:v>
                      </c:pt>
                      <c:pt idx="7">
                        <c:v>4.6676800000000007</c:v>
                      </c:pt>
                      <c:pt idx="8">
                        <c:v>4.4553400000000005</c:v>
                      </c:pt>
                      <c:pt idx="9">
                        <c:v>4.2430200000000005</c:v>
                      </c:pt>
                      <c:pt idx="10">
                        <c:v>4.0306800000000003</c:v>
                      </c:pt>
                      <c:pt idx="11">
                        <c:v>3.8183400000000001</c:v>
                      </c:pt>
                      <c:pt idx="12">
                        <c:v>3.6059999999999999</c:v>
                      </c:pt>
                      <c:pt idx="13">
                        <c:v>3.3938200000000003</c:v>
                      </c:pt>
                      <c:pt idx="14">
                        <c:v>3.1816300000000002</c:v>
                      </c:pt>
                      <c:pt idx="15">
                        <c:v>2.9694499999999997</c:v>
                      </c:pt>
                      <c:pt idx="16">
                        <c:v>2.75725</c:v>
                      </c:pt>
                      <c:pt idx="17">
                        <c:v>2.5450599999999999</c:v>
                      </c:pt>
                      <c:pt idx="18">
                        <c:v>2.3328800000000003</c:v>
                      </c:pt>
                      <c:pt idx="19">
                        <c:v>2.1206900000000002</c:v>
                      </c:pt>
                      <c:pt idx="20">
                        <c:v>1.90849</c:v>
                      </c:pt>
                      <c:pt idx="21">
                        <c:v>1.69631</c:v>
                      </c:pt>
                      <c:pt idx="22">
                        <c:v>1.4841199999999999</c:v>
                      </c:pt>
                      <c:pt idx="23">
                        <c:v>1.27193</c:v>
                      </c:pt>
                      <c:pt idx="24">
                        <c:v>204.27617000000001</c:v>
                      </c:pt>
                      <c:pt idx="25">
                        <c:v>204.11367000000001</c:v>
                      </c:pt>
                      <c:pt idx="26">
                        <c:v>203.95117000000002</c:v>
                      </c:pt>
                      <c:pt idx="27">
                        <c:v>203.84017</c:v>
                      </c:pt>
                      <c:pt idx="28">
                        <c:v>203.72917000000001</c:v>
                      </c:pt>
                      <c:pt idx="29">
                        <c:v>203.61817000000002</c:v>
                      </c:pt>
                      <c:pt idx="30">
                        <c:v>203.50717</c:v>
                      </c:pt>
                      <c:pt idx="31">
                        <c:v>344.92346999999995</c:v>
                      </c:pt>
                      <c:pt idx="32">
                        <c:v>344.81246999999996</c:v>
                      </c:pt>
                      <c:pt idx="33">
                        <c:v>344.70146999999997</c:v>
                      </c:pt>
                      <c:pt idx="34">
                        <c:v>344.70146999999997</c:v>
                      </c:pt>
                      <c:pt idx="35">
                        <c:v>344.70146999999997</c:v>
                      </c:pt>
                      <c:pt idx="36">
                        <c:v>666.00327000000004</c:v>
                      </c:pt>
                    </c:numCache>
                  </c:numRef>
                </c:val>
                <c:smooth val="0"/>
                <c:extLst xmlns:c15="http://schemas.microsoft.com/office/drawing/2012/chart">
                  <c:ext xmlns:c16="http://schemas.microsoft.com/office/drawing/2014/chart" uri="{C3380CC4-5D6E-409C-BE32-E72D297353CC}">
                    <c16:uniqueId val="{00000001-FAC3-49A7-9028-862517013189}"/>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NA_monthly!$C$10:$D$10</c15:sqref>
                        </c15:formulaRef>
                      </c:ext>
                    </c:extLst>
                    <c:strCache>
                      <c:ptCount val="2"/>
                      <c:pt idx="0">
                        <c:v>Sachanlagen</c:v>
                      </c:pt>
                      <c:pt idx="1">
                        <c:v>Tangible assets</c:v>
                      </c:pt>
                    </c:strCache>
                  </c:strRef>
                </c:tx>
                <c:spPr>
                  <a:ln w="28575" cap="rnd">
                    <a:solidFill>
                      <a:srgbClr val="5E636E"/>
                    </a:solidFill>
                    <a:prstDash val="solid"/>
                    <a:round/>
                  </a:ln>
                  <a:effectLst/>
                </c:spPr>
                <c:marker>
                  <c:symbol val="none"/>
                </c:marker>
                <c:cat>
                  <c:multiLvlStrRef>
                    <c:extLst xmlns:c15="http://schemas.microsoft.com/office/drawing/2012/chart">
                      <c:ext xmlns:c15="http://schemas.microsoft.com/office/drawing/2012/chart" uri="{02D57815-91ED-43cb-92C2-25804820EDAC}">
                        <c15:formulaRef>
                          <c15:sqref>NA_monthly!$E$4:$BA$7</c15:sqref>
                        </c15:formulaRef>
                      </c:ext>
                    </c:extLst>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extLst xmlns:c15="http://schemas.microsoft.com/office/drawing/2012/chart">
                      <c:ext xmlns:c15="http://schemas.microsoft.com/office/drawing/2012/chart" uri="{02D57815-91ED-43cb-92C2-25804820EDAC}">
                        <c15:formulaRef>
                          <c15:sqref>NA_monthly!$E$10:$BA$10</c15:sqref>
                        </c15:formulaRef>
                      </c:ext>
                    </c:extLst>
                    <c:numCache>
                      <c:formatCode>_(* #,##0_);_(* \(#,##0\);_(* "-"?_);@_)</c:formatCode>
                      <c:ptCount val="37"/>
                      <c:pt idx="0">
                        <c:v>980.83699999999999</c:v>
                      </c:pt>
                      <c:pt idx="1">
                        <c:v>941.13558000000012</c:v>
                      </c:pt>
                      <c:pt idx="2">
                        <c:v>913.67147</c:v>
                      </c:pt>
                      <c:pt idx="3">
                        <c:v>902.84543999999994</c:v>
                      </c:pt>
                      <c:pt idx="4">
                        <c:v>877.49464999999998</c:v>
                      </c:pt>
                      <c:pt idx="5">
                        <c:v>852.20937000000004</c:v>
                      </c:pt>
                      <c:pt idx="6">
                        <c:v>828.48579000000007</c:v>
                      </c:pt>
                      <c:pt idx="7">
                        <c:v>809.88846000000001</c:v>
                      </c:pt>
                      <c:pt idx="8">
                        <c:v>799.62086999999997</c:v>
                      </c:pt>
                      <c:pt idx="9">
                        <c:v>787.87171000000001</c:v>
                      </c:pt>
                      <c:pt idx="10">
                        <c:v>781.73506000000009</c:v>
                      </c:pt>
                      <c:pt idx="11">
                        <c:v>761.0915500000001</c:v>
                      </c:pt>
                      <c:pt idx="12">
                        <c:v>715.17600000000004</c:v>
                      </c:pt>
                      <c:pt idx="13">
                        <c:v>690.18885</c:v>
                      </c:pt>
                      <c:pt idx="14">
                        <c:v>659.2124399999999</c:v>
                      </c:pt>
                      <c:pt idx="15">
                        <c:v>646.68493999999998</c:v>
                      </c:pt>
                      <c:pt idx="16">
                        <c:v>760.36039000000005</c:v>
                      </c:pt>
                      <c:pt idx="17">
                        <c:v>742.82937000000004</c:v>
                      </c:pt>
                      <c:pt idx="18">
                        <c:v>802.57080000000008</c:v>
                      </c:pt>
                      <c:pt idx="19">
                        <c:v>759.25087999999994</c:v>
                      </c:pt>
                      <c:pt idx="20">
                        <c:v>771.07799999999997</c:v>
                      </c:pt>
                      <c:pt idx="21">
                        <c:v>780.04407000000003</c:v>
                      </c:pt>
                      <c:pt idx="22">
                        <c:v>820.83553000000006</c:v>
                      </c:pt>
                      <c:pt idx="23">
                        <c:v>1016.56424</c:v>
                      </c:pt>
                      <c:pt idx="24">
                        <c:v>826.46400000000006</c:v>
                      </c:pt>
                      <c:pt idx="25">
                        <c:v>797.86382000000003</c:v>
                      </c:pt>
                      <c:pt idx="26">
                        <c:v>774.4706799999999</c:v>
                      </c:pt>
                      <c:pt idx="27">
                        <c:v>738.78616999999997</c:v>
                      </c:pt>
                      <c:pt idx="28">
                        <c:v>720.06061</c:v>
                      </c:pt>
                      <c:pt idx="29">
                        <c:v>697.62738999999988</c:v>
                      </c:pt>
                      <c:pt idx="30">
                        <c:v>675.52383999999995</c:v>
                      </c:pt>
                      <c:pt idx="31">
                        <c:v>654.19985999999994</c:v>
                      </c:pt>
                      <c:pt idx="32">
                        <c:v>633.03485999999998</c:v>
                      </c:pt>
                      <c:pt idx="33">
                        <c:v>615.06457999999998</c:v>
                      </c:pt>
                      <c:pt idx="34">
                        <c:v>599.91951000000006</c:v>
                      </c:pt>
                      <c:pt idx="35">
                        <c:v>601.69553000000008</c:v>
                      </c:pt>
                      <c:pt idx="36">
                        <c:v>600.38499999999999</c:v>
                      </c:pt>
                    </c:numCache>
                  </c:numRef>
                </c:val>
                <c:smooth val="0"/>
                <c:extLst xmlns:c15="http://schemas.microsoft.com/office/drawing/2012/chart">
                  <c:ext xmlns:c16="http://schemas.microsoft.com/office/drawing/2014/chart" uri="{C3380CC4-5D6E-409C-BE32-E72D297353CC}">
                    <c16:uniqueId val="{00000002-FAC3-49A7-9028-862517013189}"/>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NA_monthly!$C$11:$D$11</c15:sqref>
                        </c15:formulaRef>
                      </c:ext>
                    </c:extLst>
                    <c:strCache>
                      <c:ptCount val="2"/>
                      <c:pt idx="0">
                        <c:v>Finanzanlagen</c:v>
                      </c:pt>
                      <c:pt idx="1">
                        <c:v>Financial assets</c:v>
                      </c:pt>
                    </c:strCache>
                  </c:strRef>
                </c:tx>
                <c:spPr>
                  <a:ln w="28575" cap="rnd">
                    <a:solidFill>
                      <a:srgbClr val="8F96A3"/>
                    </a:solidFill>
                    <a:prstDash val="solid"/>
                    <a:round/>
                  </a:ln>
                  <a:effectLst/>
                </c:spPr>
                <c:marker>
                  <c:symbol val="none"/>
                </c:marker>
                <c:cat>
                  <c:multiLvlStrRef>
                    <c:extLst xmlns:c15="http://schemas.microsoft.com/office/drawing/2012/chart">
                      <c:ext xmlns:c15="http://schemas.microsoft.com/office/drawing/2012/chart" uri="{02D57815-91ED-43cb-92C2-25804820EDAC}">
                        <c15:formulaRef>
                          <c15:sqref>NA_monthly!$E$4:$BA$7</c15:sqref>
                        </c15:formulaRef>
                      </c:ext>
                    </c:extLst>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extLst xmlns:c15="http://schemas.microsoft.com/office/drawing/2012/chart">
                      <c:ext xmlns:c15="http://schemas.microsoft.com/office/drawing/2012/chart" uri="{02D57815-91ED-43cb-92C2-25804820EDAC}">
                        <c15:formulaRef>
                          <c15:sqref>NA_monthly!$E$11:$BA$11</c15:sqref>
                        </c15:formulaRef>
                      </c:ext>
                    </c:extLst>
                    <c:numCache>
                      <c:formatCode>_(* #,##0_);_(* \(#,##0\);_(* "-"?_);@_)</c:formatCode>
                      <c:ptCount val="37"/>
                      <c:pt idx="0">
                        <c:v>206.89411999999999</c:v>
                      </c:pt>
                      <c:pt idx="1">
                        <c:v>206.89411999999999</c:v>
                      </c:pt>
                      <c:pt idx="2">
                        <c:v>206.89411999999999</c:v>
                      </c:pt>
                      <c:pt idx="3">
                        <c:v>206.89411999999999</c:v>
                      </c:pt>
                      <c:pt idx="4">
                        <c:v>206.89411999999999</c:v>
                      </c:pt>
                      <c:pt idx="5">
                        <c:v>206.89411999999999</c:v>
                      </c:pt>
                      <c:pt idx="6">
                        <c:v>206.89411999999999</c:v>
                      </c:pt>
                      <c:pt idx="7">
                        <c:v>206.89411999999999</c:v>
                      </c:pt>
                      <c:pt idx="8">
                        <c:v>206.89411999999999</c:v>
                      </c:pt>
                      <c:pt idx="9">
                        <c:v>203.23750000000001</c:v>
                      </c:pt>
                      <c:pt idx="10">
                        <c:v>206.89411999999999</c:v>
                      </c:pt>
                      <c:pt idx="11">
                        <c:v>206.89411999999999</c:v>
                      </c:pt>
                      <c:pt idx="12">
                        <c:v>182.17891</c:v>
                      </c:pt>
                      <c:pt idx="13">
                        <c:v>182.17891</c:v>
                      </c:pt>
                      <c:pt idx="14">
                        <c:v>182.17891</c:v>
                      </c:pt>
                      <c:pt idx="15">
                        <c:v>182.17891</c:v>
                      </c:pt>
                      <c:pt idx="16">
                        <c:v>182.17891</c:v>
                      </c:pt>
                      <c:pt idx="17">
                        <c:v>182.17891</c:v>
                      </c:pt>
                      <c:pt idx="18">
                        <c:v>182.17891</c:v>
                      </c:pt>
                      <c:pt idx="19">
                        <c:v>182.17891</c:v>
                      </c:pt>
                      <c:pt idx="20">
                        <c:v>182.17891</c:v>
                      </c:pt>
                      <c:pt idx="21">
                        <c:v>182.17891</c:v>
                      </c:pt>
                      <c:pt idx="22">
                        <c:v>79.498910000000009</c:v>
                      </c:pt>
                      <c:pt idx="23">
                        <c:v>79.498910000000009</c:v>
                      </c:pt>
                      <c:pt idx="24">
                        <c:v>75.425619999999995</c:v>
                      </c:pt>
                      <c:pt idx="25">
                        <c:v>75.425619999999995</c:v>
                      </c:pt>
                      <c:pt idx="26">
                        <c:v>75.425619999999995</c:v>
                      </c:pt>
                      <c:pt idx="27">
                        <c:v>44.025620000000004</c:v>
                      </c:pt>
                      <c:pt idx="28">
                        <c:v>44.025620000000004</c:v>
                      </c:pt>
                      <c:pt idx="29">
                        <c:v>44.025620000000004</c:v>
                      </c:pt>
                      <c:pt idx="30">
                        <c:v>44.025620000000004</c:v>
                      </c:pt>
                      <c:pt idx="31">
                        <c:v>44.025620000000004</c:v>
                      </c:pt>
                      <c:pt idx="32">
                        <c:v>44.025620000000004</c:v>
                      </c:pt>
                      <c:pt idx="33">
                        <c:v>44.025620000000004</c:v>
                      </c:pt>
                      <c:pt idx="34">
                        <c:v>44.025620000000004</c:v>
                      </c:pt>
                      <c:pt idx="35">
                        <c:v>44.025620000000004</c:v>
                      </c:pt>
                      <c:pt idx="36">
                        <c:v>121.96562</c:v>
                      </c:pt>
                    </c:numCache>
                  </c:numRef>
                </c:val>
                <c:smooth val="0"/>
                <c:extLst xmlns:c15="http://schemas.microsoft.com/office/drawing/2012/chart">
                  <c:ext xmlns:c16="http://schemas.microsoft.com/office/drawing/2014/chart" uri="{C3380CC4-5D6E-409C-BE32-E72D297353CC}">
                    <c16:uniqueId val="{00000003-FAC3-49A7-9028-862517013189}"/>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NA_monthly!$C$15:$D$15</c15:sqref>
                        </c15:formulaRef>
                      </c:ext>
                    </c:extLst>
                    <c:strCache>
                      <c:ptCount val="2"/>
                      <c:pt idx="0">
                        <c:v>Anlagevermögen</c:v>
                      </c:pt>
                      <c:pt idx="1">
                        <c:v>Fixed assets</c:v>
                      </c:pt>
                    </c:strCache>
                  </c:strRef>
                </c:tx>
                <c:spPr>
                  <a:ln w="28575" cap="rnd">
                    <a:solidFill>
                      <a:srgbClr val="C2C9D6"/>
                    </a:solidFill>
                    <a:prstDash val="solid"/>
                    <a:round/>
                  </a:ln>
                  <a:effectLst/>
                </c:spPr>
                <c:marker>
                  <c:symbol val="none"/>
                </c:marker>
                <c:cat>
                  <c:multiLvlStrRef>
                    <c:extLst xmlns:c15="http://schemas.microsoft.com/office/drawing/2012/chart">
                      <c:ext xmlns:c15="http://schemas.microsoft.com/office/drawing/2012/chart" uri="{02D57815-91ED-43cb-92C2-25804820EDAC}">
                        <c15:formulaRef>
                          <c15:sqref>NA_monthly!$E$4:$BA$7</c15:sqref>
                        </c15:formulaRef>
                      </c:ext>
                    </c:extLst>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extLst xmlns:c15="http://schemas.microsoft.com/office/drawing/2012/chart">
                      <c:ext xmlns:c15="http://schemas.microsoft.com/office/drawing/2012/chart" uri="{02D57815-91ED-43cb-92C2-25804820EDAC}">
                        <c15:formulaRef>
                          <c15:sqref>NA_monthly!$E$15:$BA$15</c15:sqref>
                        </c15:formulaRef>
                      </c:ext>
                    </c:extLst>
                    <c:numCache>
                      <c:formatCode>_(* #,##0_);_(* \(#,##0\);_(* "-"?_);@_)</c:formatCode>
                      <c:ptCount val="37"/>
                      <c:pt idx="0">
                        <c:v>1193.8851199999999</c:v>
                      </c:pt>
                      <c:pt idx="1">
                        <c:v>1153.9713800000002</c:v>
                      </c:pt>
                      <c:pt idx="2">
                        <c:v>1126.29493</c:v>
                      </c:pt>
                      <c:pt idx="3">
                        <c:v>1115.25658</c:v>
                      </c:pt>
                      <c:pt idx="4">
                        <c:v>1089.69345</c:v>
                      </c:pt>
                      <c:pt idx="5">
                        <c:v>1064.1958300000001</c:v>
                      </c:pt>
                      <c:pt idx="6">
                        <c:v>1040.2599299999999</c:v>
                      </c:pt>
                      <c:pt idx="7">
                        <c:v>1021.4502600000001</c:v>
                      </c:pt>
                      <c:pt idx="8">
                        <c:v>1010.9703299999999</c:v>
                      </c:pt>
                      <c:pt idx="9">
                        <c:v>995.35222999999996</c:v>
                      </c:pt>
                      <c:pt idx="10">
                        <c:v>992.65985999999998</c:v>
                      </c:pt>
                      <c:pt idx="11">
                        <c:v>971.80401000000006</c:v>
                      </c:pt>
                      <c:pt idx="12">
                        <c:v>900.96091000000001</c:v>
                      </c:pt>
                      <c:pt idx="13">
                        <c:v>875.76157999999998</c:v>
                      </c:pt>
                      <c:pt idx="14">
                        <c:v>844.57297999999992</c:v>
                      </c:pt>
                      <c:pt idx="15">
                        <c:v>831.83330000000001</c:v>
                      </c:pt>
                      <c:pt idx="16">
                        <c:v>945.29655000000002</c:v>
                      </c:pt>
                      <c:pt idx="17">
                        <c:v>927.55334000000005</c:v>
                      </c:pt>
                      <c:pt idx="18">
                        <c:v>987.0825900000001</c:v>
                      </c:pt>
                      <c:pt idx="19">
                        <c:v>943.55047999999988</c:v>
                      </c:pt>
                      <c:pt idx="20">
                        <c:v>955.16539999999998</c:v>
                      </c:pt>
                      <c:pt idx="21">
                        <c:v>963.91929000000005</c:v>
                      </c:pt>
                      <c:pt idx="22">
                        <c:v>901.81856000000005</c:v>
                      </c:pt>
                      <c:pt idx="23">
                        <c:v>1097.3350800000001</c:v>
                      </c:pt>
                      <c:pt idx="24">
                        <c:v>1106.16579</c:v>
                      </c:pt>
                      <c:pt idx="25">
                        <c:v>1077.40311</c:v>
                      </c:pt>
                      <c:pt idx="26">
                        <c:v>1053.8474699999999</c:v>
                      </c:pt>
                      <c:pt idx="27">
                        <c:v>986.65196000000003</c:v>
                      </c:pt>
                      <c:pt idx="28">
                        <c:v>967.81540000000007</c:v>
                      </c:pt>
                      <c:pt idx="29">
                        <c:v>945.27117999999984</c:v>
                      </c:pt>
                      <c:pt idx="30">
                        <c:v>923.05662999999993</c:v>
                      </c:pt>
                      <c:pt idx="31">
                        <c:v>1043.1489499999998</c:v>
                      </c:pt>
                      <c:pt idx="32">
                        <c:v>1021.8729499999999</c:v>
                      </c:pt>
                      <c:pt idx="33">
                        <c:v>1003.79167</c:v>
                      </c:pt>
                      <c:pt idx="34">
                        <c:v>988.64660000000003</c:v>
                      </c:pt>
                      <c:pt idx="35">
                        <c:v>990.42262000000005</c:v>
                      </c:pt>
                      <c:pt idx="36">
                        <c:v>1388.3538899999999</c:v>
                      </c:pt>
                    </c:numCache>
                  </c:numRef>
                </c:val>
                <c:smooth val="0"/>
                <c:extLst xmlns:c15="http://schemas.microsoft.com/office/drawing/2012/chart">
                  <c:ext xmlns:c16="http://schemas.microsoft.com/office/drawing/2014/chart" uri="{C3380CC4-5D6E-409C-BE32-E72D297353CC}">
                    <c16:uniqueId val="{00000007-FAC3-49A7-9028-862517013189}"/>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NA_monthly!$C$16:$D$16</c15:sqref>
                        </c15:formulaRef>
                      </c:ext>
                    </c:extLst>
                    <c:strCache>
                      <c:ptCount val="2"/>
                      <c:pt idx="0">
                        <c:v>Vorräte</c:v>
                      </c:pt>
                      <c:pt idx="1">
                        <c:v>Inventories</c:v>
                      </c:pt>
                    </c:strCache>
                  </c:strRef>
                </c:tx>
                <c:spPr>
                  <a:ln w="28575" cap="rnd">
                    <a:solidFill>
                      <a:srgbClr val="DEE3ED"/>
                    </a:solidFill>
                    <a:prstDash val="solid"/>
                    <a:round/>
                  </a:ln>
                  <a:effectLst/>
                </c:spPr>
                <c:marker>
                  <c:symbol val="none"/>
                </c:marker>
                <c:cat>
                  <c:multiLvlStrRef>
                    <c:extLst xmlns:c15="http://schemas.microsoft.com/office/drawing/2012/chart">
                      <c:ext xmlns:c15="http://schemas.microsoft.com/office/drawing/2012/chart" uri="{02D57815-91ED-43cb-92C2-25804820EDAC}">
                        <c15:formulaRef>
                          <c15:sqref>NA_monthly!$E$4:$BA$7</c15:sqref>
                        </c15:formulaRef>
                      </c:ext>
                    </c:extLst>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extLst xmlns:c15="http://schemas.microsoft.com/office/drawing/2012/chart">
                      <c:ext xmlns:c15="http://schemas.microsoft.com/office/drawing/2012/chart" uri="{02D57815-91ED-43cb-92C2-25804820EDAC}">
                        <c15:formulaRef>
                          <c15:sqref>NA_monthly!$E$16:$BA$16</c15:sqref>
                        </c15:formulaRef>
                      </c:ext>
                    </c:extLst>
                    <c:numCache>
                      <c:formatCode>_(* #,##0_);_(* \(#,##0\);_(* "-"?_);@_)</c:formatCode>
                      <c:ptCount val="37"/>
                      <c:pt idx="0">
                        <c:v>1953.4010800000001</c:v>
                      </c:pt>
                      <c:pt idx="1">
                        <c:v>1953.4010800000001</c:v>
                      </c:pt>
                      <c:pt idx="2">
                        <c:v>1953.4010800000001</c:v>
                      </c:pt>
                      <c:pt idx="3">
                        <c:v>1953.4010800000001</c:v>
                      </c:pt>
                      <c:pt idx="4">
                        <c:v>1953.4010800000001</c:v>
                      </c:pt>
                      <c:pt idx="5">
                        <c:v>1953.4010800000001</c:v>
                      </c:pt>
                      <c:pt idx="6">
                        <c:v>2718.3399900000004</c:v>
                      </c:pt>
                      <c:pt idx="7">
                        <c:v>2718.3399900000004</c:v>
                      </c:pt>
                      <c:pt idx="8">
                        <c:v>2718.3399900000004</c:v>
                      </c:pt>
                      <c:pt idx="9">
                        <c:v>2950.7292699999994</c:v>
                      </c:pt>
                      <c:pt idx="10">
                        <c:v>2950.7292699999994</c:v>
                      </c:pt>
                      <c:pt idx="11">
                        <c:v>2950.7292699999994</c:v>
                      </c:pt>
                      <c:pt idx="12">
                        <c:v>2652.1086500000001</c:v>
                      </c:pt>
                      <c:pt idx="13">
                        <c:v>2652.1086500000001</c:v>
                      </c:pt>
                      <c:pt idx="14">
                        <c:v>2652.1086500000001</c:v>
                      </c:pt>
                      <c:pt idx="15">
                        <c:v>2652.1086500000001</c:v>
                      </c:pt>
                      <c:pt idx="16">
                        <c:v>2671.8686499999999</c:v>
                      </c:pt>
                      <c:pt idx="17">
                        <c:v>2671.8686499999999</c:v>
                      </c:pt>
                      <c:pt idx="18">
                        <c:v>2675.5605399999999</c:v>
                      </c:pt>
                      <c:pt idx="19">
                        <c:v>2675.5605399999999</c:v>
                      </c:pt>
                      <c:pt idx="20">
                        <c:v>2675.5605399999999</c:v>
                      </c:pt>
                      <c:pt idx="21">
                        <c:v>2675.5605399999999</c:v>
                      </c:pt>
                      <c:pt idx="22">
                        <c:v>2655.8005400000002</c:v>
                      </c:pt>
                      <c:pt idx="23">
                        <c:v>2599.7005399999998</c:v>
                      </c:pt>
                      <c:pt idx="24">
                        <c:v>3855.88364</c:v>
                      </c:pt>
                      <c:pt idx="25">
                        <c:v>3855.88364</c:v>
                      </c:pt>
                      <c:pt idx="26">
                        <c:v>3855.88364</c:v>
                      </c:pt>
                      <c:pt idx="27">
                        <c:v>3855.88364</c:v>
                      </c:pt>
                      <c:pt idx="28">
                        <c:v>3855.88364</c:v>
                      </c:pt>
                      <c:pt idx="29">
                        <c:v>3855.88364</c:v>
                      </c:pt>
                      <c:pt idx="30">
                        <c:v>3855.88364</c:v>
                      </c:pt>
                      <c:pt idx="31">
                        <c:v>3855.88364</c:v>
                      </c:pt>
                      <c:pt idx="32">
                        <c:v>3855.88364</c:v>
                      </c:pt>
                      <c:pt idx="33">
                        <c:v>3855.88364</c:v>
                      </c:pt>
                      <c:pt idx="34">
                        <c:v>3855.88364</c:v>
                      </c:pt>
                      <c:pt idx="35">
                        <c:v>3855.88364</c:v>
                      </c:pt>
                      <c:pt idx="36">
                        <c:v>2912.6865600000001</c:v>
                      </c:pt>
                    </c:numCache>
                  </c:numRef>
                </c:val>
                <c:smooth val="0"/>
                <c:extLst xmlns:c15="http://schemas.microsoft.com/office/drawing/2012/chart">
                  <c:ext xmlns:c16="http://schemas.microsoft.com/office/drawing/2014/chart" uri="{C3380CC4-5D6E-409C-BE32-E72D297353CC}">
                    <c16:uniqueId val="{00000008-FAC3-49A7-9028-862517013189}"/>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NA_monthly!$C$19:$D$19</c15:sqref>
                        </c15:formulaRef>
                      </c:ext>
                    </c:extLst>
                    <c:strCache>
                      <c:ptCount val="2"/>
                      <c:pt idx="0">
                        <c:v>Erhaltene Anzahlungen</c:v>
                      </c:pt>
                      <c:pt idx="1">
                        <c:v>Advance payments received</c:v>
                      </c:pt>
                    </c:strCache>
                  </c:strRef>
                </c:tx>
                <c:spPr>
                  <a:ln w="28575" cap="rnd">
                    <a:solidFill>
                      <a:srgbClr val="426FD2"/>
                    </a:solidFill>
                    <a:prstDash val="solid"/>
                    <a:round/>
                  </a:ln>
                  <a:effectLst/>
                </c:spPr>
                <c:marker>
                  <c:symbol val="none"/>
                </c:marker>
                <c:cat>
                  <c:multiLvlStrRef>
                    <c:extLst xmlns:c15="http://schemas.microsoft.com/office/drawing/2012/chart">
                      <c:ext xmlns:c15="http://schemas.microsoft.com/office/drawing/2012/chart" uri="{02D57815-91ED-43cb-92C2-25804820EDAC}">
                        <c15:formulaRef>
                          <c15:sqref>NA_monthly!$E$4:$BA$7</c15:sqref>
                        </c15:formulaRef>
                      </c:ext>
                    </c:extLst>
                    <c:multiLvlStrCache>
                      <c:ptCount val="37"/>
                      <c:lvl>
                        <c:pt idx="0">
                          <c:v>IST</c:v>
                        </c:pt>
                        <c:pt idx="1">
                          <c:v>IST</c:v>
                        </c:pt>
                        <c:pt idx="2">
                          <c:v>IST</c:v>
                        </c:pt>
                        <c:pt idx="3">
                          <c:v>IST</c:v>
                        </c:pt>
                        <c:pt idx="4">
                          <c:v>IST</c:v>
                        </c:pt>
                        <c:pt idx="5">
                          <c:v>IST</c:v>
                        </c:pt>
                        <c:pt idx="6">
                          <c:v>IST</c:v>
                        </c:pt>
                        <c:pt idx="7">
                          <c:v>IST</c:v>
                        </c:pt>
                        <c:pt idx="8">
                          <c:v>IST</c:v>
                        </c:pt>
                        <c:pt idx="9">
                          <c:v>IST</c:v>
                        </c:pt>
                        <c:pt idx="10">
                          <c:v>IST</c:v>
                        </c:pt>
                        <c:pt idx="11">
                          <c:v>IST</c:v>
                        </c:pt>
                        <c:pt idx="12">
                          <c:v>IST</c:v>
                        </c:pt>
                        <c:pt idx="13">
                          <c:v>IST</c:v>
                        </c:pt>
                        <c:pt idx="14">
                          <c:v>IST</c:v>
                        </c:pt>
                        <c:pt idx="15">
                          <c:v>IST</c:v>
                        </c:pt>
                        <c:pt idx="16">
                          <c:v>IST</c:v>
                        </c:pt>
                        <c:pt idx="17">
                          <c:v>IST</c:v>
                        </c:pt>
                        <c:pt idx="18">
                          <c:v>IST</c:v>
                        </c:pt>
                        <c:pt idx="19">
                          <c:v>IST</c:v>
                        </c:pt>
                        <c:pt idx="20">
                          <c:v>IST</c:v>
                        </c:pt>
                        <c:pt idx="21">
                          <c:v>IST</c:v>
                        </c:pt>
                        <c:pt idx="22">
                          <c:v>IST</c:v>
                        </c:pt>
                        <c:pt idx="23">
                          <c:v>IST</c:v>
                        </c:pt>
                        <c:pt idx="24">
                          <c:v>IST</c:v>
                        </c:pt>
                        <c:pt idx="25">
                          <c:v>IST</c:v>
                        </c:pt>
                        <c:pt idx="26">
                          <c:v>IST</c:v>
                        </c:pt>
                        <c:pt idx="27">
                          <c:v>IST</c:v>
                        </c:pt>
                        <c:pt idx="28">
                          <c:v>IST</c:v>
                        </c:pt>
                        <c:pt idx="29">
                          <c:v>IST</c:v>
                        </c:pt>
                        <c:pt idx="30">
                          <c:v>IST</c:v>
                        </c:pt>
                        <c:pt idx="31">
                          <c:v>IST</c:v>
                        </c:pt>
                        <c:pt idx="32">
                          <c:v>IST</c:v>
                        </c:pt>
                        <c:pt idx="33">
                          <c:v>IST</c:v>
                        </c:pt>
                        <c:pt idx="34">
                          <c:v>IST</c:v>
                        </c:pt>
                        <c:pt idx="35">
                          <c:v>IST</c:v>
                        </c:pt>
                        <c:pt idx="36">
                          <c:v>IST</c:v>
                        </c:pt>
                      </c:lvl>
                      <c:lvl>
                        <c:pt idx="0">
                          <c:v>Dez22</c:v>
                        </c:pt>
                        <c:pt idx="1">
                          <c:v>Jan23</c:v>
                        </c:pt>
                        <c:pt idx="2">
                          <c:v>Feb23</c:v>
                        </c:pt>
                        <c:pt idx="3">
                          <c:v>Mrz23</c:v>
                        </c:pt>
                        <c:pt idx="4">
                          <c:v>Apr23</c:v>
                        </c:pt>
                        <c:pt idx="5">
                          <c:v>Mai23</c:v>
                        </c:pt>
                        <c:pt idx="6">
                          <c:v>Jun23</c:v>
                        </c:pt>
                        <c:pt idx="7">
                          <c:v>Jul23</c:v>
                        </c:pt>
                        <c:pt idx="8">
                          <c:v>Aug23</c:v>
                        </c:pt>
                        <c:pt idx="9">
                          <c:v>Sep23</c:v>
                        </c:pt>
                        <c:pt idx="10">
                          <c:v>Okt23</c:v>
                        </c:pt>
                        <c:pt idx="11">
                          <c:v>Nov23</c:v>
                        </c:pt>
                        <c:pt idx="12">
                          <c:v>Dez23</c:v>
                        </c:pt>
                        <c:pt idx="13">
                          <c:v>Jan24</c:v>
                        </c:pt>
                        <c:pt idx="14">
                          <c:v>Feb24</c:v>
                        </c:pt>
                        <c:pt idx="15">
                          <c:v>Mrz24</c:v>
                        </c:pt>
                        <c:pt idx="16">
                          <c:v>Apr24</c:v>
                        </c:pt>
                        <c:pt idx="17">
                          <c:v>Mai24</c:v>
                        </c:pt>
                        <c:pt idx="18">
                          <c:v>Jun24</c:v>
                        </c:pt>
                        <c:pt idx="19">
                          <c:v>Jul24</c:v>
                        </c:pt>
                        <c:pt idx="20">
                          <c:v>Aug24</c:v>
                        </c:pt>
                        <c:pt idx="21">
                          <c:v>Sep24</c:v>
                        </c:pt>
                        <c:pt idx="22">
                          <c:v>Okt24</c:v>
                        </c:pt>
                        <c:pt idx="23">
                          <c:v>Nov24</c:v>
                        </c:pt>
                        <c:pt idx="24">
                          <c:v>Dez24</c:v>
                        </c:pt>
                        <c:pt idx="25">
                          <c:v>Jan25</c:v>
                        </c:pt>
                        <c:pt idx="26">
                          <c:v>Feb25</c:v>
                        </c:pt>
                        <c:pt idx="27">
                          <c:v>Mrz25</c:v>
                        </c:pt>
                        <c:pt idx="28">
                          <c:v>Apr25</c:v>
                        </c:pt>
                        <c:pt idx="29">
                          <c:v>Mai25</c:v>
                        </c:pt>
                        <c:pt idx="30">
                          <c:v>Jun25</c:v>
                        </c:pt>
                        <c:pt idx="31">
                          <c:v>Jul25</c:v>
                        </c:pt>
                        <c:pt idx="32">
                          <c:v>Aug25</c:v>
                        </c:pt>
                        <c:pt idx="33">
                          <c:v>Sep25</c:v>
                        </c:pt>
                        <c:pt idx="34">
                          <c:v>Okt25</c:v>
                        </c:pt>
                        <c:pt idx="35">
                          <c:v>Nov25</c:v>
                        </c:pt>
                        <c:pt idx="36">
                          <c:v>Dez25</c:v>
                        </c:pt>
                      </c:lvl>
                    </c:multiLvlStrCache>
                  </c:multiLvlStrRef>
                </c:cat>
                <c:val>
                  <c:numRef>
                    <c:extLst xmlns:c15="http://schemas.microsoft.com/office/drawing/2012/chart">
                      <c:ext xmlns:c15="http://schemas.microsoft.com/office/drawing/2012/chart" uri="{02D57815-91ED-43cb-92C2-25804820EDAC}">
                        <c15:formulaRef>
                          <c15:sqref>NA_monthly!$E$19:$BA$19</c15:sqref>
                        </c15:formulaRef>
                      </c:ext>
                    </c:extLst>
                    <c:numCache>
                      <c:formatCode>_(* #,##0_);_(* \(#,##0\);_(* "-"?_);@_)</c:formatCode>
                      <c:ptCount val="37"/>
                      <c:pt idx="0">
                        <c:v>-50</c:v>
                      </c:pt>
                      <c:pt idx="1">
                        <c:v>-50</c:v>
                      </c:pt>
                      <c:pt idx="2">
                        <c:v>-50</c:v>
                      </c:pt>
                      <c:pt idx="3">
                        <c:v>-50</c:v>
                      </c:pt>
                      <c:pt idx="4">
                        <c:v>-50</c:v>
                      </c:pt>
                      <c:pt idx="5">
                        <c:v>-50</c:v>
                      </c:pt>
                      <c:pt idx="6">
                        <c:v>-50</c:v>
                      </c:pt>
                      <c:pt idx="7">
                        <c:v>-50</c:v>
                      </c:pt>
                      <c:pt idx="8">
                        <c:v>-50</c:v>
                      </c:pt>
                      <c:pt idx="9">
                        <c:v>-50</c:v>
                      </c:pt>
                      <c:pt idx="10">
                        <c:v>-50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0</c:v>
                      </c:pt>
                      <c:pt idx="29">
                        <c:v>0</c:v>
                      </c:pt>
                      <c:pt idx="30">
                        <c:v>0</c:v>
                      </c:pt>
                      <c:pt idx="31">
                        <c:v>0</c:v>
                      </c:pt>
                      <c:pt idx="32">
                        <c:v>0</c:v>
                      </c:pt>
                      <c:pt idx="33">
                        <c:v>0</c:v>
                      </c:pt>
                      <c:pt idx="34">
                        <c:v>0</c:v>
                      </c:pt>
                      <c:pt idx="35">
                        <c:v>0</c:v>
                      </c:pt>
                      <c:pt idx="36">
                        <c:v>0</c:v>
                      </c:pt>
                    </c:numCache>
                  </c:numRef>
                </c:val>
                <c:smooth val="0"/>
                <c:extLst xmlns:c15="http://schemas.microsoft.com/office/drawing/2012/chart">
                  <c:ext xmlns:c16="http://schemas.microsoft.com/office/drawing/2014/chart" uri="{C3380CC4-5D6E-409C-BE32-E72D297353CC}">
                    <c16:uniqueId val="{0000000B-FAC3-49A7-9028-862517013189}"/>
                  </c:ext>
                </c:extLst>
              </c15:ser>
            </c15:filteredLineSeries>
          </c:ext>
        </c:extLst>
      </c:lineChart>
      <c:catAx>
        <c:axId val="254129440"/>
        <c:scaling>
          <c:orientation val="minMax"/>
        </c:scaling>
        <c:delete val="0"/>
        <c:axPos val="b"/>
        <c:numFmt formatCode="General" sourceLinked="1"/>
        <c:majorTickMark val="out"/>
        <c:minorTickMark val="none"/>
        <c:tickLblPos val="nextTo"/>
        <c:spPr>
          <a:noFill/>
          <a:ln w="9525" cap="flat" cmpd="sng" algn="ctr">
            <a:solidFill>
              <a:srgbClr val="595959"/>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de-DE"/>
          </a:p>
        </c:txPr>
        <c:crossAx val="254117440"/>
        <c:crosses val="autoZero"/>
        <c:auto val="1"/>
        <c:lblAlgn val="ctr"/>
        <c:lblOffset val="100"/>
        <c:noMultiLvlLbl val="0"/>
      </c:catAx>
      <c:valAx>
        <c:axId val="254117440"/>
        <c:scaling>
          <c:orientation val="minMax"/>
        </c:scaling>
        <c:delete val="0"/>
        <c:axPos val="l"/>
        <c:majorGridlines>
          <c:spPr>
            <a:ln w="9525" cap="flat" cmpd="sng" algn="ctr">
              <a:solidFill>
                <a:srgbClr val="868686"/>
              </a:solidFill>
              <a:prstDash val="solid"/>
              <a:round/>
            </a:ln>
            <a:effectLst/>
          </c:spPr>
        </c:majorGridlines>
        <c:numFmt formatCode="_(* #,##0_);_(* \(#,##0\);_(* &quot;-&quot;?_);@_)" sourceLinked="1"/>
        <c:majorTickMark val="out"/>
        <c:minorTickMark val="none"/>
        <c:tickLblPos val="nextTo"/>
        <c:spPr>
          <a:noFill/>
          <a:ln w="9525">
            <a:solidFill>
              <a:srgbClr val="595959"/>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de-DE"/>
          </a:p>
        </c:txPr>
        <c:crossAx val="25412944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5400" cap="flat" cmpd="sng" algn="ctr">
      <a:noFill/>
      <a:round/>
    </a:ln>
    <a:effectLst/>
  </c:spPr>
  <c:txPr>
    <a:bodyPr/>
    <a:lstStyle/>
    <a:p>
      <a:pPr>
        <a:defRPr sz="800">
          <a:latin typeface="Arial"/>
          <a:ea typeface="Arial"/>
          <a:cs typeface="Arial"/>
        </a:defRPr>
      </a:pPr>
      <a:endParaRPr lang="de-DE"/>
    </a:p>
  </c:txPr>
  <c:printSettings>
    <c:headerFooter/>
    <c:pageMargins b="0.78740157499999996" l="0.7" r="0.7" t="0.78740157499999996"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rgbClr val="000000"/>
                </a:solidFill>
                <a:latin typeface="Arial" panose="020B0604020202020204" pitchFamily="34" charset="0"/>
                <a:ea typeface="Arial"/>
                <a:cs typeface="Arial"/>
              </a:defRPr>
            </a:pPr>
            <a:r>
              <a:rPr lang="en-US" sz="1000" b="1" i="0" u="none">
                <a:solidFill>
                  <a:srgbClr val="000000"/>
                </a:solidFill>
                <a:latin typeface="Arial" panose="020B0604020202020204" pitchFamily="34" charset="0"/>
              </a:rPr>
              <a:t>Trade</a:t>
            </a:r>
            <a:r>
              <a:rPr lang="en-US" sz="1000" b="1" i="0" u="none" baseline="0">
                <a:solidFill>
                  <a:srgbClr val="000000"/>
                </a:solidFill>
                <a:latin typeface="Arial" panose="020B0604020202020204" pitchFamily="34" charset="0"/>
              </a:rPr>
              <a:t> Working Capital</a:t>
            </a:r>
            <a:endParaRPr lang="en-US" sz="1000" b="1" i="0" u="none">
              <a:solidFill>
                <a:srgbClr val="000000"/>
              </a:solidFill>
              <a:latin typeface="Arial" panose="020B0604020202020204" pitchFamily="34" charset="0"/>
            </a:endParaRPr>
          </a:p>
        </c:rich>
      </c:tx>
      <c:overlay val="0"/>
      <c:spPr>
        <a:noFill/>
        <a:ln>
          <a:noFill/>
        </a:ln>
        <a:effectLst/>
      </c:spPr>
      <c:txPr>
        <a:bodyPr rot="0" spcFirstLastPara="1" vertOverflow="ellipsis" vert="horz" wrap="square" anchor="ctr" anchorCtr="1"/>
        <a:lstStyle/>
        <a:p>
          <a:pPr>
            <a:defRPr sz="800" b="0" i="0" u="none" strike="noStrike" kern="1200" spc="0" baseline="0">
              <a:solidFill>
                <a:srgbClr val="000000"/>
              </a:solidFill>
              <a:latin typeface="Arial" panose="020B0604020202020204" pitchFamily="34" charset="0"/>
              <a:ea typeface="Arial"/>
              <a:cs typeface="Arial"/>
            </a:defRPr>
          </a:pPr>
          <a:endParaRPr lang="en-US"/>
        </a:p>
      </c:txPr>
    </c:title>
    <c:autoTitleDeleted val="0"/>
    <c:plotArea>
      <c:layout/>
      <c:barChart>
        <c:barDir val="col"/>
        <c:grouping val="stacked"/>
        <c:varyColors val="0"/>
        <c:ser>
          <c:idx val="0"/>
          <c:order val="0"/>
          <c:tx>
            <c:strRef>
              <c:f>'Think Cell'!$A$68</c:f>
              <c:strCache>
                <c:ptCount val="1"/>
                <c:pt idx="0">
                  <c:v>Inventories </c:v>
                </c:pt>
              </c:strCache>
            </c:strRef>
          </c:tx>
          <c:spPr>
            <a:solidFill>
              <a:srgbClr val="00B7B3"/>
            </a:solidFill>
            <a:ln>
              <a:solidFill>
                <a:srgbClr val="00B7B3"/>
              </a:solidFill>
              <a:prstDash val="solid"/>
            </a:ln>
            <a:effectLst/>
          </c:spPr>
          <c:invertIfNegative val="0"/>
          <c:cat>
            <c:numRef>
              <c:f>'Think Cell'!$B$67:$AV$67</c:f>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f>'Think Cell'!$B$68:$AV$68</c:f>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1953.4010800000001</c:v>
                </c:pt>
                <c:pt idx="12">
                  <c:v>1953.4010800000001</c:v>
                </c:pt>
                <c:pt idx="13">
                  <c:v>1953.4010800000001</c:v>
                </c:pt>
                <c:pt idx="14">
                  <c:v>1953.4010800000001</c:v>
                </c:pt>
                <c:pt idx="15">
                  <c:v>1953.4010800000001</c:v>
                </c:pt>
                <c:pt idx="16">
                  <c:v>1953.4010800000001</c:v>
                </c:pt>
                <c:pt idx="17">
                  <c:v>2718.3399900000004</c:v>
                </c:pt>
                <c:pt idx="18">
                  <c:v>2718.3399900000004</c:v>
                </c:pt>
                <c:pt idx="19">
                  <c:v>2718.3399900000004</c:v>
                </c:pt>
                <c:pt idx="20">
                  <c:v>2950.7292699999994</c:v>
                </c:pt>
                <c:pt idx="21">
                  <c:v>2950.7292699999994</c:v>
                </c:pt>
                <c:pt idx="22">
                  <c:v>2950.7292699999994</c:v>
                </c:pt>
                <c:pt idx="23">
                  <c:v>2652.1086500000001</c:v>
                </c:pt>
                <c:pt idx="24">
                  <c:v>2652.1086500000001</c:v>
                </c:pt>
                <c:pt idx="25">
                  <c:v>2652.1086500000001</c:v>
                </c:pt>
                <c:pt idx="26">
                  <c:v>2652.1086500000001</c:v>
                </c:pt>
                <c:pt idx="27">
                  <c:v>2671.8686499999999</c:v>
                </c:pt>
                <c:pt idx="28">
                  <c:v>2671.8686499999999</c:v>
                </c:pt>
                <c:pt idx="29">
                  <c:v>2675.5605399999999</c:v>
                </c:pt>
                <c:pt idx="30">
                  <c:v>2675.5605399999999</c:v>
                </c:pt>
                <c:pt idx="31">
                  <c:v>2675.5605399999999</c:v>
                </c:pt>
                <c:pt idx="32">
                  <c:v>2675.5605399999999</c:v>
                </c:pt>
                <c:pt idx="33">
                  <c:v>2655.8005400000002</c:v>
                </c:pt>
                <c:pt idx="34">
                  <c:v>2599.7005399999998</c:v>
                </c:pt>
                <c:pt idx="35">
                  <c:v>3855.88364</c:v>
                </c:pt>
                <c:pt idx="36">
                  <c:v>3855.88364</c:v>
                </c:pt>
                <c:pt idx="37">
                  <c:v>3855.88364</c:v>
                </c:pt>
                <c:pt idx="38">
                  <c:v>3855.88364</c:v>
                </c:pt>
                <c:pt idx="39">
                  <c:v>3855.88364</c:v>
                </c:pt>
                <c:pt idx="40">
                  <c:v>3855.88364</c:v>
                </c:pt>
                <c:pt idx="41">
                  <c:v>3855.88364</c:v>
                </c:pt>
                <c:pt idx="42">
                  <c:v>3855.88364</c:v>
                </c:pt>
                <c:pt idx="43">
                  <c:v>3855.88364</c:v>
                </c:pt>
                <c:pt idx="44">
                  <c:v>3855.88364</c:v>
                </c:pt>
                <c:pt idx="45">
                  <c:v>3855.88364</c:v>
                </c:pt>
                <c:pt idx="46">
                  <c:v>3855.88364</c:v>
                </c:pt>
              </c:numCache>
            </c:numRef>
          </c:val>
          <c:extLst>
            <c:ext xmlns:c16="http://schemas.microsoft.com/office/drawing/2014/chart" uri="{C3380CC4-5D6E-409C-BE32-E72D297353CC}">
              <c16:uniqueId val="{00000000-0E3D-4DD0-BB9E-A21731A035F0}"/>
            </c:ext>
          </c:extLst>
        </c:ser>
        <c:ser>
          <c:idx val="1"/>
          <c:order val="1"/>
          <c:tx>
            <c:strRef>
              <c:f>'Think Cell'!$A$69</c:f>
              <c:strCache>
                <c:ptCount val="1"/>
                <c:pt idx="0">
                  <c:v>Trade receivables </c:v>
                </c:pt>
              </c:strCache>
            </c:strRef>
          </c:tx>
          <c:spPr>
            <a:solidFill>
              <a:srgbClr val="2B303A"/>
            </a:solidFill>
            <a:ln>
              <a:noFill/>
            </a:ln>
            <a:effectLst/>
          </c:spPr>
          <c:invertIfNegative val="0"/>
          <c:cat>
            <c:numRef>
              <c:f>'Think Cell'!$B$67:$AV$67</c:f>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f>'Think Cell'!$B$69:$AV$69</c:f>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1780.65607</c:v>
                </c:pt>
                <c:pt idx="12">
                  <c:v>1632.6005600000001</c:v>
                </c:pt>
                <c:pt idx="13">
                  <c:v>1793.4025900000001</c:v>
                </c:pt>
                <c:pt idx="14">
                  <c:v>1751.10328</c:v>
                </c:pt>
                <c:pt idx="15">
                  <c:v>1671.63177</c:v>
                </c:pt>
                <c:pt idx="16">
                  <c:v>1639.4459999999999</c:v>
                </c:pt>
                <c:pt idx="17">
                  <c:v>1443.8945900000001</c:v>
                </c:pt>
                <c:pt idx="18">
                  <c:v>1348.43524</c:v>
                </c:pt>
                <c:pt idx="19">
                  <c:v>1745.89879</c:v>
                </c:pt>
                <c:pt idx="20">
                  <c:v>1767.18218</c:v>
                </c:pt>
                <c:pt idx="21">
                  <c:v>1716.31565</c:v>
                </c:pt>
                <c:pt idx="22">
                  <c:v>2131.1523900000002</c:v>
                </c:pt>
                <c:pt idx="23">
                  <c:v>1586.36779</c:v>
                </c:pt>
                <c:pt idx="24">
                  <c:v>1605.97471</c:v>
                </c:pt>
                <c:pt idx="25">
                  <c:v>1674.9479699999999</c:v>
                </c:pt>
                <c:pt idx="26">
                  <c:v>1803.8231899999998</c:v>
                </c:pt>
                <c:pt idx="27">
                  <c:v>1817.6321200000002</c:v>
                </c:pt>
                <c:pt idx="28">
                  <c:v>1638.9565600000001</c:v>
                </c:pt>
                <c:pt idx="29">
                  <c:v>1552.90816</c:v>
                </c:pt>
                <c:pt idx="30">
                  <c:v>1338.6239499999999</c:v>
                </c:pt>
                <c:pt idx="31">
                  <c:v>1333.7283300000001</c:v>
                </c:pt>
                <c:pt idx="32">
                  <c:v>1598.78574</c:v>
                </c:pt>
                <c:pt idx="33">
                  <c:v>1531.8539699999999</c:v>
                </c:pt>
                <c:pt idx="34">
                  <c:v>1354.8587199999999</c:v>
                </c:pt>
                <c:pt idx="35">
                  <c:v>1988.8013600000002</c:v>
                </c:pt>
                <c:pt idx="36">
                  <c:v>1577.43236</c:v>
                </c:pt>
                <c:pt idx="37">
                  <c:v>1852.36472</c:v>
                </c:pt>
                <c:pt idx="38">
                  <c:v>1735.83005</c:v>
                </c:pt>
                <c:pt idx="39">
                  <c:v>1754.3786499999999</c:v>
                </c:pt>
                <c:pt idx="40">
                  <c:v>2011.44795</c:v>
                </c:pt>
                <c:pt idx="41">
                  <c:v>1976.809</c:v>
                </c:pt>
                <c:pt idx="42">
                  <c:v>1432.4888100000001</c:v>
                </c:pt>
                <c:pt idx="43">
                  <c:v>1896.4532899999999</c:v>
                </c:pt>
                <c:pt idx="44">
                  <c:v>1659.3406299999999</c:v>
                </c:pt>
                <c:pt idx="45">
                  <c:v>1609.32999</c:v>
                </c:pt>
                <c:pt idx="46">
                  <c:v>1582.9748300000001</c:v>
                </c:pt>
              </c:numCache>
            </c:numRef>
          </c:val>
          <c:extLst>
            <c:ext xmlns:c16="http://schemas.microsoft.com/office/drawing/2014/chart" uri="{C3380CC4-5D6E-409C-BE32-E72D297353CC}">
              <c16:uniqueId val="{00000001-0E3D-4DD0-BB9E-A21731A035F0}"/>
            </c:ext>
          </c:extLst>
        </c:ser>
        <c:ser>
          <c:idx val="2"/>
          <c:order val="2"/>
          <c:tx>
            <c:strRef>
              <c:f>'Think Cell'!$A$70</c:f>
              <c:strCache>
                <c:ptCount val="1"/>
                <c:pt idx="0">
                  <c:v>Trade payables </c:v>
                </c:pt>
              </c:strCache>
            </c:strRef>
          </c:tx>
          <c:spPr>
            <a:solidFill>
              <a:srgbClr val="5E636E"/>
            </a:solidFill>
            <a:ln>
              <a:noFill/>
            </a:ln>
            <a:effectLst/>
          </c:spPr>
          <c:invertIfNegative val="0"/>
          <c:cat>
            <c:numRef>
              <c:f>'Think Cell'!$B$67:$AV$67</c:f>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f>'Think Cell'!$B$70:$AV$70</c:f>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-752.85966000000008</c:v>
                </c:pt>
                <c:pt idx="12">
                  <c:v>-720.20325000000003</c:v>
                </c:pt>
                <c:pt idx="13">
                  <c:v>-918.93565999999998</c:v>
                </c:pt>
                <c:pt idx="14">
                  <c:v>-1279.0962500000001</c:v>
                </c:pt>
                <c:pt idx="15">
                  <c:v>-902.91686000000004</c:v>
                </c:pt>
                <c:pt idx="16">
                  <c:v>-856.02628000000004</c:v>
                </c:pt>
                <c:pt idx="17">
                  <c:v>-847.41624999999999</c:v>
                </c:pt>
                <c:pt idx="18">
                  <c:v>-672.21708000000001</c:v>
                </c:pt>
                <c:pt idx="19">
                  <c:v>-561.68408000000011</c:v>
                </c:pt>
                <c:pt idx="20">
                  <c:v>-854.94693000000007</c:v>
                </c:pt>
                <c:pt idx="21">
                  <c:v>-650.98143999999991</c:v>
                </c:pt>
                <c:pt idx="22">
                  <c:v>-666.47857999999997</c:v>
                </c:pt>
                <c:pt idx="23">
                  <c:v>-898.28356000000008</c:v>
                </c:pt>
                <c:pt idx="24">
                  <c:v>-971.52920999999992</c:v>
                </c:pt>
                <c:pt idx="25">
                  <c:v>-605.96082999999999</c:v>
                </c:pt>
                <c:pt idx="26">
                  <c:v>-595.02235999999994</c:v>
                </c:pt>
                <c:pt idx="27">
                  <c:v>-797.91459999999995</c:v>
                </c:pt>
                <c:pt idx="28">
                  <c:v>-945.44709</c:v>
                </c:pt>
                <c:pt idx="29">
                  <c:v>-872.95371999999998</c:v>
                </c:pt>
                <c:pt idx="30">
                  <c:v>-1612.43831</c:v>
                </c:pt>
                <c:pt idx="31">
                  <c:v>-1160.36464</c:v>
                </c:pt>
                <c:pt idx="32">
                  <c:v>-1327.0726299999999</c:v>
                </c:pt>
                <c:pt idx="33">
                  <c:v>-699.23821999999996</c:v>
                </c:pt>
                <c:pt idx="34">
                  <c:v>-767.01546999999994</c:v>
                </c:pt>
                <c:pt idx="35">
                  <c:v>-1270.4380100000001</c:v>
                </c:pt>
                <c:pt idx="36">
                  <c:v>-1120.2880299999999</c:v>
                </c:pt>
                <c:pt idx="37">
                  <c:v>-1118.8356999999999</c:v>
                </c:pt>
                <c:pt idx="38">
                  <c:v>-838.37626999999998</c:v>
                </c:pt>
                <c:pt idx="39">
                  <c:v>-830.92728</c:v>
                </c:pt>
                <c:pt idx="40">
                  <c:v>-845.06696999999997</c:v>
                </c:pt>
                <c:pt idx="41">
                  <c:v>-425.35079999999999</c:v>
                </c:pt>
                <c:pt idx="42">
                  <c:v>-598.66930000000002</c:v>
                </c:pt>
                <c:pt idx="43">
                  <c:v>-544.47850000000005</c:v>
                </c:pt>
                <c:pt idx="44">
                  <c:v>-381.92289</c:v>
                </c:pt>
                <c:pt idx="45">
                  <c:v>-261.23649999999998</c:v>
                </c:pt>
                <c:pt idx="46">
                  <c:v>-635.67131000000006</c:v>
                </c:pt>
              </c:numCache>
            </c:numRef>
          </c:val>
          <c:extLst>
            <c:ext xmlns:c16="http://schemas.microsoft.com/office/drawing/2014/chart" uri="{C3380CC4-5D6E-409C-BE32-E72D297353CC}">
              <c16:uniqueId val="{00000002-0E3D-4DD0-BB9E-A21731A035F0}"/>
            </c:ext>
          </c:extLst>
        </c:ser>
        <c:ser>
          <c:idx val="3"/>
          <c:order val="3"/>
          <c:tx>
            <c:strRef>
              <c:f>'Think Cell'!$A$71</c:f>
              <c:strCache>
                <c:ptCount val="1"/>
                <c:pt idx="0">
                  <c:v>Advance payments received </c:v>
                </c:pt>
              </c:strCache>
            </c:strRef>
          </c:tx>
          <c:spPr>
            <a:solidFill>
              <a:srgbClr val="8F96A3"/>
            </a:solidFill>
            <a:ln>
              <a:noFill/>
            </a:ln>
            <a:effectLst/>
          </c:spPr>
          <c:invertIfNegative val="0"/>
          <c:cat>
            <c:numRef>
              <c:f>'Think Cell'!$B$67:$AV$67</c:f>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f>'Think Cell'!$B$71:$AV$71</c:f>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-50</c:v>
                </c:pt>
                <c:pt idx="12">
                  <c:v>-50</c:v>
                </c:pt>
                <c:pt idx="13">
                  <c:v>-50</c:v>
                </c:pt>
                <c:pt idx="14">
                  <c:v>-50</c:v>
                </c:pt>
                <c:pt idx="15">
                  <c:v>-50</c:v>
                </c:pt>
                <c:pt idx="16">
                  <c:v>-50</c:v>
                </c:pt>
                <c:pt idx="17">
                  <c:v>-50</c:v>
                </c:pt>
                <c:pt idx="18">
                  <c:v>-50</c:v>
                </c:pt>
                <c:pt idx="19">
                  <c:v>-50</c:v>
                </c:pt>
                <c:pt idx="20">
                  <c:v>-50</c:v>
                </c:pt>
                <c:pt idx="21">
                  <c:v>-50</c:v>
                </c:pt>
                <c:pt idx="22">
                  <c:v>-50</c:v>
                </c:pt>
                <c:pt idx="23">
                  <c:v>-50</c:v>
                </c:pt>
                <c:pt idx="24">
                  <c:v>-50</c:v>
                </c:pt>
                <c:pt idx="25">
                  <c:v>-50</c:v>
                </c:pt>
                <c:pt idx="26">
                  <c:v>-50</c:v>
                </c:pt>
                <c:pt idx="27">
                  <c:v>-50</c:v>
                </c:pt>
                <c:pt idx="28">
                  <c:v>-50</c:v>
                </c:pt>
                <c:pt idx="29">
                  <c:v>-50</c:v>
                </c:pt>
                <c:pt idx="30">
                  <c:v>-50</c:v>
                </c:pt>
                <c:pt idx="31">
                  <c:v>-50</c:v>
                </c:pt>
                <c:pt idx="32">
                  <c:v>-50</c:v>
                </c:pt>
                <c:pt idx="33">
                  <c:v>-50</c:v>
                </c:pt>
                <c:pt idx="34">
                  <c:v>-50</c:v>
                </c:pt>
                <c:pt idx="35">
                  <c:v>-50</c:v>
                </c:pt>
                <c:pt idx="36">
                  <c:v>-50</c:v>
                </c:pt>
                <c:pt idx="37">
                  <c:v>-50</c:v>
                </c:pt>
                <c:pt idx="38">
                  <c:v>-50</c:v>
                </c:pt>
                <c:pt idx="39">
                  <c:v>0</c:v>
                </c:pt>
                <c:pt idx="40">
                  <c:v>0</c:v>
                </c:pt>
                <c:pt idx="41">
                  <c:v>0</c:v>
                </c:pt>
                <c:pt idx="42">
                  <c:v>0</c:v>
                </c:pt>
                <c:pt idx="43">
                  <c:v>0</c:v>
                </c:pt>
                <c:pt idx="44">
                  <c:v>0</c:v>
                </c:pt>
                <c:pt idx="45">
                  <c:v>0</c:v>
                </c:pt>
                <c:pt idx="46">
                  <c:v>0</c:v>
                </c:pt>
              </c:numCache>
            </c:numRef>
          </c:val>
          <c:extLst>
            <c:ext xmlns:c16="http://schemas.microsoft.com/office/drawing/2014/chart" uri="{C3380CC4-5D6E-409C-BE32-E72D297353CC}">
              <c16:uniqueId val="{00000003-0E3D-4DD0-BB9E-A21731A035F0}"/>
            </c:ext>
          </c:extLst>
        </c:ser>
        <c:dLbls>
          <c:showLegendKey val="0"/>
          <c:showVal val="0"/>
          <c:showCatName val="0"/>
          <c:showSerName val="0"/>
          <c:showPercent val="0"/>
          <c:showBubbleSize val="0"/>
        </c:dLbls>
        <c:gapWidth val="150"/>
        <c:overlap val="100"/>
        <c:axId val="329474528"/>
        <c:axId val="329475488"/>
        <c:extLst>
          <c:ext xmlns:c15="http://schemas.microsoft.com/office/drawing/2012/chart" uri="{02D57815-91ED-43cb-92C2-25804820EDAC}">
            <c15:filteredBarSeries>
              <c15:ser>
                <c:idx val="4"/>
                <c:order val="4"/>
                <c:tx>
                  <c:strRef>
                    <c:extLst>
                      <c:ext uri="{02D57815-91ED-43cb-92C2-25804820EDAC}">
                        <c15:formulaRef>
                          <c15:sqref>'Think Cell'!$A$72</c15:sqref>
                        </c15:formulaRef>
                      </c:ext>
                    </c:extLst>
                    <c:strCache>
                      <c:ptCount val="1"/>
                      <c:pt idx="0">
                        <c:v>Trade working capital </c:v>
                      </c:pt>
                    </c:strCache>
                  </c:strRef>
                </c:tx>
                <c:spPr>
                  <a:solidFill>
                    <a:srgbClr val="C2C9D6"/>
                  </a:solidFill>
                  <a:ln>
                    <a:noFill/>
                  </a:ln>
                  <a:effectLst/>
                </c:spPr>
                <c:invertIfNegative val="0"/>
                <c:cat>
                  <c:numRef>
                    <c:extLst>
                      <c:ext uri="{02D57815-91ED-43cb-92C2-25804820EDAC}">
                        <c15:formulaRef>
                          <c15:sqref>'Think Cell'!$B$67:$AV$67</c15:sqref>
                        </c15:formulaRef>
                      </c:ext>
                    </c:extLst>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extLst>
                      <c:ext uri="{02D57815-91ED-43cb-92C2-25804820EDAC}">
                        <c15:formulaRef>
                          <c15:sqref>'Think Cell'!$B$72:$AV$72</c15:sqref>
                        </c15:formulaRef>
                      </c:ext>
                    </c:extLst>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2931.19749</c:v>
                      </c:pt>
                      <c:pt idx="12">
                        <c:v>2815.7983900000004</c:v>
                      </c:pt>
                      <c:pt idx="13">
                        <c:v>2777.8680100000001</c:v>
                      </c:pt>
                      <c:pt idx="14">
                        <c:v>2375.4081099999999</c:v>
                      </c:pt>
                      <c:pt idx="15">
                        <c:v>2672.1159900000002</c:v>
                      </c:pt>
                      <c:pt idx="16">
                        <c:v>2686.8208</c:v>
                      </c:pt>
                      <c:pt idx="17">
                        <c:v>3264.8183300000001</c:v>
                      </c:pt>
                      <c:pt idx="18">
                        <c:v>3344.5581500000003</c:v>
                      </c:pt>
                      <c:pt idx="19">
                        <c:v>3852.5547000000006</c:v>
                      </c:pt>
                      <c:pt idx="20">
                        <c:v>3812.9645199999995</c:v>
                      </c:pt>
                      <c:pt idx="21">
                        <c:v>3966.0634799999993</c:v>
                      </c:pt>
                      <c:pt idx="22">
                        <c:v>4365.4030799999991</c:v>
                      </c:pt>
                      <c:pt idx="23">
                        <c:v>3290.1928800000005</c:v>
                      </c:pt>
                      <c:pt idx="24">
                        <c:v>3236.5541500000008</c:v>
                      </c:pt>
                      <c:pt idx="25">
                        <c:v>3671.0957900000003</c:v>
                      </c:pt>
                      <c:pt idx="26">
                        <c:v>3810.9094800000003</c:v>
                      </c:pt>
                      <c:pt idx="27">
                        <c:v>3641.5861700000005</c:v>
                      </c:pt>
                      <c:pt idx="28">
                        <c:v>3315.3781199999999</c:v>
                      </c:pt>
                      <c:pt idx="29">
                        <c:v>3305.5149799999995</c:v>
                      </c:pt>
                      <c:pt idx="30">
                        <c:v>2351.7461799999996</c:v>
                      </c:pt>
                      <c:pt idx="31">
                        <c:v>2798.9242300000005</c:v>
                      </c:pt>
                      <c:pt idx="32">
                        <c:v>2897.2736500000001</c:v>
                      </c:pt>
                      <c:pt idx="33">
                        <c:v>3438.4162900000001</c:v>
                      </c:pt>
                      <c:pt idx="34">
                        <c:v>3137.5437900000002</c:v>
                      </c:pt>
                      <c:pt idx="35">
                        <c:v>4524.2469900000006</c:v>
                      </c:pt>
                      <c:pt idx="36">
                        <c:v>4263.0279700000001</c:v>
                      </c:pt>
                      <c:pt idx="37">
                        <c:v>4539.41266</c:v>
                      </c:pt>
                      <c:pt idx="38">
                        <c:v>4703.3374200000007</c:v>
                      </c:pt>
                      <c:pt idx="39">
                        <c:v>4779.3350099999998</c:v>
                      </c:pt>
                      <c:pt idx="40">
                        <c:v>5022.2646199999999</c:v>
                      </c:pt>
                      <c:pt idx="41">
                        <c:v>5407.34184</c:v>
                      </c:pt>
                      <c:pt idx="42">
                        <c:v>4689.7031499999994</c:v>
                      </c:pt>
                      <c:pt idx="43">
                        <c:v>5207.8584299999993</c:v>
                      </c:pt>
                      <c:pt idx="44">
                        <c:v>5133.3013799999999</c:v>
                      </c:pt>
                      <c:pt idx="45">
                        <c:v>5203.9771300000002</c:v>
                      </c:pt>
                      <c:pt idx="46">
                        <c:v>4803.1871600000004</c:v>
                      </c:pt>
                    </c:numCache>
                  </c:numRef>
                </c:val>
                <c:extLst>
                  <c:ext xmlns:c16="http://schemas.microsoft.com/office/drawing/2014/chart" uri="{C3380CC4-5D6E-409C-BE32-E72D297353CC}">
                    <c16:uniqueId val="{00000004-0E3D-4DD0-BB9E-A21731A035F0}"/>
                  </c:ext>
                </c:extLst>
              </c15:ser>
            </c15:filteredBarSeries>
          </c:ext>
        </c:extLst>
      </c:barChart>
      <c:lineChart>
        <c:grouping val="standard"/>
        <c:varyColors val="0"/>
        <c:ser>
          <c:idx val="6"/>
          <c:order val="6"/>
          <c:tx>
            <c:strRef>
              <c:f>'Think Cell'!$A$74</c:f>
              <c:strCache>
                <c:ptCount val="1"/>
                <c:pt idx="0">
                  <c:v>Cash </c:v>
                </c:pt>
              </c:strCache>
            </c:strRef>
          </c:tx>
          <c:spPr>
            <a:ln w="28575" cap="rnd">
              <a:solidFill>
                <a:srgbClr val="C8D0F2"/>
              </a:solidFill>
              <a:prstDash val="solid"/>
              <a:round/>
            </a:ln>
            <a:effectLst/>
          </c:spPr>
          <c:marker>
            <c:symbol val="none"/>
          </c:marker>
          <c:cat>
            <c:numRef>
              <c:f>'Think Cell'!$B$67:$AV$67</c:f>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f>'Think Cell'!$B$74:$AV$74</c:f>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3008.3486599999997</c:v>
                </c:pt>
                <c:pt idx="12">
                  <c:v>3046.80222</c:v>
                </c:pt>
                <c:pt idx="13">
                  <c:v>2975.2577299999998</c:v>
                </c:pt>
                <c:pt idx="14">
                  <c:v>2636.7213400000001</c:v>
                </c:pt>
                <c:pt idx="15">
                  <c:v>2548.45885</c:v>
                </c:pt>
                <c:pt idx="16">
                  <c:v>2108.0649899999999</c:v>
                </c:pt>
                <c:pt idx="17">
                  <c:v>2384.9018300000002</c:v>
                </c:pt>
                <c:pt idx="18">
                  <c:v>2234.7416800000001</c:v>
                </c:pt>
                <c:pt idx="19">
                  <c:v>2010.48775</c:v>
                </c:pt>
                <c:pt idx="20">
                  <c:v>2160.8007900000002</c:v>
                </c:pt>
                <c:pt idx="21">
                  <c:v>1925.6364999999998</c:v>
                </c:pt>
                <c:pt idx="22">
                  <c:v>1790.6274699999999</c:v>
                </c:pt>
                <c:pt idx="23">
                  <c:v>2715.5673000000002</c:v>
                </c:pt>
                <c:pt idx="24">
                  <c:v>2891.1325000000002</c:v>
                </c:pt>
                <c:pt idx="25">
                  <c:v>2759.4394899999998</c:v>
                </c:pt>
                <c:pt idx="26">
                  <c:v>3123.0123799999997</c:v>
                </c:pt>
                <c:pt idx="27">
                  <c:v>2307.3159900000001</c:v>
                </c:pt>
                <c:pt idx="28">
                  <c:v>2587.5650000000001</c:v>
                </c:pt>
                <c:pt idx="29">
                  <c:v>2246.2207399999998</c:v>
                </c:pt>
                <c:pt idx="30">
                  <c:v>2302.9570899999999</c:v>
                </c:pt>
                <c:pt idx="31">
                  <c:v>2055.6295100000002</c:v>
                </c:pt>
                <c:pt idx="32">
                  <c:v>1633.0420799999999</c:v>
                </c:pt>
                <c:pt idx="33">
                  <c:v>1062.2571400000002</c:v>
                </c:pt>
                <c:pt idx="34">
                  <c:v>1297.2736800000002</c:v>
                </c:pt>
                <c:pt idx="35">
                  <c:v>1004.06084</c:v>
                </c:pt>
                <c:pt idx="36">
                  <c:v>1408.1288499999998</c:v>
                </c:pt>
                <c:pt idx="37">
                  <c:v>1218.9062300000003</c:v>
                </c:pt>
                <c:pt idx="38">
                  <c:v>1048.9010900000001</c:v>
                </c:pt>
                <c:pt idx="39">
                  <c:v>1161.74431</c:v>
                </c:pt>
                <c:pt idx="40">
                  <c:v>1027.9527399999999</c:v>
                </c:pt>
                <c:pt idx="41">
                  <c:v>874.25879000000009</c:v>
                </c:pt>
                <c:pt idx="42">
                  <c:v>1707.7809199999999</c:v>
                </c:pt>
                <c:pt idx="43">
                  <c:v>1567.8410899999999</c:v>
                </c:pt>
                <c:pt idx="44">
                  <c:v>1708.9155900000001</c:v>
                </c:pt>
                <c:pt idx="45">
                  <c:v>1706.5359200000005</c:v>
                </c:pt>
                <c:pt idx="46">
                  <c:v>1884.1671399999998</c:v>
                </c:pt>
              </c:numCache>
            </c:numRef>
          </c:val>
          <c:smooth val="0"/>
          <c:extLst>
            <c:ext xmlns:c16="http://schemas.microsoft.com/office/drawing/2014/chart" uri="{C3380CC4-5D6E-409C-BE32-E72D297353CC}">
              <c16:uniqueId val="{00000006-0E3D-4DD0-BB9E-A21731A035F0}"/>
            </c:ext>
          </c:extLst>
        </c:ser>
        <c:dLbls>
          <c:showLegendKey val="0"/>
          <c:showVal val="0"/>
          <c:showCatName val="0"/>
          <c:showSerName val="0"/>
          <c:showPercent val="0"/>
          <c:showBubbleSize val="0"/>
        </c:dLbls>
        <c:marker val="1"/>
        <c:smooth val="0"/>
        <c:axId val="329474528"/>
        <c:axId val="329475488"/>
        <c:extLst>
          <c:ext xmlns:c15="http://schemas.microsoft.com/office/drawing/2012/chart" uri="{02D57815-91ED-43cb-92C2-25804820EDAC}">
            <c15:filteredLineSeries>
              <c15:ser>
                <c:idx val="5"/>
                <c:order val="5"/>
                <c:tx>
                  <c:strRef>
                    <c:extLst>
                      <c:ext uri="{02D57815-91ED-43cb-92C2-25804820EDAC}">
                        <c15:formulaRef>
                          <c15:sqref>'Think Cell'!$A$73</c15:sqref>
                        </c15:formulaRef>
                      </c:ext>
                    </c:extLst>
                    <c:strCache>
                      <c:ptCount val="1"/>
                      <c:pt idx="0">
                        <c:v>Net working capital </c:v>
                      </c:pt>
                    </c:strCache>
                  </c:strRef>
                </c:tx>
                <c:spPr>
                  <a:ln w="28575" cap="rnd">
                    <a:solidFill>
                      <a:srgbClr val="DEE3ED"/>
                    </a:solidFill>
                    <a:prstDash val="solid"/>
                    <a:round/>
                  </a:ln>
                  <a:effectLst/>
                </c:spPr>
                <c:marker>
                  <c:symbol val="none"/>
                </c:marker>
                <c:cat>
                  <c:numRef>
                    <c:extLst>
                      <c:ext uri="{02D57815-91ED-43cb-92C2-25804820EDAC}">
                        <c15:formulaRef>
                          <c15:sqref>'Think Cell'!$B$67:$AV$67</c15:sqref>
                        </c15:formulaRef>
                      </c:ext>
                    </c:extLst>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extLst>
                      <c:ext uri="{02D57815-91ED-43cb-92C2-25804820EDAC}">
                        <c15:formulaRef>
                          <c15:sqref>'Think Cell'!$B$73:$AV$73</c15:sqref>
                        </c15:formulaRef>
                      </c:ext>
                    </c:extLst>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2018.4414800000002</c:v>
                      </c:pt>
                      <c:pt idx="12">
                        <c:v>1940.8259200000005</c:v>
                      </c:pt>
                      <c:pt idx="13">
                        <c:v>1855.9902200000001</c:v>
                      </c:pt>
                      <c:pt idx="14">
                        <c:v>1636.0301799999997</c:v>
                      </c:pt>
                      <c:pt idx="15">
                        <c:v>1876.6104700000005</c:v>
                      </c:pt>
                      <c:pt idx="16">
                        <c:v>2079.09591</c:v>
                      </c:pt>
                      <c:pt idx="17">
                        <c:v>2587.3261200000002</c:v>
                      </c:pt>
                      <c:pt idx="18">
                        <c:v>2764.6927400000004</c:v>
                      </c:pt>
                      <c:pt idx="19">
                        <c:v>3338.0251400000011</c:v>
                      </c:pt>
                      <c:pt idx="20">
                        <c:v>3124.6659699999991</c:v>
                      </c:pt>
                      <c:pt idx="21">
                        <c:v>3386.0691499999994</c:v>
                      </c:pt>
                      <c:pt idx="22">
                        <c:v>3827.6881199999993</c:v>
                      </c:pt>
                      <c:pt idx="23">
                        <c:v>2937.4098900000008</c:v>
                      </c:pt>
                      <c:pt idx="24">
                        <c:v>2960.3092100000008</c:v>
                      </c:pt>
                      <c:pt idx="25">
                        <c:v>3325.6613400000001</c:v>
                      </c:pt>
                      <c:pt idx="26">
                        <c:v>3293.0297</c:v>
                      </c:pt>
                      <c:pt idx="27">
                        <c:v>3093.9559800000006</c:v>
                      </c:pt>
                      <c:pt idx="28">
                        <c:v>2802.5631100000001</c:v>
                      </c:pt>
                      <c:pt idx="29">
                        <c:v>2812.8867999999993</c:v>
                      </c:pt>
                      <c:pt idx="30">
                        <c:v>1995.4795799999995</c:v>
                      </c:pt>
                      <c:pt idx="31">
                        <c:v>2390.3946600000004</c:v>
                      </c:pt>
                      <c:pt idx="32">
                        <c:v>2466.8786700000001</c:v>
                      </c:pt>
                      <c:pt idx="33">
                        <c:v>3063.2491</c:v>
                      </c:pt>
                      <c:pt idx="34">
                        <c:v>2781.5463199999999</c:v>
                      </c:pt>
                      <c:pt idx="35">
                        <c:v>4243.2208300000002</c:v>
                      </c:pt>
                      <c:pt idx="36">
                        <c:v>3980.0816</c:v>
                      </c:pt>
                      <c:pt idx="37">
                        <c:v>4236.5690400000003</c:v>
                      </c:pt>
                      <c:pt idx="38">
                        <c:v>4366.1775500000003</c:v>
                      </c:pt>
                      <c:pt idx="39">
                        <c:v>4449.8235999999997</c:v>
                      </c:pt>
                      <c:pt idx="40">
                        <c:v>4693.0629900000004</c:v>
                      </c:pt>
                      <c:pt idx="41">
                        <c:v>5055.6697800000002</c:v>
                      </c:pt>
                      <c:pt idx="42">
                        <c:v>4069.8933399999992</c:v>
                      </c:pt>
                      <c:pt idx="43">
                        <c:v>4622.2779599999994</c:v>
                      </c:pt>
                      <c:pt idx="44">
                        <c:v>4634.8256199999996</c:v>
                      </c:pt>
                      <c:pt idx="45">
                        <c:v>4853.4081500000002</c:v>
                      </c:pt>
                      <c:pt idx="46">
                        <c:v>4465.5808100000004</c:v>
                      </c:pt>
                    </c:numCache>
                  </c:numRef>
                </c:val>
                <c:smooth val="0"/>
                <c:extLst>
                  <c:ext xmlns:c16="http://schemas.microsoft.com/office/drawing/2014/chart" uri="{C3380CC4-5D6E-409C-BE32-E72D297353CC}">
                    <c16:uniqueId val="{00000005-0E3D-4DD0-BB9E-A21731A035F0}"/>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'Think Cell'!$A$75</c15:sqref>
                        </c15:formulaRef>
                      </c:ext>
                    </c:extLst>
                    <c:strCache>
                      <c:ptCount val="1"/>
                      <c:pt idx="0">
                        <c:v>Revenues </c:v>
                      </c:pt>
                    </c:strCache>
                  </c:strRef>
                </c:tx>
                <c:spPr>
                  <a:ln w="28575" cap="rnd">
                    <a:solidFill>
                      <a:srgbClr val="A3B2E9"/>
                    </a:solidFill>
                    <a:prstDash val="solid"/>
                    <a:round/>
                  </a:ln>
                  <a:effectLst/>
                </c:spPr>
                <c:marker>
                  <c:symbol val="none"/>
                </c:marker>
                <c:cat>
                  <c:numRef>
                    <c:extLst xmlns:c15="http://schemas.microsoft.com/office/drawing/2012/chart">
                      <c:ext xmlns:c15="http://schemas.microsoft.com/office/drawing/2012/chart" uri="{02D57815-91ED-43cb-92C2-25804820EDAC}">
                        <c15:formulaRef>
                          <c15:sqref>'Think Cell'!$B$67:$AV$67</c15:sqref>
                        </c15:formulaRef>
                      </c:ext>
                    </c:extLst>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extLst xmlns:c15="http://schemas.microsoft.com/office/drawing/2012/chart">
                      <c:ext xmlns:c15="http://schemas.microsoft.com/office/drawing/2012/chart" uri="{02D57815-91ED-43cb-92C2-25804820EDAC}">
                        <c15:formulaRef>
                          <c15:sqref>'Think Cell'!$B$75:$AV$75</c15:sqref>
                        </c15:formulaRef>
                      </c:ext>
                    </c:extLst>
                    <c:numCache>
                      <c:formatCode>_(* #,##0_);_(* \(#,##0\);_(* "-"?_);@_)</c:formatCode>
                      <c:ptCount val="47"/>
                      <c:pt idx="0">
                        <c:v>0</c:v>
                      </c:pt>
                      <c:pt idx="1">
                        <c:v>0</c:v>
                      </c:pt>
                      <c:pt idx="2">
                        <c:v>0</c:v>
                      </c:pt>
                      <c:pt idx="3">
                        <c:v>0</c:v>
                      </c:pt>
                      <c:pt idx="4">
                        <c:v>0</c:v>
                      </c:pt>
                      <c:pt idx="5">
                        <c:v>0</c:v>
                      </c:pt>
                      <c:pt idx="6">
                        <c:v>0</c:v>
                      </c:pt>
                      <c:pt idx="7">
                        <c:v>0</c:v>
                      </c:pt>
                      <c:pt idx="8">
                        <c:v>0</c:v>
                      </c:pt>
                      <c:pt idx="9">
                        <c:v>0</c:v>
                      </c:pt>
                      <c:pt idx="10">
                        <c:v>0</c:v>
                      </c:pt>
                      <c:pt idx="11">
                        <c:v>0</c:v>
                      </c:pt>
                      <c:pt idx="12">
                        <c:v>1087.9522199999999</c:v>
                      </c:pt>
                      <c:pt idx="13">
                        <c:v>1215.65075</c:v>
                      </c:pt>
                      <c:pt idx="14">
                        <c:v>1445.90085</c:v>
                      </c:pt>
                      <c:pt idx="15">
                        <c:v>1326.2848800000011</c:v>
                      </c:pt>
                      <c:pt idx="16">
                        <c:v>1200.1293099999994</c:v>
                      </c:pt>
                      <c:pt idx="17">
                        <c:v>1229.531649999999</c:v>
                      </c:pt>
                      <c:pt idx="18">
                        <c:v>1218.0430700000024</c:v>
                      </c:pt>
                      <c:pt idx="19">
                        <c:v>1357.9236899999996</c:v>
                      </c:pt>
                      <c:pt idx="20">
                        <c:v>1298.7723099999985</c:v>
                      </c:pt>
                      <c:pt idx="21">
                        <c:v>1083.6378500000028</c:v>
                      </c:pt>
                      <c:pt idx="22">
                        <c:v>1323.5491799999982</c:v>
                      </c:pt>
                      <c:pt idx="23">
                        <c:v>1528.8678199999995</c:v>
                      </c:pt>
                      <c:pt idx="24">
                        <c:v>1340.90383</c:v>
                      </c:pt>
                      <c:pt idx="25">
                        <c:v>1375.6854699999997</c:v>
                      </c:pt>
                      <c:pt idx="26">
                        <c:v>1659.5217500000008</c:v>
                      </c:pt>
                      <c:pt idx="27">
                        <c:v>1332.6840699999993</c:v>
                      </c:pt>
                      <c:pt idx="28">
                        <c:v>1745.2055600000003</c:v>
                      </c:pt>
                      <c:pt idx="29">
                        <c:v>1098.1647899999998</c:v>
                      </c:pt>
                      <c:pt idx="30">
                        <c:v>1488.1723400000028</c:v>
                      </c:pt>
                      <c:pt idx="31">
                        <c:v>1264.4617200000012</c:v>
                      </c:pt>
                      <c:pt idx="32">
                        <c:v>1422.5577999999969</c:v>
                      </c:pt>
                      <c:pt idx="33">
                        <c:v>1334.7221700000009</c:v>
                      </c:pt>
                      <c:pt idx="34">
                        <c:v>1322.4554199999984</c:v>
                      </c:pt>
                      <c:pt idx="35">
                        <c:v>1275.4285400000026</c:v>
                      </c:pt>
                      <c:pt idx="36">
                        <c:v>1354.9349999999999</c:v>
                      </c:pt>
                      <c:pt idx="37">
                        <c:v>1472.33986</c:v>
                      </c:pt>
                      <c:pt idx="38">
                        <c:v>1118.1142899999995</c:v>
                      </c:pt>
                      <c:pt idx="39">
                        <c:v>1362.9074900000001</c:v>
                      </c:pt>
                      <c:pt idx="40">
                        <c:v>1513.9719699999996</c:v>
                      </c:pt>
                      <c:pt idx="41">
                        <c:v>1056.3677600000001</c:v>
                      </c:pt>
                      <c:pt idx="42">
                        <c:v>1111.3171599999996</c:v>
                      </c:pt>
                      <c:pt idx="43">
                        <c:v>1378.936310000001</c:v>
                      </c:pt>
                      <c:pt idx="44">
                        <c:v>1124.2209600000006</c:v>
                      </c:pt>
                      <c:pt idx="45">
                        <c:v>1212.3275400000039</c:v>
                      </c:pt>
                      <c:pt idx="46">
                        <c:v>1193.4928099999961</c:v>
                      </c:pt>
                    </c:numCache>
                  </c:numRef>
                </c:val>
                <c:smooth val="0"/>
                <c:extLst xmlns:c15="http://schemas.microsoft.com/office/drawing/2012/chart">
                  <c:ext xmlns:c16="http://schemas.microsoft.com/office/drawing/2014/chart" uri="{C3380CC4-5D6E-409C-BE32-E72D297353CC}">
                    <c16:uniqueId val="{00000007-0E3D-4DD0-BB9E-A21731A035F0}"/>
                  </c:ext>
                </c:extLst>
              </c15:ser>
            </c15:filteredLineSeries>
          </c:ext>
        </c:extLst>
      </c:lineChart>
      <c:lineChart>
        <c:grouping val="standard"/>
        <c:varyColors val="0"/>
        <c:ser>
          <c:idx val="8"/>
          <c:order val="8"/>
          <c:tx>
            <c:strRef>
              <c:f>'Think Cell'!$A$76</c:f>
              <c:strCache>
                <c:ptCount val="1"/>
                <c:pt idx="0">
                  <c:v>TWC in % LTM Revenue </c:v>
                </c:pt>
              </c:strCache>
            </c:strRef>
          </c:tx>
          <c:spPr>
            <a:ln w="28575" cap="rnd">
              <a:solidFill>
                <a:srgbClr val="426FD2"/>
              </a:solidFill>
              <a:prstDash val="solid"/>
              <a:round/>
            </a:ln>
            <a:effectLst/>
          </c:spPr>
          <c:marker>
            <c:symbol val="none"/>
          </c:marker>
          <c:cat>
            <c:numRef>
              <c:f>'Think Cell'!$B$67:$AV$67</c:f>
              <c:numCache>
                <c:formatCode>[$-409]mmmyy</c:formatCode>
                <c:ptCount val="47"/>
                <c:pt idx="0">
                  <c:v>44592</c:v>
                </c:pt>
                <c:pt idx="1">
                  <c:v>44620</c:v>
                </c:pt>
                <c:pt idx="2">
                  <c:v>44651</c:v>
                </c:pt>
                <c:pt idx="3">
                  <c:v>44681</c:v>
                </c:pt>
                <c:pt idx="4">
                  <c:v>44712</c:v>
                </c:pt>
                <c:pt idx="5">
                  <c:v>44742</c:v>
                </c:pt>
                <c:pt idx="6">
                  <c:v>44773</c:v>
                </c:pt>
                <c:pt idx="7">
                  <c:v>44804</c:v>
                </c:pt>
                <c:pt idx="8">
                  <c:v>44834</c:v>
                </c:pt>
                <c:pt idx="9">
                  <c:v>44865</c:v>
                </c:pt>
                <c:pt idx="10">
                  <c:v>44895</c:v>
                </c:pt>
                <c:pt idx="11">
                  <c:v>44926</c:v>
                </c:pt>
                <c:pt idx="12">
                  <c:v>44957</c:v>
                </c:pt>
                <c:pt idx="13">
                  <c:v>44985</c:v>
                </c:pt>
                <c:pt idx="14">
                  <c:v>45016</c:v>
                </c:pt>
                <c:pt idx="15">
                  <c:v>45046</c:v>
                </c:pt>
                <c:pt idx="16">
                  <c:v>45077</c:v>
                </c:pt>
                <c:pt idx="17">
                  <c:v>45107</c:v>
                </c:pt>
                <c:pt idx="18">
                  <c:v>45138</c:v>
                </c:pt>
                <c:pt idx="19">
                  <c:v>45169</c:v>
                </c:pt>
                <c:pt idx="20">
                  <c:v>45199</c:v>
                </c:pt>
                <c:pt idx="21">
                  <c:v>45230</c:v>
                </c:pt>
                <c:pt idx="22">
                  <c:v>45260</c:v>
                </c:pt>
                <c:pt idx="23">
                  <c:v>45291</c:v>
                </c:pt>
                <c:pt idx="24">
                  <c:v>45322</c:v>
                </c:pt>
                <c:pt idx="25">
                  <c:v>45351</c:v>
                </c:pt>
                <c:pt idx="26">
                  <c:v>45382</c:v>
                </c:pt>
                <c:pt idx="27">
                  <c:v>45412</c:v>
                </c:pt>
                <c:pt idx="28">
                  <c:v>45443</c:v>
                </c:pt>
                <c:pt idx="29">
                  <c:v>45473</c:v>
                </c:pt>
                <c:pt idx="30">
                  <c:v>45504</c:v>
                </c:pt>
                <c:pt idx="31">
                  <c:v>45535</c:v>
                </c:pt>
                <c:pt idx="32">
                  <c:v>45565</c:v>
                </c:pt>
                <c:pt idx="33">
                  <c:v>45596</c:v>
                </c:pt>
                <c:pt idx="34">
                  <c:v>45626</c:v>
                </c:pt>
                <c:pt idx="35">
                  <c:v>45657</c:v>
                </c:pt>
                <c:pt idx="36">
                  <c:v>45688</c:v>
                </c:pt>
                <c:pt idx="37">
                  <c:v>45716</c:v>
                </c:pt>
                <c:pt idx="38">
                  <c:v>45747</c:v>
                </c:pt>
                <c:pt idx="39">
                  <c:v>45777</c:v>
                </c:pt>
                <c:pt idx="40">
                  <c:v>45808</c:v>
                </c:pt>
                <c:pt idx="41">
                  <c:v>45838</c:v>
                </c:pt>
                <c:pt idx="42">
                  <c:v>45869</c:v>
                </c:pt>
                <c:pt idx="43">
                  <c:v>45900</c:v>
                </c:pt>
                <c:pt idx="44">
                  <c:v>45930</c:v>
                </c:pt>
                <c:pt idx="45">
                  <c:v>45961</c:v>
                </c:pt>
                <c:pt idx="46">
                  <c:v>45991</c:v>
                </c:pt>
              </c:numCache>
            </c:numRef>
          </c:cat>
          <c:val>
            <c:numRef>
              <c:f>'Think Cell'!$B$76:$AV$76</c:f>
              <c:numCache>
                <c:formatCode>0%</c:formatCode>
                <c:ptCount val="47"/>
                <c:pt idx="0">
                  <c:v>0</c:v>
                </c:pt>
                <c:pt idx="1">
                  <c:v>0</c:v>
                </c:pt>
                <c:pt idx="2">
                  <c:v>0</c:v>
                </c:pt>
                <c:pt idx="3">
                  <c:v>0</c:v>
                </c:pt>
                <c:pt idx="4">
                  <c:v>0</c:v>
                </c:pt>
                <c:pt idx="5">
                  <c:v>0</c:v>
                </c:pt>
                <c:pt idx="6">
                  <c:v>0</c:v>
                </c:pt>
                <c:pt idx="7">
                  <c:v>0</c:v>
                </c:pt>
                <c:pt idx="8">
                  <c:v>0</c:v>
                </c:pt>
                <c:pt idx="9">
                  <c:v>0</c:v>
                </c:pt>
                <c:pt idx="10">
                  <c:v>0</c:v>
                </c:pt>
                <c:pt idx="11">
                  <c:v>0.17841840192189365</c:v>
                </c:pt>
                <c:pt idx="12">
                  <c:v>0</c:v>
                </c:pt>
                <c:pt idx="13">
                  <c:v>0</c:v>
                </c:pt>
                <c:pt idx="14">
                  <c:v>0</c:v>
                </c:pt>
                <c:pt idx="15">
                  <c:v>0</c:v>
                </c:pt>
                <c:pt idx="16">
                  <c:v>0</c:v>
                </c:pt>
                <c:pt idx="17">
                  <c:v>0</c:v>
                </c:pt>
                <c:pt idx="18">
                  <c:v>0</c:v>
                </c:pt>
                <c:pt idx="19">
                  <c:v>0</c:v>
                </c:pt>
                <c:pt idx="20">
                  <c:v>0</c:v>
                </c:pt>
                <c:pt idx="21">
                  <c:v>0</c:v>
                </c:pt>
                <c:pt idx="22">
                  <c:v>0</c:v>
                </c:pt>
                <c:pt idx="23">
                  <c:v>0.21808172888825267</c:v>
                </c:pt>
                <c:pt idx="24">
                  <c:v>0.21109338728767013</c:v>
                </c:pt>
                <c:pt idx="25">
                  <c:v>0.23657202617620079</c:v>
                </c:pt>
                <c:pt idx="26">
                  <c:v>0.2421718377730965</c:v>
                </c:pt>
                <c:pt idx="27">
                  <c:v>0.2314582923961942</c:v>
                </c:pt>
                <c:pt idx="28">
                  <c:v>0.20403246964998042</c:v>
                </c:pt>
                <c:pt idx="29">
                  <c:v>0.20506773255519267</c:v>
                </c:pt>
                <c:pt idx="30">
                  <c:v>0.14439568195026981</c:v>
                </c:pt>
                <c:pt idx="31">
                  <c:v>0.17224839976119194</c:v>
                </c:pt>
                <c:pt idx="32">
                  <c:v>0.17687095645016926</c:v>
                </c:pt>
                <c:pt idx="33">
                  <c:v>0.20623825781630567</c:v>
                </c:pt>
                <c:pt idx="34">
                  <c:v>0.18846259614344171</c:v>
                </c:pt>
                <c:pt idx="35">
                  <c:v>0.27456524745583083</c:v>
                </c:pt>
                <c:pt idx="36">
                  <c:v>0.25866794764584855</c:v>
                </c:pt>
                <c:pt idx="37">
                  <c:v>0.27365742700397883</c:v>
                </c:pt>
                <c:pt idx="38">
                  <c:v>0.29288721856944255</c:v>
                </c:pt>
                <c:pt idx="39">
                  <c:v>0.29394171431094651</c:v>
                </c:pt>
                <c:pt idx="40">
                  <c:v>0.31333866462231053</c:v>
                </c:pt>
                <c:pt idx="41">
                  <c:v>0.33824564741777724</c:v>
                </c:pt>
                <c:pt idx="42">
                  <c:v>0.30043751313992823</c:v>
                </c:pt>
                <c:pt idx="43">
                  <c:v>0.33120329567532381</c:v>
                </c:pt>
                <c:pt idx="44">
                  <c:v>0.33277554640048745</c:v>
                </c:pt>
                <c:pt idx="45">
                  <c:v>0.34005538326798485</c:v>
                </c:pt>
                <c:pt idx="46">
                  <c:v>0.31653310308476024</c:v>
                </c:pt>
              </c:numCache>
            </c:numRef>
          </c:val>
          <c:smooth val="0"/>
          <c:extLst>
            <c:ext xmlns:c16="http://schemas.microsoft.com/office/drawing/2014/chart" uri="{C3380CC4-5D6E-409C-BE32-E72D297353CC}">
              <c16:uniqueId val="{00000008-0E3D-4DD0-BB9E-A21731A035F0}"/>
            </c:ext>
          </c:extLst>
        </c:ser>
        <c:dLbls>
          <c:showLegendKey val="0"/>
          <c:showVal val="0"/>
          <c:showCatName val="0"/>
          <c:showSerName val="0"/>
          <c:showPercent val="0"/>
          <c:showBubbleSize val="0"/>
        </c:dLbls>
        <c:marker val="1"/>
        <c:smooth val="0"/>
        <c:axId val="1406529295"/>
        <c:axId val="1406532175"/>
      </c:lineChart>
      <c:dateAx>
        <c:axId val="329474528"/>
        <c:scaling>
          <c:orientation val="minMax"/>
        </c:scaling>
        <c:delete val="0"/>
        <c:axPos val="b"/>
        <c:numFmt formatCode="[$-409]mmmyy" sourceLinked="1"/>
        <c:majorTickMark val="out"/>
        <c:minorTickMark val="none"/>
        <c:tickLblPos val="nextTo"/>
        <c:spPr>
          <a:noFill/>
          <a:ln w="9525" cap="flat" cmpd="sng" algn="ctr">
            <a:solidFill>
              <a:srgbClr val="595959"/>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de-DE"/>
          </a:p>
        </c:txPr>
        <c:crossAx val="329475488"/>
        <c:crosses val="autoZero"/>
        <c:auto val="1"/>
        <c:lblOffset val="100"/>
        <c:baseTimeUnit val="months"/>
      </c:dateAx>
      <c:valAx>
        <c:axId val="329475488"/>
        <c:scaling>
          <c:orientation val="minMax"/>
        </c:scaling>
        <c:delete val="0"/>
        <c:axPos val="l"/>
        <c:majorGridlines>
          <c:spPr>
            <a:ln w="9525" cap="flat" cmpd="sng" algn="ctr">
              <a:solidFill>
                <a:srgbClr val="868686"/>
              </a:solidFill>
              <a:prstDash val="solid"/>
              <a:round/>
            </a:ln>
            <a:effectLst/>
          </c:spPr>
        </c:majorGridlines>
        <c:numFmt formatCode="_(* #,##0_);_(* \(#,##0\);_(* &quot;-&quot;?_);@_)" sourceLinked="1"/>
        <c:majorTickMark val="out"/>
        <c:minorTickMark val="none"/>
        <c:tickLblPos val="nextTo"/>
        <c:spPr>
          <a:noFill/>
          <a:ln w="9525">
            <a:solidFill>
              <a:srgbClr val="595959"/>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de-DE"/>
          </a:p>
        </c:txPr>
        <c:crossAx val="329474528"/>
        <c:crosses val="autoZero"/>
        <c:crossBetween val="between"/>
      </c:valAx>
      <c:valAx>
        <c:axId val="140653217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a:ea typeface="Arial"/>
                <a:cs typeface="Arial"/>
              </a:defRPr>
            </a:pPr>
            <a:endParaRPr lang="de-DE"/>
          </a:p>
        </c:txPr>
        <c:crossAx val="1406529295"/>
        <c:crosses val="max"/>
        <c:crossBetween val="between"/>
      </c:valAx>
      <c:dateAx>
        <c:axId val="1406529295"/>
        <c:scaling>
          <c:orientation val="minMax"/>
        </c:scaling>
        <c:delete val="1"/>
        <c:axPos val="b"/>
        <c:numFmt formatCode="[$-409]mmmyy" sourceLinked="1"/>
        <c:majorTickMark val="out"/>
        <c:minorTickMark val="none"/>
        <c:tickLblPos val="nextTo"/>
        <c:crossAx val="1406532175"/>
        <c:crosses val="autoZero"/>
        <c:auto val="1"/>
        <c:lblOffset val="100"/>
        <c:baseTimeUnit val="months"/>
        <c:majorUnit val="1"/>
        <c:minorUnit val="1"/>
      </c:dateAx>
      <c:spPr>
        <a:noFill/>
        <a:ln w="25400">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000000"/>
              </a:solidFill>
              <a:latin typeface="Arial"/>
              <a:ea typeface="Arial"/>
              <a:cs typeface="Arial"/>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800">
          <a:latin typeface="Arial"/>
          <a:ea typeface="Arial"/>
          <a:cs typeface="Arial"/>
        </a:defRPr>
      </a:pPr>
      <a:endParaRPr lang="de-DE"/>
    </a:p>
  </c:txPr>
  <c:printSettings>
    <c:headerFooter/>
    <c:pageMargins b="0.78740157499999996" l="0.7" r="0.7" t="0.78740157499999996"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_xlchart.v5.0</cx:f>
      </cx:strDim>
      <cx:numDim type="val">
        <cx:f dir="row">_xlchart.v5.1</cx:f>
      </cx:numDim>
    </cx:data>
  </cx:chartData>
  <cx:chart>
    <cx:title pos="t" align="ctr" overlay="0">
      <cx:tx>
        <cx:txData>
          <cx:v>EBITDA Bridge</cx:v>
        </cx:txData>
      </cx:tx>
      <cx:txPr>
        <a:bodyPr spcFirstLastPara="1" vertOverflow="ellipsis" horzOverflow="overflow" wrap="square" lIns="0" tIns="0" rIns="0" bIns="0" anchor="ctr" anchorCtr="1"/>
        <a:lstStyle/>
        <a:p>
          <a:pPr algn="ctr" rtl="0">
            <a:defRPr/>
          </a:pPr>
          <a:r>
            <a:rPr lang="de-DE" sz="1400" b="1" i="0" u="none" strike="noStrike" baseline="0">
              <a:solidFill>
                <a:sysClr val="windowText" lastClr="000000"/>
              </a:solidFill>
              <a:latin typeface="Arial" panose="020B0604020202020204" pitchFamily="34" charset="0"/>
              <a:cs typeface="Arial" panose="020B0604020202020204" pitchFamily="34" charset="0"/>
            </a:rPr>
            <a:t>EBITDA Bridge</a:t>
          </a:r>
        </a:p>
      </cx:txPr>
    </cx:title>
    <cx:plotArea>
      <cx:plotAreaRegion>
        <cx:series layoutId="waterfall" uniqueId="{CC81C4F8-789B-4560-B452-8B837893321A}">
          <cx:tx>
            <cx:txData>
              <cx:f>_xlchart.v5.0</cx:f>
              <cx:v>EBITDA FY22 Act. ∆ Revenues  ∆ Change in inventory  ∆ Own work capitalized  ∆ Dummy 1  ∆ Dummy 2  ∆ Dummy 3  ∆ Cost of materials  ∆ Personnel expenses  ∆ Premise costs  ∆ Repair and maintenance  ∆ Sales costs  ∆ Delivery costs  ∆ Vehicle costs  ∆ Insurance, contributions and levies expenses  ∆ Advertising and travel expenses  ∆ Other operating income  ∆ Other operating expenses  ∆ Dummy 1  ∆ Dummy 2  ∆ Dummy 3  EBITDA FY23 Act. ∆ Revenues  ∆ Change in inventory  ∆ Own work capitalized  ∆ Dummy 1  ∆ Dummy 2  ∆ Dummy 3  ∆ Cost of materials  ∆ Personnel expenses  ∆ Premise costs  ∆ Repair and maintenance  ∆ Sales costs  ∆ Delivery costs  ∆ Vehicle costs  ∆ Insurance, contributions and levies expenses  ∆ Advertising and travel expenses  ∆ Other operating income  ∆ Other operating expenses  ∆ Dummy 1  ∆ Dummy 2  ∆ Dummy 3  EBITDA FY24 Act.</cx:v>
            </cx:txData>
          </cx:tx>
          <cx:dataLabels pos="outEnd">
            <cx:visibility seriesName="0" categoryName="0" value="1"/>
          </cx:dataLabels>
          <cx:dataId val="0"/>
          <cx:layoutPr>
            <cx:visibility connectorLines="1"/>
            <cx:subtotals>
              <cx:idx val="0"/>
              <cx:idx val="21"/>
              <cx:idx val="42"/>
            </cx:subtotals>
          </cx:layoutPr>
        </cx:series>
      </cx:plotAreaRegion>
      <cx:axis id="0">
        <cx:catScaling gapWidth="0.5"/>
        <cx:tickLabels/>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pPr>
          <a:endParaRPr lang="de-DE" sz="900" b="0" i="0" u="none" strike="noStrike" baseline="0">
            <a:solidFill>
              <a:srgbClr val="000000">
                <a:lumMod val="65000"/>
                <a:lumOff val="35000"/>
              </a:srgbClr>
            </a:solidFill>
            <a:latin typeface="Calibri" panose="020F0502020204030204"/>
          </a:endParaRPr>
        </a:p>
      </cx:txPr>
    </cx:legend>
  </cx:chart>
  <cx:fmtOvrs>
    <cx:fmtOvr idx="2">
      <cx:spPr>
        <a:solidFill>
          <a:schemeClr val="accent1"/>
        </a:solidFill>
      </cx:spPr>
    </cx:fmtOvr>
    <cx:fmtOvr idx="0">
      <cx:spPr>
        <a:solidFill>
          <a:srgbClr val="CCFF66"/>
        </a:solidFill>
      </cx:spPr>
    </cx:fmtOvr>
    <cx:fmtOvr idx="1">
      <cx:spPr>
        <a:solidFill>
          <a:schemeClr val="accent6"/>
        </a:solidFill>
      </cx:spPr>
    </cx:fmtOvr>
  </cx:fmtOvr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chart" Target="../charts/chart2.xml"/><Relationship Id="rId2" Type="http://schemas.openxmlformats.org/officeDocument/2006/relationships/image" Target="../media/image7.png"/><Relationship Id="rId1" Type="http://schemas.openxmlformats.org/officeDocument/2006/relationships/image" Target="../media/image6.png"/><Relationship Id="rId6" Type="http://schemas.microsoft.com/office/2014/relationships/chartEx" Target="../charts/chartEx1.xml"/><Relationship Id="rId5" Type="http://schemas.openxmlformats.org/officeDocument/2006/relationships/image" Target="../media/image10.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12</xdr:col>
      <xdr:colOff>553403</xdr:colOff>
      <xdr:row>3</xdr:row>
      <xdr:rowOff>5714</xdr:rowOff>
    </xdr:from>
    <xdr:ext cx="2776565" cy="720000"/>
    <xdr:pic>
      <xdr:nvPicPr>
        <xdr:cNvPr id="2" name="Bild 1" descr="https://www.bakertilly.de/fileadmin/public/Images/Logos/EMail/bakertilly_email.png">
          <a:extLst>
            <a:ext uri="{FF2B5EF4-FFF2-40B4-BE49-F238E27FC236}">
              <a16:creationId xmlns:a16="http://schemas.microsoft.com/office/drawing/2014/main" id="{EF5C337B-3821-4B83-AA06-CF02CE7FDC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8603" y="434339"/>
          <a:ext cx="2776565" cy="720000"/>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6</xdr:col>
      <xdr:colOff>0</xdr:colOff>
      <xdr:row>37</xdr:row>
      <xdr:rowOff>0</xdr:rowOff>
    </xdr:from>
    <xdr:ext cx="65" cy="172227"/>
    <xdr:sp macro="" textlink="">
      <xdr:nvSpPr>
        <xdr:cNvPr id="2" name="Textfeld 1">
          <a:extLst>
            <a:ext uri="{FF2B5EF4-FFF2-40B4-BE49-F238E27FC236}">
              <a16:creationId xmlns:a16="http://schemas.microsoft.com/office/drawing/2014/main" id="{A030BEA1-C65D-48A8-B8B9-5B01E8F604A5}"/>
            </a:ext>
          </a:extLst>
        </xdr:cNvPr>
        <xdr:cNvSpPr txBox="1"/>
      </xdr:nvSpPr>
      <xdr:spPr>
        <a:xfrm>
          <a:off x="4514850" y="5143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24</xdr:col>
      <xdr:colOff>95250</xdr:colOff>
      <xdr:row>4</xdr:row>
      <xdr:rowOff>114300</xdr:rowOff>
    </xdr:from>
    <xdr:to>
      <xdr:col>33</xdr:col>
      <xdr:colOff>530457</xdr:colOff>
      <xdr:row>37</xdr:row>
      <xdr:rowOff>94071</xdr:rowOff>
    </xdr:to>
    <xdr:pic>
      <xdr:nvPicPr>
        <xdr:cNvPr id="2" name="Grafik 1">
          <a:extLst>
            <a:ext uri="{FF2B5EF4-FFF2-40B4-BE49-F238E27FC236}">
              <a16:creationId xmlns:a16="http://schemas.microsoft.com/office/drawing/2014/main" id="{BC716317-4C7F-4B0F-A4FA-FB53C8D021EC}"/>
            </a:ext>
          </a:extLst>
        </xdr:cNvPr>
        <xdr:cNvPicPr>
          <a:picLocks noChangeAspect="1"/>
        </xdr:cNvPicPr>
      </xdr:nvPicPr>
      <xdr:blipFill>
        <a:blip xmlns:r="http://schemas.openxmlformats.org/officeDocument/2006/relationships" r:embed="rId1"/>
        <a:stretch>
          <a:fillRect/>
        </a:stretch>
      </xdr:blipFill>
      <xdr:spPr>
        <a:xfrm>
          <a:off x="10363200" y="542925"/>
          <a:ext cx="7207482" cy="3037296"/>
        </a:xfrm>
        <a:prstGeom prst="rect">
          <a:avLst/>
        </a:prstGeom>
      </xdr:spPr>
    </xdr:pic>
    <xdr:clientData/>
  </xdr:twoCellAnchor>
  <xdr:twoCellAnchor editAs="oneCell">
    <xdr:from>
      <xdr:col>24</xdr:col>
      <xdr:colOff>142875</xdr:colOff>
      <xdr:row>41</xdr:row>
      <xdr:rowOff>19050</xdr:rowOff>
    </xdr:from>
    <xdr:to>
      <xdr:col>34</xdr:col>
      <xdr:colOff>54563</xdr:colOff>
      <xdr:row>51</xdr:row>
      <xdr:rowOff>82256</xdr:rowOff>
    </xdr:to>
    <xdr:pic>
      <xdr:nvPicPr>
        <xdr:cNvPr id="3" name="Grafik 2">
          <a:extLst>
            <a:ext uri="{FF2B5EF4-FFF2-40B4-BE49-F238E27FC236}">
              <a16:creationId xmlns:a16="http://schemas.microsoft.com/office/drawing/2014/main" id="{3D140E5E-3346-4082-AF3C-B8A6166E82FB}"/>
            </a:ext>
          </a:extLst>
        </xdr:cNvPr>
        <xdr:cNvPicPr>
          <a:picLocks noChangeAspect="1"/>
        </xdr:cNvPicPr>
      </xdr:nvPicPr>
      <xdr:blipFill>
        <a:blip xmlns:r="http://schemas.openxmlformats.org/officeDocument/2006/relationships" r:embed="rId2"/>
        <a:stretch>
          <a:fillRect/>
        </a:stretch>
      </xdr:blipFill>
      <xdr:spPr>
        <a:xfrm>
          <a:off x="10410825" y="4362450"/>
          <a:ext cx="7436438" cy="1263356"/>
        </a:xfrm>
        <a:prstGeom prst="rect">
          <a:avLst/>
        </a:prstGeom>
      </xdr:spPr>
    </xdr:pic>
    <xdr:clientData/>
  </xdr:twoCellAnchor>
  <xdr:twoCellAnchor editAs="oneCell">
    <xdr:from>
      <xdr:col>24</xdr:col>
      <xdr:colOff>304800</xdr:colOff>
      <xdr:row>53</xdr:row>
      <xdr:rowOff>36858</xdr:rowOff>
    </xdr:from>
    <xdr:to>
      <xdr:col>33</xdr:col>
      <xdr:colOff>302296</xdr:colOff>
      <xdr:row>103</xdr:row>
      <xdr:rowOff>15688</xdr:rowOff>
    </xdr:to>
    <xdr:pic>
      <xdr:nvPicPr>
        <xdr:cNvPr id="4" name="Grafik 3">
          <a:extLst>
            <a:ext uri="{FF2B5EF4-FFF2-40B4-BE49-F238E27FC236}">
              <a16:creationId xmlns:a16="http://schemas.microsoft.com/office/drawing/2014/main" id="{5C02F086-63B1-4FB9-9EB0-A48FBDFCC032}"/>
            </a:ext>
          </a:extLst>
        </xdr:cNvPr>
        <xdr:cNvPicPr>
          <a:picLocks noChangeAspect="1"/>
        </xdr:cNvPicPr>
      </xdr:nvPicPr>
      <xdr:blipFill>
        <a:blip xmlns:r="http://schemas.openxmlformats.org/officeDocument/2006/relationships" r:embed="rId3"/>
        <a:stretch>
          <a:fillRect/>
        </a:stretch>
      </xdr:blipFill>
      <xdr:spPr>
        <a:xfrm>
          <a:off x="10572750" y="5866158"/>
          <a:ext cx="6769771" cy="7122581"/>
        </a:xfrm>
        <a:prstGeom prst="rect">
          <a:avLst/>
        </a:prstGeom>
      </xdr:spPr>
    </xdr:pic>
    <xdr:clientData/>
  </xdr:twoCellAnchor>
  <xdr:twoCellAnchor editAs="oneCell">
    <xdr:from>
      <xdr:col>24</xdr:col>
      <xdr:colOff>504824</xdr:colOff>
      <xdr:row>104</xdr:row>
      <xdr:rowOff>26318</xdr:rowOff>
    </xdr:from>
    <xdr:to>
      <xdr:col>33</xdr:col>
      <xdr:colOff>337848</xdr:colOff>
      <xdr:row>108</xdr:row>
      <xdr:rowOff>133350</xdr:rowOff>
    </xdr:to>
    <xdr:pic>
      <xdr:nvPicPr>
        <xdr:cNvPr id="5" name="Grafik 4">
          <a:extLst>
            <a:ext uri="{FF2B5EF4-FFF2-40B4-BE49-F238E27FC236}">
              <a16:creationId xmlns:a16="http://schemas.microsoft.com/office/drawing/2014/main" id="{015E3F7D-178F-C6AC-625B-9E03BF386C18}"/>
            </a:ext>
          </a:extLst>
        </xdr:cNvPr>
        <xdr:cNvPicPr>
          <a:picLocks noChangeAspect="1"/>
        </xdr:cNvPicPr>
      </xdr:nvPicPr>
      <xdr:blipFill>
        <a:blip xmlns:r="http://schemas.openxmlformats.org/officeDocument/2006/relationships" r:embed="rId4"/>
        <a:stretch>
          <a:fillRect/>
        </a:stretch>
      </xdr:blipFill>
      <xdr:spPr>
        <a:xfrm>
          <a:off x="10772774" y="13142243"/>
          <a:ext cx="6605299" cy="6785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52</xdr:col>
      <xdr:colOff>581025</xdr:colOff>
      <xdr:row>50</xdr:row>
      <xdr:rowOff>123825</xdr:rowOff>
    </xdr:from>
    <xdr:to>
      <xdr:col>101</xdr:col>
      <xdr:colOff>381000</xdr:colOff>
      <xdr:row>110</xdr:row>
      <xdr:rowOff>95250</xdr:rowOff>
    </xdr:to>
    <xdr:graphicFrame macro="">
      <xdr:nvGraphicFramePr>
        <xdr:cNvPr id="2" name="Diagramm 1">
          <a:extLst>
            <a:ext uri="{FF2B5EF4-FFF2-40B4-BE49-F238E27FC236}">
              <a16:creationId xmlns:a16="http://schemas.microsoft.com/office/drawing/2014/main" id="{9F6540CA-8142-4CC1-93E7-EA9A9CD03B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0.01111</cdr:x>
      <cdr:y>0.01852</cdr:y>
    </cdr:from>
    <cdr:to>
      <cdr:x>0.01111</cdr:x>
      <cdr:y>0.01852</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578D73EB-8491-A9FB-2DF8-DB13DA2C0306}"/>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de-DE"/>
        </a:p>
      </cdr:txBody>
    </cdr:sp>
  </cdr:relSizeAnchor>
</c:userShapes>
</file>

<file path=xl/drawings/drawing6.xml><?xml version="1.0" encoding="utf-8"?>
<xdr:wsDr xmlns:xdr="http://schemas.openxmlformats.org/drawingml/2006/spreadsheetDrawing" xmlns:a="http://schemas.openxmlformats.org/drawingml/2006/main">
  <xdr:oneCellAnchor>
    <xdr:from>
      <xdr:col>3</xdr:col>
      <xdr:colOff>5557157</xdr:colOff>
      <xdr:row>341</xdr:row>
      <xdr:rowOff>80282</xdr:rowOff>
    </xdr:from>
    <xdr:ext cx="65" cy="172227"/>
    <xdr:sp macro="" textlink="">
      <xdr:nvSpPr>
        <xdr:cNvPr id="2" name="TextBox 1">
          <a:extLst>
            <a:ext uri="{FF2B5EF4-FFF2-40B4-BE49-F238E27FC236}">
              <a16:creationId xmlns:a16="http://schemas.microsoft.com/office/drawing/2014/main" id="{E9B94FD7-EC97-7A5F-2A45-4CD5B407BBE6}"/>
            </a:ext>
          </a:extLst>
        </xdr:cNvPr>
        <xdr:cNvSpPr txBox="1"/>
      </xdr:nvSpPr>
      <xdr:spPr>
        <a:xfrm>
          <a:off x="9489621" y="4284889"/>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8</xdr:col>
      <xdr:colOff>443865</xdr:colOff>
      <xdr:row>98</xdr:row>
      <xdr:rowOff>47625</xdr:rowOff>
    </xdr:from>
    <xdr:ext cx="2167890" cy="1701487"/>
    <xdr:pic>
      <xdr:nvPicPr>
        <xdr:cNvPr id="3" name="Grafik 7">
          <a:extLst>
            <a:ext uri="{FF2B5EF4-FFF2-40B4-BE49-F238E27FC236}">
              <a16:creationId xmlns:a16="http://schemas.microsoft.com/office/drawing/2014/main" id="{921077C1-3400-4653-9E33-818F28F0905D}"/>
            </a:ext>
          </a:extLst>
        </xdr:cNvPr>
        <xdr:cNvPicPr>
          <a:picLocks noChangeAspect="1"/>
        </xdr:cNvPicPr>
      </xdr:nvPicPr>
      <xdr:blipFill>
        <a:blip xmlns:r="http://schemas.openxmlformats.org/officeDocument/2006/relationships" r:embed="rId1"/>
        <a:stretch>
          <a:fillRect/>
        </a:stretch>
      </xdr:blipFill>
      <xdr:spPr>
        <a:xfrm>
          <a:off x="6311265" y="11906250"/>
          <a:ext cx="2167890" cy="1701487"/>
        </a:xfrm>
        <a:prstGeom prst="rect">
          <a:avLst/>
        </a:prstGeom>
        <a:ln>
          <a:solidFill>
            <a:srgbClr val="000000"/>
          </a:solidFill>
        </a:ln>
      </xdr:spPr>
    </xdr:pic>
    <xdr:clientData/>
  </xdr:oneCellAnchor>
  <xdr:oneCellAnchor>
    <xdr:from>
      <xdr:col>8</xdr:col>
      <xdr:colOff>443865</xdr:colOff>
      <xdr:row>132</xdr:row>
      <xdr:rowOff>95249</xdr:rowOff>
    </xdr:from>
    <xdr:ext cx="6675726" cy="2085611"/>
    <xdr:pic>
      <xdr:nvPicPr>
        <xdr:cNvPr id="4" name="Grafik 4">
          <a:extLst>
            <a:ext uri="{FF2B5EF4-FFF2-40B4-BE49-F238E27FC236}">
              <a16:creationId xmlns:a16="http://schemas.microsoft.com/office/drawing/2014/main" id="{809A6518-E00D-4A40-AA99-B8703043C0B8}"/>
            </a:ext>
          </a:extLst>
        </xdr:cNvPr>
        <xdr:cNvPicPr>
          <a:picLocks noChangeAspect="1"/>
        </xdr:cNvPicPr>
      </xdr:nvPicPr>
      <xdr:blipFill>
        <a:blip xmlns:r="http://schemas.openxmlformats.org/officeDocument/2006/relationships" r:embed="rId2"/>
        <a:stretch>
          <a:fillRect/>
        </a:stretch>
      </xdr:blipFill>
      <xdr:spPr>
        <a:xfrm>
          <a:off x="6311265" y="16811624"/>
          <a:ext cx="6675726" cy="2085611"/>
        </a:xfrm>
        <a:prstGeom prst="rect">
          <a:avLst/>
        </a:prstGeom>
        <a:ln>
          <a:solidFill>
            <a:schemeClr val="tx1"/>
          </a:solidFill>
        </a:ln>
      </xdr:spPr>
    </xdr:pic>
    <xdr:clientData/>
  </xdr:oneCellAnchor>
  <xdr:oneCellAnchor>
    <xdr:from>
      <xdr:col>8</xdr:col>
      <xdr:colOff>443865</xdr:colOff>
      <xdr:row>113</xdr:row>
      <xdr:rowOff>135128</xdr:rowOff>
    </xdr:from>
    <xdr:ext cx="3920490" cy="2064840"/>
    <xdr:pic>
      <xdr:nvPicPr>
        <xdr:cNvPr id="5" name="Grafik 5">
          <a:extLst>
            <a:ext uri="{FF2B5EF4-FFF2-40B4-BE49-F238E27FC236}">
              <a16:creationId xmlns:a16="http://schemas.microsoft.com/office/drawing/2014/main" id="{5A3C7CB3-74E1-4759-97FA-057BCC9B7E7F}"/>
            </a:ext>
          </a:extLst>
        </xdr:cNvPr>
        <xdr:cNvPicPr>
          <a:picLocks noChangeAspect="1"/>
        </xdr:cNvPicPr>
      </xdr:nvPicPr>
      <xdr:blipFill>
        <a:blip xmlns:r="http://schemas.openxmlformats.org/officeDocument/2006/relationships" r:embed="rId3"/>
        <a:stretch>
          <a:fillRect/>
        </a:stretch>
      </xdr:blipFill>
      <xdr:spPr>
        <a:xfrm>
          <a:off x="6311265" y="14136878"/>
          <a:ext cx="3920490" cy="2064840"/>
        </a:xfrm>
        <a:prstGeom prst="rect">
          <a:avLst/>
        </a:prstGeom>
        <a:ln>
          <a:solidFill>
            <a:schemeClr val="tx1"/>
          </a:solidFill>
        </a:ln>
      </xdr:spPr>
    </xdr:pic>
    <xdr:clientData/>
  </xdr:oneCellAnchor>
  <xdr:oneCellAnchor>
    <xdr:from>
      <xdr:col>12</xdr:col>
      <xdr:colOff>91440</xdr:colOff>
      <xdr:row>1</xdr:row>
      <xdr:rowOff>38100</xdr:rowOff>
    </xdr:from>
    <xdr:ext cx="2497455" cy="1150620"/>
    <xdr:pic>
      <xdr:nvPicPr>
        <xdr:cNvPr id="6" name="Picture 9">
          <a:extLst>
            <a:ext uri="{FF2B5EF4-FFF2-40B4-BE49-F238E27FC236}">
              <a16:creationId xmlns:a16="http://schemas.microsoft.com/office/drawing/2014/main" id="{E9A57318-0063-45D3-AAF9-A21CB9452F84}"/>
            </a:ext>
          </a:extLst>
        </xdr:cNvPr>
        <xdr:cNvPicPr>
          <a:picLocks/>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8892540" y="180975"/>
          <a:ext cx="2497455" cy="1150620"/>
        </a:xfrm>
        <a:prstGeom prst="rect">
          <a:avLst/>
        </a:prstGeom>
        <a:ln>
          <a:solidFill>
            <a:schemeClr val="tx1"/>
          </a:solidFill>
        </a:ln>
      </xdr:spPr>
    </xdr:pic>
    <xdr:clientData/>
  </xdr:oneCellAnchor>
  <xdr:oneCellAnchor>
    <xdr:from>
      <xdr:col>12</xdr:col>
      <xdr:colOff>91440</xdr:colOff>
      <xdr:row>11</xdr:row>
      <xdr:rowOff>114300</xdr:rowOff>
    </xdr:from>
    <xdr:ext cx="3507740" cy="1790700"/>
    <xdr:pic>
      <xdr:nvPicPr>
        <xdr:cNvPr id="7" name="Picture 11">
          <a:extLst>
            <a:ext uri="{FF2B5EF4-FFF2-40B4-BE49-F238E27FC236}">
              <a16:creationId xmlns:a16="http://schemas.microsoft.com/office/drawing/2014/main" id="{9A398F09-85D3-49C8-8BAE-5E93E22E024A}"/>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892540" y="1685925"/>
          <a:ext cx="3507740" cy="1790700"/>
        </a:xfrm>
        <a:prstGeom prst="rect">
          <a:avLst/>
        </a:prstGeom>
        <a:ln>
          <a:solidFill>
            <a:schemeClr val="tx1"/>
          </a:solidFill>
        </a:ln>
      </xdr:spPr>
    </xdr:pic>
    <xdr:clientData/>
  </xdr:oneCellAnchor>
  <xdr:twoCellAnchor>
    <xdr:from>
      <xdr:col>0</xdr:col>
      <xdr:colOff>1081363</xdr:colOff>
      <xdr:row>34</xdr:row>
      <xdr:rowOff>63159</xdr:rowOff>
    </xdr:from>
    <xdr:to>
      <xdr:col>20</xdr:col>
      <xdr:colOff>643828</xdr:colOff>
      <xdr:row>58</xdr:row>
      <xdr:rowOff>132433</xdr:rowOff>
    </xdr:to>
    <mc:AlternateContent xmlns:mc="http://schemas.openxmlformats.org/markup-compatibility/2006">
      <mc:Choice xmlns:cx4="http://schemas.microsoft.com/office/drawing/2016/5/10/chartex" Requires="cx4">
        <xdr:graphicFrame macro="">
          <xdr:nvGraphicFramePr>
            <xdr:cNvPr id="9" name="Diagramm 8">
              <a:extLst>
                <a:ext uri="{FF2B5EF4-FFF2-40B4-BE49-F238E27FC236}">
                  <a16:creationId xmlns:a16="http://schemas.microsoft.com/office/drawing/2014/main" id="{4BC3AE30-77DB-D954-44BD-7A53259927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81363" y="5073309"/>
              <a:ext cx="15192990" cy="37268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274542</xdr:colOff>
      <xdr:row>76</xdr:row>
      <xdr:rowOff>45943</xdr:rowOff>
    </xdr:from>
    <xdr:to>
      <xdr:col>10</xdr:col>
      <xdr:colOff>683558</xdr:colOff>
      <xdr:row>95</xdr:row>
      <xdr:rowOff>67236</xdr:rowOff>
    </xdr:to>
    <xdr:graphicFrame macro="">
      <xdr:nvGraphicFramePr>
        <xdr:cNvPr id="11" name="Diagramm 10">
          <a:extLst>
            <a:ext uri="{FF2B5EF4-FFF2-40B4-BE49-F238E27FC236}">
              <a16:creationId xmlns:a16="http://schemas.microsoft.com/office/drawing/2014/main" id="{7BB09D98-A420-08C5-B353-E7D3AF0B1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0.01104</cdr:x>
      <cdr:y>0.01908</cdr:y>
    </cdr:from>
    <cdr:to>
      <cdr:x>0.01104</cdr:x>
      <cdr:y>0.01908</cdr:y>
    </cdr:to>
    <cdr:sp macro="" textlink="">
      <cdr:nvSpPr>
        <cdr:cNvPr id="2" name="#UpSlide#ChartHasBeenCopiedWithUpSlideActive#" hidden="1">
          <a:extLst xmlns:a="http://schemas.openxmlformats.org/drawingml/2006/main">
            <a:ext uri="{FF2B5EF4-FFF2-40B4-BE49-F238E27FC236}">
              <a16:creationId xmlns:a16="http://schemas.microsoft.com/office/drawing/2014/main" id="{2F1D7C50-6B43-252A-8B71-BA159145DD52}"/>
            </a:ext>
          </a:extLst>
        </cdr:cNvPr>
        <cdr:cNvSpPr/>
      </cdr:nvSpPr>
      <cdr:spPr>
        <a:xfrm xmlns:a="http://schemas.openxmlformats.org/drawingml/2006/main">
          <a:off x="50800" y="50800"/>
          <a:ext cx="0" cy="0"/>
        </a:xfrm>
        <a:prstGeom xmlns:a="http://schemas.openxmlformats.org/drawingml/2006/main" prst="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de-DE"/>
        </a:p>
      </cdr:txBody>
    </cdr:sp>
  </cdr:relSizeAnchor>
  <cdr:relSizeAnchor xmlns:cdr="http://schemas.openxmlformats.org/drawingml/2006/chartDrawing">
    <cdr:from>
      <cdr:x>0.01104</cdr:x>
      <cdr:y>0.01908</cdr:y>
    </cdr:from>
    <cdr:to>
      <cdr:x>0.01104</cdr:x>
      <cdr:y>0.01908</cdr:y>
    </cdr:to>
    <cdr:sp macro="" textlink="">
      <cdr:nvSpPr>
        <cdr:cNvPr id="3" name="UpSlideExportSave" hidden="1">
          <a:extLst xmlns:a="http://schemas.openxmlformats.org/drawingml/2006/main">
            <a:ext uri="{FF2B5EF4-FFF2-40B4-BE49-F238E27FC236}">
              <a16:creationId xmlns:a16="http://schemas.microsoft.com/office/drawing/2014/main" id="{EF6D3B17-9C2F-A9BD-266A-44B900B2BABE}"/>
            </a:ext>
          </a:extLst>
        </cdr:cNvPr>
        <cdr:cNvSpPr/>
      </cdr:nvSpPr>
      <cdr:spPr>
        <a:xfrm xmlns:a="http://schemas.openxmlformats.org/drawingml/2006/main">
          <a:off x="50800" y="50800"/>
          <a:ext cx="0" cy="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de-DE"/>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ulot%20Champagne\Closing%200203\Brand%20Statement%2002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KUME~1\anthony\LOKALE~1\Temp\Copy%20of%20Record%20Modell%20Oktober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Mitarbeiter\Grandin\Westag%20-%20Getalit\Expose\Grafiken%20Expose%20Woodpecke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_M&#252;nchen/TS/Projekte/GBC%20-%20Projekt%20M&#252;nchen/400%20Datenraum/Steuerberater/Controlling/Controlling%2020/Controlling/Controlling%2012-20.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S:\RP%20GRUPPE\Deal%20Advisory\Masterflex%20SE\FDD%20Namur\500%20Dealtool%20und%20Arbeitspapiere\520%20Arbeitspapiere\02%20AV%20Afersmart%20Altersstruktur-Auswertung\Projekt%20Namur_AV%20Afersmart%20Altersstruktur-Auswertung_v5.xlsx" TargetMode="External"/><Relationship Id="rId1" Type="http://schemas.openxmlformats.org/officeDocument/2006/relationships/externalLinkPath" Target="/RP%20GRUPPE/Deal%20Advisory/Masterflex%20SE/FDD%20Namur/500%20Dealtool%20und%20Arbeitspapiere/520%20Arbeitspapiere/02%20AV%20Afersmart%20Altersstruktur-Auswertung/Projekt%20Namur_AV%20Afersmart%20Altersstruktur-Auswertung_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iper Heidsieck"/>
      <sheetName val="Charles Heidsieck"/>
      <sheetName val="Bonnet"/>
      <sheetName val="Heidsieck"/>
      <sheetName val="Other Champagne"/>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2"/>
      <sheetName val="Hauptübersicht"/>
      <sheetName val="Anlagevermögen"/>
      <sheetName val="P&amp;L"/>
      <sheetName val="Balance"/>
      <sheetName val="CF"/>
      <sheetName val="Charts"/>
      <sheetName val="Working Capital Deu"/>
      <sheetName val="Loans"/>
      <sheetName val="Afa"/>
      <sheetName val="Investments"/>
      <sheetName val="days"/>
      <sheetName val="DCF"/>
      <sheetName val="Bilanz"/>
      <sheetName val="CF Guy"/>
      <sheetName val="Plan Dr. Fink"/>
      <sheetName val="P&amp;L (2)"/>
      <sheetName val="DDM"/>
      <sheetName val="Key Financials"/>
      <sheetName val="KPI"/>
      <sheetName val="Payback"/>
      <sheetName val="Multiples"/>
      <sheetName val="Peer"/>
      <sheetName val="Bilanz - WC "/>
      <sheetName val="Modul1"/>
      <sheetName val="Handling AV"/>
      <sheetName val="Formeln AV"/>
      <sheetName val="Daten"/>
      <sheetName val="Bilanzposition"/>
      <sheetName val="Layout GuV"/>
      <sheetName val="Layout Aktiva"/>
      <sheetName val="Layout Passiva"/>
      <sheetName val="Cash-Flow-Analyse"/>
      <sheetName val="Leer"/>
      <sheetName val="Working_Capital_Deu"/>
      <sheetName val="CF_Guy"/>
      <sheetName val="Plan_Dr__Fink"/>
      <sheetName val="P&amp;L_(2)"/>
      <sheetName val="Key_Financials"/>
      <sheetName val="Bilanz_-_WC_"/>
      <sheetName val="Handling_AV"/>
      <sheetName val="Formeln_AV"/>
      <sheetName val="Layout_GuV"/>
      <sheetName val="Layout_Aktiva"/>
      <sheetName val="Layout_Passiva"/>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ktienkurs"/>
      <sheetName val="Shareholder structure Expose"/>
      <sheetName val="Vorzugasktienkauf Mitarbeiter"/>
      <sheetName val="Comeptitors L-E"/>
      <sheetName val="Personnel"/>
      <sheetName val="Construction Market EuropeTotal"/>
      <sheetName val="Residential market Europe"/>
      <sheetName val="Non-residential Europe"/>
      <sheetName val="Civil engineering"/>
      <sheetName val="Construction market Germany I"/>
      <sheetName val="Construction market Germany 2"/>
      <sheetName val="Real estate"/>
      <sheetName val="Exportumsätze 1.Hj."/>
      <sheetName val="Exportumsätze"/>
      <sheetName val="Export"/>
      <sheetName val="Imagebroschürentabelle"/>
      <sheetName val="10 wichtigste Kunden-Länder"/>
      <sheetName val="Top 10 Kunden"/>
      <sheetName val="Alt-Aktienkurs 2"/>
      <sheetName val="Alt-Shareholder structure"/>
      <sheetName val="Alt-Construction market Europe"/>
      <sheetName val="Alt-Construction Market Total"/>
      <sheetName val="Shareholder_structure_Expose"/>
      <sheetName val="Vorzugasktienkauf_Mitarbeiter"/>
      <sheetName val="Comeptitors_L-E"/>
      <sheetName val="Construction_Market_EuropeTotal"/>
      <sheetName val="Residential_market_Europe"/>
      <sheetName val="Non-residential_Europe"/>
      <sheetName val="Civil_engineering"/>
      <sheetName val="Construction_market_Germany_I"/>
      <sheetName val="Construction_market_Germany_2"/>
      <sheetName val="Real_estate"/>
      <sheetName val="Exportumsätze_1_Hj_"/>
      <sheetName val="10_wichtigste_Kunden-Länder"/>
      <sheetName val="Top_10_Kunden"/>
      <sheetName val="Alt-Aktienkurs_2"/>
      <sheetName val="Alt-Shareholder_structure"/>
      <sheetName val="Alt-Construction_market_Europe"/>
      <sheetName val="Alt-Construction_Market_Tot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lingreport"/>
      <sheetName val="Erfolg"/>
      <sheetName val="Liquidität"/>
      <sheetName val="Privatbereich Kapital"/>
      <sheetName val="Top Kunden"/>
      <sheetName val="Top Lieferanten"/>
      <sheetName val="Erfolgsplanung"/>
      <sheetName val="Planerreichung"/>
      <sheetName val="Ausgew. stl. Korrekturen"/>
      <sheetName val="Branchenauswertung"/>
      <sheetName val="PARAMETER"/>
      <sheetName val="BRANCHENDATEN"/>
      <sheetName val="DATENHALTUNG"/>
    </sheetNames>
    <sheetDataSet>
      <sheetData sheetId="0"/>
      <sheetData sheetId="1"/>
      <sheetData sheetId="2"/>
      <sheetData sheetId="3"/>
      <sheetData sheetId="4"/>
      <sheetData sheetId="5"/>
      <sheetData sheetId="6"/>
      <sheetData sheetId="7"/>
      <sheetData sheetId="8"/>
      <sheetData sheetId="9"/>
      <sheetData sheetId="10">
        <row r="1">
          <cell r="G1" t="str">
            <v>Bruttowerte (Basis JVZ)</v>
          </cell>
        </row>
      </sheetData>
      <sheetData sheetId="11"/>
      <sheetData sheetId="12">
        <row r="2">
          <cell r="AK2">
            <v>4374097.6100000003</v>
          </cell>
        </row>
        <row r="48">
          <cell r="AK48">
            <v>0</v>
          </cell>
        </row>
        <row r="69">
          <cell r="AK69">
            <v>0</v>
          </cell>
        </row>
        <row r="90">
          <cell r="AK90">
            <v>292903.62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 Output"/>
      <sheetName val="Afersmart22"/>
      <sheetName val="Afersmart23"/>
      <sheetName val="Afersmart24"/>
      <sheetName val="Afersmart Sep25"/>
      <sheetName val="Afersmart25"/>
      <sheetName val="22-25"/>
      <sheetName val="--&gt; Input"/>
      <sheetName val="2022"/>
      <sheetName val="2023"/>
      <sheetName val="2024"/>
      <sheetName val="Sep25"/>
      <sheetName val="2025"/>
      <sheetName val="DS_INTERNAL_DOCUMENT_STORAGE"/>
      <sheetName val="DS_INTERNAL_SETTINGS_STORAGE"/>
      <sheetName val="DS_INTERNAL_DOCGROUP_STORAGE"/>
      <sheetName val="DS_INTERNAL_SNIP_STORAGE"/>
      <sheetName val="DataSnipp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9">
          <cell r="P9">
            <v>270149</v>
          </cell>
        </row>
      </sheetData>
      <sheetData sheetId="13" refreshError="1"/>
      <sheetData sheetId="14" refreshError="1"/>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Barten Frieder (FRIB)" id="{71ECBDA7-4A1D-47EB-A0D4-71F51E9CA229}" userId="S::frieder.barten@bakertilly.de::3368878a-5bbb-49ef-888a-2fc2392610fd" providerId="AD"/>
</personList>
</file>

<file path=xl/theme/theme1.xml><?xml version="1.0" encoding="utf-8"?>
<a:theme xmlns:a="http://schemas.openxmlformats.org/drawingml/2006/main" name="Office Theme">
  <a:themeElements>
    <a:clrScheme name="Neu">
      <a:dk1>
        <a:srgbClr val="000000"/>
      </a:dk1>
      <a:lt1>
        <a:srgbClr val="FFFFFF"/>
      </a:lt1>
      <a:dk2>
        <a:srgbClr val="FFDC2A"/>
      </a:dk2>
      <a:lt2>
        <a:srgbClr val="FF8C3B"/>
      </a:lt2>
      <a:accent1>
        <a:srgbClr val="00B7B3"/>
      </a:accent1>
      <a:accent2>
        <a:srgbClr val="87E7DB"/>
      </a:accent2>
      <a:accent3>
        <a:srgbClr val="3D7EDB"/>
      </a:accent3>
      <a:accent4>
        <a:srgbClr val="9EBEED"/>
      </a:accent4>
      <a:accent5>
        <a:srgbClr val="2B303A"/>
      </a:accent5>
      <a:accent6>
        <a:srgbClr val="8F96A3"/>
      </a:accent6>
      <a:hlink>
        <a:srgbClr val="000000"/>
      </a:hlink>
      <a:folHlink>
        <a:srgbClr val="3C7EDB"/>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60" dT="2026-01-05T21:53:50.63" personId="{71ECBDA7-4A1D-47EB-A0D4-71F51E9CA229}" id="{8A83D6CF-A4E8-4C67-92CF-A7D7FB91722A}">
    <text>According to annual report 2022 in Cash Flow statement</text>
  </threadedComment>
  <threadedComment ref="H60" dT="2026-01-05T20:40:01.29" personId="{71ECBDA7-4A1D-47EB-A0D4-71F51E9CA229}" id="{04873975-440D-4F6C-B563-3BC1893410DC}">
    <text>According to annual report 2024 Cash-Flow-Statement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bin"/><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5.bin"/><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12.bin"/><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D9DB-A6E0-476C-9844-C474A24AF850}">
  <sheetPr>
    <tabColor rgb="FF000000"/>
  </sheetPr>
  <dimension ref="B4:R20"/>
  <sheetViews>
    <sheetView workbookViewId="0"/>
  </sheetViews>
  <sheetFormatPr defaultColWidth="9.140625" defaultRowHeight="12" x14ac:dyDescent="0.2"/>
  <cols>
    <col min="1" max="16384" width="9.140625" style="1"/>
  </cols>
  <sheetData>
    <row r="4" spans="2:18" ht="45" x14ac:dyDescent="0.6">
      <c r="B4" s="7" t="str">
        <f>"Project: "&amp;Cockpit!C4</f>
        <v>Project: Projekt Namur</v>
      </c>
    </row>
    <row r="5" spans="2:18" ht="28.15" customHeight="1" x14ac:dyDescent="1.2">
      <c r="B5" s="6"/>
    </row>
    <row r="6" spans="2:18" ht="20.25" x14ac:dyDescent="0.3">
      <c r="B6" s="5" t="s">
        <v>2</v>
      </c>
    </row>
    <row r="9" spans="2:18" ht="15" x14ac:dyDescent="0.25">
      <c r="B9" s="4" t="s">
        <v>841</v>
      </c>
    </row>
    <row r="11" spans="2:18" x14ac:dyDescent="0.2">
      <c r="B11" s="3" t="s">
        <v>1</v>
      </c>
      <c r="C11" s="2"/>
      <c r="D11" s="2"/>
    </row>
    <row r="14" spans="2:18" x14ac:dyDescent="0.2">
      <c r="B14" s="983" t="s">
        <v>0</v>
      </c>
      <c r="C14" s="984"/>
      <c r="D14" s="984"/>
      <c r="E14" s="984"/>
      <c r="F14" s="984"/>
      <c r="G14" s="984"/>
      <c r="H14" s="984"/>
      <c r="I14" s="984"/>
      <c r="J14" s="984"/>
      <c r="K14" s="984"/>
      <c r="L14" s="984"/>
      <c r="M14" s="984"/>
      <c r="N14" s="984"/>
      <c r="O14" s="984"/>
      <c r="P14" s="984"/>
      <c r="Q14" s="984"/>
      <c r="R14" s="985"/>
    </row>
    <row r="15" spans="2:18" x14ac:dyDescent="0.2">
      <c r="B15" s="986"/>
      <c r="C15" s="987"/>
      <c r="D15" s="987"/>
      <c r="E15" s="987"/>
      <c r="F15" s="987"/>
      <c r="G15" s="987"/>
      <c r="H15" s="987"/>
      <c r="I15" s="987"/>
      <c r="J15" s="987"/>
      <c r="K15" s="987"/>
      <c r="L15" s="987"/>
      <c r="M15" s="987"/>
      <c r="N15" s="987"/>
      <c r="O15" s="987"/>
      <c r="P15" s="987"/>
      <c r="Q15" s="987"/>
      <c r="R15" s="988"/>
    </row>
    <row r="16" spans="2:18" x14ac:dyDescent="0.2">
      <c r="B16" s="986"/>
      <c r="C16" s="987"/>
      <c r="D16" s="987"/>
      <c r="E16" s="987"/>
      <c r="F16" s="987"/>
      <c r="G16" s="987"/>
      <c r="H16" s="987"/>
      <c r="I16" s="987"/>
      <c r="J16" s="987"/>
      <c r="K16" s="987"/>
      <c r="L16" s="987"/>
      <c r="M16" s="987"/>
      <c r="N16" s="987"/>
      <c r="O16" s="987"/>
      <c r="P16" s="987"/>
      <c r="Q16" s="987"/>
      <c r="R16" s="988"/>
    </row>
    <row r="17" spans="2:18" x14ac:dyDescent="0.2">
      <c r="B17" s="986"/>
      <c r="C17" s="987"/>
      <c r="D17" s="987"/>
      <c r="E17" s="987"/>
      <c r="F17" s="987"/>
      <c r="G17" s="987"/>
      <c r="H17" s="987"/>
      <c r="I17" s="987"/>
      <c r="J17" s="987"/>
      <c r="K17" s="987"/>
      <c r="L17" s="987"/>
      <c r="M17" s="987"/>
      <c r="N17" s="987"/>
      <c r="O17" s="987"/>
      <c r="P17" s="987"/>
      <c r="Q17" s="987"/>
      <c r="R17" s="988"/>
    </row>
    <row r="18" spans="2:18" x14ac:dyDescent="0.2">
      <c r="B18" s="986"/>
      <c r="C18" s="987"/>
      <c r="D18" s="987"/>
      <c r="E18" s="987"/>
      <c r="F18" s="987"/>
      <c r="G18" s="987"/>
      <c r="H18" s="987"/>
      <c r="I18" s="987"/>
      <c r="J18" s="987"/>
      <c r="K18" s="987"/>
      <c r="L18" s="987"/>
      <c r="M18" s="987"/>
      <c r="N18" s="987"/>
      <c r="O18" s="987"/>
      <c r="P18" s="987"/>
      <c r="Q18" s="987"/>
      <c r="R18" s="988"/>
    </row>
    <row r="19" spans="2:18" x14ac:dyDescent="0.2">
      <c r="B19" s="986"/>
      <c r="C19" s="987"/>
      <c r="D19" s="987"/>
      <c r="E19" s="987"/>
      <c r="F19" s="987"/>
      <c r="G19" s="987"/>
      <c r="H19" s="987"/>
      <c r="I19" s="987"/>
      <c r="J19" s="987"/>
      <c r="K19" s="987"/>
      <c r="L19" s="987"/>
      <c r="M19" s="987"/>
      <c r="N19" s="987"/>
      <c r="O19" s="987"/>
      <c r="P19" s="987"/>
      <c r="Q19" s="987"/>
      <c r="R19" s="988"/>
    </row>
    <row r="20" spans="2:18" x14ac:dyDescent="0.2">
      <c r="B20" s="989"/>
      <c r="C20" s="990"/>
      <c r="D20" s="990"/>
      <c r="E20" s="990"/>
      <c r="F20" s="990"/>
      <c r="G20" s="990"/>
      <c r="H20" s="990"/>
      <c r="I20" s="990"/>
      <c r="J20" s="990"/>
      <c r="K20" s="990"/>
      <c r="L20" s="990"/>
      <c r="M20" s="990"/>
      <c r="N20" s="990"/>
      <c r="O20" s="990"/>
      <c r="P20" s="990"/>
      <c r="Q20" s="990"/>
      <c r="R20" s="991"/>
    </row>
  </sheetData>
  <mergeCells count="1">
    <mergeCell ref="B14:R2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285B-B688-4B53-84E6-700CE4AC3EF7}">
  <sheetPr>
    <tabColor theme="0" tint="-0.249977111117893"/>
  </sheetPr>
  <dimension ref="A3:CJ46"/>
  <sheetViews>
    <sheetView workbookViewId="0"/>
  </sheetViews>
  <sheetFormatPr defaultColWidth="11.28515625" defaultRowHeight="12" outlineLevelRow="1" x14ac:dyDescent="0.2"/>
  <cols>
    <col min="1" max="1" width="2.7109375" style="8" customWidth="1"/>
    <col min="2" max="2" width="23.42578125" style="8" customWidth="1"/>
    <col min="3" max="3" width="24.7109375" style="8" customWidth="1"/>
    <col min="4" max="16384" width="11.28515625" style="8"/>
  </cols>
  <sheetData>
    <row r="3" spans="2:7" x14ac:dyDescent="0.2">
      <c r="B3" s="17" t="s">
        <v>32</v>
      </c>
      <c r="C3" s="17"/>
      <c r="F3" s="19"/>
      <c r="G3" s="29" t="s">
        <v>31</v>
      </c>
    </row>
    <row r="4" spans="2:7" x14ac:dyDescent="0.2">
      <c r="B4" s="8" t="s">
        <v>30</v>
      </c>
      <c r="C4" s="19" t="s">
        <v>2412</v>
      </c>
    </row>
    <row r="5" spans="2:7" x14ac:dyDescent="0.2">
      <c r="B5" s="8" t="s">
        <v>29</v>
      </c>
      <c r="C5" s="19" t="s">
        <v>28</v>
      </c>
      <c r="F5" s="12"/>
      <c r="G5" s="29" t="s">
        <v>27</v>
      </c>
    </row>
    <row r="6" spans="2:7" ht="4.5" customHeight="1" x14ac:dyDescent="0.2">
      <c r="B6" s="26"/>
      <c r="C6" s="26"/>
      <c r="F6" s="29"/>
      <c r="G6" s="29"/>
    </row>
    <row r="7" spans="2:7" x14ac:dyDescent="0.2">
      <c r="B7" s="8" t="s">
        <v>838</v>
      </c>
      <c r="C7" s="19" t="s">
        <v>785</v>
      </c>
    </row>
    <row r="8" spans="2:7" x14ac:dyDescent="0.2">
      <c r="B8" s="8" t="s">
        <v>839</v>
      </c>
      <c r="C8" s="19" t="s">
        <v>784</v>
      </c>
    </row>
    <row r="9" spans="2:7" x14ac:dyDescent="0.2">
      <c r="B9" s="28"/>
    </row>
    <row r="10" spans="2:7" x14ac:dyDescent="0.2">
      <c r="B10" s="17" t="s">
        <v>26</v>
      </c>
      <c r="C10" s="17"/>
    </row>
    <row r="11" spans="2:7" x14ac:dyDescent="0.2">
      <c r="B11" s="8" t="s">
        <v>25</v>
      </c>
      <c r="C11" s="19"/>
    </row>
    <row r="12" spans="2:7" x14ac:dyDescent="0.2">
      <c r="B12" s="8" t="s">
        <v>24</v>
      </c>
      <c r="C12" s="19"/>
    </row>
    <row r="13" spans="2:7" x14ac:dyDescent="0.2">
      <c r="B13" s="8" t="s">
        <v>23</v>
      </c>
      <c r="C13" s="19"/>
    </row>
    <row r="16" spans="2:7" x14ac:dyDescent="0.2">
      <c r="B16" s="17" t="s">
        <v>22</v>
      </c>
      <c r="C16" s="17"/>
    </row>
    <row r="17" spans="2:12" x14ac:dyDescent="0.2">
      <c r="B17" s="25" t="s">
        <v>21</v>
      </c>
      <c r="C17" s="27">
        <v>44926</v>
      </c>
    </row>
    <row r="18" spans="2:12" x14ac:dyDescent="0.2">
      <c r="B18" s="25" t="s">
        <v>20</v>
      </c>
      <c r="C18" s="19">
        <v>3</v>
      </c>
    </row>
    <row r="19" spans="2:12" x14ac:dyDescent="0.2">
      <c r="B19" s="25" t="s">
        <v>4</v>
      </c>
      <c r="C19" s="24" t="s">
        <v>35</v>
      </c>
      <c r="D19" s="434" t="s">
        <v>842</v>
      </c>
    </row>
    <row r="20" spans="2:12" ht="4.5" customHeight="1" x14ac:dyDescent="0.2">
      <c r="B20" s="26"/>
      <c r="C20" s="26"/>
    </row>
    <row r="21" spans="2:12" x14ac:dyDescent="0.2">
      <c r="B21" s="25" t="s">
        <v>19</v>
      </c>
      <c r="C21" s="27">
        <v>45658</v>
      </c>
      <c r="D21" s="435" t="str">
        <f>IF(C21&lt;(EDATE(C17,24)),"CYT Begin Date must not be prior to historical date","ok")</f>
        <v>ok</v>
      </c>
    </row>
    <row r="22" spans="2:12" x14ac:dyDescent="0.2">
      <c r="B22" s="25" t="s">
        <v>18</v>
      </c>
      <c r="C22" s="27">
        <v>46022</v>
      </c>
      <c r="D22" s="11" t="str">
        <f>IF(TEXT($C$22,"TT.MM.")="31.12.","CYT date must not be December 31, check","ok")</f>
        <v>CYT date must not be December 31, check</v>
      </c>
    </row>
    <row r="23" spans="2:12" x14ac:dyDescent="0.2">
      <c r="B23" s="25" t="s">
        <v>17</v>
      </c>
      <c r="C23" s="24" t="s">
        <v>35</v>
      </c>
      <c r="D23" s="23" t="s">
        <v>4746</v>
      </c>
    </row>
    <row r="24" spans="2:12" ht="14.25" x14ac:dyDescent="0.2">
      <c r="B24" s="25" t="s">
        <v>15</v>
      </c>
      <c r="C24" s="24" t="s">
        <v>14</v>
      </c>
      <c r="D24" s="23"/>
      <c r="E24" s="9"/>
    </row>
    <row r="25" spans="2:12" ht="14.25" x14ac:dyDescent="0.2">
      <c r="B25" s="25" t="s">
        <v>13</v>
      </c>
      <c r="C25" s="24" t="s">
        <v>12</v>
      </c>
      <c r="D25" s="23"/>
      <c r="E25" s="9"/>
    </row>
    <row r="26" spans="2:12" ht="4.5" customHeight="1" x14ac:dyDescent="0.2">
      <c r="B26" s="26"/>
      <c r="C26" s="26"/>
    </row>
    <row r="27" spans="2:12" x14ac:dyDescent="0.2">
      <c r="B27" s="25" t="s">
        <v>4</v>
      </c>
      <c r="C27" s="24" t="s">
        <v>11</v>
      </c>
      <c r="D27" s="23"/>
    </row>
    <row r="31" spans="2:12" x14ac:dyDescent="0.2">
      <c r="B31" s="17" t="s">
        <v>10</v>
      </c>
      <c r="C31" s="17"/>
      <c r="D31" s="17"/>
      <c r="E31" s="17"/>
      <c r="F31" s="17"/>
      <c r="G31" s="17"/>
      <c r="H31" s="17"/>
      <c r="I31" s="17"/>
      <c r="J31" s="17"/>
      <c r="K31" s="17"/>
      <c r="L31" s="17"/>
    </row>
    <row r="32" spans="2:12" outlineLevel="1" x14ac:dyDescent="0.2">
      <c r="B32" s="22" t="s">
        <v>6</v>
      </c>
      <c r="C32" s="21"/>
      <c r="D32" s="20">
        <v>1</v>
      </c>
      <c r="E32" s="19">
        <f t="shared" ref="E32:L32" si="0">D32+1</f>
        <v>2</v>
      </c>
      <c r="F32" s="19">
        <f t="shared" si="0"/>
        <v>3</v>
      </c>
      <c r="G32" s="19">
        <f t="shared" si="0"/>
        <v>4</v>
      </c>
      <c r="H32" s="19">
        <f t="shared" si="0"/>
        <v>5</v>
      </c>
      <c r="I32" s="19">
        <f t="shared" si="0"/>
        <v>6</v>
      </c>
      <c r="J32" s="19">
        <f t="shared" si="0"/>
        <v>7</v>
      </c>
      <c r="K32" s="19">
        <f t="shared" si="0"/>
        <v>8</v>
      </c>
      <c r="L32" s="19">
        <f t="shared" si="0"/>
        <v>9</v>
      </c>
    </row>
    <row r="33" spans="1:88" x14ac:dyDescent="0.2">
      <c r="B33" s="8" t="s">
        <v>9</v>
      </c>
      <c r="C33" s="12">
        <f>EDATE($C$17,-12)</f>
        <v>44561</v>
      </c>
      <c r="D33" s="11">
        <f t="shared" ref="D33:L33" si="1">IF(D$32&lt;$C$18+1,EDATE($C$33,12*D$32),IF(OR(D$32=$C$18+1,D$32=$C$18+2),$C$22,IF(D$32&gt;$C$18+2,EDATE($C$33,(D$32-2)*12))))</f>
        <v>44926</v>
      </c>
      <c r="E33" s="11">
        <f t="shared" si="1"/>
        <v>45291</v>
      </c>
      <c r="F33" s="11">
        <f t="shared" si="1"/>
        <v>45657</v>
      </c>
      <c r="G33" s="11">
        <f t="shared" si="1"/>
        <v>46022</v>
      </c>
      <c r="H33" s="11">
        <f t="shared" si="1"/>
        <v>46022</v>
      </c>
      <c r="I33" s="11">
        <f t="shared" si="1"/>
        <v>46022</v>
      </c>
      <c r="J33" s="11">
        <f t="shared" si="1"/>
        <v>46387</v>
      </c>
      <c r="K33" s="11">
        <f t="shared" si="1"/>
        <v>46752</v>
      </c>
      <c r="L33" s="11">
        <f t="shared" si="1"/>
        <v>47118</v>
      </c>
    </row>
    <row r="34" spans="1:88" x14ac:dyDescent="0.2">
      <c r="B34" s="8" t="s">
        <v>4</v>
      </c>
      <c r="C34" s="442" t="str">
        <f>$C$19</f>
        <v>IST</v>
      </c>
      <c r="D34" s="10" t="str">
        <f t="shared" ref="D34:L34" si="2">IF(D$32&lt;=$C$18,$C$19,IF(D$32=$C$18+1,$C$23,IF(D$32=$C$18+2,$C$24,$C$27)))</f>
        <v>IST</v>
      </c>
      <c r="E34" s="10" t="str">
        <f t="shared" si="2"/>
        <v>IST</v>
      </c>
      <c r="F34" s="10" t="str">
        <f t="shared" si="2"/>
        <v>IST</v>
      </c>
      <c r="G34" s="10" t="str">
        <f t="shared" si="2"/>
        <v>IST</v>
      </c>
      <c r="H34" s="10" t="str">
        <f t="shared" si="2"/>
        <v>YTD</v>
      </c>
      <c r="I34" s="10" t="str">
        <f t="shared" si="2"/>
        <v>Plan</v>
      </c>
      <c r="J34" s="10" t="str">
        <f t="shared" si="2"/>
        <v>Plan</v>
      </c>
      <c r="K34" s="10" t="str">
        <f t="shared" si="2"/>
        <v>Plan</v>
      </c>
      <c r="L34" s="10" t="str">
        <f t="shared" si="2"/>
        <v>Plan</v>
      </c>
    </row>
    <row r="35" spans="1:88" x14ac:dyDescent="0.2">
      <c r="D35" s="10"/>
      <c r="E35" s="10"/>
      <c r="F35" s="10"/>
      <c r="G35" s="10"/>
      <c r="H35" s="10"/>
      <c r="I35" s="10"/>
      <c r="J35" s="10"/>
      <c r="K35" s="10"/>
      <c r="L35" s="10"/>
    </row>
    <row r="37" spans="1:88" ht="14.25" x14ac:dyDescent="0.2">
      <c r="B37" s="17" t="s">
        <v>8</v>
      </c>
      <c r="C37" s="17"/>
      <c r="D37" s="17"/>
      <c r="E37" s="17"/>
      <c r="F37" s="17"/>
      <c r="G37" s="17"/>
      <c r="H37" s="17"/>
      <c r="I37" s="17"/>
      <c r="J37" s="17"/>
      <c r="K37" s="17"/>
      <c r="L37" s="9"/>
      <c r="M37" s="9"/>
    </row>
    <row r="38" spans="1:88" s="13" customFormat="1" ht="14.25" outlineLevel="1" x14ac:dyDescent="0.2">
      <c r="A38" s="8"/>
      <c r="B38" s="16" t="s">
        <v>6</v>
      </c>
      <c r="C38" s="15"/>
      <c r="D38" s="14">
        <v>1</v>
      </c>
      <c r="E38" s="14">
        <f t="shared" ref="E38:K38" si="3">D38+1</f>
        <v>2</v>
      </c>
      <c r="F38" s="14">
        <f t="shared" si="3"/>
        <v>3</v>
      </c>
      <c r="G38" s="14">
        <f t="shared" si="3"/>
        <v>4</v>
      </c>
      <c r="H38" s="14">
        <f t="shared" si="3"/>
        <v>5</v>
      </c>
      <c r="I38" s="14">
        <f t="shared" si="3"/>
        <v>6</v>
      </c>
      <c r="J38" s="14">
        <f t="shared" si="3"/>
        <v>7</v>
      </c>
      <c r="K38" s="14">
        <f t="shared" si="3"/>
        <v>8</v>
      </c>
      <c r="L38" s="18"/>
      <c r="M38" s="18"/>
    </row>
    <row r="39" spans="1:88" ht="14.25" x14ac:dyDescent="0.2">
      <c r="B39" s="8" t="s">
        <v>5</v>
      </c>
      <c r="C39" s="12">
        <f>EDATE($C$17,-12)</f>
        <v>44561</v>
      </c>
      <c r="D39" s="11">
        <f t="shared" ref="D39:K39" si="4">IF(D$38&lt;$C$18+1,EDATE($C$39,12*D$38),IF(D$38=$C$18+1,$C$22,IF(D$38&gt;$C$18+1,EDATE($C$39,(D$38-1)*12))))</f>
        <v>44926</v>
      </c>
      <c r="E39" s="11">
        <f t="shared" si="4"/>
        <v>45291</v>
      </c>
      <c r="F39" s="11">
        <f t="shared" si="4"/>
        <v>45657</v>
      </c>
      <c r="G39" s="11">
        <f t="shared" si="4"/>
        <v>46022</v>
      </c>
      <c r="H39" s="11">
        <f t="shared" si="4"/>
        <v>46022</v>
      </c>
      <c r="I39" s="11">
        <f t="shared" si="4"/>
        <v>46387</v>
      </c>
      <c r="J39" s="11">
        <f t="shared" si="4"/>
        <v>46752</v>
      </c>
      <c r="K39" s="11">
        <f t="shared" si="4"/>
        <v>47118</v>
      </c>
      <c r="L39" s="9"/>
      <c r="M39" s="9"/>
    </row>
    <row r="40" spans="1:88" ht="14.25" x14ac:dyDescent="0.2">
      <c r="B40" s="8" t="s">
        <v>4</v>
      </c>
      <c r="C40" s="442" t="str">
        <f>$C$19</f>
        <v>IST</v>
      </c>
      <c r="D40" s="10" t="str">
        <f t="shared" ref="D40:K40" si="5">IF(D$38&lt;=$C$18,$C$19,IF(D$38=$C$18+1,$C$19,$C$27))</f>
        <v>IST</v>
      </c>
      <c r="E40" s="10" t="str">
        <f t="shared" si="5"/>
        <v>IST</v>
      </c>
      <c r="F40" s="10" t="str">
        <f t="shared" si="5"/>
        <v>IST</v>
      </c>
      <c r="G40" s="10" t="str">
        <f t="shared" si="5"/>
        <v>IST</v>
      </c>
      <c r="H40" s="10" t="str">
        <f t="shared" si="5"/>
        <v>Plan</v>
      </c>
      <c r="I40" s="10" t="str">
        <f t="shared" si="5"/>
        <v>Plan</v>
      </c>
      <c r="J40" s="10" t="str">
        <f t="shared" si="5"/>
        <v>Plan</v>
      </c>
      <c r="K40" s="10" t="str">
        <f t="shared" si="5"/>
        <v>Plan</v>
      </c>
      <c r="L40" s="9"/>
      <c r="M40" s="9"/>
    </row>
    <row r="43" spans="1:88" ht="14.25" x14ac:dyDescent="0.2">
      <c r="B43" s="17" t="s">
        <v>7</v>
      </c>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c r="BF43" s="17"/>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9"/>
    </row>
    <row r="44" spans="1:88" s="13" customFormat="1" hidden="1" outlineLevel="1" x14ac:dyDescent="0.2">
      <c r="A44" s="8"/>
      <c r="B44" s="16" t="s">
        <v>6</v>
      </c>
      <c r="C44" s="15"/>
      <c r="D44" s="14">
        <v>1</v>
      </c>
      <c r="E44" s="14">
        <f t="shared" ref="E44:AJ44" si="6">D44+1</f>
        <v>2</v>
      </c>
      <c r="F44" s="14">
        <f t="shared" si="6"/>
        <v>3</v>
      </c>
      <c r="G44" s="14">
        <f t="shared" si="6"/>
        <v>4</v>
      </c>
      <c r="H44" s="14">
        <f t="shared" si="6"/>
        <v>5</v>
      </c>
      <c r="I44" s="14">
        <f t="shared" si="6"/>
        <v>6</v>
      </c>
      <c r="J44" s="14">
        <f t="shared" si="6"/>
        <v>7</v>
      </c>
      <c r="K44" s="14">
        <f t="shared" si="6"/>
        <v>8</v>
      </c>
      <c r="L44" s="14">
        <f t="shared" si="6"/>
        <v>9</v>
      </c>
      <c r="M44" s="14">
        <f t="shared" si="6"/>
        <v>10</v>
      </c>
      <c r="N44" s="14">
        <f t="shared" si="6"/>
        <v>11</v>
      </c>
      <c r="O44" s="14">
        <f t="shared" si="6"/>
        <v>12</v>
      </c>
      <c r="P44" s="14">
        <f t="shared" si="6"/>
        <v>13</v>
      </c>
      <c r="Q44" s="14">
        <f t="shared" si="6"/>
        <v>14</v>
      </c>
      <c r="R44" s="14">
        <f t="shared" si="6"/>
        <v>15</v>
      </c>
      <c r="S44" s="14">
        <f t="shared" si="6"/>
        <v>16</v>
      </c>
      <c r="T44" s="14">
        <f t="shared" si="6"/>
        <v>17</v>
      </c>
      <c r="U44" s="14">
        <f t="shared" si="6"/>
        <v>18</v>
      </c>
      <c r="V44" s="14">
        <f t="shared" si="6"/>
        <v>19</v>
      </c>
      <c r="W44" s="14">
        <f t="shared" si="6"/>
        <v>20</v>
      </c>
      <c r="X44" s="14">
        <f t="shared" si="6"/>
        <v>21</v>
      </c>
      <c r="Y44" s="14">
        <f t="shared" si="6"/>
        <v>22</v>
      </c>
      <c r="Z44" s="14">
        <f t="shared" si="6"/>
        <v>23</v>
      </c>
      <c r="AA44" s="14">
        <f t="shared" si="6"/>
        <v>24</v>
      </c>
      <c r="AB44" s="14">
        <f t="shared" si="6"/>
        <v>25</v>
      </c>
      <c r="AC44" s="14">
        <f t="shared" si="6"/>
        <v>26</v>
      </c>
      <c r="AD44" s="14">
        <f t="shared" si="6"/>
        <v>27</v>
      </c>
      <c r="AE44" s="14">
        <f t="shared" si="6"/>
        <v>28</v>
      </c>
      <c r="AF44" s="14">
        <f t="shared" si="6"/>
        <v>29</v>
      </c>
      <c r="AG44" s="14">
        <f t="shared" si="6"/>
        <v>30</v>
      </c>
      <c r="AH44" s="14">
        <f t="shared" si="6"/>
        <v>31</v>
      </c>
      <c r="AI44" s="14">
        <f t="shared" si="6"/>
        <v>32</v>
      </c>
      <c r="AJ44" s="14">
        <f t="shared" si="6"/>
        <v>33</v>
      </c>
      <c r="AK44" s="14">
        <f t="shared" ref="AK44:BP44" si="7">AJ44+1</f>
        <v>34</v>
      </c>
      <c r="AL44" s="14">
        <f t="shared" si="7"/>
        <v>35</v>
      </c>
      <c r="AM44" s="14">
        <f t="shared" si="7"/>
        <v>36</v>
      </c>
      <c r="AN44" s="14">
        <f t="shared" si="7"/>
        <v>37</v>
      </c>
      <c r="AO44" s="14">
        <f t="shared" si="7"/>
        <v>38</v>
      </c>
      <c r="AP44" s="14">
        <f t="shared" si="7"/>
        <v>39</v>
      </c>
      <c r="AQ44" s="14">
        <f t="shared" si="7"/>
        <v>40</v>
      </c>
      <c r="AR44" s="14">
        <f t="shared" si="7"/>
        <v>41</v>
      </c>
      <c r="AS44" s="14">
        <f t="shared" si="7"/>
        <v>42</v>
      </c>
      <c r="AT44" s="14">
        <f t="shared" si="7"/>
        <v>43</v>
      </c>
      <c r="AU44" s="14">
        <f t="shared" si="7"/>
        <v>44</v>
      </c>
      <c r="AV44" s="14">
        <f t="shared" si="7"/>
        <v>45</v>
      </c>
      <c r="AW44" s="14">
        <f t="shared" si="7"/>
        <v>46</v>
      </c>
      <c r="AX44" s="14">
        <f t="shared" si="7"/>
        <v>47</v>
      </c>
      <c r="AY44" s="14">
        <f t="shared" si="7"/>
        <v>48</v>
      </c>
      <c r="AZ44" s="14">
        <f t="shared" si="7"/>
        <v>49</v>
      </c>
      <c r="BA44" s="14">
        <f t="shared" si="7"/>
        <v>50</v>
      </c>
      <c r="BB44" s="14">
        <f t="shared" si="7"/>
        <v>51</v>
      </c>
      <c r="BC44" s="14">
        <f t="shared" si="7"/>
        <v>52</v>
      </c>
      <c r="BD44" s="14">
        <f t="shared" si="7"/>
        <v>53</v>
      </c>
      <c r="BE44" s="14">
        <f t="shared" si="7"/>
        <v>54</v>
      </c>
      <c r="BF44" s="14">
        <f t="shared" si="7"/>
        <v>55</v>
      </c>
      <c r="BG44" s="14">
        <f t="shared" si="7"/>
        <v>56</v>
      </c>
      <c r="BH44" s="14">
        <f t="shared" si="7"/>
        <v>57</v>
      </c>
      <c r="BI44" s="14">
        <f t="shared" si="7"/>
        <v>58</v>
      </c>
      <c r="BJ44" s="14">
        <f t="shared" si="7"/>
        <v>59</v>
      </c>
      <c r="BK44" s="14">
        <f t="shared" si="7"/>
        <v>60</v>
      </c>
      <c r="BL44" s="14">
        <f t="shared" si="7"/>
        <v>61</v>
      </c>
      <c r="BM44" s="14">
        <f t="shared" si="7"/>
        <v>62</v>
      </c>
      <c r="BN44" s="14">
        <f t="shared" si="7"/>
        <v>63</v>
      </c>
      <c r="BO44" s="14">
        <f t="shared" si="7"/>
        <v>64</v>
      </c>
      <c r="BP44" s="14">
        <f t="shared" si="7"/>
        <v>65</v>
      </c>
      <c r="BQ44" s="14">
        <f t="shared" ref="BQ44:CI44" si="8">BP44+1</f>
        <v>66</v>
      </c>
      <c r="BR44" s="14">
        <f t="shared" si="8"/>
        <v>67</v>
      </c>
      <c r="BS44" s="14">
        <f t="shared" si="8"/>
        <v>68</v>
      </c>
      <c r="BT44" s="14">
        <f t="shared" si="8"/>
        <v>69</v>
      </c>
      <c r="BU44" s="14">
        <f t="shared" si="8"/>
        <v>70</v>
      </c>
      <c r="BV44" s="14">
        <f t="shared" si="8"/>
        <v>71</v>
      </c>
      <c r="BW44" s="14">
        <f t="shared" si="8"/>
        <v>72</v>
      </c>
      <c r="BX44" s="14">
        <f t="shared" si="8"/>
        <v>73</v>
      </c>
      <c r="BY44" s="14">
        <f t="shared" si="8"/>
        <v>74</v>
      </c>
      <c r="BZ44" s="14">
        <f t="shared" si="8"/>
        <v>75</v>
      </c>
      <c r="CA44" s="14">
        <f t="shared" si="8"/>
        <v>76</v>
      </c>
      <c r="CB44" s="14">
        <f t="shared" si="8"/>
        <v>77</v>
      </c>
      <c r="CC44" s="14">
        <f t="shared" si="8"/>
        <v>78</v>
      </c>
      <c r="CD44" s="14">
        <f t="shared" si="8"/>
        <v>79</v>
      </c>
      <c r="CE44" s="14">
        <f t="shared" si="8"/>
        <v>80</v>
      </c>
      <c r="CF44" s="14">
        <f t="shared" si="8"/>
        <v>81</v>
      </c>
      <c r="CG44" s="14">
        <f t="shared" si="8"/>
        <v>82</v>
      </c>
      <c r="CH44" s="14">
        <f t="shared" si="8"/>
        <v>83</v>
      </c>
      <c r="CI44" s="14">
        <f t="shared" si="8"/>
        <v>84</v>
      </c>
    </row>
    <row r="45" spans="1:88" collapsed="1" x14ac:dyDescent="0.2">
      <c r="B45" s="8" t="s">
        <v>5</v>
      </c>
      <c r="C45" s="12">
        <f>EDATE($C$17,-12)</f>
        <v>44561</v>
      </c>
      <c r="D45" s="11">
        <f t="shared" ref="D45:AI45" si="9">EDATE($C$45,D$44)</f>
        <v>44592</v>
      </c>
      <c r="E45" s="11">
        <f t="shared" si="9"/>
        <v>44620</v>
      </c>
      <c r="F45" s="11">
        <f t="shared" si="9"/>
        <v>44651</v>
      </c>
      <c r="G45" s="11">
        <f t="shared" si="9"/>
        <v>44681</v>
      </c>
      <c r="H45" s="11">
        <f t="shared" si="9"/>
        <v>44712</v>
      </c>
      <c r="I45" s="11">
        <f t="shared" si="9"/>
        <v>44742</v>
      </c>
      <c r="J45" s="11">
        <f t="shared" si="9"/>
        <v>44773</v>
      </c>
      <c r="K45" s="11">
        <f t="shared" si="9"/>
        <v>44804</v>
      </c>
      <c r="L45" s="11">
        <f t="shared" si="9"/>
        <v>44834</v>
      </c>
      <c r="M45" s="11">
        <f t="shared" si="9"/>
        <v>44865</v>
      </c>
      <c r="N45" s="11">
        <f t="shared" si="9"/>
        <v>44895</v>
      </c>
      <c r="O45" s="11">
        <f t="shared" si="9"/>
        <v>44926</v>
      </c>
      <c r="P45" s="11">
        <f t="shared" si="9"/>
        <v>44957</v>
      </c>
      <c r="Q45" s="11">
        <f t="shared" si="9"/>
        <v>44985</v>
      </c>
      <c r="R45" s="11">
        <f t="shared" si="9"/>
        <v>45016</v>
      </c>
      <c r="S45" s="11">
        <f t="shared" si="9"/>
        <v>45046</v>
      </c>
      <c r="T45" s="11">
        <f t="shared" si="9"/>
        <v>45077</v>
      </c>
      <c r="U45" s="11">
        <f t="shared" si="9"/>
        <v>45107</v>
      </c>
      <c r="V45" s="11">
        <f t="shared" si="9"/>
        <v>45138</v>
      </c>
      <c r="W45" s="11">
        <f t="shared" si="9"/>
        <v>45169</v>
      </c>
      <c r="X45" s="11">
        <f t="shared" si="9"/>
        <v>45199</v>
      </c>
      <c r="Y45" s="11">
        <f t="shared" si="9"/>
        <v>45230</v>
      </c>
      <c r="Z45" s="11">
        <f t="shared" si="9"/>
        <v>45260</v>
      </c>
      <c r="AA45" s="11">
        <f t="shared" si="9"/>
        <v>45291</v>
      </c>
      <c r="AB45" s="11">
        <f t="shared" si="9"/>
        <v>45322</v>
      </c>
      <c r="AC45" s="11">
        <f t="shared" si="9"/>
        <v>45351</v>
      </c>
      <c r="AD45" s="11">
        <f t="shared" si="9"/>
        <v>45382</v>
      </c>
      <c r="AE45" s="11">
        <f t="shared" si="9"/>
        <v>45412</v>
      </c>
      <c r="AF45" s="11">
        <f t="shared" si="9"/>
        <v>45443</v>
      </c>
      <c r="AG45" s="11">
        <f t="shared" si="9"/>
        <v>45473</v>
      </c>
      <c r="AH45" s="11">
        <f t="shared" si="9"/>
        <v>45504</v>
      </c>
      <c r="AI45" s="11">
        <f t="shared" si="9"/>
        <v>45535</v>
      </c>
      <c r="AJ45" s="11">
        <f t="shared" ref="AJ45:BO45" si="10">EDATE($C$45,AJ$44)</f>
        <v>45565</v>
      </c>
      <c r="AK45" s="11">
        <f t="shared" si="10"/>
        <v>45596</v>
      </c>
      <c r="AL45" s="11">
        <f t="shared" si="10"/>
        <v>45626</v>
      </c>
      <c r="AM45" s="11">
        <f t="shared" si="10"/>
        <v>45657</v>
      </c>
      <c r="AN45" s="11">
        <f t="shared" si="10"/>
        <v>45688</v>
      </c>
      <c r="AO45" s="11">
        <f t="shared" si="10"/>
        <v>45716</v>
      </c>
      <c r="AP45" s="11">
        <f t="shared" si="10"/>
        <v>45747</v>
      </c>
      <c r="AQ45" s="11">
        <f t="shared" si="10"/>
        <v>45777</v>
      </c>
      <c r="AR45" s="11">
        <f t="shared" si="10"/>
        <v>45808</v>
      </c>
      <c r="AS45" s="11">
        <f t="shared" si="10"/>
        <v>45838</v>
      </c>
      <c r="AT45" s="11">
        <f t="shared" si="10"/>
        <v>45869</v>
      </c>
      <c r="AU45" s="11">
        <f t="shared" si="10"/>
        <v>45900</v>
      </c>
      <c r="AV45" s="11">
        <f t="shared" si="10"/>
        <v>45930</v>
      </c>
      <c r="AW45" s="11">
        <f t="shared" si="10"/>
        <v>45961</v>
      </c>
      <c r="AX45" s="11">
        <f t="shared" si="10"/>
        <v>45991</v>
      </c>
      <c r="AY45" s="11">
        <f t="shared" si="10"/>
        <v>46022</v>
      </c>
      <c r="AZ45" s="11">
        <f t="shared" si="10"/>
        <v>46053</v>
      </c>
      <c r="BA45" s="11">
        <f t="shared" si="10"/>
        <v>46081</v>
      </c>
      <c r="BB45" s="11">
        <f t="shared" si="10"/>
        <v>46112</v>
      </c>
      <c r="BC45" s="11">
        <f t="shared" si="10"/>
        <v>46142</v>
      </c>
      <c r="BD45" s="11">
        <f t="shared" si="10"/>
        <v>46173</v>
      </c>
      <c r="BE45" s="11">
        <f t="shared" si="10"/>
        <v>46203</v>
      </c>
      <c r="BF45" s="11">
        <f t="shared" si="10"/>
        <v>46234</v>
      </c>
      <c r="BG45" s="11">
        <f t="shared" si="10"/>
        <v>46265</v>
      </c>
      <c r="BH45" s="11">
        <f t="shared" si="10"/>
        <v>46295</v>
      </c>
      <c r="BI45" s="11">
        <f t="shared" si="10"/>
        <v>46326</v>
      </c>
      <c r="BJ45" s="11">
        <f t="shared" si="10"/>
        <v>46356</v>
      </c>
      <c r="BK45" s="11">
        <f t="shared" si="10"/>
        <v>46387</v>
      </c>
      <c r="BL45" s="11">
        <f t="shared" si="10"/>
        <v>46418</v>
      </c>
      <c r="BM45" s="11">
        <f t="shared" si="10"/>
        <v>46446</v>
      </c>
      <c r="BN45" s="11">
        <f t="shared" si="10"/>
        <v>46477</v>
      </c>
      <c r="BO45" s="11">
        <f t="shared" si="10"/>
        <v>46507</v>
      </c>
      <c r="BP45" s="11">
        <f t="shared" ref="BP45:CI45" si="11">EDATE($C$45,BP$44)</f>
        <v>46538</v>
      </c>
      <c r="BQ45" s="11">
        <f t="shared" si="11"/>
        <v>46568</v>
      </c>
      <c r="BR45" s="11">
        <f t="shared" si="11"/>
        <v>46599</v>
      </c>
      <c r="BS45" s="11">
        <f t="shared" si="11"/>
        <v>46630</v>
      </c>
      <c r="BT45" s="11">
        <f t="shared" si="11"/>
        <v>46660</v>
      </c>
      <c r="BU45" s="11">
        <f t="shared" si="11"/>
        <v>46691</v>
      </c>
      <c r="BV45" s="11">
        <f t="shared" si="11"/>
        <v>46721</v>
      </c>
      <c r="BW45" s="11">
        <f t="shared" si="11"/>
        <v>46752</v>
      </c>
      <c r="BX45" s="11">
        <f t="shared" si="11"/>
        <v>46783</v>
      </c>
      <c r="BY45" s="11">
        <f t="shared" si="11"/>
        <v>46812</v>
      </c>
      <c r="BZ45" s="11">
        <f t="shared" si="11"/>
        <v>46843</v>
      </c>
      <c r="CA45" s="11">
        <f t="shared" si="11"/>
        <v>46873</v>
      </c>
      <c r="CB45" s="11">
        <f t="shared" si="11"/>
        <v>46904</v>
      </c>
      <c r="CC45" s="11">
        <f t="shared" si="11"/>
        <v>46934</v>
      </c>
      <c r="CD45" s="11">
        <f t="shared" si="11"/>
        <v>46965</v>
      </c>
      <c r="CE45" s="11">
        <f t="shared" si="11"/>
        <v>46996</v>
      </c>
      <c r="CF45" s="11">
        <f t="shared" si="11"/>
        <v>47026</v>
      </c>
      <c r="CG45" s="11">
        <f t="shared" si="11"/>
        <v>47057</v>
      </c>
      <c r="CH45" s="11">
        <f t="shared" si="11"/>
        <v>47087</v>
      </c>
      <c r="CI45" s="11">
        <f t="shared" si="11"/>
        <v>47118</v>
      </c>
    </row>
    <row r="46" spans="1:88" ht="14.25" x14ac:dyDescent="0.2">
      <c r="B46" s="8" t="s">
        <v>4</v>
      </c>
      <c r="C46" s="442" t="str">
        <f>$C$19</f>
        <v>IST</v>
      </c>
      <c r="D46" s="10" t="str">
        <f t="shared" ref="D46:AI46" si="12">IF(D$45&lt;=$C$22,$C$19,$C$27)</f>
        <v>IST</v>
      </c>
      <c r="E46" s="10" t="str">
        <f t="shared" si="12"/>
        <v>IST</v>
      </c>
      <c r="F46" s="10" t="str">
        <f t="shared" si="12"/>
        <v>IST</v>
      </c>
      <c r="G46" s="10" t="str">
        <f t="shared" si="12"/>
        <v>IST</v>
      </c>
      <c r="H46" s="10" t="str">
        <f t="shared" si="12"/>
        <v>IST</v>
      </c>
      <c r="I46" s="10" t="str">
        <f t="shared" si="12"/>
        <v>IST</v>
      </c>
      <c r="J46" s="10" t="str">
        <f t="shared" si="12"/>
        <v>IST</v>
      </c>
      <c r="K46" s="10" t="str">
        <f t="shared" si="12"/>
        <v>IST</v>
      </c>
      <c r="L46" s="10" t="str">
        <f t="shared" si="12"/>
        <v>IST</v>
      </c>
      <c r="M46" s="10" t="str">
        <f t="shared" si="12"/>
        <v>IST</v>
      </c>
      <c r="N46" s="10" t="str">
        <f t="shared" si="12"/>
        <v>IST</v>
      </c>
      <c r="O46" s="10" t="str">
        <f t="shared" si="12"/>
        <v>IST</v>
      </c>
      <c r="P46" s="10" t="str">
        <f t="shared" si="12"/>
        <v>IST</v>
      </c>
      <c r="Q46" s="10" t="str">
        <f t="shared" si="12"/>
        <v>IST</v>
      </c>
      <c r="R46" s="10" t="str">
        <f t="shared" si="12"/>
        <v>IST</v>
      </c>
      <c r="S46" s="10" t="str">
        <f t="shared" si="12"/>
        <v>IST</v>
      </c>
      <c r="T46" s="10" t="str">
        <f t="shared" si="12"/>
        <v>IST</v>
      </c>
      <c r="U46" s="10" t="str">
        <f t="shared" si="12"/>
        <v>IST</v>
      </c>
      <c r="V46" s="10" t="str">
        <f t="shared" si="12"/>
        <v>IST</v>
      </c>
      <c r="W46" s="10" t="str">
        <f t="shared" si="12"/>
        <v>IST</v>
      </c>
      <c r="X46" s="10" t="str">
        <f t="shared" si="12"/>
        <v>IST</v>
      </c>
      <c r="Y46" s="10" t="str">
        <f t="shared" si="12"/>
        <v>IST</v>
      </c>
      <c r="Z46" s="10" t="str">
        <f t="shared" si="12"/>
        <v>IST</v>
      </c>
      <c r="AA46" s="10" t="str">
        <f t="shared" si="12"/>
        <v>IST</v>
      </c>
      <c r="AB46" s="10" t="str">
        <f t="shared" si="12"/>
        <v>IST</v>
      </c>
      <c r="AC46" s="10" t="str">
        <f t="shared" si="12"/>
        <v>IST</v>
      </c>
      <c r="AD46" s="10" t="str">
        <f t="shared" si="12"/>
        <v>IST</v>
      </c>
      <c r="AE46" s="10" t="str">
        <f t="shared" si="12"/>
        <v>IST</v>
      </c>
      <c r="AF46" s="10" t="str">
        <f t="shared" si="12"/>
        <v>IST</v>
      </c>
      <c r="AG46" s="10" t="str">
        <f t="shared" si="12"/>
        <v>IST</v>
      </c>
      <c r="AH46" s="10" t="str">
        <f t="shared" si="12"/>
        <v>IST</v>
      </c>
      <c r="AI46" s="10" t="str">
        <f t="shared" si="12"/>
        <v>IST</v>
      </c>
      <c r="AJ46" s="10" t="str">
        <f t="shared" ref="AJ46:BO46" si="13">IF(AJ$45&lt;=$C$22,$C$19,$C$27)</f>
        <v>IST</v>
      </c>
      <c r="AK46" s="10" t="str">
        <f t="shared" si="13"/>
        <v>IST</v>
      </c>
      <c r="AL46" s="10" t="str">
        <f t="shared" si="13"/>
        <v>IST</v>
      </c>
      <c r="AM46" s="10" t="str">
        <f t="shared" si="13"/>
        <v>IST</v>
      </c>
      <c r="AN46" s="10" t="str">
        <f t="shared" si="13"/>
        <v>IST</v>
      </c>
      <c r="AO46" s="10" t="str">
        <f t="shared" si="13"/>
        <v>IST</v>
      </c>
      <c r="AP46" s="10" t="str">
        <f t="shared" si="13"/>
        <v>IST</v>
      </c>
      <c r="AQ46" s="10" t="str">
        <f t="shared" si="13"/>
        <v>IST</v>
      </c>
      <c r="AR46" s="10" t="str">
        <f t="shared" si="13"/>
        <v>IST</v>
      </c>
      <c r="AS46" s="10" t="str">
        <f t="shared" si="13"/>
        <v>IST</v>
      </c>
      <c r="AT46" s="10" t="str">
        <f t="shared" si="13"/>
        <v>IST</v>
      </c>
      <c r="AU46" s="10" t="str">
        <f t="shared" si="13"/>
        <v>IST</v>
      </c>
      <c r="AV46" s="10" t="str">
        <f t="shared" si="13"/>
        <v>IST</v>
      </c>
      <c r="AW46" s="10" t="str">
        <f t="shared" si="13"/>
        <v>IST</v>
      </c>
      <c r="AX46" s="10" t="str">
        <f t="shared" si="13"/>
        <v>IST</v>
      </c>
      <c r="AY46" s="10" t="str">
        <f t="shared" si="13"/>
        <v>IST</v>
      </c>
      <c r="AZ46" s="10" t="str">
        <f t="shared" si="13"/>
        <v>Plan</v>
      </c>
      <c r="BA46" s="10" t="str">
        <f t="shared" si="13"/>
        <v>Plan</v>
      </c>
      <c r="BB46" s="10" t="str">
        <f t="shared" si="13"/>
        <v>Plan</v>
      </c>
      <c r="BC46" s="10" t="str">
        <f t="shared" si="13"/>
        <v>Plan</v>
      </c>
      <c r="BD46" s="10" t="str">
        <f t="shared" si="13"/>
        <v>Plan</v>
      </c>
      <c r="BE46" s="10" t="str">
        <f t="shared" si="13"/>
        <v>Plan</v>
      </c>
      <c r="BF46" s="10" t="str">
        <f t="shared" si="13"/>
        <v>Plan</v>
      </c>
      <c r="BG46" s="10" t="str">
        <f t="shared" si="13"/>
        <v>Plan</v>
      </c>
      <c r="BH46" s="10" t="str">
        <f t="shared" si="13"/>
        <v>Plan</v>
      </c>
      <c r="BI46" s="10" t="str">
        <f t="shared" si="13"/>
        <v>Plan</v>
      </c>
      <c r="BJ46" s="10" t="str">
        <f t="shared" si="13"/>
        <v>Plan</v>
      </c>
      <c r="BK46" s="10" t="str">
        <f t="shared" si="13"/>
        <v>Plan</v>
      </c>
      <c r="BL46" s="10" t="str">
        <f t="shared" si="13"/>
        <v>Plan</v>
      </c>
      <c r="BM46" s="10" t="str">
        <f t="shared" si="13"/>
        <v>Plan</v>
      </c>
      <c r="BN46" s="10" t="str">
        <f t="shared" si="13"/>
        <v>Plan</v>
      </c>
      <c r="BO46" s="10" t="str">
        <f t="shared" si="13"/>
        <v>Plan</v>
      </c>
      <c r="BP46" s="10" t="str">
        <f t="shared" ref="BP46:CI46" si="14">IF(BP$45&lt;=$C$22,$C$19,$C$27)</f>
        <v>Plan</v>
      </c>
      <c r="BQ46" s="10" t="str">
        <f t="shared" si="14"/>
        <v>Plan</v>
      </c>
      <c r="BR46" s="10" t="str">
        <f t="shared" si="14"/>
        <v>Plan</v>
      </c>
      <c r="BS46" s="10" t="str">
        <f t="shared" si="14"/>
        <v>Plan</v>
      </c>
      <c r="BT46" s="10" t="str">
        <f t="shared" si="14"/>
        <v>Plan</v>
      </c>
      <c r="BU46" s="10" t="str">
        <f t="shared" si="14"/>
        <v>Plan</v>
      </c>
      <c r="BV46" s="10" t="str">
        <f t="shared" si="14"/>
        <v>Plan</v>
      </c>
      <c r="BW46" s="10" t="str">
        <f t="shared" si="14"/>
        <v>Plan</v>
      </c>
      <c r="BX46" s="10" t="str">
        <f t="shared" si="14"/>
        <v>Plan</v>
      </c>
      <c r="BY46" s="10" t="str">
        <f t="shared" si="14"/>
        <v>Plan</v>
      </c>
      <c r="BZ46" s="10" t="str">
        <f t="shared" si="14"/>
        <v>Plan</v>
      </c>
      <c r="CA46" s="10" t="str">
        <f t="shared" si="14"/>
        <v>Plan</v>
      </c>
      <c r="CB46" s="10" t="str">
        <f t="shared" si="14"/>
        <v>Plan</v>
      </c>
      <c r="CC46" s="10" t="str">
        <f t="shared" si="14"/>
        <v>Plan</v>
      </c>
      <c r="CD46" s="10" t="str">
        <f t="shared" si="14"/>
        <v>Plan</v>
      </c>
      <c r="CE46" s="10" t="str">
        <f t="shared" si="14"/>
        <v>Plan</v>
      </c>
      <c r="CF46" s="10" t="str">
        <f t="shared" si="14"/>
        <v>Plan</v>
      </c>
      <c r="CG46" s="10" t="str">
        <f t="shared" si="14"/>
        <v>Plan</v>
      </c>
      <c r="CH46" s="10" t="str">
        <f t="shared" si="14"/>
        <v>Plan</v>
      </c>
      <c r="CI46" s="10" t="str">
        <f t="shared" si="14"/>
        <v>Plan</v>
      </c>
      <c r="CJ46" s="9"/>
    </row>
  </sheetData>
  <conditionalFormatting sqref="D21:D22">
    <cfRule type="containsText" dxfId="325" priority="3" operator="containsText" text="ok">
      <formula>NOT(ISERROR(SEARCH("ok",D21)))</formula>
    </cfRule>
  </conditionalFormatting>
  <conditionalFormatting sqref="D22">
    <cfRule type="containsText" dxfId="324" priority="1" operator="containsText" text="CYT date must not be">
      <formula>NOT(ISERROR(SEARCH("CYT date must not be",D22)))</formula>
    </cfRule>
    <cfRule type="containsText" dxfId="323" priority="2" operator="containsText" text="31.12.&quot;;&quot;CYT date must not be December 31, check">
      <formula>NOT(ISERROR(SEARCH("31.12."";""CYT date must not be December 31, check",D22)))</formula>
    </cfRule>
  </conditionalFormatting>
  <pageMargins left="0.7" right="0.7" top="0.78740157499999996" bottom="0.78740157499999996"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DF7A5-411C-4852-B957-E319C3C22625}">
  <sheetPr>
    <tabColor theme="0" tint="-0.249977111117893"/>
  </sheetPr>
  <dimension ref="B2:L39"/>
  <sheetViews>
    <sheetView workbookViewId="0"/>
  </sheetViews>
  <sheetFormatPr defaultColWidth="11.28515625" defaultRowHeight="11.45" customHeight="1" outlineLevelRow="1" x14ac:dyDescent="0.2"/>
  <cols>
    <col min="1" max="1" width="11.28515625" style="1"/>
    <col min="2" max="2" width="42.5703125" style="1" customWidth="1"/>
    <col min="3" max="6" width="8.5703125" style="1" customWidth="1"/>
    <col min="7" max="7" width="11.28515625" style="1"/>
    <col min="8" max="8" width="42.5703125" style="1" customWidth="1"/>
    <col min="9" max="12" width="8.5703125" style="1" customWidth="1"/>
    <col min="13" max="13" width="15.5703125" style="1" customWidth="1"/>
    <col min="14" max="14" width="11.28515625" style="1"/>
    <col min="15" max="15" width="29.140625" style="1" customWidth="1"/>
    <col min="16" max="19" width="21.5703125" style="1" customWidth="1"/>
    <col min="20" max="16384" width="11.28515625" style="1"/>
  </cols>
  <sheetData>
    <row r="2" spans="2:12" ht="11.45" customHeight="1" x14ac:dyDescent="0.2">
      <c r="B2" s="1" t="s">
        <v>51</v>
      </c>
      <c r="F2" s="49" t="s">
        <v>48</v>
      </c>
      <c r="G2" s="49"/>
    </row>
    <row r="3" spans="2:12" ht="11.45" customHeight="1" x14ac:dyDescent="0.2">
      <c r="B3" s="33" t="str">
        <f>Cockpit!$C$4</f>
        <v>Projekt Namur</v>
      </c>
      <c r="C3" s="992">
        <f>Cockpit!D33</f>
        <v>44926</v>
      </c>
      <c r="D3" s="992">
        <f>Cockpit!E33</f>
        <v>45291</v>
      </c>
      <c r="E3" s="992">
        <f>Cockpit!F33</f>
        <v>45657</v>
      </c>
      <c r="F3" s="992">
        <f>Cockpit!G33</f>
        <v>46022</v>
      </c>
      <c r="H3" s="605"/>
      <c r="I3" s="995"/>
      <c r="J3" s="995"/>
      <c r="K3" s="995"/>
      <c r="L3" s="995"/>
    </row>
    <row r="4" spans="2:12" ht="11.45" customHeight="1" x14ac:dyDescent="0.2">
      <c r="B4" s="33"/>
      <c r="C4" s="992"/>
      <c r="D4" s="992"/>
      <c r="E4" s="992"/>
      <c r="F4" s="992"/>
      <c r="H4" s="605"/>
      <c r="I4" s="995"/>
      <c r="J4" s="995"/>
      <c r="K4" s="995"/>
      <c r="L4" s="995"/>
    </row>
    <row r="5" spans="2:12" ht="4.5" customHeight="1" x14ac:dyDescent="0.2">
      <c r="B5" s="437"/>
      <c r="C5" s="438"/>
      <c r="D5" s="438"/>
      <c r="E5" s="438"/>
      <c r="F5" s="438"/>
      <c r="G5" s="30"/>
      <c r="H5" s="606"/>
      <c r="I5" s="50"/>
      <c r="J5" s="50"/>
      <c r="K5" s="50"/>
      <c r="L5" s="50"/>
    </row>
    <row r="6" spans="2:12" ht="15" customHeight="1" x14ac:dyDescent="0.2">
      <c r="B6" s="608" t="s">
        <v>4482</v>
      </c>
      <c r="C6" s="438"/>
      <c r="D6" s="438"/>
      <c r="E6" s="438"/>
      <c r="F6" s="438"/>
      <c r="G6" s="30"/>
      <c r="H6" s="607"/>
      <c r="I6" s="50"/>
      <c r="J6" s="50"/>
      <c r="K6" s="50"/>
      <c r="L6" s="50"/>
    </row>
    <row r="7" spans="2:12" ht="15" customHeight="1" x14ac:dyDescent="0.2">
      <c r="B7" s="46" t="s">
        <v>4483</v>
      </c>
      <c r="C7" s="48" t="s">
        <v>41</v>
      </c>
      <c r="D7" s="48" t="s">
        <v>41</v>
      </c>
      <c r="E7" s="48" t="s">
        <v>41</v>
      </c>
      <c r="F7" s="47" t="s">
        <v>34</v>
      </c>
      <c r="H7" s="602"/>
      <c r="I7" s="603"/>
      <c r="J7" s="603"/>
      <c r="K7" s="603"/>
      <c r="L7" s="604"/>
    </row>
    <row r="8" spans="2:12" ht="15" customHeight="1" x14ac:dyDescent="0.2">
      <c r="B8" s="46" t="s">
        <v>46</v>
      </c>
      <c r="C8" s="48" t="s">
        <v>4481</v>
      </c>
      <c r="D8" s="48" t="s">
        <v>41</v>
      </c>
      <c r="E8" s="48" t="s">
        <v>41</v>
      </c>
      <c r="F8" s="47" t="s">
        <v>41</v>
      </c>
      <c r="H8" s="602"/>
      <c r="I8" s="603"/>
      <c r="J8" s="603"/>
      <c r="K8" s="603"/>
      <c r="L8" s="604"/>
    </row>
    <row r="9" spans="2:12" ht="15" hidden="1" customHeight="1" outlineLevel="1" x14ac:dyDescent="0.2">
      <c r="B9" s="46" t="s">
        <v>45</v>
      </c>
      <c r="C9" s="48" t="s">
        <v>41</v>
      </c>
      <c r="D9" s="48" t="s">
        <v>41</v>
      </c>
      <c r="E9" s="48" t="s">
        <v>41</v>
      </c>
      <c r="F9" s="47" t="s">
        <v>41</v>
      </c>
      <c r="H9" s="602"/>
      <c r="I9" s="603"/>
      <c r="J9" s="603"/>
      <c r="K9" s="603"/>
      <c r="L9" s="604"/>
    </row>
    <row r="10" spans="2:12" ht="15" customHeight="1" collapsed="1" x14ac:dyDescent="0.2">
      <c r="B10" s="46" t="s">
        <v>44</v>
      </c>
      <c r="C10" s="48" t="s">
        <v>41</v>
      </c>
      <c r="D10" s="48" t="s">
        <v>41</v>
      </c>
      <c r="E10" s="48" t="s">
        <v>41</v>
      </c>
      <c r="F10" s="47" t="s">
        <v>41</v>
      </c>
      <c r="H10" s="602"/>
      <c r="I10" s="603"/>
      <c r="J10" s="603"/>
      <c r="K10" s="603"/>
      <c r="L10" s="604"/>
    </row>
    <row r="11" spans="2:12" ht="15" customHeight="1" outlineLevel="1" x14ac:dyDescent="0.2">
      <c r="B11" s="46" t="s">
        <v>43</v>
      </c>
      <c r="C11" s="48" t="s">
        <v>41</v>
      </c>
      <c r="D11" s="48" t="s">
        <v>41</v>
      </c>
      <c r="E11" s="48" t="s">
        <v>41</v>
      </c>
      <c r="F11" s="47" t="s">
        <v>4481</v>
      </c>
      <c r="H11" s="602"/>
      <c r="I11" s="603"/>
      <c r="J11" s="993"/>
      <c r="K11" s="993"/>
      <c r="L11" s="604"/>
    </row>
    <row r="12" spans="2:12" ht="15" customHeight="1" x14ac:dyDescent="0.2">
      <c r="B12" s="46" t="s">
        <v>42</v>
      </c>
      <c r="C12" s="45"/>
      <c r="D12" s="994" t="s">
        <v>41</v>
      </c>
      <c r="E12" s="994"/>
      <c r="F12" s="44"/>
      <c r="H12" s="602"/>
      <c r="I12" s="603"/>
      <c r="J12" s="603"/>
      <c r="K12" s="603"/>
      <c r="L12" s="604"/>
    </row>
    <row r="13" spans="2:12" ht="5.25" hidden="1" customHeight="1" outlineLevel="1" x14ac:dyDescent="0.2">
      <c r="B13" s="43"/>
      <c r="C13" s="440"/>
      <c r="D13" s="440"/>
      <c r="E13" s="440"/>
      <c r="F13" s="441"/>
      <c r="G13" s="30"/>
      <c r="H13" s="602"/>
      <c r="I13" s="603"/>
      <c r="J13" s="603"/>
      <c r="K13" s="603"/>
      <c r="L13" s="604"/>
    </row>
    <row r="14" spans="2:12" ht="15" hidden="1" customHeight="1" outlineLevel="1" x14ac:dyDescent="0.2">
      <c r="B14" s="439" t="s">
        <v>39</v>
      </c>
      <c r="C14" s="438"/>
      <c r="D14" s="438"/>
      <c r="E14" s="438"/>
      <c r="F14" s="438"/>
      <c r="G14" s="30"/>
      <c r="H14" s="607"/>
      <c r="I14" s="50"/>
      <c r="J14" s="50"/>
      <c r="K14" s="50"/>
      <c r="L14" s="50"/>
    </row>
    <row r="15" spans="2:12" ht="15" hidden="1" customHeight="1" outlineLevel="1" x14ac:dyDescent="0.2">
      <c r="B15" s="46" t="s">
        <v>47</v>
      </c>
      <c r="C15" s="48" t="s">
        <v>41</v>
      </c>
      <c r="D15" s="48" t="s">
        <v>41</v>
      </c>
      <c r="E15" s="48" t="s">
        <v>41</v>
      </c>
      <c r="F15" s="47" t="s">
        <v>34</v>
      </c>
      <c r="H15" s="602"/>
      <c r="I15" s="603"/>
      <c r="J15" s="603"/>
      <c r="K15" s="603"/>
      <c r="L15" s="604"/>
    </row>
    <row r="16" spans="2:12" ht="15" hidden="1" customHeight="1" outlineLevel="1" x14ac:dyDescent="0.2">
      <c r="B16" s="46" t="s">
        <v>46</v>
      </c>
      <c r="C16" s="48" t="s">
        <v>41</v>
      </c>
      <c r="D16" s="48" t="s">
        <v>41</v>
      </c>
      <c r="E16" s="48" t="s">
        <v>41</v>
      </c>
      <c r="F16" s="47" t="s">
        <v>41</v>
      </c>
      <c r="H16" s="602"/>
      <c r="I16" s="603"/>
      <c r="J16" s="603"/>
      <c r="K16" s="603"/>
      <c r="L16" s="604"/>
    </row>
    <row r="17" spans="2:12" ht="15" hidden="1" customHeight="1" outlineLevel="1" x14ac:dyDescent="0.2">
      <c r="B17" s="46" t="s">
        <v>45</v>
      </c>
      <c r="C17" s="48" t="s">
        <v>41</v>
      </c>
      <c r="D17" s="48" t="s">
        <v>41</v>
      </c>
      <c r="E17" s="48" t="s">
        <v>41</v>
      </c>
      <c r="F17" s="47" t="s">
        <v>41</v>
      </c>
      <c r="H17" s="602"/>
      <c r="I17" s="603"/>
      <c r="J17" s="603"/>
      <c r="K17" s="603"/>
      <c r="L17" s="604"/>
    </row>
    <row r="18" spans="2:12" ht="15" hidden="1" customHeight="1" outlineLevel="1" x14ac:dyDescent="0.2">
      <c r="B18" s="46" t="s">
        <v>44</v>
      </c>
      <c r="C18" s="48" t="s">
        <v>41</v>
      </c>
      <c r="D18" s="48" t="s">
        <v>41</v>
      </c>
      <c r="E18" s="48" t="s">
        <v>41</v>
      </c>
      <c r="F18" s="47" t="s">
        <v>41</v>
      </c>
      <c r="H18" s="602"/>
      <c r="I18" s="603"/>
      <c r="J18" s="603"/>
      <c r="K18" s="603"/>
      <c r="L18" s="604"/>
    </row>
    <row r="19" spans="2:12" ht="15" hidden="1" customHeight="1" outlineLevel="1" x14ac:dyDescent="0.2">
      <c r="B19" s="46" t="s">
        <v>43</v>
      </c>
      <c r="C19" s="48" t="s">
        <v>34</v>
      </c>
      <c r="D19" s="48" t="s">
        <v>34</v>
      </c>
      <c r="E19" s="48" t="s">
        <v>34</v>
      </c>
      <c r="F19" s="47" t="s">
        <v>34</v>
      </c>
      <c r="H19" s="602"/>
      <c r="I19" s="603"/>
      <c r="J19" s="993"/>
      <c r="K19" s="993"/>
      <c r="L19" s="604"/>
    </row>
    <row r="20" spans="2:12" ht="15" hidden="1" customHeight="1" outlineLevel="1" x14ac:dyDescent="0.2">
      <c r="B20" s="46" t="s">
        <v>42</v>
      </c>
      <c r="C20" s="45"/>
      <c r="D20" s="994" t="s">
        <v>41</v>
      </c>
      <c r="E20" s="994"/>
      <c r="F20" s="44"/>
      <c r="H20" s="602"/>
      <c r="I20" s="603"/>
      <c r="J20" s="603"/>
      <c r="K20" s="603"/>
      <c r="L20" s="604"/>
    </row>
    <row r="21" spans="2:12" ht="5.25" hidden="1" customHeight="1" outlineLevel="1" x14ac:dyDescent="0.2">
      <c r="B21" s="43"/>
      <c r="C21" s="440"/>
      <c r="D21" s="440"/>
      <c r="E21" s="440"/>
      <c r="F21" s="441"/>
      <c r="H21" s="602"/>
      <c r="I21" s="603"/>
      <c r="J21" s="603"/>
      <c r="K21" s="603"/>
      <c r="L21" s="604"/>
    </row>
    <row r="22" spans="2:12" ht="15" hidden="1" customHeight="1" outlineLevel="1" x14ac:dyDescent="0.2">
      <c r="B22" s="439" t="s">
        <v>50</v>
      </c>
      <c r="C22" s="438"/>
      <c r="D22" s="438"/>
      <c r="E22" s="438"/>
      <c r="F22" s="438"/>
      <c r="H22" s="607"/>
      <c r="I22" s="50"/>
      <c r="J22" s="50"/>
      <c r="K22" s="50"/>
      <c r="L22" s="50"/>
    </row>
    <row r="23" spans="2:12" ht="15" hidden="1" customHeight="1" outlineLevel="1" x14ac:dyDescent="0.2">
      <c r="B23" s="46" t="s">
        <v>47</v>
      </c>
      <c r="C23" s="48" t="s">
        <v>41</v>
      </c>
      <c r="D23" s="48" t="s">
        <v>41</v>
      </c>
      <c r="E23" s="48" t="s">
        <v>41</v>
      </c>
      <c r="F23" s="47" t="s">
        <v>34</v>
      </c>
      <c r="H23" s="602"/>
      <c r="I23" s="603"/>
      <c r="J23" s="603"/>
      <c r="K23" s="603"/>
      <c r="L23" s="604"/>
    </row>
    <row r="24" spans="2:12" ht="15" hidden="1" customHeight="1" outlineLevel="1" x14ac:dyDescent="0.2">
      <c r="B24" s="46" t="s">
        <v>46</v>
      </c>
      <c r="C24" s="48" t="s">
        <v>41</v>
      </c>
      <c r="D24" s="48" t="s">
        <v>41</v>
      </c>
      <c r="E24" s="48" t="s">
        <v>41</v>
      </c>
      <c r="F24" s="47" t="s">
        <v>41</v>
      </c>
      <c r="H24" s="602"/>
      <c r="I24" s="603"/>
      <c r="J24" s="603"/>
      <c r="K24" s="603"/>
      <c r="L24" s="604"/>
    </row>
    <row r="25" spans="2:12" ht="15" hidden="1" customHeight="1" outlineLevel="1" x14ac:dyDescent="0.2">
      <c r="B25" s="46" t="s">
        <v>45</v>
      </c>
      <c r="C25" s="48" t="s">
        <v>41</v>
      </c>
      <c r="D25" s="48" t="s">
        <v>41</v>
      </c>
      <c r="E25" s="48" t="s">
        <v>41</v>
      </c>
      <c r="F25" s="47" t="s">
        <v>41</v>
      </c>
      <c r="H25" s="602"/>
      <c r="I25" s="603"/>
      <c r="J25" s="603"/>
      <c r="K25" s="603"/>
      <c r="L25" s="604"/>
    </row>
    <row r="26" spans="2:12" ht="15" hidden="1" customHeight="1" outlineLevel="1" x14ac:dyDescent="0.2">
      <c r="B26" s="46" t="s">
        <v>44</v>
      </c>
      <c r="C26" s="48" t="s">
        <v>41</v>
      </c>
      <c r="D26" s="48" t="s">
        <v>41</v>
      </c>
      <c r="E26" s="48" t="s">
        <v>41</v>
      </c>
      <c r="F26" s="47" t="s">
        <v>41</v>
      </c>
      <c r="H26" s="602"/>
      <c r="I26" s="603"/>
      <c r="J26" s="603"/>
      <c r="K26" s="603"/>
      <c r="L26" s="604"/>
    </row>
    <row r="27" spans="2:12" ht="15" hidden="1" customHeight="1" outlineLevel="1" x14ac:dyDescent="0.2">
      <c r="B27" s="46" t="s">
        <v>43</v>
      </c>
      <c r="C27" s="48" t="s">
        <v>34</v>
      </c>
      <c r="D27" s="48" t="s">
        <v>34</v>
      </c>
      <c r="E27" s="48" t="s">
        <v>34</v>
      </c>
      <c r="F27" s="47" t="s">
        <v>34</v>
      </c>
      <c r="H27" s="602"/>
      <c r="I27" s="603"/>
      <c r="J27" s="993"/>
      <c r="K27" s="993"/>
      <c r="L27" s="604"/>
    </row>
    <row r="28" spans="2:12" ht="15" hidden="1" customHeight="1" outlineLevel="1" x14ac:dyDescent="0.2">
      <c r="B28" s="46" t="s">
        <v>42</v>
      </c>
      <c r="C28" s="45"/>
      <c r="D28" s="994" t="s">
        <v>41</v>
      </c>
      <c r="E28" s="994"/>
      <c r="F28" s="44"/>
      <c r="H28" s="602"/>
      <c r="I28" s="603"/>
      <c r="J28" s="603"/>
      <c r="K28" s="603"/>
      <c r="L28" s="604"/>
    </row>
    <row r="29" spans="2:12" ht="5.25" hidden="1" customHeight="1" outlineLevel="1" x14ac:dyDescent="0.2">
      <c r="B29" s="43"/>
      <c r="C29" s="440"/>
      <c r="D29" s="440"/>
      <c r="E29" s="440"/>
      <c r="F29" s="441"/>
      <c r="G29" s="30"/>
      <c r="H29" s="602"/>
      <c r="I29" s="603"/>
      <c r="J29" s="603"/>
      <c r="K29" s="603"/>
      <c r="L29" s="604"/>
    </row>
    <row r="30" spans="2:12" ht="15" hidden="1" customHeight="1" outlineLevel="1" x14ac:dyDescent="0.2">
      <c r="B30" s="439" t="s">
        <v>49</v>
      </c>
      <c r="C30" s="438"/>
      <c r="D30" s="438"/>
      <c r="E30" s="438"/>
      <c r="F30" s="438"/>
      <c r="G30" s="30"/>
      <c r="H30" s="607"/>
      <c r="I30" s="50"/>
      <c r="J30" s="50"/>
      <c r="K30" s="50"/>
      <c r="L30" s="50"/>
    </row>
    <row r="31" spans="2:12" ht="15" hidden="1" customHeight="1" outlineLevel="1" x14ac:dyDescent="0.2">
      <c r="B31" s="46" t="s">
        <v>47</v>
      </c>
      <c r="C31" s="48" t="s">
        <v>41</v>
      </c>
      <c r="D31" s="48" t="s">
        <v>41</v>
      </c>
      <c r="E31" s="48" t="s">
        <v>41</v>
      </c>
      <c r="F31" s="47" t="s">
        <v>34</v>
      </c>
      <c r="H31" s="602"/>
      <c r="I31" s="603"/>
      <c r="J31" s="603"/>
      <c r="K31" s="603"/>
      <c r="L31" s="604"/>
    </row>
    <row r="32" spans="2:12" ht="15" hidden="1" customHeight="1" outlineLevel="1" x14ac:dyDescent="0.2">
      <c r="B32" s="46" t="s">
        <v>46</v>
      </c>
      <c r="C32" s="48" t="s">
        <v>41</v>
      </c>
      <c r="D32" s="48" t="s">
        <v>41</v>
      </c>
      <c r="E32" s="48" t="s">
        <v>41</v>
      </c>
      <c r="F32" s="47" t="s">
        <v>41</v>
      </c>
      <c r="H32" s="602"/>
      <c r="I32" s="603"/>
      <c r="J32" s="603"/>
      <c r="K32" s="603"/>
      <c r="L32" s="604"/>
    </row>
    <row r="33" spans="2:12" ht="15" hidden="1" customHeight="1" outlineLevel="1" x14ac:dyDescent="0.2">
      <c r="B33" s="46" t="s">
        <v>45</v>
      </c>
      <c r="C33" s="48" t="s">
        <v>41</v>
      </c>
      <c r="D33" s="48" t="s">
        <v>41</v>
      </c>
      <c r="E33" s="48" t="s">
        <v>41</v>
      </c>
      <c r="F33" s="47" t="s">
        <v>41</v>
      </c>
      <c r="H33" s="602"/>
      <c r="I33" s="603"/>
      <c r="J33" s="603"/>
      <c r="K33" s="603"/>
      <c r="L33" s="604"/>
    </row>
    <row r="34" spans="2:12" ht="15" hidden="1" customHeight="1" outlineLevel="1" x14ac:dyDescent="0.2">
      <c r="B34" s="46" t="s">
        <v>44</v>
      </c>
      <c r="C34" s="48" t="s">
        <v>41</v>
      </c>
      <c r="D34" s="48" t="s">
        <v>41</v>
      </c>
      <c r="E34" s="48" t="s">
        <v>41</v>
      </c>
      <c r="F34" s="47" t="s">
        <v>41</v>
      </c>
      <c r="H34" s="602"/>
      <c r="I34" s="603"/>
      <c r="J34" s="603"/>
      <c r="K34" s="603"/>
      <c r="L34" s="604"/>
    </row>
    <row r="35" spans="2:12" ht="15" hidden="1" customHeight="1" outlineLevel="1" x14ac:dyDescent="0.2">
      <c r="B35" s="46" t="s">
        <v>43</v>
      </c>
      <c r="C35" s="48" t="s">
        <v>34</v>
      </c>
      <c r="D35" s="48" t="s">
        <v>34</v>
      </c>
      <c r="E35" s="48" t="s">
        <v>34</v>
      </c>
      <c r="F35" s="47" t="s">
        <v>34</v>
      </c>
      <c r="H35" s="602"/>
      <c r="I35" s="603"/>
      <c r="J35" s="993"/>
      <c r="K35" s="993"/>
      <c r="L35" s="604"/>
    </row>
    <row r="36" spans="2:12" ht="15" hidden="1" customHeight="1" outlineLevel="1" x14ac:dyDescent="0.2">
      <c r="B36" s="46" t="s">
        <v>42</v>
      </c>
      <c r="C36" s="45"/>
      <c r="D36" s="994" t="s">
        <v>41</v>
      </c>
      <c r="E36" s="994"/>
      <c r="F36" s="44"/>
      <c r="H36" s="602"/>
      <c r="I36" s="603"/>
      <c r="J36" s="603"/>
      <c r="K36" s="603"/>
      <c r="L36" s="604"/>
    </row>
    <row r="37" spans="2:12" ht="5.0999999999999996" hidden="1" customHeight="1" outlineLevel="1" x14ac:dyDescent="0.2">
      <c r="B37" s="43"/>
      <c r="C37" s="440"/>
      <c r="D37" s="440"/>
      <c r="E37" s="440"/>
      <c r="F37" s="441"/>
      <c r="G37" s="30"/>
      <c r="H37" s="602"/>
      <c r="I37" s="603"/>
      <c r="J37" s="603"/>
      <c r="K37" s="603"/>
      <c r="L37" s="604"/>
    </row>
    <row r="38" spans="2:12" ht="12" collapsed="1" x14ac:dyDescent="0.2">
      <c r="B38" s="42" t="str">
        <f>"Quelle: "&amp;Cockpit!$C$7</f>
        <v>Quelle: Datenraum/ eigene Analysen</v>
      </c>
      <c r="C38" s="41"/>
      <c r="D38" s="41"/>
      <c r="E38" s="41"/>
      <c r="F38" s="187"/>
      <c r="G38" s="30"/>
      <c r="H38" s="602"/>
      <c r="I38" s="314"/>
      <c r="J38" s="314"/>
      <c r="K38" s="314"/>
      <c r="L38" s="436"/>
    </row>
    <row r="39" spans="2:12" ht="12" x14ac:dyDescent="0.2">
      <c r="B39" s="37"/>
      <c r="C39" s="81"/>
      <c r="D39" s="81"/>
      <c r="E39" s="81"/>
      <c r="F39" s="436"/>
      <c r="H39" s="602"/>
      <c r="I39" s="314"/>
      <c r="J39" s="314"/>
      <c r="K39" s="314"/>
      <c r="L39" s="436"/>
    </row>
  </sheetData>
  <mergeCells count="16">
    <mergeCell ref="D28:E28"/>
    <mergeCell ref="J35:K35"/>
    <mergeCell ref="D36:E36"/>
    <mergeCell ref="L3:L4"/>
    <mergeCell ref="J11:K11"/>
    <mergeCell ref="D12:E12"/>
    <mergeCell ref="J19:K19"/>
    <mergeCell ref="I3:I4"/>
    <mergeCell ref="J3:J4"/>
    <mergeCell ref="K3:K4"/>
    <mergeCell ref="D20:E20"/>
    <mergeCell ref="C3:C4"/>
    <mergeCell ref="D3:D4"/>
    <mergeCell ref="E3:E4"/>
    <mergeCell ref="F3:F4"/>
    <mergeCell ref="J27:K27"/>
  </mergeCells>
  <pageMargins left="0.7" right="0.7" top="0.78740157499999996" bottom="0.78740157499999996" header="0.3" footer="0.3"/>
  <pageSetup paperSize="9" scale="53" orientation="portrait" r:id="rId1"/>
  <customProperties>
    <customPr name="AreLinksHighlighte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B36AC-CF38-42D1-8E87-9AABE4739C9D}">
  <sheetPr>
    <tabColor theme="1"/>
  </sheetPr>
  <dimension ref="A1"/>
  <sheetViews>
    <sheetView workbookViewId="0"/>
  </sheetViews>
  <sheetFormatPr defaultColWidth="11.28515625" defaultRowHeight="12" x14ac:dyDescent="0.2"/>
  <cols>
    <col min="1" max="3" width="11.28515625" style="1"/>
    <col min="4" max="4" width="41.7109375" style="1" customWidth="1"/>
    <col min="5" max="16384" width="11.28515625" style="1"/>
  </cols>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239B7-0A3B-4FBA-A486-56A5068F78B3}">
  <sheetPr>
    <tabColor rgb="FF92D050"/>
  </sheetPr>
  <dimension ref="B1:V341"/>
  <sheetViews>
    <sheetView topLeftCell="A2" workbookViewId="0"/>
  </sheetViews>
  <sheetFormatPr defaultColWidth="11.42578125" defaultRowHeight="11.45" customHeight="1" outlineLevelRow="3" outlineLevelCol="2" x14ac:dyDescent="0.2"/>
  <cols>
    <col min="1" max="1" width="11.42578125" style="1"/>
    <col min="2" max="2" width="0.85546875" style="1" customWidth="1" outlineLevel="2"/>
    <col min="3" max="3" width="35.5703125" style="1" customWidth="1"/>
    <col min="4" max="4" width="35.5703125" style="1" hidden="1" customWidth="1" outlineLevel="1"/>
    <col min="5" max="5" width="9.42578125" style="1" hidden="1" customWidth="1" outlineLevel="1"/>
    <col min="6" max="6" width="9.42578125" style="1" customWidth="1" collapsed="1"/>
    <col min="7" max="9" width="9.42578125" style="1" customWidth="1"/>
    <col min="10" max="14" width="9.42578125" style="1" hidden="1" customWidth="1" outlineLevel="1"/>
    <col min="15" max="15" width="0.85546875" style="1" hidden="1" customWidth="1" outlineLevel="1"/>
    <col min="16" max="17" width="8.42578125" style="1" hidden="1" customWidth="1" outlineLevel="1"/>
    <col min="18" max="18" width="0.85546875" style="1" hidden="1" customWidth="1" outlineLevel="2"/>
    <col min="19" max="19" width="11.42578125" style="1" collapsed="1"/>
    <col min="20" max="20" width="59.85546875" style="1" bestFit="1" customWidth="1"/>
    <col min="21" max="22" width="11.42578125" style="1"/>
    <col min="23" max="23" width="0" style="1" hidden="1" customWidth="1"/>
    <col min="24" max="16384" width="11.42578125" style="1"/>
  </cols>
  <sheetData>
    <row r="1" spans="3:22" ht="11.45" hidden="1" customHeight="1" outlineLevel="3" x14ac:dyDescent="0.2">
      <c r="C1" s="13" t="s">
        <v>268</v>
      </c>
      <c r="D1" s="13" t="s">
        <v>268</v>
      </c>
      <c r="E1" s="12">
        <f t="shared" ref="E1:N1" si="0">IFERROR(E4,E6)</f>
        <v>44561</v>
      </c>
      <c r="F1" s="12">
        <f t="shared" si="0"/>
        <v>44926</v>
      </c>
      <c r="G1" s="12">
        <f t="shared" si="0"/>
        <v>45291</v>
      </c>
      <c r="H1" s="12">
        <f t="shared" si="0"/>
        <v>45657</v>
      </c>
      <c r="I1" s="12">
        <f t="shared" si="0"/>
        <v>46022</v>
      </c>
      <c r="J1" s="12">
        <f t="shared" si="0"/>
        <v>46022</v>
      </c>
      <c r="K1" s="12">
        <f t="shared" si="0"/>
        <v>46022</v>
      </c>
      <c r="L1" s="12">
        <f t="shared" si="0"/>
        <v>46387</v>
      </c>
      <c r="M1" s="12">
        <f t="shared" si="0"/>
        <v>46752</v>
      </c>
      <c r="N1" s="12">
        <f t="shared" si="0"/>
        <v>47118</v>
      </c>
    </row>
    <row r="2" spans="3:22" ht="11.45" customHeight="1" collapsed="1" x14ac:dyDescent="0.2"/>
    <row r="3" spans="3:22" ht="11.45" customHeight="1" x14ac:dyDescent="0.2">
      <c r="G3" s="466">
        <f>G9/F9-1</f>
        <v>-8.3355023557978636E-2</v>
      </c>
      <c r="H3" s="466">
        <f>H9/G9-1</f>
        <v>8.7731686492283023E-2</v>
      </c>
      <c r="I3" s="466">
        <f>I9/H9-1</f>
        <v>-9.9053948945455828E-2</v>
      </c>
    </row>
    <row r="4" spans="3:22" ht="11.45" customHeight="1" x14ac:dyDescent="0.2">
      <c r="C4" s="17" t="str">
        <f>Cockpit!$C$4</f>
        <v>Projekt Namur</v>
      </c>
      <c r="D4" s="17"/>
      <c r="E4" s="32">
        <f>Cockpit!C33</f>
        <v>44561</v>
      </c>
      <c r="F4" s="32">
        <f>Cockpit!D33</f>
        <v>44926</v>
      </c>
      <c r="G4" s="32">
        <f>Cockpit!E33</f>
        <v>45291</v>
      </c>
      <c r="H4" s="32">
        <f>Cockpit!F33</f>
        <v>45657</v>
      </c>
      <c r="I4" s="32">
        <f>Cockpit!G33</f>
        <v>46022</v>
      </c>
      <c r="J4" s="38">
        <f>Cockpit!H33</f>
        <v>46022</v>
      </c>
      <c r="K4" s="32">
        <f>Cockpit!I33</f>
        <v>46022</v>
      </c>
      <c r="L4" s="32">
        <f>Cockpit!J33</f>
        <v>46387</v>
      </c>
      <c r="M4" s="32">
        <f>Cockpit!K33</f>
        <v>46752</v>
      </c>
      <c r="N4" s="32">
        <f>Cockpit!L33</f>
        <v>47118</v>
      </c>
      <c r="O4" s="122"/>
      <c r="P4" s="39" t="s">
        <v>181</v>
      </c>
      <c r="Q4" s="39" t="s">
        <v>181</v>
      </c>
    </row>
    <row r="5" spans="3:22" ht="11.45" customHeight="1" x14ac:dyDescent="0.2">
      <c r="C5" s="17" t="str">
        <f>"in T"&amp;Cockpit!$C$5</f>
        <v>in TEUR</v>
      </c>
      <c r="D5" s="17"/>
      <c r="E5" s="32" t="str">
        <f>Cockpit!C34</f>
        <v>IST</v>
      </c>
      <c r="F5" s="32" t="str">
        <f>Cockpit!D34</f>
        <v>IST</v>
      </c>
      <c r="G5" s="32" t="str">
        <f>Cockpit!E34</f>
        <v>IST</v>
      </c>
      <c r="H5" s="32" t="str">
        <f>Cockpit!F34</f>
        <v>IST</v>
      </c>
      <c r="I5" s="32" t="str">
        <f>Cockpit!G34</f>
        <v>IST</v>
      </c>
      <c r="J5" s="32" t="str">
        <f>Cockpit!H34</f>
        <v>YTD</v>
      </c>
      <c r="K5" s="32" t="str">
        <f>Cockpit!I34</f>
        <v>Plan</v>
      </c>
      <c r="L5" s="32" t="str">
        <f>Cockpit!J34</f>
        <v>Plan</v>
      </c>
      <c r="M5" s="32" t="str">
        <f>Cockpit!K34</f>
        <v>Plan</v>
      </c>
      <c r="N5" s="32" t="str">
        <f>Cockpit!L34</f>
        <v>Plan</v>
      </c>
      <c r="O5" s="122"/>
      <c r="P5" s="39" t="s">
        <v>35</v>
      </c>
      <c r="Q5" s="39" t="str">
        <f>Cockpit!$C$27</f>
        <v>Plan</v>
      </c>
    </row>
    <row r="6" spans="3:22" ht="11.45" hidden="1" customHeight="1" outlineLevel="1" x14ac:dyDescent="0.2">
      <c r="C6" s="124"/>
      <c r="D6" s="17" t="str">
        <f>Cockpit!$C$4</f>
        <v>Projekt Namur</v>
      </c>
      <c r="E6" s="39">
        <f>Cockpit!C33</f>
        <v>44561</v>
      </c>
      <c r="F6" s="39">
        <f>Cockpit!D33</f>
        <v>44926</v>
      </c>
      <c r="G6" s="39">
        <f>Cockpit!E33</f>
        <v>45291</v>
      </c>
      <c r="H6" s="39">
        <f>Cockpit!F33</f>
        <v>45657</v>
      </c>
      <c r="I6" s="39">
        <f>Cockpit!G33</f>
        <v>46022</v>
      </c>
      <c r="J6" s="38">
        <f>Cockpit!H33</f>
        <v>46022</v>
      </c>
      <c r="K6" s="39">
        <f>Cockpit!I33</f>
        <v>46022</v>
      </c>
      <c r="L6" s="39">
        <f>Cockpit!J33</f>
        <v>46387</v>
      </c>
      <c r="M6" s="39">
        <f>Cockpit!K33</f>
        <v>46752</v>
      </c>
      <c r="N6" s="39">
        <f>Cockpit!L33</f>
        <v>47118</v>
      </c>
      <c r="O6" s="122"/>
      <c r="P6" s="39" t="s">
        <v>181</v>
      </c>
      <c r="Q6" s="39" t="s">
        <v>181</v>
      </c>
    </row>
    <row r="7" spans="3:22" ht="11.45" hidden="1" customHeight="1" outlineLevel="1" x14ac:dyDescent="0.2">
      <c r="C7" s="124"/>
      <c r="D7" s="17" t="str">
        <f>"in k"&amp;Cockpit!$C$5</f>
        <v>in kEUR</v>
      </c>
      <c r="E7" s="39" t="str">
        <f>Cockpit!C34</f>
        <v>IST</v>
      </c>
      <c r="F7" s="39" t="str">
        <f>Cockpit!D34</f>
        <v>IST</v>
      </c>
      <c r="G7" s="39" t="str">
        <f>Cockpit!E34</f>
        <v>IST</v>
      </c>
      <c r="H7" s="39" t="str">
        <f>Cockpit!F34</f>
        <v>IST</v>
      </c>
      <c r="I7" s="39" t="str">
        <f>Cockpit!G34</f>
        <v>IST</v>
      </c>
      <c r="J7" s="39" t="str">
        <f>Cockpit!H34</f>
        <v>YTD</v>
      </c>
      <c r="K7" s="39" t="str">
        <f>Cockpit!I34</f>
        <v>Plan</v>
      </c>
      <c r="L7" s="39" t="str">
        <f>Cockpit!J34</f>
        <v>Plan</v>
      </c>
      <c r="M7" s="39" t="str">
        <f>Cockpit!K34</f>
        <v>Plan</v>
      </c>
      <c r="N7" s="39" t="str">
        <f>Cockpit!L34</f>
        <v>Plan</v>
      </c>
      <c r="O7" s="122"/>
      <c r="P7" s="39" t="str">
        <f>Cockpit!$C$19</f>
        <v>IST</v>
      </c>
      <c r="Q7" s="39" t="str">
        <f>Cockpit!$C$27</f>
        <v>Plan</v>
      </c>
      <c r="T7" s="419" t="s">
        <v>840</v>
      </c>
    </row>
    <row r="8" spans="3:22" ht="4.5" customHeight="1" collapsed="1" x14ac:dyDescent="0.2">
      <c r="C8" s="122"/>
      <c r="D8" s="123"/>
      <c r="E8" s="122"/>
      <c r="F8" s="122"/>
      <c r="G8" s="122"/>
      <c r="H8" s="122"/>
      <c r="I8" s="122"/>
      <c r="J8" s="122"/>
      <c r="K8" s="122"/>
      <c r="L8" s="122"/>
      <c r="M8" s="122"/>
      <c r="N8" s="122"/>
      <c r="O8" s="122"/>
      <c r="P8" s="122"/>
      <c r="Q8" s="122"/>
    </row>
    <row r="9" spans="3:22" ht="11.45" customHeight="1" x14ac:dyDescent="0.2">
      <c r="C9" s="109" t="s">
        <v>267</v>
      </c>
      <c r="D9" s="109" t="s">
        <v>266</v>
      </c>
      <c r="E9" s="101"/>
      <c r="F9" s="101">
        <f>'P&amp;L (Annual Report)'!E23/1000</f>
        <v>16709.024729999997</v>
      </c>
      <c r="G9" s="101">
        <f>-SUMIF('Trial Balance (Susa)'!D:D,"*"&amp;$T9&amp;"*",'Trial Balance (Susa)'!G:G)/1000</f>
        <v>15316.24358</v>
      </c>
      <c r="H9" s="101">
        <f>-SUMIF('Trial Balance (Susa)'!D:D,"*"&amp;$T9&amp;"*",'Trial Balance (Susa)'!H:H)/1000</f>
        <v>16659.963460000003</v>
      </c>
      <c r="I9" s="101">
        <f>-SUMIF('Trial Balance (Susa)'!D:D,"*"&amp;$T9&amp;"*",'Trial Balance (Susa)'!I:I)/1000</f>
        <v>15009.728290000003</v>
      </c>
      <c r="J9" s="108">
        <f>-SUMIF('Trial Balance (Susa)'!D:D,"*"&amp;$T9&amp;"*",'Trial Balance (Susa)'!J:J)/1000</f>
        <v>0</v>
      </c>
      <c r="K9" s="107"/>
      <c r="L9" s="107"/>
      <c r="M9" s="107"/>
      <c r="N9" s="107"/>
      <c r="O9" s="101"/>
      <c r="P9" s="111">
        <f t="shared" ref="P9:P59" si="1">IFERROR(((H9/F9)^(1/(($H$1-$F$1)/365)))-1,"n/a")</f>
        <v>-1.4671778285326731E-3</v>
      </c>
      <c r="Q9" s="111">
        <f t="shared" ref="Q9:Q59" si="2">IFERROR(((N9/H9)^(1/(($N$1-$H$1)/365)))-1,"n/a")</f>
        <v>-1</v>
      </c>
      <c r="T9" s="364" t="s">
        <v>677</v>
      </c>
    </row>
    <row r="10" spans="3:22" ht="11.45" hidden="1" customHeight="1" outlineLevel="1" x14ac:dyDescent="0.2">
      <c r="C10" s="120" t="s">
        <v>2449</v>
      </c>
      <c r="D10" s="109"/>
      <c r="E10" s="101"/>
      <c r="F10" s="101">
        <f>'P&amp;L (Annual Report)'!E11/1000+3534.5</f>
        <v>9038.8983100000005</v>
      </c>
      <c r="G10" s="101">
        <f>-'Trial Balance (Susa)'!G305/1000+2617</f>
        <v>9106.0935300000001</v>
      </c>
      <c r="H10" s="101">
        <f>-'Trial Balance (Susa)'!H305/1000+4348.5</f>
        <v>11306.728279999999</v>
      </c>
      <c r="I10" s="622">
        <f>-'Trial Balance (Susa)'!I305/1000</f>
        <v>6124.2830400000003</v>
      </c>
      <c r="J10" s="108"/>
      <c r="K10" s="107"/>
      <c r="L10" s="107"/>
      <c r="M10" s="107"/>
      <c r="N10" s="107"/>
      <c r="O10" s="101"/>
      <c r="P10" s="111"/>
      <c r="Q10" s="111"/>
      <c r="T10" s="364" t="s">
        <v>2516</v>
      </c>
      <c r="V10" s="2" t="s">
        <v>4790</v>
      </c>
    </row>
    <row r="11" spans="3:22" ht="11.45" hidden="1" customHeight="1" outlineLevel="1" x14ac:dyDescent="0.2">
      <c r="C11" s="120" t="s">
        <v>2450</v>
      </c>
      <c r="D11" s="109"/>
      <c r="E11" s="101"/>
      <c r="F11" s="101">
        <f>'P&amp;L (Annual Report)'!E12/1000+62.6</f>
        <v>7415.4844300000004</v>
      </c>
      <c r="G11" s="101">
        <f>-SUM('Trial Balance (Susa)'!G306)/1000+66.1</f>
        <v>6054.4610199999997</v>
      </c>
      <c r="H11" s="101">
        <f>-SUM('Trial Balance (Susa)'!H306)/1000+6</f>
        <v>5076.7472099999995</v>
      </c>
      <c r="I11" s="622">
        <f>-SUM('Trial Balance (Susa)'!I306)/1000</f>
        <v>4016.1017099999999</v>
      </c>
      <c r="J11" s="108"/>
      <c r="K11" s="107"/>
      <c r="L11" s="107"/>
      <c r="M11" s="107"/>
      <c r="N11" s="107"/>
      <c r="O11" s="101"/>
      <c r="P11" s="111"/>
      <c r="Q11" s="111"/>
      <c r="T11" s="364" t="s">
        <v>2517</v>
      </c>
    </row>
    <row r="12" spans="3:22" ht="11.45" hidden="1" customHeight="1" outlineLevel="1" x14ac:dyDescent="0.2">
      <c r="C12" s="120" t="s">
        <v>2459</v>
      </c>
      <c r="D12" s="109"/>
      <c r="E12" s="101"/>
      <c r="F12" s="101">
        <f>SUM(F13:F17)</f>
        <v>457.76717000000002</v>
      </c>
      <c r="G12" s="101">
        <f>SUM(G13:G17)</f>
        <v>364.84820000000002</v>
      </c>
      <c r="H12" s="101">
        <f>SUM(H13:H17)</f>
        <v>452.93157000000002</v>
      </c>
      <c r="I12" s="622">
        <f>SUM(I13:I17)</f>
        <v>191.98364000000001</v>
      </c>
      <c r="J12" s="108"/>
      <c r="K12" s="107"/>
      <c r="L12" s="107"/>
      <c r="M12" s="107"/>
      <c r="N12" s="107"/>
      <c r="O12" s="101"/>
      <c r="P12" s="111"/>
      <c r="Q12" s="111"/>
      <c r="T12" s="364"/>
    </row>
    <row r="13" spans="3:22" ht="11.45" hidden="1" customHeight="1" outlineLevel="2" x14ac:dyDescent="0.2">
      <c r="C13" s="511" t="s">
        <v>2451</v>
      </c>
      <c r="D13" s="109"/>
      <c r="E13" s="101"/>
      <c r="F13" s="101">
        <f>'P&amp;L (Annual Report)'!E13/1000+243.5</f>
        <v>323.4889</v>
      </c>
      <c r="G13" s="101">
        <f>-SUM('Trial Balance (Susa)'!G307)/1000+172.5</f>
        <v>249.64879999999999</v>
      </c>
      <c r="H13" s="101">
        <f>-SUM('Trial Balance (Susa)'!H307)/1000+236.8</f>
        <v>318.06137000000001</v>
      </c>
      <c r="I13" s="101">
        <f>-SUM('Trial Balance (Susa)'!I307)/1000</f>
        <v>96.27319</v>
      </c>
      <c r="J13" s="108"/>
      <c r="K13" s="107"/>
      <c r="L13" s="107"/>
      <c r="M13" s="107"/>
      <c r="N13" s="107"/>
      <c r="O13" s="101"/>
      <c r="P13" s="111"/>
      <c r="Q13" s="111"/>
      <c r="T13" s="364" t="s">
        <v>2518</v>
      </c>
    </row>
    <row r="14" spans="3:22" ht="11.45" hidden="1" customHeight="1" outlineLevel="2" x14ac:dyDescent="0.2">
      <c r="C14" s="511" t="s">
        <v>2452</v>
      </c>
      <c r="D14" s="109"/>
      <c r="E14" s="101"/>
      <c r="F14" s="101">
        <f>'P&amp;L (Annual Report)'!E14/1000</f>
        <v>50.227400000000003</v>
      </c>
      <c r="G14" s="101">
        <f>-SUM('Trial Balance (Susa)'!G308)/1000</f>
        <v>64.515500000000003</v>
      </c>
      <c r="H14" s="101">
        <f>-SUM('Trial Balance (Susa)'!H308)/1000</f>
        <v>88.513800000000003</v>
      </c>
      <c r="I14" s="101">
        <f>-SUM('Trial Balance (Susa)'!I308)/1000</f>
        <v>63.396800000000006</v>
      </c>
      <c r="J14" s="108"/>
      <c r="K14" s="107"/>
      <c r="L14" s="107"/>
      <c r="M14" s="107"/>
      <c r="N14" s="107"/>
      <c r="O14" s="101"/>
      <c r="P14" s="111"/>
      <c r="Q14" s="111"/>
      <c r="T14" s="364" t="s">
        <v>2519</v>
      </c>
    </row>
    <row r="15" spans="3:22" ht="11.45" hidden="1" customHeight="1" outlineLevel="2" x14ac:dyDescent="0.2">
      <c r="C15" s="511" t="s">
        <v>2453</v>
      </c>
      <c r="D15" s="109"/>
      <c r="E15" s="101"/>
      <c r="F15" s="101">
        <f>'P&amp;L (Annual Report)'!E15/1000</f>
        <v>42.775820000000003</v>
      </c>
      <c r="G15" s="101">
        <f>-SUM('Trial Balance (Susa)'!G309)/1000</f>
        <v>48.32</v>
      </c>
      <c r="H15" s="101">
        <f>-SUM('Trial Balance (Susa)'!H309)/1000</f>
        <v>41.698999999999998</v>
      </c>
      <c r="I15" s="101">
        <f>-SUM('Trial Balance (Susa)'!I309)/1000</f>
        <v>28.843299999999999</v>
      </c>
      <c r="J15" s="108"/>
      <c r="K15" s="107"/>
      <c r="L15" s="107"/>
      <c r="M15" s="107"/>
      <c r="N15" s="107"/>
      <c r="O15" s="101"/>
      <c r="P15" s="111"/>
      <c r="Q15" s="111"/>
      <c r="T15" s="364" t="s">
        <v>2520</v>
      </c>
    </row>
    <row r="16" spans="3:22" ht="11.45" hidden="1" customHeight="1" outlineLevel="2" x14ac:dyDescent="0.2">
      <c r="C16" s="511" t="s">
        <v>2454</v>
      </c>
      <c r="D16" s="109"/>
      <c r="E16" s="101"/>
      <c r="F16" s="101">
        <f>'P&amp;L (Annual Report)'!E16/1000</f>
        <v>2.2922500000000001</v>
      </c>
      <c r="G16" s="101">
        <f>-SUM('Trial Balance (Susa)'!G310)/1000</f>
        <v>1.3954000000000002</v>
      </c>
      <c r="H16" s="101">
        <f>-SUM('Trial Balance (Susa)'!H310)/1000</f>
        <v>3.4574000000000003</v>
      </c>
      <c r="I16" s="101">
        <f>-SUM('Trial Balance (Susa)'!I310)/1000</f>
        <v>3.0796000000000001</v>
      </c>
      <c r="J16" s="108"/>
      <c r="K16" s="107"/>
      <c r="L16" s="107"/>
      <c r="M16" s="107"/>
      <c r="N16" s="107"/>
      <c r="O16" s="101"/>
      <c r="P16" s="111"/>
      <c r="Q16" s="111"/>
      <c r="T16" s="364" t="s">
        <v>2523</v>
      </c>
    </row>
    <row r="17" spans="3:20" ht="11.45" hidden="1" customHeight="1" outlineLevel="2" x14ac:dyDescent="0.2">
      <c r="C17" s="511" t="s">
        <v>2455</v>
      </c>
      <c r="D17" s="109"/>
      <c r="E17" s="101"/>
      <c r="F17" s="101">
        <f>'P&amp;L (Annual Report)'!E7/1000+38.6</f>
        <v>38.982800000000005</v>
      </c>
      <c r="G17" s="101">
        <f>-'Trial Balance (Susa)'!G302/1000+0.5</f>
        <v>0.96850000000000003</v>
      </c>
      <c r="H17" s="101">
        <f>-'Trial Balance (Susa)'!H302/1000+0.6</f>
        <v>1.2</v>
      </c>
      <c r="I17" s="101">
        <f>-'Trial Balance (Susa)'!I302/1000</f>
        <v>0.39074999999999999</v>
      </c>
      <c r="J17" s="108"/>
      <c r="K17" s="107"/>
      <c r="L17" s="107"/>
      <c r="M17" s="107"/>
      <c r="N17" s="107"/>
      <c r="O17" s="101"/>
      <c r="P17" s="111"/>
      <c r="Q17" s="111"/>
      <c r="T17" s="364" t="s">
        <v>2524</v>
      </c>
    </row>
    <row r="18" spans="3:20" ht="11.45" hidden="1" customHeight="1" outlineLevel="1" collapsed="1" x14ac:dyDescent="0.2">
      <c r="C18" s="120" t="s">
        <v>2456</v>
      </c>
      <c r="D18" s="109"/>
      <c r="E18" s="101"/>
      <c r="F18" s="101" cm="1">
        <f t="array" ref="F18">SUM('P&amp;L (Annual Report)'!E17:E22/1000)</f>
        <v>-202.80217000000002</v>
      </c>
      <c r="G18" s="101">
        <f>-('Trial Balance (Susa)'!G315+'Trial Balance (Susa)'!G316+'Trial Balance (Susa)'!G317+'Trial Balance (Susa)'!G318+'Trial Balance (Susa)'!G319)/1000</f>
        <v>-207.36748</v>
      </c>
      <c r="H18" s="101">
        <f>-('Trial Balance (Susa)'!H315+'Trial Balance (Susa)'!H316+'Trial Balance (Susa)'!H317+'Trial Balance (Susa)'!H318+'Trial Balance (Susa)'!H319)/1000</f>
        <v>-172.40615</v>
      </c>
      <c r="I18" s="101">
        <f>-('Trial Balance (Susa)'!I315+'Trial Balance (Susa)'!I316+'Trial Balance (Susa)'!I317+'Trial Balance (Susa)'!I318+'Trial Balance (Susa)'!I319)/1000</f>
        <v>-167.08107999999999</v>
      </c>
      <c r="J18" s="108"/>
      <c r="K18" s="107"/>
      <c r="L18" s="107"/>
      <c r="M18" s="107"/>
      <c r="N18" s="107"/>
      <c r="O18" s="101"/>
      <c r="P18" s="111"/>
      <c r="Q18" s="111"/>
      <c r="T18" s="364" t="s">
        <v>2521</v>
      </c>
    </row>
    <row r="19" spans="3:20" ht="11.45" customHeight="1" collapsed="1" x14ac:dyDescent="0.2">
      <c r="C19" s="109" t="s">
        <v>652</v>
      </c>
      <c r="D19" s="109" t="s">
        <v>651</v>
      </c>
      <c r="E19" s="101"/>
      <c r="F19" s="101">
        <f>'P&amp;L (Annual Report)'!E28/1000</f>
        <v>-292.27994999999993</v>
      </c>
      <c r="G19" s="101">
        <f>-SUMIF('Trial Balance (Susa)'!D:D,"*"&amp;$T19&amp;"*",'Trial Balance (Susa)'!G:G)/1000</f>
        <v>199.57713000000001</v>
      </c>
      <c r="H19" s="101">
        <f>-SUMIF('Trial Balance (Susa)'!D:D,"*"&amp;$T19&amp;"*",'Trial Balance (Susa)'!H:H)/1000</f>
        <v>350.79514</v>
      </c>
      <c r="I19" s="101">
        <f>-SUMIF('Trial Balance (Susa)'!D:D,"*"&amp;$T19&amp;"*",'Trial Balance (Susa)'!I:I)/1000</f>
        <v>226.19015999999999</v>
      </c>
      <c r="J19" s="108">
        <f>-SUMIF('Trial Balance (Susa)'!D:D,"*"&amp;$T19&amp;"*",'Trial Balance (Susa)'!J:J)/1000</f>
        <v>0</v>
      </c>
      <c r="K19" s="107"/>
      <c r="L19" s="107"/>
      <c r="M19" s="107"/>
      <c r="N19" s="107"/>
      <c r="O19" s="101"/>
      <c r="P19" s="111" t="str">
        <f t="shared" si="1"/>
        <v>n/a</v>
      </c>
      <c r="Q19" s="111">
        <f t="shared" si="2"/>
        <v>-1</v>
      </c>
      <c r="T19" s="364" t="s">
        <v>684</v>
      </c>
    </row>
    <row r="20" spans="3:20" ht="11.45" hidden="1" customHeight="1" outlineLevel="2" x14ac:dyDescent="0.2">
      <c r="C20" s="109" t="s">
        <v>679</v>
      </c>
      <c r="D20" s="365" t="s">
        <v>678</v>
      </c>
      <c r="E20" s="101"/>
      <c r="F20" s="101"/>
      <c r="G20" s="101">
        <f>-SUMIF('Trial Balance (Susa)'!D:D,"*"&amp;$T20&amp;"*",'Trial Balance (Susa)'!G:G)/1000</f>
        <v>0</v>
      </c>
      <c r="H20" s="101">
        <f>-SUMIF('Trial Balance (Susa)'!D:D,"*"&amp;$T20&amp;"*",'Trial Balance (Susa)'!H:H)/1000</f>
        <v>0</v>
      </c>
      <c r="I20" s="101">
        <f>-SUMIF('Trial Balance (Susa)'!D:D,"*"&amp;$T20&amp;"*",'Trial Balance (Susa)'!I:I)/1000</f>
        <v>0</v>
      </c>
      <c r="J20" s="108">
        <f>-SUMIF('Trial Balance (Susa)'!D:D,"*"&amp;$T20&amp;"*",'Trial Balance (Susa)'!J:J)/1000</f>
        <v>0</v>
      </c>
      <c r="K20" s="107"/>
      <c r="L20" s="107"/>
      <c r="M20" s="107"/>
      <c r="N20" s="107"/>
      <c r="O20" s="101"/>
      <c r="P20" s="111" t="str">
        <f>IFERROR(((H20/F20)^(1/(($H$1-$F$1)/365)))-1,"n/a")</f>
        <v>n/a</v>
      </c>
      <c r="Q20" s="111" t="str">
        <f>IFERROR(((N20/H20)^(1/(($N$1-$H$1)/365)))-1,"n/a")</f>
        <v>n/a</v>
      </c>
      <c r="T20" s="364" t="s">
        <v>686</v>
      </c>
    </row>
    <row r="21" spans="3:20" ht="11.45" hidden="1" customHeight="1" outlineLevel="2" x14ac:dyDescent="0.2">
      <c r="C21" s="109" t="s">
        <v>209</v>
      </c>
      <c r="D21" s="109" t="s">
        <v>209</v>
      </c>
      <c r="E21" s="101"/>
      <c r="F21" s="101"/>
      <c r="G21" s="101"/>
      <c r="H21" s="101"/>
      <c r="I21" s="101"/>
      <c r="J21" s="108"/>
      <c r="K21" s="107"/>
      <c r="L21" s="107"/>
      <c r="M21" s="107"/>
      <c r="N21" s="107"/>
      <c r="O21" s="101"/>
      <c r="P21" s="111" t="str">
        <f>IFERROR(((H21/F21)^(1/(($H$1-$F$1)/365)))-1,"n/a")</f>
        <v>n/a</v>
      </c>
      <c r="Q21" s="111" t="str">
        <f>IFERROR(((N21/H21)^(1/(($N$1-$H$1)/365)))-1,"n/a")</f>
        <v>n/a</v>
      </c>
      <c r="T21" s="364"/>
    </row>
    <row r="22" spans="3:20" ht="11.45" hidden="1" customHeight="1" outlineLevel="2" x14ac:dyDescent="0.2">
      <c r="C22" s="109" t="s">
        <v>208</v>
      </c>
      <c r="D22" s="109" t="s">
        <v>208</v>
      </c>
      <c r="E22" s="101"/>
      <c r="F22" s="101"/>
      <c r="G22" s="101"/>
      <c r="H22" s="101"/>
      <c r="I22" s="101"/>
      <c r="J22" s="108"/>
      <c r="K22" s="107"/>
      <c r="L22" s="107"/>
      <c r="M22" s="107"/>
      <c r="N22" s="107"/>
      <c r="O22" s="101"/>
      <c r="P22" s="111" t="str">
        <f t="shared" si="1"/>
        <v>n/a</v>
      </c>
      <c r="Q22" s="111" t="str">
        <f t="shared" si="2"/>
        <v>n/a</v>
      </c>
      <c r="T22" s="364"/>
    </row>
    <row r="23" spans="3:20" ht="11.45" hidden="1" customHeight="1" outlineLevel="2" x14ac:dyDescent="0.2">
      <c r="C23" s="109" t="s">
        <v>207</v>
      </c>
      <c r="D23" s="109" t="s">
        <v>207</v>
      </c>
      <c r="E23" s="101"/>
      <c r="F23" s="101"/>
      <c r="G23" s="101"/>
      <c r="H23" s="101"/>
      <c r="I23" s="101"/>
      <c r="J23" s="108"/>
      <c r="K23" s="107"/>
      <c r="L23" s="107"/>
      <c r="M23" s="107"/>
      <c r="N23" s="107"/>
      <c r="O23" s="101"/>
      <c r="P23" s="111" t="str">
        <f t="shared" si="1"/>
        <v>n/a</v>
      </c>
      <c r="Q23" s="111" t="str">
        <f t="shared" si="2"/>
        <v>n/a</v>
      </c>
      <c r="T23" s="364"/>
    </row>
    <row r="24" spans="3:20" ht="11.45" customHeight="1" collapsed="1" x14ac:dyDescent="0.2">
      <c r="C24" s="116" t="s">
        <v>265</v>
      </c>
      <c r="D24" s="116" t="s">
        <v>205</v>
      </c>
      <c r="E24" s="115">
        <f>SUM(E9:E23)</f>
        <v>0</v>
      </c>
      <c r="F24" s="115">
        <f>F9+F19</f>
        <v>16416.744779999997</v>
      </c>
      <c r="G24" s="115">
        <f>G9+G19</f>
        <v>15515.82071</v>
      </c>
      <c r="H24" s="115">
        <f>H9+H19</f>
        <v>17010.758600000001</v>
      </c>
      <c r="I24" s="115">
        <f>I9+I19</f>
        <v>15235.918450000003</v>
      </c>
      <c r="J24" s="114">
        <f>SUM(J9:J23)</f>
        <v>0</v>
      </c>
      <c r="K24" s="113">
        <f>SUM(K9:K23)</f>
        <v>0</v>
      </c>
      <c r="L24" s="113">
        <f>SUM(L9:L23)</f>
        <v>0</v>
      </c>
      <c r="M24" s="113">
        <f>SUM(M9:M23)</f>
        <v>0</v>
      </c>
      <c r="N24" s="113">
        <f>SUM(N9:N23)</f>
        <v>0</v>
      </c>
      <c r="O24" s="101"/>
      <c r="P24" s="112">
        <f t="shared" si="1"/>
        <v>1.7906198325450706E-2</v>
      </c>
      <c r="Q24" s="112">
        <f t="shared" si="2"/>
        <v>-1</v>
      </c>
    </row>
    <row r="25" spans="3:20" ht="11.45" customHeight="1" x14ac:dyDescent="0.2">
      <c r="C25" s="109" t="s">
        <v>264</v>
      </c>
      <c r="D25" s="109" t="s">
        <v>263</v>
      </c>
      <c r="E25" s="101"/>
      <c r="F25" s="101">
        <f>-'P&amp;L (Annual Report)'!E66/1000</f>
        <v>-7633.126189999999</v>
      </c>
      <c r="G25" s="101">
        <f>-SUMIF('Trial Balance (Susa)'!D:D,"*"&amp;$T25&amp;"*",'Trial Balance (Susa)'!G:G)/1000</f>
        <v>-8086.502379999999</v>
      </c>
      <c r="H25" s="101">
        <f>-SUMIF('Trial Balance (Susa)'!D:D,"*"&amp;$T25&amp;"*",'Trial Balance (Susa)'!H:H)/1000</f>
        <v>-8397.8873899999999</v>
      </c>
      <c r="I25" s="101">
        <f>-SUMIF('Trial Balance (Susa)'!D:D,"*"&amp;$T25&amp;"*",'Trial Balance (Susa)'!I:I)/1000</f>
        <v>-7361.7846899999986</v>
      </c>
      <c r="J25" s="108">
        <f>-SUMIF('Trial Balance (Susa)'!D:D,"*"&amp;$T25&amp;"*",'Trial Balance (Susa)'!J:J)/1000</f>
        <v>0</v>
      </c>
      <c r="K25" s="107"/>
      <c r="L25" s="107"/>
      <c r="M25" s="107"/>
      <c r="N25" s="107"/>
      <c r="O25" s="101"/>
      <c r="P25" s="111">
        <f t="shared" si="1"/>
        <v>4.8830815233543046E-2</v>
      </c>
      <c r="Q25" s="111">
        <f t="shared" si="2"/>
        <v>-1</v>
      </c>
      <c r="T25" s="364" t="s">
        <v>693</v>
      </c>
    </row>
    <row r="26" spans="3:20" ht="11.45" customHeight="1" x14ac:dyDescent="0.2">
      <c r="C26" s="120" t="s">
        <v>5448</v>
      </c>
      <c r="D26" s="109" t="s">
        <v>209</v>
      </c>
      <c r="E26" s="101"/>
      <c r="F26" s="101">
        <f>-SUM('Trial Balance (Susa)'!E99,'Trial Balance (Susa)'!E104:E113)/1000</f>
        <v>-7148.9265699999996</v>
      </c>
      <c r="G26" s="101">
        <f>-SUM('Trial Balance (Susa)'!G99,'Trial Balance (Susa)'!G104:G113)/1000</f>
        <v>-7440.4884699999993</v>
      </c>
      <c r="H26" s="101">
        <f>-SUM('Trial Balance (Susa)'!H99,'Trial Balance (Susa)'!H104:H113)/1000</f>
        <v>-7745.9163400000007</v>
      </c>
      <c r="I26" s="101">
        <f>-SUM('Trial Balance (Susa)'!I99,'Trial Balance (Susa)'!I104:I113)/1000</f>
        <v>-6854.7080999999989</v>
      </c>
      <c r="J26" s="108"/>
      <c r="K26" s="107"/>
      <c r="L26" s="107"/>
      <c r="M26" s="107"/>
      <c r="N26" s="107"/>
      <c r="O26" s="101"/>
      <c r="P26" s="111">
        <f t="shared" si="1"/>
        <v>4.0859614164137747E-2</v>
      </c>
      <c r="Q26" s="111">
        <f t="shared" si="2"/>
        <v>-1</v>
      </c>
      <c r="T26" s="364"/>
    </row>
    <row r="27" spans="3:20" ht="11.45" customHeight="1" x14ac:dyDescent="0.2">
      <c r="C27" s="120" t="s">
        <v>4829</v>
      </c>
      <c r="D27" s="109" t="s">
        <v>208</v>
      </c>
      <c r="E27" s="101"/>
      <c r="F27" s="101">
        <f>-SUM('Trial Balance (Susa)'!E100:E103)/1000</f>
        <v>-484.19961999999998</v>
      </c>
      <c r="G27" s="101">
        <f>-SUM('Trial Balance (Susa)'!G100:G103)/1000</f>
        <v>-646.01391000000001</v>
      </c>
      <c r="H27" s="101">
        <f>-SUM('Trial Balance (Susa)'!H100:H103)/1000</f>
        <v>-651.97104999999988</v>
      </c>
      <c r="I27" s="101">
        <f>-SUM('Trial Balance (Susa)'!I100:I103)/1000</f>
        <v>-507.07659000000001</v>
      </c>
      <c r="J27" s="108"/>
      <c r="K27" s="107"/>
      <c r="L27" s="107"/>
      <c r="M27" s="107"/>
      <c r="N27" s="107"/>
      <c r="O27" s="101"/>
      <c r="P27" s="111">
        <f t="shared" si="1"/>
        <v>0.16014843639693255</v>
      </c>
      <c r="Q27" s="111">
        <f t="shared" si="2"/>
        <v>-1</v>
      </c>
      <c r="T27" s="364"/>
    </row>
    <row r="28" spans="3:20" ht="11.45" hidden="1" customHeight="1" outlineLevel="2" x14ac:dyDescent="0.2">
      <c r="C28" s="110" t="s">
        <v>207</v>
      </c>
      <c r="D28" s="110" t="s">
        <v>207</v>
      </c>
      <c r="E28" s="119"/>
      <c r="F28" s="119"/>
      <c r="G28" s="119"/>
      <c r="H28" s="119"/>
      <c r="I28" s="119"/>
      <c r="J28" s="118"/>
      <c r="K28" s="117"/>
      <c r="L28" s="117"/>
      <c r="M28" s="117"/>
      <c r="N28" s="117"/>
      <c r="O28" s="101"/>
      <c r="P28" s="106" t="str">
        <f t="shared" si="1"/>
        <v>n/a</v>
      </c>
      <c r="Q28" s="106" t="str">
        <f t="shared" si="2"/>
        <v>n/a</v>
      </c>
      <c r="T28" s="364"/>
    </row>
    <row r="29" spans="3:20" ht="11.45" customHeight="1" collapsed="1" x14ac:dyDescent="0.2">
      <c r="C29" s="116" t="s">
        <v>262</v>
      </c>
      <c r="D29" s="116" t="s">
        <v>261</v>
      </c>
      <c r="E29" s="115">
        <f t="shared" ref="E29:N29" si="3">SUM(E24:E28)</f>
        <v>0</v>
      </c>
      <c r="F29" s="115">
        <f t="shared" si="3"/>
        <v>1150.4923999999987</v>
      </c>
      <c r="G29" s="115">
        <f t="shared" si="3"/>
        <v>-657.18404999999836</v>
      </c>
      <c r="H29" s="115">
        <f t="shared" si="3"/>
        <v>214.98382000000061</v>
      </c>
      <c r="I29" s="115">
        <f t="shared" si="3"/>
        <v>512.34907000000533</v>
      </c>
      <c r="J29" s="114">
        <f t="shared" si="3"/>
        <v>0</v>
      </c>
      <c r="K29" s="113">
        <f t="shared" si="3"/>
        <v>0</v>
      </c>
      <c r="L29" s="113">
        <f t="shared" si="3"/>
        <v>0</v>
      </c>
      <c r="M29" s="113">
        <f t="shared" si="3"/>
        <v>0</v>
      </c>
      <c r="N29" s="113">
        <f t="shared" si="3"/>
        <v>0</v>
      </c>
      <c r="O29" s="101"/>
      <c r="P29" s="112">
        <f t="shared" si="1"/>
        <v>-0.56722786932334279</v>
      </c>
      <c r="Q29" s="112">
        <f t="shared" si="2"/>
        <v>-1</v>
      </c>
    </row>
    <row r="30" spans="3:20" ht="11.45" customHeight="1" x14ac:dyDescent="0.2">
      <c r="C30" s="109" t="s">
        <v>259</v>
      </c>
      <c r="D30" s="109" t="s">
        <v>258</v>
      </c>
      <c r="E30" s="101"/>
      <c r="F30" s="101">
        <f>-'P&amp;L (Annual Report)'!E96/1000</f>
        <v>-3564.1972000000005</v>
      </c>
      <c r="G30" s="101">
        <f>-SUMIF('Trial Balance (Susa)'!D:D,"*"&amp;$T30&amp;"*",'Trial Balance (Susa)'!G:G)/1000</f>
        <v>-3758.9842600000011</v>
      </c>
      <c r="H30" s="101">
        <f>-SUMIF('Trial Balance (Susa)'!D:D,"*"&amp;$T30&amp;"*",'Trial Balance (Susa)'!H:H)/1000</f>
        <v>-4522.3510500000011</v>
      </c>
      <c r="I30" s="101">
        <f>-SUMIF('Trial Balance (Susa)'!D:D,"*"&amp;$T30&amp;"*",'Trial Balance (Susa)'!I:I)/1000</f>
        <v>-4225.8270299999995</v>
      </c>
      <c r="J30" s="108">
        <f>-SUMIF('Trial Balance (Susa)'!D:D,"*"&amp;$T30&amp;"*",'Trial Balance (Susa)'!J:J)/1000</f>
        <v>0</v>
      </c>
      <c r="K30" s="107"/>
      <c r="L30" s="107"/>
      <c r="M30" s="107"/>
      <c r="N30" s="107"/>
      <c r="O30" s="101"/>
      <c r="P30" s="111">
        <f t="shared" si="1"/>
        <v>0.12623895972525356</v>
      </c>
      <c r="Q30" s="111">
        <f t="shared" si="2"/>
        <v>-1</v>
      </c>
      <c r="T30" s="364" t="s">
        <v>694</v>
      </c>
    </row>
    <row r="31" spans="3:20" ht="11.45" customHeight="1" x14ac:dyDescent="0.2">
      <c r="C31" s="109" t="s">
        <v>2409</v>
      </c>
      <c r="D31" s="109" t="s">
        <v>653</v>
      </c>
      <c r="E31" s="101"/>
      <c r="F31" s="101">
        <f>-'P&amp;L (Annual Report)'!E102/1000-'P&amp;L (Annual Report)'!E104/1000</f>
        <v>-346.10809000000006</v>
      </c>
      <c r="G31" s="101">
        <f>-SUMIF('Trial Balance (Susa)'!D:D,"*"&amp;$T31&amp;"*",'Trial Balance (Susa)'!G:G)/1000</f>
        <v>-341.33094000000006</v>
      </c>
      <c r="H31" s="101">
        <f>-SUMIF('Trial Balance (Susa)'!D:D,"*"&amp;$T31&amp;"*",'Trial Balance (Susa)'!H:H)/1000</f>
        <v>-422.98253</v>
      </c>
      <c r="I31" s="101">
        <f>-SUMIF('Trial Balance (Susa)'!D:D,"*"&amp;$T31&amp;"*",'Trial Balance (Susa)'!I:I)/1000</f>
        <v>-349.32932999999997</v>
      </c>
      <c r="J31" s="108">
        <f>-SUMIF('Trial Balance (Susa)'!D:D,"*"&amp;$T31&amp;"*",'Trial Balance (Susa)'!J:J)/1000</f>
        <v>0</v>
      </c>
      <c r="K31" s="107"/>
      <c r="L31" s="107"/>
      <c r="M31" s="107"/>
      <c r="N31" s="107"/>
      <c r="O31" s="101"/>
      <c r="P31" s="111">
        <f t="shared" si="1"/>
        <v>0.10533966952287632</v>
      </c>
      <c r="Q31" s="111">
        <f t="shared" si="2"/>
        <v>-1</v>
      </c>
      <c r="T31" s="364" t="s">
        <v>1373</v>
      </c>
    </row>
    <row r="32" spans="3:20" ht="11.45" customHeight="1" x14ac:dyDescent="0.2">
      <c r="C32" s="109" t="s">
        <v>448</v>
      </c>
      <c r="D32" s="109" t="s">
        <v>654</v>
      </c>
      <c r="E32" s="101"/>
      <c r="F32" s="101">
        <f>-'P&amp;L (Annual Report)'!E112/1000</f>
        <v>-117.49203</v>
      </c>
      <c r="G32" s="101">
        <f>-SUMIF('Trial Balance (Susa)'!D:D,"*"&amp;$T32&amp;"*",'Trial Balance (Susa)'!G:G)/1000</f>
        <v>-124.28149000000001</v>
      </c>
      <c r="H32" s="101">
        <f>-SUMIF('Trial Balance (Susa)'!D:D,"*"&amp;$T32&amp;"*",'Trial Balance (Susa)'!H:H)/1000</f>
        <v>-133.31280999999998</v>
      </c>
      <c r="I32" s="101">
        <f>-SUMIF('Trial Balance (Susa)'!D:D,"*"&amp;$T32&amp;"*",'Trial Balance (Susa)'!I:I)/1000</f>
        <v>-112.53349</v>
      </c>
      <c r="J32" s="108">
        <f>-SUMIF('Trial Balance (Susa)'!D:D,"*"&amp;$T32&amp;"*",'Trial Balance (Susa)'!J:J)/1000</f>
        <v>0</v>
      </c>
      <c r="K32" s="107"/>
      <c r="L32" s="107"/>
      <c r="M32" s="107"/>
      <c r="N32" s="107"/>
      <c r="O32" s="101"/>
      <c r="P32" s="111">
        <f t="shared" ref="P32:P37" si="4">IFERROR(((H32/F32)^(1/(($H$1-$F$1)/365)))-1,"n/a")</f>
        <v>6.5109384683473603E-2</v>
      </c>
      <c r="Q32" s="111">
        <f t="shared" ref="Q32:Q37" si="5">IFERROR(((N32/H32)^(1/(($N$1-$H$1)/365)))-1,"n/a")</f>
        <v>-1</v>
      </c>
      <c r="T32" s="364" t="s">
        <v>1601</v>
      </c>
    </row>
    <row r="33" spans="3:20" ht="11.45" hidden="1" customHeight="1" outlineLevel="1" x14ac:dyDescent="0.2">
      <c r="C33" s="109" t="s">
        <v>660</v>
      </c>
      <c r="D33" s="109" t="s">
        <v>655</v>
      </c>
      <c r="E33" s="101"/>
      <c r="F33" s="101">
        <v>0</v>
      </c>
      <c r="G33" s="101">
        <f>-SUMIF('Trial Balance (Susa)'!D:D,"*"&amp;$T33&amp;"*",'Trial Balance (Susa)'!G:G)/1000</f>
        <v>0</v>
      </c>
      <c r="H33" s="101">
        <f>-SUMIF('Trial Balance (Susa)'!D:D,"*"&amp;$T33&amp;"*",'Trial Balance (Susa)'!H:H)/1000</f>
        <v>0</v>
      </c>
      <c r="I33" s="101">
        <f>-SUMIF('Trial Balance (Susa)'!D:D,"*"&amp;$T33&amp;"*",'Trial Balance (Susa)'!I:I)/1000</f>
        <v>0</v>
      </c>
      <c r="J33" s="108">
        <f>-SUMIF('Trial Balance (Susa)'!D:D,"*"&amp;$T33&amp;"*",'Trial Balance (Susa)'!J:J)/1000</f>
        <v>0</v>
      </c>
      <c r="K33" s="107"/>
      <c r="L33" s="107"/>
      <c r="M33" s="107"/>
      <c r="N33" s="107"/>
      <c r="O33" s="101"/>
      <c r="P33" s="111" t="str">
        <f t="shared" si="4"/>
        <v>n/a</v>
      </c>
      <c r="Q33" s="111" t="str">
        <f t="shared" si="5"/>
        <v>n/a</v>
      </c>
      <c r="T33" s="364" t="s">
        <v>1596</v>
      </c>
    </row>
    <row r="34" spans="3:20" ht="11.45" customHeight="1" collapsed="1" x14ac:dyDescent="0.2">
      <c r="C34" s="109" t="s">
        <v>662</v>
      </c>
      <c r="D34" s="109" t="s">
        <v>656</v>
      </c>
      <c r="E34" s="101"/>
      <c r="F34" s="101">
        <f>-'P&amp;L (Annual Report)'!E183/1000</f>
        <v>-341.11215000000004</v>
      </c>
      <c r="G34" s="101">
        <f>-SUMIF('Trial Balance (Susa)'!D:D,"*"&amp;$T34&amp;"*",'Trial Balance (Susa)'!G:G)/1000</f>
        <v>-285.42781000000002</v>
      </c>
      <c r="H34" s="101">
        <f>-SUMIF('Trial Balance (Susa)'!D:D,"*"&amp;$T34&amp;"*",'Trial Balance (Susa)'!H:H)/1000</f>
        <v>-301.38342999999998</v>
      </c>
      <c r="I34" s="101">
        <f>-SUMIF('Trial Balance (Susa)'!D:D,"*"&amp;$T34&amp;"*",'Trial Balance (Susa)'!I:I)/1000</f>
        <v>-355.58784000000003</v>
      </c>
      <c r="J34" s="108">
        <f>-SUMIF('Trial Balance (Susa)'!D:D,"*"&amp;$T34&amp;"*",'Trial Balance (Susa)'!J:J)/1000</f>
        <v>0</v>
      </c>
      <c r="K34" s="107"/>
      <c r="L34" s="107"/>
      <c r="M34" s="107"/>
      <c r="N34" s="107"/>
      <c r="O34" s="101"/>
      <c r="P34" s="111">
        <f t="shared" si="4"/>
        <v>-5.9956664131892379E-2</v>
      </c>
      <c r="Q34" s="111">
        <f t="shared" si="5"/>
        <v>-1</v>
      </c>
      <c r="T34" s="364" t="s">
        <v>1593</v>
      </c>
    </row>
    <row r="35" spans="3:20" ht="11.45" customHeight="1" x14ac:dyDescent="0.2">
      <c r="C35" s="109" t="s">
        <v>446</v>
      </c>
      <c r="D35" s="109" t="s">
        <v>657</v>
      </c>
      <c r="E35" s="101"/>
      <c r="F35" s="101">
        <f>-'P&amp;L (Annual Report)'!E164/1000</f>
        <v>-184.66753</v>
      </c>
      <c r="G35" s="101">
        <f>-SUMIF('Trial Balance (Susa)'!D:D,"*"&amp;$T35&amp;"*",'Trial Balance (Susa)'!G:G)/1000</f>
        <v>-194.66808</v>
      </c>
      <c r="H35" s="101">
        <f>-SUMIF('Trial Balance (Susa)'!D:D,"*"&amp;$T35&amp;"*",'Trial Balance (Susa)'!H:H)/1000</f>
        <v>-246.06181000000001</v>
      </c>
      <c r="I35" s="101">
        <f>-SUMIF('Trial Balance (Susa)'!D:D,"*"&amp;$T35&amp;"*",'Trial Balance (Susa)'!I:I)/1000</f>
        <v>-239.94902999999999</v>
      </c>
      <c r="J35" s="108">
        <f>-SUMIF('Trial Balance (Susa)'!D:D,"*"&amp;$T35&amp;"*",'Trial Balance (Susa)'!J:J)/1000</f>
        <v>0</v>
      </c>
      <c r="K35" s="107"/>
      <c r="L35" s="107"/>
      <c r="M35" s="107"/>
      <c r="N35" s="107"/>
      <c r="O35" s="101"/>
      <c r="P35" s="111">
        <f t="shared" si="4"/>
        <v>0.15409503996749008</v>
      </c>
      <c r="Q35" s="111">
        <f t="shared" si="5"/>
        <v>-1</v>
      </c>
      <c r="T35" s="364" t="s">
        <v>1391</v>
      </c>
    </row>
    <row r="36" spans="3:20" ht="11.45" customHeight="1" x14ac:dyDescent="0.2">
      <c r="C36" s="109" t="s">
        <v>661</v>
      </c>
      <c r="D36" s="109" t="s">
        <v>658</v>
      </c>
      <c r="E36" s="101"/>
      <c r="F36" s="101">
        <f>-'P&amp;L (Annual Report)'!E108/1000</f>
        <v>-62.466090000000001</v>
      </c>
      <c r="G36" s="101">
        <f>-SUMIF('Trial Balance (Susa)'!D:D,"*"&amp;$T36&amp;"*",'Trial Balance (Susa)'!G:G)/1000</f>
        <v>-73.243100000000013</v>
      </c>
      <c r="H36" s="101">
        <f>-SUMIF('Trial Balance (Susa)'!D:D,"*"&amp;$T36&amp;"*",'Trial Balance (Susa)'!H:H)/1000</f>
        <v>-69.683399999999992</v>
      </c>
      <c r="I36" s="101">
        <f>-SUMIF('Trial Balance (Susa)'!D:D,"*"&amp;$T36&amp;"*",'Trial Balance (Susa)'!I:I)/1000</f>
        <v>-69.770790000000005</v>
      </c>
      <c r="J36" s="108">
        <f>-SUMIF('Trial Balance (Susa)'!D:D,"*"&amp;$T36&amp;"*",'Trial Balance (Susa)'!J:J)/1000</f>
        <v>0</v>
      </c>
      <c r="K36" s="107"/>
      <c r="L36" s="107"/>
      <c r="M36" s="107"/>
      <c r="N36" s="107"/>
      <c r="O36" s="101"/>
      <c r="P36" s="111">
        <f t="shared" si="4"/>
        <v>5.6112117356154512E-2</v>
      </c>
      <c r="Q36" s="111">
        <f t="shared" si="5"/>
        <v>-1</v>
      </c>
      <c r="T36" s="364" t="s">
        <v>1384</v>
      </c>
    </row>
    <row r="37" spans="3:20" ht="11.45" customHeight="1" x14ac:dyDescent="0.2">
      <c r="C37" s="109" t="s">
        <v>444</v>
      </c>
      <c r="D37" s="109" t="s">
        <v>659</v>
      </c>
      <c r="E37" s="101"/>
      <c r="F37" s="101">
        <f>-'P&amp;L (Annual Report)'!E178/1000</f>
        <v>-140.85126</v>
      </c>
      <c r="G37" s="101">
        <f>-SUMIF('Trial Balance (Susa)'!D:D,"*"&amp;$T37&amp;"*",'Trial Balance (Susa)'!G:G)/1000</f>
        <v>-177.41994</v>
      </c>
      <c r="H37" s="101">
        <f>-SUMIF('Trial Balance (Susa)'!D:D,"*"&amp;$T37&amp;"*",'Trial Balance (Susa)'!H:H)/1000</f>
        <v>-154.10663</v>
      </c>
      <c r="I37" s="101">
        <f>-SUMIF('Trial Balance (Susa)'!D:D,"*"&amp;$T37&amp;"*",'Trial Balance (Susa)'!I:I)/1000</f>
        <v>-163.61565999999999</v>
      </c>
      <c r="J37" s="108">
        <f>-SUMIF('Trial Balance (Susa)'!D:D,"*"&amp;$T37&amp;"*",'Trial Balance (Susa)'!J:J)/1000</f>
        <v>0</v>
      </c>
      <c r="K37" s="107"/>
      <c r="L37" s="107"/>
      <c r="M37" s="107"/>
      <c r="N37" s="107"/>
      <c r="O37" s="101"/>
      <c r="P37" s="111">
        <f t="shared" si="4"/>
        <v>4.593230338422738E-2</v>
      </c>
      <c r="Q37" s="111">
        <f t="shared" si="5"/>
        <v>-1</v>
      </c>
      <c r="T37" s="364" t="s">
        <v>1566</v>
      </c>
    </row>
    <row r="38" spans="3:20" ht="11.45" customHeight="1" x14ac:dyDescent="0.2">
      <c r="C38" s="109" t="s">
        <v>260</v>
      </c>
      <c r="D38" s="109" t="s">
        <v>106</v>
      </c>
      <c r="E38" s="101"/>
      <c r="F38" s="101">
        <f>'P&amp;L (Annual Report)'!E45/1000</f>
        <v>243.10560000000001</v>
      </c>
      <c r="G38" s="101">
        <f>-SUMIF('Trial Balance (Susa)'!D:D,"*"&amp;$T38&amp;"*",'Trial Balance (Susa)'!G:G)/1000</f>
        <v>186.95985000000002</v>
      </c>
      <c r="H38" s="101">
        <f>-SUMIF('Trial Balance (Susa)'!D:D,"*"&amp;$T38&amp;"*",'Trial Balance (Susa)'!H:H)/1000</f>
        <v>264.57159999999999</v>
      </c>
      <c r="I38" s="101">
        <f>-SUMIF('Trial Balance (Susa)'!D:D,"*"&amp;$T38&amp;"*",'Trial Balance (Susa)'!I:I)/1000</f>
        <v>185.38532999999998</v>
      </c>
      <c r="J38" s="108">
        <f>-SUMIF('Trial Balance (Susa)'!D:D,"*"&amp;$T38&amp;"*",'Trial Balance (Susa)'!J:J)/1000</f>
        <v>0</v>
      </c>
      <c r="K38" s="107"/>
      <c r="L38" s="107"/>
      <c r="M38" s="107"/>
      <c r="N38" s="107"/>
      <c r="O38" s="101"/>
      <c r="P38" s="111">
        <f t="shared" si="1"/>
        <v>4.3155361965717898E-2</v>
      </c>
      <c r="Q38" s="111">
        <f t="shared" si="2"/>
        <v>-1</v>
      </c>
      <c r="T38" s="364" t="s">
        <v>690</v>
      </c>
    </row>
    <row r="39" spans="3:20" ht="11.45" customHeight="1" x14ac:dyDescent="0.2">
      <c r="C39" s="109" t="s">
        <v>257</v>
      </c>
      <c r="D39" s="109" t="s">
        <v>256</v>
      </c>
      <c r="E39" s="101"/>
      <c r="F39" s="101">
        <f>-SUM('P&amp;L (Annual Report)'!E201,'P&amp;L (Annual Report)'!E207,'P&amp;L (Annual Report)'!E211,'P&amp;L (Annual Report)'!E213)/1000</f>
        <v>-1023.4058200000001</v>
      </c>
      <c r="G39" s="101">
        <f>-SUMIF('Trial Balance (Susa)'!D:D,"*"&amp;$T39&amp;"*",'Trial Balance (Susa)'!G:G)/1000</f>
        <v>-1065.7625699999999</v>
      </c>
      <c r="H39" s="101">
        <f>-SUMIF('Trial Balance (Susa)'!D:D,"*"&amp;$T39&amp;"*",'Trial Balance (Susa)'!H:H)/1000</f>
        <v>-1267.22038</v>
      </c>
      <c r="I39" s="101">
        <f>-SUMIF('Trial Balance (Susa)'!D:D,"*"&amp;$T39&amp;"*",'Trial Balance (Susa)'!I:I)/1000</f>
        <v>-1226.4218599999999</v>
      </c>
      <c r="J39" s="108">
        <f>-SUMIF('Trial Balance (Susa)'!D:D,"*"&amp;$T39&amp;"*",'Trial Balance (Susa)'!J:J)/1000</f>
        <v>0</v>
      </c>
      <c r="K39" s="107"/>
      <c r="L39" s="107"/>
      <c r="M39" s="107"/>
      <c r="N39" s="107"/>
      <c r="O39" s="101"/>
      <c r="P39" s="111">
        <f>IFERROR(((H39/F39)^(1/(($H$1-$F$1)/365)))-1,"n/a")</f>
        <v>0.11259897520416629</v>
      </c>
      <c r="Q39" s="111">
        <f>IFERROR(((N39/H39)^(1/(($N$1-$H$1)/365)))-1,"n/a")</f>
        <v>-1</v>
      </c>
      <c r="T39" s="364" t="s">
        <v>1352</v>
      </c>
    </row>
    <row r="40" spans="3:20" ht="11.45" hidden="1" customHeight="1" outlineLevel="2" x14ac:dyDescent="0.2">
      <c r="C40" s="109" t="s">
        <v>209</v>
      </c>
      <c r="D40" s="109" t="s">
        <v>209</v>
      </c>
      <c r="E40" s="101"/>
      <c r="F40" s="101"/>
      <c r="G40" s="101"/>
      <c r="H40" s="101"/>
      <c r="I40" s="101"/>
      <c r="J40" s="108"/>
      <c r="K40" s="107"/>
      <c r="L40" s="107"/>
      <c r="M40" s="107"/>
      <c r="N40" s="107"/>
      <c r="O40" s="101"/>
      <c r="P40" s="111" t="str">
        <f>IFERROR(((H40/F40)^(1/(($H$1-$F$1)/365)))-1,"n/a")</f>
        <v>n/a</v>
      </c>
      <c r="Q40" s="111" t="str">
        <f>IFERROR(((N40/H40)^(1/(($N$1-$H$1)/365)))-1,"n/a")</f>
        <v>n/a</v>
      </c>
      <c r="T40" s="364"/>
    </row>
    <row r="41" spans="3:20" ht="11.45" hidden="1" customHeight="1" outlineLevel="2" x14ac:dyDescent="0.2">
      <c r="C41" s="109" t="s">
        <v>208</v>
      </c>
      <c r="D41" s="109" t="s">
        <v>208</v>
      </c>
      <c r="E41" s="101"/>
      <c r="F41" s="101"/>
      <c r="G41" s="101"/>
      <c r="H41" s="101"/>
      <c r="I41" s="101"/>
      <c r="J41" s="108"/>
      <c r="K41" s="107"/>
      <c r="L41" s="107"/>
      <c r="M41" s="107"/>
      <c r="N41" s="107"/>
      <c r="O41" s="101"/>
      <c r="P41" s="111" t="str">
        <f t="shared" si="1"/>
        <v>n/a</v>
      </c>
      <c r="Q41" s="111" t="str">
        <f t="shared" si="2"/>
        <v>n/a</v>
      </c>
      <c r="T41" s="364"/>
    </row>
    <row r="42" spans="3:20" ht="11.45" hidden="1" customHeight="1" outlineLevel="2" x14ac:dyDescent="0.2">
      <c r="C42" s="110" t="s">
        <v>207</v>
      </c>
      <c r="D42" s="110" t="s">
        <v>207</v>
      </c>
      <c r="E42" s="101"/>
      <c r="F42" s="119"/>
      <c r="G42" s="119"/>
      <c r="H42" s="119"/>
      <c r="I42" s="119"/>
      <c r="J42" s="118"/>
      <c r="K42" s="107"/>
      <c r="L42" s="107"/>
      <c r="M42" s="107"/>
      <c r="N42" s="107"/>
      <c r="O42" s="101"/>
      <c r="P42" s="111" t="str">
        <f>IFERROR(((H42/F42)^(1/(($H$1-$F$1)/365)))-1,"n/a")</f>
        <v>n/a</v>
      </c>
      <c r="Q42" s="111" t="str">
        <f>IFERROR(((N42/H42)^(1/(($N$1-$H$1)/365)))-1,"n/a")</f>
        <v>n/a</v>
      </c>
      <c r="T42" s="364"/>
    </row>
    <row r="43" spans="3:20" ht="11.45" customHeight="1" collapsed="1" x14ac:dyDescent="0.2">
      <c r="C43" s="116" t="s">
        <v>225</v>
      </c>
      <c r="D43" s="116" t="s">
        <v>225</v>
      </c>
      <c r="E43" s="115">
        <f>SUM(E29:E42)</f>
        <v>0</v>
      </c>
      <c r="F43" s="115">
        <f t="shared" ref="F43:N43" si="6">SUM(F29:F42)</f>
        <v>-4386.7021700000023</v>
      </c>
      <c r="G43" s="115">
        <f t="shared" si="6"/>
        <v>-6491.3423899999989</v>
      </c>
      <c r="H43" s="115">
        <f t="shared" si="6"/>
        <v>-6637.546620000001</v>
      </c>
      <c r="I43" s="115">
        <f t="shared" si="6"/>
        <v>-6045.3006299999943</v>
      </c>
      <c r="J43" s="114">
        <f t="shared" si="6"/>
        <v>0</v>
      </c>
      <c r="K43" s="113">
        <f t="shared" si="6"/>
        <v>0</v>
      </c>
      <c r="L43" s="113">
        <f t="shared" si="6"/>
        <v>0</v>
      </c>
      <c r="M43" s="113">
        <f t="shared" si="6"/>
        <v>0</v>
      </c>
      <c r="N43" s="113">
        <f t="shared" si="6"/>
        <v>0</v>
      </c>
      <c r="O43" s="101"/>
      <c r="P43" s="112">
        <f t="shared" si="1"/>
        <v>0.22973543583424538</v>
      </c>
      <c r="Q43" s="112">
        <f t="shared" si="2"/>
        <v>-1</v>
      </c>
    </row>
    <row r="44" spans="3:20" ht="11.45" customHeight="1" x14ac:dyDescent="0.2">
      <c r="C44" s="109" t="s">
        <v>255</v>
      </c>
      <c r="D44" s="109" t="s">
        <v>254</v>
      </c>
      <c r="E44" s="101"/>
      <c r="F44" s="101">
        <f>-'P&amp;L (Annual Report)'!E223/1000</f>
        <v>-355.3417</v>
      </c>
      <c r="G44" s="101">
        <f>-SUMIF('Trial Balance (Susa)'!D:D,"*"&amp;$T44&amp;"*",'Trial Balance (Susa)'!G:G)/1000</f>
        <v>-324.63991999999996</v>
      </c>
      <c r="H44" s="101">
        <f>-SUMIF('Trial Balance (Susa)'!D:D,"*"&amp;$T44&amp;"*",'Trial Balance (Susa)'!H:H)/1000</f>
        <v>-315.71971000000002</v>
      </c>
      <c r="I44" s="101">
        <f>-SUMIF('Trial Balance (Susa)'!D:D,"*"&amp;$T44&amp;"*",'Trial Balance (Susa)'!I:I)/1000</f>
        <v>-268.78250000000003</v>
      </c>
      <c r="J44" s="108">
        <f>-SUMIF('Trial Balance (Susa)'!D:D,"*"&amp;$T44&amp;"*",'Trial Balance (Susa)'!J:J)/1000</f>
        <v>0</v>
      </c>
      <c r="K44" s="107"/>
      <c r="L44" s="107"/>
      <c r="M44" s="107"/>
      <c r="N44" s="107"/>
      <c r="O44" s="101"/>
      <c r="P44" s="111">
        <f t="shared" si="1"/>
        <v>-5.7323069343743649E-2</v>
      </c>
      <c r="Q44" s="111">
        <f t="shared" si="2"/>
        <v>-1</v>
      </c>
      <c r="T44" s="364" t="s">
        <v>695</v>
      </c>
    </row>
    <row r="45" spans="3:20" ht="11.45" hidden="1" customHeight="1" outlineLevel="2" x14ac:dyDescent="0.2">
      <c r="C45" s="109" t="s">
        <v>209</v>
      </c>
      <c r="D45" s="109" t="s">
        <v>209</v>
      </c>
      <c r="E45" s="101"/>
      <c r="F45" s="101"/>
      <c r="G45" s="101"/>
      <c r="H45" s="101"/>
      <c r="I45" s="101"/>
      <c r="J45" s="108"/>
      <c r="K45" s="107"/>
      <c r="L45" s="107"/>
      <c r="M45" s="107"/>
      <c r="N45" s="107"/>
      <c r="O45" s="101"/>
      <c r="P45" s="111" t="str">
        <f t="shared" si="1"/>
        <v>n/a</v>
      </c>
      <c r="Q45" s="111" t="str">
        <f t="shared" si="2"/>
        <v>n/a</v>
      </c>
      <c r="T45" s="364"/>
    </row>
    <row r="46" spans="3:20" ht="11.45" hidden="1" customHeight="1" outlineLevel="2" x14ac:dyDescent="0.2">
      <c r="C46" s="109" t="s">
        <v>208</v>
      </c>
      <c r="D46" s="109" t="s">
        <v>208</v>
      </c>
      <c r="E46" s="101"/>
      <c r="F46" s="101"/>
      <c r="G46" s="101"/>
      <c r="H46" s="101"/>
      <c r="I46" s="101"/>
      <c r="J46" s="108"/>
      <c r="K46" s="107"/>
      <c r="L46" s="107"/>
      <c r="M46" s="107"/>
      <c r="N46" s="107"/>
      <c r="O46" s="101"/>
      <c r="P46" s="111" t="str">
        <f t="shared" si="1"/>
        <v>n/a</v>
      </c>
      <c r="Q46" s="111" t="str">
        <f t="shared" si="2"/>
        <v>n/a</v>
      </c>
      <c r="T46" s="364"/>
    </row>
    <row r="47" spans="3:20" ht="11.45" hidden="1" customHeight="1" outlineLevel="2" x14ac:dyDescent="0.2">
      <c r="C47" s="110" t="s">
        <v>207</v>
      </c>
      <c r="D47" s="110" t="s">
        <v>207</v>
      </c>
      <c r="E47" s="119"/>
      <c r="F47" s="119"/>
      <c r="G47" s="119"/>
      <c r="H47" s="119"/>
      <c r="I47" s="119"/>
      <c r="J47" s="118"/>
      <c r="K47" s="117"/>
      <c r="L47" s="117"/>
      <c r="M47" s="117"/>
      <c r="N47" s="117"/>
      <c r="O47" s="101"/>
      <c r="P47" s="106" t="str">
        <f t="shared" si="1"/>
        <v>n/a</v>
      </c>
      <c r="Q47" s="106" t="str">
        <f t="shared" si="2"/>
        <v>n/a</v>
      </c>
      <c r="T47" s="364"/>
    </row>
    <row r="48" spans="3:20" ht="11.45" customHeight="1" collapsed="1" x14ac:dyDescent="0.2">
      <c r="C48" s="116" t="s">
        <v>156</v>
      </c>
      <c r="D48" s="116" t="s">
        <v>156</v>
      </c>
      <c r="E48" s="115">
        <f t="shared" ref="E48:N48" si="7">SUM(E43:E47)</f>
        <v>0</v>
      </c>
      <c r="F48" s="115">
        <f t="shared" si="7"/>
        <v>-4742.0438700000022</v>
      </c>
      <c r="G48" s="115">
        <f t="shared" si="7"/>
        <v>-6815.9823099999985</v>
      </c>
      <c r="H48" s="115">
        <f t="shared" si="7"/>
        <v>-6953.2663300000013</v>
      </c>
      <c r="I48" s="115">
        <f t="shared" si="7"/>
        <v>-6314.0831299999945</v>
      </c>
      <c r="J48" s="114">
        <f t="shared" si="7"/>
        <v>0</v>
      </c>
      <c r="K48" s="113">
        <f t="shared" si="7"/>
        <v>0</v>
      </c>
      <c r="L48" s="113">
        <f t="shared" si="7"/>
        <v>0</v>
      </c>
      <c r="M48" s="113">
        <f t="shared" si="7"/>
        <v>0</v>
      </c>
      <c r="N48" s="113">
        <f t="shared" si="7"/>
        <v>0</v>
      </c>
      <c r="O48" s="101"/>
      <c r="P48" s="112">
        <f t="shared" si="1"/>
        <v>0.21059242660943145</v>
      </c>
      <c r="Q48" s="112">
        <f t="shared" si="2"/>
        <v>-1</v>
      </c>
    </row>
    <row r="49" spans="2:22" ht="11.45" hidden="1" customHeight="1" outlineLevel="2" x14ac:dyDescent="0.2">
      <c r="C49" s="120" t="s">
        <v>253</v>
      </c>
      <c r="D49" s="120" t="s">
        <v>252</v>
      </c>
      <c r="E49" s="101"/>
      <c r="F49" s="101"/>
      <c r="G49" s="101">
        <f>-SUMIF('Trial Balance (Susa)'!D:D,"*"&amp;$T49&amp;"*",'Trial Balance (Susa)'!G:G)/1000</f>
        <v>0</v>
      </c>
      <c r="H49" s="101">
        <f>-SUMIF('Trial Balance (Susa)'!D:D,"*"&amp;$T49&amp;"*",'Trial Balance (Susa)'!H:H)/1000</f>
        <v>0</v>
      </c>
      <c r="I49" s="101">
        <f>-SUMIF('Trial Balance (Susa)'!D:D,"*"&amp;$T49&amp;"*",'Trial Balance (Susa)'!I:I)/1000</f>
        <v>0</v>
      </c>
      <c r="J49" s="108">
        <f>-SUMIF('Trial Balance (Susa)'!D:D,"*"&amp;$T49&amp;"*",'Trial Balance (Susa)'!J:J)/1000</f>
        <v>0</v>
      </c>
      <c r="K49" s="107"/>
      <c r="L49" s="107"/>
      <c r="M49" s="107"/>
      <c r="N49" s="107"/>
      <c r="O49" s="101"/>
      <c r="P49" s="111" t="str">
        <f t="shared" si="1"/>
        <v>n/a</v>
      </c>
      <c r="Q49" s="111" t="str">
        <f t="shared" si="2"/>
        <v>n/a</v>
      </c>
      <c r="T49" s="364" t="s">
        <v>687</v>
      </c>
    </row>
    <row r="50" spans="2:22" ht="11.45" hidden="1" customHeight="1" outlineLevel="1" x14ac:dyDescent="0.2">
      <c r="C50" s="120" t="s">
        <v>251</v>
      </c>
      <c r="D50" s="120" t="s">
        <v>250</v>
      </c>
      <c r="E50" s="101"/>
      <c r="F50" s="101">
        <f>'P&amp;L (Annual Report)'!E232/1000</f>
        <v>5.3365200000000002</v>
      </c>
      <c r="G50" s="101">
        <f>-SUMIF('Trial Balance (Susa)'!D:D,"*"&amp;$T50&amp;"*",'Trial Balance (Susa)'!G:G)/1000</f>
        <v>4.4249999999999998</v>
      </c>
      <c r="H50" s="101">
        <f>-SUMIF('Trial Balance (Susa)'!D:D,"*"&amp;$T50&amp;"*",'Trial Balance (Susa)'!H:H)/1000</f>
        <v>3.1346599999999998</v>
      </c>
      <c r="I50" s="101">
        <f>-SUMIF('Trial Balance (Susa)'!D:D,"*"&amp;$T50&amp;"*",'Trial Balance (Susa)'!I:I)/1000</f>
        <v>2.2084999999999999</v>
      </c>
      <c r="J50" s="108">
        <f>-SUMIF('Trial Balance (Susa)'!D:D,"*"&amp;$T50&amp;"*",'Trial Balance (Susa)'!J:J)/1000</f>
        <v>0</v>
      </c>
      <c r="K50" s="107"/>
      <c r="L50" s="107"/>
      <c r="M50" s="107"/>
      <c r="N50" s="107"/>
      <c r="O50" s="101"/>
      <c r="P50" s="111">
        <f t="shared" si="1"/>
        <v>-0.23330223121502214</v>
      </c>
      <c r="Q50" s="111">
        <f t="shared" si="2"/>
        <v>-1</v>
      </c>
      <c r="T50" s="364" t="s">
        <v>689</v>
      </c>
    </row>
    <row r="51" spans="2:22" ht="11.45" hidden="1" customHeight="1" outlineLevel="1" x14ac:dyDescent="0.2">
      <c r="C51" s="120" t="s">
        <v>249</v>
      </c>
      <c r="D51" s="120" t="s">
        <v>248</v>
      </c>
      <c r="E51" s="101"/>
      <c r="F51" s="101">
        <f>-'P&amp;L (Annual Report)'!E235/1000</f>
        <v>-9.0713899999999992</v>
      </c>
      <c r="G51" s="101">
        <f>-SUMIF('Trial Balance (Susa)'!D:D,"*"&amp;$T51&amp;"*",'Trial Balance (Susa)'!G:G)/1000</f>
        <v>-3.69014</v>
      </c>
      <c r="H51" s="101">
        <f>-SUMIF('Trial Balance (Susa)'!D:D,"*"&amp;$T51&amp;"*",'Trial Balance (Susa)'!H:H)/1000</f>
        <v>-3.5065200000000001</v>
      </c>
      <c r="I51" s="101">
        <f>-SUMIF('Trial Balance (Susa)'!D:D,"*"&amp;$T51&amp;"*",'Trial Balance (Susa)'!I:I)/1000</f>
        <v>-3.84748</v>
      </c>
      <c r="J51" s="108">
        <f>-SUMIF('Trial Balance (Susa)'!D:D,"*"&amp;$T51&amp;"*",'Trial Balance (Susa)'!J:J)/1000</f>
        <v>0</v>
      </c>
      <c r="K51" s="107"/>
      <c r="L51" s="107"/>
      <c r="M51" s="107"/>
      <c r="N51" s="107"/>
      <c r="O51" s="101"/>
      <c r="P51" s="111">
        <f t="shared" si="1"/>
        <v>-0.37786649333356293</v>
      </c>
      <c r="Q51" s="111">
        <f t="shared" si="2"/>
        <v>-1</v>
      </c>
      <c r="T51" s="364" t="s">
        <v>696</v>
      </c>
    </row>
    <row r="52" spans="2:22" ht="11.45" hidden="1" customHeight="1" outlineLevel="2" x14ac:dyDescent="0.2">
      <c r="C52" s="120" t="s">
        <v>2411</v>
      </c>
      <c r="D52" s="120" t="s">
        <v>2408</v>
      </c>
      <c r="E52" s="101"/>
      <c r="F52" s="101">
        <f>-'P&amp;L (Annual Report)'!E224/1000</f>
        <v>-131.75609</v>
      </c>
      <c r="G52" s="101">
        <f>-SUMIF('Trial Balance (Susa)'!D:D,"*"&amp;$T52&amp;"*",'Trial Balance (Susa)'!G:G)/1000</f>
        <v>-35.078499999999998</v>
      </c>
      <c r="H52" s="101">
        <f>-SUMIF('Trial Balance (Susa)'!D:D,"*"&amp;$T52&amp;"*",'Trial Balance (Susa)'!H:H)/1000</f>
        <v>-4.0732900000000001</v>
      </c>
      <c r="I52" s="101">
        <f>-SUMIF('Trial Balance (Susa)'!D:D,"*"&amp;$T52&amp;"*",'Trial Balance (Susa)'!I:I)/1000</f>
        <v>-0.71</v>
      </c>
      <c r="J52" s="108"/>
      <c r="K52" s="107"/>
      <c r="L52" s="107"/>
      <c r="M52" s="107"/>
      <c r="N52" s="107"/>
      <c r="O52" s="101"/>
      <c r="P52" s="111">
        <f t="shared" si="1"/>
        <v>-0.82375369179214186</v>
      </c>
      <c r="Q52" s="111">
        <f t="shared" si="2"/>
        <v>-1</v>
      </c>
      <c r="T52" s="364" t="s">
        <v>2407</v>
      </c>
    </row>
    <row r="53" spans="2:22" ht="11.45" hidden="1" customHeight="1" outlineLevel="2" x14ac:dyDescent="0.2">
      <c r="C53" s="120" t="s">
        <v>208</v>
      </c>
      <c r="D53" s="120" t="s">
        <v>208</v>
      </c>
      <c r="E53" s="101"/>
      <c r="F53" s="101"/>
      <c r="G53" s="101"/>
      <c r="H53" s="101"/>
      <c r="I53" s="101"/>
      <c r="J53" s="108"/>
      <c r="K53" s="107"/>
      <c r="L53" s="107"/>
      <c r="M53" s="107"/>
      <c r="N53" s="107"/>
      <c r="O53" s="101"/>
      <c r="P53" s="111" t="str">
        <f t="shared" si="1"/>
        <v>n/a</v>
      </c>
      <c r="Q53" s="111" t="str">
        <f t="shared" si="2"/>
        <v>n/a</v>
      </c>
      <c r="T53" s="364"/>
    </row>
    <row r="54" spans="2:22" ht="11.45" hidden="1" customHeight="1" outlineLevel="2" x14ac:dyDescent="0.2">
      <c r="C54" s="120" t="s">
        <v>207</v>
      </c>
      <c r="D54" s="120" t="s">
        <v>207</v>
      </c>
      <c r="E54" s="101"/>
      <c r="F54" s="101"/>
      <c r="G54" s="101"/>
      <c r="H54" s="101"/>
      <c r="I54" s="101"/>
      <c r="J54" s="108"/>
      <c r="K54" s="107"/>
      <c r="L54" s="107"/>
      <c r="M54" s="107"/>
      <c r="N54" s="107"/>
      <c r="O54" s="101"/>
      <c r="P54" s="111" t="str">
        <f t="shared" si="1"/>
        <v>n/a</v>
      </c>
      <c r="Q54" s="111" t="str">
        <f t="shared" si="2"/>
        <v>n/a</v>
      </c>
      <c r="T54" s="364"/>
    </row>
    <row r="55" spans="2:22" ht="11.45" customHeight="1" collapsed="1" x14ac:dyDescent="0.2">
      <c r="C55" s="110" t="s">
        <v>247</v>
      </c>
      <c r="D55" s="110" t="s">
        <v>246</v>
      </c>
      <c r="E55" s="119">
        <f t="shared" ref="E55:N55" si="8">SUM(E49:E54)</f>
        <v>0</v>
      </c>
      <c r="F55" s="119">
        <f t="shared" si="8"/>
        <v>-135.49096</v>
      </c>
      <c r="G55" s="119">
        <f t="shared" si="8"/>
        <v>-34.343640000000001</v>
      </c>
      <c r="H55" s="119">
        <f t="shared" si="8"/>
        <v>-4.4451499999999999</v>
      </c>
      <c r="I55" s="119">
        <f t="shared" si="8"/>
        <v>-2.3489800000000001</v>
      </c>
      <c r="J55" s="118">
        <f t="shared" si="8"/>
        <v>0</v>
      </c>
      <c r="K55" s="117">
        <f t="shared" si="8"/>
        <v>0</v>
      </c>
      <c r="L55" s="117">
        <f t="shared" si="8"/>
        <v>0</v>
      </c>
      <c r="M55" s="117">
        <f t="shared" si="8"/>
        <v>0</v>
      </c>
      <c r="N55" s="117">
        <f t="shared" si="8"/>
        <v>0</v>
      </c>
      <c r="O55" s="101"/>
      <c r="P55" s="106">
        <f t="shared" si="1"/>
        <v>-0.81844713169540551</v>
      </c>
      <c r="Q55" s="106">
        <f t="shared" si="2"/>
        <v>-1</v>
      </c>
    </row>
    <row r="56" spans="2:22" ht="11.45" customHeight="1" x14ac:dyDescent="0.2">
      <c r="C56" s="116" t="s">
        <v>152</v>
      </c>
      <c r="D56" s="116" t="s">
        <v>152</v>
      </c>
      <c r="E56" s="115">
        <f t="shared" ref="E56:N56" si="9">E55+E48</f>
        <v>0</v>
      </c>
      <c r="F56" s="115">
        <f t="shared" si="9"/>
        <v>-4877.5348300000023</v>
      </c>
      <c r="G56" s="115">
        <f t="shared" si="9"/>
        <v>-6850.3259499999986</v>
      </c>
      <c r="H56" s="115">
        <f t="shared" si="9"/>
        <v>-6957.7114800000008</v>
      </c>
      <c r="I56" s="115">
        <f t="shared" si="9"/>
        <v>-6316.4321099999943</v>
      </c>
      <c r="J56" s="114">
        <f t="shared" si="9"/>
        <v>0</v>
      </c>
      <c r="K56" s="113">
        <f t="shared" si="9"/>
        <v>0</v>
      </c>
      <c r="L56" s="113">
        <f t="shared" si="9"/>
        <v>0</v>
      </c>
      <c r="M56" s="113">
        <f t="shared" si="9"/>
        <v>0</v>
      </c>
      <c r="N56" s="113">
        <f t="shared" si="9"/>
        <v>0</v>
      </c>
      <c r="O56" s="101"/>
      <c r="P56" s="112">
        <f t="shared" si="1"/>
        <v>0.19406371427483315</v>
      </c>
      <c r="Q56" s="112">
        <f t="shared" si="2"/>
        <v>-1</v>
      </c>
    </row>
    <row r="57" spans="2:22" ht="11.45" customHeight="1" x14ac:dyDescent="0.2">
      <c r="C57" s="109" t="s">
        <v>245</v>
      </c>
      <c r="D57" s="109" t="s">
        <v>244</v>
      </c>
      <c r="E57" s="101"/>
      <c r="F57" s="101">
        <f>-'P&amp;L (Annual Report)'!E245/1000</f>
        <v>-898.38628000000006</v>
      </c>
      <c r="G57" s="101">
        <f>-SUMIF('Trial Balance (Susa)'!D:D,"*"&amp;$T57&amp;"*",'Trial Balance (Susa)'!G:G)/1000</f>
        <v>-390.61758999999995</v>
      </c>
      <c r="H57" s="101">
        <f>-SUMIF('Trial Balance (Susa)'!D:D,"*"&amp;$T57&amp;"*",'Trial Balance (Susa)'!H:H)/1000</f>
        <v>-442.12160999999998</v>
      </c>
      <c r="I57" s="101">
        <f>-SUMIF('Trial Balance (Susa)'!D:D,"*"&amp;$T57&amp;"*",'Trial Balance (Susa)'!I:I)/1000</f>
        <v>-333.75367999999997</v>
      </c>
      <c r="J57" s="108">
        <f>-SUMIF('Trial Balance (Susa)'!D:D,"*"&amp;$T57&amp;"*",'Trial Balance (Susa)'!J:J)/1000</f>
        <v>0</v>
      </c>
      <c r="K57" s="107"/>
      <c r="L57" s="107"/>
      <c r="M57" s="107"/>
      <c r="N57" s="107"/>
      <c r="O57" s="101"/>
      <c r="P57" s="111">
        <f t="shared" si="1"/>
        <v>-0.29814090423193851</v>
      </c>
      <c r="Q57" s="111">
        <f t="shared" si="2"/>
        <v>-1</v>
      </c>
      <c r="T57" s="364" t="s">
        <v>698</v>
      </c>
    </row>
    <row r="58" spans="2:22" ht="11.45" customHeight="1" x14ac:dyDescent="0.2">
      <c r="C58" s="110" t="s">
        <v>243</v>
      </c>
      <c r="D58" s="109" t="s">
        <v>242</v>
      </c>
      <c r="E58" s="101"/>
      <c r="F58" s="101">
        <f>-'P&amp;L (Annual Report)'!E260/1000</f>
        <v>-3.077</v>
      </c>
      <c r="G58" s="101">
        <f>-SUMIF('Trial Balance (Susa)'!D:D,"*"&amp;$T58&amp;"*",'Trial Balance (Susa)'!G:G)/1000</f>
        <v>-2.9220000000000002</v>
      </c>
      <c r="H58" s="101">
        <f>-SUMIF('Trial Balance (Susa)'!D:D,"*"&amp;$T58&amp;"*",'Trial Balance (Susa)'!H:H)/1000</f>
        <v>-3.0019999999999998</v>
      </c>
      <c r="I58" s="101">
        <f>-SUMIF('Trial Balance (Susa)'!D:D,"*"&amp;$T58&amp;"*",'Trial Balance (Susa)'!I:I)/1000</f>
        <v>-2.254</v>
      </c>
      <c r="J58" s="108">
        <f>-SUMIF('Trial Balance (Susa)'!D:D,"*"&amp;$T58&amp;"*",'Trial Balance (Susa)'!J:J)/1000</f>
        <v>0</v>
      </c>
      <c r="K58" s="107"/>
      <c r="L58" s="107"/>
      <c r="M58" s="107"/>
      <c r="N58" s="107"/>
      <c r="O58" s="101"/>
      <c r="P58" s="106">
        <f t="shared" si="1"/>
        <v>-1.2245706613137508E-2</v>
      </c>
      <c r="Q58" s="106">
        <f t="shared" si="2"/>
        <v>-1</v>
      </c>
      <c r="T58" s="364" t="s">
        <v>699</v>
      </c>
    </row>
    <row r="59" spans="2:22" ht="12" x14ac:dyDescent="0.2">
      <c r="C59" s="105" t="s">
        <v>241</v>
      </c>
      <c r="D59" s="105" t="s">
        <v>240</v>
      </c>
      <c r="E59" s="104">
        <f t="shared" ref="E59:N59" si="10">SUM(E56:E58)</f>
        <v>0</v>
      </c>
      <c r="F59" s="104">
        <f t="shared" si="10"/>
        <v>-5778.9981100000023</v>
      </c>
      <c r="G59" s="104">
        <f t="shared" si="10"/>
        <v>-7243.865539999998</v>
      </c>
      <c r="H59" s="104">
        <f t="shared" si="10"/>
        <v>-7402.8350900000014</v>
      </c>
      <c r="I59" s="104">
        <f t="shared" si="10"/>
        <v>-6652.439789999994</v>
      </c>
      <c r="J59" s="103">
        <f t="shared" si="10"/>
        <v>0</v>
      </c>
      <c r="K59" s="102">
        <f t="shared" si="10"/>
        <v>0</v>
      </c>
      <c r="L59" s="102">
        <f t="shared" si="10"/>
        <v>0</v>
      </c>
      <c r="M59" s="102">
        <f t="shared" si="10"/>
        <v>0</v>
      </c>
      <c r="N59" s="102">
        <f t="shared" si="10"/>
        <v>0</v>
      </c>
      <c r="O59" s="101"/>
      <c r="P59" s="100">
        <f t="shared" si="1"/>
        <v>0.1316163161386732</v>
      </c>
      <c r="Q59" s="100">
        <f t="shared" si="2"/>
        <v>-1</v>
      </c>
      <c r="V59" s="481"/>
    </row>
    <row r="60" spans="2:22" ht="12" x14ac:dyDescent="0.2">
      <c r="B60" s="77"/>
      <c r="C60" s="99"/>
      <c r="D60" s="99"/>
      <c r="E60" s="77"/>
      <c r="F60" s="77"/>
      <c r="G60" s="77"/>
      <c r="H60" s="77"/>
      <c r="I60" s="77"/>
      <c r="J60" s="98"/>
      <c r="K60" s="97"/>
      <c r="L60" s="97"/>
      <c r="M60" s="97"/>
      <c r="N60" s="97"/>
      <c r="O60" s="77"/>
      <c r="P60" s="74"/>
      <c r="Q60" s="74"/>
      <c r="R60" s="77"/>
    </row>
    <row r="61" spans="2:22" ht="11.45" hidden="1" customHeight="1" outlineLevel="1" x14ac:dyDescent="0.25">
      <c r="C61" s="90" t="s">
        <v>239</v>
      </c>
      <c r="D61" s="82" t="s">
        <v>238</v>
      </c>
      <c r="E61" s="81"/>
      <c r="F61" s="81"/>
      <c r="G61" s="81"/>
      <c r="H61" s="81"/>
      <c r="I61" s="81"/>
      <c r="J61" s="79"/>
      <c r="K61" s="78"/>
      <c r="L61" s="78"/>
      <c r="M61" s="78"/>
      <c r="N61" s="78"/>
      <c r="O61" s="77"/>
      <c r="P61" s="83"/>
      <c r="Q61" s="74"/>
      <c r="V61"/>
    </row>
    <row r="62" spans="2:22" ht="11.45" hidden="1" customHeight="1" outlineLevel="1" x14ac:dyDescent="0.25">
      <c r="C62" s="82" t="str">
        <f>C24</f>
        <v>Gesamtleistung</v>
      </c>
      <c r="D62" s="82" t="str">
        <f>D24</f>
        <v>Total output</v>
      </c>
      <c r="E62" s="81"/>
      <c r="F62" s="81" t="str">
        <f>IFERROR(IF(F24/E24-1&gt;1,"&gt;100%",IF(F24/E24-1&lt;-1,"&lt;100%",F24/E24-1)),"n/a")</f>
        <v>n/a</v>
      </c>
      <c r="G62" s="81">
        <f>IFERROR(IF(G24/F24-1&gt;1,"&gt;100%",IF(G24/F24-1&lt;-1,"&lt;100%",G24/F24-1)),"n/a")</f>
        <v>-5.4878362432579486E-2</v>
      </c>
      <c r="H62" s="81">
        <f>IFERROR(IF(H24/G24-1&gt;1,"&gt;100%",IF(H24/G24-1&lt;-1,"&lt;100%",H24/G24-1)),"n/a")</f>
        <v>9.6349262983975281E-2</v>
      </c>
      <c r="I62" s="81">
        <f>IFERROR(IF(I24/H24-1&gt;1,"&gt;100%",IF(I24/H24-1&lt;-1,"&lt;100%",I24/H24-1)),"n/a")</f>
        <v>-0.10433633159664013</v>
      </c>
      <c r="J62" s="79"/>
      <c r="K62" s="78">
        <f>IFERROR(IF(K24/H24-1&gt;1,"&gt;100%",IF(K24/H24-1&lt;-1,"&lt;100%",K24/H24-1)),"n/a")</f>
        <v>-1</v>
      </c>
      <c r="L62" s="78" t="str">
        <f>IFERROR(IF(L24/K24-1&gt;1,"&gt;100%",IF(L24/K24-1&lt;-1,"&lt;100%",L24/K24-1)),"n/a")</f>
        <v>n/a</v>
      </c>
      <c r="M62" s="78" t="str">
        <f>IFERROR(IF(M24/L24-1&gt;1,"&gt;100%",IF(M24/L24-1&lt;-1,"&lt;100%",M24/L24-1)),"n/a")</f>
        <v>n/a</v>
      </c>
      <c r="N62" s="78" t="str">
        <f>IFERROR(IF(N24/M24-1&gt;1,"&gt;100%",IF(N24/M24-1&lt;-1,"&lt;100%",N24/M24-1)),"n/a")</f>
        <v>n/a</v>
      </c>
      <c r="O62" s="77"/>
      <c r="P62" s="83"/>
      <c r="Q62" s="74"/>
      <c r="V62"/>
    </row>
    <row r="63" spans="2:22" s="91" customFormat="1" ht="15" hidden="1" outlineLevel="1" x14ac:dyDescent="0.25">
      <c r="C63" s="82" t="str">
        <f>C29</f>
        <v>Rohergebnis</v>
      </c>
      <c r="D63" s="82" t="str">
        <f>D29</f>
        <v>Gross profit</v>
      </c>
      <c r="E63" s="96"/>
      <c r="F63" s="81" t="str">
        <f>IFERROR(IF(F29/E29-1&gt;1,"&gt;100%",IF(F29/E29-1&lt;-1,"&lt;100%",F29/E29-1)),"n/a")</f>
        <v>n/a</v>
      </c>
      <c r="G63" s="81" t="str">
        <f>IFERROR(IF(G29/F29-1&gt;1,"&gt;100%",IF(G29/F29-1&lt;-1,"&lt;100%",G29/F29-1)),"n/a")</f>
        <v>&lt;100%</v>
      </c>
      <c r="H63" s="81" t="str">
        <f>IFERROR(IF(H29/G29-1&gt;1,"&gt;100%",IF(H29/G29-1&lt;-1,"&lt;100%",H29/G29-1)),"n/a")</f>
        <v>&lt;100%</v>
      </c>
      <c r="I63" s="81"/>
      <c r="J63" s="94"/>
      <c r="K63" s="78">
        <f>IFERROR(IF(K29/H29-1&gt;1,"&gt;100%",IF(K29/H29-1&lt;-1,"&lt;100%",K29/H29-1)),"n/a")</f>
        <v>-1</v>
      </c>
      <c r="L63" s="78" t="str">
        <f>IFERROR(IF(L29/K29-1&gt;1,"&gt;100%",IF(L29/K29-1&lt;-1,"&lt;100%",L29/K29-1)),"n/a")</f>
        <v>n/a</v>
      </c>
      <c r="M63" s="78" t="str">
        <f>IFERROR(IF(M29/L29-1&gt;1,"&gt;100%",IF(M29/L29-1&lt;-1,"&lt;100%",M29/L29-1)),"n/a")</f>
        <v>n/a</v>
      </c>
      <c r="N63" s="78" t="str">
        <f>IFERROR(IF(N29/M29-1&gt;1,"&gt;100%",IF(N29/M29-1&lt;-1,"&lt;100%",N29/M29-1)),"n/a")</f>
        <v>n/a</v>
      </c>
      <c r="O63" s="77"/>
      <c r="P63" s="93"/>
      <c r="Q63" s="92"/>
      <c r="V63"/>
    </row>
    <row r="64" spans="2:22" s="91" customFormat="1" ht="15" hidden="1" outlineLevel="1" x14ac:dyDescent="0.25">
      <c r="C64" s="82" t="str">
        <f>C43</f>
        <v>EBITDA</v>
      </c>
      <c r="D64" s="82" t="str">
        <f>D43</f>
        <v>EBITDA</v>
      </c>
      <c r="E64" s="96"/>
      <c r="F64" s="81" t="str">
        <f>IFERROR(IF(F43/E43-1&gt;1,"&gt;100%",IF(F43/E43-1&lt;-1,"&lt;100%",F43/E43-1)),"n/a")</f>
        <v>n/a</v>
      </c>
      <c r="G64" s="81">
        <f>IFERROR(IF(G43/F43-1&gt;1,"&gt;100%",IF(G43/F43-1&lt;-1,"&lt;100%",G43/F43-1)),"n/a")</f>
        <v>0.47977732210618607</v>
      </c>
      <c r="H64" s="81">
        <f>IFERROR(IF(H43/G43-1&gt;1,"&gt;100%",IF(H43/G43-1&lt;-1,"&lt;100%",H43/G43-1)),"n/a")</f>
        <v>2.2522957689804057E-2</v>
      </c>
      <c r="I64" s="81"/>
      <c r="J64" s="94"/>
      <c r="K64" s="78">
        <f>IFERROR(IF(K43/H43-1&gt;1,"&gt;100%",IF(K43/H43-1&lt;-1,"&lt;100%",K43/H43-1)),"n/a")</f>
        <v>-1</v>
      </c>
      <c r="L64" s="78" t="str">
        <f>IFERROR(IF(L43/K43-1&gt;1,"&gt;100%",IF(L43/K43-1&lt;-1,"&lt;100%",L43/K43-1)),"n/a")</f>
        <v>n/a</v>
      </c>
      <c r="M64" s="78" t="str">
        <f>IFERROR(IF(M43/L43-1&gt;1,"&gt;100%",IF(M43/L43-1&lt;-1,"&lt;100%",M43/L43-1)),"n/a")</f>
        <v>n/a</v>
      </c>
      <c r="N64" s="78" t="str">
        <f>IFERROR(IF(N43/M43-1&gt;1,"&gt;100%",IF(N43/M43-1&lt;-1,"&lt;100%",N43/M43-1)),"n/a")</f>
        <v>n/a</v>
      </c>
      <c r="O64" s="77"/>
      <c r="P64" s="93"/>
      <c r="Q64" s="92"/>
      <c r="V64"/>
    </row>
    <row r="65" spans="2:22" s="91" customFormat="1" ht="15" hidden="1" outlineLevel="1" x14ac:dyDescent="0.25">
      <c r="C65" s="82" t="str">
        <f>C59</f>
        <v>Jahresüberschuss</v>
      </c>
      <c r="D65" s="82" t="str">
        <f>D59</f>
        <v>Profit / Loss</v>
      </c>
      <c r="E65" s="96"/>
      <c r="F65" s="81" t="str">
        <f>IFERROR(IF(F59/E59-1&gt;1,"&gt;100%",IF(F59/E59-1&lt;-1,"&lt;100%",F59/E59-1)),"n/a")</f>
        <v>n/a</v>
      </c>
      <c r="G65" s="81">
        <f>IFERROR(IF(G59/F59-1&gt;1,"&gt;100%",IF(G59/F59-1&lt;-1,"&lt;100%",G59/F59-1)),"n/a")</f>
        <v>0.25348120939253871</v>
      </c>
      <c r="H65" s="81">
        <f>IFERROR(IF(H59/G59-1&gt;1,"&gt;100%",IF(H59/G59-1&lt;-1,"&lt;100%",H59/G59-1)),"n/a")</f>
        <v>2.1945403199740143E-2</v>
      </c>
      <c r="I65" s="81"/>
      <c r="J65" s="94"/>
      <c r="K65" s="78">
        <f>IFERROR(IF(K59/H59-1&gt;1,"&gt;100%",IF(K59/H59-1&lt;-1,"&lt;100%",K59/H59-1)),"n/a")</f>
        <v>-1</v>
      </c>
      <c r="L65" s="78" t="str">
        <f>IFERROR(IF(L59/K59-1&gt;1,"&gt;100%",IF(L59/K59-1&lt;-1,"&lt;100%",L59/K59-1)),"n/a")</f>
        <v>n/a</v>
      </c>
      <c r="M65" s="78" t="str">
        <f>IFERROR(IF(M59/L59-1&gt;1,"&gt;100%",IF(M59/L59-1&lt;-1,"&lt;100%",M59/L59-1)),"n/a")</f>
        <v>n/a</v>
      </c>
      <c r="N65" s="78" t="str">
        <f>IFERROR(IF(N59/M59-1&gt;1,"&gt;100%",IF(N59/M59-1&lt;-1,"&lt;100%",N59/M59-1)),"n/a")</f>
        <v>n/a</v>
      </c>
      <c r="O65" s="77"/>
      <c r="P65" s="93"/>
      <c r="Q65" s="92"/>
      <c r="V65"/>
    </row>
    <row r="66" spans="2:22" ht="4.5" hidden="1" customHeight="1" outlineLevel="1" collapsed="1" x14ac:dyDescent="0.25">
      <c r="C66" s="82"/>
      <c r="D66" s="82"/>
      <c r="E66" s="81"/>
      <c r="F66" s="81"/>
      <c r="G66" s="81"/>
      <c r="H66" s="81"/>
      <c r="I66" s="81"/>
      <c r="J66" s="79"/>
      <c r="K66" s="78"/>
      <c r="L66" s="78"/>
      <c r="M66" s="78"/>
      <c r="N66" s="78"/>
      <c r="O66" s="77"/>
      <c r="P66" s="74"/>
      <c r="Q66" s="74"/>
      <c r="V66"/>
    </row>
    <row r="67" spans="2:22" ht="11.45" customHeight="1" collapsed="1" x14ac:dyDescent="0.25">
      <c r="B67" s="89"/>
      <c r="C67" s="88" t="str">
        <f>"In % der "&amp;C24</f>
        <v>In % der Gesamtleistung</v>
      </c>
      <c r="D67" s="82" t="str">
        <f>"In % of "&amp;D24</f>
        <v>In % of Total output</v>
      </c>
      <c r="E67" s="81"/>
      <c r="F67" s="81"/>
      <c r="G67" s="81"/>
      <c r="H67" s="81"/>
      <c r="I67" s="81"/>
      <c r="J67" s="79"/>
      <c r="K67" s="78"/>
      <c r="L67" s="78"/>
      <c r="M67" s="78"/>
      <c r="N67" s="78"/>
      <c r="O67" s="77"/>
      <c r="P67" s="83"/>
      <c r="Q67" s="83"/>
      <c r="R67" s="89"/>
      <c r="S67" s="89"/>
      <c r="T67" s="89"/>
      <c r="V67"/>
    </row>
    <row r="68" spans="2:22" ht="11.45" hidden="1" customHeight="1" outlineLevel="1" x14ac:dyDescent="0.25">
      <c r="B68" s="89"/>
      <c r="C68" s="82" t="str">
        <f>C9</f>
        <v>Umsatzerlöse</v>
      </c>
      <c r="D68" s="82" t="str">
        <f>D9</f>
        <v>Revenues</v>
      </c>
      <c r="E68" s="81" t="str">
        <f t="shared" ref="E68:N68" si="11">IFERROR(E9/E$24,"n/a")</f>
        <v>n/a</v>
      </c>
      <c r="F68" s="81">
        <f t="shared" si="11"/>
        <v>1.0178037701089242</v>
      </c>
      <c r="G68" s="81">
        <f t="shared" si="11"/>
        <v>0.98713718508803261</v>
      </c>
      <c r="H68" s="81">
        <f t="shared" si="11"/>
        <v>0.9793780425524351</v>
      </c>
      <c r="I68" s="81">
        <f t="shared" si="11"/>
        <v>0.98515414999481044</v>
      </c>
      <c r="J68" s="79" t="str">
        <f t="shared" si="11"/>
        <v>n/a</v>
      </c>
      <c r="K68" s="78" t="str">
        <f t="shared" si="11"/>
        <v>n/a</v>
      </c>
      <c r="L68" s="78" t="str">
        <f t="shared" si="11"/>
        <v>n/a</v>
      </c>
      <c r="M68" s="78" t="str">
        <f t="shared" si="11"/>
        <v>n/a</v>
      </c>
      <c r="N68" s="78" t="str">
        <f t="shared" si="11"/>
        <v>n/a</v>
      </c>
      <c r="O68" s="77"/>
      <c r="P68" s="83"/>
      <c r="Q68" s="83"/>
      <c r="R68" s="89"/>
      <c r="S68" s="89"/>
      <c r="V68"/>
    </row>
    <row r="69" spans="2:22" ht="11.45" hidden="1" customHeight="1" outlineLevel="3" x14ac:dyDescent="0.25">
      <c r="C69" s="82" t="str">
        <f>C19</f>
        <v>Bestandsveränderung</v>
      </c>
      <c r="D69" s="82" t="str">
        <f>D19</f>
        <v>Change in inventory</v>
      </c>
      <c r="E69" s="81" t="str">
        <f t="shared" ref="E69:N69" si="12">IFERROR(E19/E$24,"n/a")</f>
        <v>n/a</v>
      </c>
      <c r="F69" s="81">
        <f t="shared" si="12"/>
        <v>-1.7803770108924113E-2</v>
      </c>
      <c r="G69" s="81">
        <f t="shared" si="12"/>
        <v>1.2862814911967361E-2</v>
      </c>
      <c r="H69" s="81">
        <f t="shared" si="12"/>
        <v>2.0621957447564978E-2</v>
      </c>
      <c r="I69" s="81">
        <f t="shared" si="12"/>
        <v>1.4845850005189542E-2</v>
      </c>
      <c r="J69" s="79" t="str">
        <f t="shared" si="12"/>
        <v>n/a</v>
      </c>
      <c r="K69" s="78" t="str">
        <f t="shared" si="12"/>
        <v>n/a</v>
      </c>
      <c r="L69" s="78" t="str">
        <f t="shared" si="12"/>
        <v>n/a</v>
      </c>
      <c r="M69" s="78" t="str">
        <f t="shared" si="12"/>
        <v>n/a</v>
      </c>
      <c r="N69" s="78" t="str">
        <f t="shared" si="12"/>
        <v>n/a</v>
      </c>
      <c r="O69" s="77"/>
      <c r="P69" s="83"/>
      <c r="Q69" s="83"/>
      <c r="V69"/>
    </row>
    <row r="70" spans="2:22" ht="11.45" hidden="1" customHeight="1" outlineLevel="3" x14ac:dyDescent="0.25">
      <c r="C70" s="82" t="str">
        <f t="shared" ref="C70:D78" si="13">C22</f>
        <v>Dummy 2</v>
      </c>
      <c r="D70" s="82" t="str">
        <f t="shared" si="13"/>
        <v>Dummy 2</v>
      </c>
      <c r="E70" s="81" t="str">
        <f t="shared" ref="E70:N70" si="14">IFERROR(E22/E$24,"n/a")</f>
        <v>n/a</v>
      </c>
      <c r="F70" s="81">
        <f t="shared" si="14"/>
        <v>0</v>
      </c>
      <c r="G70" s="81">
        <f t="shared" si="14"/>
        <v>0</v>
      </c>
      <c r="H70" s="81">
        <f t="shared" si="14"/>
        <v>0</v>
      </c>
      <c r="I70" s="81">
        <f t="shared" si="14"/>
        <v>0</v>
      </c>
      <c r="J70" s="79" t="str">
        <f t="shared" si="14"/>
        <v>n/a</v>
      </c>
      <c r="K70" s="78" t="str">
        <f t="shared" si="14"/>
        <v>n/a</v>
      </c>
      <c r="L70" s="78" t="str">
        <f t="shared" si="14"/>
        <v>n/a</v>
      </c>
      <c r="M70" s="78" t="str">
        <f t="shared" si="14"/>
        <v>n/a</v>
      </c>
      <c r="N70" s="78" t="str">
        <f t="shared" si="14"/>
        <v>n/a</v>
      </c>
      <c r="O70" s="77"/>
      <c r="P70" s="83"/>
      <c r="Q70" s="83"/>
      <c r="V70"/>
    </row>
    <row r="71" spans="2:22" ht="11.45" hidden="1" customHeight="1" outlineLevel="3" x14ac:dyDescent="0.25">
      <c r="C71" s="82" t="str">
        <f t="shared" si="13"/>
        <v>Dummy 3</v>
      </c>
      <c r="D71" s="82" t="str">
        <f t="shared" si="13"/>
        <v>Dummy 3</v>
      </c>
      <c r="E71" s="81" t="str">
        <f t="shared" ref="E71:N71" si="15">IFERROR(E23/E$24,"n/a")</f>
        <v>n/a</v>
      </c>
      <c r="F71" s="81">
        <f t="shared" si="15"/>
        <v>0</v>
      </c>
      <c r="G71" s="81">
        <f t="shared" si="15"/>
        <v>0</v>
      </c>
      <c r="H71" s="81">
        <f t="shared" si="15"/>
        <v>0</v>
      </c>
      <c r="I71" s="81">
        <f t="shared" si="15"/>
        <v>0</v>
      </c>
      <c r="J71" s="79" t="str">
        <f t="shared" si="15"/>
        <v>n/a</v>
      </c>
      <c r="K71" s="78" t="str">
        <f t="shared" si="15"/>
        <v>n/a</v>
      </c>
      <c r="L71" s="78" t="str">
        <f t="shared" si="15"/>
        <v>n/a</v>
      </c>
      <c r="M71" s="78" t="str">
        <f t="shared" si="15"/>
        <v>n/a</v>
      </c>
      <c r="N71" s="78" t="str">
        <f t="shared" si="15"/>
        <v>n/a</v>
      </c>
      <c r="O71" s="77"/>
      <c r="P71" s="83"/>
      <c r="Q71" s="83"/>
      <c r="V71"/>
    </row>
    <row r="72" spans="2:22" ht="11.45" hidden="1" customHeight="1" outlineLevel="1" collapsed="1" x14ac:dyDescent="0.25">
      <c r="C72" s="88" t="str">
        <f t="shared" si="13"/>
        <v>Gesamtleistung</v>
      </c>
      <c r="D72" s="88" t="str">
        <f t="shared" si="13"/>
        <v>Total output</v>
      </c>
      <c r="E72" s="87" t="str">
        <f t="shared" ref="E72:N72" si="16">IFERROR(E24/E$24,"n/a")</f>
        <v>n/a</v>
      </c>
      <c r="F72" s="87">
        <f t="shared" si="16"/>
        <v>1</v>
      </c>
      <c r="G72" s="87">
        <f t="shared" si="16"/>
        <v>1</v>
      </c>
      <c r="H72" s="87">
        <f t="shared" si="16"/>
        <v>1</v>
      </c>
      <c r="I72" s="87">
        <f t="shared" si="16"/>
        <v>1</v>
      </c>
      <c r="J72" s="85" t="str">
        <f t="shared" si="16"/>
        <v>n/a</v>
      </c>
      <c r="K72" s="84" t="str">
        <f t="shared" si="16"/>
        <v>n/a</v>
      </c>
      <c r="L72" s="84" t="str">
        <f t="shared" si="16"/>
        <v>n/a</v>
      </c>
      <c r="M72" s="84" t="str">
        <f t="shared" si="16"/>
        <v>n/a</v>
      </c>
      <c r="N72" s="84" t="str">
        <f t="shared" si="16"/>
        <v>n/a</v>
      </c>
      <c r="O72" s="77"/>
      <c r="P72" s="83"/>
      <c r="Q72" s="83"/>
      <c r="V72"/>
    </row>
    <row r="73" spans="2:22" ht="11.45" customHeight="1" collapsed="1" x14ac:dyDescent="0.25">
      <c r="B73" s="89"/>
      <c r="C73" s="82" t="str">
        <f t="shared" si="13"/>
        <v>Materialaufwand</v>
      </c>
      <c r="D73" s="82" t="str">
        <f t="shared" si="13"/>
        <v>Cost of materials</v>
      </c>
      <c r="E73" s="81" t="str">
        <f t="shared" ref="E73:N73" si="17">IFERROR(E25/E$24,"n/a")</f>
        <v>n/a</v>
      </c>
      <c r="F73" s="81">
        <f t="shared" si="17"/>
        <v>-0.4649597890623966</v>
      </c>
      <c r="G73" s="81">
        <f t="shared" si="17"/>
        <v>-0.52117786942383393</v>
      </c>
      <c r="H73" s="81">
        <f t="shared" si="17"/>
        <v>-0.49368094553995961</v>
      </c>
      <c r="I73" s="81">
        <f t="shared" si="17"/>
        <v>-0.48318614425243245</v>
      </c>
      <c r="J73" s="79" t="str">
        <f t="shared" si="17"/>
        <v>n/a</v>
      </c>
      <c r="K73" s="78" t="str">
        <f t="shared" si="17"/>
        <v>n/a</v>
      </c>
      <c r="L73" s="78" t="str">
        <f t="shared" si="17"/>
        <v>n/a</v>
      </c>
      <c r="M73" s="78" t="str">
        <f t="shared" si="17"/>
        <v>n/a</v>
      </c>
      <c r="N73" s="78" t="str">
        <f t="shared" si="17"/>
        <v>n/a</v>
      </c>
      <c r="O73" s="77"/>
      <c r="P73" s="83"/>
      <c r="Q73" s="83"/>
      <c r="R73" s="89"/>
      <c r="S73" s="89"/>
      <c r="T73" s="89"/>
      <c r="V73"/>
    </row>
    <row r="74" spans="2:22" ht="11.45" customHeight="1" x14ac:dyDescent="0.25">
      <c r="B74" s="89"/>
      <c r="C74" s="312" t="str">
        <f t="shared" si="13"/>
        <v>RHB-Aufwand</v>
      </c>
      <c r="D74" s="82" t="str">
        <f t="shared" si="13"/>
        <v>Dummy 1</v>
      </c>
      <c r="E74" s="81" t="str">
        <f t="shared" ref="E74:N74" si="18">IFERROR(E26/E$24,"n/a")</f>
        <v>n/a</v>
      </c>
      <c r="F74" s="81">
        <f t="shared" si="18"/>
        <v>-0.43546553630469492</v>
      </c>
      <c r="G74" s="81">
        <f t="shared" si="18"/>
        <v>-0.47954204995450733</v>
      </c>
      <c r="H74" s="81">
        <f t="shared" si="18"/>
        <v>-0.45535396287382507</v>
      </c>
      <c r="I74" s="81">
        <f t="shared" si="18"/>
        <v>-0.44990448869198285</v>
      </c>
      <c r="J74" s="79" t="str">
        <f t="shared" si="18"/>
        <v>n/a</v>
      </c>
      <c r="K74" s="78" t="str">
        <f t="shared" si="18"/>
        <v>n/a</v>
      </c>
      <c r="L74" s="78" t="str">
        <f t="shared" si="18"/>
        <v>n/a</v>
      </c>
      <c r="M74" s="78" t="str">
        <f t="shared" si="18"/>
        <v>n/a</v>
      </c>
      <c r="N74" s="78" t="str">
        <f t="shared" si="18"/>
        <v>n/a</v>
      </c>
      <c r="O74" s="77"/>
      <c r="P74" s="83"/>
      <c r="Q74" s="83"/>
      <c r="R74" s="89"/>
      <c r="S74" s="89"/>
      <c r="T74" s="89"/>
      <c r="V74"/>
    </row>
    <row r="75" spans="2:22" ht="11.45" customHeight="1" x14ac:dyDescent="0.25">
      <c r="B75" s="89"/>
      <c r="C75" s="312" t="str">
        <f t="shared" si="13"/>
        <v>Fremdleistungen</v>
      </c>
      <c r="D75" s="82" t="str">
        <f t="shared" si="13"/>
        <v>Dummy 2</v>
      </c>
      <c r="E75" s="81" t="str">
        <f t="shared" ref="E75:N75" si="19">IFERROR(E27/E$24,"n/a")</f>
        <v>n/a</v>
      </c>
      <c r="F75" s="81">
        <f t="shared" si="19"/>
        <v>-2.9494252757701706E-2</v>
      </c>
      <c r="G75" s="81">
        <f t="shared" si="19"/>
        <v>-4.1635819469326672E-2</v>
      </c>
      <c r="H75" s="81">
        <f t="shared" si="19"/>
        <v>-3.8326982666134587E-2</v>
      </c>
      <c r="I75" s="81">
        <f t="shared" si="19"/>
        <v>-3.3281655560449652E-2</v>
      </c>
      <c r="J75" s="79" t="str">
        <f t="shared" si="19"/>
        <v>n/a</v>
      </c>
      <c r="K75" s="78" t="str">
        <f t="shared" si="19"/>
        <v>n/a</v>
      </c>
      <c r="L75" s="78" t="str">
        <f t="shared" si="19"/>
        <v>n/a</v>
      </c>
      <c r="M75" s="78" t="str">
        <f t="shared" si="19"/>
        <v>n/a</v>
      </c>
      <c r="N75" s="78" t="str">
        <f t="shared" si="19"/>
        <v>n/a</v>
      </c>
      <c r="O75" s="77"/>
      <c r="P75" s="83"/>
      <c r="Q75" s="83"/>
      <c r="R75" s="89"/>
      <c r="S75" s="89"/>
      <c r="T75" s="89"/>
      <c r="V75"/>
    </row>
    <row r="76" spans="2:22" ht="11.45" hidden="1" customHeight="1" outlineLevel="2" x14ac:dyDescent="0.25">
      <c r="B76" s="89"/>
      <c r="C76" s="82" t="str">
        <f t="shared" si="13"/>
        <v>Dummy 3</v>
      </c>
      <c r="D76" s="82" t="str">
        <f t="shared" si="13"/>
        <v>Dummy 3</v>
      </c>
      <c r="E76" s="81" t="str">
        <f t="shared" ref="E76:N76" si="20">IFERROR(E28/E$24,"n/a")</f>
        <v>n/a</v>
      </c>
      <c r="F76" s="81">
        <f t="shared" si="20"/>
        <v>0</v>
      </c>
      <c r="G76" s="81">
        <f t="shared" si="20"/>
        <v>0</v>
      </c>
      <c r="H76" s="81">
        <f t="shared" si="20"/>
        <v>0</v>
      </c>
      <c r="I76" s="81">
        <f t="shared" si="20"/>
        <v>0</v>
      </c>
      <c r="J76" s="79" t="str">
        <f t="shared" si="20"/>
        <v>n/a</v>
      </c>
      <c r="K76" s="78" t="str">
        <f t="shared" si="20"/>
        <v>n/a</v>
      </c>
      <c r="L76" s="78" t="str">
        <f t="shared" si="20"/>
        <v>n/a</v>
      </c>
      <c r="M76" s="78" t="str">
        <f t="shared" si="20"/>
        <v>n/a</v>
      </c>
      <c r="N76" s="78" t="str">
        <f t="shared" si="20"/>
        <v>n/a</v>
      </c>
      <c r="O76" s="77"/>
      <c r="P76" s="83"/>
      <c r="Q76" s="83"/>
      <c r="R76" s="89"/>
      <c r="S76" s="89"/>
      <c r="T76" s="89"/>
      <c r="V76"/>
    </row>
    <row r="77" spans="2:22" ht="11.45" customHeight="1" collapsed="1" x14ac:dyDescent="0.25">
      <c r="C77" s="88" t="str">
        <f t="shared" si="13"/>
        <v>Rohergebnis</v>
      </c>
      <c r="D77" s="88" t="str">
        <f t="shared" si="13"/>
        <v>Gross profit</v>
      </c>
      <c r="E77" s="87" t="str">
        <f t="shared" ref="E77:N77" si="21">IFERROR(E29/E$24,"n/a")</f>
        <v>n/a</v>
      </c>
      <c r="F77" s="87">
        <f t="shared" si="21"/>
        <v>7.0080421875206786E-2</v>
      </c>
      <c r="G77" s="87">
        <f t="shared" si="21"/>
        <v>-4.2355738847667981E-2</v>
      </c>
      <c r="H77" s="87">
        <f t="shared" si="21"/>
        <v>1.2638108920080765E-2</v>
      </c>
      <c r="I77" s="87">
        <f t="shared" si="21"/>
        <v>3.3627711495135056E-2</v>
      </c>
      <c r="J77" s="85" t="str">
        <f t="shared" si="21"/>
        <v>n/a</v>
      </c>
      <c r="K77" s="84" t="str">
        <f t="shared" si="21"/>
        <v>n/a</v>
      </c>
      <c r="L77" s="84" t="str">
        <f t="shared" si="21"/>
        <v>n/a</v>
      </c>
      <c r="M77" s="84" t="str">
        <f t="shared" si="21"/>
        <v>n/a</v>
      </c>
      <c r="N77" s="84" t="str">
        <f t="shared" si="21"/>
        <v>n/a</v>
      </c>
      <c r="O77" s="77"/>
      <c r="P77" s="83"/>
      <c r="Q77" s="83"/>
      <c r="T77" s="628"/>
      <c r="V77"/>
    </row>
    <row r="78" spans="2:22" ht="11.45" customHeight="1" x14ac:dyDescent="0.25">
      <c r="C78" s="82" t="str">
        <f t="shared" si="13"/>
        <v>Personalaufwand</v>
      </c>
      <c r="D78" s="82" t="str">
        <f t="shared" si="13"/>
        <v>Personnel expenses</v>
      </c>
      <c r="E78" s="81" t="str">
        <f t="shared" ref="E78:N78" si="22">IFERROR(E30/E$24,"n/a")</f>
        <v>n/a</v>
      </c>
      <c r="F78" s="81">
        <f t="shared" si="22"/>
        <v>-0.21710742584864628</v>
      </c>
      <c r="G78" s="81">
        <f t="shared" si="22"/>
        <v>-0.24226783295951099</v>
      </c>
      <c r="H78" s="81">
        <f t="shared" si="22"/>
        <v>-0.26585240296102969</v>
      </c>
      <c r="I78" s="81">
        <f t="shared" si="22"/>
        <v>-0.27735952012791187</v>
      </c>
      <c r="J78" s="79" t="str">
        <f t="shared" si="22"/>
        <v>n/a</v>
      </c>
      <c r="K78" s="78" t="str">
        <f t="shared" si="22"/>
        <v>n/a</v>
      </c>
      <c r="L78" s="78" t="str">
        <f t="shared" si="22"/>
        <v>n/a</v>
      </c>
      <c r="M78" s="78" t="str">
        <f t="shared" si="22"/>
        <v>n/a</v>
      </c>
      <c r="N78" s="78" t="str">
        <f t="shared" si="22"/>
        <v>n/a</v>
      </c>
      <c r="O78" s="77"/>
      <c r="P78" s="83"/>
      <c r="Q78" s="74"/>
      <c r="T78" s="628"/>
      <c r="V78"/>
    </row>
    <row r="79" spans="2:22" ht="11.45" customHeight="1" x14ac:dyDescent="0.25">
      <c r="C79" s="82" t="str">
        <f t="shared" ref="C79:D90" si="23">C31</f>
        <v>Miet- und Grundstücksaufwendungen</v>
      </c>
      <c r="D79" s="82" t="str">
        <f t="shared" si="23"/>
        <v>Premise costs</v>
      </c>
      <c r="E79" s="81" t="str">
        <f t="shared" ref="E79:N79" si="24">IFERROR(E31/E$24,"n/a")</f>
        <v>n/a</v>
      </c>
      <c r="F79" s="81">
        <f t="shared" si="24"/>
        <v>-2.1082625979643214E-2</v>
      </c>
      <c r="G79" s="81">
        <f t="shared" si="24"/>
        <v>-2.1998896892383598E-2</v>
      </c>
      <c r="H79" s="81">
        <f t="shared" si="24"/>
        <v>-2.4865588886788387E-2</v>
      </c>
      <c r="I79" s="81">
        <f t="shared" si="24"/>
        <v>-2.2928012587255606E-2</v>
      </c>
      <c r="J79" s="79" t="str">
        <f t="shared" si="24"/>
        <v>n/a</v>
      </c>
      <c r="K79" s="78" t="str">
        <f t="shared" si="24"/>
        <v>n/a</v>
      </c>
      <c r="L79" s="78" t="str">
        <f t="shared" si="24"/>
        <v>n/a</v>
      </c>
      <c r="M79" s="78" t="str">
        <f t="shared" si="24"/>
        <v>n/a</v>
      </c>
      <c r="N79" s="78" t="str">
        <f t="shared" si="24"/>
        <v>n/a</v>
      </c>
      <c r="O79" s="77"/>
      <c r="P79" s="83"/>
      <c r="Q79" s="74"/>
      <c r="T79" s="628"/>
      <c r="V79"/>
    </row>
    <row r="80" spans="2:22" ht="11.45" customHeight="1" x14ac:dyDescent="0.25">
      <c r="C80" s="82" t="str">
        <f t="shared" si="23"/>
        <v>Reparaturen und Instandhaltungen</v>
      </c>
      <c r="D80" s="82" t="str">
        <f t="shared" si="23"/>
        <v>Repair and maintenance</v>
      </c>
      <c r="E80" s="81" t="str">
        <f t="shared" ref="E80:N80" si="25">IFERROR(E32/E$24,"n/a")</f>
        <v>n/a</v>
      </c>
      <c r="F80" s="81">
        <f t="shared" si="25"/>
        <v>-7.1568408703738175E-3</v>
      </c>
      <c r="G80" s="81">
        <f t="shared" si="25"/>
        <v>-8.0099849258956791E-3</v>
      </c>
      <c r="H80" s="81">
        <f t="shared" si="25"/>
        <v>-7.8369703041932526E-3</v>
      </c>
      <c r="I80" s="81">
        <f t="shared" si="25"/>
        <v>-7.3860653933862435E-3</v>
      </c>
      <c r="J80" s="79" t="str">
        <f t="shared" si="25"/>
        <v>n/a</v>
      </c>
      <c r="K80" s="78" t="str">
        <f t="shared" si="25"/>
        <v>n/a</v>
      </c>
      <c r="L80" s="78" t="str">
        <f t="shared" si="25"/>
        <v>n/a</v>
      </c>
      <c r="M80" s="78" t="str">
        <f t="shared" si="25"/>
        <v>n/a</v>
      </c>
      <c r="N80" s="78" t="str">
        <f t="shared" si="25"/>
        <v>n/a</v>
      </c>
      <c r="O80" s="77"/>
      <c r="P80" s="83"/>
      <c r="Q80" s="74"/>
      <c r="T80" s="628"/>
      <c r="V80"/>
    </row>
    <row r="81" spans="3:22" ht="11.45" hidden="1" customHeight="1" outlineLevel="1" x14ac:dyDescent="0.25">
      <c r="C81" s="82" t="str">
        <f t="shared" si="23"/>
        <v>Vertriebskosten</v>
      </c>
      <c r="D81" s="82" t="str">
        <f t="shared" si="23"/>
        <v>Sales costs</v>
      </c>
      <c r="E81" s="81" t="str">
        <f t="shared" ref="E81:N81" si="26">IFERROR(E33/E$24,"n/a")</f>
        <v>n/a</v>
      </c>
      <c r="F81" s="81">
        <f t="shared" si="26"/>
        <v>0</v>
      </c>
      <c r="G81" s="81">
        <f t="shared" si="26"/>
        <v>0</v>
      </c>
      <c r="H81" s="81">
        <f t="shared" si="26"/>
        <v>0</v>
      </c>
      <c r="I81" s="81">
        <f t="shared" si="26"/>
        <v>0</v>
      </c>
      <c r="J81" s="79" t="str">
        <f t="shared" si="26"/>
        <v>n/a</v>
      </c>
      <c r="K81" s="78" t="str">
        <f t="shared" si="26"/>
        <v>n/a</v>
      </c>
      <c r="L81" s="78" t="str">
        <f t="shared" si="26"/>
        <v>n/a</v>
      </c>
      <c r="M81" s="78" t="str">
        <f t="shared" si="26"/>
        <v>n/a</v>
      </c>
      <c r="N81" s="78" t="str">
        <f t="shared" si="26"/>
        <v>n/a</v>
      </c>
      <c r="O81" s="77"/>
      <c r="P81" s="83"/>
      <c r="Q81" s="74"/>
      <c r="V81"/>
    </row>
    <row r="82" spans="3:22" ht="11.45" customHeight="1" collapsed="1" x14ac:dyDescent="0.25">
      <c r="C82" s="82" t="str">
        <f t="shared" si="23"/>
        <v>Kosten der Warenabgabe</v>
      </c>
      <c r="D82" s="82" t="str">
        <f t="shared" si="23"/>
        <v>Delivery costs</v>
      </c>
      <c r="E82" s="81" t="str">
        <f t="shared" ref="E82:N82" si="27">IFERROR(E34/E$24,"n/a")</f>
        <v>n/a</v>
      </c>
      <c r="F82" s="81">
        <f t="shared" si="27"/>
        <v>-2.077830620937509E-2</v>
      </c>
      <c r="G82" s="81">
        <f t="shared" si="27"/>
        <v>-1.8395920869080474E-2</v>
      </c>
      <c r="H82" s="81">
        <f t="shared" si="27"/>
        <v>-1.7717224556934218E-2</v>
      </c>
      <c r="I82" s="81">
        <f t="shared" si="27"/>
        <v>-2.3338785985691592E-2</v>
      </c>
      <c r="J82" s="79" t="str">
        <f t="shared" si="27"/>
        <v>n/a</v>
      </c>
      <c r="K82" s="78" t="str">
        <f t="shared" si="27"/>
        <v>n/a</v>
      </c>
      <c r="L82" s="78" t="str">
        <f t="shared" si="27"/>
        <v>n/a</v>
      </c>
      <c r="M82" s="78" t="str">
        <f t="shared" si="27"/>
        <v>n/a</v>
      </c>
      <c r="N82" s="78" t="str">
        <f t="shared" si="27"/>
        <v>n/a</v>
      </c>
      <c r="O82" s="77"/>
      <c r="P82" s="83"/>
      <c r="Q82" s="74"/>
      <c r="T82" s="628"/>
      <c r="V82"/>
    </row>
    <row r="83" spans="3:22" ht="11.45" customHeight="1" x14ac:dyDescent="0.25">
      <c r="C83" s="82" t="str">
        <f t="shared" si="23"/>
        <v>Fahrzeugkosten</v>
      </c>
      <c r="D83" s="82" t="str">
        <f t="shared" si="23"/>
        <v>Vehicle costs</v>
      </c>
      <c r="E83" s="81" t="str">
        <f t="shared" ref="E83:N83" si="28">IFERROR(E35/E$24,"n/a")</f>
        <v>n/a</v>
      </c>
      <c r="F83" s="81">
        <f t="shared" si="28"/>
        <v>-1.1248730029900606E-2</v>
      </c>
      <c r="G83" s="81">
        <f t="shared" si="28"/>
        <v>-1.2546424945122996E-2</v>
      </c>
      <c r="H83" s="81">
        <f t="shared" si="28"/>
        <v>-1.4465069770609759E-2</v>
      </c>
      <c r="I83" s="81">
        <f t="shared" si="28"/>
        <v>-1.5748904851876518E-2</v>
      </c>
      <c r="J83" s="79" t="str">
        <f t="shared" si="28"/>
        <v>n/a</v>
      </c>
      <c r="K83" s="78" t="str">
        <f t="shared" si="28"/>
        <v>n/a</v>
      </c>
      <c r="L83" s="78" t="str">
        <f t="shared" si="28"/>
        <v>n/a</v>
      </c>
      <c r="M83" s="78" t="str">
        <f t="shared" si="28"/>
        <v>n/a</v>
      </c>
      <c r="N83" s="78" t="str">
        <f t="shared" si="28"/>
        <v>n/a</v>
      </c>
      <c r="O83" s="77"/>
      <c r="P83" s="83"/>
      <c r="Q83" s="74"/>
      <c r="T83" s="628"/>
      <c r="V83"/>
    </row>
    <row r="84" spans="3:22" ht="11.45" customHeight="1" x14ac:dyDescent="0.25">
      <c r="C84" s="82" t="str">
        <f t="shared" si="23"/>
        <v>Versicherung, Beiträge und Abgaben</v>
      </c>
      <c r="D84" s="82" t="str">
        <f t="shared" si="23"/>
        <v>Insurance, contributions and levies expenses</v>
      </c>
      <c r="E84" s="81" t="str">
        <f t="shared" ref="E84:N84" si="29">IFERROR(E36/E$24,"n/a")</f>
        <v>n/a</v>
      </c>
      <c r="F84" s="81">
        <f t="shared" si="29"/>
        <v>-3.8050229102727156E-3</v>
      </c>
      <c r="G84" s="81">
        <f t="shared" si="29"/>
        <v>-4.7205430746434561E-3</v>
      </c>
      <c r="H84" s="81">
        <f t="shared" si="29"/>
        <v>-4.0964310668661179E-3</v>
      </c>
      <c r="I84" s="81">
        <f t="shared" si="29"/>
        <v>-4.5793622635201224E-3</v>
      </c>
      <c r="J84" s="79" t="str">
        <f t="shared" si="29"/>
        <v>n/a</v>
      </c>
      <c r="K84" s="78" t="str">
        <f t="shared" si="29"/>
        <v>n/a</v>
      </c>
      <c r="L84" s="78" t="str">
        <f t="shared" si="29"/>
        <v>n/a</v>
      </c>
      <c r="M84" s="78" t="str">
        <f t="shared" si="29"/>
        <v>n/a</v>
      </c>
      <c r="N84" s="78" t="str">
        <f t="shared" si="29"/>
        <v>n/a</v>
      </c>
      <c r="O84" s="77"/>
      <c r="P84" s="83"/>
      <c r="Q84" s="74"/>
      <c r="T84" s="628"/>
      <c r="V84"/>
    </row>
    <row r="85" spans="3:22" ht="11.45" customHeight="1" x14ac:dyDescent="0.25">
      <c r="C85" s="82" t="str">
        <f t="shared" si="23"/>
        <v>Werbe- und Reisekosten</v>
      </c>
      <c r="D85" s="82" t="str">
        <f t="shared" si="23"/>
        <v>Advertising and travel expenses</v>
      </c>
      <c r="E85" s="81" t="str">
        <f t="shared" ref="E85:N85" si="30">IFERROR(E37/E$24,"n/a")</f>
        <v>n/a</v>
      </c>
      <c r="F85" s="81">
        <f t="shared" si="30"/>
        <v>-8.5797313588985465E-3</v>
      </c>
      <c r="G85" s="81">
        <f t="shared" si="30"/>
        <v>-1.1434776368977519E-2</v>
      </c>
      <c r="H85" s="81">
        <f t="shared" si="30"/>
        <v>-9.0593625848055942E-3</v>
      </c>
      <c r="I85" s="81">
        <f t="shared" si="30"/>
        <v>-1.0738811745215134E-2</v>
      </c>
      <c r="J85" s="79" t="str">
        <f t="shared" si="30"/>
        <v>n/a</v>
      </c>
      <c r="K85" s="78" t="str">
        <f t="shared" si="30"/>
        <v>n/a</v>
      </c>
      <c r="L85" s="78" t="str">
        <f t="shared" si="30"/>
        <v>n/a</v>
      </c>
      <c r="M85" s="78" t="str">
        <f t="shared" si="30"/>
        <v>n/a</v>
      </c>
      <c r="N85" s="78" t="str">
        <f t="shared" si="30"/>
        <v>n/a</v>
      </c>
      <c r="O85" s="77"/>
      <c r="P85" s="83"/>
      <c r="Q85" s="74"/>
      <c r="T85" s="628"/>
      <c r="V85"/>
    </row>
    <row r="86" spans="3:22" ht="11.45" customHeight="1" x14ac:dyDescent="0.25">
      <c r="C86" s="82" t="str">
        <f t="shared" si="23"/>
        <v>Sonstige betriebliche Erträge</v>
      </c>
      <c r="D86" s="82" t="str">
        <f t="shared" si="23"/>
        <v>Other operating income</v>
      </c>
      <c r="E86" s="81" t="str">
        <f t="shared" ref="E86:N86" si="31">IFERROR(E38/E$24,"n/a")</f>
        <v>n/a</v>
      </c>
      <c r="F86" s="81">
        <f t="shared" si="31"/>
        <v>1.4808392483275241E-2</v>
      </c>
      <c r="G86" s="81">
        <f t="shared" si="31"/>
        <v>1.2049626861149777E-2</v>
      </c>
      <c r="H86" s="81">
        <f t="shared" si="31"/>
        <v>1.5553192319124437E-2</v>
      </c>
      <c r="I86" s="81">
        <f t="shared" si="31"/>
        <v>1.2167650451030075E-2</v>
      </c>
      <c r="J86" s="79" t="str">
        <f t="shared" si="31"/>
        <v>n/a</v>
      </c>
      <c r="K86" s="78" t="str">
        <f t="shared" si="31"/>
        <v>n/a</v>
      </c>
      <c r="L86" s="78" t="str">
        <f t="shared" si="31"/>
        <v>n/a</v>
      </c>
      <c r="M86" s="78" t="str">
        <f t="shared" si="31"/>
        <v>n/a</v>
      </c>
      <c r="N86" s="78" t="str">
        <f t="shared" si="31"/>
        <v>n/a</v>
      </c>
      <c r="O86" s="77"/>
      <c r="P86" s="83"/>
      <c r="Q86" s="74"/>
      <c r="T86" s="628"/>
      <c r="V86"/>
    </row>
    <row r="87" spans="3:22" ht="11.45" customHeight="1" x14ac:dyDescent="0.25">
      <c r="C87" s="82" t="str">
        <f t="shared" si="23"/>
        <v>Sonstige betriebliche Aufwendungen</v>
      </c>
      <c r="D87" s="82" t="str">
        <f t="shared" si="23"/>
        <v>Other operating expenses</v>
      </c>
      <c r="E87" s="81" t="str">
        <f t="shared" ref="E87:N87" si="32">IFERROR(E39/E$24,"n/a")</f>
        <v>n/a</v>
      </c>
      <c r="F87" s="81">
        <f t="shared" si="32"/>
        <v>-6.233914419177565E-2</v>
      </c>
      <c r="G87" s="81">
        <f t="shared" ref="G87:J88" si="33">IFERROR(G39/G$24,"n/a")</f>
        <v>-6.8688765481358799E-2</v>
      </c>
      <c r="H87" s="81">
        <f t="shared" si="33"/>
        <v>-7.4495230330292261E-2</v>
      </c>
      <c r="I87" s="81">
        <f t="shared" si="33"/>
        <v>-8.0495433473523198E-2</v>
      </c>
      <c r="J87" s="79" t="str">
        <f t="shared" si="33"/>
        <v>n/a</v>
      </c>
      <c r="K87" s="78" t="str">
        <f t="shared" si="32"/>
        <v>n/a</v>
      </c>
      <c r="L87" s="78" t="str">
        <f t="shared" si="32"/>
        <v>n/a</v>
      </c>
      <c r="M87" s="78" t="str">
        <f t="shared" si="32"/>
        <v>n/a</v>
      </c>
      <c r="N87" s="78" t="str">
        <f t="shared" si="32"/>
        <v>n/a</v>
      </c>
      <c r="O87" s="77"/>
      <c r="P87" s="83"/>
      <c r="Q87" s="74"/>
      <c r="T87" s="628"/>
      <c r="V87"/>
    </row>
    <row r="88" spans="3:22" ht="11.45" hidden="1" customHeight="1" outlineLevel="2" x14ac:dyDescent="0.25">
      <c r="C88" s="82" t="str">
        <f t="shared" si="23"/>
        <v>Dummy 1</v>
      </c>
      <c r="D88" s="82" t="str">
        <f t="shared" si="23"/>
        <v>Dummy 1</v>
      </c>
      <c r="E88" s="81" t="str">
        <f>IFERROR(E40/E$24,"n/a")</f>
        <v>n/a</v>
      </c>
      <c r="F88" s="81">
        <f>IFERROR(F40/F$24,"n/a")</f>
        <v>0</v>
      </c>
      <c r="G88" s="81">
        <f t="shared" si="33"/>
        <v>0</v>
      </c>
      <c r="H88" s="81">
        <f t="shared" si="33"/>
        <v>0</v>
      </c>
      <c r="I88" s="81">
        <f t="shared" si="33"/>
        <v>0</v>
      </c>
      <c r="J88" s="79" t="str">
        <f t="shared" si="33"/>
        <v>n/a</v>
      </c>
      <c r="K88" s="78" t="str">
        <f t="shared" ref="K88:N90" si="34">IFERROR(K41/K$24,"n/a")</f>
        <v>n/a</v>
      </c>
      <c r="L88" s="78" t="str">
        <f t="shared" si="34"/>
        <v>n/a</v>
      </c>
      <c r="M88" s="78" t="str">
        <f t="shared" si="34"/>
        <v>n/a</v>
      </c>
      <c r="N88" s="78" t="str">
        <f t="shared" si="34"/>
        <v>n/a</v>
      </c>
      <c r="O88" s="77"/>
      <c r="P88" s="83"/>
      <c r="Q88" s="74"/>
      <c r="V88"/>
    </row>
    <row r="89" spans="3:22" ht="11.45" hidden="1" customHeight="1" outlineLevel="2" x14ac:dyDescent="0.25">
      <c r="C89" s="82" t="str">
        <f t="shared" si="23"/>
        <v>Dummy 2</v>
      </c>
      <c r="D89" s="82" t="str">
        <f t="shared" si="23"/>
        <v>Dummy 2</v>
      </c>
      <c r="E89" s="81" t="str">
        <f t="shared" ref="E89:J89" si="35">IFERROR(E41/E$24,"n/a")</f>
        <v>n/a</v>
      </c>
      <c r="F89" s="81">
        <f t="shared" si="35"/>
        <v>0</v>
      </c>
      <c r="G89" s="81">
        <f t="shared" si="35"/>
        <v>0</v>
      </c>
      <c r="H89" s="81">
        <f t="shared" si="35"/>
        <v>0</v>
      </c>
      <c r="I89" s="81">
        <f t="shared" si="35"/>
        <v>0</v>
      </c>
      <c r="J89" s="79" t="str">
        <f t="shared" si="35"/>
        <v>n/a</v>
      </c>
      <c r="K89" s="78" t="str">
        <f t="shared" si="34"/>
        <v>n/a</v>
      </c>
      <c r="L89" s="78" t="str">
        <f t="shared" si="34"/>
        <v>n/a</v>
      </c>
      <c r="M89" s="78" t="str">
        <f t="shared" si="34"/>
        <v>n/a</v>
      </c>
      <c r="N89" s="78" t="str">
        <f t="shared" si="34"/>
        <v>n/a</v>
      </c>
      <c r="O89" s="77"/>
      <c r="P89" s="83"/>
      <c r="Q89" s="74"/>
      <c r="V89"/>
    </row>
    <row r="90" spans="3:22" ht="11.45" hidden="1" customHeight="1" outlineLevel="2" x14ac:dyDescent="0.25">
      <c r="C90" s="82" t="str">
        <f t="shared" si="23"/>
        <v>Dummy 3</v>
      </c>
      <c r="D90" s="82" t="str">
        <f t="shared" si="23"/>
        <v>Dummy 3</v>
      </c>
      <c r="E90" s="81" t="str">
        <f t="shared" ref="E90:J90" si="36">IFERROR(E42/E$24,"n/a")</f>
        <v>n/a</v>
      </c>
      <c r="F90" s="81">
        <f t="shared" si="36"/>
        <v>0</v>
      </c>
      <c r="G90" s="81">
        <f t="shared" si="36"/>
        <v>0</v>
      </c>
      <c r="H90" s="81">
        <f t="shared" si="36"/>
        <v>0</v>
      </c>
      <c r="I90" s="81">
        <f t="shared" si="36"/>
        <v>0</v>
      </c>
      <c r="J90" s="79" t="str">
        <f t="shared" si="36"/>
        <v>n/a</v>
      </c>
      <c r="K90" s="78" t="str">
        <f t="shared" si="34"/>
        <v>n/a</v>
      </c>
      <c r="L90" s="78" t="str">
        <f t="shared" si="34"/>
        <v>n/a</v>
      </c>
      <c r="M90" s="78" t="str">
        <f t="shared" si="34"/>
        <v>n/a</v>
      </c>
      <c r="N90" s="78" t="str">
        <f t="shared" si="34"/>
        <v>n/a</v>
      </c>
      <c r="O90" s="77"/>
      <c r="P90" s="83"/>
      <c r="Q90" s="74"/>
      <c r="V90"/>
    </row>
    <row r="91" spans="3:22" ht="11.45" customHeight="1" collapsed="1" x14ac:dyDescent="0.25">
      <c r="C91" s="88" t="str">
        <f t="shared" ref="C91:D107" si="37">C43</f>
        <v>EBITDA</v>
      </c>
      <c r="D91" s="88" t="str">
        <f t="shared" si="37"/>
        <v>EBITDA</v>
      </c>
      <c r="E91" s="87" t="str">
        <f t="shared" ref="E91:N91" si="38">IFERROR(E43/E$24,"n/a")</f>
        <v>n/a</v>
      </c>
      <c r="F91" s="87">
        <f t="shared" si="38"/>
        <v>-0.2672090130404039</v>
      </c>
      <c r="G91" s="87">
        <f t="shared" si="38"/>
        <v>-0.41836925750349169</v>
      </c>
      <c r="H91" s="87">
        <f t="shared" si="38"/>
        <v>-0.39019697922231406</v>
      </c>
      <c r="I91" s="87">
        <f t="shared" si="38"/>
        <v>-0.39677953448221515</v>
      </c>
      <c r="J91" s="85" t="str">
        <f t="shared" si="38"/>
        <v>n/a</v>
      </c>
      <c r="K91" s="84" t="str">
        <f t="shared" si="38"/>
        <v>n/a</v>
      </c>
      <c r="L91" s="84" t="str">
        <f t="shared" si="38"/>
        <v>n/a</v>
      </c>
      <c r="M91" s="84" t="str">
        <f t="shared" si="38"/>
        <v>n/a</v>
      </c>
      <c r="N91" s="84" t="str">
        <f t="shared" si="38"/>
        <v>n/a</v>
      </c>
      <c r="O91" s="77"/>
      <c r="P91" s="83"/>
      <c r="Q91" s="83"/>
      <c r="T91" s="628"/>
      <c r="V91"/>
    </row>
    <row r="92" spans="3:22" ht="11.45" hidden="1" customHeight="1" outlineLevel="1" x14ac:dyDescent="0.25">
      <c r="C92" s="82" t="str">
        <f t="shared" si="37"/>
        <v>Abschreibungen</v>
      </c>
      <c r="D92" s="82" t="str">
        <f t="shared" si="37"/>
        <v>Depreciation</v>
      </c>
      <c r="E92" s="81" t="str">
        <f t="shared" ref="E92:N92" si="39">IFERROR(E44/E$24,"n/a")</f>
        <v>n/a</v>
      </c>
      <c r="F92" s="81">
        <f t="shared" si="39"/>
        <v>-2.1645076704420816E-2</v>
      </c>
      <c r="G92" s="81">
        <f t="shared" si="39"/>
        <v>-2.0923154892526465E-2</v>
      </c>
      <c r="H92" s="81">
        <f t="shared" si="39"/>
        <v>-1.8560001786163727E-2</v>
      </c>
      <c r="I92" s="81">
        <f t="shared" si="39"/>
        <v>-1.7641371662763132E-2</v>
      </c>
      <c r="J92" s="79" t="str">
        <f t="shared" si="39"/>
        <v>n/a</v>
      </c>
      <c r="K92" s="78" t="str">
        <f t="shared" si="39"/>
        <v>n/a</v>
      </c>
      <c r="L92" s="78" t="str">
        <f t="shared" si="39"/>
        <v>n/a</v>
      </c>
      <c r="M92" s="78" t="str">
        <f t="shared" si="39"/>
        <v>n/a</v>
      </c>
      <c r="N92" s="78" t="str">
        <f t="shared" si="39"/>
        <v>n/a</v>
      </c>
      <c r="O92" s="77"/>
      <c r="P92" s="83"/>
      <c r="Q92" s="74"/>
      <c r="V92"/>
    </row>
    <row r="93" spans="3:22" ht="11.45" hidden="1" customHeight="1" outlineLevel="3" x14ac:dyDescent="0.25">
      <c r="C93" s="82" t="str">
        <f t="shared" si="37"/>
        <v>Dummy 1</v>
      </c>
      <c r="D93" s="82" t="str">
        <f t="shared" si="37"/>
        <v>Dummy 1</v>
      </c>
      <c r="E93" s="81" t="str">
        <f t="shared" ref="E93:N93" si="40">IFERROR(E45/E$24,"n/a")</f>
        <v>n/a</v>
      </c>
      <c r="F93" s="81">
        <f t="shared" si="40"/>
        <v>0</v>
      </c>
      <c r="G93" s="81">
        <f t="shared" si="40"/>
        <v>0</v>
      </c>
      <c r="H93" s="81">
        <f t="shared" si="40"/>
        <v>0</v>
      </c>
      <c r="I93" s="81">
        <f t="shared" si="40"/>
        <v>0</v>
      </c>
      <c r="J93" s="79" t="str">
        <f t="shared" si="40"/>
        <v>n/a</v>
      </c>
      <c r="K93" s="78" t="str">
        <f t="shared" si="40"/>
        <v>n/a</v>
      </c>
      <c r="L93" s="78" t="str">
        <f t="shared" si="40"/>
        <v>n/a</v>
      </c>
      <c r="M93" s="78" t="str">
        <f t="shared" si="40"/>
        <v>n/a</v>
      </c>
      <c r="N93" s="78" t="str">
        <f t="shared" si="40"/>
        <v>n/a</v>
      </c>
      <c r="O93" s="77"/>
      <c r="P93" s="83"/>
      <c r="Q93" s="74"/>
      <c r="V93"/>
    </row>
    <row r="94" spans="3:22" ht="11.45" hidden="1" customHeight="1" outlineLevel="3" x14ac:dyDescent="0.25">
      <c r="C94" s="82" t="str">
        <f t="shared" si="37"/>
        <v>Dummy 2</v>
      </c>
      <c r="D94" s="82" t="str">
        <f t="shared" si="37"/>
        <v>Dummy 2</v>
      </c>
      <c r="E94" s="81" t="str">
        <f t="shared" ref="E94:N94" si="41">IFERROR(E46/E$24,"n/a")</f>
        <v>n/a</v>
      </c>
      <c r="F94" s="81">
        <f t="shared" si="41"/>
        <v>0</v>
      </c>
      <c r="G94" s="81">
        <f t="shared" si="41"/>
        <v>0</v>
      </c>
      <c r="H94" s="81">
        <f t="shared" si="41"/>
        <v>0</v>
      </c>
      <c r="I94" s="81">
        <f t="shared" si="41"/>
        <v>0</v>
      </c>
      <c r="J94" s="79" t="str">
        <f t="shared" si="41"/>
        <v>n/a</v>
      </c>
      <c r="K94" s="78" t="str">
        <f t="shared" si="41"/>
        <v>n/a</v>
      </c>
      <c r="L94" s="78" t="str">
        <f t="shared" si="41"/>
        <v>n/a</v>
      </c>
      <c r="M94" s="78" t="str">
        <f t="shared" si="41"/>
        <v>n/a</v>
      </c>
      <c r="N94" s="78" t="str">
        <f t="shared" si="41"/>
        <v>n/a</v>
      </c>
      <c r="O94" s="77"/>
      <c r="P94" s="83"/>
      <c r="Q94" s="74"/>
      <c r="V94"/>
    </row>
    <row r="95" spans="3:22" ht="11.45" hidden="1" customHeight="1" outlineLevel="3" x14ac:dyDescent="0.25">
      <c r="C95" s="82" t="str">
        <f t="shared" si="37"/>
        <v>Dummy 3</v>
      </c>
      <c r="D95" s="82" t="str">
        <f t="shared" si="37"/>
        <v>Dummy 3</v>
      </c>
      <c r="E95" s="81" t="str">
        <f t="shared" ref="E95:N95" si="42">IFERROR(E47/E$24,"n/a")</f>
        <v>n/a</v>
      </c>
      <c r="F95" s="81">
        <f t="shared" si="42"/>
        <v>0</v>
      </c>
      <c r="G95" s="81">
        <f t="shared" si="42"/>
        <v>0</v>
      </c>
      <c r="H95" s="81">
        <f t="shared" si="42"/>
        <v>0</v>
      </c>
      <c r="I95" s="81">
        <f t="shared" si="42"/>
        <v>0</v>
      </c>
      <c r="J95" s="79" t="str">
        <f t="shared" si="42"/>
        <v>n/a</v>
      </c>
      <c r="K95" s="78" t="str">
        <f t="shared" si="42"/>
        <v>n/a</v>
      </c>
      <c r="L95" s="78" t="str">
        <f t="shared" si="42"/>
        <v>n/a</v>
      </c>
      <c r="M95" s="78" t="str">
        <f t="shared" si="42"/>
        <v>n/a</v>
      </c>
      <c r="N95" s="78" t="str">
        <f t="shared" si="42"/>
        <v>n/a</v>
      </c>
      <c r="O95" s="77"/>
      <c r="P95" s="83"/>
      <c r="Q95" s="74"/>
      <c r="V95"/>
    </row>
    <row r="96" spans="3:22" ht="11.45" hidden="1" customHeight="1" outlineLevel="1" collapsed="1" x14ac:dyDescent="0.25">
      <c r="C96" s="88" t="str">
        <f t="shared" si="37"/>
        <v>EBIT</v>
      </c>
      <c r="D96" s="88" t="str">
        <f t="shared" si="37"/>
        <v>EBIT</v>
      </c>
      <c r="E96" s="87" t="str">
        <f t="shared" ref="E96:N96" si="43">IFERROR(E48/E$24,"n/a")</f>
        <v>n/a</v>
      </c>
      <c r="F96" s="87">
        <f t="shared" si="43"/>
        <v>-0.28885408974482474</v>
      </c>
      <c r="G96" s="87">
        <f t="shared" si="43"/>
        <v>-0.43929241239601813</v>
      </c>
      <c r="H96" s="87">
        <f t="shared" si="43"/>
        <v>-0.40875698100847785</v>
      </c>
      <c r="I96" s="87">
        <f t="shared" si="43"/>
        <v>-0.41442090614497828</v>
      </c>
      <c r="J96" s="85" t="str">
        <f t="shared" si="43"/>
        <v>n/a</v>
      </c>
      <c r="K96" s="84" t="str">
        <f t="shared" si="43"/>
        <v>n/a</v>
      </c>
      <c r="L96" s="84" t="str">
        <f t="shared" si="43"/>
        <v>n/a</v>
      </c>
      <c r="M96" s="84" t="str">
        <f t="shared" si="43"/>
        <v>n/a</v>
      </c>
      <c r="N96" s="84" t="str">
        <f t="shared" si="43"/>
        <v>n/a</v>
      </c>
      <c r="O96" s="77"/>
      <c r="P96" s="83"/>
      <c r="Q96" s="83"/>
      <c r="V96"/>
    </row>
    <row r="97" spans="3:22" ht="11.45" hidden="1" customHeight="1" outlineLevel="2" x14ac:dyDescent="0.25">
      <c r="C97" s="82" t="str">
        <f t="shared" si="37"/>
        <v>Beteiligungsergebnis</v>
      </c>
      <c r="D97" s="82" t="str">
        <f t="shared" si="37"/>
        <v>Investment income</v>
      </c>
      <c r="E97" s="81" t="str">
        <f t="shared" ref="E97:N97" si="44">IFERROR(E49/E$24,"n/a")</f>
        <v>n/a</v>
      </c>
      <c r="F97" s="81">
        <f t="shared" si="44"/>
        <v>0</v>
      </c>
      <c r="G97" s="81">
        <f t="shared" si="44"/>
        <v>0</v>
      </c>
      <c r="H97" s="81">
        <f t="shared" si="44"/>
        <v>0</v>
      </c>
      <c r="I97" s="81">
        <f t="shared" si="44"/>
        <v>0</v>
      </c>
      <c r="J97" s="79" t="str">
        <f t="shared" si="44"/>
        <v>n/a</v>
      </c>
      <c r="K97" s="78" t="str">
        <f t="shared" si="44"/>
        <v>n/a</v>
      </c>
      <c r="L97" s="78" t="str">
        <f t="shared" si="44"/>
        <v>n/a</v>
      </c>
      <c r="M97" s="78" t="str">
        <f t="shared" si="44"/>
        <v>n/a</v>
      </c>
      <c r="N97" s="78" t="str">
        <f t="shared" si="44"/>
        <v>n/a</v>
      </c>
      <c r="O97" s="77"/>
      <c r="P97" s="83"/>
      <c r="Q97" s="74"/>
      <c r="V97"/>
    </row>
    <row r="98" spans="3:22" ht="11.45" hidden="1" customHeight="1" outlineLevel="2" x14ac:dyDescent="0.25">
      <c r="C98" s="82" t="str">
        <f t="shared" si="37"/>
        <v>Zinserträge</v>
      </c>
      <c r="D98" s="82" t="str">
        <f t="shared" si="37"/>
        <v>Interest income</v>
      </c>
      <c r="E98" s="81" t="str">
        <f t="shared" ref="E98:N98" si="45">IFERROR(E50/E$24,"n/a")</f>
        <v>n/a</v>
      </c>
      <c r="F98" s="81">
        <f t="shared" si="45"/>
        <v>3.2506566140330781E-4</v>
      </c>
      <c r="G98" s="81">
        <f t="shared" si="45"/>
        <v>2.8519277727591115E-4</v>
      </c>
      <c r="H98" s="81">
        <f t="shared" si="45"/>
        <v>1.8427514455469373E-4</v>
      </c>
      <c r="I98" s="81">
        <f t="shared" si="45"/>
        <v>1.4495351935937931E-4</v>
      </c>
      <c r="J98" s="79" t="str">
        <f t="shared" si="45"/>
        <v>n/a</v>
      </c>
      <c r="K98" s="78" t="str">
        <f t="shared" si="45"/>
        <v>n/a</v>
      </c>
      <c r="L98" s="78" t="str">
        <f t="shared" si="45"/>
        <v>n/a</v>
      </c>
      <c r="M98" s="78" t="str">
        <f t="shared" si="45"/>
        <v>n/a</v>
      </c>
      <c r="N98" s="78" t="str">
        <f t="shared" si="45"/>
        <v>n/a</v>
      </c>
      <c r="O98" s="77"/>
      <c r="P98" s="83"/>
      <c r="Q98" s="74"/>
      <c r="V98"/>
    </row>
    <row r="99" spans="3:22" ht="11.45" hidden="1" customHeight="1" outlineLevel="2" x14ac:dyDescent="0.25">
      <c r="C99" s="82" t="str">
        <f t="shared" si="37"/>
        <v>Zinsaufwendungen</v>
      </c>
      <c r="D99" s="82" t="str">
        <f t="shared" si="37"/>
        <v>Interest expenses</v>
      </c>
      <c r="E99" s="81" t="str">
        <f t="shared" ref="E99:N99" si="46">IFERROR(E51/E$24,"n/a")</f>
        <v>n/a</v>
      </c>
      <c r="F99" s="81">
        <f t="shared" si="46"/>
        <v>-5.5256935047509463E-4</v>
      </c>
      <c r="G99" s="81">
        <f t="shared" si="46"/>
        <v>-2.3783079664111431E-4</v>
      </c>
      <c r="H99" s="81">
        <f t="shared" si="46"/>
        <v>-2.0613542772866109E-4</v>
      </c>
      <c r="I99" s="81">
        <f t="shared" si="46"/>
        <v>-2.5252694890868225E-4</v>
      </c>
      <c r="J99" s="79" t="str">
        <f t="shared" si="46"/>
        <v>n/a</v>
      </c>
      <c r="K99" s="78" t="str">
        <f t="shared" si="46"/>
        <v>n/a</v>
      </c>
      <c r="L99" s="78" t="str">
        <f t="shared" si="46"/>
        <v>n/a</v>
      </c>
      <c r="M99" s="78" t="str">
        <f t="shared" si="46"/>
        <v>n/a</v>
      </c>
      <c r="N99" s="78" t="str">
        <f t="shared" si="46"/>
        <v>n/a</v>
      </c>
      <c r="O99" s="77"/>
      <c r="P99" s="83"/>
      <c r="Q99" s="74"/>
      <c r="V99"/>
    </row>
    <row r="100" spans="3:22" ht="11.45" hidden="1" customHeight="1" outlineLevel="3" x14ac:dyDescent="0.25">
      <c r="C100" s="82" t="str">
        <f t="shared" si="37"/>
        <v>Abschreibungen auf Finanzanlagen</v>
      </c>
      <c r="D100" s="82" t="str">
        <f t="shared" si="37"/>
        <v>Abschreibungn auf Finanzanlagen</v>
      </c>
      <c r="E100" s="81" t="str">
        <f t="shared" ref="E100:N100" si="47">IFERROR(E52/E$24,"n/a")</f>
        <v>n/a</v>
      </c>
      <c r="F100" s="81">
        <f t="shared" si="47"/>
        <v>-8.0257134873969842E-3</v>
      </c>
      <c r="G100" s="81">
        <f t="shared" si="47"/>
        <v>-2.2608214322424971E-3</v>
      </c>
      <c r="H100" s="81">
        <f t="shared" si="47"/>
        <v>-2.3945375369679279E-4</v>
      </c>
      <c r="I100" s="81">
        <f t="shared" si="47"/>
        <v>-4.6600406948226996E-5</v>
      </c>
      <c r="J100" s="79" t="str">
        <f t="shared" si="47"/>
        <v>n/a</v>
      </c>
      <c r="K100" s="78" t="str">
        <f t="shared" si="47"/>
        <v>n/a</v>
      </c>
      <c r="L100" s="78" t="str">
        <f t="shared" si="47"/>
        <v>n/a</v>
      </c>
      <c r="M100" s="78" t="str">
        <f t="shared" si="47"/>
        <v>n/a</v>
      </c>
      <c r="N100" s="78" t="str">
        <f t="shared" si="47"/>
        <v>n/a</v>
      </c>
      <c r="O100" s="77"/>
      <c r="P100" s="83"/>
      <c r="Q100" s="74"/>
      <c r="V100"/>
    </row>
    <row r="101" spans="3:22" ht="11.45" hidden="1" customHeight="1" outlineLevel="3" x14ac:dyDescent="0.25">
      <c r="C101" s="82" t="str">
        <f t="shared" si="37"/>
        <v>Dummy 2</v>
      </c>
      <c r="D101" s="82" t="str">
        <f t="shared" si="37"/>
        <v>Dummy 2</v>
      </c>
      <c r="E101" s="81" t="str">
        <f t="shared" ref="E101:N101" si="48">IFERROR(E53/E$24,"n/a")</f>
        <v>n/a</v>
      </c>
      <c r="F101" s="81">
        <f t="shared" si="48"/>
        <v>0</v>
      </c>
      <c r="G101" s="81">
        <f t="shared" si="48"/>
        <v>0</v>
      </c>
      <c r="H101" s="81">
        <f t="shared" si="48"/>
        <v>0</v>
      </c>
      <c r="I101" s="81">
        <f t="shared" si="48"/>
        <v>0</v>
      </c>
      <c r="J101" s="79" t="str">
        <f t="shared" si="48"/>
        <v>n/a</v>
      </c>
      <c r="K101" s="78" t="str">
        <f t="shared" si="48"/>
        <v>n/a</v>
      </c>
      <c r="L101" s="78" t="str">
        <f t="shared" si="48"/>
        <v>n/a</v>
      </c>
      <c r="M101" s="78" t="str">
        <f t="shared" si="48"/>
        <v>n/a</v>
      </c>
      <c r="N101" s="78" t="str">
        <f t="shared" si="48"/>
        <v>n/a</v>
      </c>
      <c r="O101" s="77"/>
      <c r="P101" s="83"/>
      <c r="Q101" s="74"/>
      <c r="V101"/>
    </row>
    <row r="102" spans="3:22" ht="11.45" hidden="1" customHeight="1" outlineLevel="3" x14ac:dyDescent="0.25">
      <c r="C102" s="82" t="str">
        <f t="shared" si="37"/>
        <v>Dummy 3</v>
      </c>
      <c r="D102" s="82" t="str">
        <f t="shared" si="37"/>
        <v>Dummy 3</v>
      </c>
      <c r="E102" s="81" t="str">
        <f t="shared" ref="E102:N102" si="49">IFERROR(E54/E$24,"n/a")</f>
        <v>n/a</v>
      </c>
      <c r="F102" s="81">
        <f t="shared" si="49"/>
        <v>0</v>
      </c>
      <c r="G102" s="81">
        <f t="shared" si="49"/>
        <v>0</v>
      </c>
      <c r="H102" s="81">
        <f t="shared" si="49"/>
        <v>0</v>
      </c>
      <c r="I102" s="81">
        <f t="shared" si="49"/>
        <v>0</v>
      </c>
      <c r="J102" s="79" t="str">
        <f t="shared" si="49"/>
        <v>n/a</v>
      </c>
      <c r="K102" s="78" t="str">
        <f t="shared" si="49"/>
        <v>n/a</v>
      </c>
      <c r="L102" s="78" t="str">
        <f t="shared" si="49"/>
        <v>n/a</v>
      </c>
      <c r="M102" s="78" t="str">
        <f t="shared" si="49"/>
        <v>n/a</v>
      </c>
      <c r="N102" s="78" t="str">
        <f t="shared" si="49"/>
        <v>n/a</v>
      </c>
      <c r="O102" s="77"/>
      <c r="P102" s="83"/>
      <c r="Q102" s="74"/>
      <c r="V102"/>
    </row>
    <row r="103" spans="3:22" ht="11.45" hidden="1" customHeight="1" outlineLevel="1" collapsed="1" x14ac:dyDescent="0.25">
      <c r="C103" s="82" t="str">
        <f t="shared" si="37"/>
        <v>Finanzergebnis</v>
      </c>
      <c r="D103" s="82" t="str">
        <f t="shared" si="37"/>
        <v>Financial result</v>
      </c>
      <c r="E103" s="81" t="str">
        <f t="shared" ref="E103:N103" si="50">IFERROR(E55/E$24,"n/a")</f>
        <v>n/a</v>
      </c>
      <c r="F103" s="81">
        <f t="shared" si="50"/>
        <v>-8.2532171764687703E-3</v>
      </c>
      <c r="G103" s="81">
        <f t="shared" si="50"/>
        <v>-2.2134594516077005E-3</v>
      </c>
      <c r="H103" s="81">
        <f t="shared" si="50"/>
        <v>-2.6131403687076009E-4</v>
      </c>
      <c r="I103" s="81">
        <f t="shared" si="50"/>
        <v>-1.5417383649752992E-4</v>
      </c>
      <c r="J103" s="79" t="str">
        <f t="shared" si="50"/>
        <v>n/a</v>
      </c>
      <c r="K103" s="78" t="str">
        <f t="shared" si="50"/>
        <v>n/a</v>
      </c>
      <c r="L103" s="78" t="str">
        <f t="shared" si="50"/>
        <v>n/a</v>
      </c>
      <c r="M103" s="78" t="str">
        <f t="shared" si="50"/>
        <v>n/a</v>
      </c>
      <c r="N103" s="78" t="str">
        <f t="shared" si="50"/>
        <v>n/a</v>
      </c>
      <c r="O103" s="77"/>
      <c r="P103" s="83"/>
      <c r="Q103" s="74"/>
      <c r="V103"/>
    </row>
    <row r="104" spans="3:22" ht="11.45" hidden="1" customHeight="1" outlineLevel="1" x14ac:dyDescent="0.25">
      <c r="C104" s="88" t="str">
        <f t="shared" si="37"/>
        <v>EBT</v>
      </c>
      <c r="D104" s="88" t="str">
        <f t="shared" si="37"/>
        <v>EBT</v>
      </c>
      <c r="E104" s="87" t="str">
        <f t="shared" ref="E104:N104" si="51">IFERROR(E56/E$24,"n/a")</f>
        <v>n/a</v>
      </c>
      <c r="F104" s="87">
        <f t="shared" si="51"/>
        <v>-0.2971073069212935</v>
      </c>
      <c r="G104" s="87">
        <f t="shared" si="51"/>
        <v>-0.4415058718476258</v>
      </c>
      <c r="H104" s="87">
        <f t="shared" si="51"/>
        <v>-0.40901829504534853</v>
      </c>
      <c r="I104" s="87">
        <f t="shared" si="51"/>
        <v>-0.4145750799814758</v>
      </c>
      <c r="J104" s="85" t="str">
        <f t="shared" si="51"/>
        <v>n/a</v>
      </c>
      <c r="K104" s="84" t="str">
        <f t="shared" si="51"/>
        <v>n/a</v>
      </c>
      <c r="L104" s="84" t="str">
        <f t="shared" si="51"/>
        <v>n/a</v>
      </c>
      <c r="M104" s="84" t="str">
        <f t="shared" si="51"/>
        <v>n/a</v>
      </c>
      <c r="N104" s="84" t="str">
        <f t="shared" si="51"/>
        <v>n/a</v>
      </c>
      <c r="O104" s="77"/>
      <c r="P104" s="83"/>
      <c r="Q104" s="83"/>
      <c r="V104"/>
    </row>
    <row r="105" spans="3:22" ht="11.45" hidden="1" customHeight="1" outlineLevel="1" x14ac:dyDescent="0.25">
      <c r="C105" s="82" t="str">
        <f t="shared" si="37"/>
        <v>Ertragssteuern</v>
      </c>
      <c r="D105" s="82" t="str">
        <f t="shared" si="37"/>
        <v>Income taxes</v>
      </c>
      <c r="E105" s="81" t="str">
        <f t="shared" ref="E105:N105" si="52">IFERROR(E57/E$24,"n/a")</f>
        <v>n/a</v>
      </c>
      <c r="F105" s="81">
        <f t="shared" si="52"/>
        <v>-5.4723776975230544E-2</v>
      </c>
      <c r="G105" s="81">
        <f t="shared" si="52"/>
        <v>-2.5175438496027835E-2</v>
      </c>
      <c r="H105" s="81">
        <f t="shared" si="52"/>
        <v>-2.5990705082370634E-2</v>
      </c>
      <c r="I105" s="81">
        <f t="shared" si="52"/>
        <v>-2.1905714518969475E-2</v>
      </c>
      <c r="J105" s="79" t="str">
        <f t="shared" si="52"/>
        <v>n/a</v>
      </c>
      <c r="K105" s="78" t="str">
        <f t="shared" si="52"/>
        <v>n/a</v>
      </c>
      <c r="L105" s="78" t="str">
        <f t="shared" si="52"/>
        <v>n/a</v>
      </c>
      <c r="M105" s="78" t="str">
        <f t="shared" si="52"/>
        <v>n/a</v>
      </c>
      <c r="N105" s="78" t="str">
        <f t="shared" si="52"/>
        <v>n/a</v>
      </c>
      <c r="O105" s="77"/>
      <c r="P105" s="83"/>
      <c r="Q105" s="74"/>
      <c r="V105"/>
    </row>
    <row r="106" spans="3:22" ht="11.45" hidden="1" customHeight="1" outlineLevel="1" x14ac:dyDescent="0.25">
      <c r="C106" s="82" t="str">
        <f t="shared" si="37"/>
        <v>Sonstige Steuern</v>
      </c>
      <c r="D106" s="82" t="str">
        <f t="shared" si="37"/>
        <v>Other taxes</v>
      </c>
      <c r="E106" s="81" t="str">
        <f t="shared" ref="E106:N106" si="53">IFERROR(E58/E$24,"n/a")</f>
        <v>n/a</v>
      </c>
      <c r="F106" s="81">
        <f t="shared" si="53"/>
        <v>-1.8743058025416903E-4</v>
      </c>
      <c r="G106" s="81">
        <f t="shared" si="53"/>
        <v>-1.8832390851982204E-4</v>
      </c>
      <c r="H106" s="81">
        <f t="shared" si="53"/>
        <v>-1.7647655055195478E-4</v>
      </c>
      <c r="I106" s="81">
        <f t="shared" si="53"/>
        <v>-1.4793988346662484E-4</v>
      </c>
      <c r="J106" s="79" t="str">
        <f t="shared" si="53"/>
        <v>n/a</v>
      </c>
      <c r="K106" s="78" t="str">
        <f t="shared" si="53"/>
        <v>n/a</v>
      </c>
      <c r="L106" s="78" t="str">
        <f t="shared" si="53"/>
        <v>n/a</v>
      </c>
      <c r="M106" s="78" t="str">
        <f t="shared" si="53"/>
        <v>n/a</v>
      </c>
      <c r="N106" s="78" t="str">
        <f t="shared" si="53"/>
        <v>n/a</v>
      </c>
      <c r="O106" s="77"/>
      <c r="P106" s="83"/>
      <c r="Q106" s="74"/>
      <c r="V106"/>
    </row>
    <row r="107" spans="3:22" ht="11.45" hidden="1" customHeight="1" outlineLevel="1" x14ac:dyDescent="0.25">
      <c r="C107" s="88" t="str">
        <f t="shared" si="37"/>
        <v>Jahresüberschuss</v>
      </c>
      <c r="D107" s="88" t="str">
        <f t="shared" si="37"/>
        <v>Profit / Loss</v>
      </c>
      <c r="E107" s="87" t="str">
        <f t="shared" ref="E107:N107" si="54">IFERROR(E59/E$24,"n/a")</f>
        <v>n/a</v>
      </c>
      <c r="F107" s="87">
        <f t="shared" si="54"/>
        <v>-0.35201851447677823</v>
      </c>
      <c r="G107" s="87">
        <f t="shared" si="54"/>
        <v>-0.46686963425217343</v>
      </c>
      <c r="H107" s="87">
        <f t="shared" si="54"/>
        <v>-0.43518547667827118</v>
      </c>
      <c r="I107" s="87">
        <f t="shared" si="54"/>
        <v>-0.43662873438391192</v>
      </c>
      <c r="J107" s="85" t="str">
        <f t="shared" si="54"/>
        <v>n/a</v>
      </c>
      <c r="K107" s="84" t="str">
        <f t="shared" si="54"/>
        <v>n/a</v>
      </c>
      <c r="L107" s="84" t="str">
        <f t="shared" si="54"/>
        <v>n/a</v>
      </c>
      <c r="M107" s="84" t="str">
        <f t="shared" si="54"/>
        <v>n/a</v>
      </c>
      <c r="N107" s="84" t="str">
        <f t="shared" si="54"/>
        <v>n/a</v>
      </c>
      <c r="O107" s="77"/>
      <c r="P107" s="83"/>
      <c r="Q107" s="83"/>
      <c r="V107"/>
    </row>
    <row r="108" spans="3:22" ht="4.5" hidden="1" customHeight="1" outlineLevel="1" collapsed="1" x14ac:dyDescent="0.25">
      <c r="C108" s="82"/>
      <c r="D108" s="82"/>
      <c r="E108" s="81"/>
      <c r="F108" s="81"/>
      <c r="G108" s="81"/>
      <c r="H108" s="81"/>
      <c r="I108" s="81"/>
      <c r="J108" s="79"/>
      <c r="K108" s="78"/>
      <c r="L108" s="78"/>
      <c r="M108" s="78"/>
      <c r="N108" s="78"/>
      <c r="O108" s="77"/>
      <c r="P108" s="74"/>
      <c r="Q108" s="74"/>
      <c r="V108"/>
    </row>
    <row r="109" spans="3:22" ht="11.45" hidden="1" customHeight="1" outlineLevel="1" x14ac:dyDescent="0.25">
      <c r="C109" s="82" t="s">
        <v>237</v>
      </c>
      <c r="D109" s="82" t="s">
        <v>236</v>
      </c>
      <c r="E109" s="81" t="str">
        <f t="shared" ref="E109:N109" si="55">IFERROR(E57/E$56,"n/a")</f>
        <v>n/a</v>
      </c>
      <c r="F109" s="81">
        <f t="shared" si="55"/>
        <v>0.18418859348258096</v>
      </c>
      <c r="G109" s="81">
        <f t="shared" si="55"/>
        <v>5.7021752373695452E-2</v>
      </c>
      <c r="H109" s="81">
        <f t="shared" si="55"/>
        <v>6.3544113789553103E-2</v>
      </c>
      <c r="I109" s="81">
        <f t="shared" si="55"/>
        <v>5.2838956263237709E-2</v>
      </c>
      <c r="J109" s="79" t="str">
        <f t="shared" si="55"/>
        <v>n/a</v>
      </c>
      <c r="K109" s="78" t="str">
        <f t="shared" si="55"/>
        <v>n/a</v>
      </c>
      <c r="L109" s="78" t="str">
        <f t="shared" si="55"/>
        <v>n/a</v>
      </c>
      <c r="M109" s="78" t="str">
        <f t="shared" si="55"/>
        <v>n/a</v>
      </c>
      <c r="N109" s="78" t="str">
        <f t="shared" si="55"/>
        <v>n/a</v>
      </c>
      <c r="O109" s="77"/>
      <c r="P109" s="83"/>
      <c r="Q109" s="74"/>
      <c r="V109"/>
    </row>
    <row r="110" spans="3:22" ht="4.5" customHeight="1" collapsed="1" x14ac:dyDescent="0.25">
      <c r="C110" s="82"/>
      <c r="D110" s="82"/>
      <c r="E110" s="81"/>
      <c r="F110" s="81"/>
      <c r="G110" s="81"/>
      <c r="H110" s="81"/>
      <c r="I110" s="81"/>
      <c r="J110" s="79"/>
      <c r="K110" s="78"/>
      <c r="L110" s="78"/>
      <c r="M110" s="78"/>
      <c r="N110" s="78"/>
      <c r="O110" s="77"/>
      <c r="P110" s="74"/>
      <c r="Q110" s="74"/>
      <c r="V110"/>
    </row>
    <row r="111" spans="3:22" ht="11.45" customHeight="1" x14ac:dyDescent="0.25">
      <c r="C111" s="76" t="str">
        <f>"Quelle: "&amp;Cockpit!$C$7</f>
        <v>Quelle: Datenraum/ eigene Analysen</v>
      </c>
      <c r="D111" s="76" t="str">
        <f>"Source: "&amp;Cockpit!$C$8</f>
        <v>Source: Virtual Data Room/ Company Information</v>
      </c>
      <c r="E111" s="41"/>
      <c r="F111" s="41"/>
      <c r="G111" s="41"/>
      <c r="H111" s="41"/>
      <c r="I111" s="41"/>
      <c r="J111" s="40"/>
      <c r="K111" s="75"/>
      <c r="L111" s="75"/>
      <c r="M111" s="75"/>
      <c r="N111" s="75"/>
      <c r="O111" s="74"/>
      <c r="P111" s="73"/>
      <c r="Q111" s="73"/>
      <c r="V111"/>
    </row>
    <row r="112" spans="3:22" ht="11.45" customHeight="1" x14ac:dyDescent="0.25">
      <c r="V112"/>
    </row>
    <row r="113" spans="3:22" ht="11.45" customHeight="1" x14ac:dyDescent="0.25">
      <c r="C113" s="72" t="s">
        <v>235</v>
      </c>
      <c r="D113" s="72" t="s">
        <v>234</v>
      </c>
      <c r="E113" s="71"/>
      <c r="F113" s="71">
        <f>'P&amp;L (Annual Report)'!E262/1000</f>
        <v>1854.1280799999979</v>
      </c>
      <c r="G113" s="71">
        <f>'P&amp;L (Susa)'!E299/1000</f>
        <v>842.63684000000092</v>
      </c>
      <c r="H113" s="71">
        <f>'P&amp;L (Susa)'!F299/1000</f>
        <v>995.05229999999665</v>
      </c>
      <c r="I113" s="71">
        <f>'BWA Dez25'!H264/1000</f>
        <v>709.34490000000005</v>
      </c>
      <c r="J113" s="71">
        <f>'P&amp;L (Susa)'!G299/1000</f>
        <v>893.51867000000198</v>
      </c>
      <c r="K113" s="71"/>
      <c r="L113" s="71"/>
      <c r="M113" s="71"/>
      <c r="N113" s="71"/>
      <c r="V113"/>
    </row>
    <row r="114" spans="3:22" ht="11.45" customHeight="1" x14ac:dyDescent="0.25">
      <c r="C114" s="70" t="s">
        <v>233</v>
      </c>
      <c r="D114" s="69" t="s">
        <v>233</v>
      </c>
      <c r="E114" s="68">
        <f t="shared" ref="E114:N114" si="56">E113-E59</f>
        <v>0</v>
      </c>
      <c r="F114" s="68">
        <f t="shared" si="56"/>
        <v>7633.12619</v>
      </c>
      <c r="G114" s="68">
        <f t="shared" si="56"/>
        <v>8086.502379999999</v>
      </c>
      <c r="H114" s="68">
        <f t="shared" si="56"/>
        <v>8397.887389999998</v>
      </c>
      <c r="I114" s="68">
        <f t="shared" si="56"/>
        <v>7361.784689999994</v>
      </c>
      <c r="J114" s="68">
        <f t="shared" si="56"/>
        <v>893.51867000000198</v>
      </c>
      <c r="K114" s="68">
        <f t="shared" si="56"/>
        <v>0</v>
      </c>
      <c r="L114" s="68">
        <f t="shared" si="56"/>
        <v>0</v>
      </c>
      <c r="M114" s="68">
        <f t="shared" si="56"/>
        <v>0</v>
      </c>
      <c r="N114" s="68">
        <f t="shared" si="56"/>
        <v>0</v>
      </c>
      <c r="V114"/>
    </row>
    <row r="115" spans="3:22" ht="11.45" customHeight="1" x14ac:dyDescent="0.25">
      <c r="V115"/>
    </row>
    <row r="116" spans="3:22" ht="11.45" customHeight="1" x14ac:dyDescent="0.25">
      <c r="V116"/>
    </row>
    <row r="117" spans="3:22" ht="11.45" customHeight="1" x14ac:dyDescent="0.25">
      <c r="V117"/>
    </row>
    <row r="118" spans="3:22" ht="11.45" customHeight="1" x14ac:dyDescent="0.25">
      <c r="V118"/>
    </row>
    <row r="119" spans="3:22" ht="11.45" customHeight="1" x14ac:dyDescent="0.25">
      <c r="V119"/>
    </row>
    <row r="120" spans="3:22" ht="11.45" customHeight="1" x14ac:dyDescent="0.25">
      <c r="V120"/>
    </row>
    <row r="121" spans="3:22" ht="11.45" customHeight="1" x14ac:dyDescent="0.25">
      <c r="V121"/>
    </row>
    <row r="122" spans="3:22" ht="11.45" customHeight="1" x14ac:dyDescent="0.25">
      <c r="V122"/>
    </row>
    <row r="123" spans="3:22" ht="11.45" customHeight="1" x14ac:dyDescent="0.25">
      <c r="V123"/>
    </row>
    <row r="124" spans="3:22" ht="11.45" customHeight="1" x14ac:dyDescent="0.25">
      <c r="V124"/>
    </row>
    <row r="125" spans="3:22" ht="11.45" customHeight="1" x14ac:dyDescent="0.25">
      <c r="V125"/>
    </row>
    <row r="126" spans="3:22" ht="11.45" customHeight="1" x14ac:dyDescent="0.25">
      <c r="V126"/>
    </row>
    <row r="127" spans="3:22" ht="11.45" customHeight="1" x14ac:dyDescent="0.25">
      <c r="V127"/>
    </row>
    <row r="128" spans="3:22" ht="11.45" customHeight="1" x14ac:dyDescent="0.25">
      <c r="V128"/>
    </row>
    <row r="129" spans="22:22" ht="11.45" customHeight="1" x14ac:dyDescent="0.25">
      <c r="V129"/>
    </row>
    <row r="130" spans="22:22" ht="11.45" customHeight="1" x14ac:dyDescent="0.25">
      <c r="V130"/>
    </row>
    <row r="131" spans="22:22" ht="11.45" customHeight="1" x14ac:dyDescent="0.25">
      <c r="V131"/>
    </row>
    <row r="132" spans="22:22" ht="11.45" customHeight="1" x14ac:dyDescent="0.25">
      <c r="V132"/>
    </row>
    <row r="133" spans="22:22" ht="11.45" customHeight="1" x14ac:dyDescent="0.25">
      <c r="V133"/>
    </row>
    <row r="134" spans="22:22" ht="11.45" customHeight="1" x14ac:dyDescent="0.25">
      <c r="V134"/>
    </row>
    <row r="135" spans="22:22" ht="11.45" customHeight="1" x14ac:dyDescent="0.25">
      <c r="V135"/>
    </row>
    <row r="136" spans="22:22" ht="11.45" customHeight="1" x14ac:dyDescent="0.25">
      <c r="V136"/>
    </row>
    <row r="137" spans="22:22" ht="11.45" customHeight="1" x14ac:dyDescent="0.25">
      <c r="V137"/>
    </row>
    <row r="138" spans="22:22" ht="11.45" customHeight="1" x14ac:dyDescent="0.25">
      <c r="V138"/>
    </row>
    <row r="139" spans="22:22" ht="11.45" customHeight="1" x14ac:dyDescent="0.25">
      <c r="V139"/>
    </row>
    <row r="140" spans="22:22" ht="11.45" customHeight="1" x14ac:dyDescent="0.25">
      <c r="V140"/>
    </row>
    <row r="141" spans="22:22" ht="11.45" customHeight="1" x14ac:dyDescent="0.25">
      <c r="V141"/>
    </row>
    <row r="142" spans="22:22" ht="11.45" customHeight="1" x14ac:dyDescent="0.25">
      <c r="V142"/>
    </row>
    <row r="143" spans="22:22" ht="11.45" customHeight="1" x14ac:dyDescent="0.25">
      <c r="V143"/>
    </row>
    <row r="144" spans="22:22" ht="11.45" customHeight="1" x14ac:dyDescent="0.25">
      <c r="V144"/>
    </row>
    <row r="145" spans="22:22" ht="11.45" customHeight="1" x14ac:dyDescent="0.25">
      <c r="V145"/>
    </row>
    <row r="146" spans="22:22" ht="11.45" customHeight="1" x14ac:dyDescent="0.25">
      <c r="V146"/>
    </row>
    <row r="147" spans="22:22" ht="11.45" customHeight="1" x14ac:dyDescent="0.25">
      <c r="V147"/>
    </row>
    <row r="148" spans="22:22" ht="11.45" customHeight="1" x14ac:dyDescent="0.25">
      <c r="V148"/>
    </row>
    <row r="149" spans="22:22" ht="11.45" customHeight="1" x14ac:dyDescent="0.25">
      <c r="V149"/>
    </row>
    <row r="150" spans="22:22" ht="11.45" customHeight="1" x14ac:dyDescent="0.25">
      <c r="V150"/>
    </row>
    <row r="151" spans="22:22" ht="11.45" customHeight="1" x14ac:dyDescent="0.25">
      <c r="V151"/>
    </row>
    <row r="152" spans="22:22" ht="11.45" customHeight="1" x14ac:dyDescent="0.25">
      <c r="V152"/>
    </row>
    <row r="153" spans="22:22" ht="11.45" customHeight="1" x14ac:dyDescent="0.25">
      <c r="V153"/>
    </row>
    <row r="154" spans="22:22" ht="11.45" customHeight="1" x14ac:dyDescent="0.25">
      <c r="V154"/>
    </row>
    <row r="155" spans="22:22" ht="11.45" customHeight="1" x14ac:dyDescent="0.25">
      <c r="V155"/>
    </row>
    <row r="156" spans="22:22" ht="11.45" customHeight="1" x14ac:dyDescent="0.25">
      <c r="V156"/>
    </row>
    <row r="157" spans="22:22" ht="11.45" customHeight="1" x14ac:dyDescent="0.25">
      <c r="V157"/>
    </row>
    <row r="158" spans="22:22" ht="11.45" customHeight="1" x14ac:dyDescent="0.25">
      <c r="V158"/>
    </row>
    <row r="159" spans="22:22" ht="11.45" customHeight="1" x14ac:dyDescent="0.25">
      <c r="V159"/>
    </row>
    <row r="160" spans="22:22" ht="11.45" customHeight="1" x14ac:dyDescent="0.25">
      <c r="V160"/>
    </row>
    <row r="161" spans="22:22" ht="11.45" customHeight="1" x14ac:dyDescent="0.25">
      <c r="V161"/>
    </row>
    <row r="162" spans="22:22" ht="11.45" customHeight="1" x14ac:dyDescent="0.25">
      <c r="V162"/>
    </row>
    <row r="163" spans="22:22" ht="11.45" customHeight="1" x14ac:dyDescent="0.25">
      <c r="V163"/>
    </row>
    <row r="164" spans="22:22" ht="11.45" customHeight="1" x14ac:dyDescent="0.25">
      <c r="V164"/>
    </row>
    <row r="165" spans="22:22" ht="11.45" customHeight="1" x14ac:dyDescent="0.25">
      <c r="V165"/>
    </row>
    <row r="166" spans="22:22" ht="11.45" customHeight="1" x14ac:dyDescent="0.25">
      <c r="V166"/>
    </row>
    <row r="167" spans="22:22" ht="11.45" customHeight="1" x14ac:dyDescent="0.25">
      <c r="V167"/>
    </row>
    <row r="168" spans="22:22" ht="11.45" customHeight="1" x14ac:dyDescent="0.25">
      <c r="V168"/>
    </row>
    <row r="169" spans="22:22" ht="11.45" customHeight="1" x14ac:dyDescent="0.25">
      <c r="V169"/>
    </row>
    <row r="170" spans="22:22" ht="11.45" customHeight="1" x14ac:dyDescent="0.25">
      <c r="V170"/>
    </row>
    <row r="171" spans="22:22" ht="11.45" customHeight="1" x14ac:dyDescent="0.25">
      <c r="V171"/>
    </row>
    <row r="172" spans="22:22" ht="11.45" customHeight="1" x14ac:dyDescent="0.25">
      <c r="V172"/>
    </row>
    <row r="173" spans="22:22" ht="11.45" customHeight="1" x14ac:dyDescent="0.25">
      <c r="V173"/>
    </row>
    <row r="174" spans="22:22" ht="11.45" customHeight="1" x14ac:dyDescent="0.25">
      <c r="V174"/>
    </row>
    <row r="175" spans="22:22" ht="11.45" customHeight="1" x14ac:dyDescent="0.25">
      <c r="V175"/>
    </row>
    <row r="176" spans="22:22" ht="11.45" customHeight="1" x14ac:dyDescent="0.25">
      <c r="V176"/>
    </row>
    <row r="177" spans="22:22" ht="11.45" customHeight="1" x14ac:dyDescent="0.25">
      <c r="V177"/>
    </row>
    <row r="178" spans="22:22" ht="11.45" customHeight="1" x14ac:dyDescent="0.25">
      <c r="V178"/>
    </row>
    <row r="179" spans="22:22" ht="11.45" customHeight="1" x14ac:dyDescent="0.25">
      <c r="V179"/>
    </row>
    <row r="180" spans="22:22" ht="11.45" customHeight="1" x14ac:dyDescent="0.25">
      <c r="V180"/>
    </row>
    <row r="181" spans="22:22" ht="11.45" customHeight="1" x14ac:dyDescent="0.25">
      <c r="V181"/>
    </row>
    <row r="182" spans="22:22" ht="11.45" customHeight="1" x14ac:dyDescent="0.25">
      <c r="V182"/>
    </row>
    <row r="183" spans="22:22" ht="11.45" customHeight="1" x14ac:dyDescent="0.25">
      <c r="V183"/>
    </row>
    <row r="184" spans="22:22" ht="11.45" customHeight="1" x14ac:dyDescent="0.25">
      <c r="V184"/>
    </row>
    <row r="185" spans="22:22" ht="11.45" customHeight="1" x14ac:dyDescent="0.25">
      <c r="V185"/>
    </row>
    <row r="186" spans="22:22" ht="11.45" customHeight="1" x14ac:dyDescent="0.25">
      <c r="V186"/>
    </row>
    <row r="187" spans="22:22" ht="11.45" customHeight="1" x14ac:dyDescent="0.25">
      <c r="V187"/>
    </row>
    <row r="188" spans="22:22" ht="11.45" customHeight="1" x14ac:dyDescent="0.25">
      <c r="V188"/>
    </row>
    <row r="189" spans="22:22" ht="11.45" customHeight="1" x14ac:dyDescent="0.25">
      <c r="V189"/>
    </row>
    <row r="190" spans="22:22" ht="11.45" customHeight="1" x14ac:dyDescent="0.25">
      <c r="V190"/>
    </row>
    <row r="191" spans="22:22" ht="11.45" customHeight="1" x14ac:dyDescent="0.25">
      <c r="V191"/>
    </row>
    <row r="192" spans="22:22" ht="11.45" customHeight="1" x14ac:dyDescent="0.25">
      <c r="V192"/>
    </row>
    <row r="193" spans="22:22" ht="11.45" customHeight="1" x14ac:dyDescent="0.25">
      <c r="V193"/>
    </row>
    <row r="194" spans="22:22" ht="11.45" customHeight="1" x14ac:dyDescent="0.25">
      <c r="V194"/>
    </row>
    <row r="195" spans="22:22" ht="11.45" customHeight="1" x14ac:dyDescent="0.25">
      <c r="V195"/>
    </row>
    <row r="196" spans="22:22" ht="11.45" customHeight="1" x14ac:dyDescent="0.25">
      <c r="V196"/>
    </row>
    <row r="197" spans="22:22" ht="11.45" customHeight="1" x14ac:dyDescent="0.25">
      <c r="V197"/>
    </row>
    <row r="198" spans="22:22" ht="11.45" customHeight="1" x14ac:dyDescent="0.25">
      <c r="V198"/>
    </row>
    <row r="199" spans="22:22" ht="11.45" customHeight="1" x14ac:dyDescent="0.25">
      <c r="V199"/>
    </row>
    <row r="200" spans="22:22" ht="11.45" customHeight="1" x14ac:dyDescent="0.25">
      <c r="V200"/>
    </row>
    <row r="201" spans="22:22" ht="11.45" customHeight="1" x14ac:dyDescent="0.25">
      <c r="V201"/>
    </row>
    <row r="202" spans="22:22" ht="11.45" customHeight="1" x14ac:dyDescent="0.25">
      <c r="V202"/>
    </row>
    <row r="203" spans="22:22" ht="11.45" customHeight="1" x14ac:dyDescent="0.25">
      <c r="V203"/>
    </row>
    <row r="204" spans="22:22" ht="11.45" customHeight="1" x14ac:dyDescent="0.25">
      <c r="V204"/>
    </row>
    <row r="205" spans="22:22" ht="11.45" customHeight="1" x14ac:dyDescent="0.25">
      <c r="V205"/>
    </row>
    <row r="206" spans="22:22" ht="11.45" customHeight="1" x14ac:dyDescent="0.25">
      <c r="V206"/>
    </row>
    <row r="207" spans="22:22" ht="11.45" customHeight="1" x14ac:dyDescent="0.25">
      <c r="V207"/>
    </row>
    <row r="208" spans="22:22" ht="11.45" customHeight="1" x14ac:dyDescent="0.25">
      <c r="V208"/>
    </row>
    <row r="209" spans="22:22" ht="11.45" customHeight="1" x14ac:dyDescent="0.25">
      <c r="V209"/>
    </row>
    <row r="210" spans="22:22" ht="11.45" customHeight="1" x14ac:dyDescent="0.25">
      <c r="V210"/>
    </row>
    <row r="211" spans="22:22" ht="11.45" customHeight="1" x14ac:dyDescent="0.25">
      <c r="V211"/>
    </row>
    <row r="212" spans="22:22" ht="11.45" customHeight="1" x14ac:dyDescent="0.25">
      <c r="V212"/>
    </row>
    <row r="213" spans="22:22" ht="11.45" customHeight="1" x14ac:dyDescent="0.25">
      <c r="V213"/>
    </row>
    <row r="214" spans="22:22" ht="11.45" customHeight="1" x14ac:dyDescent="0.25">
      <c r="V214"/>
    </row>
    <row r="215" spans="22:22" ht="11.45" customHeight="1" x14ac:dyDescent="0.25">
      <c r="V215"/>
    </row>
    <row r="216" spans="22:22" ht="11.45" customHeight="1" x14ac:dyDescent="0.25">
      <c r="V216"/>
    </row>
    <row r="217" spans="22:22" ht="11.45" customHeight="1" x14ac:dyDescent="0.25">
      <c r="V217"/>
    </row>
    <row r="218" spans="22:22" ht="11.45" customHeight="1" x14ac:dyDescent="0.25">
      <c r="V218"/>
    </row>
    <row r="219" spans="22:22" ht="11.45" customHeight="1" x14ac:dyDescent="0.25">
      <c r="V219"/>
    </row>
    <row r="220" spans="22:22" ht="11.45" customHeight="1" x14ac:dyDescent="0.25">
      <c r="V220"/>
    </row>
    <row r="221" spans="22:22" ht="11.45" customHeight="1" x14ac:dyDescent="0.25">
      <c r="V221"/>
    </row>
    <row r="222" spans="22:22" ht="11.45" customHeight="1" x14ac:dyDescent="0.25">
      <c r="V222"/>
    </row>
    <row r="223" spans="22:22" ht="11.45" customHeight="1" x14ac:dyDescent="0.25">
      <c r="V223"/>
    </row>
    <row r="224" spans="22:22" ht="11.45" customHeight="1" x14ac:dyDescent="0.25">
      <c r="V224"/>
    </row>
    <row r="225" spans="22:22" ht="11.45" customHeight="1" x14ac:dyDescent="0.25">
      <c r="V225"/>
    </row>
    <row r="226" spans="22:22" ht="11.45" customHeight="1" x14ac:dyDescent="0.25">
      <c r="V226"/>
    </row>
    <row r="227" spans="22:22" ht="11.45" customHeight="1" x14ac:dyDescent="0.25">
      <c r="V227"/>
    </row>
    <row r="228" spans="22:22" ht="11.45" customHeight="1" x14ac:dyDescent="0.25">
      <c r="V228"/>
    </row>
    <row r="229" spans="22:22" ht="11.45" customHeight="1" x14ac:dyDescent="0.25">
      <c r="V229"/>
    </row>
    <row r="230" spans="22:22" ht="11.45" customHeight="1" x14ac:dyDescent="0.25">
      <c r="V230"/>
    </row>
    <row r="231" spans="22:22" ht="11.45" customHeight="1" x14ac:dyDescent="0.25">
      <c r="V231"/>
    </row>
    <row r="232" spans="22:22" ht="11.45" customHeight="1" x14ac:dyDescent="0.25">
      <c r="V232"/>
    </row>
    <row r="233" spans="22:22" ht="11.45" customHeight="1" x14ac:dyDescent="0.25">
      <c r="V233"/>
    </row>
    <row r="234" spans="22:22" ht="11.45" customHeight="1" x14ac:dyDescent="0.25">
      <c r="V234"/>
    </row>
    <row r="235" spans="22:22" ht="11.45" customHeight="1" x14ac:dyDescent="0.25">
      <c r="V235"/>
    </row>
    <row r="236" spans="22:22" ht="11.45" customHeight="1" x14ac:dyDescent="0.25">
      <c r="V236"/>
    </row>
    <row r="237" spans="22:22" ht="11.45" customHeight="1" x14ac:dyDescent="0.25">
      <c r="V237"/>
    </row>
    <row r="238" spans="22:22" ht="11.45" customHeight="1" x14ac:dyDescent="0.25">
      <c r="V238"/>
    </row>
    <row r="239" spans="22:22" ht="11.45" customHeight="1" x14ac:dyDescent="0.25">
      <c r="V239"/>
    </row>
    <row r="240" spans="22:22" ht="11.45" customHeight="1" x14ac:dyDescent="0.25">
      <c r="V240"/>
    </row>
    <row r="241" spans="22:22" ht="11.45" customHeight="1" x14ac:dyDescent="0.25">
      <c r="V241"/>
    </row>
    <row r="242" spans="22:22" ht="11.45" customHeight="1" x14ac:dyDescent="0.25">
      <c r="V242"/>
    </row>
    <row r="243" spans="22:22" ht="11.45" customHeight="1" x14ac:dyDescent="0.25">
      <c r="V243"/>
    </row>
    <row r="244" spans="22:22" ht="11.45" customHeight="1" x14ac:dyDescent="0.25">
      <c r="V244"/>
    </row>
    <row r="245" spans="22:22" ht="11.45" customHeight="1" x14ac:dyDescent="0.25">
      <c r="V245"/>
    </row>
    <row r="246" spans="22:22" ht="11.45" customHeight="1" x14ac:dyDescent="0.25">
      <c r="V246"/>
    </row>
    <row r="247" spans="22:22" ht="11.45" customHeight="1" x14ac:dyDescent="0.25">
      <c r="V247"/>
    </row>
    <row r="248" spans="22:22" ht="11.45" customHeight="1" x14ac:dyDescent="0.25">
      <c r="V248"/>
    </row>
    <row r="249" spans="22:22" ht="11.45" customHeight="1" x14ac:dyDescent="0.25">
      <c r="V249"/>
    </row>
    <row r="250" spans="22:22" ht="11.45" customHeight="1" x14ac:dyDescent="0.25">
      <c r="V250"/>
    </row>
    <row r="251" spans="22:22" ht="11.45" customHeight="1" x14ac:dyDescent="0.25">
      <c r="V251"/>
    </row>
    <row r="252" spans="22:22" ht="11.45" customHeight="1" x14ac:dyDescent="0.25">
      <c r="V252"/>
    </row>
    <row r="253" spans="22:22" ht="11.45" customHeight="1" x14ac:dyDescent="0.25">
      <c r="V253"/>
    </row>
    <row r="254" spans="22:22" ht="11.45" customHeight="1" x14ac:dyDescent="0.25">
      <c r="V254"/>
    </row>
    <row r="255" spans="22:22" ht="11.45" customHeight="1" x14ac:dyDescent="0.25">
      <c r="V255"/>
    </row>
    <row r="256" spans="22:22" ht="11.45" customHeight="1" x14ac:dyDescent="0.25">
      <c r="V256"/>
    </row>
    <row r="257" spans="22:22" ht="11.45" customHeight="1" x14ac:dyDescent="0.25">
      <c r="V257"/>
    </row>
    <row r="258" spans="22:22" ht="11.45" customHeight="1" x14ac:dyDescent="0.25">
      <c r="V258"/>
    </row>
    <row r="259" spans="22:22" ht="11.45" customHeight="1" x14ac:dyDescent="0.25">
      <c r="V259"/>
    </row>
    <row r="260" spans="22:22" ht="11.45" customHeight="1" x14ac:dyDescent="0.25">
      <c r="V260"/>
    </row>
    <row r="261" spans="22:22" ht="11.45" customHeight="1" x14ac:dyDescent="0.25">
      <c r="V261"/>
    </row>
    <row r="262" spans="22:22" ht="11.45" customHeight="1" x14ac:dyDescent="0.25">
      <c r="V262"/>
    </row>
    <row r="263" spans="22:22" ht="11.45" customHeight="1" x14ac:dyDescent="0.25">
      <c r="V263"/>
    </row>
    <row r="264" spans="22:22" ht="11.45" customHeight="1" x14ac:dyDescent="0.25">
      <c r="V264"/>
    </row>
    <row r="265" spans="22:22" ht="11.45" customHeight="1" x14ac:dyDescent="0.25">
      <c r="V265"/>
    </row>
    <row r="266" spans="22:22" ht="11.45" customHeight="1" x14ac:dyDescent="0.25">
      <c r="V266"/>
    </row>
    <row r="267" spans="22:22" ht="11.45" customHeight="1" x14ac:dyDescent="0.25">
      <c r="V267"/>
    </row>
    <row r="268" spans="22:22" ht="11.45" customHeight="1" x14ac:dyDescent="0.25">
      <c r="V268"/>
    </row>
    <row r="269" spans="22:22" ht="11.45" customHeight="1" x14ac:dyDescent="0.25">
      <c r="V269"/>
    </row>
    <row r="270" spans="22:22" ht="11.45" customHeight="1" x14ac:dyDescent="0.25">
      <c r="V270"/>
    </row>
    <row r="271" spans="22:22" ht="11.45" customHeight="1" x14ac:dyDescent="0.25">
      <c r="V271"/>
    </row>
    <row r="272" spans="22:22" ht="11.45" customHeight="1" x14ac:dyDescent="0.25">
      <c r="V272"/>
    </row>
    <row r="273" spans="22:22" ht="11.45" customHeight="1" x14ac:dyDescent="0.25">
      <c r="V273"/>
    </row>
    <row r="274" spans="22:22" ht="11.45" customHeight="1" x14ac:dyDescent="0.25">
      <c r="V274"/>
    </row>
    <row r="275" spans="22:22" ht="11.45" customHeight="1" x14ac:dyDescent="0.25">
      <c r="V275"/>
    </row>
    <row r="276" spans="22:22" ht="11.45" customHeight="1" x14ac:dyDescent="0.25">
      <c r="V276"/>
    </row>
    <row r="277" spans="22:22" ht="11.45" customHeight="1" x14ac:dyDescent="0.25">
      <c r="V277"/>
    </row>
    <row r="278" spans="22:22" ht="11.45" customHeight="1" x14ac:dyDescent="0.25">
      <c r="V278"/>
    </row>
    <row r="279" spans="22:22" ht="11.45" customHeight="1" x14ac:dyDescent="0.25">
      <c r="V279"/>
    </row>
    <row r="280" spans="22:22" ht="11.45" customHeight="1" x14ac:dyDescent="0.25">
      <c r="V280"/>
    </row>
    <row r="281" spans="22:22" ht="11.45" customHeight="1" x14ac:dyDescent="0.25">
      <c r="V281"/>
    </row>
    <row r="282" spans="22:22" ht="11.45" customHeight="1" x14ac:dyDescent="0.25">
      <c r="V282"/>
    </row>
    <row r="283" spans="22:22" ht="11.45" customHeight="1" x14ac:dyDescent="0.25">
      <c r="V283"/>
    </row>
    <row r="284" spans="22:22" ht="11.45" customHeight="1" x14ac:dyDescent="0.25">
      <c r="V284"/>
    </row>
    <row r="285" spans="22:22" ht="11.45" customHeight="1" x14ac:dyDescent="0.25">
      <c r="V285"/>
    </row>
    <row r="286" spans="22:22" ht="11.45" customHeight="1" x14ac:dyDescent="0.25">
      <c r="V286"/>
    </row>
    <row r="287" spans="22:22" ht="11.45" customHeight="1" x14ac:dyDescent="0.25">
      <c r="V287"/>
    </row>
    <row r="288" spans="22:22" ht="11.45" customHeight="1" x14ac:dyDescent="0.25">
      <c r="V288"/>
    </row>
    <row r="289" spans="22:22" ht="11.45" customHeight="1" x14ac:dyDescent="0.25">
      <c r="V289"/>
    </row>
    <row r="290" spans="22:22" ht="11.45" customHeight="1" x14ac:dyDescent="0.25">
      <c r="V290"/>
    </row>
    <row r="291" spans="22:22" ht="11.45" customHeight="1" x14ac:dyDescent="0.25">
      <c r="V291"/>
    </row>
    <row r="292" spans="22:22" ht="11.45" customHeight="1" x14ac:dyDescent="0.25">
      <c r="V292"/>
    </row>
    <row r="293" spans="22:22" ht="11.45" customHeight="1" x14ac:dyDescent="0.25">
      <c r="V293"/>
    </row>
    <row r="294" spans="22:22" ht="11.45" customHeight="1" x14ac:dyDescent="0.25">
      <c r="V294"/>
    </row>
    <row r="295" spans="22:22" ht="11.45" customHeight="1" x14ac:dyDescent="0.25">
      <c r="V295"/>
    </row>
    <row r="296" spans="22:22" ht="11.45" customHeight="1" x14ac:dyDescent="0.25">
      <c r="V296"/>
    </row>
    <row r="297" spans="22:22" ht="11.45" customHeight="1" x14ac:dyDescent="0.25">
      <c r="V297"/>
    </row>
    <row r="298" spans="22:22" ht="11.45" customHeight="1" x14ac:dyDescent="0.25">
      <c r="V298"/>
    </row>
    <row r="299" spans="22:22" ht="11.45" customHeight="1" x14ac:dyDescent="0.25">
      <c r="V299"/>
    </row>
    <row r="300" spans="22:22" ht="11.45" customHeight="1" x14ac:dyDescent="0.25">
      <c r="V300"/>
    </row>
    <row r="301" spans="22:22" ht="11.45" customHeight="1" x14ac:dyDescent="0.25">
      <c r="V301"/>
    </row>
    <row r="302" spans="22:22" ht="11.45" customHeight="1" x14ac:dyDescent="0.25">
      <c r="V302"/>
    </row>
    <row r="303" spans="22:22" ht="11.45" customHeight="1" x14ac:dyDescent="0.25">
      <c r="V303"/>
    </row>
    <row r="304" spans="22:22" ht="11.45" customHeight="1" x14ac:dyDescent="0.25">
      <c r="V304"/>
    </row>
    <row r="305" spans="22:22" ht="11.45" customHeight="1" x14ac:dyDescent="0.25">
      <c r="V305"/>
    </row>
    <row r="306" spans="22:22" ht="11.45" customHeight="1" x14ac:dyDescent="0.25">
      <c r="V306"/>
    </row>
    <row r="307" spans="22:22" ht="11.45" customHeight="1" x14ac:dyDescent="0.25">
      <c r="V307"/>
    </row>
    <row r="308" spans="22:22" ht="11.45" customHeight="1" x14ac:dyDescent="0.25">
      <c r="V308"/>
    </row>
    <row r="309" spans="22:22" ht="11.45" customHeight="1" x14ac:dyDescent="0.25">
      <c r="V309"/>
    </row>
    <row r="310" spans="22:22" ht="11.45" customHeight="1" x14ac:dyDescent="0.25">
      <c r="V310"/>
    </row>
    <row r="311" spans="22:22" ht="11.45" customHeight="1" x14ac:dyDescent="0.25">
      <c r="V311"/>
    </row>
    <row r="312" spans="22:22" ht="11.45" customHeight="1" x14ac:dyDescent="0.25">
      <c r="V312"/>
    </row>
    <row r="313" spans="22:22" ht="11.45" customHeight="1" x14ac:dyDescent="0.25">
      <c r="V313"/>
    </row>
    <row r="314" spans="22:22" ht="11.45" customHeight="1" x14ac:dyDescent="0.25">
      <c r="V314"/>
    </row>
    <row r="315" spans="22:22" ht="11.45" customHeight="1" x14ac:dyDescent="0.25">
      <c r="V315"/>
    </row>
    <row r="316" spans="22:22" ht="11.45" customHeight="1" x14ac:dyDescent="0.25">
      <c r="V316"/>
    </row>
    <row r="317" spans="22:22" ht="11.45" customHeight="1" x14ac:dyDescent="0.25">
      <c r="V317"/>
    </row>
    <row r="318" spans="22:22" ht="11.45" customHeight="1" x14ac:dyDescent="0.25">
      <c r="V318"/>
    </row>
    <row r="319" spans="22:22" ht="11.45" customHeight="1" x14ac:dyDescent="0.25">
      <c r="V319"/>
    </row>
    <row r="320" spans="22:22" ht="11.45" customHeight="1" x14ac:dyDescent="0.25">
      <c r="V320"/>
    </row>
    <row r="321" spans="22:22" ht="11.45" customHeight="1" x14ac:dyDescent="0.25">
      <c r="V321"/>
    </row>
    <row r="322" spans="22:22" ht="11.45" customHeight="1" x14ac:dyDescent="0.25">
      <c r="V322"/>
    </row>
    <row r="323" spans="22:22" ht="11.45" customHeight="1" x14ac:dyDescent="0.25">
      <c r="V323"/>
    </row>
    <row r="324" spans="22:22" ht="11.45" customHeight="1" x14ac:dyDescent="0.25">
      <c r="V324"/>
    </row>
    <row r="325" spans="22:22" ht="11.45" customHeight="1" x14ac:dyDescent="0.25">
      <c r="V325"/>
    </row>
    <row r="326" spans="22:22" ht="11.45" customHeight="1" x14ac:dyDescent="0.25">
      <c r="V326"/>
    </row>
    <row r="327" spans="22:22" ht="11.45" customHeight="1" x14ac:dyDescent="0.25">
      <c r="V327"/>
    </row>
    <row r="328" spans="22:22" ht="11.45" customHeight="1" x14ac:dyDescent="0.25">
      <c r="V328"/>
    </row>
    <row r="329" spans="22:22" ht="11.45" customHeight="1" x14ac:dyDescent="0.25">
      <c r="V329"/>
    </row>
    <row r="330" spans="22:22" ht="11.45" customHeight="1" x14ac:dyDescent="0.25">
      <c r="V330"/>
    </row>
    <row r="331" spans="22:22" ht="11.45" customHeight="1" x14ac:dyDescent="0.25">
      <c r="V331"/>
    </row>
    <row r="332" spans="22:22" ht="11.45" customHeight="1" x14ac:dyDescent="0.25">
      <c r="V332"/>
    </row>
    <row r="333" spans="22:22" ht="11.45" customHeight="1" x14ac:dyDescent="0.25">
      <c r="V333"/>
    </row>
    <row r="334" spans="22:22" ht="11.45" customHeight="1" x14ac:dyDescent="0.25">
      <c r="V334"/>
    </row>
    <row r="335" spans="22:22" ht="11.45" customHeight="1" x14ac:dyDescent="0.25">
      <c r="V335"/>
    </row>
    <row r="336" spans="22:22" ht="11.45" customHeight="1" x14ac:dyDescent="0.25">
      <c r="V336"/>
    </row>
    <row r="337" spans="22:22" ht="11.45" customHeight="1" x14ac:dyDescent="0.25">
      <c r="V337"/>
    </row>
    <row r="338" spans="22:22" ht="11.45" customHeight="1" x14ac:dyDescent="0.25">
      <c r="V338"/>
    </row>
    <row r="339" spans="22:22" ht="11.45" customHeight="1" x14ac:dyDescent="0.25">
      <c r="V339"/>
    </row>
    <row r="340" spans="22:22" ht="11.45" customHeight="1" x14ac:dyDescent="0.25">
      <c r="V340"/>
    </row>
    <row r="341" spans="22:22" ht="11.45" customHeight="1" x14ac:dyDescent="0.25">
      <c r="V341"/>
    </row>
  </sheetData>
  <conditionalFormatting sqref="A1:XFD1048576">
    <cfRule type="containsText" dxfId="322" priority="1" operator="containsText" text="dummy">
      <formula>NOT(ISERROR(SEARCH("dummy",A1)))</formula>
    </cfRule>
  </conditionalFormatting>
  <conditionalFormatting sqref="E114:N114">
    <cfRule type="cellIs" dxfId="321" priority="5" operator="between">
      <formula>-1</formula>
      <formula>1</formula>
    </cfRule>
    <cfRule type="cellIs" dxfId="320" priority="6" operator="lessThan">
      <formula>-1</formula>
    </cfRule>
    <cfRule type="cellIs" dxfId="319" priority="7" operator="greaterThan">
      <formula>1</formula>
    </cfRule>
  </conditionalFormatting>
  <conditionalFormatting sqref="J4">
    <cfRule type="containsText" dxfId="318" priority="3" operator="containsText" text="Dummy">
      <formula>NOT(ISERROR(SEARCH("Dummy",J4)))</formula>
    </cfRule>
  </conditionalFormatting>
  <pageMargins left="0.7" right="0.7" top="0.78740157499999996" bottom="0.78740157499999996" header="0.3" footer="0.3"/>
  <pageSetup paperSize="9" orientation="portrait" r:id="rId1"/>
  <customProperties>
    <customPr name="AreLinksHighlighted" r:id="rId2"/>
  </customPropertie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3202503-0A07-4548-812A-C77D7DB901DB}">
          <x14:formula1>
            <xm:f>'Trial Balance Dropdown'!$A$2:$A$305</xm:f>
          </x14:formula1>
          <xm:sqref>T25:T28 T30:T42 T49:T54 T44:T47 T57:T58 T9 T19:T23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B025E-4814-4D8E-AE8C-4A70BDC1D74B}">
  <sheetPr>
    <tabColor rgb="FF92D050"/>
  </sheetPr>
  <dimension ref="C1:R72"/>
  <sheetViews>
    <sheetView topLeftCell="A2" workbookViewId="0"/>
  </sheetViews>
  <sheetFormatPr defaultColWidth="11.42578125" defaultRowHeight="11.45" customHeight="1" outlineLevelRow="3" outlineLevelCol="2" x14ac:dyDescent="0.2"/>
  <cols>
    <col min="1" max="1" width="11.42578125" style="1"/>
    <col min="2" max="2" width="0.85546875" style="1" customWidth="1"/>
    <col min="3" max="3" width="35.5703125" style="1" customWidth="1"/>
    <col min="4" max="4" width="35.5703125" style="1" hidden="1" customWidth="1" outlineLevel="1"/>
    <col min="5" max="5" width="10.42578125" style="1" hidden="1" customWidth="1" outlineLevel="1" collapsed="1"/>
    <col min="6" max="6" width="10.42578125" style="1" customWidth="1" collapsed="1"/>
    <col min="7" max="9" width="10.42578125" style="1" customWidth="1"/>
    <col min="10" max="13" width="10.42578125" style="1" hidden="1" customWidth="1" outlineLevel="1"/>
    <col min="14" max="14" width="0.85546875" style="1" hidden="1" customWidth="1" outlineLevel="2"/>
    <col min="15" max="15" width="11.42578125" style="1" collapsed="1"/>
    <col min="16" max="16" width="60.7109375" style="1" bestFit="1" customWidth="1"/>
    <col min="17" max="16384" width="11.42578125" style="1"/>
  </cols>
  <sheetData>
    <row r="1" spans="3:16" ht="11.45" hidden="1" customHeight="1" outlineLevel="3" x14ac:dyDescent="0.2"/>
    <row r="2" spans="3:16" ht="11.45" customHeight="1" collapsed="1" x14ac:dyDescent="0.2">
      <c r="G2" s="481"/>
      <c r="H2" s="481"/>
      <c r="I2" s="481"/>
    </row>
    <row r="3" spans="3:16" ht="11.45" customHeight="1" x14ac:dyDescent="0.2">
      <c r="G3" s="481"/>
      <c r="H3" s="481"/>
      <c r="I3" s="481"/>
    </row>
    <row r="4" spans="3:16" ht="11.45" customHeight="1" x14ac:dyDescent="0.2">
      <c r="C4" s="33" t="str">
        <f>Cockpit!$C$4</f>
        <v>Projekt Namur</v>
      </c>
      <c r="D4" s="32"/>
      <c r="E4" s="31">
        <f>Cockpit!C39</f>
        <v>44561</v>
      </c>
      <c r="F4" s="31">
        <f>Cockpit!D39</f>
        <v>44926</v>
      </c>
      <c r="G4" s="31">
        <f>Cockpit!E39</f>
        <v>45291</v>
      </c>
      <c r="H4" s="31">
        <f>Cockpit!F39</f>
        <v>45657</v>
      </c>
      <c r="I4" s="31">
        <f>Cockpit!G39</f>
        <v>46022</v>
      </c>
      <c r="J4" s="31">
        <f>Cockpit!H39</f>
        <v>46022</v>
      </c>
      <c r="K4" s="31">
        <f>Cockpit!I39</f>
        <v>46387</v>
      </c>
      <c r="L4" s="31">
        <f>Cockpit!J39</f>
        <v>46752</v>
      </c>
      <c r="M4" s="31">
        <f>Cockpit!K39</f>
        <v>47118</v>
      </c>
    </row>
    <row r="5" spans="3:16" ht="11.45" customHeight="1" x14ac:dyDescent="0.2">
      <c r="C5" s="33" t="str">
        <f>"in T"&amp;Cockpit!$C$5</f>
        <v>in TEUR</v>
      </c>
      <c r="D5" s="32"/>
      <c r="E5" s="31" t="s">
        <v>35</v>
      </c>
      <c r="F5" s="31" t="s">
        <v>35</v>
      </c>
      <c r="G5" s="31" t="s">
        <v>35</v>
      </c>
      <c r="H5" s="31" t="s">
        <v>35</v>
      </c>
      <c r="I5" s="31" t="s">
        <v>35</v>
      </c>
      <c r="J5" s="31" t="str">
        <f>Cockpit!H40</f>
        <v>Plan</v>
      </c>
      <c r="K5" s="31" t="str">
        <f>Cockpit!I40</f>
        <v>Plan</v>
      </c>
      <c r="L5" s="31" t="str">
        <f>Cockpit!J40</f>
        <v>Plan</v>
      </c>
      <c r="M5" s="31" t="str">
        <f>Cockpit!K40</f>
        <v>Plan</v>
      </c>
    </row>
    <row r="6" spans="3:16" ht="11.45" hidden="1" customHeight="1" outlineLevel="1" x14ac:dyDescent="0.2">
      <c r="C6" s="17"/>
      <c r="D6" s="17" t="str">
        <f>Cockpit!$C$4</f>
        <v>Projekt Namur</v>
      </c>
      <c r="E6" s="38">
        <f>Cockpit!C39</f>
        <v>44561</v>
      </c>
      <c r="F6" s="38">
        <f>Cockpit!D39</f>
        <v>44926</v>
      </c>
      <c r="G6" s="38">
        <f>Cockpit!E39</f>
        <v>45291</v>
      </c>
      <c r="H6" s="38">
        <f>Cockpit!F39</f>
        <v>45657</v>
      </c>
      <c r="I6" s="38">
        <f>Cockpit!G39</f>
        <v>46022</v>
      </c>
      <c r="J6" s="38">
        <f>Cockpit!H39</f>
        <v>46022</v>
      </c>
      <c r="K6" s="38">
        <f>Cockpit!I39</f>
        <v>46387</v>
      </c>
      <c r="L6" s="38">
        <f>Cockpit!J39</f>
        <v>46752</v>
      </c>
      <c r="M6" s="38">
        <f>Cockpit!K39</f>
        <v>47118</v>
      </c>
    </row>
    <row r="7" spans="3:16" ht="11.45" hidden="1" customHeight="1" outlineLevel="1" x14ac:dyDescent="0.2">
      <c r="C7" s="17"/>
      <c r="D7" s="17" t="str">
        <f>"in k"&amp;Cockpit!$C$5</f>
        <v>in kEUR</v>
      </c>
      <c r="E7" s="38" t="str">
        <f>Cockpit!C40</f>
        <v>IST</v>
      </c>
      <c r="F7" s="38" t="str">
        <f>Cockpit!D40</f>
        <v>IST</v>
      </c>
      <c r="G7" s="38" t="str">
        <f>Cockpit!E40</f>
        <v>IST</v>
      </c>
      <c r="H7" s="38" t="str">
        <f>Cockpit!F40</f>
        <v>IST</v>
      </c>
      <c r="I7" s="38" t="str">
        <f>Cockpit!G40</f>
        <v>IST</v>
      </c>
      <c r="J7" s="38" t="str">
        <f>Cockpit!H40</f>
        <v>Plan</v>
      </c>
      <c r="K7" s="38" t="str">
        <f>Cockpit!I40</f>
        <v>Plan</v>
      </c>
      <c r="L7" s="38" t="str">
        <f>Cockpit!J40</f>
        <v>Plan</v>
      </c>
      <c r="M7" s="38" t="str">
        <f>Cockpit!K40</f>
        <v>Plan</v>
      </c>
      <c r="P7" s="419" t="s">
        <v>840</v>
      </c>
    </row>
    <row r="8" spans="3:16" ht="4.5" customHeight="1" collapsed="1" x14ac:dyDescent="0.2">
      <c r="C8" s="156"/>
      <c r="D8" s="157"/>
      <c r="E8" s="156"/>
      <c r="F8" s="156"/>
      <c r="G8" s="156"/>
      <c r="H8" s="156"/>
      <c r="I8" s="156"/>
      <c r="J8" s="156"/>
      <c r="K8" s="156"/>
      <c r="L8" s="156"/>
      <c r="M8" s="156"/>
    </row>
    <row r="9" spans="3:16" ht="11.45" customHeight="1" x14ac:dyDescent="0.2">
      <c r="C9" s="37" t="s">
        <v>323</v>
      </c>
      <c r="D9" s="37" t="s">
        <v>322</v>
      </c>
      <c r="E9" s="36"/>
      <c r="F9" s="36">
        <f>'Balance Sheet (Annual Report)'!E7/1000</f>
        <v>6.1539999999999999</v>
      </c>
      <c r="G9" s="36">
        <f>SUMIF('Trial Balance (Susa)'!D:D,"*"&amp;$P9&amp;"*",'Trial Balance (Susa)'!G:G)/1000</f>
        <v>3.6059999999999999</v>
      </c>
      <c r="H9" s="36">
        <f>SUMIF('Trial Balance (Susa)'!D:D,"*"&amp;$P9&amp;"*",'Trial Balance (Susa)'!H:H)/1000</f>
        <v>204.27617000000001</v>
      </c>
      <c r="I9" s="36">
        <f>SUMIF('Trial Balance (Susa)'!D:D,"*"&amp;$P9&amp;"*",'Trial Balance (Susa)'!I:I)/1000</f>
        <v>666.00327000000004</v>
      </c>
      <c r="J9" s="128"/>
      <c r="K9" s="128"/>
      <c r="L9" s="128"/>
      <c r="M9" s="128"/>
      <c r="P9" s="364" t="s">
        <v>724</v>
      </c>
    </row>
    <row r="10" spans="3:16" ht="11.45" customHeight="1" x14ac:dyDescent="0.2">
      <c r="C10" s="37" t="s">
        <v>321</v>
      </c>
      <c r="D10" s="37" t="s">
        <v>320</v>
      </c>
      <c r="E10" s="36"/>
      <c r="F10" s="36">
        <f>'Balance Sheet (Annual Report)'!E17/1000</f>
        <v>980.83699999999999</v>
      </c>
      <c r="G10" s="36">
        <f>SUMIF('Trial Balance (Susa)'!D:D,"*"&amp;$P10&amp;"*",'Trial Balance (Susa)'!G:G)/1000</f>
        <v>715.17600000000004</v>
      </c>
      <c r="H10" s="36">
        <f>SUMIF('Trial Balance (Susa)'!D:D,"*"&amp;$P10&amp;"*",'Trial Balance (Susa)'!H:H)/1000</f>
        <v>826.46400000000006</v>
      </c>
      <c r="I10" s="36">
        <f>SUMIF('Trial Balance (Susa)'!D:D,"*"&amp;$P10&amp;"*",'Trial Balance (Susa)'!I:I)/1000</f>
        <v>600.38499999999999</v>
      </c>
      <c r="J10" s="128"/>
      <c r="K10" s="128"/>
      <c r="L10" s="128"/>
      <c r="M10" s="128"/>
      <c r="P10" s="364" t="s">
        <v>729</v>
      </c>
    </row>
    <row r="11" spans="3:16" ht="11.45" customHeight="1" x14ac:dyDescent="0.2">
      <c r="C11" s="37" t="s">
        <v>319</v>
      </c>
      <c r="D11" s="37" t="s">
        <v>318</v>
      </c>
      <c r="E11" s="36"/>
      <c r="F11" s="36">
        <f>'Balance Sheet (Annual Report)'!E22/1000</f>
        <v>206.89411999999999</v>
      </c>
      <c r="G11" s="36">
        <f>SUMIF('Trial Balance (Susa)'!D:D,"*"&amp;$P11&amp;"*",'Trial Balance (Susa)'!G:G)/1000</f>
        <v>182.17891</v>
      </c>
      <c r="H11" s="36">
        <f>SUMIF('Trial Balance (Susa)'!D:D,"*"&amp;$P11&amp;"*",'Trial Balance (Susa)'!H:H)/1000</f>
        <v>75.425619999999995</v>
      </c>
      <c r="I11" s="36">
        <f>SUMIF('Trial Balance (Susa)'!D:D,"*"&amp;$P11&amp;"*",'Trial Balance (Susa)'!I:I)/1000</f>
        <v>121.96562</v>
      </c>
      <c r="J11" s="128"/>
      <c r="K11" s="128"/>
      <c r="L11" s="128"/>
      <c r="M11" s="128"/>
      <c r="P11" s="364" t="s">
        <v>734</v>
      </c>
    </row>
    <row r="12" spans="3:16" ht="11.45" hidden="1" customHeight="1" outlineLevel="2" x14ac:dyDescent="0.2">
      <c r="C12" s="37" t="s">
        <v>209</v>
      </c>
      <c r="D12" s="37" t="s">
        <v>209</v>
      </c>
      <c r="E12" s="36"/>
      <c r="F12" s="36"/>
      <c r="G12" s="36"/>
      <c r="H12" s="36"/>
      <c r="I12" s="36"/>
      <c r="J12" s="128"/>
      <c r="K12" s="128"/>
      <c r="L12" s="128"/>
      <c r="M12" s="128"/>
      <c r="P12" s="364"/>
    </row>
    <row r="13" spans="3:16" ht="11.45" hidden="1" customHeight="1" outlineLevel="2" x14ac:dyDescent="0.2">
      <c r="C13" s="37" t="s">
        <v>208</v>
      </c>
      <c r="D13" s="37" t="s">
        <v>208</v>
      </c>
      <c r="E13" s="36"/>
      <c r="F13" s="36"/>
      <c r="G13" s="36"/>
      <c r="H13" s="36"/>
      <c r="I13" s="36"/>
      <c r="J13" s="128"/>
      <c r="K13" s="128"/>
      <c r="L13" s="128"/>
      <c r="M13" s="128"/>
      <c r="P13" s="364"/>
    </row>
    <row r="14" spans="3:16" ht="11.45" hidden="1" customHeight="1" outlineLevel="2" x14ac:dyDescent="0.2">
      <c r="C14" s="42" t="s">
        <v>207</v>
      </c>
      <c r="D14" s="42" t="s">
        <v>207</v>
      </c>
      <c r="E14" s="127"/>
      <c r="F14" s="127"/>
      <c r="G14" s="127"/>
      <c r="H14" s="127"/>
      <c r="I14" s="127"/>
      <c r="J14" s="134"/>
      <c r="K14" s="134"/>
      <c r="L14" s="134"/>
      <c r="M14" s="134"/>
      <c r="P14" s="364"/>
    </row>
    <row r="15" spans="3:16" ht="11.45" customHeight="1" collapsed="1" x14ac:dyDescent="0.2">
      <c r="C15" s="141" t="s">
        <v>317</v>
      </c>
      <c r="D15" s="141" t="s">
        <v>316</v>
      </c>
      <c r="E15" s="141">
        <f t="shared" ref="E15:M15" si="0">SUM(E9:E14)</f>
        <v>0</v>
      </c>
      <c r="F15" s="141">
        <f t="shared" si="0"/>
        <v>1193.8851199999999</v>
      </c>
      <c r="G15" s="141">
        <f t="shared" si="0"/>
        <v>900.96091000000001</v>
      </c>
      <c r="H15" s="141">
        <f t="shared" si="0"/>
        <v>1106.16579</v>
      </c>
      <c r="I15" s="141">
        <f t="shared" si="0"/>
        <v>1388.3538899999999</v>
      </c>
      <c r="J15" s="139">
        <f t="shared" si="0"/>
        <v>0</v>
      </c>
      <c r="K15" s="139">
        <f t="shared" si="0"/>
        <v>0</v>
      </c>
      <c r="L15" s="139">
        <f t="shared" si="0"/>
        <v>0</v>
      </c>
      <c r="M15" s="139">
        <f t="shared" si="0"/>
        <v>0</v>
      </c>
    </row>
    <row r="16" spans="3:16" ht="11.45" customHeight="1" x14ac:dyDescent="0.2">
      <c r="C16" s="37" t="s">
        <v>315</v>
      </c>
      <c r="D16" s="37" t="s">
        <v>314</v>
      </c>
      <c r="E16" s="36"/>
      <c r="F16" s="36">
        <f>'Balance Sheet (Annual Report)'!E33/1000</f>
        <v>1953.4010800000001</v>
      </c>
      <c r="G16" s="36">
        <f>SUMIF('Trial Balance (Susa)'!D:D,"*"&amp;$P16&amp;"*",'Trial Balance (Susa)'!G:G)/1000</f>
        <v>2652.1086500000001</v>
      </c>
      <c r="H16" s="36">
        <f>SUMIF('Trial Balance (Susa)'!D:D,"*"&amp;$P16&amp;"*",'Trial Balance (Susa)'!H:H)/1000</f>
        <v>3855.88364</v>
      </c>
      <c r="I16" s="36">
        <f>SUMIF('Trial Balance (Susa)'!D:D,"*"&amp;$P16&amp;"*",'Trial Balance (Susa)'!I:I)/1000</f>
        <v>2912.6865600000001</v>
      </c>
      <c r="J16" s="128"/>
      <c r="K16" s="128"/>
      <c r="L16" s="128"/>
      <c r="M16" s="128"/>
      <c r="P16" s="364" t="s">
        <v>702</v>
      </c>
    </row>
    <row r="17" spans="3:18" ht="11.45" customHeight="1" x14ac:dyDescent="0.2">
      <c r="C17" s="37" t="s">
        <v>313</v>
      </c>
      <c r="D17" s="37" t="s">
        <v>312</v>
      </c>
      <c r="E17" s="36"/>
      <c r="F17" s="36">
        <f>'Balance Sheet (Annual Report)'!E37/1000</f>
        <v>1780.65607</v>
      </c>
      <c r="G17" s="36">
        <f>SUMIF('Trial Balance (Susa)'!D:D,"*"&amp;$P17&amp;"*",'Trial Balance (Susa)'!G:G)/1000</f>
        <v>1586.36779</v>
      </c>
      <c r="H17" s="36">
        <f>SUMIF('Trial Balance (Susa)'!D:D,"*"&amp;$P17&amp;"*",'Trial Balance (Susa)'!H:H)/1000</f>
        <v>1988.8013600000002</v>
      </c>
      <c r="I17" s="36">
        <f>SUMIF('Trial Balance (Susa)'!D:D,"*"&amp;$P17&amp;"*",'Trial Balance (Susa)'!I:I)/1000</f>
        <v>1415.6542099999999</v>
      </c>
      <c r="J17" s="128"/>
      <c r="K17" s="128"/>
      <c r="L17" s="128"/>
      <c r="M17" s="128"/>
      <c r="P17" s="364" t="s">
        <v>2391</v>
      </c>
    </row>
    <row r="18" spans="3:18" ht="11.45" customHeight="1" x14ac:dyDescent="0.2">
      <c r="C18" s="37" t="s">
        <v>311</v>
      </c>
      <c r="D18" s="37" t="s">
        <v>310</v>
      </c>
      <c r="E18" s="36"/>
      <c r="F18" s="36">
        <f>-'Balance Sheet (Annual Report)'!E84/1000</f>
        <v>-752.85966000000008</v>
      </c>
      <c r="G18" s="36">
        <f>SUMIF('Trial Balance (Susa)'!D:D,"*"&amp;$P18&amp;"*",'Trial Balance (Susa)'!G:G)/1000-G19</f>
        <v>-848.28356000000008</v>
      </c>
      <c r="H18" s="36">
        <f>SUMIF('Trial Balance (Susa)'!D:D,"*"&amp;$P18&amp;"*",'Trial Balance (Susa)'!H:H)/1000-H19</f>
        <v>-1220.4380100000001</v>
      </c>
      <c r="I18" s="36">
        <f>SUMIF('Trial Balance (Susa)'!D:D,"*"&amp;$P18&amp;"*",'Trial Balance (Susa)'!I:I)/1000-I26</f>
        <v>-243.48973999999998</v>
      </c>
      <c r="J18" s="128"/>
      <c r="K18" s="128"/>
      <c r="L18" s="128"/>
      <c r="M18" s="128"/>
      <c r="P18" s="364" t="s">
        <v>2390</v>
      </c>
    </row>
    <row r="19" spans="3:18" ht="11.45" customHeight="1" x14ac:dyDescent="0.2">
      <c r="C19" s="37" t="s">
        <v>664</v>
      </c>
      <c r="D19" s="37" t="s">
        <v>663</v>
      </c>
      <c r="E19" s="36"/>
      <c r="F19" s="36">
        <f>-'Balance Sheet (Annual Report)'!E82/1000</f>
        <v>-50</v>
      </c>
      <c r="G19" s="36">
        <f>SUMIF('Trial Balance (Susa)'!D:D,"*"&amp;$P19&amp;"*",'Trial Balance (Susa)'!G:G)/1000</f>
        <v>-50</v>
      </c>
      <c r="H19" s="36">
        <f>SUMIF('Trial Balance (Susa)'!D:D,"*"&amp;$P19&amp;"*",'Trial Balance (Susa)'!H:H)/1000</f>
        <v>-50</v>
      </c>
      <c r="I19" s="36">
        <f>SUMIF('Trial Balance (Susa)'!D:D,"*"&amp;$P19&amp;"*",'Trial Balance (Susa)'!I:I)/1000</f>
        <v>0</v>
      </c>
      <c r="J19" s="128"/>
      <c r="K19" s="128"/>
      <c r="L19" s="128"/>
      <c r="M19" s="128"/>
      <c r="P19" s="364" t="s">
        <v>1814</v>
      </c>
    </row>
    <row r="20" spans="3:18" ht="11.45" hidden="1" customHeight="1" outlineLevel="2" x14ac:dyDescent="0.2">
      <c r="C20" s="37" t="s">
        <v>209</v>
      </c>
      <c r="D20" s="37" t="s">
        <v>209</v>
      </c>
      <c r="E20" s="36"/>
      <c r="F20" s="36"/>
      <c r="G20" s="36"/>
      <c r="H20" s="36"/>
      <c r="I20" s="36"/>
      <c r="J20" s="128"/>
      <c r="K20" s="128"/>
      <c r="L20" s="128"/>
      <c r="M20" s="128"/>
      <c r="P20" s="364"/>
    </row>
    <row r="21" spans="3:18" ht="11.45" hidden="1" customHeight="1" outlineLevel="2" x14ac:dyDescent="0.2">
      <c r="C21" s="37" t="s">
        <v>208</v>
      </c>
      <c r="D21" s="37" t="s">
        <v>208</v>
      </c>
      <c r="E21" s="36"/>
      <c r="F21" s="36"/>
      <c r="G21" s="36"/>
      <c r="H21" s="36"/>
      <c r="I21" s="36"/>
      <c r="J21" s="128"/>
      <c r="K21" s="128"/>
      <c r="L21" s="128"/>
      <c r="M21" s="128"/>
      <c r="P21" s="364"/>
    </row>
    <row r="22" spans="3:18" ht="11.45" hidden="1" customHeight="1" outlineLevel="2" x14ac:dyDescent="0.2">
      <c r="C22" s="42" t="s">
        <v>207</v>
      </c>
      <c r="D22" s="42" t="s">
        <v>207</v>
      </c>
      <c r="E22" s="127"/>
      <c r="F22" s="127"/>
      <c r="G22" s="127"/>
      <c r="H22" s="127"/>
      <c r="I22" s="127"/>
      <c r="J22" s="134"/>
      <c r="K22" s="134"/>
      <c r="L22" s="134"/>
      <c r="M22" s="134"/>
      <c r="P22" s="364"/>
    </row>
    <row r="23" spans="3:18" ht="11.45" customHeight="1" collapsed="1" x14ac:dyDescent="0.2">
      <c r="C23" s="141" t="s">
        <v>74</v>
      </c>
      <c r="D23" s="141" t="s">
        <v>309</v>
      </c>
      <c r="E23" s="141">
        <f t="shared" ref="E23:M23" si="1">SUM(E16:E22)</f>
        <v>0</v>
      </c>
      <c r="F23" s="141">
        <f t="shared" si="1"/>
        <v>2931.19749</v>
      </c>
      <c r="G23" s="141">
        <f t="shared" si="1"/>
        <v>3340.1928800000005</v>
      </c>
      <c r="H23" s="141">
        <f t="shared" si="1"/>
        <v>4574.2469900000006</v>
      </c>
      <c r="I23" s="141">
        <f t="shared" si="1"/>
        <v>4084.8510299999998</v>
      </c>
      <c r="J23" s="139">
        <f t="shared" si="1"/>
        <v>0</v>
      </c>
      <c r="K23" s="139">
        <f t="shared" si="1"/>
        <v>0</v>
      </c>
      <c r="L23" s="139">
        <f t="shared" si="1"/>
        <v>0</v>
      </c>
      <c r="M23" s="139">
        <f t="shared" si="1"/>
        <v>0</v>
      </c>
    </row>
    <row r="24" spans="3:18" ht="11.45" customHeight="1" x14ac:dyDescent="0.2">
      <c r="C24" s="37" t="s">
        <v>308</v>
      </c>
      <c r="D24" s="37" t="s">
        <v>304</v>
      </c>
      <c r="E24" s="36"/>
      <c r="F24" s="36">
        <f>'Balance Sheet (Annual Report)'!E47/1000</f>
        <v>33.1297</v>
      </c>
      <c r="G24" s="36">
        <f>SUMIF('Trial Balance (Susa)'!D:D,"*"&amp;$P24&amp;"*",'Trial Balance (Susa)'!G:G)/1000</f>
        <v>296.51486</v>
      </c>
      <c r="H24" s="36">
        <f>SUMIF('Trial Balance (Susa)'!D:D,"*"&amp;$P24&amp;"*",'Trial Balance (Susa)'!H:H)/1000</f>
        <v>313.58526000000001</v>
      </c>
      <c r="I24" s="36">
        <f>SUMIF('Trial Balance (Susa)'!D:D,"*"&amp;$P24&amp;"*",'Trial Balance (Susa)'!I:I)/1000</f>
        <v>309.09184000000005</v>
      </c>
      <c r="J24" s="128"/>
      <c r="K24" s="128"/>
      <c r="L24" s="128"/>
      <c r="M24" s="128"/>
      <c r="P24" s="364" t="s">
        <v>710</v>
      </c>
    </row>
    <row r="25" spans="3:18" ht="11.45" customHeight="1" x14ac:dyDescent="0.2">
      <c r="C25" s="37" t="s">
        <v>307</v>
      </c>
      <c r="D25" s="37" t="s">
        <v>306</v>
      </c>
      <c r="E25" s="36"/>
      <c r="F25" s="36">
        <f>'Balance Sheet (Annual Report)'!E60/1000</f>
        <v>30.218209999999999</v>
      </c>
      <c r="G25" s="36">
        <f>SUMIF('Trial Balance (Susa)'!D:D,"*"&amp;$P25&amp;"*",'Trial Balance (Susa)'!G:G)/1000</f>
        <v>65.903960000000012</v>
      </c>
      <c r="H25" s="36">
        <f>SUMIF('Trial Balance (Susa)'!D:D,"*"&amp;$P25&amp;"*",'Trial Balance (Susa)'!H:H)/1000</f>
        <v>62.927860000000003</v>
      </c>
      <c r="I25" s="36">
        <f>SUMIF('Trial Balance (Susa)'!D:D,"*"&amp;$P25&amp;"*",'Trial Balance (Susa)'!I:I)/1000</f>
        <v>51.301449999999996</v>
      </c>
      <c r="J25" s="128"/>
      <c r="K25" s="128"/>
      <c r="L25" s="128"/>
      <c r="M25" s="128"/>
      <c r="P25" s="364" t="s">
        <v>708</v>
      </c>
    </row>
    <row r="26" spans="3:18" ht="11.45" customHeight="1" x14ac:dyDescent="0.2">
      <c r="C26" s="37" t="s">
        <v>5368</v>
      </c>
      <c r="D26" s="37" t="s">
        <v>667</v>
      </c>
      <c r="E26" s="36"/>
      <c r="F26" s="36">
        <v>0</v>
      </c>
      <c r="G26" s="36">
        <v>0</v>
      </c>
      <c r="H26" s="36">
        <v>0</v>
      </c>
      <c r="I26" s="36">
        <f>('Dez25 Kreditoren'!I55+'Dez25 Kreditoren'!I56)/1000</f>
        <v>180.94499999999999</v>
      </c>
      <c r="J26" s="128"/>
      <c r="K26" s="128"/>
      <c r="L26" s="128"/>
      <c r="M26" s="128"/>
      <c r="P26" s="364"/>
    </row>
    <row r="27" spans="3:18" ht="11.45" hidden="1" customHeight="1" outlineLevel="1" x14ac:dyDescent="0.2">
      <c r="C27" s="37" t="s">
        <v>208</v>
      </c>
      <c r="D27" s="37"/>
      <c r="E27" s="36"/>
      <c r="F27" s="36"/>
      <c r="G27" s="36"/>
      <c r="H27" s="36"/>
      <c r="I27" s="36"/>
      <c r="J27" s="128"/>
      <c r="K27" s="128"/>
      <c r="L27" s="128"/>
      <c r="M27" s="128"/>
      <c r="P27" s="364"/>
    </row>
    <row r="28" spans="3:18" ht="11.45" hidden="1" customHeight="1" outlineLevel="1" x14ac:dyDescent="0.2">
      <c r="C28" s="37" t="s">
        <v>208</v>
      </c>
      <c r="D28" s="37" t="s">
        <v>208</v>
      </c>
      <c r="E28" s="36"/>
      <c r="F28" s="36"/>
      <c r="G28" s="36"/>
      <c r="H28" s="36"/>
      <c r="I28" s="36"/>
      <c r="J28" s="128"/>
      <c r="K28" s="128"/>
      <c r="L28" s="128"/>
      <c r="M28" s="128"/>
      <c r="P28" s="364"/>
    </row>
    <row r="29" spans="3:18" ht="11.45" hidden="1" customHeight="1" outlineLevel="1" x14ac:dyDescent="0.2">
      <c r="C29" s="37" t="s">
        <v>207</v>
      </c>
      <c r="D29" s="37" t="s">
        <v>207</v>
      </c>
      <c r="E29" s="36"/>
      <c r="F29" s="36"/>
      <c r="G29" s="36"/>
      <c r="H29" s="36"/>
      <c r="I29" s="36"/>
      <c r="J29" s="128"/>
      <c r="K29" s="128"/>
      <c r="L29" s="128"/>
      <c r="M29" s="128"/>
      <c r="P29" s="364"/>
    </row>
    <row r="30" spans="3:18" s="91" customFormat="1" ht="11.45" customHeight="1" collapsed="1" x14ac:dyDescent="0.2">
      <c r="C30" s="155" t="s">
        <v>305</v>
      </c>
      <c r="D30" s="155" t="s">
        <v>304</v>
      </c>
      <c r="E30" s="154">
        <f t="shared" ref="E30:M30" si="2">SUM(E24:E29)</f>
        <v>0</v>
      </c>
      <c r="F30" s="154">
        <f t="shared" si="2"/>
        <v>63.347909999999999</v>
      </c>
      <c r="G30" s="154">
        <f t="shared" si="2"/>
        <v>362.41881999999998</v>
      </c>
      <c r="H30" s="154">
        <f t="shared" si="2"/>
        <v>376.51312000000001</v>
      </c>
      <c r="I30" s="154">
        <f t="shared" si="2"/>
        <v>541.33829000000003</v>
      </c>
      <c r="J30" s="152">
        <f t="shared" si="2"/>
        <v>0</v>
      </c>
      <c r="K30" s="152">
        <f t="shared" si="2"/>
        <v>0</v>
      </c>
      <c r="L30" s="152">
        <f t="shared" si="2"/>
        <v>0</v>
      </c>
      <c r="M30" s="152">
        <f t="shared" si="2"/>
        <v>0</v>
      </c>
      <c r="R30" s="1"/>
    </row>
    <row r="31" spans="3:18" ht="11.45" customHeight="1" x14ac:dyDescent="0.2">
      <c r="C31" s="37" t="s">
        <v>303</v>
      </c>
      <c r="D31" s="37" t="s">
        <v>302</v>
      </c>
      <c r="E31" s="36"/>
      <c r="F31" s="36">
        <f>-'Balance Sheet (Annual Report)'!E79/1000</f>
        <v>-527.64377999999999</v>
      </c>
      <c r="G31" s="36">
        <f>SUMIF('Trial Balance (Susa)'!D:D,"*"&amp;$P31&amp;"*",'Trial Balance (Susa)'!G:G)/1000</f>
        <v>-424.9074</v>
      </c>
      <c r="H31" s="36">
        <f>SUMIF('Trial Balance (Susa)'!D:D,"*"&amp;$P31&amp;"*",'Trial Balance (Susa)'!H:H)/1000</f>
        <v>-228.40294999999998</v>
      </c>
      <c r="I31" s="36">
        <f>SUMIF('Trial Balance (Susa)'!D:D,"*"&amp;$P31&amp;"*",'Trial Balance (Susa)'!I:I)/1000</f>
        <v>-428.27366000000001</v>
      </c>
      <c r="J31" s="128"/>
      <c r="K31" s="128"/>
      <c r="L31" s="128"/>
      <c r="M31" s="128"/>
      <c r="P31" s="364" t="s">
        <v>753</v>
      </c>
    </row>
    <row r="32" spans="3:18" ht="11.45" customHeight="1" x14ac:dyDescent="0.2">
      <c r="C32" s="37" t="s">
        <v>301</v>
      </c>
      <c r="D32" s="37" t="s">
        <v>299</v>
      </c>
      <c r="E32" s="36"/>
      <c r="F32" s="36">
        <f>-'Balance Sheet (Annual Report)'!E109/1000</f>
        <v>-448.46013999999974</v>
      </c>
      <c r="G32" s="36">
        <f>SUMIF('Trial Balance (Susa)'!D:D,"*"&amp;$P32&amp;"*",'Trial Balance (Susa)'!G:G)/1000</f>
        <v>-290.29440999999963</v>
      </c>
      <c r="H32" s="36">
        <f>SUMIF('Trial Balance (Susa)'!D:D,"*"&amp;$P32&amp;"*",'Trial Balance (Susa)'!H:H)/1000</f>
        <v>-429.13633000000038</v>
      </c>
      <c r="I32" s="36">
        <f>SUMIF('Trial Balance (Susa)'!D:D,"*"&amp;$P32&amp;"*",'Trial Balance (Susa)'!I:I)/1000</f>
        <v>-231.74114</v>
      </c>
      <c r="J32" s="128"/>
      <c r="K32" s="128"/>
      <c r="L32" s="128"/>
      <c r="M32" s="128"/>
      <c r="P32" s="364" t="s">
        <v>711</v>
      </c>
    </row>
    <row r="33" spans="3:16" ht="11.45" hidden="1" customHeight="1" outlineLevel="1" x14ac:dyDescent="0.2">
      <c r="C33" s="37" t="s">
        <v>209</v>
      </c>
      <c r="D33" s="37" t="s">
        <v>287</v>
      </c>
      <c r="E33" s="36"/>
      <c r="F33" s="36"/>
      <c r="G33" s="36">
        <f>SUMIF('Trial Balance (Susa)'!D:D,"*"&amp;$P33&amp;"*",'Trial Balance (Susa)'!G:G)/1000</f>
        <v>0</v>
      </c>
      <c r="H33" s="36">
        <f>SUMIF('Trial Balance (Susa)'!D:D,"*"&amp;$P33&amp;"*",'Trial Balance (Susa)'!H:H)/1000</f>
        <v>0</v>
      </c>
      <c r="I33" s="36">
        <f>SUMIF('Trial Balance (Susa)'!D:D,"*"&amp;$P33&amp;"*",'Trial Balance (Susa)'!J:J)/1000</f>
        <v>0</v>
      </c>
      <c r="J33" s="128"/>
      <c r="K33" s="128"/>
      <c r="L33" s="128"/>
      <c r="M33" s="128"/>
      <c r="P33" s="364" t="s">
        <v>755</v>
      </c>
    </row>
    <row r="34" spans="3:16" ht="11.45" hidden="1" customHeight="1" outlineLevel="1" x14ac:dyDescent="0.2">
      <c r="C34" s="37" t="s">
        <v>209</v>
      </c>
      <c r="D34" s="37" t="s">
        <v>665</v>
      </c>
      <c r="E34" s="36"/>
      <c r="F34" s="36"/>
      <c r="G34" s="36">
        <f>SUMIF('Trial Balance (Susa)'!D:D,"*"&amp;$P34&amp;"*",'Trial Balance (Susa)'!G:G)/1000</f>
        <v>0</v>
      </c>
      <c r="H34" s="36">
        <f>SUMIF('Trial Balance (Susa)'!D:D,"*"&amp;$P34&amp;"*",'Trial Balance (Susa)'!H:H)/1000</f>
        <v>0</v>
      </c>
      <c r="I34" s="36">
        <f>SUMIF('Trial Balance (Susa)'!D:D,"*"&amp;$P34&amp;"*",'Trial Balance (Susa)'!J:J)/1000</f>
        <v>0</v>
      </c>
      <c r="J34" s="128"/>
      <c r="K34" s="128"/>
      <c r="L34" s="128"/>
      <c r="M34" s="128"/>
      <c r="P34" s="364" t="s">
        <v>756</v>
      </c>
    </row>
    <row r="35" spans="3:16" ht="11.45" hidden="1" customHeight="1" outlineLevel="1" x14ac:dyDescent="0.2">
      <c r="C35" s="37" t="s">
        <v>209</v>
      </c>
      <c r="D35" s="37" t="s">
        <v>666</v>
      </c>
      <c r="E35" s="36"/>
      <c r="F35" s="36"/>
      <c r="G35" s="36">
        <f>SUMIF('Trial Balance (Susa)'!D:D,"*"&amp;$P35&amp;"*",'Trial Balance (Susa)'!G:G)/1000</f>
        <v>0</v>
      </c>
      <c r="H35" s="36">
        <f>SUMIF('Trial Balance (Susa)'!D:D,"*"&amp;$P35&amp;"*",'Trial Balance (Susa)'!H:H)/1000</f>
        <v>0</v>
      </c>
      <c r="I35" s="36">
        <f>SUMIF('Trial Balance (Susa)'!D:D,"*"&amp;$P35&amp;"*",'Trial Balance (Susa)'!J:J)/1000</f>
        <v>0</v>
      </c>
      <c r="J35" s="128"/>
      <c r="K35" s="128"/>
      <c r="L35" s="128"/>
      <c r="M35" s="128"/>
      <c r="P35" s="364" t="s">
        <v>757</v>
      </c>
    </row>
    <row r="36" spans="3:16" ht="11.45" hidden="1" customHeight="1" outlineLevel="1" collapsed="1" x14ac:dyDescent="0.2">
      <c r="C36" s="37" t="s">
        <v>209</v>
      </c>
      <c r="D36" s="37" t="s">
        <v>669</v>
      </c>
      <c r="E36" s="36"/>
      <c r="F36" s="36"/>
      <c r="G36" s="36"/>
      <c r="H36" s="36"/>
      <c r="I36" s="36"/>
      <c r="J36" s="128"/>
      <c r="K36" s="128"/>
      <c r="L36" s="128"/>
      <c r="M36" s="128"/>
      <c r="P36" s="364" t="s">
        <v>709</v>
      </c>
    </row>
    <row r="37" spans="3:16" ht="11.45" hidden="1" customHeight="1" outlineLevel="1" x14ac:dyDescent="0.2">
      <c r="C37" s="37" t="s">
        <v>209</v>
      </c>
      <c r="D37" s="37" t="s">
        <v>209</v>
      </c>
      <c r="E37" s="36"/>
      <c r="F37" s="36"/>
      <c r="G37" s="36"/>
      <c r="H37" s="36"/>
      <c r="I37" s="36"/>
      <c r="J37" s="128"/>
      <c r="K37" s="128"/>
      <c r="L37" s="128"/>
      <c r="M37" s="128"/>
      <c r="P37" s="364"/>
    </row>
    <row r="38" spans="3:16" ht="11.45" hidden="1" customHeight="1" outlineLevel="1" x14ac:dyDescent="0.2">
      <c r="C38" s="37" t="s">
        <v>208</v>
      </c>
      <c r="D38" s="37" t="s">
        <v>208</v>
      </c>
      <c r="E38" s="36"/>
      <c r="F38" s="36"/>
      <c r="G38" s="36"/>
      <c r="H38" s="36"/>
      <c r="I38" s="36"/>
      <c r="J38" s="128"/>
      <c r="K38" s="128"/>
      <c r="L38" s="128"/>
      <c r="M38" s="128"/>
      <c r="P38" s="364"/>
    </row>
    <row r="39" spans="3:16" ht="11.45" hidden="1" customHeight="1" outlineLevel="1" x14ac:dyDescent="0.2">
      <c r="C39" s="37" t="s">
        <v>207</v>
      </c>
      <c r="D39" s="37" t="s">
        <v>207</v>
      </c>
      <c r="E39" s="36"/>
      <c r="F39" s="36"/>
      <c r="G39" s="36"/>
      <c r="H39" s="36"/>
      <c r="I39" s="36"/>
      <c r="J39" s="128"/>
      <c r="K39" s="128"/>
      <c r="L39" s="128"/>
      <c r="M39" s="128"/>
      <c r="P39" s="364"/>
    </row>
    <row r="40" spans="3:16" s="91" customFormat="1" ht="11.45" customHeight="1" collapsed="1" x14ac:dyDescent="0.2">
      <c r="C40" s="151" t="s">
        <v>300</v>
      </c>
      <c r="D40" s="151" t="s">
        <v>299</v>
      </c>
      <c r="E40" s="150">
        <f t="shared" ref="E40:M40" si="3">SUM(E31:E39)</f>
        <v>0</v>
      </c>
      <c r="F40" s="150">
        <f t="shared" si="3"/>
        <v>-976.10391999999979</v>
      </c>
      <c r="G40" s="150">
        <f t="shared" si="3"/>
        <v>-715.20180999999957</v>
      </c>
      <c r="H40" s="150">
        <f t="shared" si="3"/>
        <v>-657.53928000000042</v>
      </c>
      <c r="I40" s="150">
        <f t="shared" si="3"/>
        <v>-660.01480000000004</v>
      </c>
      <c r="J40" s="148">
        <f t="shared" si="3"/>
        <v>0</v>
      </c>
      <c r="K40" s="148">
        <f t="shared" si="3"/>
        <v>0</v>
      </c>
      <c r="L40" s="148">
        <f t="shared" si="3"/>
        <v>0</v>
      </c>
      <c r="M40" s="148">
        <f t="shared" si="3"/>
        <v>0</v>
      </c>
    </row>
    <row r="41" spans="3:16" ht="11.45" customHeight="1" x14ac:dyDescent="0.2">
      <c r="C41" s="147" t="s">
        <v>298</v>
      </c>
      <c r="D41" s="147" t="s">
        <v>297</v>
      </c>
      <c r="E41" s="147">
        <f t="shared" ref="E41:M41" si="4">E40+E30</f>
        <v>0</v>
      </c>
      <c r="F41" s="147">
        <f t="shared" si="4"/>
        <v>-912.75600999999983</v>
      </c>
      <c r="G41" s="147">
        <f t="shared" si="4"/>
        <v>-352.78298999999959</v>
      </c>
      <c r="H41" s="147">
        <f t="shared" si="4"/>
        <v>-281.0261600000004</v>
      </c>
      <c r="I41" s="147">
        <f t="shared" si="4"/>
        <v>-118.67651000000001</v>
      </c>
      <c r="J41" s="145">
        <f t="shared" si="4"/>
        <v>0</v>
      </c>
      <c r="K41" s="145">
        <f t="shared" si="4"/>
        <v>0</v>
      </c>
      <c r="L41" s="145">
        <f t="shared" si="4"/>
        <v>0</v>
      </c>
      <c r="M41" s="145">
        <f t="shared" si="4"/>
        <v>0</v>
      </c>
    </row>
    <row r="42" spans="3:16" ht="11.45" customHeight="1" x14ac:dyDescent="0.2">
      <c r="C42" s="144" t="s">
        <v>296</v>
      </c>
      <c r="D42" s="144" t="s">
        <v>295</v>
      </c>
      <c r="E42" s="144">
        <f t="shared" ref="E42:M42" si="5">E41+E23</f>
        <v>0</v>
      </c>
      <c r="F42" s="144">
        <f t="shared" si="5"/>
        <v>2018.4414800000002</v>
      </c>
      <c r="G42" s="144">
        <f t="shared" si="5"/>
        <v>2987.4098900000008</v>
      </c>
      <c r="H42" s="144">
        <f t="shared" si="5"/>
        <v>4293.2208300000002</v>
      </c>
      <c r="I42" s="144">
        <f t="shared" si="5"/>
        <v>3966.1745199999996</v>
      </c>
      <c r="J42" s="142">
        <f t="shared" si="5"/>
        <v>0</v>
      </c>
      <c r="K42" s="142">
        <f t="shared" si="5"/>
        <v>0</v>
      </c>
      <c r="L42" s="142">
        <f t="shared" si="5"/>
        <v>0</v>
      </c>
      <c r="M42" s="142">
        <f t="shared" si="5"/>
        <v>0</v>
      </c>
    </row>
    <row r="43" spans="3:16" ht="11.45" customHeight="1" x14ac:dyDescent="0.2">
      <c r="C43" s="37" t="s">
        <v>294</v>
      </c>
      <c r="D43" s="37" t="s">
        <v>293</v>
      </c>
      <c r="E43" s="36"/>
      <c r="F43" s="36">
        <f>'Balance Sheet (Annual Report)'!E57/1000</f>
        <v>3008.3486599999997</v>
      </c>
      <c r="G43" s="36">
        <f>SUMIF('Trial Balance (Susa)'!D:D,"*"&amp;$P43&amp;"*",'Trial Balance (Susa)'!G:G)/1000</f>
        <v>2715.5673000000002</v>
      </c>
      <c r="H43" s="36">
        <f>SUMIF('Trial Balance (Susa)'!D:D,"*"&amp;$P43&amp;"*",'Trial Balance (Susa)'!H:H)/1000</f>
        <v>1004.06084</v>
      </c>
      <c r="I43" s="36">
        <f>SUMIF('Trial Balance (Susa)'!D:D,"*"&amp;$P43&amp;"*",'Trial Balance (Susa)'!I:I)/1000</f>
        <v>2026.2807</v>
      </c>
      <c r="J43" s="128"/>
      <c r="K43" s="128"/>
      <c r="L43" s="128"/>
      <c r="M43" s="128"/>
      <c r="P43" s="364" t="s">
        <v>715</v>
      </c>
    </row>
    <row r="44" spans="3:16" ht="11.45" customHeight="1" x14ac:dyDescent="0.2">
      <c r="C44" s="37" t="s">
        <v>292</v>
      </c>
      <c r="D44" s="37" t="s">
        <v>291</v>
      </c>
      <c r="E44" s="36"/>
      <c r="F44" s="36">
        <v>0</v>
      </c>
      <c r="G44" s="36">
        <f>SUMIF('Trial Balance (Susa)'!D:D,"*"&amp;$P44&amp;"*",'Trial Balance (Susa)'!G:G)/1000</f>
        <v>0</v>
      </c>
      <c r="H44" s="36">
        <f>SUMIF('Trial Balance (Susa)'!D:D,"*"&amp;$P44&amp;"*",'Trial Balance (Susa)'!H:H)/1000</f>
        <v>0</v>
      </c>
      <c r="I44" s="36">
        <f>SUMIF('Trial Balance (Susa)'!D:D,"*"&amp;$P44&amp;"*",'Trial Balance (Susa)'!I:I)/1000</f>
        <v>-19.425000000000001</v>
      </c>
      <c r="J44" s="128"/>
      <c r="K44" s="128"/>
      <c r="L44" s="128"/>
      <c r="M44" s="128"/>
      <c r="P44" s="364" t="s">
        <v>720</v>
      </c>
    </row>
    <row r="45" spans="3:16" ht="11.45" customHeight="1" x14ac:dyDescent="0.2">
      <c r="C45" s="37" t="s">
        <v>675</v>
      </c>
      <c r="D45" s="37" t="s">
        <v>676</v>
      </c>
      <c r="E45" s="36"/>
      <c r="F45" s="36">
        <f>-'Balance Sheet (Annual Report)'!E70/1000</f>
        <v>-201.476</v>
      </c>
      <c r="G45" s="36">
        <f>SUMIF('Trial Balance (Susa)'!D:D,"*"&amp;$P45&amp;"*",'Trial Balance (Susa)'!G:G)/1000</f>
        <v>-192.102</v>
      </c>
      <c r="H45" s="36">
        <f>SUMIF('Trial Balance (Susa)'!D:D,"*"&amp;$P45&amp;"*",'Trial Balance (Susa)'!H:H)/1000</f>
        <v>-182.40299999999999</v>
      </c>
      <c r="I45" s="36">
        <f>SUMIF('Trial Balance (Susa)'!D:D,"*"&amp;$P45&amp;"*",'Trial Balance (Susa)'!I:I)/1000</f>
        <v>-171.74299999999999</v>
      </c>
      <c r="J45" s="128"/>
      <c r="K45" s="128"/>
      <c r="L45" s="128"/>
      <c r="M45" s="128"/>
      <c r="P45" s="364" t="s">
        <v>716</v>
      </c>
    </row>
    <row r="46" spans="3:16" ht="11.45" customHeight="1" x14ac:dyDescent="0.2">
      <c r="C46" s="37" t="s">
        <v>288</v>
      </c>
      <c r="D46" s="37" t="s">
        <v>287</v>
      </c>
      <c r="E46" s="36"/>
      <c r="F46" s="36">
        <f>-'Balance Sheet (Annual Report)'!E73/1000</f>
        <v>-224.92819</v>
      </c>
      <c r="G46" s="36">
        <f>SUMIF('Trial Balance (Susa)'!D:D,"*"&amp;$P46&amp;"*",'Trial Balance (Susa)'!G:G)/1000</f>
        <v>-224.92819</v>
      </c>
      <c r="H46" s="36">
        <f>SUMIF('Trial Balance (Susa)'!D:D,"*"&amp;$P46&amp;"*",'Trial Balance (Susa)'!H:H)/1000</f>
        <v>0</v>
      </c>
      <c r="I46" s="36">
        <f>SUMIF('Trial Balance (Susa)'!D:D,"*"&amp;$P46&amp;"*",'Trial Balance (Susa)'!I:I)/1000</f>
        <v>0</v>
      </c>
      <c r="J46" s="128"/>
      <c r="K46" s="128"/>
      <c r="L46" s="128"/>
      <c r="M46" s="128"/>
      <c r="O46" s="481"/>
      <c r="P46" s="364" t="s">
        <v>717</v>
      </c>
    </row>
    <row r="47" spans="3:16" ht="11.45" hidden="1" customHeight="1" outlineLevel="1" x14ac:dyDescent="0.2">
      <c r="C47" s="37" t="s">
        <v>209</v>
      </c>
      <c r="D47" s="37" t="s">
        <v>302</v>
      </c>
      <c r="E47" s="36"/>
      <c r="F47" s="36"/>
      <c r="G47" s="36"/>
      <c r="H47" s="36"/>
      <c r="I47" s="36">
        <f>SUMIF('Trial Balance (Susa)'!D:D,"*"&amp;$P47&amp;"*",'Trial Balance (Susa)'!I:I)/1000</f>
        <v>-2.3283064365386963E-13</v>
      </c>
      <c r="J47" s="128"/>
      <c r="K47" s="128"/>
      <c r="L47" s="128"/>
      <c r="M47" s="128"/>
      <c r="P47" s="364"/>
    </row>
    <row r="48" spans="3:16" ht="11.45" customHeight="1" collapsed="1" x14ac:dyDescent="0.2">
      <c r="C48" s="42" t="s">
        <v>2387</v>
      </c>
      <c r="D48" s="42" t="s">
        <v>2386</v>
      </c>
      <c r="E48" s="127"/>
      <c r="F48" s="127">
        <v>0</v>
      </c>
      <c r="G48" s="127">
        <f>SUMIF('Trial Balance (Susa)'!D:D,"*"&amp;$P48&amp;"*",'Trial Balance (Susa)'!G:G)/1000</f>
        <v>0</v>
      </c>
      <c r="H48" s="127">
        <f>SUMIF('Trial Balance (Susa)'!D:D,"*"&amp;$P48&amp;"*",'Trial Balance (Susa)'!H:H)/1000</f>
        <v>109.79174999999999</v>
      </c>
      <c r="I48" s="127">
        <f>SUMIF('Trial Balance (Susa)'!D:D,"*"&amp;$P48&amp;"*",'Trial Balance (Susa)'!I:I)/1000</f>
        <v>0</v>
      </c>
      <c r="J48" s="134"/>
      <c r="K48" s="134"/>
      <c r="L48" s="134"/>
      <c r="M48" s="134"/>
      <c r="P48" s="364" t="s">
        <v>714</v>
      </c>
    </row>
    <row r="49" spans="3:16" ht="11.45" customHeight="1" x14ac:dyDescent="0.2">
      <c r="C49" s="141" t="s">
        <v>290</v>
      </c>
      <c r="D49" s="141" t="s">
        <v>289</v>
      </c>
      <c r="E49" s="141">
        <f t="shared" ref="E49:M49" si="6">SUM(E43:E48)</f>
        <v>0</v>
      </c>
      <c r="F49" s="141">
        <f t="shared" si="6"/>
        <v>2581.9444699999995</v>
      </c>
      <c r="G49" s="141">
        <f t="shared" si="6"/>
        <v>2298.5371100000002</v>
      </c>
      <c r="H49" s="141">
        <f t="shared" si="6"/>
        <v>931.44958999999994</v>
      </c>
      <c r="I49" s="141">
        <f t="shared" si="6"/>
        <v>1835.1126999999999</v>
      </c>
      <c r="J49" s="139">
        <f t="shared" si="6"/>
        <v>0</v>
      </c>
      <c r="K49" s="139">
        <f t="shared" si="6"/>
        <v>0</v>
      </c>
      <c r="L49" s="139">
        <f t="shared" si="6"/>
        <v>0</v>
      </c>
      <c r="M49" s="139">
        <f t="shared" si="6"/>
        <v>0</v>
      </c>
    </row>
    <row r="50" spans="3:16" ht="11.45" customHeight="1" x14ac:dyDescent="0.2">
      <c r="C50" s="37" t="s">
        <v>286</v>
      </c>
      <c r="D50" s="37" t="s">
        <v>285</v>
      </c>
      <c r="E50" s="36"/>
      <c r="F50" s="36">
        <v>0</v>
      </c>
      <c r="G50" s="36">
        <f>SUMIF('Trial Balance (Susa)'!D:D,"*"&amp;$P50&amp;"*",'Trial Balance (Susa)'!G:G)/1000</f>
        <v>0</v>
      </c>
      <c r="H50" s="36">
        <f>SUMIF('Trial Balance (Susa)'!D:D,"*"&amp;$P50&amp;"*",'Trial Balance (Susa)'!H:H)/1000</f>
        <v>-48.875999999999998</v>
      </c>
      <c r="I50" s="36">
        <f>SUMIF('Trial Balance (Susa)'!D:D,"*"&amp;$P50&amp;"*",'Trial Balance (Susa)'!I:I)/1000</f>
        <v>-198.33600000000001</v>
      </c>
      <c r="J50" s="128"/>
      <c r="K50" s="128"/>
      <c r="L50" s="128"/>
      <c r="M50" s="128"/>
      <c r="P50" s="364" t="s">
        <v>758</v>
      </c>
    </row>
    <row r="51" spans="3:16" ht="11.45" hidden="1" customHeight="1" outlineLevel="2" x14ac:dyDescent="0.2">
      <c r="C51" s="37" t="s">
        <v>209</v>
      </c>
      <c r="D51" s="37" t="s">
        <v>209</v>
      </c>
      <c r="E51" s="36"/>
      <c r="F51" s="36"/>
      <c r="G51" s="36"/>
      <c r="H51" s="36"/>
      <c r="I51" s="36"/>
      <c r="J51" s="128"/>
      <c r="K51" s="128"/>
      <c r="L51" s="128"/>
      <c r="M51" s="128"/>
      <c r="P51" s="364"/>
    </row>
    <row r="52" spans="3:16" ht="11.45" hidden="1" customHeight="1" outlineLevel="2" x14ac:dyDescent="0.2">
      <c r="C52" s="37" t="s">
        <v>208</v>
      </c>
      <c r="D52" s="37" t="s">
        <v>208</v>
      </c>
      <c r="E52" s="36"/>
      <c r="F52" s="36"/>
      <c r="G52" s="36"/>
      <c r="H52" s="36"/>
      <c r="I52" s="36"/>
      <c r="J52" s="128"/>
      <c r="K52" s="128"/>
      <c r="L52" s="128"/>
      <c r="M52" s="128"/>
      <c r="P52" s="364"/>
    </row>
    <row r="53" spans="3:16" ht="11.45" hidden="1" customHeight="1" outlineLevel="2" x14ac:dyDescent="0.2">
      <c r="C53" s="42" t="s">
        <v>207</v>
      </c>
      <c r="D53" s="42" t="s">
        <v>207</v>
      </c>
      <c r="E53" s="127"/>
      <c r="F53" s="127"/>
      <c r="G53" s="127"/>
      <c r="H53" s="127"/>
      <c r="I53" s="127"/>
      <c r="J53" s="134"/>
      <c r="K53" s="134"/>
      <c r="L53" s="134"/>
      <c r="M53" s="134"/>
      <c r="P53" s="364"/>
    </row>
    <row r="54" spans="3:16" ht="11.45" customHeight="1" collapsed="1" x14ac:dyDescent="0.2">
      <c r="C54" s="133" t="s">
        <v>284</v>
      </c>
      <c r="D54" s="133" t="s">
        <v>283</v>
      </c>
      <c r="E54" s="132">
        <f t="shared" ref="E54:M54" si="7">SUM(E50:E53)+E49+E42+E15</f>
        <v>0</v>
      </c>
      <c r="F54" s="132">
        <f t="shared" si="7"/>
        <v>5794.2710699999998</v>
      </c>
      <c r="G54" s="132">
        <f t="shared" si="7"/>
        <v>6186.9079100000008</v>
      </c>
      <c r="H54" s="132">
        <f t="shared" si="7"/>
        <v>6281.9602100000002</v>
      </c>
      <c r="I54" s="132">
        <f t="shared" si="7"/>
        <v>6991.3051099999993</v>
      </c>
      <c r="J54" s="130">
        <f t="shared" si="7"/>
        <v>0</v>
      </c>
      <c r="K54" s="130">
        <f t="shared" si="7"/>
        <v>0</v>
      </c>
      <c r="L54" s="130">
        <f t="shared" si="7"/>
        <v>0</v>
      </c>
      <c r="M54" s="130">
        <f t="shared" si="7"/>
        <v>0</v>
      </c>
    </row>
    <row r="55" spans="3:16" ht="4.5" hidden="1" customHeight="1" outlineLevel="1" x14ac:dyDescent="0.2">
      <c r="C55" s="37"/>
      <c r="D55" s="37"/>
      <c r="E55" s="36"/>
      <c r="F55" s="36"/>
      <c r="G55" s="36"/>
      <c r="H55" s="36"/>
      <c r="I55" s="36"/>
      <c r="J55" s="128"/>
      <c r="K55" s="128"/>
      <c r="L55" s="128"/>
      <c r="M55" s="128"/>
    </row>
    <row r="56" spans="3:16" ht="11.45" hidden="1" customHeight="1" outlineLevel="1" x14ac:dyDescent="0.2">
      <c r="C56" s="90" t="s">
        <v>282</v>
      </c>
      <c r="D56" s="90" t="s">
        <v>269</v>
      </c>
      <c r="E56" s="36"/>
      <c r="F56" s="36"/>
      <c r="G56" s="36"/>
      <c r="H56" s="36"/>
      <c r="I56" s="36"/>
      <c r="J56" s="128"/>
      <c r="K56" s="128"/>
      <c r="L56" s="128"/>
      <c r="M56" s="128"/>
    </row>
    <row r="57" spans="3:16" ht="11.45" hidden="1" customHeight="1" outlineLevel="1" x14ac:dyDescent="0.2">
      <c r="C57" s="37" t="s">
        <v>281</v>
      </c>
      <c r="D57" s="37" t="s">
        <v>280</v>
      </c>
      <c r="E57" s="96"/>
      <c r="F57" s="36">
        <f t="shared" ref="F57:M57" si="8">E62</f>
        <v>4820.1429900000003</v>
      </c>
      <c r="G57" s="36">
        <f t="shared" si="8"/>
        <v>-1838.855120000002</v>
      </c>
      <c r="H57" s="36">
        <f t="shared" si="8"/>
        <v>-9532.720659999999</v>
      </c>
      <c r="I57" s="36">
        <f t="shared" si="8"/>
        <v>-17835.55575</v>
      </c>
      <c r="J57" s="128">
        <f t="shared" si="8"/>
        <v>-24487.995539999993</v>
      </c>
      <c r="K57" s="128">
        <f t="shared" si="8"/>
        <v>-24487.995539999993</v>
      </c>
      <c r="L57" s="128">
        <f t="shared" si="8"/>
        <v>-24487.995539999993</v>
      </c>
      <c r="M57" s="128">
        <f t="shared" si="8"/>
        <v>-24487.995539999993</v>
      </c>
    </row>
    <row r="58" spans="3:16" ht="11.45" hidden="1" customHeight="1" outlineLevel="1" x14ac:dyDescent="0.2">
      <c r="C58" s="138" t="s">
        <v>279</v>
      </c>
      <c r="D58" s="138" t="s">
        <v>278</v>
      </c>
      <c r="E58" s="96"/>
      <c r="F58" s="36"/>
      <c r="G58" s="36"/>
      <c r="H58" s="36"/>
      <c r="I58" s="36"/>
      <c r="J58" s="128"/>
      <c r="K58" s="128"/>
      <c r="L58" s="128"/>
      <c r="M58" s="128"/>
      <c r="P58" s="367" t="s">
        <v>759</v>
      </c>
    </row>
    <row r="59" spans="3:16" ht="11.45" hidden="1" customHeight="1" outlineLevel="1" x14ac:dyDescent="0.2">
      <c r="C59" s="138" t="s">
        <v>277</v>
      </c>
      <c r="D59" s="138" t="s">
        <v>276</v>
      </c>
      <c r="E59" s="96"/>
      <c r="F59" s="36"/>
      <c r="G59" s="36"/>
      <c r="H59" s="36"/>
      <c r="I59" s="36"/>
      <c r="J59" s="128"/>
      <c r="K59" s="128"/>
      <c r="L59" s="128"/>
      <c r="M59" s="128"/>
      <c r="P59" s="367" t="s">
        <v>759</v>
      </c>
    </row>
    <row r="60" spans="3:16" ht="11.45" hidden="1" customHeight="1" outlineLevel="1" x14ac:dyDescent="0.2">
      <c r="C60" s="138" t="s">
        <v>275</v>
      </c>
      <c r="D60" s="138" t="s">
        <v>274</v>
      </c>
      <c r="E60" s="96"/>
      <c r="F60" s="36">
        <v>-880</v>
      </c>
      <c r="G60" s="36">
        <v>-450</v>
      </c>
      <c r="H60" s="36">
        <v>-900</v>
      </c>
      <c r="I60" s="36"/>
      <c r="J60" s="128"/>
      <c r="K60" s="128"/>
      <c r="L60" s="128"/>
      <c r="M60" s="128"/>
      <c r="P60" s="367" t="s">
        <v>759</v>
      </c>
    </row>
    <row r="61" spans="3:16" ht="11.45" hidden="1" customHeight="1" outlineLevel="1" x14ac:dyDescent="0.2">
      <c r="C61" s="137" t="s">
        <v>273</v>
      </c>
      <c r="D61" s="137" t="s">
        <v>272</v>
      </c>
      <c r="E61" s="136"/>
      <c r="F61" s="127">
        <f>'Lead PL'!F59</f>
        <v>-5778.9981100000023</v>
      </c>
      <c r="G61" s="127">
        <f>'Lead PL'!G59</f>
        <v>-7243.865539999998</v>
      </c>
      <c r="H61" s="127">
        <f>'Lead PL'!H59</f>
        <v>-7402.8350900000014</v>
      </c>
      <c r="I61" s="127">
        <f>'Lead PL'!I59</f>
        <v>-6652.439789999994</v>
      </c>
      <c r="J61" s="134">
        <f>'Lead PL'!K59</f>
        <v>0</v>
      </c>
      <c r="K61" s="134">
        <f>'Lead PL'!L59</f>
        <v>0</v>
      </c>
      <c r="L61" s="134">
        <f>'Lead PL'!M59</f>
        <v>0</v>
      </c>
      <c r="M61" s="134">
        <f>'Lead PL'!N59</f>
        <v>0</v>
      </c>
    </row>
    <row r="62" spans="3:16" ht="11.45" hidden="1" customHeight="1" outlineLevel="1" x14ac:dyDescent="0.2">
      <c r="C62" s="133" t="s">
        <v>271</v>
      </c>
      <c r="D62" s="133" t="s">
        <v>270</v>
      </c>
      <c r="E62" s="132">
        <f>'Balance Sheet (Annual Report)'!D68/1000</f>
        <v>4820.1429900000003</v>
      </c>
      <c r="F62" s="132">
        <f t="shared" ref="F62:M62" si="9">SUM(F57:F61)</f>
        <v>-1838.855120000002</v>
      </c>
      <c r="G62" s="132">
        <f t="shared" si="9"/>
        <v>-9532.720659999999</v>
      </c>
      <c r="H62" s="132">
        <f t="shared" si="9"/>
        <v>-17835.55575</v>
      </c>
      <c r="I62" s="132">
        <f t="shared" si="9"/>
        <v>-24487.995539999993</v>
      </c>
      <c r="J62" s="130">
        <f t="shared" si="9"/>
        <v>-24487.995539999993</v>
      </c>
      <c r="K62" s="130">
        <f t="shared" si="9"/>
        <v>-24487.995539999993</v>
      </c>
      <c r="L62" s="130">
        <f t="shared" si="9"/>
        <v>-24487.995539999993</v>
      </c>
      <c r="M62" s="130">
        <f t="shared" si="9"/>
        <v>-24487.995539999993</v>
      </c>
    </row>
    <row r="63" spans="3:16" ht="4.5" customHeight="1" collapsed="1" x14ac:dyDescent="0.2">
      <c r="C63" s="37"/>
      <c r="D63" s="37"/>
      <c r="E63" s="37"/>
      <c r="F63" s="36"/>
      <c r="G63" s="36"/>
      <c r="H63" s="36"/>
      <c r="I63" s="36"/>
      <c r="J63" s="128"/>
      <c r="K63" s="128"/>
      <c r="L63" s="128"/>
      <c r="M63" s="128"/>
    </row>
    <row r="64" spans="3:16" ht="11.45" customHeight="1" x14ac:dyDescent="0.2">
      <c r="C64" s="42" t="str">
        <f>"Quelle: "&amp;Cockpit!$C$7</f>
        <v>Quelle: Datenraum/ eigene Analysen</v>
      </c>
      <c r="D64" s="42" t="str">
        <f>"Source: "&amp;Cockpit!$C$8</f>
        <v>Source: Virtual Data Room/ Company Information</v>
      </c>
      <c r="E64" s="42"/>
      <c r="F64" s="127"/>
      <c r="G64" s="127"/>
      <c r="H64" s="127"/>
      <c r="I64" s="127"/>
      <c r="J64" s="125"/>
      <c r="K64" s="125"/>
      <c r="L64" s="125"/>
      <c r="M64" s="125"/>
    </row>
    <row r="67" spans="3:18" ht="11.45" customHeight="1" x14ac:dyDescent="0.2">
      <c r="C67" s="72" t="s">
        <v>269</v>
      </c>
      <c r="D67" s="72" t="s">
        <v>269</v>
      </c>
      <c r="E67" s="72"/>
      <c r="F67" s="71">
        <f>'Balance Sheet (Annual Report)'!E68/1000</f>
        <v>5794.2710700000007</v>
      </c>
      <c r="G67" s="71"/>
      <c r="H67" s="71"/>
      <c r="I67" s="71"/>
      <c r="J67" s="71"/>
      <c r="K67" s="71"/>
      <c r="L67" s="71"/>
      <c r="M67" s="71"/>
    </row>
    <row r="68" spans="3:18" ht="11.45" customHeight="1" x14ac:dyDescent="0.2">
      <c r="C68" s="70" t="s">
        <v>233</v>
      </c>
      <c r="D68" s="69" t="s">
        <v>233</v>
      </c>
      <c r="E68" s="68"/>
      <c r="F68" s="68">
        <f>F62-F54</f>
        <v>-7633.1261900000018</v>
      </c>
      <c r="G68" s="68">
        <f>G62-G54</f>
        <v>-15719.628570000001</v>
      </c>
      <c r="H68" s="68">
        <f>H62-H54</f>
        <v>-24117.515960000001</v>
      </c>
      <c r="I68" s="68">
        <f>I62-I54</f>
        <v>-31479.30064999999</v>
      </c>
      <c r="J68" s="68"/>
      <c r="K68" s="68"/>
      <c r="L68" s="68"/>
      <c r="M68" s="68"/>
    </row>
    <row r="70" spans="3:18" ht="11.45" customHeight="1" x14ac:dyDescent="0.2">
      <c r="C70" s="1" t="s">
        <v>2414</v>
      </c>
      <c r="F70" s="481">
        <f>F15+F16+F17+F30+F43+F48</f>
        <v>7999.6388399999996</v>
      </c>
      <c r="G70" s="481">
        <f>G15+G16+G17+G30+G43+G48</f>
        <v>8217.4234699999997</v>
      </c>
      <c r="H70" s="481">
        <f>H15+H16+H17+H30+H43+H48</f>
        <v>8441.2165000000005</v>
      </c>
      <c r="I70" s="481">
        <f>I15+I16+I17+I30+I43+I48</f>
        <v>8284.3136500000001</v>
      </c>
      <c r="R70" s="1" t="s">
        <v>742</v>
      </c>
    </row>
    <row r="71" spans="3:18" ht="11.45" customHeight="1" x14ac:dyDescent="0.2">
      <c r="F71" s="485">
        <f>F15/F70</f>
        <v>0.14924237754713437</v>
      </c>
      <c r="G71" s="485">
        <f>G15/G70</f>
        <v>0.10964031649205004</v>
      </c>
      <c r="H71" s="485">
        <f>H15/H70</f>
        <v>0.13104340944222909</v>
      </c>
      <c r="I71" s="485">
        <f>I15/I70</f>
        <v>0.16758828174015356</v>
      </c>
      <c r="R71" s="1" t="s">
        <v>1873</v>
      </c>
    </row>
    <row r="72" spans="3:18" ht="11.45" customHeight="1" x14ac:dyDescent="0.2">
      <c r="H72" s="485">
        <f>AVERAGE(F71:H71)</f>
        <v>0.12997536782713784</v>
      </c>
      <c r="I72" s="485">
        <f>AVERAGE(F71:I71)</f>
        <v>0.13937859630539176</v>
      </c>
    </row>
  </sheetData>
  <conditionalFormatting sqref="A1:XFD1048576">
    <cfRule type="containsText" dxfId="317" priority="1" operator="containsText" text="dummy">
      <formula>NOT(ISERROR(SEARCH("dummy",A1)))</formula>
    </cfRule>
  </conditionalFormatting>
  <conditionalFormatting sqref="E68:M68">
    <cfRule type="cellIs" dxfId="316" priority="2" operator="between">
      <formula>-1</formula>
      <formula>1</formula>
    </cfRule>
    <cfRule type="cellIs" dxfId="315" priority="3" operator="lessThan">
      <formula>-1</formula>
    </cfRule>
    <cfRule type="cellIs" dxfId="314" priority="4" operator="greaterThan">
      <formula>1</formula>
    </cfRule>
  </conditionalFormatting>
  <pageMargins left="0.7" right="0.7" top="0.78740157499999996" bottom="0.78740157499999996" header="0.3" footer="0.3"/>
  <pageSetup paperSize="9" scale="63" orientation="portrait" r:id="rId1"/>
  <customProperties>
    <customPr name="AreLinksHighlighted" r:id="rId2"/>
  </customProperties>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453F45D4-223A-46B1-A185-351A94C73EB7}">
          <x14:formula1>
            <xm:f>'Trial Balance Dropdown'!$A$2:$A$305</xm:f>
          </x14:formula1>
          <xm:sqref>P9:P14 P50:P53 P43:P48 P31:P39 P16:P22 P24:P29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0F071-5C5A-4AA8-B190-F2CD0C4E6803}">
  <sheetPr>
    <tabColor rgb="FF92D050"/>
  </sheetPr>
  <dimension ref="A1:Q81"/>
  <sheetViews>
    <sheetView topLeftCell="A2" workbookViewId="0"/>
  </sheetViews>
  <sheetFormatPr defaultColWidth="11.42578125" defaultRowHeight="12" outlineLevelRow="3" outlineLevelCol="2" x14ac:dyDescent="0.2"/>
  <cols>
    <col min="1" max="1" width="11.42578125" style="1"/>
    <col min="2" max="2" width="0.85546875" style="1" customWidth="1"/>
    <col min="3" max="3" width="35.5703125" style="1" customWidth="1"/>
    <col min="4" max="4" width="35.5703125" style="1" hidden="1" customWidth="1" outlineLevel="1"/>
    <col min="5" max="6" width="9.42578125" style="1" hidden="1" customWidth="1" outlineLevel="1"/>
    <col min="7" max="7" width="10.42578125" style="1" customWidth="1" collapsed="1"/>
    <col min="8" max="8" width="10.42578125" style="1" customWidth="1"/>
    <col min="9" max="9" width="10.42578125" style="1" hidden="1" customWidth="1" outlineLevel="1"/>
    <col min="10" max="10" width="10.42578125" style="1" customWidth="1" collapsed="1"/>
    <col min="11" max="14" width="9.42578125" style="1" hidden="1" customWidth="1" outlineLevel="1"/>
    <col min="15" max="15" width="0.85546875" style="1" hidden="1" customWidth="1" outlineLevel="2"/>
    <col min="16" max="16" width="11.42578125" style="1" collapsed="1"/>
    <col min="17" max="16384" width="11.42578125" style="1"/>
  </cols>
  <sheetData>
    <row r="1" spans="1:17" hidden="1" outlineLevel="3" x14ac:dyDescent="0.2"/>
    <row r="2" spans="1:17" collapsed="1" x14ac:dyDescent="0.2"/>
    <row r="3" spans="1:17" ht="11.25" customHeight="1" x14ac:dyDescent="0.2"/>
    <row r="4" spans="1:17" ht="11.25" customHeight="1" x14ac:dyDescent="0.25">
      <c r="C4" s="33" t="str">
        <f>Cockpit!$C$4</f>
        <v>Projekt Namur</v>
      </c>
      <c r="D4" s="33"/>
      <c r="E4" s="32">
        <f>Cockpit!C33</f>
        <v>44561</v>
      </c>
      <c r="F4" s="32">
        <f>Cockpit!D33</f>
        <v>44926</v>
      </c>
      <c r="G4" s="32">
        <f>Cockpit!E33</f>
        <v>45291</v>
      </c>
      <c r="H4" s="32">
        <f>Cockpit!F33</f>
        <v>45657</v>
      </c>
      <c r="I4" s="32">
        <f>Cockpit!G33</f>
        <v>46022</v>
      </c>
      <c r="J4" s="32">
        <f>Cockpit!H33</f>
        <v>46022</v>
      </c>
      <c r="K4" s="32">
        <f>Cockpit!I33</f>
        <v>46022</v>
      </c>
      <c r="L4" s="32">
        <f>Cockpit!J33</f>
        <v>46387</v>
      </c>
      <c r="M4" s="32">
        <f>Cockpit!K33</f>
        <v>46752</v>
      </c>
      <c r="N4" s="32">
        <f>Cockpit!L33</f>
        <v>47118</v>
      </c>
      <c r="P4" s="159" t="s">
        <v>350</v>
      </c>
    </row>
    <row r="5" spans="1:17" ht="11.25" customHeight="1" x14ac:dyDescent="0.2">
      <c r="C5" s="33" t="str">
        <f>"in T"&amp;Cockpit!$C$5</f>
        <v>in TEUR</v>
      </c>
      <c r="D5" s="33"/>
      <c r="E5" s="32" t="s">
        <v>35</v>
      </c>
      <c r="F5" s="32" t="s">
        <v>35</v>
      </c>
      <c r="G5" s="32" t="s">
        <v>35</v>
      </c>
      <c r="H5" s="32" t="s">
        <v>35</v>
      </c>
      <c r="I5" s="32" t="str">
        <f>Cockpit!G34</f>
        <v>IST</v>
      </c>
      <c r="J5" s="32" t="s">
        <v>35</v>
      </c>
      <c r="K5" s="32" t="str">
        <f>Cockpit!I34</f>
        <v>Plan</v>
      </c>
      <c r="L5" s="32" t="str">
        <f>Cockpit!J34</f>
        <v>Plan</v>
      </c>
      <c r="M5" s="32" t="str">
        <f>Cockpit!K34</f>
        <v>Plan</v>
      </c>
      <c r="N5" s="32" t="str">
        <f>Cockpit!L34</f>
        <v>Plan</v>
      </c>
    </row>
    <row r="6" spans="1:17" ht="11.25" hidden="1" customHeight="1" outlineLevel="1" x14ac:dyDescent="0.25">
      <c r="C6" s="17"/>
      <c r="D6" s="17" t="str">
        <f>Cockpit!$C$4</f>
        <v>Projekt Namur</v>
      </c>
      <c r="E6" s="39">
        <f>Cockpit!C33</f>
        <v>44561</v>
      </c>
      <c r="F6" s="39">
        <f>Cockpit!D33</f>
        <v>44926</v>
      </c>
      <c r="G6" s="39">
        <f>Cockpit!E33</f>
        <v>45291</v>
      </c>
      <c r="H6" s="39">
        <f>Cockpit!F33</f>
        <v>45657</v>
      </c>
      <c r="I6" s="38">
        <f>Cockpit!G33</f>
        <v>46022</v>
      </c>
      <c r="J6" s="39">
        <f>Cockpit!H33</f>
        <v>46022</v>
      </c>
      <c r="K6" s="39">
        <f>Cockpit!I33</f>
        <v>46022</v>
      </c>
      <c r="L6" s="39">
        <f>Cockpit!J33</f>
        <v>46387</v>
      </c>
      <c r="M6" s="39">
        <f>Cockpit!K33</f>
        <v>46752</v>
      </c>
      <c r="N6" s="39">
        <f>Cockpit!L33</f>
        <v>47118</v>
      </c>
      <c r="P6" s="159" t="s">
        <v>350</v>
      </c>
      <c r="Q6" s="368"/>
    </row>
    <row r="7" spans="1:17" ht="11.25" hidden="1" customHeight="1" outlineLevel="1" x14ac:dyDescent="0.2">
      <c r="C7" s="17"/>
      <c r="D7" s="17" t="str">
        <f>"in k"&amp;Cockpit!$C$5</f>
        <v>in kEUR</v>
      </c>
      <c r="E7" s="39" t="str">
        <f>Cockpit!D34</f>
        <v>IST</v>
      </c>
      <c r="F7" s="39" t="str">
        <f>Cockpit!D34</f>
        <v>IST</v>
      </c>
      <c r="G7" s="39" t="str">
        <f>Cockpit!E34</f>
        <v>IST</v>
      </c>
      <c r="H7" s="39" t="str">
        <f>Cockpit!F34</f>
        <v>IST</v>
      </c>
      <c r="I7" s="39" t="str">
        <f>Cockpit!G34</f>
        <v>IST</v>
      </c>
      <c r="J7" s="39" t="str">
        <f>Cockpit!H34</f>
        <v>YTD</v>
      </c>
      <c r="K7" s="39" t="str">
        <f>Cockpit!I34</f>
        <v>Plan</v>
      </c>
      <c r="L7" s="39" t="str">
        <f>Cockpit!J34</f>
        <v>Plan</v>
      </c>
      <c r="M7" s="39" t="str">
        <f>Cockpit!K34</f>
        <v>Plan</v>
      </c>
      <c r="N7" s="39" t="str">
        <f>Cockpit!L34</f>
        <v>Plan</v>
      </c>
    </row>
    <row r="8" spans="1:17" ht="4.5" customHeight="1" collapsed="1" x14ac:dyDescent="0.2">
      <c r="C8" s="122"/>
      <c r="D8" s="123"/>
      <c r="E8" s="122"/>
      <c r="F8" s="122"/>
      <c r="G8" s="122"/>
      <c r="H8" s="122"/>
      <c r="I8" s="122"/>
      <c r="J8" s="122"/>
      <c r="K8" s="122"/>
      <c r="L8" s="122"/>
      <c r="M8" s="122"/>
      <c r="N8" s="122"/>
    </row>
    <row r="9" spans="1:17" ht="11.65" customHeight="1" x14ac:dyDescent="0.2">
      <c r="C9" s="155" t="str">
        <f>'Lead PL'!C43</f>
        <v>EBITDA</v>
      </c>
      <c r="D9" s="155" t="str">
        <f>'Lead PL'!D43</f>
        <v>EBITDA</v>
      </c>
      <c r="E9" s="184"/>
      <c r="F9" s="154">
        <f>'Lead PL'!F43</f>
        <v>-4386.7021700000023</v>
      </c>
      <c r="G9" s="154">
        <f>'Lead PL'!G43</f>
        <v>-6491.3423899999989</v>
      </c>
      <c r="H9" s="154">
        <f>'Lead PL'!H43</f>
        <v>-6637.546620000001</v>
      </c>
      <c r="I9" s="183">
        <f>'Lead PL'!I43</f>
        <v>-6045.3006299999943</v>
      </c>
      <c r="J9" s="154">
        <f>'Lead PL'!I43</f>
        <v>-6045.3006299999943</v>
      </c>
      <c r="K9" s="152">
        <f>'Lead PL'!K43</f>
        <v>0</v>
      </c>
      <c r="L9" s="152">
        <f>'Lead PL'!L43</f>
        <v>0</v>
      </c>
      <c r="M9" s="152">
        <f>'Lead PL'!M43</f>
        <v>0</v>
      </c>
      <c r="N9" s="152">
        <f>'Lead PL'!N43</f>
        <v>0</v>
      </c>
    </row>
    <row r="10" spans="1:17" ht="11.65" customHeight="1" x14ac:dyDescent="0.2">
      <c r="C10" s="182" t="str">
        <f>'Lead PL'!C57</f>
        <v>Ertragssteuern</v>
      </c>
      <c r="D10" s="182" t="str">
        <f>'Lead PL'!D57</f>
        <v>Income taxes</v>
      </c>
      <c r="E10" s="96"/>
      <c r="F10" s="36">
        <f>'Lead PL'!F57</f>
        <v>-898.38628000000006</v>
      </c>
      <c r="G10" s="36">
        <f>'Lead PL'!G57</f>
        <v>-390.61758999999995</v>
      </c>
      <c r="H10" s="36">
        <f>'Lead PL'!H57</f>
        <v>-442.12160999999998</v>
      </c>
      <c r="I10" s="160">
        <f>'Lead PL'!I57</f>
        <v>-333.75367999999997</v>
      </c>
      <c r="J10" s="36">
        <f>'Lead PL'!I57</f>
        <v>-333.75367999999997</v>
      </c>
      <c r="K10" s="128">
        <f>'Lead PL'!K58</f>
        <v>0</v>
      </c>
      <c r="L10" s="128">
        <f>'Lead PL'!L58</f>
        <v>0</v>
      </c>
      <c r="M10" s="128">
        <f>'Lead PL'!M58</f>
        <v>0</v>
      </c>
      <c r="N10" s="128">
        <f>'Lead PL'!N58</f>
        <v>0</v>
      </c>
    </row>
    <row r="11" spans="1:17" ht="11.65" customHeight="1" x14ac:dyDescent="0.2">
      <c r="C11" s="182" t="str">
        <f>'Lead PL'!C58</f>
        <v>Sonstige Steuern</v>
      </c>
      <c r="D11" s="182" t="str">
        <f>'Lead PL'!D58</f>
        <v>Other taxes</v>
      </c>
      <c r="E11" s="96"/>
      <c r="F11" s="36">
        <f>'Lead PL'!F58</f>
        <v>-3.077</v>
      </c>
      <c r="G11" s="36">
        <f>'Lead PL'!G58</f>
        <v>-2.9220000000000002</v>
      </c>
      <c r="H11" s="36">
        <f>'Lead PL'!H58</f>
        <v>-3.0019999999999998</v>
      </c>
      <c r="I11" s="160">
        <f>'Lead PL'!I58</f>
        <v>-2.254</v>
      </c>
      <c r="J11" s="36">
        <f>'Lead PL'!I58</f>
        <v>-2.254</v>
      </c>
      <c r="K11" s="128">
        <f>'Lead PL'!K57</f>
        <v>0</v>
      </c>
      <c r="L11" s="128">
        <f>'Lead PL'!L57</f>
        <v>0</v>
      </c>
      <c r="M11" s="128">
        <f>'Lead PL'!M57</f>
        <v>0</v>
      </c>
      <c r="N11" s="128">
        <f>'Lead PL'!N57</f>
        <v>0</v>
      </c>
    </row>
    <row r="12" spans="1:17" ht="11.65" customHeight="1" x14ac:dyDescent="0.2">
      <c r="A12" s="483"/>
      <c r="C12" s="182" t="str">
        <f>"∆ "&amp;'Lead NA'!C45</f>
        <v>∆ Pensionsrückstellungen</v>
      </c>
      <c r="D12" s="182"/>
      <c r="E12" s="96"/>
      <c r="F12" s="36">
        <f>-'Lead NA'!F45+'Lead NA'!E45</f>
        <v>201.476</v>
      </c>
      <c r="G12" s="36">
        <f>-'Lead NA'!G45+'Lead NA'!F45</f>
        <v>-9.3739999999999952</v>
      </c>
      <c r="H12" s="36">
        <f>-'Lead NA'!H45+'Lead NA'!G45</f>
        <v>-9.6990000000000123</v>
      </c>
      <c r="I12" s="160">
        <f>-NA_monthly!AX46+NA_monthly!AL46</f>
        <v>-9.6990000000000123</v>
      </c>
      <c r="J12" s="36">
        <f>-'Lead NA'!I45+'Lead NA'!H45</f>
        <v>-10.659999999999997</v>
      </c>
      <c r="K12" s="128"/>
      <c r="L12" s="128"/>
      <c r="M12" s="128"/>
      <c r="N12" s="128"/>
    </row>
    <row r="13" spans="1:17" ht="11.25" customHeight="1" x14ac:dyDescent="0.2">
      <c r="C13" s="37" t="str">
        <f>"∆ "&amp;'Lead NA'!C46</f>
        <v>∆ Steuerrückstellungen</v>
      </c>
      <c r="D13" s="37"/>
      <c r="E13" s="96"/>
      <c r="F13" s="36">
        <f>-'Lead NA'!F46+'Lead NA'!E46</f>
        <v>224.92819</v>
      </c>
      <c r="G13" s="36">
        <f>-'Lead NA'!G46+'Lead NA'!F46</f>
        <v>0</v>
      </c>
      <c r="H13" s="36">
        <f>-'Lead NA'!H46+'Lead NA'!G46</f>
        <v>-224.92819</v>
      </c>
      <c r="I13" s="160">
        <f>-NA_monthly!AX47+NA_monthly!AL47</f>
        <v>-15.44608</v>
      </c>
      <c r="J13" s="36">
        <f>-'Lead NA'!I46+'Lead NA'!H46</f>
        <v>0</v>
      </c>
      <c r="K13" s="128"/>
      <c r="L13" s="128"/>
      <c r="M13" s="128"/>
      <c r="N13" s="128"/>
    </row>
    <row r="14" spans="1:17" ht="11.25" customHeight="1" x14ac:dyDescent="0.2">
      <c r="C14" s="37" t="str">
        <f>"∆ "&amp;'Lead NA'!C50</f>
        <v>∆ Passive latente Steuern</v>
      </c>
      <c r="D14" s="37"/>
      <c r="E14" s="96"/>
      <c r="F14" s="36"/>
      <c r="G14" s="36">
        <f>-'Lead NA'!G50+'Lead NA'!F50</f>
        <v>0</v>
      </c>
      <c r="H14" s="36">
        <f>-'Lead NA'!H50+'Lead NA'!G50</f>
        <v>48.875999999999998</v>
      </c>
      <c r="I14" s="160">
        <f>-NA_monthly!AX51+NA_monthly!AL51</f>
        <v>48.875999999999998</v>
      </c>
      <c r="J14" s="36">
        <f>-'Lead NA'!I50+'Lead NA'!H50</f>
        <v>149.46</v>
      </c>
      <c r="K14" s="128"/>
      <c r="L14" s="128"/>
      <c r="M14" s="128"/>
      <c r="N14" s="128"/>
    </row>
    <row r="15" spans="1:17" ht="11.25" customHeight="1" x14ac:dyDescent="0.2">
      <c r="C15" s="37"/>
      <c r="D15" s="37"/>
      <c r="E15" s="96"/>
      <c r="F15" s="36"/>
      <c r="G15" s="36"/>
      <c r="H15" s="36"/>
      <c r="I15" s="160"/>
      <c r="J15" s="36"/>
      <c r="K15" s="128"/>
      <c r="L15" s="128"/>
      <c r="M15" s="128"/>
      <c r="N15" s="128"/>
    </row>
    <row r="16" spans="1:17" ht="11.25" customHeight="1" x14ac:dyDescent="0.2">
      <c r="C16" s="37" t="str">
        <f>"∆ "&amp;'Lead NA'!C16</f>
        <v>∆ Vorräte</v>
      </c>
      <c r="D16" s="37" t="str">
        <f>"∆ "&amp;'Lead NA'!D16</f>
        <v>∆ Inventories</v>
      </c>
      <c r="E16" s="96"/>
      <c r="F16" s="36">
        <f>-'Lead NA'!F16+'Lead NA'!E16</f>
        <v>-1953.4010800000001</v>
      </c>
      <c r="G16" s="36">
        <f>-'Lead NA'!G16+'Lead NA'!F16</f>
        <v>-698.70757000000003</v>
      </c>
      <c r="H16" s="36">
        <f>-'Lead NA'!H16+'Lead NA'!G16</f>
        <v>-1203.7749899999999</v>
      </c>
      <c r="I16" s="160">
        <f>-NA_monthly!AX16+NA_monthly!AL16</f>
        <v>-1180.3231000000001</v>
      </c>
      <c r="J16" s="36">
        <f>-'Lead NA'!I16+'Lead NA'!H16</f>
        <v>943.19707999999991</v>
      </c>
      <c r="K16" s="128">
        <f>-'Lead NA'!J16+'Lead NA'!H16</f>
        <v>3855.88364</v>
      </c>
      <c r="L16" s="128">
        <f>-'Lead NA'!K16+'Lead NA'!J16</f>
        <v>0</v>
      </c>
      <c r="M16" s="128">
        <f>-'Lead NA'!L16+'Lead NA'!K16</f>
        <v>0</v>
      </c>
      <c r="N16" s="128">
        <f>-'Lead NA'!M16+'Lead NA'!L16</f>
        <v>0</v>
      </c>
    </row>
    <row r="17" spans="1:14" ht="11.25" customHeight="1" x14ac:dyDescent="0.2">
      <c r="C17" s="37" t="str">
        <f>"∆ "&amp;'Lead NA'!C17</f>
        <v>∆ Forderungen aus LuL</v>
      </c>
      <c r="D17" s="37" t="str">
        <f>"∆ "&amp;'Lead NA'!D17</f>
        <v>∆ Trade receivables</v>
      </c>
      <c r="E17" s="96"/>
      <c r="F17" s="36">
        <f>-'Lead NA'!F17+'Lead NA'!E17</f>
        <v>-1780.65607</v>
      </c>
      <c r="G17" s="36">
        <f>-'Lead NA'!G17+'Lead NA'!F17</f>
        <v>194.28827999999999</v>
      </c>
      <c r="H17" s="36">
        <f>-'Lead NA'!H17+'Lead NA'!G17</f>
        <v>-402.43357000000015</v>
      </c>
      <c r="I17" s="160">
        <f>-NA_monthly!AX17+NA_monthly!AL17</f>
        <v>-60.554889999999887</v>
      </c>
      <c r="J17" s="36">
        <f>-'Lead NA'!I17+'Lead NA'!H17</f>
        <v>573.14715000000024</v>
      </c>
      <c r="K17" s="128">
        <f>-'Lead NA'!J17+'Lead NA'!H17</f>
        <v>1988.8013600000002</v>
      </c>
      <c r="L17" s="128">
        <f>-'Lead NA'!K17+'Lead NA'!J17</f>
        <v>0</v>
      </c>
      <c r="M17" s="128">
        <f>-'Lead NA'!L17+'Lead NA'!K17</f>
        <v>0</v>
      </c>
      <c r="N17" s="128">
        <f>-'Lead NA'!M17+'Lead NA'!L17</f>
        <v>0</v>
      </c>
    </row>
    <row r="18" spans="1:14" ht="11.25" customHeight="1" x14ac:dyDescent="0.2">
      <c r="C18" s="37" t="str">
        <f>"∆ "&amp;'Lead NA'!C18</f>
        <v>∆ Verbindlichkeiten aus LuL</v>
      </c>
      <c r="D18" s="37" t="str">
        <f>"∆ "&amp;'Lead NA'!D18</f>
        <v>∆ Trade payables</v>
      </c>
      <c r="E18" s="96"/>
      <c r="F18" s="36">
        <f>-'Lead NA'!F18+'Lead NA'!E18</f>
        <v>752.85966000000008</v>
      </c>
      <c r="G18" s="36">
        <f>-'Lead NA'!G18+'Lead NA'!F18</f>
        <v>95.423900000000003</v>
      </c>
      <c r="H18" s="36">
        <f>-'Lead NA'!H18+'Lead NA'!G18</f>
        <v>372.15445</v>
      </c>
      <c r="I18" s="160">
        <f>-NA_monthly!AX18+NA_monthly!AL18</f>
        <v>-945.14973999999984</v>
      </c>
      <c r="J18" s="36">
        <f>-'Lead NA'!I18+'Lead NA'!H18</f>
        <v>-976.94827000000009</v>
      </c>
      <c r="K18" s="128">
        <f>-'Lead NA'!J18+'Lead NA'!H18</f>
        <v>-1220.4380100000001</v>
      </c>
      <c r="L18" s="128">
        <f>-'Lead NA'!K18+'Lead NA'!J18</f>
        <v>0</v>
      </c>
      <c r="M18" s="128">
        <f>-'Lead NA'!L18+'Lead NA'!K18</f>
        <v>0</v>
      </c>
      <c r="N18" s="128">
        <f>-'Lead NA'!M18+'Lead NA'!L18</f>
        <v>0</v>
      </c>
    </row>
    <row r="19" spans="1:14" ht="11.25" customHeight="1" x14ac:dyDescent="0.2">
      <c r="C19" s="37" t="str">
        <f>"∆ "&amp;'Lead NA'!C19</f>
        <v>∆ Erhaltene Anzahlungen</v>
      </c>
      <c r="D19" s="37" t="str">
        <f>"∆ "&amp;'Lead NA'!D19</f>
        <v>∆ Advance payments received</v>
      </c>
      <c r="E19" s="96"/>
      <c r="F19" s="36">
        <f>-'Lead NA'!F19+'Lead NA'!E19</f>
        <v>50</v>
      </c>
      <c r="G19" s="36">
        <f>-'Lead NA'!G19+'Lead NA'!F19</f>
        <v>0</v>
      </c>
      <c r="H19" s="36">
        <f>-'Lead NA'!H19+'Lead NA'!G19</f>
        <v>0</v>
      </c>
      <c r="I19" s="160">
        <f>-NA_monthly!AX19+NA_monthly!AL19</f>
        <v>-50</v>
      </c>
      <c r="J19" s="36">
        <f>-'Lead NA'!I19+'Lead NA'!H19</f>
        <v>-50</v>
      </c>
      <c r="K19" s="128"/>
      <c r="L19" s="128"/>
      <c r="M19" s="128"/>
      <c r="N19" s="128"/>
    </row>
    <row r="20" spans="1:14" ht="11.25" hidden="1" customHeight="1" outlineLevel="2" x14ac:dyDescent="0.2">
      <c r="C20" s="37" t="str">
        <f>"∆ "&amp;'Lead NA'!C20</f>
        <v>∆ Dummy 1</v>
      </c>
      <c r="D20" s="37" t="str">
        <f>"∆ "&amp;'Lead NA'!D20</f>
        <v>∆ Dummy 1</v>
      </c>
      <c r="E20" s="96"/>
      <c r="F20" s="36">
        <f>-'Lead NA'!F20+'Lead NA'!E20</f>
        <v>0</v>
      </c>
      <c r="G20" s="36">
        <f>-'Lead NA'!G20+'Lead NA'!F20</f>
        <v>0</v>
      </c>
      <c r="H20" s="36">
        <f>-'Lead NA'!H20+'Lead NA'!G20</f>
        <v>0</v>
      </c>
      <c r="I20" s="160"/>
      <c r="J20" s="36">
        <f>-'Lead NA'!I20+'Lead NA'!H20</f>
        <v>0</v>
      </c>
      <c r="K20" s="128">
        <f>-'Lead NA'!J20+'Lead NA'!H20</f>
        <v>0</v>
      </c>
      <c r="L20" s="128">
        <f>-'Lead NA'!K20+'Lead NA'!J20</f>
        <v>0</v>
      </c>
      <c r="M20" s="128">
        <f>-'Lead NA'!L20+'Lead NA'!K20</f>
        <v>0</v>
      </c>
      <c r="N20" s="128">
        <f>-'Lead NA'!M20+'Lead NA'!L20</f>
        <v>0</v>
      </c>
    </row>
    <row r="21" spans="1:14" ht="11.25" hidden="1" customHeight="1" outlineLevel="2" x14ac:dyDescent="0.2">
      <c r="C21" s="37" t="str">
        <f>"∆ "&amp;'Lead NA'!C21</f>
        <v>∆ Dummy 2</v>
      </c>
      <c r="D21" s="37" t="str">
        <f>"∆ "&amp;'Lead NA'!D21</f>
        <v>∆ Dummy 2</v>
      </c>
      <c r="E21" s="96"/>
      <c r="F21" s="36">
        <f>-'Lead NA'!F21+'Lead NA'!E21</f>
        <v>0</v>
      </c>
      <c r="G21" s="36">
        <f>-'Lead NA'!G21+'Lead NA'!F21</f>
        <v>0</v>
      </c>
      <c r="H21" s="36">
        <f>-'Lead NA'!H21+'Lead NA'!G21</f>
        <v>0</v>
      </c>
      <c r="I21" s="160"/>
      <c r="J21" s="36">
        <f>-'Lead NA'!I21+'Lead NA'!H21</f>
        <v>0</v>
      </c>
      <c r="K21" s="128">
        <f>-'Lead NA'!J21+'Lead NA'!H21</f>
        <v>0</v>
      </c>
      <c r="L21" s="128">
        <f>-'Lead NA'!K21+'Lead NA'!J21</f>
        <v>0</v>
      </c>
      <c r="M21" s="128">
        <f>-'Lead NA'!L21+'Lead NA'!K21</f>
        <v>0</v>
      </c>
      <c r="N21" s="128">
        <f>-'Lead NA'!M21+'Lead NA'!L21</f>
        <v>0</v>
      </c>
    </row>
    <row r="22" spans="1:14" ht="11.25" hidden="1" customHeight="1" outlineLevel="2" x14ac:dyDescent="0.2">
      <c r="C22" s="42" t="str">
        <f>"∆ "&amp;'Lead NA'!C22</f>
        <v>∆ Dummy 3</v>
      </c>
      <c r="D22" s="42" t="str">
        <f>"∆ "&amp;'Lead NA'!D22</f>
        <v>∆ Dummy 3</v>
      </c>
      <c r="E22" s="136"/>
      <c r="F22" s="127">
        <f>-'Lead NA'!F22+'Lead NA'!E22</f>
        <v>0</v>
      </c>
      <c r="G22" s="127">
        <f>-'Lead NA'!G22+'Lead NA'!F22</f>
        <v>0</v>
      </c>
      <c r="H22" s="127">
        <f>-'Lead NA'!H22+'Lead NA'!G22</f>
        <v>0</v>
      </c>
      <c r="I22" s="175"/>
      <c r="J22" s="127">
        <f>-'Lead NA'!I22+'Lead NA'!H22</f>
        <v>0</v>
      </c>
      <c r="K22" s="134">
        <f>-'Lead NA'!J22+'Lead NA'!H22</f>
        <v>0</v>
      </c>
      <c r="L22" s="134">
        <f>-'Lead NA'!K22+'Lead NA'!J22</f>
        <v>0</v>
      </c>
      <c r="M22" s="134">
        <f>-'Lead NA'!L22+'Lead NA'!K22</f>
        <v>0</v>
      </c>
      <c r="N22" s="134">
        <f>-'Lead NA'!M22+'Lead NA'!L22</f>
        <v>0</v>
      </c>
    </row>
    <row r="23" spans="1:14" ht="11.25" customHeight="1" collapsed="1" x14ac:dyDescent="0.2">
      <c r="C23" s="141" t="str">
        <f>"∆ "&amp;'Lead NA'!C23</f>
        <v>∆ Trade Working Capital</v>
      </c>
      <c r="D23" s="141" t="str">
        <f>"∆ "&amp;'Lead NA'!D23</f>
        <v>∆ Trade working capital</v>
      </c>
      <c r="E23" s="178"/>
      <c r="F23" s="141">
        <f t="shared" ref="F23:N23" si="0">SUM(F16:F22)</f>
        <v>-2931.19749</v>
      </c>
      <c r="G23" s="141">
        <f t="shared" si="0"/>
        <v>-408.99539000000004</v>
      </c>
      <c r="H23" s="141">
        <f t="shared" si="0"/>
        <v>-1234.05411</v>
      </c>
      <c r="I23" s="177">
        <f t="shared" si="0"/>
        <v>-2236.0277299999998</v>
      </c>
      <c r="J23" s="141">
        <f t="shared" si="0"/>
        <v>489.39596000000006</v>
      </c>
      <c r="K23" s="139">
        <f t="shared" si="0"/>
        <v>4624.2469900000006</v>
      </c>
      <c r="L23" s="139">
        <f t="shared" si="0"/>
        <v>0</v>
      </c>
      <c r="M23" s="139">
        <f t="shared" si="0"/>
        <v>0</v>
      </c>
      <c r="N23" s="139">
        <f t="shared" si="0"/>
        <v>0</v>
      </c>
    </row>
    <row r="24" spans="1:14" ht="11.25" customHeight="1" x14ac:dyDescent="0.2">
      <c r="C24" s="37" t="str">
        <f>"∆ "&amp;'Lead NA'!C24</f>
        <v>∆ Sonstige Vermögensgegenstände</v>
      </c>
      <c r="D24" s="37" t="str">
        <f>"∆ "&amp;'Lead NA'!D24</f>
        <v>∆ Other assets</v>
      </c>
      <c r="E24" s="96"/>
      <c r="F24" s="36">
        <f>-'Lead NA'!F24+'Lead NA'!E24</f>
        <v>-33.1297</v>
      </c>
      <c r="G24" s="36">
        <f>-'Lead NA'!G24+'Lead NA'!F24</f>
        <v>-263.38515999999998</v>
      </c>
      <c r="H24" s="36">
        <f>-'Lead NA'!H24+'Lead NA'!G24</f>
        <v>-17.070400000000006</v>
      </c>
      <c r="I24" s="160">
        <f>-NA_monthly!AX24+NA_monthly!AL24</f>
        <v>110.73110999999997</v>
      </c>
      <c r="J24" s="36">
        <f>-'Lead NA'!I24+'Lead NA'!H24</f>
        <v>4.4934199999999578</v>
      </c>
      <c r="K24" s="128">
        <f>-'Lead NA'!J24+'Lead NA'!H24</f>
        <v>313.58526000000001</v>
      </c>
      <c r="L24" s="128">
        <f>-'Lead NA'!K24+'Lead NA'!J24</f>
        <v>0</v>
      </c>
      <c r="M24" s="128">
        <f>-'Lead NA'!L24+'Lead NA'!K24</f>
        <v>0</v>
      </c>
      <c r="N24" s="128">
        <f>-'Lead NA'!M24+'Lead NA'!L24</f>
        <v>0</v>
      </c>
    </row>
    <row r="25" spans="1:14" ht="11.25" customHeight="1" x14ac:dyDescent="0.2">
      <c r="C25" s="37" t="str">
        <f>"∆ "&amp;'Lead NA'!C25</f>
        <v>∆ Aktive Rechnungsabgrenzungsposten</v>
      </c>
      <c r="D25" s="37" t="str">
        <f>"∆ "&amp;'Lead NA'!D25</f>
        <v>∆ Prepaid expenses</v>
      </c>
      <c r="E25" s="96"/>
      <c r="F25" s="36">
        <f>-'Lead NA'!F25+'Lead NA'!E25</f>
        <v>-30.218209999999999</v>
      </c>
      <c r="G25" s="36">
        <f>-'Lead NA'!G25+'Lead NA'!F25</f>
        <v>-35.685750000000013</v>
      </c>
      <c r="H25" s="36">
        <f>-'Lead NA'!H25+'Lead NA'!G25</f>
        <v>2.9761000000000095</v>
      </c>
      <c r="I25" s="160">
        <f>-NA_monthly!AX25+NA_monthly!AL25</f>
        <v>-10.351570000000009</v>
      </c>
      <c r="J25" s="36">
        <f>-'Lead NA'!I25+'Lead NA'!H25</f>
        <v>11.626410000000007</v>
      </c>
      <c r="K25" s="128">
        <f>-'Lead NA'!J25+'Lead NA'!H25</f>
        <v>62.927860000000003</v>
      </c>
      <c r="L25" s="128">
        <f>-'Lead NA'!K25+'Lead NA'!J25</f>
        <v>0</v>
      </c>
      <c r="M25" s="128">
        <f>-'Lead NA'!L25+'Lead NA'!K25</f>
        <v>0</v>
      </c>
      <c r="N25" s="128">
        <f>-'Lead NA'!M25+'Lead NA'!L25</f>
        <v>0</v>
      </c>
    </row>
    <row r="26" spans="1:14" ht="11.25" customHeight="1" x14ac:dyDescent="0.2">
      <c r="C26" s="37" t="str">
        <f>"∆ "&amp;'Lead NA'!C26</f>
        <v>∆ Geleistete Anzahlung</v>
      </c>
      <c r="D26" s="37" t="str">
        <f>"∆ "&amp;'Lead NA'!D26</f>
        <v>∆ Receivables from affiliated/ participating companies</v>
      </c>
      <c r="E26" s="96"/>
      <c r="F26" s="36">
        <f>-'Lead NA'!F26+'Lead NA'!E26</f>
        <v>0</v>
      </c>
      <c r="G26" s="36">
        <f>-'Lead NA'!G26+'Lead NA'!F26</f>
        <v>0</v>
      </c>
      <c r="H26" s="36">
        <f>-'Lead NA'!H26+'Lead NA'!G26</f>
        <v>0</v>
      </c>
      <c r="I26" s="160"/>
      <c r="J26" s="36">
        <f>-'Lead NA'!I26+'Lead NA'!H26</f>
        <v>-180.94499999999999</v>
      </c>
      <c r="K26" s="128"/>
      <c r="L26" s="128"/>
      <c r="M26" s="128"/>
      <c r="N26" s="128"/>
    </row>
    <row r="27" spans="1:14" ht="11.25" hidden="1" customHeight="1" outlineLevel="2" x14ac:dyDescent="0.2">
      <c r="C27" s="37" t="str">
        <f>"∆ "&amp;'Lead NA'!C27</f>
        <v>∆ Dummy 2</v>
      </c>
      <c r="D27" s="37" t="str">
        <f>"∆ "&amp;'Lead NA'!D27</f>
        <v xml:space="preserve">∆ </v>
      </c>
      <c r="E27" s="96"/>
      <c r="F27" s="36">
        <f>-'Lead NA'!F27+'Lead NA'!E27</f>
        <v>0</v>
      </c>
      <c r="G27" s="36">
        <f>-'Lead NA'!G27+'Lead NA'!F27</f>
        <v>0</v>
      </c>
      <c r="H27" s="36">
        <f>-'Lead NA'!H27+'Lead NA'!G27</f>
        <v>0</v>
      </c>
      <c r="I27" s="160"/>
      <c r="J27" s="36">
        <f>-'Lead NA'!I27+'Lead NA'!H27</f>
        <v>0</v>
      </c>
      <c r="K27" s="128">
        <f>-'Lead NA'!J27+'Lead NA'!H27</f>
        <v>0</v>
      </c>
      <c r="L27" s="128">
        <f>-'Lead NA'!K27+'Lead NA'!J27</f>
        <v>0</v>
      </c>
      <c r="M27" s="128">
        <f>-'Lead NA'!L27+'Lead NA'!K27</f>
        <v>0</v>
      </c>
      <c r="N27" s="128">
        <f>-'Lead NA'!M27+'Lead NA'!L27</f>
        <v>0</v>
      </c>
    </row>
    <row r="28" spans="1:14" ht="11.25" hidden="1" customHeight="1" outlineLevel="2" x14ac:dyDescent="0.2">
      <c r="C28" s="37" t="str">
        <f>"∆ "&amp;'Lead NA'!C28</f>
        <v>∆ Dummy 2</v>
      </c>
      <c r="D28" s="37" t="str">
        <f>"∆ "&amp;'Lead NA'!D28</f>
        <v>∆ Dummy 2</v>
      </c>
      <c r="E28" s="96"/>
      <c r="F28" s="36">
        <f>-'Lead NA'!F28+'Lead NA'!E28</f>
        <v>0</v>
      </c>
      <c r="G28" s="36">
        <f>-'Lead NA'!G28+'Lead NA'!F28</f>
        <v>0</v>
      </c>
      <c r="H28" s="36">
        <f>-'Lead NA'!H28+'Lead NA'!G28</f>
        <v>0</v>
      </c>
      <c r="I28" s="160"/>
      <c r="J28" s="36">
        <f>-'Lead NA'!I28+'Lead NA'!H28</f>
        <v>0</v>
      </c>
      <c r="K28" s="128">
        <f>-'Lead NA'!J28+'Lead NA'!H28</f>
        <v>0</v>
      </c>
      <c r="L28" s="128">
        <f>-'Lead NA'!K28+'Lead NA'!J28</f>
        <v>0</v>
      </c>
      <c r="M28" s="128">
        <f>-'Lead NA'!L28+'Lead NA'!K28</f>
        <v>0</v>
      </c>
      <c r="N28" s="128">
        <f>-'Lead NA'!M28+'Lead NA'!L28</f>
        <v>0</v>
      </c>
    </row>
    <row r="29" spans="1:14" ht="11.25" hidden="1" customHeight="1" outlineLevel="2" x14ac:dyDescent="0.2">
      <c r="C29" s="37" t="str">
        <f>"∆ "&amp;'Lead NA'!C29</f>
        <v>∆ Dummy 3</v>
      </c>
      <c r="D29" s="37" t="str">
        <f>"∆ "&amp;'Lead NA'!D29</f>
        <v>∆ Dummy 3</v>
      </c>
      <c r="E29" s="96"/>
      <c r="F29" s="36">
        <f>-'Lead NA'!F29+'Lead NA'!E29</f>
        <v>0</v>
      </c>
      <c r="G29" s="36">
        <f>-'Lead NA'!G29+'Lead NA'!F29</f>
        <v>0</v>
      </c>
      <c r="H29" s="36">
        <f>-'Lead NA'!H29+'Lead NA'!G29</f>
        <v>0</v>
      </c>
      <c r="I29" s="160"/>
      <c r="J29" s="36">
        <f>-'Lead NA'!I29+'Lead NA'!H29</f>
        <v>0</v>
      </c>
      <c r="K29" s="128">
        <f>-'Lead NA'!J29+'Lead NA'!H29</f>
        <v>0</v>
      </c>
      <c r="L29" s="128">
        <f>-'Lead NA'!K29+'Lead NA'!J29</f>
        <v>0</v>
      </c>
      <c r="M29" s="128">
        <f>-'Lead NA'!L29+'Lead NA'!K29</f>
        <v>0</v>
      </c>
      <c r="N29" s="128">
        <f>-'Lead NA'!M29+'Lead NA'!L29</f>
        <v>0</v>
      </c>
    </row>
    <row r="30" spans="1:14" ht="11.25" customHeight="1" collapsed="1" x14ac:dyDescent="0.2">
      <c r="A30" s="483"/>
      <c r="C30" s="37" t="str">
        <f>"∆ "&amp;'Lead NA'!C31</f>
        <v>∆ Sonstige Rückstellungen</v>
      </c>
      <c r="D30" s="37" t="str">
        <f>"∆ "&amp;'Lead NA'!D31</f>
        <v>∆ Other provisions</v>
      </c>
      <c r="E30" s="96"/>
      <c r="F30" s="36">
        <f>-'Lead NA'!F31+'Lead NA'!E31</f>
        <v>527.64377999999999</v>
      </c>
      <c r="G30" s="36">
        <f>-'Lead NA'!G31+'Lead NA'!F31</f>
        <v>-102.73638</v>
      </c>
      <c r="H30" s="36">
        <f>-'Lead NA'!H31+'Lead NA'!G31</f>
        <v>-196.50445000000002</v>
      </c>
      <c r="I30" s="160">
        <f>-NA_monthly!AX32+NA_monthly!AL32</f>
        <v>71.645890000000009</v>
      </c>
      <c r="J30" s="36">
        <f>-'Lead NA'!I31+'Lead NA'!H31</f>
        <v>199.87071000000003</v>
      </c>
      <c r="K30" s="128">
        <f>-'Lead NA'!J31+'Lead NA'!H31</f>
        <v>-228.40294999999998</v>
      </c>
      <c r="L30" s="128">
        <f>-'Lead NA'!K31+'Lead NA'!J31</f>
        <v>0</v>
      </c>
      <c r="M30" s="128">
        <f>-'Lead NA'!L31+'Lead NA'!K31</f>
        <v>0</v>
      </c>
      <c r="N30" s="128">
        <f>-'Lead NA'!M31+'Lead NA'!L31</f>
        <v>0</v>
      </c>
    </row>
    <row r="31" spans="1:14" ht="11.25" customHeight="1" x14ac:dyDescent="0.2">
      <c r="C31" s="37" t="str">
        <f>"∆ "&amp;'Lead NA'!C32</f>
        <v>∆ Sonstige Verbindlichkeiten</v>
      </c>
      <c r="D31" s="37" t="str">
        <f>"∆ "&amp;'Lead NA'!D32</f>
        <v>∆ Other liabilities</v>
      </c>
      <c r="E31" s="96"/>
      <c r="F31" s="36">
        <f>-'Lead NA'!F32+'Lead NA'!E32</f>
        <v>448.46013999999974</v>
      </c>
      <c r="G31" s="36">
        <f>-'Lead NA'!G32+'Lead NA'!F32</f>
        <v>-158.16573000000011</v>
      </c>
      <c r="H31" s="36">
        <f>-'Lead NA'!H32+'Lead NA'!G32</f>
        <v>138.84192000000075</v>
      </c>
      <c r="I31" s="160">
        <f>-NA_monthly!AX33+NA_monthly!AL33</f>
        <v>-103.94464999999985</v>
      </c>
      <c r="J31" s="36">
        <f>-'Lead NA'!I32+'Lead NA'!H32</f>
        <v>-197.39519000000038</v>
      </c>
      <c r="K31" s="128">
        <f>-'Lead NA'!J32+'Lead NA'!H32</f>
        <v>-429.13633000000038</v>
      </c>
      <c r="L31" s="128">
        <f>-'Lead NA'!K32+'Lead NA'!J32</f>
        <v>0</v>
      </c>
      <c r="M31" s="128">
        <f>-'Lead NA'!L32+'Lead NA'!K32</f>
        <v>0</v>
      </c>
      <c r="N31" s="128">
        <f>-'Lead NA'!M32+'Lead NA'!L32</f>
        <v>0</v>
      </c>
    </row>
    <row r="32" spans="1:14" ht="11.25" hidden="1" customHeight="1" outlineLevel="1" x14ac:dyDescent="0.2">
      <c r="C32" s="37" t="str">
        <f>"∆ "&amp;'Lead NA'!C33</f>
        <v>∆ Dummy 1</v>
      </c>
      <c r="D32" s="37" t="str">
        <f>"∆ "&amp;'Lead NA'!D33</f>
        <v>∆ Tax provisions</v>
      </c>
      <c r="E32" s="96"/>
      <c r="F32" s="36">
        <f>-'Lead NA'!F33+'Lead NA'!E33</f>
        <v>0</v>
      </c>
      <c r="G32" s="36">
        <f>-'Lead NA'!G33+'Lead NA'!F33</f>
        <v>0</v>
      </c>
      <c r="H32" s="36">
        <f>-'Lead NA'!H33+'Lead NA'!G33</f>
        <v>0</v>
      </c>
      <c r="I32" s="160"/>
      <c r="J32" s="36">
        <f>-'Lead NA'!I33+'Lead NA'!H33</f>
        <v>0</v>
      </c>
      <c r="K32" s="128"/>
      <c r="L32" s="128"/>
      <c r="M32" s="128"/>
      <c r="N32" s="128"/>
    </row>
    <row r="33" spans="3:16" ht="11.25" hidden="1" customHeight="1" outlineLevel="1" x14ac:dyDescent="0.2">
      <c r="C33" s="37" t="str">
        <f>"∆ "&amp;'Lead NA'!C34</f>
        <v>∆ Dummy 1</v>
      </c>
      <c r="D33" s="37" t="str">
        <f>"∆ "&amp;'Lead NA'!D34</f>
        <v>∆ Liabilities to affiliated/ participating companies</v>
      </c>
      <c r="E33" s="96"/>
      <c r="F33" s="36">
        <f>-'Lead NA'!F34+'Lead NA'!E34</f>
        <v>0</v>
      </c>
      <c r="G33" s="36">
        <f>-'Lead NA'!G34+'Lead NA'!F34</f>
        <v>0</v>
      </c>
      <c r="H33" s="36">
        <f>-'Lead NA'!H34+'Lead NA'!G34</f>
        <v>0</v>
      </c>
      <c r="I33" s="160"/>
      <c r="J33" s="36">
        <f>-'Lead NA'!I34+'Lead NA'!H34</f>
        <v>0</v>
      </c>
      <c r="K33" s="128">
        <f>-'Lead NA'!J34+'Lead NA'!H34</f>
        <v>0</v>
      </c>
      <c r="L33" s="128">
        <f>-'Lead NA'!K34+'Lead NA'!J34</f>
        <v>0</v>
      </c>
      <c r="M33" s="128">
        <f>-'Lead NA'!L34+'Lead NA'!K34</f>
        <v>0</v>
      </c>
      <c r="N33" s="128">
        <f>-'Lead NA'!M34+'Lead NA'!L34</f>
        <v>0</v>
      </c>
    </row>
    <row r="34" spans="3:16" ht="11.25" hidden="1" customHeight="1" outlineLevel="1" x14ac:dyDescent="0.2">
      <c r="C34" s="37" t="str">
        <f>"∆ "&amp;'Lead NA'!C35</f>
        <v>∆ Dummy 1</v>
      </c>
      <c r="D34" s="37" t="str">
        <f>"∆ "&amp;'Lead NA'!D35</f>
        <v>∆ Liabilities to shareholders</v>
      </c>
      <c r="E34" s="96"/>
      <c r="F34" s="36">
        <f>-'Lead NA'!F35+'Lead NA'!E35</f>
        <v>0</v>
      </c>
      <c r="G34" s="36">
        <f>-'Lead NA'!G35+'Lead NA'!F35</f>
        <v>0</v>
      </c>
      <c r="H34" s="36">
        <f>-'Lead NA'!H35+'Lead NA'!G35</f>
        <v>0</v>
      </c>
      <c r="I34" s="160"/>
      <c r="J34" s="36">
        <f>-'Lead NA'!I35+'Lead NA'!H35</f>
        <v>0</v>
      </c>
      <c r="K34" s="128">
        <f>-'Lead NA'!J35+'Lead NA'!H35</f>
        <v>0</v>
      </c>
      <c r="L34" s="128">
        <f>-'Lead NA'!K35+'Lead NA'!J35</f>
        <v>0</v>
      </c>
      <c r="M34" s="128">
        <f>-'Lead NA'!L35+'Lead NA'!K35</f>
        <v>0</v>
      </c>
      <c r="N34" s="128">
        <f>-'Lead NA'!M35+'Lead NA'!L35</f>
        <v>0</v>
      </c>
    </row>
    <row r="35" spans="3:16" ht="11.25" hidden="1" customHeight="1" outlineLevel="1" collapsed="1" x14ac:dyDescent="0.2">
      <c r="C35" s="37" t="str">
        <f>"∆ "&amp;'Lead NA'!C36</f>
        <v>∆ Dummy 1</v>
      </c>
      <c r="D35" s="37" t="str">
        <f>"∆ "&amp;'Lead NA'!D36</f>
        <v>∆ Deferred income</v>
      </c>
      <c r="E35" s="96"/>
      <c r="F35" s="36">
        <f>-'Lead NA'!F36+'Lead NA'!E36</f>
        <v>0</v>
      </c>
      <c r="G35" s="36">
        <f>-'Lead NA'!G36+'Lead NA'!F36</f>
        <v>0</v>
      </c>
      <c r="H35" s="36">
        <f>-'Lead NA'!H36+'Lead NA'!G36</f>
        <v>0</v>
      </c>
      <c r="I35" s="160"/>
      <c r="J35" s="36">
        <f>-'Lead NA'!I36+'Lead NA'!H36</f>
        <v>0</v>
      </c>
      <c r="K35" s="128"/>
      <c r="L35" s="128"/>
      <c r="M35" s="128"/>
      <c r="N35" s="128"/>
    </row>
    <row r="36" spans="3:16" ht="11.25" hidden="1" customHeight="1" outlineLevel="1" x14ac:dyDescent="0.2">
      <c r="C36" s="37" t="str">
        <f>"∆ "&amp;'Lead NA'!C37</f>
        <v>∆ Dummy 1</v>
      </c>
      <c r="D36" s="37" t="str">
        <f>"∆ "&amp;'Lead NA'!D37</f>
        <v>∆ Dummy 1</v>
      </c>
      <c r="E36" s="96"/>
      <c r="F36" s="36">
        <f>-'Lead NA'!F37+'Lead NA'!E37</f>
        <v>0</v>
      </c>
      <c r="G36" s="36">
        <f>-'Lead NA'!G37+'Lead NA'!F37</f>
        <v>0</v>
      </c>
      <c r="H36" s="36">
        <f>-'Lead NA'!H37+'Lead NA'!G37</f>
        <v>0</v>
      </c>
      <c r="I36" s="160"/>
      <c r="J36" s="36">
        <f>-'Lead NA'!I37+'Lead NA'!H37</f>
        <v>0</v>
      </c>
      <c r="K36" s="128"/>
      <c r="L36" s="128"/>
      <c r="M36" s="128"/>
      <c r="N36" s="128"/>
    </row>
    <row r="37" spans="3:16" ht="11.25" hidden="1" customHeight="1" outlineLevel="1" x14ac:dyDescent="0.2">
      <c r="C37" s="37" t="str">
        <f>"∆ "&amp;'Lead NA'!C38</f>
        <v>∆ Dummy 2</v>
      </c>
      <c r="D37" s="37" t="str">
        <f>"∆ "&amp;'Lead NA'!D38</f>
        <v>∆ Dummy 2</v>
      </c>
      <c r="E37" s="96"/>
      <c r="F37" s="36">
        <f>-'Lead NA'!F38+'Lead NA'!E38</f>
        <v>0</v>
      </c>
      <c r="G37" s="36">
        <f>-'Lead NA'!G38+'Lead NA'!F38</f>
        <v>0</v>
      </c>
      <c r="H37" s="36">
        <f>-'Lead NA'!H38+'Lead NA'!G38</f>
        <v>0</v>
      </c>
      <c r="I37" s="160"/>
      <c r="J37" s="36">
        <f>-'Lead NA'!I38+'Lead NA'!H38</f>
        <v>0</v>
      </c>
      <c r="K37" s="128"/>
      <c r="L37" s="128"/>
      <c r="M37" s="128"/>
      <c r="N37" s="128"/>
    </row>
    <row r="38" spans="3:16" ht="11.25" hidden="1" customHeight="1" outlineLevel="1" x14ac:dyDescent="0.2">
      <c r="C38" s="42" t="str">
        <f>"∆ "&amp;'Lead NA'!C39</f>
        <v>∆ Dummy 3</v>
      </c>
      <c r="D38" s="42" t="str">
        <f>"∆ "&amp;'Lead NA'!D39</f>
        <v>∆ Dummy 3</v>
      </c>
      <c r="E38" s="136"/>
      <c r="F38" s="127">
        <f>-'Lead NA'!F39+'Lead NA'!E39</f>
        <v>0</v>
      </c>
      <c r="G38" s="127">
        <f>-'Lead NA'!G39+'Lead NA'!F39</f>
        <v>0</v>
      </c>
      <c r="H38" s="127">
        <f>-'Lead NA'!H39+'Lead NA'!G39</f>
        <v>0</v>
      </c>
      <c r="I38" s="175"/>
      <c r="J38" s="127">
        <f>-'Lead NA'!I39+'Lead NA'!H39</f>
        <v>0</v>
      </c>
      <c r="K38" s="134">
        <f>-'Lead NA'!J39+'Lead NA'!H39</f>
        <v>0</v>
      </c>
      <c r="L38" s="134">
        <f>-'Lead NA'!K39+'Lead NA'!J39</f>
        <v>0</v>
      </c>
      <c r="M38" s="134">
        <f>-'Lead NA'!L39+'Lead NA'!K39</f>
        <v>0</v>
      </c>
      <c r="N38" s="134">
        <f>-'Lead NA'!M39+'Lead NA'!L39</f>
        <v>0</v>
      </c>
    </row>
    <row r="39" spans="3:16" ht="11.25" customHeight="1" collapsed="1" x14ac:dyDescent="0.2">
      <c r="C39" s="147" t="str">
        <f>"∆ "&amp;'Lead NA'!C41</f>
        <v>∆ Other Working Capital</v>
      </c>
      <c r="D39" s="147" t="str">
        <f>"∆ "&amp;'Lead NA'!D41</f>
        <v>∆ Other working capital</v>
      </c>
      <c r="E39" s="181"/>
      <c r="F39" s="147">
        <f t="shared" ref="F39:N39" si="1">SUM(F24:F38)</f>
        <v>912.75600999999972</v>
      </c>
      <c r="G39" s="147">
        <f t="shared" si="1"/>
        <v>-559.97302000000013</v>
      </c>
      <c r="H39" s="147">
        <f t="shared" si="1"/>
        <v>-71.756829999999269</v>
      </c>
      <c r="I39" s="180">
        <f t="shared" si="1"/>
        <v>68.080780000000118</v>
      </c>
      <c r="J39" s="147">
        <f t="shared" si="1"/>
        <v>-162.34965000000037</v>
      </c>
      <c r="K39" s="145">
        <f t="shared" si="1"/>
        <v>-281.02616000000035</v>
      </c>
      <c r="L39" s="145">
        <f t="shared" si="1"/>
        <v>0</v>
      </c>
      <c r="M39" s="145">
        <f t="shared" si="1"/>
        <v>0</v>
      </c>
      <c r="N39" s="145">
        <f t="shared" si="1"/>
        <v>0</v>
      </c>
    </row>
    <row r="40" spans="3:16" ht="11.25" customHeight="1" x14ac:dyDescent="0.2">
      <c r="C40" s="144" t="s">
        <v>349</v>
      </c>
      <c r="D40" s="144" t="s">
        <v>348</v>
      </c>
      <c r="E40" s="96"/>
      <c r="F40" s="144">
        <f>F9+SUM(F10:F11)+F23+F39</f>
        <v>-7306.6069300000026</v>
      </c>
      <c r="G40" s="144">
        <f>G9+SUM(G10:G14)+G23+G39</f>
        <v>-7863.2243899999994</v>
      </c>
      <c r="H40" s="144">
        <f>H9+SUM(H10:H14)+H23+H39</f>
        <v>-8574.2323599999982</v>
      </c>
      <c r="I40" s="166">
        <f>I9+SUM(I10:I14)+I23+I39</f>
        <v>-8525.5243399999927</v>
      </c>
      <c r="J40" s="144">
        <f>J9+SUM(J10:J14)+J23+J39</f>
        <v>-5915.461999999995</v>
      </c>
      <c r="K40" s="142">
        <f>K9+SUM(K10:K11)+K23+K39</f>
        <v>4343.2208300000002</v>
      </c>
      <c r="L40" s="142">
        <f>L9+SUM(L10:L11)+L23+L39</f>
        <v>0</v>
      </c>
      <c r="M40" s="142">
        <f>M9+SUM(M10:M11)+M23+M39</f>
        <v>0</v>
      </c>
      <c r="N40" s="142">
        <f>N9+SUM(N10:N11)+N23+N39</f>
        <v>0</v>
      </c>
    </row>
    <row r="41" spans="3:16" ht="4.5" customHeight="1" x14ac:dyDescent="0.2">
      <c r="C41" s="37"/>
      <c r="D41" s="37"/>
      <c r="E41" s="96"/>
      <c r="F41" s="36"/>
      <c r="G41" s="36"/>
      <c r="H41" s="36"/>
      <c r="I41" s="160"/>
      <c r="J41" s="36"/>
      <c r="K41" s="128"/>
      <c r="L41" s="128"/>
      <c r="M41" s="128"/>
      <c r="N41" s="128"/>
    </row>
    <row r="42" spans="3:16" ht="11.25" customHeight="1" x14ac:dyDescent="0.2">
      <c r="C42" s="37" t="s">
        <v>179</v>
      </c>
      <c r="D42" s="37" t="s">
        <v>346</v>
      </c>
      <c r="E42" s="96"/>
      <c r="F42" s="36">
        <f>-('Lead NA'!F15-'Lead NA'!E15)+'Lead PL'!F44</f>
        <v>-1549.2268199999999</v>
      </c>
      <c r="G42" s="36">
        <f>-('Lead NA'!G15-'Lead NA'!F15)+'Lead PL'!G44</f>
        <v>-31.715710000000058</v>
      </c>
      <c r="H42" s="36">
        <f>-('Lead NA'!H15-'Lead NA'!G15)+'Lead PL'!H44</f>
        <v>-520.92459000000008</v>
      </c>
      <c r="I42" s="160">
        <f>-(NA_monthly!AX15-NA_monthly!AL15)+SUM(PL_monthly!AM35:AX35)</f>
        <v>-334.70817999999986</v>
      </c>
      <c r="J42" s="36">
        <f>-('Lead NA'!I15-'Lead NA'!H15)+'Lead PL'!I44</f>
        <v>-550.97059999999988</v>
      </c>
      <c r="K42" s="128"/>
      <c r="L42" s="128"/>
      <c r="M42" s="128"/>
      <c r="N42" s="128"/>
    </row>
    <row r="43" spans="3:16" ht="11.25" hidden="1" customHeight="1" outlineLevel="1" x14ac:dyDescent="0.25">
      <c r="C43" s="37" t="s">
        <v>209</v>
      </c>
      <c r="D43" s="37" t="s">
        <v>344</v>
      </c>
      <c r="E43" s="96"/>
      <c r="F43" s="36"/>
      <c r="G43" s="36"/>
      <c r="H43" s="36"/>
      <c r="I43" s="160"/>
      <c r="J43" s="36"/>
      <c r="K43" s="128"/>
      <c r="L43" s="128"/>
      <c r="M43" s="128"/>
      <c r="N43" s="128"/>
      <c r="P43" s="179" t="s">
        <v>762</v>
      </c>
    </row>
    <row r="44" spans="3:16" ht="11.25" hidden="1" customHeight="1" outlineLevel="1" x14ac:dyDescent="0.25">
      <c r="C44" s="37" t="s">
        <v>209</v>
      </c>
      <c r="D44" s="37" t="s">
        <v>209</v>
      </c>
      <c r="E44" s="96"/>
      <c r="F44" s="36"/>
      <c r="G44" s="36"/>
      <c r="H44" s="36"/>
      <c r="I44" s="160"/>
      <c r="J44" s="36"/>
      <c r="K44" s="128"/>
      <c r="L44" s="128"/>
      <c r="M44" s="128"/>
      <c r="N44" s="128"/>
      <c r="P44" s="179"/>
    </row>
    <row r="45" spans="3:16" ht="11.25" hidden="1" customHeight="1" outlineLevel="1" x14ac:dyDescent="0.25">
      <c r="C45" s="37" t="s">
        <v>208</v>
      </c>
      <c r="D45" s="37" t="s">
        <v>208</v>
      </c>
      <c r="E45" s="96"/>
      <c r="F45" s="36"/>
      <c r="G45" s="36"/>
      <c r="H45" s="36"/>
      <c r="I45" s="160"/>
      <c r="J45" s="36"/>
      <c r="K45" s="128"/>
      <c r="L45" s="128"/>
      <c r="M45" s="128"/>
      <c r="N45" s="128"/>
      <c r="P45" s="179"/>
    </row>
    <row r="46" spans="3:16" ht="11.25" hidden="1" customHeight="1" outlineLevel="1" x14ac:dyDescent="0.25">
      <c r="C46" s="42" t="s">
        <v>207</v>
      </c>
      <c r="D46" s="42" t="s">
        <v>207</v>
      </c>
      <c r="E46" s="136"/>
      <c r="F46" s="127"/>
      <c r="G46" s="127"/>
      <c r="H46" s="127"/>
      <c r="I46" s="175"/>
      <c r="J46" s="127"/>
      <c r="K46" s="134"/>
      <c r="L46" s="134"/>
      <c r="M46" s="134"/>
      <c r="N46" s="134"/>
      <c r="P46" s="179"/>
    </row>
    <row r="47" spans="3:16" ht="11.25" customHeight="1" collapsed="1" x14ac:dyDescent="0.2">
      <c r="C47" s="141" t="s">
        <v>343</v>
      </c>
      <c r="D47" s="141" t="s">
        <v>342</v>
      </c>
      <c r="E47" s="178"/>
      <c r="F47" s="141">
        <f t="shared" ref="F47:N47" si="2">SUM(F42:F46)</f>
        <v>-1549.2268199999999</v>
      </c>
      <c r="G47" s="141">
        <f t="shared" si="2"/>
        <v>-31.715710000000058</v>
      </c>
      <c r="H47" s="141">
        <f t="shared" si="2"/>
        <v>-520.92459000000008</v>
      </c>
      <c r="I47" s="177">
        <f t="shared" si="2"/>
        <v>-334.70817999999986</v>
      </c>
      <c r="J47" s="141">
        <f t="shared" si="2"/>
        <v>-550.97059999999988</v>
      </c>
      <c r="K47" s="139">
        <f t="shared" si="2"/>
        <v>0</v>
      </c>
      <c r="L47" s="139">
        <f t="shared" si="2"/>
        <v>0</v>
      </c>
      <c r="M47" s="139">
        <f t="shared" si="2"/>
        <v>0</v>
      </c>
      <c r="N47" s="139">
        <f t="shared" si="2"/>
        <v>0</v>
      </c>
    </row>
    <row r="48" spans="3:16" ht="4.5" customHeight="1" x14ac:dyDescent="0.2">
      <c r="C48" s="37"/>
      <c r="D48" s="37"/>
      <c r="E48" s="96"/>
      <c r="F48" s="36"/>
      <c r="G48" s="36"/>
      <c r="H48" s="36"/>
      <c r="I48" s="160"/>
      <c r="J48" s="36"/>
      <c r="K48" s="128"/>
      <c r="L48" s="128"/>
      <c r="M48" s="128"/>
      <c r="N48" s="128"/>
    </row>
    <row r="49" spans="3:14" ht="11.25" customHeight="1" x14ac:dyDescent="0.2">
      <c r="C49" s="141" t="s">
        <v>863</v>
      </c>
      <c r="D49" s="141" t="s">
        <v>863</v>
      </c>
      <c r="E49" s="178"/>
      <c r="F49" s="141">
        <f>F40+F47</f>
        <v>-8855.8337500000016</v>
      </c>
      <c r="G49" s="141">
        <f>G40+G47</f>
        <v>-7894.9400999999998</v>
      </c>
      <c r="H49" s="141">
        <f>H40+H47</f>
        <v>-9095.1569499999987</v>
      </c>
      <c r="I49" s="177">
        <f>I40+I47</f>
        <v>-8860.2325199999923</v>
      </c>
      <c r="J49" s="141">
        <f>J40+J47</f>
        <v>-6466.4325999999946</v>
      </c>
      <c r="K49" s="128"/>
      <c r="L49" s="128"/>
      <c r="M49" s="128"/>
      <c r="N49" s="128"/>
    </row>
    <row r="50" spans="3:14" ht="4.5" customHeight="1" x14ac:dyDescent="0.2">
      <c r="C50" s="37"/>
      <c r="D50" s="37"/>
      <c r="E50" s="96"/>
      <c r="F50" s="36"/>
      <c r="G50" s="36"/>
      <c r="H50" s="36"/>
      <c r="I50" s="160"/>
      <c r="J50" s="36"/>
      <c r="K50" s="128"/>
      <c r="L50" s="128"/>
      <c r="M50" s="128"/>
      <c r="N50" s="128"/>
    </row>
    <row r="51" spans="3:14" ht="11.25" customHeight="1" x14ac:dyDescent="0.2">
      <c r="C51" s="37" t="str">
        <f>"∆ "&amp;'Lead NA'!C44</f>
        <v>∆ Verbindlichkeiten ggü.Kreditinstituten</v>
      </c>
      <c r="D51" s="37" t="str">
        <f>"∆ "&amp;'Lead NA'!D44</f>
        <v>∆ Liabilities to banks</v>
      </c>
      <c r="E51" s="96"/>
      <c r="F51" s="36">
        <f>-'Lead NA'!F44+'Lead NA'!E44</f>
        <v>0</v>
      </c>
      <c r="G51" s="36">
        <f>-'Lead NA'!G44+'Lead NA'!F44</f>
        <v>0</v>
      </c>
      <c r="H51" s="36">
        <f>-'Lead NA'!H44+'Lead NA'!G44</f>
        <v>0</v>
      </c>
      <c r="I51" s="160">
        <f>-NA_monthly!AX45+NA_monthly!AL45</f>
        <v>19.425000000000001</v>
      </c>
      <c r="J51" s="36">
        <f>-'Lead NA'!I44+'Lead NA'!H44</f>
        <v>19.425000000000001</v>
      </c>
      <c r="K51" s="128"/>
      <c r="L51" s="128"/>
      <c r="M51" s="128"/>
      <c r="N51" s="128"/>
    </row>
    <row r="52" spans="3:14" ht="11.25" hidden="1" customHeight="1" outlineLevel="1" x14ac:dyDescent="0.2">
      <c r="C52" s="37" t="str">
        <f>"∆ "&amp;'Lead NA'!C47</f>
        <v>∆ Dummy 1</v>
      </c>
      <c r="D52" s="37"/>
      <c r="E52" s="96"/>
      <c r="F52" s="36"/>
      <c r="G52" s="36"/>
      <c r="H52" s="36"/>
      <c r="I52" s="160"/>
      <c r="J52" s="36"/>
      <c r="K52" s="128"/>
      <c r="L52" s="128"/>
      <c r="M52" s="128"/>
      <c r="N52" s="128"/>
    </row>
    <row r="53" spans="3:14" ht="11.25" hidden="1" customHeight="1" outlineLevel="1" x14ac:dyDescent="0.2">
      <c r="C53" s="37" t="str">
        <f>"∆ "&amp;'Lead NA'!C47</f>
        <v>∆ Dummy 1</v>
      </c>
      <c r="D53" s="37"/>
      <c r="E53" s="96"/>
      <c r="F53" s="36"/>
      <c r="G53" s="36"/>
      <c r="H53" s="36"/>
      <c r="I53" s="160"/>
      <c r="J53" s="36"/>
      <c r="K53" s="128"/>
      <c r="L53" s="128"/>
      <c r="M53" s="128"/>
      <c r="N53" s="128"/>
    </row>
    <row r="54" spans="3:14" ht="11.25" hidden="1" customHeight="1" outlineLevel="1" x14ac:dyDescent="0.2">
      <c r="C54" s="37" t="str">
        <f>"∆ "&amp;'Lead NA'!C47</f>
        <v>∆ Dummy 1</v>
      </c>
      <c r="D54" s="37" t="str">
        <f>"∆ "&amp;'Lead NA'!D47</f>
        <v>∆ Other provisions</v>
      </c>
      <c r="E54" s="96"/>
      <c r="F54" s="36">
        <f>-'Lead NA'!F47+'Lead NA'!E47</f>
        <v>0</v>
      </c>
      <c r="G54" s="36">
        <f>-'Lead NA'!G47+'Lead NA'!F47</f>
        <v>0</v>
      </c>
      <c r="H54" s="36">
        <f>-'Lead NA'!H47+'Lead NA'!G47</f>
        <v>0</v>
      </c>
      <c r="I54" s="160"/>
      <c r="J54" s="36">
        <f>-'Lead NA'!I47+'Lead NA'!H47</f>
        <v>2.3283064365386963E-13</v>
      </c>
      <c r="K54" s="128"/>
      <c r="L54" s="128"/>
      <c r="M54" s="128"/>
      <c r="N54" s="128"/>
    </row>
    <row r="55" spans="3:14" ht="11.25" customHeight="1" collapsed="1" x14ac:dyDescent="0.2">
      <c r="C55" s="37" t="str">
        <f>"∆ "&amp;'Lead NA'!C48</f>
        <v>∆ Sonstige Wertpapiere</v>
      </c>
      <c r="D55" s="37" t="str">
        <f>"∆ "&amp;'Lead NA'!D48</f>
        <v>∆ Short-term securities</v>
      </c>
      <c r="E55" s="96"/>
      <c r="F55" s="36">
        <f>-'Lead NA'!F48+'Lead NA'!E48</f>
        <v>0</v>
      </c>
      <c r="G55" s="36">
        <f>-'Lead NA'!G48+'Lead NA'!F48</f>
        <v>0</v>
      </c>
      <c r="H55" s="36">
        <f>-'Lead NA'!H48+'Lead NA'!G48</f>
        <v>-109.79174999999999</v>
      </c>
      <c r="I55" s="160">
        <f>-NA_monthly!AX49+NA_monthly!AL49</f>
        <v>-78.650000000000006</v>
      </c>
      <c r="J55" s="36">
        <f>-'Lead NA'!I48+'Lead NA'!H48</f>
        <v>109.79174999999999</v>
      </c>
      <c r="K55" s="128"/>
      <c r="L55" s="128"/>
      <c r="M55" s="128"/>
      <c r="N55" s="128"/>
    </row>
    <row r="56" spans="3:14" ht="11.25" hidden="1" customHeight="1" outlineLevel="1" x14ac:dyDescent="0.2">
      <c r="C56" s="37" t="s">
        <v>341</v>
      </c>
      <c r="D56" s="37" t="s">
        <v>340</v>
      </c>
      <c r="E56" s="96"/>
      <c r="F56" s="36"/>
      <c r="G56" s="36"/>
      <c r="H56" s="36"/>
      <c r="I56" s="160"/>
      <c r="J56" s="36"/>
      <c r="K56" s="128"/>
      <c r="L56" s="128"/>
      <c r="M56" s="128"/>
      <c r="N56" s="128"/>
    </row>
    <row r="57" spans="3:14" ht="11.65" customHeight="1" collapsed="1" x14ac:dyDescent="0.2">
      <c r="C57" s="37" t="str">
        <f>'Lead PL'!C55</f>
        <v>Finanzergebnis</v>
      </c>
      <c r="D57" s="37" t="str">
        <f>'Lead PL'!D55</f>
        <v>Financial result</v>
      </c>
      <c r="E57" s="96"/>
      <c r="F57" s="36">
        <f>'Lead PL'!F55</f>
        <v>-135.49096</v>
      </c>
      <c r="G57" s="36">
        <f>'Lead PL'!G55</f>
        <v>-34.343640000000001</v>
      </c>
      <c r="H57" s="36">
        <f>'Lead PL'!H55</f>
        <v>-4.4451499999999999</v>
      </c>
      <c r="I57" s="160">
        <f>'Lead PL'!I55</f>
        <v>-2.3489800000000001</v>
      </c>
      <c r="J57" s="36">
        <f>'Lead PL'!I55</f>
        <v>-2.3489800000000001</v>
      </c>
      <c r="K57" s="128">
        <f>'Lead PL'!K55</f>
        <v>0</v>
      </c>
      <c r="L57" s="128">
        <f>'Lead PL'!L55</f>
        <v>0</v>
      </c>
      <c r="M57" s="128">
        <f>'Lead PL'!M55</f>
        <v>0</v>
      </c>
      <c r="N57" s="128">
        <f>'Lead PL'!N55</f>
        <v>0</v>
      </c>
    </row>
    <row r="58" spans="3:14" ht="11.25" customHeight="1" x14ac:dyDescent="0.2">
      <c r="C58" s="42" t="s">
        <v>275</v>
      </c>
      <c r="D58" s="42" t="s">
        <v>274</v>
      </c>
      <c r="E58" s="136"/>
      <c r="F58" s="127">
        <f>'Lead NA'!F60</f>
        <v>-880</v>
      </c>
      <c r="G58" s="127">
        <f>'Lead NA'!G60</f>
        <v>-450</v>
      </c>
      <c r="H58" s="127">
        <f>'Lead NA'!H60</f>
        <v>-900</v>
      </c>
      <c r="I58" s="160"/>
      <c r="J58" s="127">
        <f>'Lead NA'!I60</f>
        <v>0</v>
      </c>
      <c r="K58" s="134">
        <f>'Lead NA'!J60</f>
        <v>0</v>
      </c>
      <c r="L58" s="134">
        <f>'Lead NA'!K60</f>
        <v>0</v>
      </c>
      <c r="M58" s="134">
        <f>'Lead NA'!L60</f>
        <v>0</v>
      </c>
      <c r="N58" s="134">
        <f>'Lead NA'!M60</f>
        <v>0</v>
      </c>
    </row>
    <row r="59" spans="3:14" ht="11.25" customHeight="1" x14ac:dyDescent="0.2">
      <c r="C59" s="141" t="s">
        <v>339</v>
      </c>
      <c r="D59" s="141" t="s">
        <v>338</v>
      </c>
      <c r="E59" s="178"/>
      <c r="F59" s="141">
        <f t="shared" ref="F59:N59" si="3">SUM(F51:F58)</f>
        <v>-1015.49096</v>
      </c>
      <c r="G59" s="141">
        <f t="shared" si="3"/>
        <v>-484.34363999999999</v>
      </c>
      <c r="H59" s="141">
        <f t="shared" si="3"/>
        <v>-1014.2369</v>
      </c>
      <c r="I59" s="177">
        <f t="shared" si="3"/>
        <v>-61.573980000000006</v>
      </c>
      <c r="J59" s="141">
        <f t="shared" si="3"/>
        <v>126.86777000000022</v>
      </c>
      <c r="K59" s="139">
        <f t="shared" si="3"/>
        <v>0</v>
      </c>
      <c r="L59" s="139">
        <f t="shared" si="3"/>
        <v>0</v>
      </c>
      <c r="M59" s="139">
        <f t="shared" si="3"/>
        <v>0</v>
      </c>
      <c r="N59" s="139">
        <f t="shared" si="3"/>
        <v>0</v>
      </c>
    </row>
    <row r="60" spans="3:14" ht="4.5" customHeight="1" x14ac:dyDescent="0.2">
      <c r="C60" s="144"/>
      <c r="D60" s="144"/>
      <c r="E60" s="96"/>
      <c r="F60" s="144"/>
      <c r="G60" s="144"/>
      <c r="H60" s="144"/>
      <c r="I60" s="166"/>
      <c r="J60" s="144"/>
      <c r="K60" s="142"/>
      <c r="L60" s="142"/>
      <c r="M60" s="142"/>
      <c r="N60" s="142"/>
    </row>
    <row r="61" spans="3:14" ht="4.5" customHeight="1" x14ac:dyDescent="0.2">
      <c r="C61" s="42"/>
      <c r="D61" s="42"/>
      <c r="E61" s="136"/>
      <c r="F61" s="127"/>
      <c r="G61" s="127"/>
      <c r="H61" s="127"/>
      <c r="I61" s="175"/>
      <c r="J61" s="127"/>
      <c r="K61" s="134"/>
      <c r="L61" s="134"/>
      <c r="M61" s="134"/>
      <c r="N61" s="134"/>
    </row>
    <row r="62" spans="3:14" ht="11.25" customHeight="1" x14ac:dyDescent="0.2">
      <c r="C62" s="174" t="s">
        <v>337</v>
      </c>
      <c r="D62" s="174" t="s">
        <v>336</v>
      </c>
      <c r="E62" s="136"/>
      <c r="F62" s="172">
        <f>F49+F59</f>
        <v>-9871.3247100000008</v>
      </c>
      <c r="G62" s="172">
        <f>G49+G59</f>
        <v>-8379.2837399999989</v>
      </c>
      <c r="H62" s="172">
        <f>H49+H59</f>
        <v>-10109.393849999999</v>
      </c>
      <c r="I62" s="171">
        <f>I49+I59</f>
        <v>-8921.8064999999915</v>
      </c>
      <c r="J62" s="172">
        <f>J49+J59</f>
        <v>-6339.5648299999948</v>
      </c>
      <c r="K62" s="169">
        <f>SUM(K40,K47,K59)</f>
        <v>4343.2208300000002</v>
      </c>
      <c r="L62" s="169">
        <f>SUM(L40,L47,L59)</f>
        <v>0</v>
      </c>
      <c r="M62" s="169">
        <f>SUM(M40,M47,M59)</f>
        <v>0</v>
      </c>
      <c r="N62" s="169">
        <f>SUM(N40,N47,N59)</f>
        <v>0</v>
      </c>
    </row>
    <row r="63" spans="3:14" ht="4.5" customHeight="1" x14ac:dyDescent="0.2">
      <c r="C63" s="37"/>
      <c r="D63" s="37"/>
      <c r="E63" s="96"/>
      <c r="F63" s="36"/>
      <c r="G63" s="36"/>
      <c r="H63" s="36"/>
      <c r="I63" s="160"/>
      <c r="J63" s="36"/>
      <c r="K63" s="128"/>
      <c r="L63" s="128"/>
      <c r="M63" s="128"/>
      <c r="N63" s="128"/>
    </row>
    <row r="64" spans="3:14" ht="11.25" customHeight="1" x14ac:dyDescent="0.2">
      <c r="C64" s="37" t="s">
        <v>335</v>
      </c>
      <c r="D64" s="37" t="s">
        <v>334</v>
      </c>
      <c r="E64" s="96"/>
      <c r="F64" s="36">
        <f>E66</f>
        <v>0</v>
      </c>
      <c r="G64" s="36">
        <f>F66</f>
        <v>3008.3486599999997</v>
      </c>
      <c r="H64" s="36">
        <f>G66</f>
        <v>-5370.9350799999993</v>
      </c>
      <c r="I64" s="176">
        <f>NA_monthly!AL44</f>
        <v>1633.0420799999999</v>
      </c>
      <c r="J64" s="36">
        <f>H66</f>
        <v>-15480.328929999998</v>
      </c>
      <c r="K64" s="128">
        <f>H66</f>
        <v>-15480.328929999998</v>
      </c>
      <c r="L64" s="128">
        <f>K66</f>
        <v>-11137.108099999998</v>
      </c>
      <c r="M64" s="128">
        <f>L66</f>
        <v>-11137.108099999998</v>
      </c>
      <c r="N64" s="128">
        <f>M66</f>
        <v>-11137.108099999998</v>
      </c>
    </row>
    <row r="65" spans="3:14" ht="11.25" customHeight="1" x14ac:dyDescent="0.2">
      <c r="C65" s="42" t="str">
        <f>C62</f>
        <v>Veränderung Liquide Mittel</v>
      </c>
      <c r="D65" s="42" t="str">
        <f>D62</f>
        <v>Total change in cash</v>
      </c>
      <c r="E65" s="136"/>
      <c r="F65" s="127">
        <f t="shared" ref="F65:N65" si="4">F62</f>
        <v>-9871.3247100000008</v>
      </c>
      <c r="G65" s="127">
        <f t="shared" si="4"/>
        <v>-8379.2837399999989</v>
      </c>
      <c r="H65" s="127">
        <f t="shared" si="4"/>
        <v>-10109.393849999999</v>
      </c>
      <c r="I65" s="175">
        <f t="shared" si="4"/>
        <v>-8921.8064999999915</v>
      </c>
      <c r="J65" s="127">
        <f t="shared" si="4"/>
        <v>-6339.5648299999948</v>
      </c>
      <c r="K65" s="134">
        <f t="shared" si="4"/>
        <v>4343.2208300000002</v>
      </c>
      <c r="L65" s="134">
        <f t="shared" si="4"/>
        <v>0</v>
      </c>
      <c r="M65" s="134">
        <f t="shared" si="4"/>
        <v>0</v>
      </c>
      <c r="N65" s="134">
        <f t="shared" si="4"/>
        <v>0</v>
      </c>
    </row>
    <row r="66" spans="3:14" ht="11.25" customHeight="1" x14ac:dyDescent="0.2">
      <c r="C66" s="174" t="s">
        <v>332</v>
      </c>
      <c r="D66" s="174" t="s">
        <v>331</v>
      </c>
      <c r="E66" s="173">
        <f>'Lead NA'!E43</f>
        <v>0</v>
      </c>
      <c r="F66" s="172">
        <f>'Lead NA'!F43</f>
        <v>3008.3486599999997</v>
      </c>
      <c r="G66" s="172">
        <f t="shared" ref="G66:N66" si="5">SUM(G64:G65)</f>
        <v>-5370.9350799999993</v>
      </c>
      <c r="H66" s="172">
        <f t="shared" si="5"/>
        <v>-15480.328929999998</v>
      </c>
      <c r="I66" s="171">
        <f t="shared" si="5"/>
        <v>-7288.7644199999913</v>
      </c>
      <c r="J66" s="172">
        <f t="shared" si="5"/>
        <v>-21819.893759999992</v>
      </c>
      <c r="K66" s="169">
        <f t="shared" si="5"/>
        <v>-11137.108099999998</v>
      </c>
      <c r="L66" s="169">
        <f t="shared" si="5"/>
        <v>-11137.108099999998</v>
      </c>
      <c r="M66" s="169">
        <f t="shared" si="5"/>
        <v>-11137.108099999998</v>
      </c>
      <c r="N66" s="169">
        <f t="shared" si="5"/>
        <v>-11137.108099999998</v>
      </c>
    </row>
    <row r="67" spans="3:14" ht="4.5" customHeight="1" x14ac:dyDescent="0.2">
      <c r="C67" s="168"/>
      <c r="D67" s="168"/>
      <c r="E67" s="167"/>
      <c r="F67" s="167"/>
      <c r="G67" s="144"/>
      <c r="H67" s="144"/>
      <c r="I67" s="166"/>
      <c r="J67" s="144"/>
      <c r="K67" s="165"/>
      <c r="L67" s="165"/>
      <c r="M67" s="165"/>
      <c r="N67" s="165"/>
    </row>
    <row r="68" spans="3:14" ht="11.25" customHeight="1" x14ac:dyDescent="0.2">
      <c r="C68" s="168" t="s">
        <v>330</v>
      </c>
      <c r="D68" s="168" t="s">
        <v>329</v>
      </c>
      <c r="E68" s="167"/>
      <c r="F68" s="167"/>
      <c r="G68" s="144"/>
      <c r="H68" s="144"/>
      <c r="I68" s="166"/>
      <c r="J68" s="144"/>
      <c r="K68" s="165"/>
      <c r="L68" s="165"/>
      <c r="M68" s="165"/>
      <c r="N68" s="165"/>
    </row>
    <row r="69" spans="3:14" ht="11.25" customHeight="1" x14ac:dyDescent="0.2">
      <c r="C69" s="164" t="s">
        <v>328</v>
      </c>
      <c r="D69" s="164" t="s">
        <v>328</v>
      </c>
      <c r="E69" s="96"/>
      <c r="F69" s="163">
        <f t="shared" ref="F69:N69" si="6">IFERROR(F40/F$9,"n/a")</f>
        <v>1.6656263969705514</v>
      </c>
      <c r="G69" s="163">
        <f t="shared" si="6"/>
        <v>1.2113402617790434</v>
      </c>
      <c r="H69" s="163">
        <f t="shared" si="6"/>
        <v>1.2917773464919176</v>
      </c>
      <c r="I69" s="162">
        <f t="shared" si="6"/>
        <v>1.4102730139989748</v>
      </c>
      <c r="J69" s="163">
        <f t="shared" si="6"/>
        <v>0.97852238656988022</v>
      </c>
      <c r="K69" s="161" t="str">
        <f t="shared" si="6"/>
        <v>n/a</v>
      </c>
      <c r="L69" s="161" t="str">
        <f t="shared" si="6"/>
        <v>n/a</v>
      </c>
      <c r="M69" s="161" t="str">
        <f t="shared" si="6"/>
        <v>n/a</v>
      </c>
      <c r="N69" s="161" t="str">
        <f t="shared" si="6"/>
        <v>n/a</v>
      </c>
    </row>
    <row r="70" spans="3:14" ht="11.25" customHeight="1" x14ac:dyDescent="0.2">
      <c r="C70" s="164" t="s">
        <v>327</v>
      </c>
      <c r="D70" s="164" t="s">
        <v>327</v>
      </c>
      <c r="E70" s="96"/>
      <c r="F70" s="163">
        <f t="shared" ref="F70:N70" si="7">IFERROR((F40+F47)/F$9,"n/a")</f>
        <v>2.0187907468539166</v>
      </c>
      <c r="G70" s="163">
        <f t="shared" si="7"/>
        <v>1.2162261094349702</v>
      </c>
      <c r="H70" s="163">
        <f t="shared" si="7"/>
        <v>1.3702588427167985</v>
      </c>
      <c r="I70" s="162">
        <f t="shared" si="7"/>
        <v>1.4656396864749472</v>
      </c>
      <c r="J70" s="163">
        <f t="shared" si="7"/>
        <v>1.0696627009598365</v>
      </c>
      <c r="K70" s="161" t="str">
        <f t="shared" si="7"/>
        <v>n/a</v>
      </c>
      <c r="L70" s="161" t="str">
        <f t="shared" si="7"/>
        <v>n/a</v>
      </c>
      <c r="M70" s="161" t="str">
        <f t="shared" si="7"/>
        <v>n/a</v>
      </c>
      <c r="N70" s="161" t="str">
        <f t="shared" si="7"/>
        <v>n/a</v>
      </c>
    </row>
    <row r="71" spans="3:14" ht="4.5" customHeight="1" x14ac:dyDescent="0.2">
      <c r="C71" s="37"/>
      <c r="D71" s="37"/>
      <c r="E71" s="36"/>
      <c r="F71" s="36"/>
      <c r="G71" s="36"/>
      <c r="H71" s="36"/>
      <c r="I71" s="160"/>
      <c r="J71" s="36"/>
      <c r="K71" s="128"/>
      <c r="L71" s="128"/>
      <c r="M71" s="128"/>
      <c r="N71" s="128"/>
    </row>
    <row r="72" spans="3:14" ht="11.25" customHeight="1" x14ac:dyDescent="0.2">
      <c r="C72" s="76" t="str">
        <f>"Quelle: "&amp;Cockpit!$C$7</f>
        <v>Quelle: Datenraum/ eigene Analysen</v>
      </c>
      <c r="D72" s="76" t="str">
        <f>"Source: "&amp;Cockpit!$C$8</f>
        <v>Source: Virtual Data Room/ Company Information</v>
      </c>
      <c r="E72" s="127"/>
      <c r="F72" s="127"/>
      <c r="G72" s="127"/>
      <c r="H72" s="127"/>
      <c r="I72" s="126"/>
      <c r="J72" s="127"/>
      <c r="K72" s="126"/>
      <c r="L72" s="126"/>
      <c r="M72" s="126"/>
      <c r="N72" s="126"/>
    </row>
    <row r="73" spans="3:14" ht="11.25" customHeight="1" x14ac:dyDescent="0.2"/>
    <row r="74" spans="3:14" ht="11.25" customHeight="1" x14ac:dyDescent="0.2"/>
    <row r="75" spans="3:14" ht="11.25" customHeight="1" x14ac:dyDescent="0.25">
      <c r="E75" s="159" t="s">
        <v>326</v>
      </c>
      <c r="F75" s="159"/>
    </row>
    <row r="76" spans="3:14" x14ac:dyDescent="0.2">
      <c r="C76" s="72" t="s">
        <v>325</v>
      </c>
      <c r="D76" s="72" t="s">
        <v>324</v>
      </c>
      <c r="E76" s="71">
        <f>'Lead NA'!E43</f>
        <v>0</v>
      </c>
      <c r="F76" s="71">
        <f>'Lead NA'!F43</f>
        <v>3008.3486599999997</v>
      </c>
      <c r="G76" s="71">
        <f>'Lead NA'!G43</f>
        <v>2715.5673000000002</v>
      </c>
      <c r="H76" s="71">
        <f>'Lead NA'!H43</f>
        <v>1004.06084</v>
      </c>
      <c r="I76" s="71">
        <f>'Lead NA'!I43</f>
        <v>2026.2807</v>
      </c>
      <c r="J76" s="71">
        <f>'Lead NA'!I43</f>
        <v>2026.2807</v>
      </c>
      <c r="K76" s="71">
        <f>'Lead NA'!J43</f>
        <v>0</v>
      </c>
      <c r="L76" s="71">
        <f>'Lead NA'!K43</f>
        <v>0</v>
      </c>
      <c r="M76" s="71">
        <f>'Lead NA'!L43</f>
        <v>0</v>
      </c>
      <c r="N76" s="71">
        <f>'Lead NA'!M43</f>
        <v>0</v>
      </c>
    </row>
    <row r="77" spans="3:14" x14ac:dyDescent="0.2">
      <c r="C77" s="70" t="s">
        <v>233</v>
      </c>
      <c r="D77" s="69" t="s">
        <v>233</v>
      </c>
      <c r="E77" s="68">
        <f>E76-E66</f>
        <v>0</v>
      </c>
      <c r="F77" s="158">
        <f t="shared" ref="F77:N77" si="8">F76-F66</f>
        <v>0</v>
      </c>
      <c r="G77" s="68">
        <f t="shared" si="8"/>
        <v>8086.5023799999999</v>
      </c>
      <c r="H77" s="68">
        <f t="shared" si="8"/>
        <v>16484.389769999998</v>
      </c>
      <c r="I77" s="68">
        <f t="shared" si="8"/>
        <v>9315.0451199999916</v>
      </c>
      <c r="J77" s="68">
        <f t="shared" si="8"/>
        <v>23846.174459999991</v>
      </c>
      <c r="K77" s="158">
        <f t="shared" si="8"/>
        <v>11137.108099999998</v>
      </c>
      <c r="L77" s="158">
        <f t="shared" si="8"/>
        <v>11137.108099999998</v>
      </c>
      <c r="M77" s="158">
        <f t="shared" si="8"/>
        <v>11137.108099999998</v>
      </c>
      <c r="N77" s="158">
        <f t="shared" si="8"/>
        <v>11137.108099999998</v>
      </c>
    </row>
    <row r="79" spans="3:14" x14ac:dyDescent="0.2">
      <c r="C79" s="70" t="s">
        <v>760</v>
      </c>
      <c r="D79" s="70" t="s">
        <v>760</v>
      </c>
      <c r="E79" s="158"/>
      <c r="F79" s="68"/>
      <c r="G79" s="68">
        <f>('Lead NA'!G23-'Lead NA'!F23)+G23</f>
        <v>4.5474735088646412E-13</v>
      </c>
      <c r="H79" s="68">
        <f>('Lead NA'!H23-'Lead NA'!G23)+H23</f>
        <v>0</v>
      </c>
      <c r="I79" s="68">
        <f>-NA_monthly!AX23+NA_monthly!AL23-I23</f>
        <v>0</v>
      </c>
      <c r="J79" s="68"/>
    </row>
    <row r="81" spans="3:10" x14ac:dyDescent="0.2">
      <c r="C81" s="70" t="s">
        <v>761</v>
      </c>
      <c r="D81" s="70" t="s">
        <v>761</v>
      </c>
      <c r="E81" s="158"/>
      <c r="F81" s="68"/>
      <c r="G81" s="68">
        <f>('Lead NA'!G41-'Lead NA'!F41)+G39</f>
        <v>0</v>
      </c>
      <c r="H81" s="68">
        <f>('Lead NA'!H41-'Lead NA'!G41)+H39</f>
        <v>0</v>
      </c>
      <c r="I81" s="68">
        <f>-NA_monthly!AX42+NA_monthly!AL42-I39</f>
        <v>-1.1368683772161603E-13</v>
      </c>
      <c r="J81" s="68"/>
    </row>
  </sheetData>
  <conditionalFormatting sqref="A1:XFD1048576">
    <cfRule type="containsText" dxfId="313" priority="28" operator="containsText" text="DUmmy">
      <formula>NOT(ISERROR(SEARCH("DUmmy",A1)))</formula>
    </cfRule>
  </conditionalFormatting>
  <conditionalFormatting sqref="E79:J79">
    <cfRule type="cellIs" dxfId="312" priority="38" operator="between">
      <formula>-1</formula>
      <formula>1</formula>
    </cfRule>
    <cfRule type="cellIs" dxfId="311" priority="39" operator="lessThan">
      <formula>-1</formula>
    </cfRule>
    <cfRule type="cellIs" dxfId="310" priority="40" operator="greaterThan">
      <formula>1</formula>
    </cfRule>
  </conditionalFormatting>
  <conditionalFormatting sqref="E81:J81">
    <cfRule type="cellIs" dxfId="309" priority="29" operator="between">
      <formula>-1</formula>
      <formula>1</formula>
    </cfRule>
    <cfRule type="cellIs" dxfId="308" priority="30" operator="lessThan">
      <formula>-1</formula>
    </cfRule>
    <cfRule type="cellIs" dxfId="307" priority="31" operator="greaterThan">
      <formula>1</formula>
    </cfRule>
  </conditionalFormatting>
  <conditionalFormatting sqref="E77:N77">
    <cfRule type="cellIs" dxfId="306" priority="47" operator="between">
      <formula>-1</formula>
      <formula>1</formula>
    </cfRule>
    <cfRule type="cellIs" dxfId="305" priority="48" operator="lessThan">
      <formula>-1</formula>
    </cfRule>
    <cfRule type="cellIs" dxfId="304" priority="49" operator="greaterThan">
      <formula>1</formula>
    </cfRule>
  </conditionalFormatting>
  <conditionalFormatting sqref="G77:J77">
    <cfRule type="cellIs" dxfId="303" priority="7" operator="between">
      <formula>-1</formula>
      <formula>1</formula>
    </cfRule>
    <cfRule type="cellIs" dxfId="302" priority="8" operator="lessThan">
      <formula>-1</formula>
    </cfRule>
    <cfRule type="cellIs" dxfId="301" priority="9" operator="greaterThan">
      <formula>1</formula>
    </cfRule>
  </conditionalFormatting>
  <conditionalFormatting sqref="G79:J79">
    <cfRule type="cellIs" dxfId="300" priority="25" operator="between">
      <formula>-1</formula>
      <formula>1</formula>
    </cfRule>
    <cfRule type="cellIs" dxfId="299" priority="26" operator="lessThan">
      <formula>-1</formula>
    </cfRule>
    <cfRule type="cellIs" dxfId="298" priority="27" operator="greaterThan">
      <formula>1</formula>
    </cfRule>
  </conditionalFormatting>
  <conditionalFormatting sqref="H81:J81">
    <cfRule type="cellIs" dxfId="297" priority="1" operator="between">
      <formula>-1</formula>
      <formula>1</formula>
    </cfRule>
    <cfRule type="cellIs" dxfId="296" priority="2" operator="lessThan">
      <formula>-1</formula>
    </cfRule>
    <cfRule type="cellIs" dxfId="295" priority="3" operator="greaterThan">
      <formula>1</formula>
    </cfRule>
  </conditionalFormatting>
  <pageMargins left="0.7" right="0.7" top="0.78740157499999996" bottom="0.78740157499999996" header="0.3" footer="0.3"/>
  <pageSetup paperSize="9" scale="59" orientation="portrait" r:id="rId1"/>
  <colBreaks count="1" manualBreakCount="1">
    <brk id="16" max="1048575" man="1"/>
  </colBreaks>
  <customProperties>
    <customPr name="AreLinksHighlighte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6277-6E03-4D63-B256-1271B3810869}">
  <sheetPr>
    <tabColor theme="1"/>
  </sheetPr>
  <dimension ref="A1"/>
  <sheetViews>
    <sheetView workbookViewId="0"/>
  </sheetViews>
  <sheetFormatPr defaultColWidth="11" defaultRowHeight="12" x14ac:dyDescent="0.2"/>
  <cols>
    <col min="1" max="16384" width="11" style="1"/>
  </cols>
  <sheetData/>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1BA77-E49D-4441-AA0E-9DD7A1EEB755}">
  <sheetPr>
    <tabColor rgb="FFFF0000"/>
  </sheetPr>
  <dimension ref="A1:AB54"/>
  <sheetViews>
    <sheetView topLeftCell="A3" workbookViewId="0"/>
  </sheetViews>
  <sheetFormatPr defaultColWidth="10.140625" defaultRowHeight="11.45" customHeight="1" outlineLevelRow="3" outlineLevelCol="2" x14ac:dyDescent="0.2"/>
  <cols>
    <col min="1" max="1" width="10.140625" style="185"/>
    <col min="2" max="2" width="0.7109375" style="185" customWidth="1" outlineLevel="2"/>
    <col min="3" max="3" width="35.5703125" style="185" customWidth="1" outlineLevel="2"/>
    <col min="4" max="4" width="35.5703125" style="185" customWidth="1"/>
    <col min="5" max="5" width="4" style="185" customWidth="1"/>
    <col min="6" max="6" width="6.5703125" style="185" customWidth="1"/>
    <col min="7" max="7" width="1.42578125" style="185" customWidth="1"/>
    <col min="8" max="8" width="4" style="185" customWidth="1"/>
    <col min="9" max="9" width="6.5703125" style="185" customWidth="1"/>
    <col min="10" max="10" width="1.42578125" style="185" customWidth="1"/>
    <col min="11" max="11" width="4" style="185" customWidth="1"/>
    <col min="12" max="12" width="6.5703125" style="185" customWidth="1"/>
    <col min="13" max="13" width="1.42578125" style="185" customWidth="1"/>
    <col min="14" max="14" width="3.5703125" style="185" customWidth="1"/>
    <col min="15" max="15" width="6.5703125" style="185" customWidth="1"/>
    <col min="16" max="16" width="1.42578125" style="185" customWidth="1"/>
    <col min="17" max="17" width="4" style="185" customWidth="1"/>
    <col min="18" max="18" width="6.5703125" style="185" customWidth="1"/>
    <col min="19" max="19" width="0.7109375" style="185" hidden="1" customWidth="1" outlineLevel="2"/>
    <col min="20" max="20" width="10.140625" style="185" customWidth="1" collapsed="1"/>
    <col min="21" max="16384" width="10.140625" style="185"/>
  </cols>
  <sheetData>
    <row r="1" spans="1:28" ht="11.45" hidden="1" customHeight="1" outlineLevel="3" x14ac:dyDescent="0.2"/>
    <row r="2" spans="1:28" ht="11.45" hidden="1" customHeight="1" outlineLevel="3" x14ac:dyDescent="0.2"/>
    <row r="3" spans="1:28" ht="11.45" customHeight="1" collapsed="1" x14ac:dyDescent="0.2">
      <c r="R3" s="237"/>
    </row>
    <row r="4" spans="1:28" s="1" customFormat="1" ht="11.65" hidden="1" customHeight="1" outlineLevel="3" x14ac:dyDescent="0.2">
      <c r="C4" s="236" t="str">
        <f>Cockpit!$C$4</f>
        <v>Projekt Namur</v>
      </c>
      <c r="D4" s="230"/>
      <c r="E4" s="996">
        <f>Cockpit!D33</f>
        <v>44926</v>
      </c>
      <c r="F4" s="996"/>
      <c r="G4" s="235"/>
      <c r="H4" s="996">
        <f>Cockpit!E33</f>
        <v>45291</v>
      </c>
      <c r="I4" s="996"/>
      <c r="J4" s="230"/>
      <c r="K4" s="996">
        <f>Cockpit!F33</f>
        <v>45657</v>
      </c>
      <c r="L4" s="996"/>
      <c r="M4" s="230"/>
      <c r="N4" s="997">
        <f>Cockpit!G33</f>
        <v>46022</v>
      </c>
      <c r="O4" s="997"/>
      <c r="P4" s="234"/>
      <c r="Q4" s="997">
        <f>Cockpit!H33</f>
        <v>46022</v>
      </c>
      <c r="R4" s="997"/>
    </row>
    <row r="5" spans="1:28" s="1" customFormat="1" ht="11.65" hidden="1" customHeight="1" outlineLevel="3" x14ac:dyDescent="0.2">
      <c r="C5" s="236" t="str">
        <f>"in T"&amp;Cockpit!$C$5</f>
        <v>in TEUR</v>
      </c>
      <c r="D5" s="230"/>
      <c r="E5" s="231" t="s">
        <v>406</v>
      </c>
      <c r="F5" s="230" t="s">
        <v>35</v>
      </c>
      <c r="G5" s="230"/>
      <c r="H5" s="230" t="s">
        <v>406</v>
      </c>
      <c r="I5" s="230" t="s">
        <v>35</v>
      </c>
      <c r="J5" s="230"/>
      <c r="K5" s="230" t="s">
        <v>406</v>
      </c>
      <c r="L5" s="230" t="s">
        <v>35</v>
      </c>
      <c r="M5" s="230"/>
      <c r="N5" s="230" t="s">
        <v>406</v>
      </c>
      <c r="O5" s="230" t="s">
        <v>16</v>
      </c>
      <c r="P5" s="230"/>
      <c r="Q5" s="230" t="s">
        <v>406</v>
      </c>
      <c r="R5" s="230" t="s">
        <v>14</v>
      </c>
    </row>
    <row r="6" spans="1:28" ht="11.65" customHeight="1" collapsed="1" x14ac:dyDescent="0.2">
      <c r="B6" s="227"/>
      <c r="C6" s="233"/>
      <c r="D6" s="232" t="str">
        <f>Cockpit!$C$4</f>
        <v>Projekt Namur</v>
      </c>
      <c r="E6" s="998">
        <f>Cockpit!D33</f>
        <v>44926</v>
      </c>
      <c r="F6" s="998"/>
      <c r="G6" s="235"/>
      <c r="H6" s="998">
        <f>Cockpit!E33</f>
        <v>45291</v>
      </c>
      <c r="I6" s="998"/>
      <c r="J6" s="230"/>
      <c r="K6" s="998">
        <f>Cockpit!F33</f>
        <v>45657</v>
      </c>
      <c r="L6" s="998"/>
      <c r="M6" s="230"/>
      <c r="N6" s="999">
        <f>Cockpit!G33</f>
        <v>46022</v>
      </c>
      <c r="O6" s="999"/>
      <c r="P6" s="234"/>
      <c r="Q6" s="999">
        <f>Cockpit!H33</f>
        <v>46022</v>
      </c>
      <c r="R6" s="999"/>
      <c r="S6" s="227"/>
    </row>
    <row r="7" spans="1:28" ht="11.65" customHeight="1" x14ac:dyDescent="0.2">
      <c r="B7" s="50"/>
      <c r="C7" s="233"/>
      <c r="D7" s="232" t="str">
        <f>"in k"&amp;Cockpit!$C$5</f>
        <v>in kEUR</v>
      </c>
      <c r="E7" s="231" t="s">
        <v>406</v>
      </c>
      <c r="F7" s="230" t="s">
        <v>3</v>
      </c>
      <c r="G7" s="230"/>
      <c r="H7" s="230" t="s">
        <v>406</v>
      </c>
      <c r="I7" s="230" t="s">
        <v>3</v>
      </c>
      <c r="J7" s="230"/>
      <c r="K7" s="230" t="s">
        <v>406</v>
      </c>
      <c r="L7" s="230" t="s">
        <v>3</v>
      </c>
      <c r="M7" s="230"/>
      <c r="N7" s="230" t="s">
        <v>406</v>
      </c>
      <c r="O7" s="230" t="s">
        <v>16</v>
      </c>
      <c r="P7" s="230"/>
      <c r="Q7" s="230" t="s">
        <v>406</v>
      </c>
      <c r="R7" s="230" t="s">
        <v>14</v>
      </c>
      <c r="S7" s="50"/>
      <c r="T7" s="229"/>
    </row>
    <row r="8" spans="1:28" ht="4.5" customHeight="1" x14ac:dyDescent="0.2">
      <c r="B8" s="227"/>
      <c r="C8" s="122"/>
      <c r="D8" s="122"/>
      <c r="E8" s="122"/>
      <c r="F8" s="214"/>
      <c r="G8" s="214"/>
      <c r="H8" s="214"/>
      <c r="I8" s="122"/>
      <c r="J8" s="122"/>
      <c r="K8" s="122"/>
      <c r="L8" s="122"/>
      <c r="M8" s="122"/>
      <c r="N8" s="122"/>
      <c r="O8" s="122"/>
      <c r="P8" s="122"/>
      <c r="Q8" s="122"/>
      <c r="R8" s="122"/>
      <c r="S8" s="227"/>
    </row>
    <row r="9" spans="1:28" ht="12" x14ac:dyDescent="0.2">
      <c r="B9" s="227"/>
      <c r="C9" s="228" t="s">
        <v>405</v>
      </c>
      <c r="D9" s="228" t="s">
        <v>404</v>
      </c>
      <c r="E9" s="122"/>
      <c r="F9" s="214"/>
      <c r="G9" s="214"/>
      <c r="H9" s="214"/>
      <c r="I9" s="122"/>
      <c r="J9" s="122"/>
      <c r="K9" s="122"/>
      <c r="L9" s="122"/>
      <c r="M9" s="122"/>
      <c r="N9" s="122"/>
      <c r="O9" s="122"/>
      <c r="P9" s="122"/>
      <c r="Q9" s="122"/>
      <c r="R9" s="122"/>
      <c r="S9" s="227"/>
    </row>
    <row r="10" spans="1:28" ht="11.45" customHeight="1" x14ac:dyDescent="0.2">
      <c r="B10" s="121"/>
      <c r="C10" s="109" t="s">
        <v>403</v>
      </c>
      <c r="D10" s="109" t="s">
        <v>218</v>
      </c>
      <c r="E10" s="217"/>
      <c r="F10" s="214"/>
      <c r="G10" s="101"/>
      <c r="H10" s="215"/>
      <c r="I10" s="214"/>
      <c r="J10" s="101"/>
      <c r="K10" s="222">
        <v>1</v>
      </c>
      <c r="L10" s="221"/>
      <c r="M10" s="101"/>
      <c r="N10" s="213"/>
      <c r="O10" s="190"/>
      <c r="P10" s="212"/>
      <c r="Q10" s="226"/>
      <c r="R10" s="223"/>
      <c r="S10" s="121"/>
      <c r="T10" s="193" t="s">
        <v>402</v>
      </c>
      <c r="U10" s="193"/>
      <c r="V10" s="193"/>
      <c r="W10" s="193"/>
      <c r="X10" s="193"/>
      <c r="Y10" s="193"/>
      <c r="Z10" s="193"/>
      <c r="AA10" s="193"/>
      <c r="AB10" s="193"/>
    </row>
    <row r="11" spans="1:28" ht="10.9" customHeight="1" x14ac:dyDescent="0.2">
      <c r="A11" s="220"/>
      <c r="B11" s="121"/>
      <c r="C11" s="109" t="s">
        <v>401</v>
      </c>
      <c r="D11" s="109" t="s">
        <v>217</v>
      </c>
      <c r="E11" s="217"/>
      <c r="F11" s="214"/>
      <c r="G11" s="101"/>
      <c r="H11" s="215"/>
      <c r="I11" s="214"/>
      <c r="J11" s="101"/>
      <c r="K11" s="222">
        <v>2</v>
      </c>
      <c r="L11" s="221"/>
      <c r="M11" s="101"/>
      <c r="N11" s="213"/>
      <c r="O11" s="190"/>
      <c r="P11" s="212"/>
      <c r="Q11" s="224"/>
      <c r="R11" s="223"/>
      <c r="S11" s="121"/>
      <c r="T11" s="193" t="s">
        <v>400</v>
      </c>
      <c r="U11" s="225"/>
      <c r="V11" s="193"/>
      <c r="W11" s="193"/>
      <c r="X11" s="193"/>
      <c r="Y11" s="193"/>
      <c r="Z11" s="193"/>
      <c r="AA11" s="193"/>
      <c r="AB11" s="193"/>
    </row>
    <row r="12" spans="1:28" ht="10.9" customHeight="1" x14ac:dyDescent="0.2">
      <c r="A12" s="220"/>
      <c r="B12" s="121"/>
      <c r="C12" s="109" t="s">
        <v>399</v>
      </c>
      <c r="D12" s="109" t="s">
        <v>216</v>
      </c>
      <c r="E12" s="217"/>
      <c r="F12" s="214"/>
      <c r="G12" s="101"/>
      <c r="H12" s="215"/>
      <c r="I12" s="214"/>
      <c r="J12" s="101"/>
      <c r="K12" s="222">
        <v>3</v>
      </c>
      <c r="L12" s="221"/>
      <c r="M12" s="101"/>
      <c r="N12" s="213"/>
      <c r="O12" s="190"/>
      <c r="P12" s="212"/>
      <c r="Q12" s="224"/>
      <c r="R12" s="223"/>
      <c r="S12" s="121"/>
    </row>
    <row r="13" spans="1:28" ht="11.45" customHeight="1" x14ac:dyDescent="0.2">
      <c r="B13" s="121"/>
      <c r="C13" s="109" t="s">
        <v>398</v>
      </c>
      <c r="D13" s="109" t="s">
        <v>215</v>
      </c>
      <c r="E13" s="217"/>
      <c r="F13" s="101"/>
      <c r="G13" s="101"/>
      <c r="H13" s="215"/>
      <c r="I13" s="101"/>
      <c r="J13" s="101"/>
      <c r="K13" s="222">
        <v>4</v>
      </c>
      <c r="L13" s="221"/>
      <c r="M13" s="101"/>
      <c r="N13" s="213"/>
      <c r="O13" s="190"/>
      <c r="P13" s="212"/>
      <c r="Q13" s="224"/>
      <c r="R13" s="223"/>
      <c r="S13" s="121"/>
    </row>
    <row r="14" spans="1:28" ht="10.9" customHeight="1" x14ac:dyDescent="0.2">
      <c r="A14" s="220"/>
      <c r="B14" s="121"/>
      <c r="C14" s="109" t="s">
        <v>397</v>
      </c>
      <c r="D14" s="109" t="s">
        <v>214</v>
      </c>
      <c r="E14" s="217"/>
      <c r="F14" s="101"/>
      <c r="G14" s="101"/>
      <c r="H14" s="215"/>
      <c r="I14" s="101"/>
      <c r="J14" s="101"/>
      <c r="K14" s="222">
        <v>5</v>
      </c>
      <c r="L14" s="221"/>
      <c r="M14" s="101"/>
      <c r="N14" s="213"/>
      <c r="O14" s="190"/>
      <c r="P14" s="212"/>
      <c r="Q14" s="224"/>
      <c r="R14" s="223"/>
      <c r="S14" s="121"/>
      <c r="U14" s="219"/>
    </row>
    <row r="15" spans="1:28" ht="10.9" customHeight="1" x14ac:dyDescent="0.2">
      <c r="A15" s="220"/>
      <c r="B15" s="121"/>
      <c r="C15" s="109" t="s">
        <v>396</v>
      </c>
      <c r="D15" s="109" t="s">
        <v>395</v>
      </c>
      <c r="E15" s="217"/>
      <c r="F15" s="214"/>
      <c r="G15" s="101"/>
      <c r="H15" s="215"/>
      <c r="I15" s="214"/>
      <c r="J15" s="101"/>
      <c r="K15" s="222">
        <v>6</v>
      </c>
      <c r="L15" s="221"/>
      <c r="M15" s="101"/>
      <c r="N15" s="213"/>
      <c r="O15" s="190"/>
      <c r="P15" s="212"/>
      <c r="Q15" s="218"/>
      <c r="R15" s="108"/>
      <c r="S15" s="121"/>
      <c r="U15" s="219"/>
    </row>
    <row r="16" spans="1:28" ht="11.45" customHeight="1" x14ac:dyDescent="0.2">
      <c r="B16" s="121"/>
      <c r="C16" s="109" t="s">
        <v>394</v>
      </c>
      <c r="D16" s="109" t="s">
        <v>393</v>
      </c>
      <c r="E16" s="217"/>
      <c r="F16" s="101"/>
      <c r="G16" s="101"/>
      <c r="H16" s="215"/>
      <c r="I16" s="101"/>
      <c r="J16" s="101"/>
      <c r="K16" s="222">
        <v>7</v>
      </c>
      <c r="L16" s="221"/>
      <c r="M16" s="101"/>
      <c r="N16" s="213"/>
      <c r="O16" s="190"/>
      <c r="P16" s="212"/>
      <c r="Q16" s="218"/>
      <c r="R16" s="108"/>
      <c r="S16" s="121"/>
    </row>
    <row r="17" spans="1:21" ht="10.9" customHeight="1" x14ac:dyDescent="0.2">
      <c r="A17" s="220"/>
      <c r="B17" s="121"/>
      <c r="C17" s="109" t="s">
        <v>392</v>
      </c>
      <c r="D17" s="109" t="s">
        <v>391</v>
      </c>
      <c r="E17" s="217"/>
      <c r="F17" s="214"/>
      <c r="G17" s="101"/>
      <c r="H17" s="215"/>
      <c r="I17" s="214"/>
      <c r="J17" s="101"/>
      <c r="K17" s="222">
        <v>8</v>
      </c>
      <c r="L17" s="221"/>
      <c r="M17" s="101"/>
      <c r="N17" s="213"/>
      <c r="O17" s="190"/>
      <c r="P17" s="212"/>
      <c r="Q17" s="218"/>
      <c r="R17" s="108"/>
      <c r="S17" s="121"/>
      <c r="U17" s="219"/>
    </row>
    <row r="18" spans="1:21" ht="10.9" customHeight="1" x14ac:dyDescent="0.2">
      <c r="A18" s="220"/>
      <c r="B18" s="121"/>
      <c r="C18" s="109" t="s">
        <v>390</v>
      </c>
      <c r="D18" s="109" t="s">
        <v>389</v>
      </c>
      <c r="E18" s="217"/>
      <c r="F18" s="101"/>
      <c r="G18" s="101"/>
      <c r="H18" s="215"/>
      <c r="I18" s="101"/>
      <c r="J18" s="101"/>
      <c r="K18" s="222">
        <v>9</v>
      </c>
      <c r="L18" s="221"/>
      <c r="M18" s="101"/>
      <c r="N18" s="213"/>
      <c r="O18" s="190"/>
      <c r="P18" s="189"/>
      <c r="Q18" s="218"/>
      <c r="R18" s="108"/>
      <c r="S18" s="121"/>
      <c r="U18" s="219"/>
    </row>
    <row r="19" spans="1:21" ht="10.9" customHeight="1" x14ac:dyDescent="0.2">
      <c r="A19" s="220"/>
      <c r="B19" s="121"/>
      <c r="C19" s="109" t="s">
        <v>388</v>
      </c>
      <c r="D19" s="109" t="s">
        <v>387</v>
      </c>
      <c r="E19" s="217"/>
      <c r="F19" s="101"/>
      <c r="G19" s="101"/>
      <c r="H19" s="215"/>
      <c r="I19" s="101"/>
      <c r="J19" s="101"/>
      <c r="K19" s="222">
        <v>10</v>
      </c>
      <c r="L19" s="221"/>
      <c r="M19" s="101"/>
      <c r="N19" s="213"/>
      <c r="O19" s="190"/>
      <c r="P19" s="212"/>
      <c r="Q19" s="218"/>
      <c r="R19" s="108"/>
      <c r="S19" s="121"/>
      <c r="U19" s="219"/>
    </row>
    <row r="20" spans="1:21" ht="10.9" hidden="1" customHeight="1" outlineLevel="1" x14ac:dyDescent="0.2">
      <c r="A20" s="220"/>
      <c r="B20" s="121"/>
      <c r="C20" s="109" t="s">
        <v>386</v>
      </c>
      <c r="D20" s="109" t="s">
        <v>385</v>
      </c>
      <c r="E20" s="217"/>
      <c r="F20" s="101"/>
      <c r="G20" s="101"/>
      <c r="H20" s="215"/>
      <c r="I20" s="214"/>
      <c r="J20" s="101"/>
      <c r="K20" s="101"/>
      <c r="L20" s="101"/>
      <c r="M20" s="101"/>
      <c r="N20" s="213"/>
      <c r="O20" s="190"/>
      <c r="P20" s="189"/>
      <c r="Q20" s="218"/>
      <c r="R20" s="108"/>
      <c r="S20" s="121"/>
      <c r="U20" s="219"/>
    </row>
    <row r="21" spans="1:21" ht="10.9" hidden="1" customHeight="1" outlineLevel="1" x14ac:dyDescent="0.2">
      <c r="A21" s="220"/>
      <c r="B21" s="121"/>
      <c r="C21" s="109" t="s">
        <v>384</v>
      </c>
      <c r="D21" s="109" t="s">
        <v>383</v>
      </c>
      <c r="E21" s="217"/>
      <c r="F21" s="214"/>
      <c r="G21" s="101"/>
      <c r="H21" s="215"/>
      <c r="I21" s="214"/>
      <c r="J21" s="101"/>
      <c r="K21" s="101"/>
      <c r="L21" s="101"/>
      <c r="M21" s="101"/>
      <c r="N21" s="213"/>
      <c r="O21" s="190"/>
      <c r="P21" s="189"/>
      <c r="Q21" s="218"/>
      <c r="R21" s="108"/>
      <c r="S21" s="121"/>
      <c r="U21" s="219"/>
    </row>
    <row r="22" spans="1:21" ht="10.9" hidden="1" customHeight="1" outlineLevel="1" x14ac:dyDescent="0.2">
      <c r="A22" s="220"/>
      <c r="B22" s="121"/>
      <c r="C22" s="109" t="s">
        <v>382</v>
      </c>
      <c r="D22" s="109" t="s">
        <v>381</v>
      </c>
      <c r="E22" s="217"/>
      <c r="F22" s="214"/>
      <c r="G22" s="101"/>
      <c r="H22" s="215"/>
      <c r="I22" s="101"/>
      <c r="J22" s="101"/>
      <c r="K22" s="101"/>
      <c r="L22" s="101"/>
      <c r="M22" s="101"/>
      <c r="N22" s="213"/>
      <c r="O22" s="190"/>
      <c r="P22" s="212"/>
      <c r="Q22" s="218"/>
      <c r="R22" s="108"/>
      <c r="S22" s="121"/>
      <c r="U22" s="219"/>
    </row>
    <row r="23" spans="1:21" ht="11.45" hidden="1" customHeight="1" outlineLevel="1" x14ac:dyDescent="0.2">
      <c r="B23" s="121"/>
      <c r="C23" s="109" t="s">
        <v>380</v>
      </c>
      <c r="D23" s="109" t="s">
        <v>379</v>
      </c>
      <c r="E23" s="217"/>
      <c r="F23" s="214"/>
      <c r="G23" s="101"/>
      <c r="H23" s="215"/>
      <c r="I23" s="214"/>
      <c r="J23" s="101"/>
      <c r="K23" s="101"/>
      <c r="L23" s="101"/>
      <c r="M23" s="101"/>
      <c r="N23" s="213"/>
      <c r="O23" s="190"/>
      <c r="P23" s="212"/>
      <c r="Q23" s="218"/>
      <c r="R23" s="108"/>
      <c r="S23" s="121"/>
    </row>
    <row r="24" spans="1:21" ht="10.5" hidden="1" customHeight="1" outlineLevel="1" x14ac:dyDescent="0.2">
      <c r="A24" s="220"/>
      <c r="B24" s="121"/>
      <c r="C24" s="109" t="s">
        <v>378</v>
      </c>
      <c r="D24" s="109" t="s">
        <v>377</v>
      </c>
      <c r="E24" s="217"/>
      <c r="F24" s="101"/>
      <c r="G24" s="101"/>
      <c r="H24" s="215"/>
      <c r="I24" s="214"/>
      <c r="J24" s="101"/>
      <c r="K24" s="101"/>
      <c r="L24" s="101"/>
      <c r="M24" s="101"/>
      <c r="N24" s="213"/>
      <c r="O24" s="190"/>
      <c r="P24" s="212"/>
      <c r="Q24" s="218"/>
      <c r="R24" s="108"/>
      <c r="S24" s="121"/>
      <c r="U24" s="219"/>
    </row>
    <row r="25" spans="1:21" ht="10.9" hidden="1" customHeight="1" outlineLevel="1" x14ac:dyDescent="0.2">
      <c r="A25" s="220"/>
      <c r="B25" s="121"/>
      <c r="C25" s="109" t="s">
        <v>376</v>
      </c>
      <c r="D25" s="109" t="s">
        <v>375</v>
      </c>
      <c r="E25" s="217"/>
      <c r="F25" s="101"/>
      <c r="G25" s="101"/>
      <c r="H25" s="215"/>
      <c r="I25" s="101"/>
      <c r="J25" s="101"/>
      <c r="K25" s="101"/>
      <c r="L25" s="101"/>
      <c r="M25" s="101"/>
      <c r="N25" s="213"/>
      <c r="O25" s="190"/>
      <c r="P25" s="212"/>
      <c r="Q25" s="218"/>
      <c r="R25" s="108"/>
      <c r="S25" s="121"/>
      <c r="U25" s="219"/>
    </row>
    <row r="26" spans="1:21" ht="11.45" hidden="1" customHeight="1" outlineLevel="1" x14ac:dyDescent="0.2">
      <c r="B26" s="121"/>
      <c r="C26" s="109" t="s">
        <v>374</v>
      </c>
      <c r="D26" s="109" t="s">
        <v>373</v>
      </c>
      <c r="E26" s="217"/>
      <c r="F26" s="214"/>
      <c r="G26" s="101"/>
      <c r="H26" s="215"/>
      <c r="I26" s="101"/>
      <c r="J26" s="101"/>
      <c r="K26" s="101"/>
      <c r="L26" s="101"/>
      <c r="M26" s="101"/>
      <c r="N26" s="213"/>
      <c r="O26" s="190"/>
      <c r="P26" s="212"/>
      <c r="Q26" s="218"/>
      <c r="R26" s="108"/>
      <c r="S26" s="121"/>
    </row>
    <row r="27" spans="1:21" ht="11.45" hidden="1" customHeight="1" outlineLevel="1" x14ac:dyDescent="0.2">
      <c r="B27" s="121"/>
      <c r="C27" s="109" t="s">
        <v>372</v>
      </c>
      <c r="D27" s="109" t="s">
        <v>371</v>
      </c>
      <c r="E27" s="217"/>
      <c r="F27" s="216"/>
      <c r="G27" s="101"/>
      <c r="H27" s="215"/>
      <c r="I27" s="214"/>
      <c r="J27" s="101"/>
      <c r="K27" s="101"/>
      <c r="L27" s="101"/>
      <c r="M27" s="101"/>
      <c r="N27" s="213"/>
      <c r="O27" s="190"/>
      <c r="P27" s="212"/>
      <c r="Q27" s="211"/>
      <c r="R27" s="108"/>
      <c r="S27" s="121"/>
    </row>
    <row r="28" spans="1:21" ht="11.45" hidden="1" customHeight="1" outlineLevel="1" x14ac:dyDescent="0.2">
      <c r="B28" s="121"/>
      <c r="C28" s="109" t="s">
        <v>370</v>
      </c>
      <c r="D28" s="109" t="s">
        <v>369</v>
      </c>
      <c r="E28" s="217"/>
      <c r="F28" s="216"/>
      <c r="G28" s="101"/>
      <c r="H28" s="215"/>
      <c r="I28" s="214"/>
      <c r="J28" s="101"/>
      <c r="K28" s="101"/>
      <c r="L28" s="101"/>
      <c r="M28" s="101"/>
      <c r="N28" s="213"/>
      <c r="O28" s="190"/>
      <c r="P28" s="212"/>
      <c r="Q28" s="211"/>
      <c r="R28" s="108"/>
      <c r="S28" s="121"/>
    </row>
    <row r="29" spans="1:21" ht="11.45" hidden="1" customHeight="1" outlineLevel="1" x14ac:dyDescent="0.2">
      <c r="B29" s="121"/>
      <c r="C29" s="109" t="s">
        <v>368</v>
      </c>
      <c r="D29" s="109" t="s">
        <v>367</v>
      </c>
      <c r="E29" s="217"/>
      <c r="F29" s="216"/>
      <c r="G29" s="101"/>
      <c r="H29" s="215"/>
      <c r="I29" s="214"/>
      <c r="J29" s="101"/>
      <c r="K29" s="101"/>
      <c r="L29" s="101"/>
      <c r="M29" s="101"/>
      <c r="N29" s="213"/>
      <c r="O29" s="190"/>
      <c r="P29" s="212"/>
      <c r="Q29" s="211"/>
      <c r="R29" s="108"/>
      <c r="S29" s="121"/>
    </row>
    <row r="30" spans="1:21" ht="11.65" customHeight="1" collapsed="1" x14ac:dyDescent="0.2">
      <c r="B30" s="121"/>
      <c r="C30" s="210" t="s">
        <v>366</v>
      </c>
      <c r="D30" s="210" t="s">
        <v>365</v>
      </c>
      <c r="E30" s="209"/>
      <c r="F30" s="207">
        <f>SUM(F10:F29)</f>
        <v>0</v>
      </c>
      <c r="G30" s="206"/>
      <c r="H30" s="207"/>
      <c r="I30" s="207">
        <f>SUM(I10:I29)</f>
        <v>0</v>
      </c>
      <c r="J30" s="208"/>
      <c r="K30" s="206"/>
      <c r="L30" s="207">
        <f>SUM(L10:L29)</f>
        <v>0</v>
      </c>
      <c r="M30" s="206"/>
      <c r="N30" s="205"/>
      <c r="O30" s="204">
        <f>SUM(O10:O29)</f>
        <v>0</v>
      </c>
      <c r="P30" s="203"/>
      <c r="Q30" s="202"/>
      <c r="R30" s="201">
        <f>SUM(R10:R29)</f>
        <v>0</v>
      </c>
      <c r="S30" s="121"/>
    </row>
    <row r="31" spans="1:21" ht="11.65" customHeight="1" x14ac:dyDescent="0.2">
      <c r="B31" s="121"/>
      <c r="C31" s="109" t="s">
        <v>364</v>
      </c>
      <c r="D31" s="109" t="s">
        <v>363</v>
      </c>
      <c r="E31" s="109"/>
      <c r="F31" s="101">
        <f>F32-F30</f>
        <v>16416.744779999997</v>
      </c>
      <c r="G31" s="101"/>
      <c r="H31" s="101"/>
      <c r="I31" s="101">
        <f>I32-I30</f>
        <v>15515.82071</v>
      </c>
      <c r="J31" s="101"/>
      <c r="K31" s="101"/>
      <c r="L31" s="101">
        <f>L32-L30</f>
        <v>17010.758600000001</v>
      </c>
      <c r="M31" s="101"/>
      <c r="N31" s="200"/>
      <c r="O31" s="190">
        <f>O32-O30</f>
        <v>15235.918450000003</v>
      </c>
      <c r="P31" s="101"/>
      <c r="Q31" s="199"/>
      <c r="R31" s="199">
        <f>R32-R30</f>
        <v>0</v>
      </c>
      <c r="S31" s="121"/>
    </row>
    <row r="32" spans="1:21" ht="11.65" customHeight="1" thickBot="1" x14ac:dyDescent="0.25">
      <c r="B32" s="121"/>
      <c r="C32" s="198" t="s">
        <v>362</v>
      </c>
      <c r="D32" s="198" t="s">
        <v>205</v>
      </c>
      <c r="E32" s="198"/>
      <c r="F32" s="197">
        <f>'Lead PL'!F24</f>
        <v>16416.744779999997</v>
      </c>
      <c r="G32" s="197"/>
      <c r="H32" s="197"/>
      <c r="I32" s="197">
        <f>'Lead PL'!G24</f>
        <v>15515.82071</v>
      </c>
      <c r="J32" s="197"/>
      <c r="K32" s="197"/>
      <c r="L32" s="197">
        <f>'Lead PL'!H24</f>
        <v>17010.758600000001</v>
      </c>
      <c r="M32" s="197"/>
      <c r="N32" s="196"/>
      <c r="O32" s="196">
        <f>'Lead PL'!I24</f>
        <v>15235.918450000003</v>
      </c>
      <c r="P32" s="195"/>
      <c r="Q32" s="194"/>
      <c r="R32" s="194">
        <f>'Lead PL'!J24</f>
        <v>0</v>
      </c>
      <c r="S32" s="121"/>
    </row>
    <row r="33" spans="2:24" ht="4.5" customHeight="1" x14ac:dyDescent="0.2">
      <c r="B33" s="121"/>
      <c r="C33" s="109"/>
      <c r="D33" s="109"/>
      <c r="E33" s="109"/>
      <c r="F33" s="101"/>
      <c r="G33" s="101"/>
      <c r="H33" s="101"/>
      <c r="I33" s="101"/>
      <c r="J33" s="101"/>
      <c r="K33" s="101"/>
      <c r="L33" s="101"/>
      <c r="M33" s="101"/>
      <c r="N33" s="190"/>
      <c r="O33" s="190"/>
      <c r="P33" s="189"/>
      <c r="Q33" s="108"/>
      <c r="R33" s="108"/>
      <c r="S33" s="121"/>
    </row>
    <row r="34" spans="2:24" ht="11.45" customHeight="1" x14ac:dyDescent="0.2">
      <c r="B34" s="121"/>
      <c r="C34" s="109" t="s">
        <v>361</v>
      </c>
      <c r="D34" s="109" t="s">
        <v>360</v>
      </c>
      <c r="E34" s="109"/>
      <c r="F34" s="191"/>
      <c r="G34" s="192"/>
      <c r="H34" s="101"/>
      <c r="I34" s="191"/>
      <c r="J34" s="101"/>
      <c r="K34" s="101"/>
      <c r="L34" s="192">
        <f>L10/L32</f>
        <v>0</v>
      </c>
      <c r="M34" s="101"/>
      <c r="N34" s="190"/>
      <c r="O34" s="191"/>
      <c r="P34" s="189"/>
      <c r="Q34" s="108"/>
      <c r="R34" s="191"/>
      <c r="S34" s="121"/>
      <c r="T34" s="193" t="s">
        <v>359</v>
      </c>
      <c r="U34" s="193"/>
      <c r="V34" s="193"/>
      <c r="W34" s="193"/>
      <c r="X34" s="193"/>
    </row>
    <row r="35" spans="2:24" ht="11.45" customHeight="1" x14ac:dyDescent="0.2">
      <c r="B35" s="121"/>
      <c r="C35" s="109" t="s">
        <v>358</v>
      </c>
      <c r="D35" s="109" t="s">
        <v>357</v>
      </c>
      <c r="E35" s="109"/>
      <c r="F35" s="191"/>
      <c r="G35" s="101"/>
      <c r="H35" s="101"/>
      <c r="I35" s="191"/>
      <c r="J35" s="101"/>
      <c r="K35" s="101"/>
      <c r="L35" s="192">
        <f>(L14+L10+L13+L12+L11)/L32</f>
        <v>0</v>
      </c>
      <c r="M35" s="101"/>
      <c r="N35" s="190"/>
      <c r="O35" s="191"/>
      <c r="P35" s="189"/>
      <c r="Q35" s="108"/>
      <c r="R35" s="191"/>
      <c r="S35" s="121"/>
    </row>
    <row r="36" spans="2:24" ht="11.45" customHeight="1" x14ac:dyDescent="0.2">
      <c r="B36" s="121"/>
      <c r="C36" s="109" t="s">
        <v>356</v>
      </c>
      <c r="D36" s="109" t="s">
        <v>355</v>
      </c>
      <c r="E36" s="109"/>
      <c r="F36" s="191"/>
      <c r="G36" s="101"/>
      <c r="H36" s="101"/>
      <c r="I36" s="191"/>
      <c r="J36" s="101"/>
      <c r="K36" s="101"/>
      <c r="L36" s="192">
        <f>(L13+L12+L19+L11+L10+L15+L17+L16+L14+L18)/L32</f>
        <v>0</v>
      </c>
      <c r="M36" s="101"/>
      <c r="N36" s="190"/>
      <c r="O36" s="191"/>
      <c r="P36" s="189"/>
      <c r="Q36" s="108"/>
      <c r="R36" s="191"/>
      <c r="S36" s="121"/>
    </row>
    <row r="37" spans="2:24" ht="4.5" customHeight="1" x14ac:dyDescent="0.2">
      <c r="B37" s="121"/>
      <c r="C37" s="109"/>
      <c r="D37" s="109"/>
      <c r="E37" s="109"/>
      <c r="F37" s="101"/>
      <c r="G37" s="101"/>
      <c r="H37" s="101"/>
      <c r="I37" s="101"/>
      <c r="J37" s="101"/>
      <c r="K37" s="101"/>
      <c r="L37" s="101"/>
      <c r="M37" s="101"/>
      <c r="N37" s="190"/>
      <c r="O37" s="190"/>
      <c r="P37" s="189"/>
      <c r="Q37" s="108"/>
      <c r="R37" s="108"/>
      <c r="S37" s="121"/>
    </row>
    <row r="38" spans="2:24" ht="11.65" customHeight="1" x14ac:dyDescent="0.25">
      <c r="B38" s="121"/>
      <c r="C38" s="109" t="s">
        <v>354</v>
      </c>
      <c r="D38" s="109" t="s">
        <v>353</v>
      </c>
      <c r="E38" s="109"/>
      <c r="F38" s="101"/>
      <c r="G38" s="101"/>
      <c r="H38" s="101"/>
      <c r="I38" s="101"/>
      <c r="J38" s="101"/>
      <c r="K38" s="101"/>
      <c r="L38" s="101"/>
      <c r="M38" s="101"/>
      <c r="N38" s="190"/>
      <c r="O38" s="190"/>
      <c r="P38" s="189"/>
      <c r="Q38" s="108"/>
      <c r="R38" s="108"/>
      <c r="S38" s="121"/>
    </row>
    <row r="39" spans="2:24" ht="4.5" customHeight="1" x14ac:dyDescent="0.2">
      <c r="B39" s="121"/>
      <c r="C39" s="109"/>
      <c r="D39" s="109"/>
      <c r="E39" s="109"/>
      <c r="F39" s="101"/>
      <c r="G39" s="101"/>
      <c r="H39" s="101"/>
      <c r="I39" s="101"/>
      <c r="J39" s="101"/>
      <c r="K39" s="101"/>
      <c r="L39" s="101"/>
      <c r="M39" s="101"/>
      <c r="N39" s="190"/>
      <c r="O39" s="190"/>
      <c r="P39" s="189"/>
      <c r="Q39" s="108"/>
      <c r="R39" s="108"/>
      <c r="S39" s="121"/>
    </row>
    <row r="40" spans="2:24" ht="11.45" customHeight="1" x14ac:dyDescent="0.2">
      <c r="B40" s="121"/>
      <c r="C40" s="76" t="str">
        <f>"Quelle: "&amp;Cockpit!$C$7</f>
        <v>Quelle: Datenraum/ eigene Analysen</v>
      </c>
      <c r="D40" s="76" t="str">
        <f>"Source: "&amp;Cockpit!$C$8</f>
        <v>Source: Virtual Data Room/ Company Information</v>
      </c>
      <c r="E40" s="188"/>
      <c r="F40" s="41"/>
      <c r="G40" s="41"/>
      <c r="H40" s="41"/>
      <c r="I40" s="41"/>
      <c r="J40" s="41"/>
      <c r="K40" s="41"/>
      <c r="L40" s="41"/>
      <c r="M40" s="41"/>
      <c r="N40" s="41"/>
      <c r="O40" s="41"/>
      <c r="P40" s="41"/>
      <c r="Q40" s="41"/>
      <c r="R40" s="187"/>
      <c r="S40" s="121"/>
    </row>
    <row r="41" spans="2:24" ht="11.45" customHeight="1" x14ac:dyDescent="0.2">
      <c r="B41" s="121"/>
      <c r="S41" s="121"/>
    </row>
    <row r="42" spans="2:24" ht="11.45" customHeight="1" x14ac:dyDescent="0.2">
      <c r="C42" s="72" t="s">
        <v>352</v>
      </c>
      <c r="D42" s="72" t="s">
        <v>351</v>
      </c>
      <c r="E42" s="71"/>
      <c r="F42" s="71">
        <f>'Lead PL'!F24</f>
        <v>16416.744779999997</v>
      </c>
      <c r="G42" s="71"/>
      <c r="H42" s="71"/>
      <c r="I42" s="71">
        <f>'Lead PL'!G24</f>
        <v>15515.82071</v>
      </c>
      <c r="J42" s="71"/>
      <c r="K42" s="71"/>
      <c r="L42" s="71">
        <f>'Lead PL'!H24</f>
        <v>17010.758600000001</v>
      </c>
      <c r="M42" s="71"/>
      <c r="N42" s="71"/>
      <c r="O42" s="71">
        <f>'Lead PL'!I24</f>
        <v>15235.918450000003</v>
      </c>
      <c r="P42" s="71"/>
      <c r="Q42" s="71"/>
      <c r="R42" s="71">
        <f>'Lead PL'!J24</f>
        <v>0</v>
      </c>
    </row>
    <row r="43" spans="2:24" ht="11.45" customHeight="1" x14ac:dyDescent="0.2">
      <c r="C43" s="70" t="s">
        <v>233</v>
      </c>
      <c r="D43" s="69" t="s">
        <v>233</v>
      </c>
      <c r="E43" s="68"/>
      <c r="F43" s="68">
        <f>F32-F42</f>
        <v>0</v>
      </c>
      <c r="G43" s="68"/>
      <c r="H43" s="68"/>
      <c r="I43" s="68">
        <f>I32-I42</f>
        <v>0</v>
      </c>
      <c r="J43" s="68"/>
      <c r="K43" s="68"/>
      <c r="L43" s="68">
        <f>L32-L42</f>
        <v>0</v>
      </c>
      <c r="M43" s="68"/>
      <c r="N43" s="68"/>
      <c r="O43" s="68">
        <f>O32-O42</f>
        <v>0</v>
      </c>
      <c r="P43" s="68"/>
      <c r="Q43" s="68"/>
      <c r="R43" s="68">
        <f>R32-R42</f>
        <v>0</v>
      </c>
    </row>
    <row r="44" spans="2:24" ht="11.45" customHeight="1" x14ac:dyDescent="0.2">
      <c r="F44" s="121"/>
      <c r="G44" s="186"/>
      <c r="H44" s="186"/>
      <c r="I44" s="121"/>
      <c r="L44" s="121"/>
      <c r="M44" s="121"/>
    </row>
    <row r="45" spans="2:24" ht="11.45" customHeight="1" x14ac:dyDescent="0.2">
      <c r="F45" s="121"/>
      <c r="I45" s="121"/>
      <c r="L45" s="121"/>
      <c r="M45" s="121"/>
    </row>
    <row r="46" spans="2:24" ht="11.45" customHeight="1" x14ac:dyDescent="0.2">
      <c r="F46" s="121"/>
      <c r="I46" s="121"/>
      <c r="L46" s="121"/>
      <c r="M46" s="121"/>
    </row>
    <row r="47" spans="2:24" ht="11.45" customHeight="1" x14ac:dyDescent="0.2">
      <c r="F47" s="121"/>
      <c r="I47" s="121"/>
      <c r="L47" s="121"/>
      <c r="M47" s="121"/>
    </row>
    <row r="48" spans="2:24" ht="11.45" customHeight="1" x14ac:dyDescent="0.2">
      <c r="F48" s="121"/>
      <c r="I48" s="121"/>
      <c r="L48" s="121"/>
      <c r="M48" s="121"/>
    </row>
    <row r="49" spans="6:13" ht="11.45" customHeight="1" x14ac:dyDescent="0.2">
      <c r="F49" s="121"/>
      <c r="I49" s="121"/>
      <c r="L49" s="121"/>
      <c r="M49" s="121"/>
    </row>
    <row r="50" spans="6:13" ht="11.45" customHeight="1" x14ac:dyDescent="0.2">
      <c r="F50" s="121"/>
      <c r="I50" s="121"/>
      <c r="L50" s="121"/>
      <c r="M50" s="121"/>
    </row>
    <row r="51" spans="6:13" ht="11.45" customHeight="1" x14ac:dyDescent="0.2">
      <c r="F51" s="121"/>
      <c r="I51" s="121"/>
      <c r="L51" s="121"/>
      <c r="M51" s="121"/>
    </row>
    <row r="52" spans="6:13" ht="11.45" customHeight="1" x14ac:dyDescent="0.2">
      <c r="F52" s="121"/>
      <c r="I52" s="121"/>
      <c r="L52" s="121"/>
      <c r="M52" s="121"/>
    </row>
    <row r="53" spans="6:13" ht="11.45" customHeight="1" x14ac:dyDescent="0.2">
      <c r="F53" s="121"/>
      <c r="I53" s="121"/>
      <c r="L53" s="121"/>
      <c r="M53" s="121"/>
    </row>
    <row r="54" spans="6:13" ht="11.45" customHeight="1" x14ac:dyDescent="0.2">
      <c r="F54" s="121"/>
      <c r="I54" s="121"/>
      <c r="L54" s="121"/>
      <c r="M54" s="121"/>
    </row>
  </sheetData>
  <mergeCells count="10">
    <mergeCell ref="E6:F6"/>
    <mergeCell ref="H6:I6"/>
    <mergeCell ref="K6:L6"/>
    <mergeCell ref="N6:O6"/>
    <mergeCell ref="Q6:R6"/>
    <mergeCell ref="E4:F4"/>
    <mergeCell ref="H4:I4"/>
    <mergeCell ref="K4:L4"/>
    <mergeCell ref="N4:O4"/>
    <mergeCell ref="Q4:R4"/>
  </mergeCells>
  <conditionalFormatting sqref="A11:A12 A14:A15 A17:A22 A24:A25">
    <cfRule type="duplicateValues" dxfId="294" priority="45"/>
  </conditionalFormatting>
  <conditionalFormatting sqref="A23 A16 A26:A1048576 A13 A1:A3 A6:A10">
    <cfRule type="duplicateValues" dxfId="293" priority="46"/>
  </conditionalFormatting>
  <conditionalFormatting sqref="A1:XFD1048576">
    <cfRule type="containsText" dxfId="292" priority="1" operator="containsText" text="Dummy">
      <formula>NOT(ISERROR(SEARCH("Dummy",A1)))</formula>
    </cfRule>
  </conditionalFormatting>
  <conditionalFormatting sqref="E43:R43">
    <cfRule type="cellIs" dxfId="291" priority="2" operator="between">
      <formula>-1</formula>
      <formula>1</formula>
    </cfRule>
    <cfRule type="cellIs" dxfId="290" priority="3" operator="lessThan">
      <formula>-1</formula>
    </cfRule>
    <cfRule type="cellIs" dxfId="289" priority="4" operator="greaterThan">
      <formula>1</formula>
    </cfRule>
  </conditionalFormatting>
  <conditionalFormatting sqref="L8:M9">
    <cfRule type="top10" dxfId="288" priority="44" rank="10"/>
  </conditionalFormatting>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4805E-2D44-47F3-BD3A-198200549096}">
  <sheetPr>
    <tabColor rgb="FF92D050"/>
  </sheetPr>
  <dimension ref="B1:AG68"/>
  <sheetViews>
    <sheetView topLeftCell="A2" workbookViewId="0"/>
  </sheetViews>
  <sheetFormatPr defaultColWidth="11.28515625" defaultRowHeight="11.45" customHeight="1" outlineLevelRow="3" outlineLevelCol="2" x14ac:dyDescent="0.2"/>
  <cols>
    <col min="1" max="1" width="11.28515625" style="1"/>
    <col min="2" max="2" width="0.85546875" style="1" customWidth="1" outlineLevel="2"/>
    <col min="3" max="3" width="35.5703125" style="1" customWidth="1"/>
    <col min="4" max="4" width="35.5703125" style="1" hidden="1" customWidth="1" outlineLevel="1"/>
    <col min="5" max="5" width="9.42578125" style="1" hidden="1" customWidth="1" outlineLevel="1"/>
    <col min="6" max="6" width="9.42578125" style="1" customWidth="1" collapsed="1"/>
    <col min="7" max="8" width="9.42578125" style="1" customWidth="1"/>
    <col min="9" max="9" width="9.42578125" style="1" hidden="1" customWidth="1" outlineLevel="1"/>
    <col min="10" max="10" width="9.42578125" style="1" customWidth="1" collapsed="1"/>
    <col min="11" max="14" width="9.42578125" style="1" hidden="1" customWidth="1" outlineLevel="1"/>
    <col min="15" max="15" width="0.85546875" style="1" customWidth="1" collapsed="1"/>
    <col min="16" max="17" width="8.42578125" style="1" hidden="1" customWidth="1" outlineLevel="1"/>
    <col min="18" max="18" width="0.85546875" style="1" hidden="1" customWidth="1" outlineLevel="2"/>
    <col min="19" max="19" width="11.28515625" style="1" collapsed="1"/>
    <col min="20" max="20" width="11.28515625" style="1" customWidth="1" outlineLevel="1"/>
    <col min="21" max="16384" width="11.28515625" style="1"/>
  </cols>
  <sheetData>
    <row r="1" spans="3:33" ht="11.45" hidden="1" customHeight="1" outlineLevel="3" x14ac:dyDescent="0.2">
      <c r="C1" s="13" t="s">
        <v>268</v>
      </c>
      <c r="D1" s="13" t="s">
        <v>268</v>
      </c>
      <c r="E1" s="13"/>
      <c r="F1" s="12">
        <f t="shared" ref="F1:N1" si="0">IFERROR(F4,F6)</f>
        <v>44926</v>
      </c>
      <c r="G1" s="12">
        <f t="shared" si="0"/>
        <v>45291</v>
      </c>
      <c r="H1" s="12">
        <f t="shared" si="0"/>
        <v>45657</v>
      </c>
      <c r="I1" s="12">
        <f t="shared" si="0"/>
        <v>46022</v>
      </c>
      <c r="J1" s="12">
        <f t="shared" si="0"/>
        <v>46022</v>
      </c>
      <c r="K1" s="12">
        <f t="shared" si="0"/>
        <v>46022</v>
      </c>
      <c r="L1" s="12">
        <f t="shared" si="0"/>
        <v>46387</v>
      </c>
      <c r="M1" s="12">
        <f t="shared" si="0"/>
        <v>46752</v>
      </c>
      <c r="N1" s="12">
        <f t="shared" si="0"/>
        <v>47118</v>
      </c>
    </row>
    <row r="2" spans="3:33" ht="11.45" customHeight="1" collapsed="1" x14ac:dyDescent="0.2"/>
    <row r="4" spans="3:33" ht="11.45" customHeight="1" x14ac:dyDescent="0.2">
      <c r="C4" s="17" t="str">
        <f>Cockpit!$C$4</f>
        <v>Projekt Namur</v>
      </c>
      <c r="D4" s="17"/>
      <c r="E4" s="17"/>
      <c r="F4" s="32">
        <f>'Lead PL'!F4</f>
        <v>44926</v>
      </c>
      <c r="G4" s="32">
        <f>'Lead PL'!G4</f>
        <v>45291</v>
      </c>
      <c r="H4" s="32">
        <f>'Lead PL'!H4</f>
        <v>45657</v>
      </c>
      <c r="I4" s="32">
        <f>'Lead PL'!I4</f>
        <v>46022</v>
      </c>
      <c r="J4" s="32">
        <f>'Lead PL'!J4</f>
        <v>46022</v>
      </c>
      <c r="K4" s="32">
        <f>'Lead PL'!K4</f>
        <v>46022</v>
      </c>
      <c r="L4" s="32">
        <f>'Lead PL'!L4</f>
        <v>46387</v>
      </c>
      <c r="M4" s="32">
        <f>'Lead PL'!M4</f>
        <v>46752</v>
      </c>
      <c r="N4" s="32">
        <f>'Lead PL'!N4</f>
        <v>47118</v>
      </c>
      <c r="O4" s="81"/>
      <c r="P4" s="39" t="str">
        <f>'Lead PL'!P4</f>
        <v>CAGR</v>
      </c>
      <c r="Q4" s="39" t="str">
        <f>'Lead PL'!Q4</f>
        <v>CAGR</v>
      </c>
      <c r="T4" s="502" t="s">
        <v>2443</v>
      </c>
      <c r="V4" s="419" t="s">
        <v>2465</v>
      </c>
      <c r="Y4" s="419" t="s">
        <v>2485</v>
      </c>
      <c r="Z4" s="486"/>
      <c r="AA4" s="486"/>
      <c r="AB4" s="486"/>
      <c r="AC4" s="486"/>
      <c r="AD4" s="486"/>
      <c r="AE4" s="486"/>
      <c r="AF4" s="486"/>
      <c r="AG4" s="486"/>
    </row>
    <row r="5" spans="3:33" ht="11.45" customHeight="1" x14ac:dyDescent="0.2">
      <c r="C5" s="17" t="str">
        <f>"in T"&amp;Cockpit!$C$5</f>
        <v>in TEUR</v>
      </c>
      <c r="D5" s="17"/>
      <c r="E5" s="17"/>
      <c r="F5" s="32" t="str">
        <f>'Lead PL'!F5</f>
        <v>IST</v>
      </c>
      <c r="G5" s="32" t="str">
        <f>'Lead PL'!G5</f>
        <v>IST</v>
      </c>
      <c r="H5" s="32" t="str">
        <f>'Lead PL'!H5</f>
        <v>IST</v>
      </c>
      <c r="I5" s="32" t="str">
        <f>'Lead PL'!I5</f>
        <v>IST</v>
      </c>
      <c r="J5" s="32" t="str">
        <f>'Lead PL'!I5</f>
        <v>IST</v>
      </c>
      <c r="K5" s="32" t="str">
        <f>'Lead PL'!K5</f>
        <v>Plan</v>
      </c>
      <c r="L5" s="32" t="str">
        <f>'Lead PL'!L5</f>
        <v>Plan</v>
      </c>
      <c r="M5" s="32" t="str">
        <f>'Lead PL'!M5</f>
        <v>Plan</v>
      </c>
      <c r="N5" s="32" t="str">
        <f>'Lead PL'!N5</f>
        <v>Plan</v>
      </c>
      <c r="O5" s="81"/>
      <c r="P5" s="39" t="str">
        <f>'Lead PL'!P5</f>
        <v>IST</v>
      </c>
      <c r="Q5" s="39" t="str">
        <f>'Lead PL'!Q5</f>
        <v>Plan</v>
      </c>
    </row>
    <row r="6" spans="3:33" ht="11.45" hidden="1" customHeight="1" outlineLevel="1" x14ac:dyDescent="0.2">
      <c r="C6" s="124"/>
      <c r="D6" s="17" t="str">
        <f>Cockpit!$C$4</f>
        <v>Projekt Namur</v>
      </c>
      <c r="E6" s="17"/>
      <c r="F6" s="39">
        <f>'Lead PL'!F6</f>
        <v>44926</v>
      </c>
      <c r="G6" s="39">
        <f>'Lead PL'!G6</f>
        <v>45291</v>
      </c>
      <c r="H6" s="39">
        <f>'Lead PL'!H6</f>
        <v>45657</v>
      </c>
      <c r="I6" s="39">
        <f>'Lead PL'!I6</f>
        <v>46022</v>
      </c>
      <c r="J6" s="39">
        <f>'Lead PL'!J6</f>
        <v>46022</v>
      </c>
      <c r="K6" s="39">
        <f>'Lead PL'!K6</f>
        <v>46022</v>
      </c>
      <c r="L6" s="39">
        <f>'Lead PL'!L6</f>
        <v>46387</v>
      </c>
      <c r="M6" s="39">
        <f>'Lead PL'!M6</f>
        <v>46752</v>
      </c>
      <c r="N6" s="39">
        <f>'Lead PL'!N6</f>
        <v>47118</v>
      </c>
      <c r="O6" s="81"/>
      <c r="P6" s="39" t="str">
        <f>'Lead PL'!P6</f>
        <v>CAGR</v>
      </c>
      <c r="Q6" s="39" t="str">
        <f>'Lead PL'!Q6</f>
        <v>CAGR</v>
      </c>
    </row>
    <row r="7" spans="3:33" ht="11.45" hidden="1" customHeight="1" outlineLevel="1" x14ac:dyDescent="0.2">
      <c r="C7" s="124"/>
      <c r="D7" s="17" t="str">
        <f>"in k"&amp;Cockpit!$C$5</f>
        <v>in kEUR</v>
      </c>
      <c r="E7" s="17"/>
      <c r="F7" s="39" t="str">
        <f>'Lead PL'!F7</f>
        <v>IST</v>
      </c>
      <c r="G7" s="39" t="str">
        <f>'Lead PL'!G7</f>
        <v>IST</v>
      </c>
      <c r="H7" s="39" t="str">
        <f>'Lead PL'!H7</f>
        <v>IST</v>
      </c>
      <c r="I7" s="39" t="str">
        <f>'Lead PL'!I7</f>
        <v>IST</v>
      </c>
      <c r="J7" s="39" t="str">
        <f>'Lead PL'!J7</f>
        <v>YTD</v>
      </c>
      <c r="K7" s="39" t="str">
        <f>'Lead PL'!K7</f>
        <v>Plan</v>
      </c>
      <c r="L7" s="39" t="str">
        <f>'Lead PL'!L7</f>
        <v>Plan</v>
      </c>
      <c r="M7" s="39" t="str">
        <f>'Lead PL'!M7</f>
        <v>Plan</v>
      </c>
      <c r="N7" s="39" t="str">
        <f>'Lead PL'!N7</f>
        <v>Plan</v>
      </c>
      <c r="O7" s="81"/>
      <c r="P7" s="39" t="str">
        <f>'Lead PL'!P7</f>
        <v>IST</v>
      </c>
      <c r="Q7" s="39" t="str">
        <f>'Lead PL'!Q7</f>
        <v>Plan</v>
      </c>
    </row>
    <row r="8" spans="3:33" ht="4.5" customHeight="1" collapsed="1" x14ac:dyDescent="0.2">
      <c r="C8" s="122"/>
      <c r="D8" s="123"/>
      <c r="E8" s="123"/>
      <c r="F8" s="122"/>
      <c r="G8" s="122"/>
      <c r="H8" s="122"/>
      <c r="I8" s="122"/>
      <c r="J8" s="122"/>
      <c r="K8" s="122"/>
      <c r="L8" s="122"/>
      <c r="M8" s="122"/>
      <c r="N8" s="122"/>
      <c r="O8" s="81"/>
      <c r="P8" s="122"/>
      <c r="Q8" s="122"/>
    </row>
    <row r="9" spans="3:33" ht="11.45" customHeight="1" x14ac:dyDescent="0.25">
      <c r="C9" s="37" t="s">
        <v>2432</v>
      </c>
      <c r="D9" s="37" t="s">
        <v>209</v>
      </c>
      <c r="E9" s="37"/>
      <c r="F9" s="36">
        <f>G9</f>
        <v>228</v>
      </c>
      <c r="G9" s="36">
        <f>SUMIFS('Trial Balance (Susa)'!G:G,'Trial Balance (Susa)'!$E:$E,$T9)/1000</f>
        <v>228</v>
      </c>
      <c r="H9" s="36">
        <f>SUMIFS('Trial Balance (Susa)'!H:H,'Trial Balance (Susa)'!$E:$E,$T9)/1000</f>
        <v>290.50002000000001</v>
      </c>
      <c r="I9" s="160">
        <v>353.00003999999996</v>
      </c>
      <c r="J9" s="36">
        <f>SUMIFS('Trial Balance (Susa)'!I:I,'Trial Balance (Susa)'!$E:$E,$T9)/1000</f>
        <v>353.00003999999996</v>
      </c>
      <c r="K9" s="128"/>
      <c r="L9" s="128"/>
      <c r="M9" s="128"/>
      <c r="N9" s="128"/>
      <c r="O9" s="81"/>
      <c r="P9" s="81">
        <f>IFERROR(((H9/F9)^(1/(($H$1-$F$1)/365)))-1,"n/a")</f>
        <v>0.12858349816236614</v>
      </c>
      <c r="Q9" s="81">
        <f>IFERROR(((N9/H9)^(1/(($N$1-$H$1)/365)))-1,"n/a")</f>
        <v>-1</v>
      </c>
      <c r="T9" t="s">
        <v>2434</v>
      </c>
      <c r="V9" s="1" t="s">
        <v>4464</v>
      </c>
    </row>
    <row r="10" spans="3:33" ht="11.45" customHeight="1" x14ac:dyDescent="0.25">
      <c r="C10" s="37" t="s">
        <v>2433</v>
      </c>
      <c r="D10" s="37"/>
      <c r="E10" s="37"/>
      <c r="F10" s="36">
        <f>G10</f>
        <v>76</v>
      </c>
      <c r="G10" s="36">
        <f>SUMIFS('Trial Balance (Susa)'!G:G,'Trial Balance (Susa)'!$E:$E,$T10)/1000</f>
        <v>76</v>
      </c>
      <c r="H10" s="36">
        <f>SUMIFS('Trial Balance (Susa)'!H:H,'Trial Balance (Susa)'!$E:$E,$T10)/1000+SUMIFS('Trial Balance (Susa)'!H:H,'Trial Balance (Susa)'!$E:$E,$T14)/1000</f>
        <v>92.757000000000005</v>
      </c>
      <c r="I10" s="160">
        <v>353.00003999999996</v>
      </c>
      <c r="J10" s="36">
        <f>SUMIFS('Trial Balance (Susa)'!I:I,'Trial Balance (Susa)'!$E:$E,$T10)/1000+SUMIFS('Trial Balance (Susa)'!I:I,'Trial Balance (Susa)'!$E:$E,$T14)/1000</f>
        <v>88.53</v>
      </c>
      <c r="K10" s="128"/>
      <c r="L10" s="128"/>
      <c r="M10" s="128"/>
      <c r="N10" s="128"/>
      <c r="O10" s="81"/>
      <c r="P10" s="81"/>
      <c r="Q10" s="81"/>
      <c r="T10" t="s">
        <v>2435</v>
      </c>
    </row>
    <row r="11" spans="3:33" ht="11.45" customHeight="1" x14ac:dyDescent="0.2">
      <c r="C11" s="141" t="s">
        <v>2440</v>
      </c>
      <c r="D11" s="141"/>
      <c r="E11" s="141"/>
      <c r="F11" s="141">
        <f>SUM(F9:F10)</f>
        <v>304</v>
      </c>
      <c r="G11" s="141">
        <f>SUM(G9:G10)</f>
        <v>304</v>
      </c>
      <c r="H11" s="141">
        <f>SUM(H9:H10)</f>
        <v>383.25702000000001</v>
      </c>
      <c r="I11" s="177">
        <f>SUM(I9:I10)</f>
        <v>706.00007999999991</v>
      </c>
      <c r="J11" s="141">
        <f>SUM(J9:J10)</f>
        <v>441.53003999999999</v>
      </c>
      <c r="K11" s="128"/>
      <c r="L11" s="128"/>
      <c r="M11" s="128"/>
      <c r="N11" s="128"/>
      <c r="O11" s="81"/>
      <c r="P11" s="81"/>
      <c r="Q11" s="81"/>
    </row>
    <row r="12" spans="3:33" ht="5.0999999999999996" customHeight="1" x14ac:dyDescent="0.2">
      <c r="C12" s="37"/>
      <c r="D12" s="37"/>
      <c r="E12" s="37"/>
      <c r="F12" s="36"/>
      <c r="G12" s="36"/>
      <c r="H12" s="36"/>
      <c r="I12" s="160"/>
      <c r="J12" s="36"/>
      <c r="K12" s="128"/>
      <c r="L12" s="128"/>
      <c r="M12" s="128"/>
      <c r="N12" s="128"/>
      <c r="O12" s="81"/>
      <c r="P12" s="81"/>
      <c r="Q12" s="81"/>
    </row>
    <row r="13" spans="3:33" ht="11.45" customHeight="1" x14ac:dyDescent="0.25">
      <c r="C13" s="37" t="s">
        <v>419</v>
      </c>
      <c r="D13" s="37" t="s">
        <v>208</v>
      </c>
      <c r="E13" s="37"/>
      <c r="F13" s="36" t="s">
        <v>2444</v>
      </c>
      <c r="G13" s="36">
        <f>SUMIFS('Trial Balance (Susa)'!G:G,'Trial Balance (Susa)'!$E:$E,$T13)/1000</f>
        <v>2730.1333600000003</v>
      </c>
      <c r="H13" s="36">
        <f>SUMIFS('Trial Balance (Susa)'!H:H,'Trial Balance (Susa)'!$E:$E,$T13)/1000</f>
        <v>3300.1118300000003</v>
      </c>
      <c r="I13" s="160">
        <v>353.00003999999996</v>
      </c>
      <c r="J13" s="36">
        <f>SUMIFS('Trial Balance (Susa)'!I:I,'Trial Balance (Susa)'!$E:$E,$T13)/1000</f>
        <v>2986.2050800000002</v>
      </c>
      <c r="K13" s="128"/>
      <c r="L13" s="128"/>
      <c r="M13" s="128"/>
      <c r="N13" s="128"/>
      <c r="O13" s="81"/>
      <c r="P13" s="81" t="str">
        <f>IFERROR(((H13/F13)^(1/(($H$1-$F$1)/365)))-1,"n/a")</f>
        <v>n/a</v>
      </c>
      <c r="Q13" s="81">
        <f>IFERROR(((N13/H13)^(1/(($N$1-$H$1)/365)))-1,"n/a")</f>
        <v>-1</v>
      </c>
      <c r="T13" t="s">
        <v>2437</v>
      </c>
    </row>
    <row r="14" spans="3:33" ht="11.45" customHeight="1" x14ac:dyDescent="0.25">
      <c r="C14" s="42" t="s">
        <v>2438</v>
      </c>
      <c r="D14" s="42" t="s">
        <v>207</v>
      </c>
      <c r="E14" s="42"/>
      <c r="F14" s="36" t="s">
        <v>2444</v>
      </c>
      <c r="G14" s="36">
        <f>SUMIFS('Trial Balance (Susa)'!G:G,'Trial Balance (Susa)'!$E:$E,$T14)/1000</f>
        <v>43.75</v>
      </c>
      <c r="H14" s="36">
        <v>0</v>
      </c>
      <c r="I14" s="160">
        <v>353.00003999999996</v>
      </c>
      <c r="J14" s="36">
        <v>0</v>
      </c>
      <c r="K14" s="134"/>
      <c r="L14" s="134"/>
      <c r="M14" s="134"/>
      <c r="N14" s="134"/>
      <c r="O14" s="81"/>
      <c r="P14" s="41" t="str">
        <f>IFERROR(((H14/F14)^(1/(($H$1-$F$1)/365)))-1,"n/a")</f>
        <v>n/a</v>
      </c>
      <c r="Q14" s="41" t="str">
        <f>IFERROR(((N14/H14)^(1/(($N$1-$H$1)/365)))-1,"n/a")</f>
        <v>n/a</v>
      </c>
      <c r="T14" t="s">
        <v>2436</v>
      </c>
      <c r="V14" s="571" t="s">
        <v>4465</v>
      </c>
    </row>
    <row r="15" spans="3:33" ht="11.45" customHeight="1" x14ac:dyDescent="0.2">
      <c r="C15" s="141" t="s">
        <v>2439</v>
      </c>
      <c r="D15" s="141" t="s">
        <v>418</v>
      </c>
      <c r="E15" s="141"/>
      <c r="F15" s="503">
        <f>F17-F11</f>
        <v>2709.467650000001</v>
      </c>
      <c r="G15" s="141">
        <f>SUM(G13:G14)</f>
        <v>2773.8833600000003</v>
      </c>
      <c r="H15" s="141">
        <f>SUM(H13:H14)</f>
        <v>3300.1118300000003</v>
      </c>
      <c r="I15" s="177">
        <f>SUM(I13:I14)</f>
        <v>706.00007999999991</v>
      </c>
      <c r="J15" s="141">
        <f>SUM(J13:J14)</f>
        <v>2986.2050800000002</v>
      </c>
      <c r="K15" s="139">
        <f>SUM(K9:K14)</f>
        <v>0</v>
      </c>
      <c r="L15" s="139">
        <f>SUM(L9:L14)</f>
        <v>0</v>
      </c>
      <c r="M15" s="139">
        <f>SUM(M9:M14)</f>
        <v>0</v>
      </c>
      <c r="N15" s="139">
        <f>SUM(N9:N14)</f>
        <v>0</v>
      </c>
      <c r="O15" s="168"/>
      <c r="P15" s="244">
        <f>IFERROR(((H15/F15)^(1/(($H$1-$F$1)/365)))-1,"n/a")</f>
        <v>0.10347821310177796</v>
      </c>
      <c r="Q15" s="244">
        <f>IFERROR(((N15/H15)^(1/(($N$1-$H$1)/365)))-1,"n/a")</f>
        <v>-1</v>
      </c>
    </row>
    <row r="16" spans="3:33" ht="5.0999999999999996" customHeight="1" x14ac:dyDescent="0.2">
      <c r="C16" s="144"/>
      <c r="D16" s="144"/>
      <c r="E16" s="144"/>
      <c r="F16" s="144"/>
      <c r="G16" s="144"/>
      <c r="H16" s="144"/>
      <c r="I16" s="166"/>
      <c r="J16" s="144"/>
      <c r="K16" s="142"/>
      <c r="L16" s="142"/>
      <c r="M16" s="142"/>
      <c r="N16" s="142"/>
      <c r="O16" s="168"/>
      <c r="P16" s="296"/>
      <c r="Q16" s="296"/>
    </row>
    <row r="17" spans="2:20" ht="11.45" customHeight="1" x14ac:dyDescent="0.2">
      <c r="C17" s="141" t="s">
        <v>2445</v>
      </c>
      <c r="D17" s="141" t="s">
        <v>418</v>
      </c>
      <c r="E17" s="141"/>
      <c r="F17" s="141">
        <f>'P&amp;L (Annual Report)'!E89/1000</f>
        <v>3013.467650000001</v>
      </c>
      <c r="G17" s="141">
        <f>G11+G15</f>
        <v>3077.8833600000003</v>
      </c>
      <c r="H17" s="141">
        <f>H11+H15</f>
        <v>3683.3688500000003</v>
      </c>
      <c r="I17" s="177">
        <f>I11+I15</f>
        <v>1412.0001599999998</v>
      </c>
      <c r="J17" s="141">
        <f>J11+J15</f>
        <v>3427.7351200000003</v>
      </c>
      <c r="K17" s="142"/>
      <c r="L17" s="142"/>
      <c r="M17" s="142"/>
      <c r="N17" s="142"/>
      <c r="O17" s="168"/>
      <c r="P17" s="296"/>
      <c r="Q17" s="296"/>
    </row>
    <row r="18" spans="2:20" ht="4.5" customHeight="1" x14ac:dyDescent="0.2">
      <c r="C18" s="37"/>
      <c r="D18" s="37"/>
      <c r="E18" s="37"/>
      <c r="F18" s="36"/>
      <c r="G18" s="36"/>
      <c r="H18" s="36"/>
      <c r="I18" s="160"/>
      <c r="J18" s="36"/>
      <c r="K18" s="128"/>
      <c r="L18" s="128"/>
      <c r="M18" s="128"/>
      <c r="N18" s="128"/>
      <c r="O18" s="81"/>
      <c r="P18" s="81"/>
      <c r="Q18" s="81"/>
    </row>
    <row r="19" spans="2:20" ht="11.45" hidden="1" customHeight="1" outlineLevel="1" x14ac:dyDescent="0.2">
      <c r="C19" s="37" t="s">
        <v>209</v>
      </c>
      <c r="D19" s="37" t="s">
        <v>209</v>
      </c>
      <c r="E19" s="37"/>
      <c r="F19" s="36"/>
      <c r="G19" s="36"/>
      <c r="H19" s="36"/>
      <c r="I19" s="160"/>
      <c r="J19" s="36"/>
      <c r="K19" s="128"/>
      <c r="L19" s="128"/>
      <c r="M19" s="128"/>
      <c r="N19" s="128"/>
      <c r="O19" s="81"/>
      <c r="P19" s="81" t="str">
        <f>IFERROR(((H19/F19)^(1/(($H$1-$F$1)/365)))-1,"n/a")</f>
        <v>n/a</v>
      </c>
      <c r="Q19" s="81" t="str">
        <f>IFERROR(((N19/H19)^(1/(($N$1-$H$1)/365)))-1,"n/a")</f>
        <v>n/a</v>
      </c>
    </row>
    <row r="20" spans="2:20" ht="11.45" hidden="1" customHeight="1" outlineLevel="1" x14ac:dyDescent="0.2">
      <c r="C20" s="37" t="s">
        <v>208</v>
      </c>
      <c r="D20" s="37" t="s">
        <v>208</v>
      </c>
      <c r="E20" s="37"/>
      <c r="F20" s="36"/>
      <c r="G20" s="36"/>
      <c r="H20" s="36"/>
      <c r="I20" s="160"/>
      <c r="J20" s="36"/>
      <c r="K20" s="128"/>
      <c r="L20" s="128"/>
      <c r="M20" s="128"/>
      <c r="N20" s="128"/>
      <c r="O20" s="81"/>
      <c r="P20" s="81" t="str">
        <f>IFERROR(((H20/F20)^(1/(($H$1-$F$1)/365)))-1,"n/a")</f>
        <v>n/a</v>
      </c>
      <c r="Q20" s="81" t="str">
        <f>IFERROR(((N20/H20)^(1/(($N$1-$H$1)/365)))-1,"n/a")</f>
        <v>n/a</v>
      </c>
    </row>
    <row r="21" spans="2:20" ht="11.45" hidden="1" customHeight="1" outlineLevel="1" x14ac:dyDescent="0.2">
      <c r="C21" s="37" t="s">
        <v>207</v>
      </c>
      <c r="D21" s="37" t="s">
        <v>207</v>
      </c>
      <c r="E21" s="37"/>
      <c r="F21" s="36"/>
      <c r="G21" s="36"/>
      <c r="H21" s="36"/>
      <c r="I21" s="160"/>
      <c r="J21" s="36"/>
      <c r="K21" s="128"/>
      <c r="L21" s="128"/>
      <c r="M21" s="128"/>
      <c r="N21" s="128"/>
      <c r="O21" s="81"/>
      <c r="P21" s="81" t="str">
        <f>IFERROR(((H21/F21)^(1/(($H$1-$F$1)/365)))-1,"n/a")</f>
        <v>n/a</v>
      </c>
      <c r="Q21" s="81" t="str">
        <f>IFERROR(((N21/H21)^(1/(($N$1-$H$1)/365)))-1,"n/a")</f>
        <v>n/a</v>
      </c>
    </row>
    <row r="22" spans="2:20" ht="11.45" customHeight="1" collapsed="1" x14ac:dyDescent="0.25">
      <c r="C22" s="141" t="s">
        <v>417</v>
      </c>
      <c r="D22" s="141" t="s">
        <v>416</v>
      </c>
      <c r="E22" s="141"/>
      <c r="F22" s="141">
        <f>'P&amp;L (Annual Report)'!E95/1000</f>
        <v>550.7295499999999</v>
      </c>
      <c r="G22" s="141">
        <f>SUMIFS('Trial Balance (Susa)'!G:G,'Trial Balance (Susa)'!$E:$E,$T22)/1000</f>
        <v>681.10090000000014</v>
      </c>
      <c r="H22" s="141">
        <f>SUMIFS('Trial Balance (Susa)'!H:H,'Trial Balance (Susa)'!$E:$E,$T22)/1000</f>
        <v>838.98220000000003</v>
      </c>
      <c r="I22" s="177">
        <v>353.00003999999996</v>
      </c>
      <c r="J22" s="141">
        <f>SUMIFS('Trial Balance (Susa)'!I:I,'Trial Balance (Susa)'!$E:$E,$T22)/1000</f>
        <v>798.09190999999987</v>
      </c>
      <c r="K22" s="139">
        <f>SUM(K19:K21)</f>
        <v>0</v>
      </c>
      <c r="L22" s="139">
        <f>SUM(L19:L21)</f>
        <v>0</v>
      </c>
      <c r="M22" s="139">
        <f>SUM(M19:M21)</f>
        <v>0</v>
      </c>
      <c r="N22" s="139">
        <f>SUM(N19:N21)</f>
        <v>0</v>
      </c>
      <c r="O22" s="168"/>
      <c r="P22" s="244">
        <f>IFERROR(((H22/F22)^(1/(($H$1-$F$1)/365)))-1,"n/a")</f>
        <v>0.23390618051686496</v>
      </c>
      <c r="Q22" s="244">
        <f>IFERROR(((N22/H22)^(1/(($N$1-$H$1)/365)))-1,"n/a")</f>
        <v>-1</v>
      </c>
      <c r="T22" t="s">
        <v>417</v>
      </c>
    </row>
    <row r="23" spans="2:20" ht="4.5" customHeight="1" x14ac:dyDescent="0.2">
      <c r="C23" s="172"/>
      <c r="D23" s="172"/>
      <c r="E23" s="172"/>
      <c r="F23" s="172"/>
      <c r="G23" s="172"/>
      <c r="H23" s="172"/>
      <c r="I23" s="171"/>
      <c r="J23" s="172"/>
      <c r="K23" s="242"/>
      <c r="L23" s="242"/>
      <c r="M23" s="242"/>
      <c r="N23" s="242"/>
      <c r="O23" s="168"/>
      <c r="P23" s="243"/>
      <c r="Q23" s="243"/>
    </row>
    <row r="24" spans="2:20" ht="11.45" customHeight="1" x14ac:dyDescent="0.2">
      <c r="C24" s="174" t="str">
        <f>'Lead PL'!C30</f>
        <v>Personalaufwand</v>
      </c>
      <c r="D24" s="174" t="str">
        <f>'Lead PL'!D30</f>
        <v>Personnel expenses</v>
      </c>
      <c r="E24" s="174"/>
      <c r="F24" s="172">
        <f>F22+F17</f>
        <v>3564.197200000001</v>
      </c>
      <c r="G24" s="172">
        <f>G22+G17</f>
        <v>3758.9842600000002</v>
      </c>
      <c r="H24" s="172">
        <f>H22+H17</f>
        <v>4522.3510500000002</v>
      </c>
      <c r="I24" s="171">
        <f>I22+I17</f>
        <v>1765.0001999999997</v>
      </c>
      <c r="J24" s="172">
        <f>J22+J17</f>
        <v>4225.8270300000004</v>
      </c>
      <c r="K24" s="242">
        <f>K22+K15</f>
        <v>0</v>
      </c>
      <c r="L24" s="242">
        <f>L22+L15</f>
        <v>0</v>
      </c>
      <c r="M24" s="242">
        <f>M22+M15</f>
        <v>0</v>
      </c>
      <c r="N24" s="242">
        <f>N22+N15</f>
        <v>0</v>
      </c>
      <c r="O24" s="241"/>
      <c r="P24" s="240">
        <f>IFERROR(((H24/F24)^(1/(($H$1-$F$1)/365)))-1,"n/a")</f>
        <v>0.12623895972525334</v>
      </c>
      <c r="Q24" s="240">
        <f>IFERROR(((N24/H24)^(1/(($N$1-$H$1)/365)))-1,"n/a")</f>
        <v>-1</v>
      </c>
    </row>
    <row r="25" spans="2:20" ht="4.5" customHeight="1" x14ac:dyDescent="0.2">
      <c r="C25" s="37"/>
      <c r="D25" s="37"/>
      <c r="E25" s="37"/>
      <c r="F25" s="36"/>
      <c r="G25" s="36"/>
      <c r="H25" s="36"/>
      <c r="I25" s="160"/>
      <c r="J25" s="36"/>
      <c r="K25" s="128"/>
      <c r="L25" s="128"/>
      <c r="M25" s="128"/>
      <c r="N25" s="128"/>
      <c r="O25" s="81"/>
      <c r="P25" s="81"/>
      <c r="Q25" s="81"/>
    </row>
    <row r="26" spans="2:20" ht="11.45" hidden="1" customHeight="1" outlineLevel="2" x14ac:dyDescent="0.2">
      <c r="C26" s="37" t="str">
        <f>'Lead PL'!C24</f>
        <v>Gesamtleistung</v>
      </c>
      <c r="D26" s="37" t="str">
        <f>'Lead PL'!D24</f>
        <v>Total output</v>
      </c>
      <c r="E26" s="37"/>
      <c r="F26" s="36">
        <f>'Lead PL'!F24</f>
        <v>16416.744779999997</v>
      </c>
      <c r="G26" s="36">
        <f>'Lead PL'!G24</f>
        <v>15515.82071</v>
      </c>
      <c r="H26" s="36">
        <f>'Lead PL'!H24</f>
        <v>17010.758600000001</v>
      </c>
      <c r="I26" s="160">
        <f>'Lead PL'!I24</f>
        <v>15235.918450000003</v>
      </c>
      <c r="J26" s="36">
        <f>'Lead PL'!I24</f>
        <v>15235.918450000003</v>
      </c>
      <c r="K26" s="128">
        <f>'Lead PL'!K24</f>
        <v>0</v>
      </c>
      <c r="L26" s="128">
        <f>'Lead PL'!L24</f>
        <v>0</v>
      </c>
      <c r="M26" s="128">
        <f>'Lead PL'!M24</f>
        <v>0</v>
      </c>
      <c r="N26" s="128">
        <f>'Lead PL'!N24</f>
        <v>0</v>
      </c>
      <c r="O26" s="81"/>
      <c r="P26" s="81"/>
      <c r="Q26" s="81"/>
    </row>
    <row r="27" spans="2:20" ht="11.45" hidden="1" customHeight="1" outlineLevel="2" x14ac:dyDescent="0.2">
      <c r="C27" s="37"/>
      <c r="D27" s="37"/>
      <c r="E27" s="37"/>
      <c r="F27" s="36"/>
      <c r="G27" s="36"/>
      <c r="H27" s="36"/>
      <c r="I27" s="160"/>
      <c r="J27" s="36"/>
      <c r="K27" s="128"/>
      <c r="L27" s="128"/>
      <c r="M27" s="128"/>
      <c r="N27" s="128"/>
      <c r="O27" s="81"/>
      <c r="P27" s="81"/>
      <c r="Q27" s="81"/>
    </row>
    <row r="28" spans="2:20" ht="11.45" customHeight="1" collapsed="1" x14ac:dyDescent="0.2">
      <c r="C28" s="90" t="str">
        <f>"in % der "&amp;C26</f>
        <v>in % der Gesamtleistung</v>
      </c>
      <c r="D28" s="90" t="str">
        <f>"in % of "&amp;D26</f>
        <v>in % of Total output</v>
      </c>
      <c r="E28" s="90"/>
      <c r="F28" s="36"/>
      <c r="G28" s="36"/>
      <c r="H28" s="36"/>
      <c r="I28" s="160"/>
      <c r="J28" s="36"/>
      <c r="K28" s="128"/>
      <c r="L28" s="128"/>
      <c r="M28" s="128"/>
      <c r="N28" s="128"/>
      <c r="O28" s="81"/>
      <c r="P28" s="81"/>
      <c r="Q28" s="81"/>
    </row>
    <row r="29" spans="2:20" ht="11.45" customHeight="1" x14ac:dyDescent="0.2">
      <c r="C29" s="501" t="str">
        <f>C11</f>
        <v>GF Vergütung</v>
      </c>
      <c r="D29" s="90"/>
      <c r="E29" s="90"/>
      <c r="F29" s="81">
        <f>IFERROR(F11/F$26,"n/a")</f>
        <v>1.8517678387152223E-2</v>
      </c>
      <c r="G29" s="81">
        <f>IFERROR(G11/G$26,"n/a")</f>
        <v>1.9592904924717967E-2</v>
      </c>
      <c r="H29" s="81">
        <f>IFERROR(H11/H$26,"n/a")</f>
        <v>2.2530272106736027E-2</v>
      </c>
      <c r="I29" s="80">
        <f>IFERROR(I11/I$26,"n/a")</f>
        <v>4.6337874695043392E-2</v>
      </c>
      <c r="J29" s="81">
        <f>IFERROR(J11/J$26,"n/a")</f>
        <v>2.8979548653333721E-2</v>
      </c>
      <c r="K29" s="128"/>
      <c r="L29" s="128"/>
      <c r="M29" s="128"/>
      <c r="N29" s="128"/>
      <c r="O29" s="81"/>
      <c r="P29" s="81"/>
      <c r="Q29" s="81"/>
    </row>
    <row r="30" spans="2:20" ht="11.45" customHeight="1" x14ac:dyDescent="0.2">
      <c r="C30" s="37" t="str">
        <f>C15</f>
        <v>MA - Löhne und Gehälter</v>
      </c>
      <c r="D30" s="37" t="str">
        <f>D15</f>
        <v>Wages and salaries</v>
      </c>
      <c r="E30" s="37"/>
      <c r="F30" s="81">
        <f t="shared" ref="F30:N30" si="1">IFERROR(F15/F$26,"n/a")</f>
        <v>0.16504292941806953</v>
      </c>
      <c r="G30" s="81">
        <f t="shared" si="1"/>
        <v>0.17877773994979348</v>
      </c>
      <c r="H30" s="81">
        <f t="shared" si="1"/>
        <v>0.19400144976485648</v>
      </c>
      <c r="I30" s="80">
        <f t="shared" si="1"/>
        <v>4.6337874695043392E-2</v>
      </c>
      <c r="J30" s="81">
        <f t="shared" si="1"/>
        <v>0.19599770698431374</v>
      </c>
      <c r="K30" s="78" t="str">
        <f t="shared" si="1"/>
        <v>n/a</v>
      </c>
      <c r="L30" s="78" t="str">
        <f t="shared" si="1"/>
        <v>n/a</v>
      </c>
      <c r="M30" s="78" t="str">
        <f t="shared" si="1"/>
        <v>n/a</v>
      </c>
      <c r="N30" s="78" t="str">
        <f t="shared" si="1"/>
        <v>n/a</v>
      </c>
      <c r="O30" s="81"/>
      <c r="P30" s="81"/>
      <c r="Q30" s="81"/>
    </row>
    <row r="31" spans="2:20" ht="11.45" customHeight="1" x14ac:dyDescent="0.2">
      <c r="C31" s="37" t="str">
        <f>C22</f>
        <v>Sozialabgaben</v>
      </c>
      <c r="D31" s="37" t="str">
        <f>D22</f>
        <v>Social security</v>
      </c>
      <c r="E31" s="37"/>
      <c r="F31" s="81">
        <f t="shared" ref="F31:N31" si="2">IFERROR(F22/F$26,"n/a")</f>
        <v>3.3546818043424562E-2</v>
      </c>
      <c r="G31" s="81">
        <f t="shared" si="2"/>
        <v>4.3897188084999476E-2</v>
      </c>
      <c r="H31" s="81">
        <f t="shared" si="2"/>
        <v>4.9320681089437129E-2</v>
      </c>
      <c r="I31" s="80">
        <f t="shared" si="2"/>
        <v>2.3168937347521696E-2</v>
      </c>
      <c r="J31" s="81">
        <f t="shared" si="2"/>
        <v>5.2382264490264431E-2</v>
      </c>
      <c r="K31" s="78" t="str">
        <f t="shared" si="2"/>
        <v>n/a</v>
      </c>
      <c r="L31" s="78" t="str">
        <f t="shared" si="2"/>
        <v>n/a</v>
      </c>
      <c r="M31" s="78" t="str">
        <f t="shared" si="2"/>
        <v>n/a</v>
      </c>
      <c r="N31" s="78" t="str">
        <f t="shared" si="2"/>
        <v>n/a</v>
      </c>
      <c r="O31" s="81"/>
      <c r="P31" s="81"/>
      <c r="Q31" s="81"/>
    </row>
    <row r="32" spans="2:20" s="91" customFormat="1" ht="11.45" customHeight="1" x14ac:dyDescent="0.2">
      <c r="B32" s="1"/>
      <c r="C32" s="90" t="str">
        <f>C24</f>
        <v>Personalaufwand</v>
      </c>
      <c r="D32" s="90" t="str">
        <f>D24</f>
        <v>Personnel expenses</v>
      </c>
      <c r="E32" s="90"/>
      <c r="F32" s="87">
        <f t="shared" ref="F32:N32" si="3">IFERROR(F24/F$26,"n/a")</f>
        <v>0.21710742584864631</v>
      </c>
      <c r="G32" s="87">
        <f t="shared" si="3"/>
        <v>0.24226783295951093</v>
      </c>
      <c r="H32" s="87">
        <f t="shared" si="3"/>
        <v>0.26585240296102963</v>
      </c>
      <c r="I32" s="86">
        <f t="shared" si="3"/>
        <v>0.11584468673760848</v>
      </c>
      <c r="J32" s="87">
        <f t="shared" si="3"/>
        <v>0.27735952012791193</v>
      </c>
      <c r="K32" s="84" t="str">
        <f t="shared" si="3"/>
        <v>n/a</v>
      </c>
      <c r="L32" s="84" t="str">
        <f t="shared" si="3"/>
        <v>n/a</v>
      </c>
      <c r="M32" s="84" t="str">
        <f t="shared" si="3"/>
        <v>n/a</v>
      </c>
      <c r="N32" s="84" t="str">
        <f t="shared" si="3"/>
        <v>n/a</v>
      </c>
      <c r="O32" s="81"/>
      <c r="P32" s="81"/>
      <c r="Q32" s="81"/>
      <c r="R32" s="1"/>
    </row>
    <row r="33" spans="2:33" ht="11.45" customHeight="1" x14ac:dyDescent="0.2">
      <c r="C33" s="239"/>
      <c r="D33" s="239"/>
      <c r="E33" s="239"/>
      <c r="F33" s="36"/>
      <c r="G33" s="36"/>
      <c r="H33" s="36"/>
      <c r="I33" s="160"/>
      <c r="J33" s="36"/>
      <c r="K33" s="128"/>
      <c r="L33" s="128"/>
      <c r="M33" s="128"/>
      <c r="N33" s="128"/>
      <c r="O33" s="81"/>
      <c r="P33" s="81"/>
      <c r="Q33" s="81"/>
    </row>
    <row r="34" spans="2:33" ht="11.45" customHeight="1" x14ac:dyDescent="0.2">
      <c r="C34" s="90" t="s">
        <v>2448</v>
      </c>
      <c r="D34" s="90" t="s">
        <v>415</v>
      </c>
      <c r="E34" s="90"/>
      <c r="F34" s="81"/>
      <c r="G34" s="81"/>
      <c r="H34" s="81"/>
      <c r="I34" s="80"/>
      <c r="J34" s="81"/>
      <c r="K34" s="78"/>
      <c r="L34" s="78"/>
      <c r="M34" s="78"/>
      <c r="N34" s="78"/>
      <c r="O34" s="81"/>
      <c r="P34" s="81"/>
      <c r="Q34" s="81"/>
    </row>
    <row r="35" spans="2:33" ht="11.45" customHeight="1" x14ac:dyDescent="0.2">
      <c r="C35" s="37" t="s">
        <v>2441</v>
      </c>
      <c r="D35" s="37" t="str">
        <f>D9</f>
        <v>Dummy 1</v>
      </c>
      <c r="E35" s="37"/>
      <c r="F35" s="504">
        <v>1</v>
      </c>
      <c r="G35" s="504">
        <v>1</v>
      </c>
      <c r="H35" s="504">
        <v>1.5</v>
      </c>
      <c r="I35" s="505">
        <v>1</v>
      </c>
      <c r="J35" s="504">
        <v>2</v>
      </c>
      <c r="K35" s="128"/>
      <c r="L35" s="128"/>
      <c r="M35" s="128"/>
      <c r="N35" s="128"/>
      <c r="O35" s="81"/>
      <c r="P35" s="81"/>
      <c r="Q35" s="81"/>
    </row>
    <row r="36" spans="2:33" ht="11.45" customHeight="1" x14ac:dyDescent="0.2">
      <c r="C36" s="37" t="s">
        <v>2442</v>
      </c>
      <c r="D36" s="37" t="str">
        <f>D13</f>
        <v>Dummy 2</v>
      </c>
      <c r="E36" s="37"/>
      <c r="F36" s="504">
        <f>75.87-F35</f>
        <v>74.87</v>
      </c>
      <c r="G36" s="504">
        <f>70.69-G35</f>
        <v>69.69</v>
      </c>
      <c r="H36" s="504">
        <f>78.76-H35</f>
        <v>77.260000000000005</v>
      </c>
      <c r="I36" s="505"/>
      <c r="J36" s="504">
        <f>78.36-J35</f>
        <v>76.36</v>
      </c>
      <c r="K36" s="128"/>
      <c r="L36" s="128"/>
      <c r="M36" s="128"/>
      <c r="N36" s="128"/>
      <c r="O36" s="81"/>
      <c r="P36" s="81"/>
      <c r="Q36" s="81"/>
    </row>
    <row r="37" spans="2:33" ht="11.45" hidden="1" customHeight="1" outlineLevel="1" x14ac:dyDescent="0.2">
      <c r="C37" s="37"/>
      <c r="D37" s="37" t="str">
        <f>D14</f>
        <v>Dummy 3</v>
      </c>
      <c r="E37" s="37"/>
      <c r="F37" s="504"/>
      <c r="G37" s="504"/>
      <c r="H37" s="504"/>
      <c r="I37" s="505"/>
      <c r="J37" s="504"/>
      <c r="K37" s="128"/>
      <c r="L37" s="128"/>
      <c r="M37" s="128"/>
      <c r="N37" s="128"/>
      <c r="O37" s="81"/>
      <c r="P37" s="81"/>
      <c r="Q37" s="81"/>
    </row>
    <row r="38" spans="2:33" ht="11.45" customHeight="1" collapsed="1" x14ac:dyDescent="0.2">
      <c r="C38" s="155" t="s">
        <v>2447</v>
      </c>
      <c r="D38" s="155" t="s">
        <v>414</v>
      </c>
      <c r="E38" s="155"/>
      <c r="F38" s="506">
        <f t="shared" ref="F38:N38" si="4">SUM(F35:F37)</f>
        <v>75.87</v>
      </c>
      <c r="G38" s="506">
        <f t="shared" si="4"/>
        <v>70.69</v>
      </c>
      <c r="H38" s="506">
        <f t="shared" si="4"/>
        <v>78.760000000000005</v>
      </c>
      <c r="I38" s="507">
        <f t="shared" si="4"/>
        <v>1</v>
      </c>
      <c r="J38" s="506">
        <f t="shared" si="4"/>
        <v>78.36</v>
      </c>
      <c r="K38" s="152">
        <f t="shared" si="4"/>
        <v>0</v>
      </c>
      <c r="L38" s="152">
        <f t="shared" si="4"/>
        <v>0</v>
      </c>
      <c r="M38" s="152">
        <f t="shared" si="4"/>
        <v>0</v>
      </c>
      <c r="N38" s="152">
        <f t="shared" si="4"/>
        <v>0</v>
      </c>
      <c r="O38" s="81"/>
      <c r="P38" s="81"/>
      <c r="Q38" s="81"/>
    </row>
    <row r="39" spans="2:33" ht="11.45" customHeight="1" x14ac:dyDescent="0.2">
      <c r="C39" s="239"/>
      <c r="D39" s="239"/>
      <c r="E39" s="239"/>
      <c r="F39" s="36"/>
      <c r="G39" s="36"/>
      <c r="H39" s="36"/>
      <c r="I39" s="160"/>
      <c r="J39" s="36"/>
      <c r="K39" s="128"/>
      <c r="L39" s="128"/>
      <c r="M39" s="128"/>
      <c r="N39" s="128"/>
      <c r="O39" s="81"/>
      <c r="P39" s="81"/>
      <c r="Q39" s="81"/>
      <c r="Y39" s="419" t="s">
        <v>2486</v>
      </c>
      <c r="Z39" s="486"/>
      <c r="AA39" s="486"/>
      <c r="AB39" s="486"/>
      <c r="AC39" s="486"/>
      <c r="AD39" s="486"/>
      <c r="AE39" s="486"/>
      <c r="AF39" s="486"/>
      <c r="AG39" s="486"/>
    </row>
    <row r="40" spans="2:33" ht="11.45" customHeight="1" x14ac:dyDescent="0.2">
      <c r="C40" s="90" t="s">
        <v>2446</v>
      </c>
      <c r="D40" s="90" t="s">
        <v>413</v>
      </c>
      <c r="E40" s="90"/>
      <c r="F40" s="81"/>
      <c r="G40" s="81"/>
      <c r="H40" s="81"/>
      <c r="I40" s="80"/>
      <c r="J40" s="81"/>
      <c r="K40" s="78"/>
      <c r="L40" s="78"/>
      <c r="M40" s="78"/>
      <c r="N40" s="78"/>
      <c r="O40" s="81"/>
      <c r="P40" s="81"/>
      <c r="Q40" s="81"/>
    </row>
    <row r="41" spans="2:33" ht="11.45" customHeight="1" x14ac:dyDescent="0.2">
      <c r="C41" s="37" t="str">
        <f>C35</f>
        <v>Geschäftsführer</v>
      </c>
      <c r="D41" s="37" t="str">
        <f>D9</f>
        <v>Dummy 1</v>
      </c>
      <c r="E41" s="37"/>
      <c r="F41" s="36">
        <f>IFERROR((F11)/F35,"n/a")</f>
        <v>304</v>
      </c>
      <c r="G41" s="36">
        <f>IFERROR((G11)/G35,"n/a")</f>
        <v>304</v>
      </c>
      <c r="H41" s="36">
        <f>IFERROR((H11)/H35,"n/a")</f>
        <v>255.50468000000001</v>
      </c>
      <c r="I41" s="160">
        <f>IFERROR((I11)/I35,"n/a")</f>
        <v>706.00007999999991</v>
      </c>
      <c r="J41" s="36">
        <f>IFERROR((J11)/J35,"n/a")</f>
        <v>220.76501999999999</v>
      </c>
      <c r="K41" s="128" t="str">
        <f>IFERROR((K9+K19)/K35,"n/a")</f>
        <v>n/a</v>
      </c>
      <c r="L41" s="128" t="str">
        <f>IFERROR((L9+L19)/L35,"n/a")</f>
        <v>n/a</v>
      </c>
      <c r="M41" s="128" t="str">
        <f>IFERROR((M9+M19)/M35,"n/a")</f>
        <v>n/a</v>
      </c>
      <c r="N41" s="128" t="str">
        <f>IFERROR((N9+N19)/N35,"n/a")</f>
        <v>n/a</v>
      </c>
      <c r="O41" s="81"/>
      <c r="P41" s="81"/>
      <c r="Q41" s="81"/>
    </row>
    <row r="42" spans="2:33" ht="11.45" customHeight="1" x14ac:dyDescent="0.2">
      <c r="C42" s="37" t="str">
        <f>C36</f>
        <v>Mitarbeiter</v>
      </c>
      <c r="D42" s="37" t="str">
        <f>D13</f>
        <v>Dummy 2</v>
      </c>
      <c r="E42" s="37"/>
      <c r="F42" s="36">
        <f>IFERROR((F15)/F36,"n/a")</f>
        <v>36.188962868972894</v>
      </c>
      <c r="G42" s="36">
        <f>IFERROR((G15)/G36,"n/a")</f>
        <v>39.803176352417857</v>
      </c>
      <c r="H42" s="36">
        <f>IFERROR((H15)/H36,"n/a")</f>
        <v>42.71436487186125</v>
      </c>
      <c r="I42" s="160" t="str">
        <f>IFERROR((I15)/I36,"n/a")</f>
        <v>n/a</v>
      </c>
      <c r="J42" s="36">
        <f>IFERROR((J15)/J36,"n/a")</f>
        <v>39.106928758512311</v>
      </c>
      <c r="K42" s="128" t="str">
        <f t="shared" ref="K42:N44" si="5">IFERROR((K13+K20)/K36,"n/a")</f>
        <v>n/a</v>
      </c>
      <c r="L42" s="128" t="str">
        <f t="shared" si="5"/>
        <v>n/a</v>
      </c>
      <c r="M42" s="128" t="str">
        <f t="shared" si="5"/>
        <v>n/a</v>
      </c>
      <c r="N42" s="128" t="str">
        <f t="shared" si="5"/>
        <v>n/a</v>
      </c>
      <c r="O42" s="81"/>
      <c r="P42" s="81"/>
      <c r="Q42" s="81"/>
      <c r="T42" s="781">
        <f>_xlfn.RRI(3,F42,J42)</f>
        <v>2.6185462131100179E-2</v>
      </c>
    </row>
    <row r="43" spans="2:33" ht="11.45" hidden="1" customHeight="1" outlineLevel="1" x14ac:dyDescent="0.2">
      <c r="C43" s="37"/>
      <c r="D43" s="37"/>
      <c r="E43" s="37"/>
      <c r="F43" s="36"/>
      <c r="G43" s="36"/>
      <c r="H43" s="36"/>
      <c r="I43" s="160"/>
      <c r="J43" s="36"/>
      <c r="K43" s="128" t="str">
        <f t="shared" si="5"/>
        <v>n/a</v>
      </c>
      <c r="L43" s="128" t="str">
        <f t="shared" si="5"/>
        <v>n/a</v>
      </c>
      <c r="M43" s="128" t="str">
        <f t="shared" si="5"/>
        <v>n/a</v>
      </c>
      <c r="N43" s="128" t="str">
        <f t="shared" si="5"/>
        <v>n/a</v>
      </c>
      <c r="O43" s="81"/>
      <c r="P43" s="81"/>
      <c r="Q43" s="81"/>
    </row>
    <row r="44" spans="2:33" s="91" customFormat="1" ht="11.45" customHeight="1" collapsed="1" x14ac:dyDescent="0.2">
      <c r="B44" s="1"/>
      <c r="C44" s="155" t="s">
        <v>412</v>
      </c>
      <c r="D44" s="155" t="s">
        <v>411</v>
      </c>
      <c r="E44" s="155"/>
      <c r="F44" s="154">
        <f>IFERROR((F17)/F38,"n/a")</f>
        <v>39.718830235929893</v>
      </c>
      <c r="G44" s="154">
        <f>IFERROR((G17)/G38,"n/a")</f>
        <v>43.540576602065364</v>
      </c>
      <c r="H44" s="154">
        <f>IFERROR((H17)/H38,"n/a")</f>
        <v>46.766999111223974</v>
      </c>
      <c r="I44" s="183">
        <f>IFERROR((I17)/I38,"n/a")</f>
        <v>1412.0001599999998</v>
      </c>
      <c r="J44" s="154">
        <f>IFERROR((J17)/J38,"n/a")</f>
        <v>43.743429300663607</v>
      </c>
      <c r="K44" s="152" t="str">
        <f t="shared" si="5"/>
        <v>n/a</v>
      </c>
      <c r="L44" s="152" t="str">
        <f t="shared" si="5"/>
        <v>n/a</v>
      </c>
      <c r="M44" s="152" t="str">
        <f t="shared" si="5"/>
        <v>n/a</v>
      </c>
      <c r="N44" s="152" t="str">
        <f t="shared" si="5"/>
        <v>n/a</v>
      </c>
      <c r="O44" s="81"/>
      <c r="P44" s="81"/>
      <c r="Q44" s="81"/>
      <c r="R44" s="1"/>
    </row>
    <row r="45" spans="2:33" ht="11.45" customHeight="1" x14ac:dyDescent="0.2">
      <c r="C45" s="239"/>
      <c r="D45" s="239"/>
      <c r="E45" s="239"/>
      <c r="F45" s="36"/>
      <c r="G45" s="36"/>
      <c r="H45" s="36"/>
      <c r="I45" s="160"/>
      <c r="J45" s="36"/>
      <c r="K45" s="128"/>
      <c r="L45" s="128"/>
      <c r="M45" s="128"/>
      <c r="N45" s="128"/>
      <c r="O45" s="81"/>
      <c r="P45" s="81"/>
      <c r="Q45" s="81"/>
    </row>
    <row r="46" spans="2:33" s="91" customFormat="1" ht="11.45" customHeight="1" x14ac:dyDescent="0.2">
      <c r="B46" s="1"/>
      <c r="C46" s="90" t="s">
        <v>410</v>
      </c>
      <c r="D46" s="90" t="s">
        <v>409</v>
      </c>
      <c r="E46" s="90"/>
      <c r="F46" s="87">
        <f>IFERROR(F22/F$17,"n/a")</f>
        <v>0.18275608500393217</v>
      </c>
      <c r="G46" s="87">
        <f>IFERROR(G22/G$17,"n/a")</f>
        <v>0.22128873005765887</v>
      </c>
      <c r="H46" s="87">
        <f>IFERROR(H22/H$17,"n/a")</f>
        <v>0.22777577651502373</v>
      </c>
      <c r="I46" s="86">
        <f>IFERROR(I22/I$17,"n/a")</f>
        <v>0.25</v>
      </c>
      <c r="J46" s="87">
        <f>IFERROR(J22/J$17,"n/a")</f>
        <v>0.23283360063131125</v>
      </c>
      <c r="K46" s="84" t="str">
        <f>IFERROR(K22/K$15,"n/a")</f>
        <v>n/a</v>
      </c>
      <c r="L46" s="84" t="str">
        <f>IFERROR(L22/L$15,"n/a")</f>
        <v>n/a</v>
      </c>
      <c r="M46" s="84" t="str">
        <f>IFERROR(M22/M$15,"n/a")</f>
        <v>n/a</v>
      </c>
      <c r="N46" s="84" t="str">
        <f>IFERROR(N22/N$15,"n/a")</f>
        <v>n/a</v>
      </c>
      <c r="O46" s="81"/>
      <c r="P46" s="81"/>
      <c r="Q46" s="81"/>
      <c r="R46" s="1"/>
    </row>
    <row r="47" spans="2:33" ht="4.5" customHeight="1" x14ac:dyDescent="0.2">
      <c r="C47" s="37"/>
      <c r="D47" s="37"/>
      <c r="E47" s="37"/>
      <c r="F47" s="81"/>
      <c r="G47" s="81"/>
      <c r="H47" s="81"/>
      <c r="I47" s="81"/>
      <c r="J47" s="81"/>
      <c r="K47" s="78"/>
      <c r="L47" s="78"/>
      <c r="M47" s="78"/>
      <c r="N47" s="78"/>
      <c r="O47" s="81"/>
      <c r="P47" s="81"/>
      <c r="Q47" s="81"/>
    </row>
    <row r="48" spans="2:33" ht="11.45" customHeight="1" x14ac:dyDescent="0.2">
      <c r="C48" s="42" t="str">
        <f>"Quelle: "&amp;Cockpit!$C$7</f>
        <v>Quelle: Datenraum/ eigene Analysen</v>
      </c>
      <c r="D48" s="42" t="str">
        <f>"Source: "&amp;Cockpit!$C$8</f>
        <v>Source: Virtual Data Room/ Company Information</v>
      </c>
      <c r="E48" s="42"/>
      <c r="F48" s="41"/>
      <c r="G48" s="41"/>
      <c r="H48" s="41"/>
      <c r="I48" s="187"/>
      <c r="J48" s="41"/>
      <c r="K48" s="238"/>
      <c r="L48" s="238"/>
      <c r="M48" s="238"/>
      <c r="N48" s="238"/>
      <c r="O48" s="81"/>
      <c r="P48" s="41"/>
      <c r="Q48" s="41"/>
    </row>
    <row r="51" spans="3:22" ht="11.45" customHeight="1" x14ac:dyDescent="0.2">
      <c r="C51" s="72" t="s">
        <v>408</v>
      </c>
      <c r="D51" s="72" t="s">
        <v>407</v>
      </c>
      <c r="E51" s="72"/>
      <c r="F51" s="71">
        <f>'Lead PL'!F30</f>
        <v>-3564.1972000000005</v>
      </c>
      <c r="G51" s="71">
        <f>'Lead PL'!G30</f>
        <v>-3758.9842600000011</v>
      </c>
      <c r="H51" s="71">
        <f>'Lead PL'!H30</f>
        <v>-4522.3510500000011</v>
      </c>
      <c r="I51" s="71">
        <f>'Lead PL'!I30</f>
        <v>-4225.8270299999995</v>
      </c>
      <c r="J51" s="71">
        <f>'Lead PL'!I30</f>
        <v>-4225.8270299999995</v>
      </c>
      <c r="K51" s="71">
        <f>'Lead PL'!K31</f>
        <v>0</v>
      </c>
      <c r="L51" s="71">
        <f>'Lead PL'!L31</f>
        <v>0</v>
      </c>
      <c r="M51" s="71">
        <f>'Lead PL'!M31</f>
        <v>0</v>
      </c>
      <c r="N51" s="71">
        <f>'Lead PL'!N31</f>
        <v>0</v>
      </c>
    </row>
    <row r="52" spans="3:22" ht="11.45" customHeight="1" x14ac:dyDescent="0.2">
      <c r="C52" s="70" t="s">
        <v>233</v>
      </c>
      <c r="D52" s="69" t="s">
        <v>233</v>
      </c>
      <c r="E52" s="70"/>
      <c r="F52" s="68">
        <f>F51+F24</f>
        <v>0</v>
      </c>
      <c r="G52" s="68">
        <f>G51+G24</f>
        <v>0</v>
      </c>
      <c r="H52" s="68">
        <f>H51+H24</f>
        <v>0</v>
      </c>
      <c r="I52" s="68">
        <f>I51+I24</f>
        <v>-2460.82683</v>
      </c>
      <c r="J52" s="68">
        <f>J51+J24</f>
        <v>0</v>
      </c>
      <c r="K52" s="158">
        <f>K51-K24</f>
        <v>0</v>
      </c>
      <c r="L52" s="158">
        <f>L51-L24</f>
        <v>0</v>
      </c>
      <c r="M52" s="158">
        <f>M51-M24</f>
        <v>0</v>
      </c>
      <c r="N52" s="158">
        <f>N51-N24</f>
        <v>0</v>
      </c>
    </row>
    <row r="55" spans="3:22" ht="11.45" customHeight="1" x14ac:dyDescent="0.2">
      <c r="C55" s="91" t="s">
        <v>2487</v>
      </c>
      <c r="D55" s="91"/>
      <c r="E55" s="91"/>
      <c r="F55" s="91"/>
      <c r="G55" s="91"/>
      <c r="H55" s="91"/>
      <c r="J55" s="91"/>
    </row>
    <row r="56" spans="3:22" ht="11.45" customHeight="1" x14ac:dyDescent="0.2">
      <c r="C56" s="1" t="s">
        <v>2488</v>
      </c>
    </row>
    <row r="57" spans="3:22" ht="11.45" customHeight="1" x14ac:dyDescent="0.2">
      <c r="C57" s="1" t="s">
        <v>2489</v>
      </c>
      <c r="G57" s="1">
        <f>12*19</f>
        <v>228</v>
      </c>
      <c r="H57" s="1">
        <f>12*19</f>
        <v>228</v>
      </c>
      <c r="J57" s="1">
        <f>12*19</f>
        <v>228</v>
      </c>
    </row>
    <row r="58" spans="3:22" ht="11.45" customHeight="1" x14ac:dyDescent="0.2">
      <c r="C58" s="1" t="s">
        <v>2460</v>
      </c>
      <c r="G58" s="1">
        <v>76</v>
      </c>
      <c r="H58" s="1">
        <v>76</v>
      </c>
      <c r="J58" s="1">
        <v>76</v>
      </c>
      <c r="V58" s="1" t="s">
        <v>4466</v>
      </c>
    </row>
    <row r="59" spans="3:22" ht="11.45" customHeight="1" x14ac:dyDescent="0.2">
      <c r="C59" s="91" t="s">
        <v>640</v>
      </c>
      <c r="D59" s="91"/>
      <c r="E59" s="91"/>
      <c r="F59" s="91"/>
      <c r="G59" s="91">
        <f>G57+G58</f>
        <v>304</v>
      </c>
      <c r="H59" s="91">
        <f>H57+H58</f>
        <v>304</v>
      </c>
      <c r="I59" s="91"/>
      <c r="J59" s="91">
        <f>J57+J58</f>
        <v>304</v>
      </c>
    </row>
    <row r="62" spans="3:22" ht="11.45" customHeight="1" x14ac:dyDescent="0.2">
      <c r="C62" s="1" t="s">
        <v>2490</v>
      </c>
    </row>
    <row r="63" spans="3:22" ht="11.45" customHeight="1" x14ac:dyDescent="0.2">
      <c r="C63" s="1" t="s">
        <v>2491</v>
      </c>
      <c r="H63" s="1">
        <f>125/12*6</f>
        <v>62.5</v>
      </c>
      <c r="J63" s="1">
        <f>125</f>
        <v>125</v>
      </c>
    </row>
    <row r="64" spans="3:22" ht="11.45" customHeight="1" x14ac:dyDescent="0.2">
      <c r="C64" s="1" t="s">
        <v>2460</v>
      </c>
      <c r="H64" s="1">
        <v>16.757000000000001</v>
      </c>
      <c r="J64" s="1">
        <v>12.53</v>
      </c>
    </row>
    <row r="65" spans="3:10" ht="11.45" customHeight="1" x14ac:dyDescent="0.2">
      <c r="C65" s="91" t="s">
        <v>640</v>
      </c>
      <c r="G65" s="91">
        <f>G63+G64</f>
        <v>0</v>
      </c>
      <c r="H65" s="91">
        <f>H63+H64</f>
        <v>79.257000000000005</v>
      </c>
      <c r="J65" s="91">
        <f>J63+J64</f>
        <v>137.53</v>
      </c>
    </row>
    <row r="67" spans="3:10" ht="11.45" customHeight="1" x14ac:dyDescent="0.2">
      <c r="C67" s="1" t="s">
        <v>2492</v>
      </c>
      <c r="H67" s="1">
        <f>H59+H65</f>
        <v>383.25700000000001</v>
      </c>
      <c r="J67" s="1">
        <f>J59+J65</f>
        <v>441.53</v>
      </c>
    </row>
    <row r="68" spans="3:10" ht="11.45" customHeight="1" x14ac:dyDescent="0.2">
      <c r="C68" s="368" t="s">
        <v>233</v>
      </c>
      <c r="D68" s="368"/>
      <c r="E68" s="368"/>
      <c r="F68" s="368"/>
      <c r="G68" s="368"/>
      <c r="H68" s="444">
        <f>H67-H11</f>
        <v>-2.0000000006348273E-5</v>
      </c>
      <c r="J68" s="444">
        <f>J67-J11</f>
        <v>-4.0000000012696546E-5</v>
      </c>
    </row>
  </sheetData>
  <conditionalFormatting sqref="A5:XFD38">
    <cfRule type="containsText" dxfId="287" priority="4" operator="containsText" text="Dummy">
      <formula>NOT(ISERROR(SEARCH("Dummy",A5)))</formula>
    </cfRule>
  </conditionalFormatting>
  <conditionalFormatting sqref="A40:XFD1048576">
    <cfRule type="containsText" dxfId="286" priority="2" operator="containsText" text="Dummy">
      <formula>NOT(ISERROR(SEARCH("Dummy",A40)))</formula>
    </cfRule>
  </conditionalFormatting>
  <conditionalFormatting sqref="F52:N52">
    <cfRule type="cellIs" dxfId="285" priority="17" operator="between">
      <formula>-1</formula>
      <formula>1</formula>
    </cfRule>
    <cfRule type="cellIs" dxfId="284" priority="18" operator="lessThan">
      <formula>-1</formula>
    </cfRule>
    <cfRule type="cellIs" dxfId="283" priority="19" operator="greaterThan">
      <formula>1</formula>
    </cfRule>
  </conditionalFormatting>
  <conditionalFormatting sqref="K1:XFD3 A1:J4 K4:U4 Y4:XFD4 A39:V39 Y39:XFD39">
    <cfRule type="containsText" dxfId="282" priority="6" operator="containsText" text="Dummy">
      <formula>NOT(ISERROR(SEARCH("Dummy",A1)))</formula>
    </cfRule>
  </conditionalFormatting>
  <conditionalFormatting sqref="V4">
    <cfRule type="containsText" dxfId="281" priority="1" operator="containsText" text="DUmmy">
      <formula>NOT(ISERROR(SEARCH("DUmmy",V4)))</formula>
    </cfRule>
  </conditionalFormatting>
  <pageMargins left="0.7" right="0.7" top="0.78740157499999996" bottom="0.78740157499999996" header="0.3" footer="0.3"/>
  <pageSetup paperSize="9" scale="53" orientation="portrait" r:id="rId1"/>
  <customProperties>
    <customPr name="AreLinksHighlighted" r:id="rId2"/>
  </customPropertie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9529-7A09-40CA-903C-E5F65506A533}">
  <sheetPr>
    <tabColor rgb="FF92D050"/>
  </sheetPr>
  <dimension ref="B1:T56"/>
  <sheetViews>
    <sheetView topLeftCell="A2" workbookViewId="0"/>
  </sheetViews>
  <sheetFormatPr defaultColWidth="11.28515625" defaultRowHeight="11.45" customHeight="1" outlineLevelRow="3" outlineLevelCol="2" x14ac:dyDescent="0.2"/>
  <cols>
    <col min="1" max="1" width="11.28515625" style="1"/>
    <col min="2" max="2" width="0.85546875" style="1" customWidth="1"/>
    <col min="3" max="3" width="35.5703125" style="1" customWidth="1"/>
    <col min="4" max="4" width="35.5703125" style="1" hidden="1" customWidth="1" outlineLevel="1"/>
    <col min="5" max="5" width="9" style="1" hidden="1" customWidth="1" outlineLevel="1" collapsed="1"/>
    <col min="6" max="6" width="9.42578125" style="1" customWidth="1" collapsed="1"/>
    <col min="7" max="9" width="9.42578125" style="1" customWidth="1"/>
    <col min="10" max="14" width="9.42578125" style="1" hidden="1" customWidth="1" outlineLevel="1"/>
    <col min="15" max="15" width="0.85546875" style="1" customWidth="1" collapsed="1"/>
    <col min="16" max="17" width="8.42578125" style="1" hidden="1" customWidth="1" outlineLevel="1"/>
    <col min="18" max="18" width="0.85546875" style="1" hidden="1" customWidth="1" outlineLevel="2"/>
    <col min="19" max="19" width="11.28515625" style="1" collapsed="1"/>
    <col min="20" max="16384" width="11.28515625" style="1"/>
  </cols>
  <sheetData>
    <row r="1" spans="3:20" ht="11.45" hidden="1" customHeight="1" outlineLevel="3" x14ac:dyDescent="0.2">
      <c r="C1" s="13" t="s">
        <v>268</v>
      </c>
      <c r="D1" s="13" t="s">
        <v>268</v>
      </c>
      <c r="E1" s="12"/>
      <c r="F1" s="12">
        <f t="shared" ref="F1:N1" si="0">IFERROR(F4,F6)</f>
        <v>44926</v>
      </c>
      <c r="G1" s="12">
        <f t="shared" si="0"/>
        <v>45291</v>
      </c>
      <c r="H1" s="12">
        <f t="shared" si="0"/>
        <v>45657</v>
      </c>
      <c r="I1" s="12">
        <f t="shared" si="0"/>
        <v>46022</v>
      </c>
      <c r="J1" s="12">
        <f t="shared" si="0"/>
        <v>46022</v>
      </c>
      <c r="K1" s="12">
        <f t="shared" si="0"/>
        <v>46022</v>
      </c>
      <c r="L1" s="12">
        <f t="shared" si="0"/>
        <v>46387</v>
      </c>
      <c r="M1" s="12">
        <f t="shared" si="0"/>
        <v>46752</v>
      </c>
      <c r="N1" s="12">
        <f t="shared" si="0"/>
        <v>47118</v>
      </c>
    </row>
    <row r="2" spans="3:20" ht="11.45" customHeight="1" collapsed="1" x14ac:dyDescent="0.25">
      <c r="E2" s="159" t="s">
        <v>453</v>
      </c>
    </row>
    <row r="4" spans="3:20" ht="11.45" customHeight="1" x14ac:dyDescent="0.2">
      <c r="C4" s="17" t="str">
        <f>Cockpit!$C$4</f>
        <v>Projekt Namur</v>
      </c>
      <c r="D4" s="17"/>
      <c r="E4" s="32" t="s">
        <v>452</v>
      </c>
      <c r="F4" s="32">
        <f>'Lead PL'!F4</f>
        <v>44926</v>
      </c>
      <c r="G4" s="32">
        <f>'Lead PL'!G4</f>
        <v>45291</v>
      </c>
      <c r="H4" s="32">
        <f>'Lead PL'!H4</f>
        <v>45657</v>
      </c>
      <c r="I4" s="32">
        <f>'Lead PL'!I4</f>
        <v>46022</v>
      </c>
      <c r="J4" s="32">
        <f>'Lead PL'!J4</f>
        <v>46022</v>
      </c>
      <c r="K4" s="32">
        <f>'Lead PL'!K4</f>
        <v>46022</v>
      </c>
      <c r="L4" s="32">
        <f>'Lead PL'!L4</f>
        <v>46387</v>
      </c>
      <c r="M4" s="32">
        <f>'Lead PL'!M4</f>
        <v>46752</v>
      </c>
      <c r="N4" s="32">
        <f>'Lead PL'!N4</f>
        <v>47118</v>
      </c>
      <c r="O4" s="81"/>
      <c r="P4" s="39" t="str">
        <f>'Lead PL'!P4</f>
        <v>CAGR</v>
      </c>
      <c r="Q4" s="39" t="str">
        <f>'Lead PL'!Q4</f>
        <v>CAGR</v>
      </c>
    </row>
    <row r="5" spans="3:20" ht="11.45" customHeight="1" x14ac:dyDescent="0.2">
      <c r="C5" s="17" t="str">
        <f>"in T"&amp;Cockpit!$C$5</f>
        <v>in TEUR</v>
      </c>
      <c r="D5" s="17"/>
      <c r="E5" s="32"/>
      <c r="F5" s="32" t="str">
        <f>'Lead PL'!F5</f>
        <v>IST</v>
      </c>
      <c r="G5" s="32" t="str">
        <f>'Lead PL'!G5</f>
        <v>IST</v>
      </c>
      <c r="H5" s="32" t="str">
        <f>'Lead PL'!H5</f>
        <v>IST</v>
      </c>
      <c r="I5" s="32" t="str">
        <f>'Lead PL'!I5</f>
        <v>IST</v>
      </c>
      <c r="J5" s="32" t="str">
        <f>'Lead PL'!J5</f>
        <v>YTD</v>
      </c>
      <c r="K5" s="32" t="str">
        <f>'Lead PL'!K5</f>
        <v>Plan</v>
      </c>
      <c r="L5" s="32" t="str">
        <f>'Lead PL'!L5</f>
        <v>Plan</v>
      </c>
      <c r="M5" s="32" t="str">
        <f>'Lead PL'!M5</f>
        <v>Plan</v>
      </c>
      <c r="N5" s="32" t="str">
        <f>'Lead PL'!N5</f>
        <v>Plan</v>
      </c>
      <c r="O5" s="81"/>
      <c r="P5" s="39" t="str">
        <f>'Lead PL'!P5</f>
        <v>IST</v>
      </c>
      <c r="Q5" s="39" t="str">
        <f>'Lead PL'!Q5</f>
        <v>Plan</v>
      </c>
    </row>
    <row r="6" spans="3:20" ht="11.45" hidden="1" customHeight="1" outlineLevel="1" x14ac:dyDescent="0.2">
      <c r="C6" s="124"/>
      <c r="D6" s="17" t="str">
        <f>Cockpit!$C$4</f>
        <v>Projekt Namur</v>
      </c>
      <c r="E6" s="39" t="s">
        <v>451</v>
      </c>
      <c r="F6" s="39">
        <f>'Lead PL'!F6</f>
        <v>44926</v>
      </c>
      <c r="G6" s="39">
        <f>'Lead PL'!G6</f>
        <v>45291</v>
      </c>
      <c r="H6" s="39">
        <f>'Lead PL'!H6</f>
        <v>45657</v>
      </c>
      <c r="I6" s="39">
        <f>'Lead PL'!I6</f>
        <v>46022</v>
      </c>
      <c r="J6" s="39">
        <f>'Lead PL'!J6</f>
        <v>46022</v>
      </c>
      <c r="K6" s="39">
        <f>'Lead PL'!K6</f>
        <v>46022</v>
      </c>
      <c r="L6" s="39">
        <f>'Lead PL'!L6</f>
        <v>46387</v>
      </c>
      <c r="M6" s="39">
        <f>'Lead PL'!M6</f>
        <v>46752</v>
      </c>
      <c r="N6" s="39">
        <f>'Lead PL'!N6</f>
        <v>47118</v>
      </c>
      <c r="O6" s="81"/>
      <c r="P6" s="39" t="str">
        <f>'Lead PL'!P6</f>
        <v>CAGR</v>
      </c>
      <c r="Q6" s="39" t="str">
        <f>'Lead PL'!Q6</f>
        <v>CAGR</v>
      </c>
    </row>
    <row r="7" spans="3:20" ht="11.45" hidden="1" customHeight="1" outlineLevel="1" x14ac:dyDescent="0.2">
      <c r="C7" s="124"/>
      <c r="D7" s="17" t="str">
        <f>"in k"&amp;Cockpit!$C$5</f>
        <v>in kEUR</v>
      </c>
      <c r="E7" s="39" t="s">
        <v>450</v>
      </c>
      <c r="F7" s="39" t="str">
        <f>'Lead PL'!F7</f>
        <v>IST</v>
      </c>
      <c r="G7" s="39" t="str">
        <f>'Lead PL'!G7</f>
        <v>IST</v>
      </c>
      <c r="H7" s="39" t="str">
        <f>'Lead PL'!H7</f>
        <v>IST</v>
      </c>
      <c r="I7" s="39" t="str">
        <f>'Lead PL'!I7</f>
        <v>IST</v>
      </c>
      <c r="J7" s="39" t="str">
        <f>'Lead PL'!J7</f>
        <v>YTD</v>
      </c>
      <c r="K7" s="39" t="str">
        <f>'Lead PL'!K7</f>
        <v>Plan</v>
      </c>
      <c r="L7" s="39" t="str">
        <f>'Lead PL'!L7</f>
        <v>Plan</v>
      </c>
      <c r="M7" s="39" t="str">
        <f>'Lead PL'!M7</f>
        <v>Plan</v>
      </c>
      <c r="N7" s="39" t="str">
        <f>'Lead PL'!N7</f>
        <v>Plan</v>
      </c>
      <c r="O7" s="81"/>
      <c r="P7" s="39" t="str">
        <f>'Lead PL'!P7</f>
        <v>IST</v>
      </c>
      <c r="Q7" s="39" t="str">
        <f>'Lead PL'!Q7</f>
        <v>Plan</v>
      </c>
    </row>
    <row r="8" spans="3:20" ht="4.5" customHeight="1" collapsed="1" x14ac:dyDescent="0.2">
      <c r="C8" s="122"/>
      <c r="D8" s="123"/>
      <c r="E8" s="122"/>
      <c r="F8" s="122"/>
      <c r="G8" s="122"/>
      <c r="H8" s="122"/>
      <c r="I8" s="122"/>
      <c r="J8" s="122"/>
      <c r="K8" s="122"/>
      <c r="L8" s="122"/>
      <c r="M8" s="122"/>
      <c r="N8" s="122"/>
      <c r="O8" s="81"/>
      <c r="P8" s="122"/>
      <c r="Q8" s="122"/>
    </row>
    <row r="9" spans="3:20" ht="11.45" customHeight="1" x14ac:dyDescent="0.25">
      <c r="C9" s="37" t="s">
        <v>2531</v>
      </c>
      <c r="D9" s="37" t="s">
        <v>209</v>
      </c>
      <c r="E9" s="37"/>
      <c r="F9" s="36">
        <f>-('P&amp;L (Annual Report)'!E195)/1000</f>
        <v>-466.77229</v>
      </c>
      <c r="G9" s="528">
        <f>-SUMIF('Trial Balance (Susa)'!$F:$F,"*"&amp;$T9&amp;"*",'Trial Balance (Susa)'!G:G)/1000</f>
        <v>-312.08497999999997</v>
      </c>
      <c r="H9" s="528">
        <f>-SUMIF('Trial Balance (Susa)'!$F:$F,"*"&amp;$T9&amp;"*",'Trial Balance (Susa)'!H:H)/1000</f>
        <v>-527.07458999999994</v>
      </c>
      <c r="I9" s="528">
        <f>-SUMIF('Trial Balance (Susa)'!$F:$F,"*"&amp;$T9&amp;"*",'Trial Balance (Susa)'!I:I)/1000</f>
        <v>-537.96576000000005</v>
      </c>
      <c r="J9" s="129"/>
      <c r="K9" s="128"/>
      <c r="L9" s="128"/>
      <c r="M9" s="128"/>
      <c r="N9" s="128"/>
      <c r="O9" s="81"/>
      <c r="P9" s="81">
        <f t="shared" ref="P9:P22" si="1">IFERROR(((H9/F9)^(1/(($H$1-$F$1)/365)))-1,"n/a")</f>
        <v>6.2545201543511286E-2</v>
      </c>
      <c r="Q9" s="81">
        <f t="shared" ref="Q9:Q22" si="2">IFERROR(((N9/H9)^(1/(($N$1-$H$1)/365)))-1,"n/a")</f>
        <v>-1</v>
      </c>
      <c r="S9"/>
      <c r="T9" t="s">
        <v>2508</v>
      </c>
    </row>
    <row r="10" spans="3:20" ht="11.45" customHeight="1" x14ac:dyDescent="0.25">
      <c r="C10" s="37" t="s">
        <v>2496</v>
      </c>
      <c r="D10" s="37" t="s">
        <v>208</v>
      </c>
      <c r="E10" s="37"/>
      <c r="F10" s="36">
        <f>-('P&amp;L (Annual Report)'!E193)/1000</f>
        <v>-246.42217000000002</v>
      </c>
      <c r="G10" s="528">
        <f>-SUMIF('Trial Balance (Susa)'!$F:$F,"*"&amp;$T10&amp;"*",'Trial Balance (Susa)'!G:G)/1000</f>
        <v>-306.61932000000002</v>
      </c>
      <c r="H10" s="528">
        <f>-SUMIF('Trial Balance (Susa)'!$F:$F,"*"&amp;$T10&amp;"*",'Trial Balance (Susa)'!H:H)/1000</f>
        <v>-323.41084999999998</v>
      </c>
      <c r="I10" s="528">
        <f>-SUMIF('Trial Balance (Susa)'!$F:$F,"*"&amp;$T10&amp;"*",'Trial Balance (Susa)'!I:I)/1000</f>
        <v>-303.74534</v>
      </c>
      <c r="J10" s="129"/>
      <c r="K10" s="128"/>
      <c r="L10" s="128"/>
      <c r="M10" s="128"/>
      <c r="N10" s="128"/>
      <c r="O10" s="81"/>
      <c r="P10" s="81">
        <f t="shared" si="1"/>
        <v>0.14539858313295695</v>
      </c>
      <c r="Q10" s="81">
        <f t="shared" si="2"/>
        <v>-1</v>
      </c>
      <c r="T10" t="s">
        <v>2507</v>
      </c>
    </row>
    <row r="11" spans="3:20" ht="11.45" customHeight="1" x14ac:dyDescent="0.25">
      <c r="C11" s="37" t="s">
        <v>2494</v>
      </c>
      <c r="D11" s="37" t="s">
        <v>207</v>
      </c>
      <c r="E11" s="37"/>
      <c r="F11" s="36">
        <f>-('P&amp;L (Annual Report)'!E185)/1000</f>
        <v>-63.284829999999999</v>
      </c>
      <c r="G11" s="528">
        <f>-SUMIF('Trial Balance (Susa)'!$F:$F,"*"&amp;$T11&amp;"*",'Trial Balance (Susa)'!G:G)/1000</f>
        <v>-145.31951999999998</v>
      </c>
      <c r="H11" s="528">
        <f>-SUMIF('Trial Balance (Susa)'!$F:$F,"*"&amp;$T11&amp;"*",'Trial Balance (Susa)'!H:H)/1000</f>
        <v>-136.98033999999998</v>
      </c>
      <c r="I11" s="528">
        <f>-SUMIF('Trial Balance (Susa)'!$F:$F,"*"&amp;$T11&amp;"*",'Trial Balance (Susa)'!I:I)/1000</f>
        <v>-55.897239999999996</v>
      </c>
      <c r="J11" s="129"/>
      <c r="K11" s="128"/>
      <c r="L11" s="128"/>
      <c r="M11" s="128"/>
      <c r="N11" s="128"/>
      <c r="O11" s="81"/>
      <c r="P11" s="81">
        <f t="shared" si="1"/>
        <v>0.47044886865898761</v>
      </c>
      <c r="Q11" s="81">
        <f t="shared" si="2"/>
        <v>-1</v>
      </c>
      <c r="S11" s="248"/>
      <c r="T11" t="s">
        <v>2504</v>
      </c>
    </row>
    <row r="12" spans="3:20" ht="11.45" customHeight="1" x14ac:dyDescent="0.25">
      <c r="C12" s="37" t="s">
        <v>2499</v>
      </c>
      <c r="D12" s="37" t="s">
        <v>206</v>
      </c>
      <c r="E12" s="37"/>
      <c r="F12" s="36">
        <f>-('P&amp;L (Annual Report)'!E188+'P&amp;L (Annual Report)'!E189+'P&amp;L (Annual Report)'!E190+'P&amp;L (Annual Report)'!E191+'P&amp;L (Annual Report)'!E196+'P&amp;L (Annual Report)'!E199)/1000</f>
        <v>-102.14448000000002</v>
      </c>
      <c r="G12" s="528">
        <f>-SUMIF('Trial Balance (Susa)'!$F:$F,"*"&amp;$T12&amp;"*",'Trial Balance (Susa)'!G:G)/1000</f>
        <v>-85.982839999999996</v>
      </c>
      <c r="H12" s="528">
        <f>-SUMIF('Trial Balance (Susa)'!$F:$F,"*"&amp;$T12&amp;"*",'Trial Balance (Susa)'!H:H)/1000</f>
        <v>-96.934939999999997</v>
      </c>
      <c r="I12" s="528">
        <f>-SUMIF('Trial Balance (Susa)'!$F:$F,"*"&amp;$T12&amp;"*",'Trial Balance (Susa)'!I:I)/1000</f>
        <v>-96.149929999999998</v>
      </c>
      <c r="J12" s="129"/>
      <c r="K12" s="128"/>
      <c r="L12" s="128"/>
      <c r="M12" s="128"/>
      <c r="N12" s="128"/>
      <c r="O12" s="81"/>
      <c r="P12" s="81">
        <f t="shared" si="1"/>
        <v>-2.5799670112753414E-2</v>
      </c>
      <c r="Q12" s="81">
        <f t="shared" si="2"/>
        <v>-1</v>
      </c>
      <c r="S12" s="248"/>
      <c r="T12" t="s">
        <v>2506</v>
      </c>
    </row>
    <row r="13" spans="3:20" ht="11.45" customHeight="1" x14ac:dyDescent="0.25">
      <c r="C13" s="37" t="s">
        <v>2497</v>
      </c>
      <c r="D13" s="37" t="s">
        <v>447</v>
      </c>
      <c r="E13" s="37"/>
      <c r="F13" s="36">
        <f>-('P&amp;L (Annual Report)'!E186+'P&amp;L (Annual Report)'!E194)/1000</f>
        <v>-19.052539999999997</v>
      </c>
      <c r="G13" s="528">
        <f>-SUMIF('Trial Balance (Susa)'!$F:$F,"*"&amp;$T13&amp;"*",'Trial Balance (Susa)'!G:G)/1000</f>
        <v>-40.187760000000004</v>
      </c>
      <c r="H13" s="528">
        <f>-SUMIF('Trial Balance (Susa)'!$F:$F,"*"&amp;$T13&amp;"*",'Trial Balance (Susa)'!H:H)/1000</f>
        <v>-50.450450000000004</v>
      </c>
      <c r="I13" s="528">
        <f>-SUMIF('Trial Balance (Susa)'!$F:$F,"*"&amp;$T13&amp;"*",'Trial Balance (Susa)'!I:I)/1000</f>
        <v>-107.01884</v>
      </c>
      <c r="J13" s="129"/>
      <c r="K13" s="128"/>
      <c r="L13" s="128"/>
      <c r="M13" s="128"/>
      <c r="N13" s="128"/>
      <c r="O13" s="81"/>
      <c r="P13" s="81">
        <f t="shared" si="1"/>
        <v>0.62617324526323737</v>
      </c>
      <c r="Q13" s="81">
        <f t="shared" si="2"/>
        <v>-1</v>
      </c>
      <c r="S13" s="248"/>
      <c r="T13" t="s">
        <v>2505</v>
      </c>
    </row>
    <row r="14" spans="3:20" ht="11.45" customHeight="1" x14ac:dyDescent="0.25">
      <c r="C14" s="37" t="s">
        <v>2493</v>
      </c>
      <c r="D14" s="37" t="s">
        <v>445</v>
      </c>
      <c r="E14" s="37"/>
      <c r="F14" s="36">
        <f>-('P&amp;L (Annual Report)'!E207)/1000</f>
        <v>-22.238</v>
      </c>
      <c r="G14" s="528">
        <f>-SUMIF('Trial Balance (Susa)'!$F:$F,"*"&amp;$T14&amp;"*",'Trial Balance (Susa)'!G:G)/1000</f>
        <v>-32.027000000000001</v>
      </c>
      <c r="H14" s="528">
        <f>-SUMIF('Trial Balance (Susa)'!$F:$F,"*"&amp;$T14&amp;"*",'Trial Balance (Susa)'!H:H)/1000</f>
        <v>-38.653399999999991</v>
      </c>
      <c r="I14" s="528">
        <f>-SUMIF('Trial Balance (Susa)'!$F:$F,"*"&amp;$T14&amp;"*",'Trial Balance (Susa)'!I:I)/1000</f>
        <v>-9.6868999999999996</v>
      </c>
      <c r="J14" s="129"/>
      <c r="K14" s="128"/>
      <c r="L14" s="128"/>
      <c r="M14" s="128"/>
      <c r="N14" s="128"/>
      <c r="O14" s="81"/>
      <c r="P14" s="81">
        <f t="shared" si="1"/>
        <v>0.31789789999175788</v>
      </c>
      <c r="Q14" s="81">
        <f t="shared" si="2"/>
        <v>-1</v>
      </c>
      <c r="S14" s="248"/>
      <c r="T14" t="s">
        <v>2502</v>
      </c>
    </row>
    <row r="15" spans="3:20" ht="11.45" hidden="1" customHeight="1" outlineLevel="1" x14ac:dyDescent="0.2">
      <c r="C15" s="37" t="s">
        <v>443</v>
      </c>
      <c r="D15" s="37" t="s">
        <v>443</v>
      </c>
      <c r="E15" s="37"/>
      <c r="F15" s="36"/>
      <c r="G15" s="36"/>
      <c r="H15" s="36"/>
      <c r="I15" s="36"/>
      <c r="J15" s="129"/>
      <c r="K15" s="128"/>
      <c r="L15" s="128"/>
      <c r="M15" s="128"/>
      <c r="N15" s="128"/>
      <c r="O15" s="81"/>
      <c r="P15" s="81" t="str">
        <f t="shared" si="1"/>
        <v>n/a</v>
      </c>
      <c r="Q15" s="81" t="str">
        <f t="shared" si="2"/>
        <v>n/a</v>
      </c>
      <c r="S15" s="248" t="s">
        <v>442</v>
      </c>
    </row>
    <row r="16" spans="3:20" ht="11.45" hidden="1" customHeight="1" outlineLevel="1" x14ac:dyDescent="0.2">
      <c r="C16" s="37" t="s">
        <v>441</v>
      </c>
      <c r="D16" s="37" t="s">
        <v>441</v>
      </c>
      <c r="E16" s="37"/>
      <c r="F16" s="36"/>
      <c r="G16" s="36"/>
      <c r="H16" s="36"/>
      <c r="I16" s="36"/>
      <c r="J16" s="129"/>
      <c r="K16" s="128"/>
      <c r="L16" s="128"/>
      <c r="M16" s="128"/>
      <c r="N16" s="128"/>
      <c r="O16" s="81"/>
      <c r="P16" s="81" t="str">
        <f t="shared" si="1"/>
        <v>n/a</v>
      </c>
      <c r="Q16" s="81" t="str">
        <f t="shared" si="2"/>
        <v>n/a</v>
      </c>
      <c r="S16" s="248" t="s">
        <v>440</v>
      </c>
    </row>
    <row r="17" spans="3:20" ht="11.45" hidden="1" customHeight="1" outlineLevel="1" x14ac:dyDescent="0.2">
      <c r="C17" s="37" t="s">
        <v>439</v>
      </c>
      <c r="D17" s="37" t="s">
        <v>439</v>
      </c>
      <c r="E17" s="37"/>
      <c r="F17" s="36"/>
      <c r="G17" s="36"/>
      <c r="H17" s="36"/>
      <c r="I17" s="36"/>
      <c r="J17" s="129"/>
      <c r="K17" s="128"/>
      <c r="L17" s="128"/>
      <c r="M17" s="128"/>
      <c r="N17" s="128"/>
      <c r="O17" s="81"/>
      <c r="P17" s="81" t="str">
        <f t="shared" si="1"/>
        <v>n/a</v>
      </c>
      <c r="Q17" s="81" t="str">
        <f t="shared" si="2"/>
        <v>n/a</v>
      </c>
      <c r="S17" s="247"/>
    </row>
    <row r="18" spans="3:20" ht="11.45" hidden="1" customHeight="1" outlineLevel="1" x14ac:dyDescent="0.2">
      <c r="C18" s="37" t="s">
        <v>438</v>
      </c>
      <c r="D18" s="37" t="s">
        <v>438</v>
      </c>
      <c r="E18" s="37"/>
      <c r="F18" s="36"/>
      <c r="G18" s="36"/>
      <c r="H18" s="36"/>
      <c r="I18" s="36"/>
      <c r="J18" s="129"/>
      <c r="K18" s="128"/>
      <c r="L18" s="128"/>
      <c r="M18" s="128"/>
      <c r="N18" s="128"/>
      <c r="O18" s="81"/>
      <c r="P18" s="81" t="str">
        <f t="shared" si="1"/>
        <v>n/a</v>
      </c>
      <c r="Q18" s="81" t="str">
        <f t="shared" si="2"/>
        <v>n/a</v>
      </c>
    </row>
    <row r="19" spans="3:20" ht="11.45" hidden="1" customHeight="1" outlineLevel="1" x14ac:dyDescent="0.2">
      <c r="C19" s="37" t="s">
        <v>437</v>
      </c>
      <c r="D19" s="37" t="s">
        <v>437</v>
      </c>
      <c r="E19" s="37"/>
      <c r="F19" s="36"/>
      <c r="G19" s="36"/>
      <c r="H19" s="36"/>
      <c r="I19" s="36"/>
      <c r="J19" s="129"/>
      <c r="K19" s="128"/>
      <c r="L19" s="128"/>
      <c r="M19" s="128"/>
      <c r="N19" s="128"/>
      <c r="O19" s="81"/>
      <c r="P19" s="81" t="str">
        <f t="shared" si="1"/>
        <v>n/a</v>
      </c>
      <c r="Q19" s="81" t="str">
        <f t="shared" si="2"/>
        <v>n/a</v>
      </c>
    </row>
    <row r="20" spans="3:20" ht="11.45" hidden="1" customHeight="1" outlineLevel="1" x14ac:dyDescent="0.2">
      <c r="C20" s="37" t="s">
        <v>436</v>
      </c>
      <c r="D20" s="37" t="s">
        <v>436</v>
      </c>
      <c r="E20" s="37"/>
      <c r="F20" s="36"/>
      <c r="G20" s="36"/>
      <c r="H20" s="36"/>
      <c r="I20" s="36"/>
      <c r="J20" s="129"/>
      <c r="K20" s="128"/>
      <c r="L20" s="128"/>
      <c r="M20" s="128"/>
      <c r="N20" s="128"/>
      <c r="O20" s="81"/>
      <c r="P20" s="81" t="str">
        <f t="shared" si="1"/>
        <v>n/a</v>
      </c>
      <c r="Q20" s="81" t="str">
        <f t="shared" si="2"/>
        <v>n/a</v>
      </c>
    </row>
    <row r="21" spans="3:20" ht="11.45" customHeight="1" collapsed="1" x14ac:dyDescent="0.25">
      <c r="C21" s="37" t="s">
        <v>2495</v>
      </c>
      <c r="D21" s="37" t="s">
        <v>449</v>
      </c>
      <c r="E21" s="37"/>
      <c r="F21" s="36">
        <f>-('P&amp;L (Annual Report)'!E184+'P&amp;L (Annual Report)'!E212+'P&amp;L (Annual Report)'!E192+'P&amp;L (Annual Report)'!E187+'P&amp;L (Annual Report)'!E197+'P&amp;L (Annual Report)'!E198+'P&amp;L (Annual Report)'!E211+'P&amp;L (Annual Report)'!E200)/1000</f>
        <v>-103.49151000000001</v>
      </c>
      <c r="G21" s="528">
        <f>-SUMIF('Trial Balance (Susa)'!$F:$F,"*"&amp;$T21&amp;"*",'Trial Balance (Susa)'!G:G)/1000</f>
        <v>-143.54114999999999</v>
      </c>
      <c r="H21" s="528">
        <f>-SUMIF('Trial Balance (Susa)'!$F:$F,"*"&amp;$T21&amp;"*",'Trial Balance (Susa)'!H:H)/1000</f>
        <v>-93.715810000000005</v>
      </c>
      <c r="I21" s="528">
        <f>-SUMIF('Trial Balance (Susa)'!$F:$F,"*"&amp;$T21&amp;"*",'Trial Balance (Susa)'!I:I)/1000</f>
        <v>-115.95784999999999</v>
      </c>
      <c r="J21" s="129"/>
      <c r="K21" s="128"/>
      <c r="L21" s="128"/>
      <c r="M21" s="128"/>
      <c r="N21" s="128"/>
      <c r="O21" s="81"/>
      <c r="P21" s="81">
        <f>IFERROR(((H21/F21)^(1/(($H$1-$F$1)/365)))-1,"n/a")</f>
        <v>-4.8336211502388426E-2</v>
      </c>
      <c r="Q21" s="81">
        <f>IFERROR(((N21/H21)^(1/(($N$1-$H$1)/365)))-1,"n/a")</f>
        <v>-1</v>
      </c>
      <c r="S21" s="248"/>
      <c r="T21" t="s">
        <v>2503</v>
      </c>
    </row>
    <row r="22" spans="3:20" ht="11.45" customHeight="1" x14ac:dyDescent="0.2">
      <c r="C22" s="133" t="s">
        <v>257</v>
      </c>
      <c r="D22" s="133" t="s">
        <v>435</v>
      </c>
      <c r="E22" s="133"/>
      <c r="F22" s="132">
        <f>SUM(F9:F21)</f>
        <v>-1023.4058200000002</v>
      </c>
      <c r="G22" s="132">
        <f>SUM(G9:G21)</f>
        <v>-1065.7625700000001</v>
      </c>
      <c r="H22" s="132">
        <f>SUM(H9:H21)</f>
        <v>-1267.2203799999997</v>
      </c>
      <c r="I22" s="132">
        <f>SUM(I9:I21)</f>
        <v>-1226.4218599999999</v>
      </c>
      <c r="J22" s="131">
        <f>SUM(J9:J20)</f>
        <v>0</v>
      </c>
      <c r="K22" s="130">
        <f>SUM(K9:K20)</f>
        <v>0</v>
      </c>
      <c r="L22" s="130">
        <f>SUM(L9:L20)</f>
        <v>0</v>
      </c>
      <c r="M22" s="130">
        <f>SUM(M9:M20)</f>
        <v>0</v>
      </c>
      <c r="N22" s="130">
        <f>SUM(N9:N20)</f>
        <v>0</v>
      </c>
      <c r="O22" s="81"/>
      <c r="P22" s="246">
        <f t="shared" si="1"/>
        <v>0.11259897520416606</v>
      </c>
      <c r="Q22" s="246">
        <f t="shared" si="2"/>
        <v>-1</v>
      </c>
    </row>
    <row r="23" spans="3:20" ht="4.5" customHeight="1" x14ac:dyDescent="0.2">
      <c r="C23" s="37"/>
      <c r="D23" s="37"/>
      <c r="E23" s="37"/>
      <c r="F23" s="36"/>
      <c r="G23" s="36"/>
      <c r="H23" s="36"/>
      <c r="I23" s="36"/>
      <c r="J23" s="129"/>
      <c r="K23" s="128"/>
      <c r="L23" s="128"/>
      <c r="M23" s="128"/>
      <c r="N23" s="128"/>
      <c r="O23" s="81"/>
      <c r="P23" s="81"/>
      <c r="Q23" s="81"/>
    </row>
    <row r="24" spans="3:20" ht="11.45" hidden="1" customHeight="1" outlineLevel="2" x14ac:dyDescent="0.2">
      <c r="C24" s="37" t="str">
        <f>'Lead PL'!C24</f>
        <v>Gesamtleistung</v>
      </c>
      <c r="D24" s="37" t="str">
        <f>'Lead PL'!D24</f>
        <v>Total output</v>
      </c>
      <c r="E24" s="37"/>
      <c r="F24" s="36">
        <f>'Lead PL'!F24</f>
        <v>16416.744779999997</v>
      </c>
      <c r="G24" s="36">
        <f>'Lead PL'!G24</f>
        <v>15515.82071</v>
      </c>
      <c r="H24" s="36">
        <f>'Lead PL'!H24</f>
        <v>17010.758600000001</v>
      </c>
      <c r="I24" s="36">
        <f>'Lead PL'!I24</f>
        <v>15235.918450000003</v>
      </c>
      <c r="J24" s="129">
        <f>'Lead PL'!J24</f>
        <v>0</v>
      </c>
      <c r="K24" s="128">
        <f>'Lead PL'!K24</f>
        <v>0</v>
      </c>
      <c r="L24" s="128">
        <f>'Lead PL'!L24</f>
        <v>0</v>
      </c>
      <c r="M24" s="128">
        <f>'Lead PL'!M24</f>
        <v>0</v>
      </c>
      <c r="N24" s="128">
        <f>'Lead PL'!N24</f>
        <v>0</v>
      </c>
      <c r="O24" s="81"/>
      <c r="P24" s="81"/>
      <c r="Q24" s="81"/>
    </row>
    <row r="25" spans="3:20" ht="4.5" hidden="1" customHeight="1" outlineLevel="2" x14ac:dyDescent="0.2">
      <c r="C25" s="37"/>
      <c r="D25" s="37"/>
      <c r="E25" s="37"/>
      <c r="F25" s="36"/>
      <c r="G25" s="36"/>
      <c r="H25" s="36"/>
      <c r="I25" s="36"/>
      <c r="J25" s="129"/>
      <c r="K25" s="128"/>
      <c r="L25" s="128"/>
      <c r="M25" s="128"/>
      <c r="N25" s="128"/>
      <c r="O25" s="81"/>
      <c r="P25" s="81"/>
      <c r="Q25" s="81"/>
    </row>
    <row r="26" spans="3:20" ht="11.45" hidden="1" customHeight="1" outlineLevel="1" x14ac:dyDescent="0.2">
      <c r="C26" s="37" t="s">
        <v>434</v>
      </c>
      <c r="D26" s="37" t="s">
        <v>433</v>
      </c>
      <c r="E26" s="37" t="s">
        <v>432</v>
      </c>
      <c r="F26" s="36">
        <f t="shared" ref="F26:N27" si="3">SUMIF($E$9:$E$22,$E26,F$9:F$22)</f>
        <v>0</v>
      </c>
      <c r="G26" s="36">
        <f t="shared" si="3"/>
        <v>0</v>
      </c>
      <c r="H26" s="36">
        <f t="shared" si="3"/>
        <v>0</v>
      </c>
      <c r="I26" s="36">
        <f t="shared" si="3"/>
        <v>0</v>
      </c>
      <c r="J26" s="129">
        <f t="shared" si="3"/>
        <v>0</v>
      </c>
      <c r="K26" s="128">
        <f t="shared" si="3"/>
        <v>0</v>
      </c>
      <c r="L26" s="128">
        <f t="shared" si="3"/>
        <v>0</v>
      </c>
      <c r="M26" s="128">
        <f t="shared" si="3"/>
        <v>0</v>
      </c>
      <c r="N26" s="128">
        <f t="shared" si="3"/>
        <v>0</v>
      </c>
      <c r="O26" s="81"/>
      <c r="P26" s="81"/>
      <c r="Q26" s="81"/>
      <c r="S26" s="49" t="s">
        <v>428</v>
      </c>
    </row>
    <row r="27" spans="3:20" ht="11.45" hidden="1" customHeight="1" outlineLevel="1" x14ac:dyDescent="0.2">
      <c r="C27" s="37" t="s">
        <v>431</v>
      </c>
      <c r="D27" s="37" t="s">
        <v>430</v>
      </c>
      <c r="E27" s="37" t="s">
        <v>429</v>
      </c>
      <c r="F27" s="36">
        <f t="shared" si="3"/>
        <v>0</v>
      </c>
      <c r="G27" s="36">
        <f t="shared" si="3"/>
        <v>0</v>
      </c>
      <c r="H27" s="36">
        <f t="shared" si="3"/>
        <v>0</v>
      </c>
      <c r="I27" s="36">
        <f t="shared" si="3"/>
        <v>0</v>
      </c>
      <c r="J27" s="129">
        <f t="shared" si="3"/>
        <v>0</v>
      </c>
      <c r="K27" s="128">
        <f t="shared" si="3"/>
        <v>0</v>
      </c>
      <c r="L27" s="128">
        <f t="shared" si="3"/>
        <v>0</v>
      </c>
      <c r="M27" s="128">
        <f t="shared" si="3"/>
        <v>0</v>
      </c>
      <c r="N27" s="128">
        <f t="shared" si="3"/>
        <v>0</v>
      </c>
      <c r="O27" s="81"/>
      <c r="P27" s="81"/>
      <c r="Q27" s="81"/>
      <c r="S27" s="49" t="s">
        <v>428</v>
      </c>
    </row>
    <row r="28" spans="3:20" ht="4.5" customHeight="1" collapsed="1" x14ac:dyDescent="0.2">
      <c r="C28" s="37"/>
      <c r="D28" s="37"/>
      <c r="E28" s="37"/>
      <c r="F28" s="36"/>
      <c r="G28" s="36"/>
      <c r="H28" s="36"/>
      <c r="I28" s="36"/>
      <c r="J28" s="129"/>
      <c r="K28" s="128"/>
      <c r="L28" s="128"/>
      <c r="M28" s="128"/>
      <c r="N28" s="128"/>
      <c r="O28" s="81"/>
      <c r="P28" s="81"/>
      <c r="Q28" s="81"/>
    </row>
    <row r="29" spans="3:20" ht="11.45" customHeight="1" x14ac:dyDescent="0.2">
      <c r="C29" s="90" t="str">
        <f>"in % der "&amp;C24</f>
        <v>in % der Gesamtleistung</v>
      </c>
      <c r="D29" s="90" t="str">
        <f>"in % of "&amp;D24</f>
        <v>in % of Total output</v>
      </c>
      <c r="E29" s="90"/>
      <c r="F29" s="81"/>
      <c r="G29" s="81"/>
      <c r="H29" s="81"/>
      <c r="I29" s="81"/>
      <c r="J29" s="79"/>
      <c r="K29" s="78"/>
      <c r="L29" s="78"/>
      <c r="M29" s="78"/>
      <c r="N29" s="78"/>
      <c r="O29" s="81"/>
      <c r="P29" s="81"/>
      <c r="Q29" s="81"/>
    </row>
    <row r="30" spans="3:20" ht="11.45" customHeight="1" x14ac:dyDescent="0.2">
      <c r="C30" s="37" t="str">
        <f t="shared" ref="C30:D43" si="4">C9</f>
        <v>Aufwendungen für Lizenzen und Konzessionen</v>
      </c>
      <c r="D30" s="37" t="str">
        <f t="shared" si="4"/>
        <v>Dummy 1</v>
      </c>
      <c r="E30" s="37"/>
      <c r="F30" s="81">
        <f t="shared" ref="F30:N30" si="5">IFERROR(F9/F$24,"n/a")</f>
        <v>-2.8432694560047857E-2</v>
      </c>
      <c r="G30" s="81">
        <f t="shared" si="5"/>
        <v>-2.0113984676225351E-2</v>
      </c>
      <c r="H30" s="81">
        <f t="shared" si="5"/>
        <v>-3.0984778656490953E-2</v>
      </c>
      <c r="I30" s="81">
        <f t="shared" si="5"/>
        <v>-3.5309046958045376E-2</v>
      </c>
      <c r="J30" s="79" t="str">
        <f t="shared" si="5"/>
        <v>n/a</v>
      </c>
      <c r="K30" s="78" t="str">
        <f t="shared" si="5"/>
        <v>n/a</v>
      </c>
      <c r="L30" s="78" t="str">
        <f t="shared" si="5"/>
        <v>n/a</v>
      </c>
      <c r="M30" s="78" t="str">
        <f t="shared" si="5"/>
        <v>n/a</v>
      </c>
      <c r="N30" s="78" t="str">
        <f t="shared" si="5"/>
        <v>n/a</v>
      </c>
      <c r="O30" s="81"/>
      <c r="P30" s="81"/>
      <c r="Q30" s="81"/>
    </row>
    <row r="31" spans="3:20" ht="11.45" customHeight="1" x14ac:dyDescent="0.2">
      <c r="C31" s="37" t="str">
        <f t="shared" si="4"/>
        <v>Rechts- und Beratungskosten</v>
      </c>
      <c r="D31" s="37" t="str">
        <f t="shared" si="4"/>
        <v>Dummy 2</v>
      </c>
      <c r="E31" s="37"/>
      <c r="F31" s="81">
        <f t="shared" ref="F31:N31" si="6">IFERROR(F10/F$24,"n/a")</f>
        <v>-1.501041609053997E-2</v>
      </c>
      <c r="G31" s="81">
        <f t="shared" si="6"/>
        <v>-1.9761721002768663E-2</v>
      </c>
      <c r="H31" s="81">
        <f t="shared" si="6"/>
        <v>-1.9012135649259049E-2</v>
      </c>
      <c r="I31" s="81">
        <f t="shared" si="6"/>
        <v>-1.9936135848771228E-2</v>
      </c>
      <c r="J31" s="79" t="str">
        <f t="shared" si="6"/>
        <v>n/a</v>
      </c>
      <c r="K31" s="78" t="str">
        <f t="shared" si="6"/>
        <v>n/a</v>
      </c>
      <c r="L31" s="78" t="str">
        <f t="shared" si="6"/>
        <v>n/a</v>
      </c>
      <c r="M31" s="78" t="str">
        <f t="shared" si="6"/>
        <v>n/a</v>
      </c>
      <c r="N31" s="78" t="str">
        <f t="shared" si="6"/>
        <v>n/a</v>
      </c>
      <c r="O31" s="81"/>
      <c r="P31" s="81"/>
      <c r="Q31" s="81"/>
    </row>
    <row r="32" spans="3:20" ht="11.45" customHeight="1" x14ac:dyDescent="0.2">
      <c r="C32" s="37" t="str">
        <f t="shared" si="4"/>
        <v>Personalleasing</v>
      </c>
      <c r="D32" s="37" t="str">
        <f t="shared" si="4"/>
        <v>Dummy 3</v>
      </c>
      <c r="E32" s="37"/>
      <c r="F32" s="81">
        <f t="shared" ref="F32:N32" si="7">IFERROR(F11/F$24,"n/a")</f>
        <v>-3.8548951602815872E-3</v>
      </c>
      <c r="G32" s="81">
        <f t="shared" si="7"/>
        <v>-9.365893220610693E-3</v>
      </c>
      <c r="H32" s="81">
        <f t="shared" si="7"/>
        <v>-8.0525709182658074E-3</v>
      </c>
      <c r="I32" s="81">
        <f t="shared" si="7"/>
        <v>-3.6687804665953686E-3</v>
      </c>
      <c r="J32" s="79" t="str">
        <f t="shared" si="7"/>
        <v>n/a</v>
      </c>
      <c r="K32" s="78" t="str">
        <f t="shared" si="7"/>
        <v>n/a</v>
      </c>
      <c r="L32" s="78" t="str">
        <f t="shared" si="7"/>
        <v>n/a</v>
      </c>
      <c r="M32" s="78" t="str">
        <f t="shared" si="7"/>
        <v>n/a</v>
      </c>
      <c r="N32" s="78" t="str">
        <f t="shared" si="7"/>
        <v>n/a</v>
      </c>
      <c r="O32" s="81"/>
      <c r="P32" s="81"/>
      <c r="Q32" s="81"/>
    </row>
    <row r="33" spans="2:18" ht="11.45" customHeight="1" x14ac:dyDescent="0.2">
      <c r="C33" s="37" t="str">
        <f t="shared" si="4"/>
        <v>Betriebsbedarf</v>
      </c>
      <c r="D33" s="37" t="str">
        <f t="shared" si="4"/>
        <v>Dummy 4</v>
      </c>
      <c r="E33" s="37"/>
      <c r="F33" s="81">
        <f t="shared" ref="F33:N33" si="8">IFERROR(F12/F$24,"n/a")</f>
        <v>-6.2219691765227061E-3</v>
      </c>
      <c r="G33" s="81">
        <f t="shared" si="8"/>
        <v>-5.5416237147277525E-3</v>
      </c>
      <c r="H33" s="81">
        <f t="shared" si="8"/>
        <v>-5.6984489803999679E-3</v>
      </c>
      <c r="I33" s="81">
        <f t="shared" si="8"/>
        <v>-6.3107406563993511E-3</v>
      </c>
      <c r="J33" s="79" t="str">
        <f t="shared" si="8"/>
        <v>n/a</v>
      </c>
      <c r="K33" s="78" t="str">
        <f t="shared" si="8"/>
        <v>n/a</v>
      </c>
      <c r="L33" s="78" t="str">
        <f t="shared" si="8"/>
        <v>n/a</v>
      </c>
      <c r="M33" s="78" t="str">
        <f t="shared" si="8"/>
        <v>n/a</v>
      </c>
      <c r="N33" s="78" t="str">
        <f t="shared" si="8"/>
        <v>n/a</v>
      </c>
      <c r="O33" s="81"/>
      <c r="P33" s="81"/>
      <c r="Q33" s="81"/>
    </row>
    <row r="34" spans="2:18" ht="11.45" customHeight="1" x14ac:dyDescent="0.2">
      <c r="C34" s="37" t="str">
        <f t="shared" si="4"/>
        <v>Miet- und Leasingaufwendungen</v>
      </c>
      <c r="D34" s="37" t="str">
        <f t="shared" si="4"/>
        <v>Dummy 6</v>
      </c>
      <c r="E34" s="37"/>
      <c r="F34" s="81">
        <f t="shared" ref="F34:N34" si="9">IFERROR(F13/F$24,"n/a")</f>
        <v>-1.1605552900603722E-3</v>
      </c>
      <c r="G34" s="81">
        <f t="shared" si="9"/>
        <v>-2.5901150026887624E-3</v>
      </c>
      <c r="H34" s="81">
        <f t="shared" si="9"/>
        <v>-2.9657965988653793E-3</v>
      </c>
      <c r="I34" s="81">
        <f t="shared" si="9"/>
        <v>-7.024114781869286E-3</v>
      </c>
      <c r="J34" s="79" t="str">
        <f t="shared" si="9"/>
        <v>n/a</v>
      </c>
      <c r="K34" s="78" t="str">
        <f t="shared" si="9"/>
        <v>n/a</v>
      </c>
      <c r="L34" s="78" t="str">
        <f t="shared" si="9"/>
        <v>n/a</v>
      </c>
      <c r="M34" s="78" t="str">
        <f t="shared" si="9"/>
        <v>n/a</v>
      </c>
      <c r="N34" s="78" t="str">
        <f t="shared" si="9"/>
        <v>n/a</v>
      </c>
      <c r="O34" s="81"/>
      <c r="P34" s="81"/>
      <c r="Q34" s="81"/>
    </row>
    <row r="35" spans="2:18" ht="11.45" customHeight="1" x14ac:dyDescent="0.2">
      <c r="C35" s="37" t="str">
        <f t="shared" si="4"/>
        <v>Verluste aus Anlageabgang</v>
      </c>
      <c r="D35" s="37" t="str">
        <f t="shared" si="4"/>
        <v>Dummy 7</v>
      </c>
      <c r="E35" s="37"/>
      <c r="F35" s="81">
        <f t="shared" ref="F35:N35" si="10">IFERROR(F14/F$24,"n/a")</f>
        <v>-1.3545925393864838E-3</v>
      </c>
      <c r="G35" s="81">
        <f t="shared" si="10"/>
        <v>-2.064151204026126E-3</v>
      </c>
      <c r="H35" s="81">
        <f t="shared" si="10"/>
        <v>-2.2722913721202292E-3</v>
      </c>
      <c r="I35" s="81">
        <f t="shared" si="10"/>
        <v>-6.3579363671377475E-4</v>
      </c>
      <c r="J35" s="79" t="str">
        <f t="shared" si="10"/>
        <v>n/a</v>
      </c>
      <c r="K35" s="78" t="str">
        <f t="shared" si="10"/>
        <v>n/a</v>
      </c>
      <c r="L35" s="78" t="str">
        <f t="shared" si="10"/>
        <v>n/a</v>
      </c>
      <c r="M35" s="78" t="str">
        <f t="shared" si="10"/>
        <v>n/a</v>
      </c>
      <c r="N35" s="78" t="str">
        <f t="shared" si="10"/>
        <v>n/a</v>
      </c>
      <c r="O35" s="81"/>
      <c r="P35" s="81"/>
      <c r="Q35" s="81"/>
    </row>
    <row r="36" spans="2:18" ht="11.45" hidden="1" customHeight="1" outlineLevel="1" x14ac:dyDescent="0.2">
      <c r="C36" s="37" t="str">
        <f t="shared" si="4"/>
        <v>Dummy 8</v>
      </c>
      <c r="D36" s="37" t="str">
        <f t="shared" si="4"/>
        <v>Dummy 8</v>
      </c>
      <c r="E36" s="37"/>
      <c r="F36" s="81">
        <f t="shared" ref="F36:N36" si="11">IFERROR(F15/F$24,"n/a")</f>
        <v>0</v>
      </c>
      <c r="G36" s="81">
        <f t="shared" si="11"/>
        <v>0</v>
      </c>
      <c r="H36" s="81">
        <f t="shared" si="11"/>
        <v>0</v>
      </c>
      <c r="I36" s="81">
        <f t="shared" si="11"/>
        <v>0</v>
      </c>
      <c r="J36" s="79" t="str">
        <f t="shared" si="11"/>
        <v>n/a</v>
      </c>
      <c r="K36" s="78" t="str">
        <f t="shared" si="11"/>
        <v>n/a</v>
      </c>
      <c r="L36" s="78" t="str">
        <f t="shared" si="11"/>
        <v>n/a</v>
      </c>
      <c r="M36" s="78" t="str">
        <f t="shared" si="11"/>
        <v>n/a</v>
      </c>
      <c r="N36" s="78" t="str">
        <f t="shared" si="11"/>
        <v>n/a</v>
      </c>
      <c r="O36" s="81"/>
      <c r="P36" s="81"/>
      <c r="Q36" s="81"/>
    </row>
    <row r="37" spans="2:18" ht="11.45" hidden="1" customHeight="1" outlineLevel="1" x14ac:dyDescent="0.2">
      <c r="C37" s="37" t="str">
        <f t="shared" si="4"/>
        <v>Dummy 9</v>
      </c>
      <c r="D37" s="37" t="str">
        <f t="shared" si="4"/>
        <v>Dummy 9</v>
      </c>
      <c r="E37" s="37"/>
      <c r="F37" s="81">
        <f t="shared" ref="F37:N37" si="12">IFERROR(F16/F$24,"n/a")</f>
        <v>0</v>
      </c>
      <c r="G37" s="81">
        <f t="shared" si="12"/>
        <v>0</v>
      </c>
      <c r="H37" s="81">
        <f t="shared" si="12"/>
        <v>0</v>
      </c>
      <c r="I37" s="81">
        <f t="shared" si="12"/>
        <v>0</v>
      </c>
      <c r="J37" s="79" t="str">
        <f t="shared" si="12"/>
        <v>n/a</v>
      </c>
      <c r="K37" s="78" t="str">
        <f t="shared" si="12"/>
        <v>n/a</v>
      </c>
      <c r="L37" s="78" t="str">
        <f t="shared" si="12"/>
        <v>n/a</v>
      </c>
      <c r="M37" s="78" t="str">
        <f t="shared" si="12"/>
        <v>n/a</v>
      </c>
      <c r="N37" s="78" t="str">
        <f t="shared" si="12"/>
        <v>n/a</v>
      </c>
      <c r="O37" s="81"/>
      <c r="P37" s="81"/>
      <c r="Q37" s="81"/>
    </row>
    <row r="38" spans="2:18" ht="11.45" hidden="1" customHeight="1" outlineLevel="1" x14ac:dyDescent="0.2">
      <c r="C38" s="37" t="str">
        <f t="shared" si="4"/>
        <v>Dummy 10</v>
      </c>
      <c r="D38" s="37" t="str">
        <f t="shared" si="4"/>
        <v>Dummy 10</v>
      </c>
      <c r="E38" s="37"/>
      <c r="F38" s="81">
        <f t="shared" ref="F38:N38" si="13">IFERROR(F17/F$24,"n/a")</f>
        <v>0</v>
      </c>
      <c r="G38" s="81">
        <f t="shared" si="13"/>
        <v>0</v>
      </c>
      <c r="H38" s="81">
        <f t="shared" si="13"/>
        <v>0</v>
      </c>
      <c r="I38" s="81">
        <f t="shared" si="13"/>
        <v>0</v>
      </c>
      <c r="J38" s="79" t="str">
        <f t="shared" si="13"/>
        <v>n/a</v>
      </c>
      <c r="K38" s="78" t="str">
        <f t="shared" si="13"/>
        <v>n/a</v>
      </c>
      <c r="L38" s="78" t="str">
        <f t="shared" si="13"/>
        <v>n/a</v>
      </c>
      <c r="M38" s="78" t="str">
        <f t="shared" si="13"/>
        <v>n/a</v>
      </c>
      <c r="N38" s="78" t="str">
        <f t="shared" si="13"/>
        <v>n/a</v>
      </c>
      <c r="O38" s="81"/>
      <c r="P38" s="81"/>
      <c r="Q38" s="81"/>
    </row>
    <row r="39" spans="2:18" ht="11.45" hidden="1" customHeight="1" outlineLevel="1" x14ac:dyDescent="0.2">
      <c r="C39" s="37" t="str">
        <f t="shared" si="4"/>
        <v>Dummy 11</v>
      </c>
      <c r="D39" s="37" t="str">
        <f t="shared" si="4"/>
        <v>Dummy 11</v>
      </c>
      <c r="E39" s="37"/>
      <c r="F39" s="81">
        <f t="shared" ref="F39:N39" si="14">IFERROR(F18/F$24,"n/a")</f>
        <v>0</v>
      </c>
      <c r="G39" s="81">
        <f t="shared" si="14"/>
        <v>0</v>
      </c>
      <c r="H39" s="81">
        <f t="shared" si="14"/>
        <v>0</v>
      </c>
      <c r="I39" s="81">
        <f t="shared" si="14"/>
        <v>0</v>
      </c>
      <c r="J39" s="79" t="str">
        <f t="shared" si="14"/>
        <v>n/a</v>
      </c>
      <c r="K39" s="78" t="str">
        <f t="shared" si="14"/>
        <v>n/a</v>
      </c>
      <c r="L39" s="78" t="str">
        <f t="shared" si="14"/>
        <v>n/a</v>
      </c>
      <c r="M39" s="78" t="str">
        <f t="shared" si="14"/>
        <v>n/a</v>
      </c>
      <c r="N39" s="78" t="str">
        <f t="shared" si="14"/>
        <v>n/a</v>
      </c>
      <c r="O39" s="81"/>
      <c r="P39" s="81"/>
      <c r="Q39" s="81"/>
    </row>
    <row r="40" spans="2:18" ht="11.45" hidden="1" customHeight="1" outlineLevel="1" x14ac:dyDescent="0.2">
      <c r="C40" s="37" t="str">
        <f t="shared" si="4"/>
        <v>Dummy 12</v>
      </c>
      <c r="D40" s="37" t="str">
        <f t="shared" si="4"/>
        <v>Dummy 12</v>
      </c>
      <c r="E40" s="37"/>
      <c r="F40" s="81">
        <f t="shared" ref="F40:N40" si="15">IFERROR(F19/F$24,"n/a")</f>
        <v>0</v>
      </c>
      <c r="G40" s="81">
        <f t="shared" si="15"/>
        <v>0</v>
      </c>
      <c r="H40" s="81">
        <f t="shared" si="15"/>
        <v>0</v>
      </c>
      <c r="I40" s="81">
        <f t="shared" si="15"/>
        <v>0</v>
      </c>
      <c r="J40" s="79" t="str">
        <f t="shared" si="15"/>
        <v>n/a</v>
      </c>
      <c r="K40" s="78" t="str">
        <f t="shared" si="15"/>
        <v>n/a</v>
      </c>
      <c r="L40" s="78" t="str">
        <f t="shared" si="15"/>
        <v>n/a</v>
      </c>
      <c r="M40" s="78" t="str">
        <f t="shared" si="15"/>
        <v>n/a</v>
      </c>
      <c r="N40" s="78" t="str">
        <f t="shared" si="15"/>
        <v>n/a</v>
      </c>
      <c r="O40" s="81"/>
      <c r="P40" s="81"/>
      <c r="Q40" s="81"/>
    </row>
    <row r="41" spans="2:18" ht="11.45" hidden="1" customHeight="1" outlineLevel="1" x14ac:dyDescent="0.2">
      <c r="C41" s="37" t="str">
        <f t="shared" si="4"/>
        <v>Dummy 13</v>
      </c>
      <c r="D41" s="37" t="str">
        <f t="shared" si="4"/>
        <v>Dummy 13</v>
      </c>
      <c r="E41" s="37"/>
      <c r="F41" s="81">
        <f t="shared" ref="F41:N41" si="16">IFERROR(F20/F$24,"n/a")</f>
        <v>0</v>
      </c>
      <c r="G41" s="81">
        <f t="shared" si="16"/>
        <v>0</v>
      </c>
      <c r="H41" s="81">
        <f t="shared" si="16"/>
        <v>0</v>
      </c>
      <c r="I41" s="81">
        <f t="shared" si="16"/>
        <v>0</v>
      </c>
      <c r="J41" s="79" t="str">
        <f t="shared" si="16"/>
        <v>n/a</v>
      </c>
      <c r="K41" s="78" t="str">
        <f t="shared" si="16"/>
        <v>n/a</v>
      </c>
      <c r="L41" s="78" t="str">
        <f t="shared" si="16"/>
        <v>n/a</v>
      </c>
      <c r="M41" s="78" t="str">
        <f t="shared" si="16"/>
        <v>n/a</v>
      </c>
      <c r="N41" s="78" t="str">
        <f t="shared" si="16"/>
        <v>n/a</v>
      </c>
      <c r="O41" s="81"/>
      <c r="P41" s="81"/>
      <c r="Q41" s="81"/>
    </row>
    <row r="42" spans="2:18" ht="11.45" customHeight="1" collapsed="1" x14ac:dyDescent="0.2">
      <c r="C42" s="37" t="str">
        <f t="shared" si="4"/>
        <v>Sonstige Aufwendungen</v>
      </c>
      <c r="D42" s="37" t="str">
        <f t="shared" si="4"/>
        <v>Dummy 5</v>
      </c>
      <c r="E42" s="37"/>
      <c r="F42" s="81">
        <f t="shared" ref="F42:N42" si="17">IFERROR(F21/F$24,"n/a")</f>
        <v>-6.3040213749366711E-3</v>
      </c>
      <c r="G42" s="81">
        <f t="shared" si="17"/>
        <v>-9.2512766603114471E-3</v>
      </c>
      <c r="H42" s="81">
        <f t="shared" si="17"/>
        <v>-5.5092081548908699E-3</v>
      </c>
      <c r="I42" s="81">
        <f t="shared" si="17"/>
        <v>-7.6108211251288216E-3</v>
      </c>
      <c r="J42" s="79" t="str">
        <f t="shared" si="17"/>
        <v>n/a</v>
      </c>
      <c r="K42" s="78" t="str">
        <f t="shared" si="17"/>
        <v>n/a</v>
      </c>
      <c r="L42" s="78" t="str">
        <f t="shared" si="17"/>
        <v>n/a</v>
      </c>
      <c r="M42" s="78" t="str">
        <f t="shared" si="17"/>
        <v>n/a</v>
      </c>
      <c r="N42" s="78" t="str">
        <f t="shared" si="17"/>
        <v>n/a</v>
      </c>
      <c r="O42" s="81"/>
      <c r="P42" s="81"/>
      <c r="Q42" s="81"/>
    </row>
    <row r="43" spans="2:18" s="91" customFormat="1" ht="11.45" customHeight="1" x14ac:dyDescent="0.2">
      <c r="B43" s="1"/>
      <c r="C43" s="155" t="str">
        <f t="shared" si="4"/>
        <v>Sonstige betriebliche Aufwendungen</v>
      </c>
      <c r="D43" s="155" t="str">
        <f t="shared" si="4"/>
        <v>Total other operating expenses</v>
      </c>
      <c r="E43" s="155"/>
      <c r="F43" s="87">
        <f t="shared" ref="F43:N43" si="18">IFERROR(F22/F$24,"n/a")</f>
        <v>-6.2339144191775657E-2</v>
      </c>
      <c r="G43" s="87">
        <f t="shared" si="18"/>
        <v>-6.8688765481358813E-2</v>
      </c>
      <c r="H43" s="87">
        <f t="shared" si="18"/>
        <v>-7.4495230330292248E-2</v>
      </c>
      <c r="I43" s="87">
        <f t="shared" si="18"/>
        <v>-8.0495433473523198E-2</v>
      </c>
      <c r="J43" s="85" t="str">
        <f t="shared" si="18"/>
        <v>n/a</v>
      </c>
      <c r="K43" s="84" t="str">
        <f t="shared" si="18"/>
        <v>n/a</v>
      </c>
      <c r="L43" s="84" t="str">
        <f t="shared" si="18"/>
        <v>n/a</v>
      </c>
      <c r="M43" s="84" t="str">
        <f t="shared" si="18"/>
        <v>n/a</v>
      </c>
      <c r="N43" s="84" t="str">
        <f t="shared" si="18"/>
        <v>n/a</v>
      </c>
      <c r="O43" s="81"/>
      <c r="P43" s="81"/>
      <c r="Q43" s="81"/>
      <c r="R43" s="1"/>
    </row>
    <row r="44" spans="2:18" s="91" customFormat="1" ht="4.5" customHeight="1" x14ac:dyDescent="0.2">
      <c r="B44" s="1"/>
      <c r="C44" s="155"/>
      <c r="D44" s="155"/>
      <c r="E44" s="155"/>
      <c r="F44" s="87"/>
      <c r="G44" s="87"/>
      <c r="H44" s="87"/>
      <c r="I44" s="87"/>
      <c r="J44" s="85"/>
      <c r="K44" s="84"/>
      <c r="L44" s="84"/>
      <c r="M44" s="84"/>
      <c r="N44" s="84"/>
      <c r="O44" s="81"/>
      <c r="P44" s="81"/>
      <c r="Q44" s="81"/>
      <c r="R44" s="1"/>
    </row>
    <row r="45" spans="2:18" ht="11.45" hidden="1" customHeight="1" outlineLevel="1" x14ac:dyDescent="0.2">
      <c r="C45" s="37" t="s">
        <v>427</v>
      </c>
      <c r="D45" s="37" t="s">
        <v>426</v>
      </c>
      <c r="E45" s="37"/>
      <c r="F45" s="81">
        <f t="shared" ref="F45:N45" si="19">IFERROR(F26/F$24,"n/a")</f>
        <v>0</v>
      </c>
      <c r="G45" s="81">
        <f t="shared" si="19"/>
        <v>0</v>
      </c>
      <c r="H45" s="81">
        <f t="shared" si="19"/>
        <v>0</v>
      </c>
      <c r="I45" s="81">
        <f t="shared" si="19"/>
        <v>0</v>
      </c>
      <c r="J45" s="79" t="str">
        <f t="shared" si="19"/>
        <v>n/a</v>
      </c>
      <c r="K45" s="78" t="str">
        <f t="shared" si="19"/>
        <v>n/a</v>
      </c>
      <c r="L45" s="78" t="str">
        <f t="shared" si="19"/>
        <v>n/a</v>
      </c>
      <c r="M45" s="78" t="str">
        <f t="shared" si="19"/>
        <v>n/a</v>
      </c>
      <c r="N45" s="78" t="str">
        <f t="shared" si="19"/>
        <v>n/a</v>
      </c>
      <c r="O45" s="81"/>
      <c r="P45" s="81"/>
      <c r="Q45" s="81"/>
    </row>
    <row r="46" spans="2:18" ht="11.45" hidden="1" customHeight="1" outlineLevel="1" x14ac:dyDescent="0.2">
      <c r="C46" s="37" t="s">
        <v>425</v>
      </c>
      <c r="D46" s="37" t="s">
        <v>424</v>
      </c>
      <c r="E46" s="37"/>
      <c r="F46" s="81">
        <f t="shared" ref="F46:N46" si="20">IFERROR(F27/F$24,"n/a")</f>
        <v>0</v>
      </c>
      <c r="G46" s="81">
        <f t="shared" si="20"/>
        <v>0</v>
      </c>
      <c r="H46" s="81">
        <f t="shared" si="20"/>
        <v>0</v>
      </c>
      <c r="I46" s="81">
        <f t="shared" si="20"/>
        <v>0</v>
      </c>
      <c r="J46" s="79" t="str">
        <f t="shared" si="20"/>
        <v>n/a</v>
      </c>
      <c r="K46" s="78" t="str">
        <f t="shared" si="20"/>
        <v>n/a</v>
      </c>
      <c r="L46" s="78" t="str">
        <f t="shared" si="20"/>
        <v>n/a</v>
      </c>
      <c r="M46" s="78" t="str">
        <f t="shared" si="20"/>
        <v>n/a</v>
      </c>
      <c r="N46" s="78" t="str">
        <f t="shared" si="20"/>
        <v>n/a</v>
      </c>
      <c r="O46" s="81"/>
      <c r="P46" s="81"/>
      <c r="Q46" s="81"/>
    </row>
    <row r="47" spans="2:18" ht="4.5" customHeight="1" collapsed="1" x14ac:dyDescent="0.2">
      <c r="C47" s="37"/>
      <c r="D47" s="37"/>
      <c r="E47" s="37"/>
      <c r="F47" s="81"/>
      <c r="G47" s="81"/>
      <c r="H47" s="81"/>
      <c r="I47" s="81"/>
      <c r="J47" s="79"/>
      <c r="K47" s="78"/>
      <c r="L47" s="78"/>
      <c r="M47" s="78"/>
      <c r="N47" s="78"/>
      <c r="O47" s="81"/>
      <c r="P47" s="81"/>
      <c r="Q47" s="81"/>
    </row>
    <row r="48" spans="2:18" ht="11.45" customHeight="1" x14ac:dyDescent="0.2">
      <c r="C48" s="42" t="str">
        <f>"Quelle: "&amp;Cockpit!$C$7</f>
        <v>Quelle: Datenraum/ eigene Analysen</v>
      </c>
      <c r="D48" s="42" t="str">
        <f>"Source: "&amp;Cockpit!$C$8</f>
        <v>Source: Virtual Data Room/ Company Information</v>
      </c>
      <c r="E48" s="42"/>
      <c r="F48" s="41"/>
      <c r="G48" s="41"/>
      <c r="H48" s="41"/>
      <c r="I48" s="41"/>
      <c r="J48" s="187"/>
      <c r="K48" s="238"/>
      <c r="L48" s="238"/>
      <c r="M48" s="238"/>
      <c r="N48" s="238"/>
      <c r="O48" s="81"/>
      <c r="P48" s="238"/>
      <c r="Q48" s="238"/>
    </row>
    <row r="51" spans="3:14" ht="11.45" customHeight="1" x14ac:dyDescent="0.2">
      <c r="C51" s="72" t="s">
        <v>423</v>
      </c>
      <c r="D51" s="72" t="s">
        <v>422</v>
      </c>
      <c r="E51" s="72"/>
      <c r="F51" s="71">
        <f>'Lead PL'!F39</f>
        <v>-1023.4058200000001</v>
      </c>
      <c r="G51" s="71">
        <f>'Lead PL'!G39</f>
        <v>-1065.7625699999999</v>
      </c>
      <c r="H51" s="71">
        <f>'Lead PL'!H39</f>
        <v>-1267.22038</v>
      </c>
      <c r="I51" s="71">
        <f>'Lead PL'!I39</f>
        <v>-1226.4218599999999</v>
      </c>
      <c r="J51" s="71">
        <f>'Lead PL'!J38</f>
        <v>0</v>
      </c>
      <c r="K51" s="71">
        <f>'Lead PL'!K38</f>
        <v>0</v>
      </c>
      <c r="L51" s="71">
        <f>'Lead PL'!L38</f>
        <v>0</v>
      </c>
      <c r="M51" s="71">
        <f>'Lead PL'!M38</f>
        <v>0</v>
      </c>
      <c r="N51" s="71">
        <f>'Lead PL'!N38</f>
        <v>0</v>
      </c>
    </row>
    <row r="52" spans="3:14" ht="11.45" customHeight="1" x14ac:dyDescent="0.2">
      <c r="C52" s="70" t="s">
        <v>233</v>
      </c>
      <c r="D52" s="69" t="s">
        <v>233</v>
      </c>
      <c r="E52" s="70"/>
      <c r="F52" s="245">
        <f t="shared" ref="F52:N52" si="21">F51-F22</f>
        <v>0</v>
      </c>
      <c r="G52" s="245">
        <f t="shared" si="21"/>
        <v>0</v>
      </c>
      <c r="H52" s="245">
        <f t="shared" si="21"/>
        <v>0</v>
      </c>
      <c r="I52" s="245">
        <f t="shared" si="21"/>
        <v>0</v>
      </c>
      <c r="J52" s="245">
        <f t="shared" si="21"/>
        <v>0</v>
      </c>
      <c r="K52" s="245">
        <f t="shared" si="21"/>
        <v>0</v>
      </c>
      <c r="L52" s="245">
        <f t="shared" si="21"/>
        <v>0</v>
      </c>
      <c r="M52" s="245">
        <f t="shared" si="21"/>
        <v>0</v>
      </c>
      <c r="N52" s="245">
        <f t="shared" si="21"/>
        <v>0</v>
      </c>
    </row>
    <row r="54" spans="3:14" ht="11.45" hidden="1" customHeight="1" outlineLevel="1" x14ac:dyDescent="0.2">
      <c r="C54" s="72" t="s">
        <v>421</v>
      </c>
      <c r="D54" s="72" t="s">
        <v>420</v>
      </c>
      <c r="E54" s="72"/>
      <c r="F54" s="71"/>
      <c r="G54" s="71"/>
      <c r="H54" s="71"/>
      <c r="I54" s="71"/>
      <c r="J54" s="71"/>
      <c r="K54" s="71"/>
      <c r="L54" s="71"/>
      <c r="M54" s="71"/>
      <c r="N54" s="71"/>
    </row>
    <row r="55" spans="3:14" ht="11.45" hidden="1" customHeight="1" outlineLevel="1" x14ac:dyDescent="0.2">
      <c r="C55" s="70" t="s">
        <v>233</v>
      </c>
      <c r="D55" s="69" t="s">
        <v>233</v>
      </c>
      <c r="E55" s="70"/>
      <c r="F55" s="245">
        <f t="shared" ref="F55:N55" si="22">SUM(F26:F27)-F22</f>
        <v>1023.4058200000002</v>
      </c>
      <c r="G55" s="245">
        <f t="shared" si="22"/>
        <v>1065.7625700000001</v>
      </c>
      <c r="H55" s="245">
        <f t="shared" si="22"/>
        <v>1267.2203799999997</v>
      </c>
      <c r="I55" s="245">
        <f t="shared" si="22"/>
        <v>1226.4218599999999</v>
      </c>
      <c r="J55" s="245">
        <f t="shared" si="22"/>
        <v>0</v>
      </c>
      <c r="K55" s="245">
        <f t="shared" si="22"/>
        <v>0</v>
      </c>
      <c r="L55" s="245">
        <f t="shared" si="22"/>
        <v>0</v>
      </c>
      <c r="M55" s="245">
        <f t="shared" si="22"/>
        <v>0</v>
      </c>
      <c r="N55" s="245">
        <f t="shared" si="22"/>
        <v>0</v>
      </c>
    </row>
    <row r="56" spans="3:14" ht="11.45" customHeight="1" collapsed="1" x14ac:dyDescent="0.2"/>
  </sheetData>
  <conditionalFormatting sqref="A9:H12 T9:XFD12 I9:I13 J10:S14 F13:H13 T13 A13:E14 U13:XFD14 A15:XFD1048576">
    <cfRule type="containsText" dxfId="280" priority="5" operator="containsText" text="Dummy">
      <formula>NOT(ISERROR(SEARCH("Dummy",A9)))</formula>
    </cfRule>
  </conditionalFormatting>
  <conditionalFormatting sqref="A1:XFD8 J9:R9">
    <cfRule type="containsText" dxfId="279" priority="8" operator="containsText" text="Dummy">
      <formula>NOT(ISERROR(SEARCH("Dummy",A1)))</formula>
    </cfRule>
  </conditionalFormatting>
  <conditionalFormatting sqref="F14">
    <cfRule type="containsText" dxfId="278" priority="4" operator="containsText" text="Dummy">
      <formula>NOT(ISERROR(SEARCH("Dummy",F14)))</formula>
    </cfRule>
  </conditionalFormatting>
  <conditionalFormatting sqref="F52:N52">
    <cfRule type="cellIs" dxfId="277" priority="36" operator="between">
      <formula>-1</formula>
      <formula>1</formula>
    </cfRule>
    <cfRule type="cellIs" dxfId="276" priority="37" operator="lessThan">
      <formula>-1</formula>
    </cfRule>
    <cfRule type="cellIs" dxfId="275" priority="38" operator="greaterThan">
      <formula>1</formula>
    </cfRule>
  </conditionalFormatting>
  <conditionalFormatting sqref="F55:N55">
    <cfRule type="cellIs" dxfId="274" priority="9" operator="between">
      <formula>-1</formula>
      <formula>1</formula>
    </cfRule>
    <cfRule type="cellIs" dxfId="273" priority="10" operator="lessThan">
      <formula>-1</formula>
    </cfRule>
    <cfRule type="cellIs" dxfId="272" priority="11" operator="greaterThan">
      <formula>1</formula>
    </cfRule>
  </conditionalFormatting>
  <conditionalFormatting sqref="G9:I14 G21:I21">
    <cfRule type="containsText" dxfId="271" priority="3" operator="containsText" text="dummy">
      <formula>NOT(ISERROR(SEARCH("dummy",G9)))</formula>
    </cfRule>
  </conditionalFormatting>
  <dataValidations disablePrompts="1" count="1">
    <dataValidation type="list" allowBlank="1" showInputMessage="1" showErrorMessage="1" sqref="E26:E27 E9:E12 E13:E21" xr:uid="{1BE54D69-6B94-4A3E-8EB1-0BD34B6366EF}">
      <formula1>"fixed, variable, fix, variabel"</formula1>
    </dataValidation>
  </dataValidations>
  <pageMargins left="0.7" right="0.7" top="0.78740157499999996" bottom="0.78740157499999996" header="0.3" footer="0.3"/>
  <pageSetup paperSize="9" scale="50" orientation="portrait" r:id="rId1"/>
  <customProperties>
    <customPr name="AreLinksHighlighte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78B1-FD2D-484F-812C-A736CDAD6A27}">
  <sheetPr>
    <tabColor rgb="FFFFFF00"/>
  </sheetPr>
  <dimension ref="C1:P113"/>
  <sheetViews>
    <sheetView workbookViewId="0"/>
  </sheetViews>
  <sheetFormatPr defaultColWidth="11.42578125" defaultRowHeight="12" outlineLevelRow="3" outlineLevelCol="2" x14ac:dyDescent="0.2"/>
  <cols>
    <col min="1" max="1" width="11.42578125" style="1"/>
    <col min="2" max="2" width="0.85546875" style="1" customWidth="1"/>
    <col min="3" max="3" width="29.140625" style="1" customWidth="1"/>
    <col min="4" max="4" width="29.140625" style="1" hidden="1" customWidth="1" outlineLevel="1"/>
    <col min="5" max="5" width="8.42578125" style="1" customWidth="1" collapsed="1"/>
    <col min="6" max="8" width="8.42578125" style="1" customWidth="1" outlineLevel="1"/>
    <col min="9" max="9" width="0.85546875" style="1" customWidth="1"/>
    <col min="10" max="10" width="8.42578125" style="1" customWidth="1"/>
    <col min="11" max="11" width="8.42578125" style="1" hidden="1" customWidth="1" outlineLevel="1"/>
    <col min="12" max="12" width="8.42578125" style="249" hidden="1" customWidth="1" outlineLevel="2"/>
    <col min="13" max="13" width="8.42578125" style="1" hidden="1" customWidth="1" outlineLevel="1" collapsed="1"/>
    <col min="14" max="14" width="0.85546875" style="1" hidden="1" customWidth="1" outlineLevel="2"/>
    <col min="15" max="15" width="11.42578125" style="1" collapsed="1"/>
    <col min="16" max="16" width="69" style="1" bestFit="1" customWidth="1"/>
    <col min="17" max="16384" width="11.42578125" style="1"/>
  </cols>
  <sheetData>
    <row r="1" spans="3:16" outlineLevel="3" x14ac:dyDescent="0.2"/>
    <row r="3" spans="3:16" ht="11.25" customHeight="1" x14ac:dyDescent="0.2"/>
    <row r="4" spans="3:16" ht="11.25" customHeight="1" x14ac:dyDescent="0.2"/>
    <row r="5" spans="3:16" ht="11.25" customHeight="1" x14ac:dyDescent="0.2">
      <c r="C5" s="537" t="str">
        <f>Cockpit!$C$4</f>
        <v>Projekt Namur</v>
      </c>
      <c r="D5" s="264"/>
      <c r="E5" s="1000">
        <f>'Lead PL'!H6</f>
        <v>45657</v>
      </c>
      <c r="F5" s="1000"/>
      <c r="G5" s="1000"/>
      <c r="H5" s="1000"/>
      <c r="I5" s="263"/>
      <c r="J5" s="1000">
        <f>'Lead PL'!K6</f>
        <v>46022</v>
      </c>
      <c r="K5" s="1000"/>
      <c r="L5" s="1000"/>
      <c r="M5" s="1000"/>
    </row>
    <row r="6" spans="3:16" ht="11.25" customHeight="1" x14ac:dyDescent="0.2">
      <c r="C6" s="537"/>
      <c r="D6" s="264"/>
      <c r="E6" s="230" t="str">
        <f>Cockpit!$C$24</f>
        <v>YTD</v>
      </c>
      <c r="F6" s="230" t="str">
        <f>Cockpit!$C$25</f>
        <v>YTG</v>
      </c>
      <c r="G6" s="230" t="str">
        <f>Cockpit!$C$19</f>
        <v>IST</v>
      </c>
      <c r="H6" s="230" t="s">
        <v>457</v>
      </c>
      <c r="I6" s="230"/>
      <c r="J6" s="230" t="str">
        <f>Cockpit!$C$24</f>
        <v>YTD</v>
      </c>
      <c r="K6" s="230" t="str">
        <f>F6</f>
        <v>YTG</v>
      </c>
      <c r="L6" s="230" t="str">
        <f>Cockpit!$I$34</f>
        <v>Plan</v>
      </c>
      <c r="M6" s="230" t="s">
        <v>457</v>
      </c>
    </row>
    <row r="7" spans="3:16" ht="11.25" customHeight="1" x14ac:dyDescent="0.2">
      <c r="C7" s="538" t="str">
        <f>"in T"&amp;Cockpit!$C$5</f>
        <v>in TEUR</v>
      </c>
      <c r="D7" s="264"/>
      <c r="E7" s="234">
        <f>EDATE(J7,-12)</f>
        <v>45657</v>
      </c>
      <c r="F7" s="234">
        <f>EDATE(K7,-12)</f>
        <v>45657</v>
      </c>
      <c r="G7" s="230">
        <f>F7</f>
        <v>45657</v>
      </c>
      <c r="H7" s="260" t="s">
        <v>458</v>
      </c>
      <c r="I7" s="263"/>
      <c r="J7" s="234">
        <f>'Lead PL'!J4</f>
        <v>46022</v>
      </c>
      <c r="K7" s="234">
        <f>$J7</f>
        <v>46022</v>
      </c>
      <c r="L7" s="230">
        <f>K7</f>
        <v>46022</v>
      </c>
      <c r="M7" s="260" t="s">
        <v>458</v>
      </c>
    </row>
    <row r="8" spans="3:16" ht="11.25" hidden="1" customHeight="1" outlineLevel="1" x14ac:dyDescent="0.2">
      <c r="C8" s="262"/>
      <c r="D8" s="262" t="str">
        <f>Cockpit!$C$4</f>
        <v>Projekt Namur</v>
      </c>
      <c r="E8" s="1001">
        <f>'Lead PL'!H6</f>
        <v>45657</v>
      </c>
      <c r="F8" s="1001"/>
      <c r="G8" s="1001"/>
      <c r="H8" s="1001"/>
      <c r="I8" s="233"/>
      <c r="J8" s="1001">
        <f>'Lead PL'!K6</f>
        <v>46022</v>
      </c>
      <c r="K8" s="1001"/>
      <c r="L8" s="1001"/>
      <c r="M8" s="1001"/>
    </row>
    <row r="9" spans="3:16" ht="11.25" hidden="1" customHeight="1" outlineLevel="1" x14ac:dyDescent="0.2">
      <c r="C9" s="262"/>
      <c r="D9" s="262"/>
      <c r="E9" s="233" t="str">
        <f>Cockpit!$C$24</f>
        <v>YTD</v>
      </c>
      <c r="F9" s="233" t="str">
        <f>Cockpit!$C$25</f>
        <v>YTG</v>
      </c>
      <c r="G9" s="233" t="str">
        <f>Cockpit!$C$19</f>
        <v>IST</v>
      </c>
      <c r="H9" s="233" t="s">
        <v>457</v>
      </c>
      <c r="I9" s="233"/>
      <c r="J9" s="233" t="str">
        <f>Cockpit!$C$24</f>
        <v>YTD</v>
      </c>
      <c r="K9" s="233" t="str">
        <f>F9</f>
        <v>YTG</v>
      </c>
      <c r="L9" s="233" t="str">
        <f>Cockpit!$I$34</f>
        <v>Plan</v>
      </c>
      <c r="M9" s="233" t="s">
        <v>457</v>
      </c>
    </row>
    <row r="10" spans="3:16" ht="11.25" hidden="1" customHeight="1" outlineLevel="1" x14ac:dyDescent="0.2">
      <c r="C10" s="262"/>
      <c r="D10" s="17" t="str">
        <f>"in k"&amp;Cockpit!$C$5</f>
        <v>in kEUR</v>
      </c>
      <c r="E10" s="261">
        <f>EDATE(J10,-12)</f>
        <v>45657</v>
      </c>
      <c r="F10" s="261">
        <f>EDATE(K10,-12)</f>
        <v>45657</v>
      </c>
      <c r="G10" s="233">
        <f>F10</f>
        <v>45657</v>
      </c>
      <c r="H10" s="260" t="s">
        <v>456</v>
      </c>
      <c r="I10" s="260"/>
      <c r="J10" s="261">
        <f>'Lead PL'!J6</f>
        <v>46022</v>
      </c>
      <c r="K10" s="261">
        <f>$J10</f>
        <v>46022</v>
      </c>
      <c r="L10" s="233">
        <f>K10</f>
        <v>46022</v>
      </c>
      <c r="M10" s="260" t="s">
        <v>456</v>
      </c>
      <c r="P10" s="419" t="s">
        <v>840</v>
      </c>
    </row>
    <row r="11" spans="3:16" ht="4.5" customHeight="1" collapsed="1" x14ac:dyDescent="0.2">
      <c r="C11" s="259"/>
      <c r="D11" s="259"/>
      <c r="E11" s="156"/>
      <c r="F11" s="156"/>
      <c r="G11" s="122"/>
      <c r="H11" s="258"/>
      <c r="I11" s="258"/>
      <c r="J11" s="156"/>
      <c r="K11" s="156"/>
      <c r="L11" s="156"/>
      <c r="M11" s="258"/>
    </row>
    <row r="12" spans="3:16" ht="11.25" customHeight="1" x14ac:dyDescent="0.2">
      <c r="C12" s="37" t="str">
        <f>'Lead PL'!C9</f>
        <v>Umsatzerlöse</v>
      </c>
      <c r="D12" s="37" t="str">
        <f>'Lead PL'!D9</f>
        <v>Revenues</v>
      </c>
      <c r="E12" s="129">
        <f>E13+E14+E15+E16+E22</f>
        <v>12729.946630000002</v>
      </c>
      <c r="F12" s="160">
        <f t="shared" ref="F12:F63" si="0">G12-E12</f>
        <v>3930.0168300000005</v>
      </c>
      <c r="G12" s="36">
        <f>'Lead PL'!H9</f>
        <v>16659.963460000003</v>
      </c>
      <c r="H12" s="81">
        <f t="shared" ref="H12:H63" si="1">IFERROR(E12/G12,"n/a")</f>
        <v>0.7641041146677281</v>
      </c>
      <c r="I12" s="36"/>
      <c r="J12" s="129">
        <f>J13+J14+J15+J16+J22</f>
        <v>11495.737900000002</v>
      </c>
      <c r="K12" s="160">
        <f t="shared" ref="K12:K63" si="2">L12-J12</f>
        <v>-11495.737900000002</v>
      </c>
      <c r="L12" s="128"/>
      <c r="M12" s="81" t="str">
        <f t="shared" ref="M12:M63" si="3">IFERROR(J12/L12,"n/a")</f>
        <v>n/a</v>
      </c>
      <c r="P12" s="364"/>
    </row>
    <row r="13" spans="3:16" ht="11.25" customHeight="1" outlineLevel="1" x14ac:dyDescent="0.2">
      <c r="C13" s="120" t="s">
        <v>2457</v>
      </c>
      <c r="D13" s="37"/>
      <c r="E13" s="129">
        <f>-SUMIF('Trial Balance (Susa)'!$F:$F,"*"&amp;$P13&amp;"*",'Trial Balance (Susa)'!AE:AE)/1000</f>
        <v>3342.6302600000004</v>
      </c>
      <c r="F13" s="160" t="e">
        <f t="shared" si="0"/>
        <v>#REF!</v>
      </c>
      <c r="G13" s="36" t="e">
        <f>'Lead PL'!#REF!</f>
        <v>#REF!</v>
      </c>
      <c r="H13" s="81" t="str">
        <f t="shared" si="1"/>
        <v>n/a</v>
      </c>
      <c r="I13" s="36"/>
      <c r="J13" s="129">
        <f>-SUMIF('Trial Balance (Susa)'!$F:$F,"*"&amp;$P13&amp;"*",'Trial Balance (Susa)'!AQ:AQ)/1000</f>
        <v>3585.2179599999999</v>
      </c>
      <c r="K13" s="160">
        <f t="shared" si="2"/>
        <v>-3585.2179599999999</v>
      </c>
      <c r="L13" s="128"/>
      <c r="M13" s="81" t="str">
        <f t="shared" si="3"/>
        <v>n/a</v>
      </c>
      <c r="P13" s="364" t="s">
        <v>2522</v>
      </c>
    </row>
    <row r="14" spans="3:16" ht="11.25" customHeight="1" outlineLevel="1" x14ac:dyDescent="0.2">
      <c r="C14" s="120" t="s">
        <v>2449</v>
      </c>
      <c r="D14" s="37"/>
      <c r="E14" s="129">
        <f>-SUMIF('Trial Balance (Susa)'!$F:$F,"*"&amp;$P14&amp;"*",'Trial Balance (Susa)'!AE:AE)/1000</f>
        <v>5266.9980800000003</v>
      </c>
      <c r="F14" s="160">
        <f t="shared" si="0"/>
        <v>6039.7301999999991</v>
      </c>
      <c r="G14" s="36">
        <f>'Lead PL'!H10</f>
        <v>11306.728279999999</v>
      </c>
      <c r="H14" s="81">
        <f t="shared" si="1"/>
        <v>0.46582865967660814</v>
      </c>
      <c r="I14" s="36"/>
      <c r="J14" s="129">
        <f>-SUMIF('Trial Balance (Susa)'!$F:$F,"*"&amp;$P14&amp;"*",'Trial Balance (Susa)'!AQ:AQ)/1000</f>
        <v>4848.8322300000009</v>
      </c>
      <c r="K14" s="160">
        <f t="shared" si="2"/>
        <v>-4848.8322300000009</v>
      </c>
      <c r="L14" s="128"/>
      <c r="M14" s="81" t="str">
        <f t="shared" si="3"/>
        <v>n/a</v>
      </c>
      <c r="P14" s="364" t="s">
        <v>2516</v>
      </c>
    </row>
    <row r="15" spans="3:16" ht="11.25" customHeight="1" outlineLevel="1" x14ac:dyDescent="0.2">
      <c r="C15" s="120" t="s">
        <v>2450</v>
      </c>
      <c r="D15" s="37"/>
      <c r="E15" s="129">
        <f>-SUMIF('Trial Balance (Susa)'!$F:$F,"*"&amp;$P15&amp;"*",'Trial Balance (Susa)'!AE:AE)/1000</f>
        <v>4075.4113299999999</v>
      </c>
      <c r="F15" s="160">
        <f t="shared" si="0"/>
        <v>1001.3358799999996</v>
      </c>
      <c r="G15" s="36">
        <f>'Lead PL'!H11</f>
        <v>5076.7472099999995</v>
      </c>
      <c r="H15" s="81">
        <f t="shared" si="1"/>
        <v>0.8027603426801313</v>
      </c>
      <c r="I15" s="36"/>
      <c r="J15" s="129">
        <f>-SUMIF('Trial Balance (Susa)'!$F:$F,"*"&amp;$P15&amp;"*",'Trial Balance (Susa)'!AQ:AQ)/1000</f>
        <v>3033.92229</v>
      </c>
      <c r="K15" s="160">
        <f t="shared" si="2"/>
        <v>-3033.92229</v>
      </c>
      <c r="L15" s="128"/>
      <c r="M15" s="81" t="str">
        <f t="shared" si="3"/>
        <v>n/a</v>
      </c>
      <c r="P15" s="364" t="s">
        <v>2517</v>
      </c>
    </row>
    <row r="16" spans="3:16" ht="11.25" customHeight="1" outlineLevel="1" x14ac:dyDescent="0.2">
      <c r="C16" s="120" t="s">
        <v>2459</v>
      </c>
      <c r="D16" s="37"/>
      <c r="E16" s="129">
        <f>SUM(E17:E21)</f>
        <v>175.51240000000001</v>
      </c>
      <c r="F16" s="160">
        <f t="shared" si="0"/>
        <v>277.41917000000001</v>
      </c>
      <c r="G16" s="36">
        <f>'Lead PL'!H12</f>
        <v>452.93157000000002</v>
      </c>
      <c r="H16" s="81">
        <f t="shared" si="1"/>
        <v>0.38750312767997164</v>
      </c>
      <c r="I16" s="36"/>
      <c r="J16" s="129">
        <f>SUM(J17:J21)</f>
        <v>152.69066000000004</v>
      </c>
      <c r="K16" s="160">
        <f t="shared" si="2"/>
        <v>-152.69066000000004</v>
      </c>
      <c r="L16" s="128"/>
      <c r="M16" s="81" t="str">
        <f t="shared" si="3"/>
        <v>n/a</v>
      </c>
      <c r="P16" s="364"/>
    </row>
    <row r="17" spans="3:16" ht="11.25" hidden="1" customHeight="1" outlineLevel="2" x14ac:dyDescent="0.2">
      <c r="C17" s="511" t="s">
        <v>2451</v>
      </c>
      <c r="D17" s="37"/>
      <c r="E17" s="129">
        <f>-SUMIF('Trial Balance (Susa)'!$F:$F,"*"&amp;$P17&amp;"*",'Trial Balance (Susa)'!AE:AE)/1000</f>
        <v>64.5578</v>
      </c>
      <c r="F17" s="160">
        <f t="shared" si="0"/>
        <v>253.50357000000002</v>
      </c>
      <c r="G17" s="36">
        <f>'Lead PL'!H13</f>
        <v>318.06137000000001</v>
      </c>
      <c r="H17" s="81">
        <f t="shared" si="1"/>
        <v>0.20297277849240225</v>
      </c>
      <c r="I17" s="36"/>
      <c r="J17" s="129">
        <f>-SUMIF('Trial Balance (Susa)'!$F:$F,"*"&amp;$P17&amp;"*",'Trial Balance (Susa)'!AQ:AQ)/1000</f>
        <v>73.319509999999994</v>
      </c>
      <c r="K17" s="160">
        <f t="shared" si="2"/>
        <v>-73.319509999999994</v>
      </c>
      <c r="L17" s="128"/>
      <c r="M17" s="81" t="str">
        <f t="shared" si="3"/>
        <v>n/a</v>
      </c>
      <c r="P17" s="364" t="s">
        <v>2518</v>
      </c>
    </row>
    <row r="18" spans="3:16" ht="11.25" hidden="1" customHeight="1" outlineLevel="2" x14ac:dyDescent="0.2">
      <c r="C18" s="511" t="s">
        <v>2452</v>
      </c>
      <c r="D18" s="37"/>
      <c r="E18" s="129">
        <f>-SUMIF('Trial Balance (Susa)'!$F:$F,"*"&amp;$P18&amp;"*",'Trial Balance (Susa)'!AE:AE)/1000</f>
        <v>77.313800000000001</v>
      </c>
      <c r="F18" s="160">
        <f t="shared" si="0"/>
        <v>11.200000000000003</v>
      </c>
      <c r="G18" s="36">
        <f>'Lead PL'!H14</f>
        <v>88.513800000000003</v>
      </c>
      <c r="H18" s="81">
        <f t="shared" si="1"/>
        <v>0.87346605839993308</v>
      </c>
      <c r="I18" s="36"/>
      <c r="J18" s="129">
        <f>-SUMIF('Trial Balance (Susa)'!$F:$F,"*"&amp;$P18&amp;"*",'Trial Balance (Susa)'!AQ:AQ)/1000</f>
        <v>56.660800000000002</v>
      </c>
      <c r="K18" s="160">
        <f t="shared" si="2"/>
        <v>-56.660800000000002</v>
      </c>
      <c r="L18" s="128"/>
      <c r="M18" s="81" t="str">
        <f t="shared" si="3"/>
        <v>n/a</v>
      </c>
      <c r="P18" s="364" t="s">
        <v>2519</v>
      </c>
    </row>
    <row r="19" spans="3:16" ht="11.25" hidden="1" customHeight="1" outlineLevel="2" x14ac:dyDescent="0.2">
      <c r="C19" s="511" t="s">
        <v>2453</v>
      </c>
      <c r="D19" s="37"/>
      <c r="E19" s="129">
        <f>-SUMIF('Trial Balance (Susa)'!$F:$F,"*"&amp;$P19&amp;"*",'Trial Balance (Susa)'!AE:AE)/1000</f>
        <v>30.619</v>
      </c>
      <c r="F19" s="160">
        <f t="shared" si="0"/>
        <v>11.079999999999998</v>
      </c>
      <c r="G19" s="36">
        <f>'Lead PL'!H15</f>
        <v>41.698999999999998</v>
      </c>
      <c r="H19" s="81">
        <f t="shared" si="1"/>
        <v>0.73428619391352312</v>
      </c>
      <c r="I19" s="36"/>
      <c r="J19" s="129">
        <f>-SUMIF('Trial Balance (Susa)'!$F:$F,"*"&amp;$P19&amp;"*",'Trial Balance (Susa)'!AQ:AQ)/1000</f>
        <v>19.77</v>
      </c>
      <c r="K19" s="160">
        <f t="shared" si="2"/>
        <v>-19.77</v>
      </c>
      <c r="L19" s="128"/>
      <c r="M19" s="81" t="str">
        <f t="shared" si="3"/>
        <v>n/a</v>
      </c>
      <c r="P19" s="364" t="s">
        <v>2520</v>
      </c>
    </row>
    <row r="20" spans="3:16" ht="11.25" hidden="1" customHeight="1" outlineLevel="2" x14ac:dyDescent="0.2">
      <c r="C20" s="511" t="s">
        <v>2454</v>
      </c>
      <c r="D20" s="37"/>
      <c r="E20" s="129">
        <f>-SUMIF('Trial Balance (Susa)'!$F:$F,"*"&amp;$P20&amp;"*",'Trial Balance (Susa)'!AE:AE)/1000</f>
        <v>2.5893000000000002</v>
      </c>
      <c r="F20" s="160">
        <f t="shared" si="0"/>
        <v>0.86810000000000009</v>
      </c>
      <c r="G20" s="36">
        <f>'Lead PL'!H16</f>
        <v>3.4574000000000003</v>
      </c>
      <c r="H20" s="81">
        <f t="shared" si="1"/>
        <v>0.74891536993116214</v>
      </c>
      <c r="I20" s="36"/>
      <c r="J20" s="129">
        <f>-SUMIF('Trial Balance (Susa)'!$F:$F,"*"&amp;$P20&amp;"*",'Trial Balance (Susa)'!AQ:AQ)/1000</f>
        <v>2.6271</v>
      </c>
      <c r="K20" s="160">
        <f t="shared" si="2"/>
        <v>-2.6271</v>
      </c>
      <c r="L20" s="128"/>
      <c r="M20" s="81" t="str">
        <f t="shared" si="3"/>
        <v>n/a</v>
      </c>
      <c r="P20" s="364" t="s">
        <v>2523</v>
      </c>
    </row>
    <row r="21" spans="3:16" ht="11.25" hidden="1" customHeight="1" outlineLevel="2" x14ac:dyDescent="0.2">
      <c r="C21" s="511" t="s">
        <v>2455</v>
      </c>
      <c r="D21" s="37"/>
      <c r="E21" s="129">
        <f>-SUMIF('Trial Balance (Susa)'!$F:$F,"*"&amp;$P21&amp;"*",'Trial Balance (Susa)'!AE:AE)/1000</f>
        <v>0.4325</v>
      </c>
      <c r="F21" s="160">
        <f t="shared" si="0"/>
        <v>0.76749999999999996</v>
      </c>
      <c r="G21" s="36">
        <f>'Lead PL'!H17</f>
        <v>1.2</v>
      </c>
      <c r="H21" s="81">
        <f t="shared" si="1"/>
        <v>0.36041666666666666</v>
      </c>
      <c r="I21" s="36"/>
      <c r="J21" s="129">
        <f>-SUMIF('Trial Balance (Susa)'!$F:$F,"*"&amp;$P21&amp;"*",'Trial Balance (Susa)'!AQ:AQ)/1000</f>
        <v>0.31324999999999997</v>
      </c>
      <c r="K21" s="160">
        <f t="shared" si="2"/>
        <v>-0.31324999999999997</v>
      </c>
      <c r="L21" s="128"/>
      <c r="M21" s="81" t="str">
        <f t="shared" si="3"/>
        <v>n/a</v>
      </c>
      <c r="P21" s="364" t="s">
        <v>2524</v>
      </c>
    </row>
    <row r="22" spans="3:16" ht="11.25" customHeight="1" outlineLevel="1" collapsed="1" x14ac:dyDescent="0.2">
      <c r="C22" s="120" t="s">
        <v>2456</v>
      </c>
      <c r="D22" s="37"/>
      <c r="E22" s="129">
        <f>-SUMIF('Trial Balance (Susa)'!$F:$F,"*"&amp;$P22&amp;"*",'Trial Balance (Susa)'!AE:AE)/1000</f>
        <v>-130.60544000000002</v>
      </c>
      <c r="F22" s="160">
        <f t="shared" si="0"/>
        <v>-41.800709999999981</v>
      </c>
      <c r="G22" s="36">
        <f>'Lead PL'!H18</f>
        <v>-172.40615</v>
      </c>
      <c r="H22" s="81">
        <f t="shared" si="1"/>
        <v>0.75754513397578926</v>
      </c>
      <c r="I22" s="36"/>
      <c r="J22" s="129">
        <f>-SUMIF('Trial Balance (Susa)'!$F:$F,"*"&amp;$P22&amp;"*",'Trial Balance (Susa)'!AQ:AQ)/1000</f>
        <v>-124.92524</v>
      </c>
      <c r="K22" s="160">
        <f t="shared" si="2"/>
        <v>124.92524</v>
      </c>
      <c r="L22" s="128"/>
      <c r="M22" s="81" t="str">
        <f t="shared" si="3"/>
        <v>n/a</v>
      </c>
      <c r="P22" s="364" t="s">
        <v>2521</v>
      </c>
    </row>
    <row r="23" spans="3:16" ht="11.25" customHeight="1" x14ac:dyDescent="0.2">
      <c r="C23" s="37" t="str">
        <f>'Lead PL'!C19</f>
        <v>Bestandsveränderung</v>
      </c>
      <c r="D23" s="37" t="str">
        <f>'Lead PL'!D19</f>
        <v>Change in inventory</v>
      </c>
      <c r="E23" s="129">
        <f>-SUMIF('Trial Balance (Susa)'!$D:$D,"*"&amp;$P23&amp;"*",'Trial Balance (Susa)'!AE:AE)/1000</f>
        <v>109.90872</v>
      </c>
      <c r="F23" s="160">
        <f t="shared" si="0"/>
        <v>240.88641999999999</v>
      </c>
      <c r="G23" s="36">
        <f>'Lead PL'!H19</f>
        <v>350.79514</v>
      </c>
      <c r="H23" s="81">
        <f t="shared" si="1"/>
        <v>0.3133131205865623</v>
      </c>
      <c r="I23" s="36"/>
      <c r="J23" s="129">
        <f>-SUMIF('Trial Balance (Susa)'!$D:$D,"*"&amp;$P23&amp;"*",'Trial Balance (Susa)'!AQ:AQ)/1000</f>
        <v>0</v>
      </c>
      <c r="K23" s="160">
        <f t="shared" si="2"/>
        <v>0</v>
      </c>
      <c r="L23" s="128"/>
      <c r="M23" s="81" t="str">
        <f t="shared" si="3"/>
        <v>n/a</v>
      </c>
      <c r="P23" s="364" t="s">
        <v>684</v>
      </c>
    </row>
    <row r="24" spans="3:16" ht="11.25" hidden="1" customHeight="1" outlineLevel="2" x14ac:dyDescent="0.2">
      <c r="C24" s="37" t="str">
        <f>'Lead PL'!C20</f>
        <v>Aktivierte Eigenleistungen</v>
      </c>
      <c r="D24" s="37" t="str">
        <f>'Lead PL'!D20</f>
        <v>Own work capitalized</v>
      </c>
      <c r="E24" s="129"/>
      <c r="F24" s="160">
        <f>G24-E24</f>
        <v>0</v>
      </c>
      <c r="G24" s="36"/>
      <c r="H24" s="81" t="str">
        <f>IFERROR(E24/G24,"n/a")</f>
        <v>n/a</v>
      </c>
      <c r="I24" s="36"/>
      <c r="J24" s="129"/>
      <c r="K24" s="160">
        <f>L24-J24</f>
        <v>0</v>
      </c>
      <c r="L24" s="128"/>
      <c r="M24" s="81" t="str">
        <f>IFERROR(J24/L24,"n/a")</f>
        <v>n/a</v>
      </c>
      <c r="P24" s="364" t="s">
        <v>686</v>
      </c>
    </row>
    <row r="25" spans="3:16" ht="11.25" hidden="1" customHeight="1" outlineLevel="2" x14ac:dyDescent="0.2">
      <c r="C25" s="37" t="str">
        <f>'Lead PL'!C21</f>
        <v>Dummy 1</v>
      </c>
      <c r="D25" s="37" t="str">
        <f>'Lead PL'!D21</f>
        <v>Dummy 1</v>
      </c>
      <c r="E25" s="129"/>
      <c r="F25" s="160">
        <f>G25-E25</f>
        <v>0</v>
      </c>
      <c r="G25" s="36"/>
      <c r="H25" s="81" t="str">
        <f>IFERROR(E25/G25,"n/a")</f>
        <v>n/a</v>
      </c>
      <c r="I25" s="36"/>
      <c r="J25" s="129"/>
      <c r="K25" s="160">
        <f>L25-J25</f>
        <v>0</v>
      </c>
      <c r="L25" s="128"/>
      <c r="M25" s="81" t="str">
        <f>IFERROR(J25/L25,"n/a")</f>
        <v>n/a</v>
      </c>
      <c r="P25" s="364"/>
    </row>
    <row r="26" spans="3:16" ht="11.25" hidden="1" customHeight="1" outlineLevel="2" x14ac:dyDescent="0.2">
      <c r="C26" s="37" t="str">
        <f>'Lead PL'!C22</f>
        <v>Dummy 2</v>
      </c>
      <c r="D26" s="37" t="str">
        <f>'Lead PL'!D22</f>
        <v>Dummy 2</v>
      </c>
      <c r="E26" s="129"/>
      <c r="F26" s="160">
        <f>G26-E26</f>
        <v>0</v>
      </c>
      <c r="G26" s="36"/>
      <c r="H26" s="81" t="str">
        <f>IFERROR(E26/G26,"n/a")</f>
        <v>n/a</v>
      </c>
      <c r="I26" s="36"/>
      <c r="J26" s="129"/>
      <c r="K26" s="160">
        <f>L26-J26</f>
        <v>0</v>
      </c>
      <c r="L26" s="128"/>
      <c r="M26" s="81" t="str">
        <f>IFERROR(J26/L26,"n/a")</f>
        <v>n/a</v>
      </c>
      <c r="P26" s="364"/>
    </row>
    <row r="27" spans="3:16" ht="11.25" hidden="1" customHeight="1" outlineLevel="2" x14ac:dyDescent="0.2">
      <c r="C27" s="42" t="str">
        <f>'Lead PL'!C23</f>
        <v>Dummy 3</v>
      </c>
      <c r="D27" s="37" t="str">
        <f>'Lead PL'!D23</f>
        <v>Dummy 3</v>
      </c>
      <c r="E27" s="129"/>
      <c r="F27" s="160">
        <f>G27-E27</f>
        <v>0</v>
      </c>
      <c r="G27" s="36"/>
      <c r="H27" s="81" t="str">
        <f>IFERROR(E27/G27,"n/a")</f>
        <v>n/a</v>
      </c>
      <c r="I27" s="36"/>
      <c r="J27" s="129"/>
      <c r="K27" s="160">
        <f>L27-J27</f>
        <v>0</v>
      </c>
      <c r="L27" s="128"/>
      <c r="M27" s="81" t="str">
        <f>IFERROR(J27/L27,"n/a")</f>
        <v>n/a</v>
      </c>
      <c r="P27" s="364"/>
    </row>
    <row r="28" spans="3:16" ht="11.25" customHeight="1" collapsed="1" x14ac:dyDescent="0.2">
      <c r="C28" s="257" t="str">
        <f>'Lead PL'!C24</f>
        <v>Gesamtleistung</v>
      </c>
      <c r="D28" s="257" t="str">
        <f>'Lead PL'!D24</f>
        <v>Total output</v>
      </c>
      <c r="E28" s="140">
        <f>E12+E23</f>
        <v>12839.855350000002</v>
      </c>
      <c r="F28" s="177">
        <f t="shared" si="0"/>
        <v>4170.9032499999994</v>
      </c>
      <c r="G28" s="141">
        <f>G12+G23</f>
        <v>17010.758600000001</v>
      </c>
      <c r="H28" s="244">
        <f t="shared" si="1"/>
        <v>0.75480792197004087</v>
      </c>
      <c r="I28" s="256"/>
      <c r="J28" s="140">
        <f>J12+J23</f>
        <v>11495.737900000002</v>
      </c>
      <c r="K28" s="177">
        <f t="shared" si="2"/>
        <v>-11495.737900000002</v>
      </c>
      <c r="L28" s="139">
        <f>SUM(L12:L27)</f>
        <v>0</v>
      </c>
      <c r="M28" s="244" t="str">
        <f t="shared" si="3"/>
        <v>n/a</v>
      </c>
    </row>
    <row r="29" spans="3:16" ht="11.25" customHeight="1" x14ac:dyDescent="0.2">
      <c r="C29" s="37" t="str">
        <f>'Lead PL'!C25</f>
        <v>Materialaufwand</v>
      </c>
      <c r="D29" s="37" t="str">
        <f>'Lead PL'!D25</f>
        <v>Cost of materials</v>
      </c>
      <c r="E29" s="129">
        <f>-SUMIF('Trial Balance (Susa)'!$D:$D,"*"&amp;$P29&amp;"*",'Trial Balance (Susa)'!AE:AE)/1000</f>
        <v>-7716.457269999999</v>
      </c>
      <c r="F29" s="160">
        <f t="shared" si="0"/>
        <v>-681.4301200000009</v>
      </c>
      <c r="G29" s="36">
        <f>'Lead PL'!H25</f>
        <v>-8397.8873899999999</v>
      </c>
      <c r="H29" s="81">
        <f t="shared" si="1"/>
        <v>0.9188569590952802</v>
      </c>
      <c r="I29" s="36"/>
      <c r="J29" s="129">
        <f>-SUMIF('Trial Balance (Susa)'!$D:$D,"*"&amp;$P29&amp;"*",'Trial Balance (Susa)'!AQ:AQ)/1000</f>
        <v>-5256.4677899999997</v>
      </c>
      <c r="K29" s="160">
        <f t="shared" si="2"/>
        <v>5256.4677899999997</v>
      </c>
      <c r="L29" s="128"/>
      <c r="M29" s="81" t="str">
        <f t="shared" si="3"/>
        <v>n/a</v>
      </c>
      <c r="P29" s="364" t="s">
        <v>693</v>
      </c>
    </row>
    <row r="30" spans="3:16" ht="11.25" hidden="1" customHeight="1" outlineLevel="2" x14ac:dyDescent="0.2">
      <c r="C30" s="37" t="str">
        <f>'Lead PL'!C26</f>
        <v>RHB-Aufwand</v>
      </c>
      <c r="D30" s="37" t="str">
        <f>'Lead PL'!D26</f>
        <v>Dummy 1</v>
      </c>
      <c r="E30" s="129"/>
      <c r="F30" s="160">
        <f t="shared" si="0"/>
        <v>0</v>
      </c>
      <c r="G30" s="36"/>
      <c r="H30" s="81" t="str">
        <f t="shared" si="1"/>
        <v>n/a</v>
      </c>
      <c r="I30" s="36"/>
      <c r="J30" s="129"/>
      <c r="K30" s="160">
        <f t="shared" si="2"/>
        <v>0</v>
      </c>
      <c r="L30" s="128"/>
      <c r="M30" s="81" t="str">
        <f t="shared" si="3"/>
        <v>n/a</v>
      </c>
      <c r="P30" s="364"/>
    </row>
    <row r="31" spans="3:16" ht="11.25" hidden="1" customHeight="1" outlineLevel="2" x14ac:dyDescent="0.2">
      <c r="C31" s="37" t="str">
        <f>'Lead PL'!C27</f>
        <v>Fremdleistungen</v>
      </c>
      <c r="D31" s="37" t="str">
        <f>'Lead PL'!D27</f>
        <v>Dummy 2</v>
      </c>
      <c r="E31" s="129"/>
      <c r="F31" s="160">
        <f t="shared" si="0"/>
        <v>0</v>
      </c>
      <c r="G31" s="36"/>
      <c r="H31" s="81" t="str">
        <f t="shared" si="1"/>
        <v>n/a</v>
      </c>
      <c r="I31" s="36"/>
      <c r="J31" s="129"/>
      <c r="K31" s="160">
        <f t="shared" si="2"/>
        <v>0</v>
      </c>
      <c r="L31" s="128"/>
      <c r="M31" s="81" t="str">
        <f t="shared" si="3"/>
        <v>n/a</v>
      </c>
      <c r="P31" s="364"/>
    </row>
    <row r="32" spans="3:16" ht="11.25" hidden="1" customHeight="1" outlineLevel="2" x14ac:dyDescent="0.2">
      <c r="C32" s="42" t="str">
        <f>'Lead PL'!C28</f>
        <v>Dummy 3</v>
      </c>
      <c r="D32" s="42" t="str">
        <f>'Lead PL'!D28</f>
        <v>Dummy 3</v>
      </c>
      <c r="E32" s="135"/>
      <c r="F32" s="175">
        <f t="shared" si="0"/>
        <v>0</v>
      </c>
      <c r="G32" s="127"/>
      <c r="H32" s="41" t="str">
        <f t="shared" si="1"/>
        <v>n/a</v>
      </c>
      <c r="I32" s="127"/>
      <c r="J32" s="135"/>
      <c r="K32" s="175">
        <f t="shared" si="2"/>
        <v>0</v>
      </c>
      <c r="L32" s="134"/>
      <c r="M32" s="41" t="str">
        <f t="shared" si="3"/>
        <v>n/a</v>
      </c>
      <c r="P32" s="364"/>
    </row>
    <row r="33" spans="3:16" ht="11.25" customHeight="1" collapsed="1" x14ac:dyDescent="0.2">
      <c r="C33" s="257" t="str">
        <f>'Lead PL'!C29</f>
        <v>Rohergebnis</v>
      </c>
      <c r="D33" s="257" t="str">
        <f>'Lead PL'!D29</f>
        <v>Gross profit</v>
      </c>
      <c r="E33" s="140">
        <f>SUM(E28:E32)</f>
        <v>5123.3980800000027</v>
      </c>
      <c r="F33" s="177">
        <f t="shared" si="0"/>
        <v>3489.4731299999985</v>
      </c>
      <c r="G33" s="141">
        <f>SUM(G28:G32)</f>
        <v>8612.8712100000012</v>
      </c>
      <c r="H33" s="244">
        <f t="shared" si="1"/>
        <v>0.5948536736566391</v>
      </c>
      <c r="I33" s="256"/>
      <c r="J33" s="140">
        <f>SUM(J28:J32)</f>
        <v>6239.2701100000022</v>
      </c>
      <c r="K33" s="177">
        <f t="shared" si="2"/>
        <v>-6239.2701100000022</v>
      </c>
      <c r="L33" s="139">
        <f>SUM(L28:L32)</f>
        <v>0</v>
      </c>
      <c r="M33" s="244" t="str">
        <f t="shared" si="3"/>
        <v>n/a</v>
      </c>
    </row>
    <row r="34" spans="3:16" ht="11.25" customHeight="1" x14ac:dyDescent="0.2">
      <c r="C34" s="37" t="str">
        <f>'Lead PL'!C30</f>
        <v>Personalaufwand</v>
      </c>
      <c r="D34" s="37" t="str">
        <f>'Lead PL'!D30</f>
        <v>Personnel expenses</v>
      </c>
      <c r="E34" s="129">
        <f>-SUMIF('Trial Balance (Susa)'!$D:$D,"*"&amp;$P34&amp;"*",'Trial Balance (Susa)'!AE:AE)/1000</f>
        <v>-3374.9749499999998</v>
      </c>
      <c r="F34" s="160">
        <f t="shared" si="0"/>
        <v>-1147.3761000000013</v>
      </c>
      <c r="G34" s="36">
        <f>'Lead PL'!H30</f>
        <v>-4522.3510500000011</v>
      </c>
      <c r="H34" s="81">
        <f t="shared" si="1"/>
        <v>0.74628769697124664</v>
      </c>
      <c r="I34" s="36"/>
      <c r="J34" s="129">
        <f>-SUMIF('Trial Balance (Susa)'!$D:$D,"*"&amp;$P34&amp;"*",'Trial Balance (Susa)'!AQ:AQ)/1000</f>
        <v>-3218.91777</v>
      </c>
      <c r="K34" s="160">
        <f t="shared" si="2"/>
        <v>3218.91777</v>
      </c>
      <c r="L34" s="128"/>
      <c r="M34" s="81" t="str">
        <f t="shared" si="3"/>
        <v>n/a</v>
      </c>
      <c r="P34" s="364" t="s">
        <v>694</v>
      </c>
    </row>
    <row r="35" spans="3:16" ht="11.25" customHeight="1" x14ac:dyDescent="0.2">
      <c r="C35" s="37" t="str">
        <f>'Lead PL'!C31</f>
        <v>Miet- und Grundstücksaufwendungen</v>
      </c>
      <c r="D35" s="37" t="str">
        <f>'Lead PL'!D31</f>
        <v>Premise costs</v>
      </c>
      <c r="E35" s="129">
        <f>-SUMIF('Trial Balance (Susa)'!$D:$D,"*"&amp;$P35&amp;"*",'Trial Balance (Susa)'!AE:AE)/1000</f>
        <v>-316.82580000000002</v>
      </c>
      <c r="F35" s="160">
        <f t="shared" si="0"/>
        <v>-106.15672999999998</v>
      </c>
      <c r="G35" s="36">
        <f>'Lead PL'!H31</f>
        <v>-422.98253</v>
      </c>
      <c r="H35" s="81">
        <f t="shared" si="1"/>
        <v>0.74902809815809657</v>
      </c>
      <c r="I35" s="36"/>
      <c r="J35" s="129">
        <f>-SUMIF('Trial Balance (Susa)'!$D:$D,"*"&amp;$P35&amp;"*",'Trial Balance (Susa)'!AQ:AQ)/1000</f>
        <v>-263.52974</v>
      </c>
      <c r="K35" s="160">
        <f t="shared" si="2"/>
        <v>263.52974</v>
      </c>
      <c r="L35" s="128"/>
      <c r="M35" s="81" t="str">
        <f t="shared" si="3"/>
        <v>n/a</v>
      </c>
      <c r="P35" s="364" t="s">
        <v>1373</v>
      </c>
    </row>
    <row r="36" spans="3:16" ht="11.25" customHeight="1" x14ac:dyDescent="0.2">
      <c r="C36" s="37" t="str">
        <f>'Lead PL'!C32</f>
        <v>Reparaturen und Instandhaltungen</v>
      </c>
      <c r="D36" s="37" t="str">
        <f>'Lead PL'!D32</f>
        <v>Repair and maintenance</v>
      </c>
      <c r="E36" s="129">
        <f>-SUMIF('Trial Balance (Susa)'!$D:$D,"*"&amp;$P36&amp;"*",'Trial Balance (Susa)'!AE:AE)/1000</f>
        <v>-96.054550000000006</v>
      </c>
      <c r="F36" s="160">
        <f t="shared" ref="F36:F44" si="4">G36-E36</f>
        <v>-37.258259999999979</v>
      </c>
      <c r="G36" s="36">
        <f>'Lead PL'!H32</f>
        <v>-133.31280999999998</v>
      </c>
      <c r="H36" s="81">
        <f t="shared" ref="H36:H44" si="5">IFERROR(E36/G36,"n/a")</f>
        <v>0.72052003104577889</v>
      </c>
      <c r="I36" s="36"/>
      <c r="J36" s="129">
        <f>-SUMIF('Trial Balance (Susa)'!$D:$D,"*"&amp;$P36&amp;"*",'Trial Balance (Susa)'!AQ:AQ)/1000</f>
        <v>-80.498779999999996</v>
      </c>
      <c r="K36" s="160">
        <f t="shared" ref="K36:K44" si="6">L36-J36</f>
        <v>80.498779999999996</v>
      </c>
      <c r="L36" s="128"/>
      <c r="M36" s="81" t="str">
        <f t="shared" ref="M36:M44" si="7">IFERROR(J36/L36,"n/a")</f>
        <v>n/a</v>
      </c>
      <c r="P36" s="364" t="s">
        <v>1601</v>
      </c>
    </row>
    <row r="37" spans="3:16" ht="11.25" hidden="1" customHeight="1" outlineLevel="1" x14ac:dyDescent="0.2">
      <c r="C37" s="37" t="str">
        <f>'Lead PL'!C33</f>
        <v>Vertriebskosten</v>
      </c>
      <c r="D37" s="37" t="str">
        <f>'Lead PL'!D33</f>
        <v>Sales costs</v>
      </c>
      <c r="E37" s="129">
        <f>-SUMIF('Trial Balance (Susa)'!$D:$D,"*"&amp;$P37&amp;"*",'Trial Balance (Susa)'!AE:AE)/1000</f>
        <v>0</v>
      </c>
      <c r="F37" s="160">
        <f t="shared" si="4"/>
        <v>0</v>
      </c>
      <c r="G37" s="36">
        <f>'Lead PL'!H33</f>
        <v>0</v>
      </c>
      <c r="H37" s="81" t="str">
        <f t="shared" si="5"/>
        <v>n/a</v>
      </c>
      <c r="I37" s="36"/>
      <c r="J37" s="129">
        <f>-SUMIF('Trial Balance (Susa)'!$D:$D,"*"&amp;$P37&amp;"*",'Trial Balance (Susa)'!AQ:AQ)/1000</f>
        <v>0</v>
      </c>
      <c r="K37" s="160">
        <f t="shared" si="6"/>
        <v>0</v>
      </c>
      <c r="L37" s="128"/>
      <c r="M37" s="81" t="str">
        <f t="shared" si="7"/>
        <v>n/a</v>
      </c>
      <c r="P37" s="364" t="s">
        <v>1596</v>
      </c>
    </row>
    <row r="38" spans="3:16" ht="11.25" customHeight="1" collapsed="1" x14ac:dyDescent="0.2">
      <c r="C38" s="37" t="str">
        <f>'Lead PL'!C34</f>
        <v>Kosten der Warenabgabe</v>
      </c>
      <c r="D38" s="37" t="str">
        <f>'Lead PL'!D34</f>
        <v>Delivery costs</v>
      </c>
      <c r="E38" s="129">
        <f>-SUMIF('Trial Balance (Susa)'!$D:$D,"*"&amp;$P38&amp;"*",'Trial Balance (Susa)'!AE:AE)/1000</f>
        <v>-221.88585</v>
      </c>
      <c r="F38" s="160">
        <f t="shared" si="4"/>
        <v>-79.497579999999971</v>
      </c>
      <c r="G38" s="36">
        <f>'Lead PL'!H34</f>
        <v>-301.38342999999998</v>
      </c>
      <c r="H38" s="81">
        <f t="shared" si="5"/>
        <v>0.73622445003031523</v>
      </c>
      <c r="I38" s="36"/>
      <c r="J38" s="129">
        <f>-SUMIF('Trial Balance (Susa)'!$D:$D,"*"&amp;$P38&amp;"*",'Trial Balance (Susa)'!AQ:AQ)/1000</f>
        <v>-271.42434000000003</v>
      </c>
      <c r="K38" s="160">
        <f t="shared" si="6"/>
        <v>271.42434000000003</v>
      </c>
      <c r="L38" s="128"/>
      <c r="M38" s="81" t="str">
        <f t="shared" si="7"/>
        <v>n/a</v>
      </c>
      <c r="P38" s="364" t="s">
        <v>1593</v>
      </c>
    </row>
    <row r="39" spans="3:16" ht="11.25" customHeight="1" x14ac:dyDescent="0.2">
      <c r="C39" s="37" t="str">
        <f>'Lead PL'!C35</f>
        <v>Fahrzeugkosten</v>
      </c>
      <c r="D39" s="37" t="str">
        <f>'Lead PL'!D35</f>
        <v>Vehicle costs</v>
      </c>
      <c r="E39" s="129">
        <f>-SUMIF('Trial Balance (Susa)'!$D:$D,"*"&amp;$P39&amp;"*",'Trial Balance (Susa)'!AE:AE)/1000</f>
        <v>-182.09330000000003</v>
      </c>
      <c r="F39" s="160">
        <f t="shared" si="4"/>
        <v>-63.968509999999981</v>
      </c>
      <c r="G39" s="36">
        <f>'Lead PL'!H35</f>
        <v>-246.06181000000001</v>
      </c>
      <c r="H39" s="81">
        <f t="shared" si="5"/>
        <v>0.74003072642601475</v>
      </c>
      <c r="I39" s="36"/>
      <c r="J39" s="129">
        <f>-SUMIF('Trial Balance (Susa)'!$D:$D,"*"&amp;$P39&amp;"*",'Trial Balance (Susa)'!AQ:AQ)/1000</f>
        <v>-171.83902</v>
      </c>
      <c r="K39" s="160">
        <f t="shared" si="6"/>
        <v>171.83902</v>
      </c>
      <c r="L39" s="128"/>
      <c r="M39" s="81" t="str">
        <f t="shared" si="7"/>
        <v>n/a</v>
      </c>
      <c r="P39" s="364" t="s">
        <v>1391</v>
      </c>
    </row>
    <row r="40" spans="3:16" ht="11.25" customHeight="1" x14ac:dyDescent="0.2">
      <c r="C40" s="37" t="str">
        <f>'Lead PL'!C36</f>
        <v>Versicherung, Beiträge und Abgaben</v>
      </c>
      <c r="D40" s="37" t="str">
        <f>'Lead PL'!D36</f>
        <v>Insurance, contributions and levies expenses</v>
      </c>
      <c r="E40" s="129">
        <f>-SUMIF('Trial Balance (Susa)'!$D:$D,"*"&amp;$P40&amp;"*",'Trial Balance (Susa)'!AE:AE)/1000</f>
        <v>-54.909610000000001</v>
      </c>
      <c r="F40" s="160">
        <f t="shared" si="4"/>
        <v>-14.773789999999991</v>
      </c>
      <c r="G40" s="36">
        <f>'Lead PL'!H36</f>
        <v>-69.683399999999992</v>
      </c>
      <c r="H40" s="81">
        <f t="shared" si="5"/>
        <v>0.78798695241621397</v>
      </c>
      <c r="I40" s="36"/>
      <c r="J40" s="129">
        <f>-SUMIF('Trial Balance (Susa)'!$D:$D,"*"&amp;$P40&amp;"*",'Trial Balance (Susa)'!AQ:AQ)/1000</f>
        <v>-63.030169999999998</v>
      </c>
      <c r="K40" s="160">
        <f t="shared" si="6"/>
        <v>63.030169999999998</v>
      </c>
      <c r="L40" s="128"/>
      <c r="M40" s="81" t="str">
        <f t="shared" si="7"/>
        <v>n/a</v>
      </c>
      <c r="P40" s="364" t="s">
        <v>1384</v>
      </c>
    </row>
    <row r="41" spans="3:16" ht="11.25" customHeight="1" x14ac:dyDescent="0.2">
      <c r="C41" s="37" t="str">
        <f>'Lead PL'!C37</f>
        <v>Werbe- und Reisekosten</v>
      </c>
      <c r="D41" s="37" t="str">
        <f>'Lead PL'!D37</f>
        <v>Advertising and travel expenses</v>
      </c>
      <c r="E41" s="129">
        <f>-SUMIF('Trial Balance (Susa)'!$D:$D,"*"&amp;$P41&amp;"*",'Trial Balance (Susa)'!AE:AE)/1000</f>
        <v>-104.88799</v>
      </c>
      <c r="F41" s="160">
        <f t="shared" si="4"/>
        <v>-49.218639999999994</v>
      </c>
      <c r="G41" s="36">
        <f>'Lead PL'!H37</f>
        <v>-154.10663</v>
      </c>
      <c r="H41" s="81">
        <f t="shared" si="5"/>
        <v>0.6806195813898468</v>
      </c>
      <c r="I41" s="36"/>
      <c r="J41" s="129">
        <f>-SUMIF('Trial Balance (Susa)'!$D:$D,"*"&amp;$P41&amp;"*",'Trial Balance (Susa)'!AQ:AQ)/1000</f>
        <v>-85.087390000000013</v>
      </c>
      <c r="K41" s="160">
        <f t="shared" si="6"/>
        <v>85.087390000000013</v>
      </c>
      <c r="L41" s="128"/>
      <c r="M41" s="81" t="str">
        <f t="shared" si="7"/>
        <v>n/a</v>
      </c>
      <c r="P41" s="364" t="s">
        <v>1566</v>
      </c>
    </row>
    <row r="42" spans="3:16" ht="11.25" customHeight="1" x14ac:dyDescent="0.2">
      <c r="C42" s="37" t="str">
        <f>'Lead PL'!C38</f>
        <v>Sonstige betriebliche Erträge</v>
      </c>
      <c r="D42" s="37" t="str">
        <f>'Lead PL'!D38</f>
        <v>Other operating income</v>
      </c>
      <c r="E42" s="129">
        <f>-SUMIF('Trial Balance (Susa)'!$D:$D,"*"&amp;$P42&amp;"*",'Trial Balance (Susa)'!AE:AE)/1000</f>
        <v>200.92479999999998</v>
      </c>
      <c r="F42" s="160">
        <f t="shared" si="4"/>
        <v>63.646800000000013</v>
      </c>
      <c r="G42" s="36">
        <f>'Lead PL'!H38</f>
        <v>264.57159999999999</v>
      </c>
      <c r="H42" s="81">
        <f t="shared" si="5"/>
        <v>0.75943449712667566</v>
      </c>
      <c r="I42" s="36"/>
      <c r="J42" s="129">
        <f>-SUMIF('Trial Balance (Susa)'!$D:$D,"*"&amp;$P42&amp;"*",'Trial Balance (Susa)'!AQ:AQ)/1000</f>
        <v>130.83661999999998</v>
      </c>
      <c r="K42" s="160">
        <f t="shared" si="6"/>
        <v>-130.83661999999998</v>
      </c>
      <c r="L42" s="128"/>
      <c r="M42" s="81" t="str">
        <f t="shared" si="7"/>
        <v>n/a</v>
      </c>
      <c r="P42" s="364" t="s">
        <v>690</v>
      </c>
    </row>
    <row r="43" spans="3:16" ht="11.25" customHeight="1" x14ac:dyDescent="0.2">
      <c r="C43" s="37" t="str">
        <f>'Lead PL'!C39</f>
        <v>Sonstige betriebliche Aufwendungen</v>
      </c>
      <c r="D43" s="37" t="str">
        <f>'Lead PL'!D39</f>
        <v>Other operating expenses</v>
      </c>
      <c r="E43" s="129">
        <f>-SUMIF('Trial Balance (Susa)'!$D:$D,"*"&amp;$P43&amp;"*",'Trial Balance (Susa)'!AE:AE)/1000</f>
        <v>-736.83692999999982</v>
      </c>
      <c r="F43" s="160">
        <f t="shared" si="4"/>
        <v>-530.38345000000015</v>
      </c>
      <c r="G43" s="36">
        <f>'Lead PL'!H39</f>
        <v>-1267.22038</v>
      </c>
      <c r="H43" s="81">
        <f t="shared" si="5"/>
        <v>0.58145918549700082</v>
      </c>
      <c r="I43" s="36"/>
      <c r="J43" s="129">
        <f>-SUMIF('Trial Balance (Susa)'!$D:$D,"*"&amp;$P43&amp;"*",'Trial Balance (Susa)'!AQ:AQ)/1000</f>
        <v>-777.20689000000004</v>
      </c>
      <c r="K43" s="160">
        <f t="shared" si="6"/>
        <v>777.20689000000004</v>
      </c>
      <c r="L43" s="128"/>
      <c r="M43" s="81" t="str">
        <f t="shared" si="7"/>
        <v>n/a</v>
      </c>
      <c r="P43" s="364" t="s">
        <v>1352</v>
      </c>
    </row>
    <row r="44" spans="3:16" ht="11.25" hidden="1" customHeight="1" outlineLevel="2" x14ac:dyDescent="0.2">
      <c r="C44" s="37" t="str">
        <f>'Lead PL'!C40</f>
        <v>Dummy 1</v>
      </c>
      <c r="D44" s="37" t="str">
        <f>'Lead PL'!D40</f>
        <v>Dummy 1</v>
      </c>
      <c r="E44" s="129"/>
      <c r="F44" s="160">
        <f t="shared" si="4"/>
        <v>0</v>
      </c>
      <c r="G44" s="36"/>
      <c r="H44" s="81" t="str">
        <f t="shared" si="5"/>
        <v>n/a</v>
      </c>
      <c r="I44" s="36"/>
      <c r="J44" s="129"/>
      <c r="K44" s="160">
        <f t="shared" si="6"/>
        <v>0</v>
      </c>
      <c r="L44" s="128"/>
      <c r="M44" s="81" t="str">
        <f t="shared" si="7"/>
        <v>n/a</v>
      </c>
      <c r="P44" s="364"/>
    </row>
    <row r="45" spans="3:16" ht="11.25" hidden="1" customHeight="1" outlineLevel="2" x14ac:dyDescent="0.2">
      <c r="C45" s="37" t="str">
        <f>'Lead PL'!C41</f>
        <v>Dummy 2</v>
      </c>
      <c r="D45" s="37" t="str">
        <f>'Lead PL'!D41</f>
        <v>Dummy 2</v>
      </c>
      <c r="E45" s="129"/>
      <c r="F45" s="160">
        <f>G45-E45</f>
        <v>0</v>
      </c>
      <c r="G45" s="36"/>
      <c r="H45" s="81" t="str">
        <f>IFERROR(E45/G45,"n/a")</f>
        <v>n/a</v>
      </c>
      <c r="I45" s="36"/>
      <c r="J45" s="129"/>
      <c r="K45" s="160">
        <f>L45-J45</f>
        <v>0</v>
      </c>
      <c r="L45" s="128"/>
      <c r="M45" s="81" t="str">
        <f>IFERROR(J45/L45,"n/a")</f>
        <v>n/a</v>
      </c>
      <c r="P45" s="364"/>
    </row>
    <row r="46" spans="3:16" ht="11.25" hidden="1" customHeight="1" outlineLevel="2" x14ac:dyDescent="0.2">
      <c r="C46" s="37" t="str">
        <f>'Lead PL'!C42</f>
        <v>Dummy 3</v>
      </c>
      <c r="D46" s="37" t="str">
        <f>'Lead PL'!D42</f>
        <v>Dummy 3</v>
      </c>
      <c r="E46" s="129"/>
      <c r="F46" s="160">
        <f>G46-E46</f>
        <v>0</v>
      </c>
      <c r="G46" s="36"/>
      <c r="H46" s="81" t="str">
        <f>IFERROR(E46/G46,"n/a")</f>
        <v>n/a</v>
      </c>
      <c r="I46" s="36"/>
      <c r="J46" s="129"/>
      <c r="K46" s="160">
        <f>L46-J46</f>
        <v>0</v>
      </c>
      <c r="L46" s="128"/>
      <c r="M46" s="81" t="str">
        <f>IFERROR(J46/L46,"n/a")</f>
        <v>n/a</v>
      </c>
      <c r="P46" s="364"/>
    </row>
    <row r="47" spans="3:16" ht="11.25" customHeight="1" collapsed="1" x14ac:dyDescent="0.2">
      <c r="C47" s="257" t="str">
        <f>'Lead PL'!C43</f>
        <v>EBITDA</v>
      </c>
      <c r="D47" s="257" t="str">
        <f>'Lead PL'!D43</f>
        <v>EBITDA</v>
      </c>
      <c r="E47" s="140">
        <f>SUM(E33:E46)</f>
        <v>235.85390000000291</v>
      </c>
      <c r="F47" s="177">
        <f t="shared" si="0"/>
        <v>1524.4868699999975</v>
      </c>
      <c r="G47" s="141">
        <f>SUM(G33:G46)</f>
        <v>1760.3407700000005</v>
      </c>
      <c r="H47" s="244">
        <f t="shared" si="1"/>
        <v>0.13398195623225997</v>
      </c>
      <c r="I47" s="256"/>
      <c r="J47" s="140">
        <f>SUM(J33:J46)</f>
        <v>1438.5726300000024</v>
      </c>
      <c r="K47" s="177">
        <f t="shared" si="2"/>
        <v>-1438.5726300000024</v>
      </c>
      <c r="L47" s="139">
        <f>SUM(L33:L46)</f>
        <v>0</v>
      </c>
      <c r="M47" s="244" t="str">
        <f t="shared" si="3"/>
        <v>n/a</v>
      </c>
    </row>
    <row r="48" spans="3:16" ht="11.25" hidden="1" customHeight="1" outlineLevel="1" x14ac:dyDescent="0.2">
      <c r="C48" s="37" t="str">
        <f>'Lead PL'!C44</f>
        <v>Abschreibungen</v>
      </c>
      <c r="D48" s="37" t="str">
        <f>'Lead PL'!D44</f>
        <v>Depreciation</v>
      </c>
      <c r="E48" s="129">
        <f>-SUMIF('Trial Balance (Susa)'!$D:$D,"*"&amp;$P48&amp;"*",'Trial Balance (Susa)'!AE:AE)/1000</f>
        <v>-229.30187000000001</v>
      </c>
      <c r="F48" s="160">
        <f t="shared" si="0"/>
        <v>-86.417840000000012</v>
      </c>
      <c r="G48" s="36">
        <f>'Lead PL'!H44</f>
        <v>-315.71971000000002</v>
      </c>
      <c r="H48" s="81">
        <f t="shared" si="1"/>
        <v>0.72628303757152191</v>
      </c>
      <c r="I48" s="36"/>
      <c r="J48" s="129">
        <f>-SUMIF('Trial Balance (Susa)'!$D:$D,"*"&amp;$P48&amp;"*",'Trial Balance (Susa)'!AQ:AQ)/1000</f>
        <v>-208.41795999999999</v>
      </c>
      <c r="K48" s="160">
        <f t="shared" si="2"/>
        <v>208.41795999999999</v>
      </c>
      <c r="L48" s="128"/>
      <c r="M48" s="81" t="str">
        <f t="shared" si="3"/>
        <v>n/a</v>
      </c>
      <c r="P48" s="364" t="s">
        <v>695</v>
      </c>
    </row>
    <row r="49" spans="3:16" ht="11.25" hidden="1" customHeight="1" outlineLevel="3" x14ac:dyDescent="0.2">
      <c r="C49" s="37" t="str">
        <f>'Lead PL'!C45</f>
        <v>Dummy 1</v>
      </c>
      <c r="D49" s="37" t="str">
        <f>'Lead PL'!D45</f>
        <v>Dummy 1</v>
      </c>
      <c r="E49" s="129"/>
      <c r="F49" s="160">
        <f t="shared" si="0"/>
        <v>0</v>
      </c>
      <c r="G49" s="36"/>
      <c r="H49" s="81" t="str">
        <f t="shared" si="1"/>
        <v>n/a</v>
      </c>
      <c r="I49" s="36"/>
      <c r="J49" s="129"/>
      <c r="K49" s="160">
        <f t="shared" si="2"/>
        <v>0</v>
      </c>
      <c r="L49" s="128"/>
      <c r="M49" s="81" t="str">
        <f t="shared" si="3"/>
        <v>n/a</v>
      </c>
      <c r="P49" s="364"/>
    </row>
    <row r="50" spans="3:16" ht="11.25" hidden="1" customHeight="1" outlineLevel="3" x14ac:dyDescent="0.2">
      <c r="C50" s="37" t="str">
        <f>'Lead PL'!C46</f>
        <v>Dummy 2</v>
      </c>
      <c r="D50" s="37" t="str">
        <f>'Lead PL'!D46</f>
        <v>Dummy 2</v>
      </c>
      <c r="E50" s="129"/>
      <c r="F50" s="160">
        <f t="shared" si="0"/>
        <v>0</v>
      </c>
      <c r="G50" s="36"/>
      <c r="H50" s="81" t="str">
        <f t="shared" si="1"/>
        <v>n/a</v>
      </c>
      <c r="I50" s="36"/>
      <c r="J50" s="129"/>
      <c r="K50" s="160">
        <f t="shared" si="2"/>
        <v>0</v>
      </c>
      <c r="L50" s="128"/>
      <c r="M50" s="81" t="str">
        <f t="shared" si="3"/>
        <v>n/a</v>
      </c>
      <c r="P50" s="364"/>
    </row>
    <row r="51" spans="3:16" ht="11.25" hidden="1" customHeight="1" outlineLevel="3" x14ac:dyDescent="0.2">
      <c r="C51" s="42" t="str">
        <f>'Lead PL'!C47</f>
        <v>Dummy 3</v>
      </c>
      <c r="D51" s="42" t="str">
        <f>'Lead PL'!D47</f>
        <v>Dummy 3</v>
      </c>
      <c r="E51" s="135"/>
      <c r="F51" s="175">
        <f t="shared" si="0"/>
        <v>0</v>
      </c>
      <c r="G51" s="127"/>
      <c r="H51" s="41" t="str">
        <f t="shared" si="1"/>
        <v>n/a</v>
      </c>
      <c r="I51" s="127"/>
      <c r="J51" s="135"/>
      <c r="K51" s="175">
        <f t="shared" si="2"/>
        <v>0</v>
      </c>
      <c r="L51" s="134"/>
      <c r="M51" s="41" t="str">
        <f t="shared" si="3"/>
        <v>n/a</v>
      </c>
      <c r="P51" s="364"/>
    </row>
    <row r="52" spans="3:16" ht="11.25" hidden="1" customHeight="1" outlineLevel="1" collapsed="1" x14ac:dyDescent="0.2">
      <c r="C52" s="257" t="str">
        <f>'Lead PL'!C48</f>
        <v>EBIT</v>
      </c>
      <c r="D52" s="257" t="str">
        <f>'Lead PL'!D48</f>
        <v>EBIT</v>
      </c>
      <c r="E52" s="140">
        <f>SUM(E47:E51)</f>
        <v>6.552030000002901</v>
      </c>
      <c r="F52" s="177">
        <f t="shared" si="0"/>
        <v>1438.0690299999974</v>
      </c>
      <c r="G52" s="141">
        <f>SUM(G47:G51)</f>
        <v>1444.6210600000004</v>
      </c>
      <c r="H52" s="244">
        <f t="shared" si="1"/>
        <v>4.5354662073131477E-3</v>
      </c>
      <c r="I52" s="256"/>
      <c r="J52" s="140">
        <f>SUM(J47:J51)</f>
        <v>1230.1546700000024</v>
      </c>
      <c r="K52" s="177">
        <f t="shared" si="2"/>
        <v>-1230.1546700000024</v>
      </c>
      <c r="L52" s="139">
        <f>SUM(L47:L51)</f>
        <v>0</v>
      </c>
      <c r="M52" s="244" t="str">
        <f t="shared" si="3"/>
        <v>n/a</v>
      </c>
    </row>
    <row r="53" spans="3:16" ht="11.25" hidden="1" customHeight="1" outlineLevel="2" x14ac:dyDescent="0.2">
      <c r="C53" s="138" t="str">
        <f>'Lead PL'!C49</f>
        <v>Beteiligungsergebnis</v>
      </c>
      <c r="D53" s="37" t="str">
        <f>'Lead PL'!D49</f>
        <v>Investment income</v>
      </c>
      <c r="E53" s="129">
        <f>-SUMIF('Trial Balance (Susa)'!$D:$D,"*"&amp;$P53&amp;"*",'Trial Balance (Susa)'!AE:AE)/1000</f>
        <v>0</v>
      </c>
      <c r="F53" s="160">
        <f t="shared" si="0"/>
        <v>0</v>
      </c>
      <c r="G53" s="36">
        <f>'Lead PL'!H49</f>
        <v>0</v>
      </c>
      <c r="H53" s="81" t="str">
        <f t="shared" si="1"/>
        <v>n/a</v>
      </c>
      <c r="I53" s="36"/>
      <c r="J53" s="129">
        <f>-SUMIF('Trial Balance (Susa)'!$D:$D,"*"&amp;$P53&amp;"*",'Trial Balance (Susa)'!AQ:AQ)/1000</f>
        <v>0</v>
      </c>
      <c r="K53" s="160">
        <f t="shared" si="2"/>
        <v>0</v>
      </c>
      <c r="L53" s="128"/>
      <c r="M53" s="81" t="str">
        <f t="shared" si="3"/>
        <v>n/a</v>
      </c>
      <c r="P53" s="364" t="s">
        <v>687</v>
      </c>
    </row>
    <row r="54" spans="3:16" ht="11.25" hidden="1" customHeight="1" outlineLevel="2" x14ac:dyDescent="0.2">
      <c r="C54" s="138" t="str">
        <f>'Lead PL'!C50</f>
        <v>Zinserträge</v>
      </c>
      <c r="D54" s="37" t="str">
        <f>'Lead PL'!D50</f>
        <v>Interest income</v>
      </c>
      <c r="E54" s="129">
        <f>-SUMIF('Trial Balance (Susa)'!$D:$D,"*"&amp;$P54&amp;"*",'Trial Balance (Susa)'!AE:AE)/1000</f>
        <v>3.1324200000000002</v>
      </c>
      <c r="F54" s="160">
        <f t="shared" si="0"/>
        <v>2.2399999999995757E-3</v>
      </c>
      <c r="G54" s="36">
        <f>'Lead PL'!H50</f>
        <v>3.1346599999999998</v>
      </c>
      <c r="H54" s="81">
        <f t="shared" si="1"/>
        <v>0.99928540894387285</v>
      </c>
      <c r="I54" s="36"/>
      <c r="J54" s="129">
        <f>-SUMIF('Trial Balance (Susa)'!$D:$D,"*"&amp;$P54&amp;"*",'Trial Balance (Susa)'!AQ:AQ)/1000</f>
        <v>2.2062600000000003</v>
      </c>
      <c r="K54" s="160">
        <f t="shared" si="2"/>
        <v>-2.2062600000000003</v>
      </c>
      <c r="L54" s="128"/>
      <c r="M54" s="81" t="str">
        <f t="shared" si="3"/>
        <v>n/a</v>
      </c>
      <c r="P54" s="364" t="s">
        <v>689</v>
      </c>
    </row>
    <row r="55" spans="3:16" ht="11.25" hidden="1" customHeight="1" outlineLevel="2" x14ac:dyDescent="0.2">
      <c r="C55" s="138" t="str">
        <f>'Lead PL'!C51</f>
        <v>Zinsaufwendungen</v>
      </c>
      <c r="D55" s="37" t="str">
        <f>'Lead PL'!D51</f>
        <v>Interest expenses</v>
      </c>
      <c r="E55" s="129">
        <f>-SUMIF('Trial Balance (Susa)'!$D:$D,"*"&amp;$P55&amp;"*",'Trial Balance (Susa)'!AE:AE)/1000</f>
        <v>0</v>
      </c>
      <c r="F55" s="160">
        <f t="shared" si="0"/>
        <v>-3.5065200000000001</v>
      </c>
      <c r="G55" s="36">
        <f>'Lead PL'!H51</f>
        <v>-3.5065200000000001</v>
      </c>
      <c r="H55" s="81">
        <f t="shared" si="1"/>
        <v>0</v>
      </c>
      <c r="I55" s="36"/>
      <c r="J55" s="129">
        <f>-SUMIF('Trial Balance (Susa)'!$D:$D,"*"&amp;$P55&amp;"*",'Trial Balance (Susa)'!AQ:AQ)/1000</f>
        <v>-0.21145</v>
      </c>
      <c r="K55" s="160">
        <f t="shared" si="2"/>
        <v>0.21145</v>
      </c>
      <c r="L55" s="128"/>
      <c r="M55" s="81" t="str">
        <f t="shared" si="3"/>
        <v>n/a</v>
      </c>
      <c r="P55" s="364" t="s">
        <v>696</v>
      </c>
    </row>
    <row r="56" spans="3:16" ht="10.9" hidden="1" customHeight="1" outlineLevel="3" x14ac:dyDescent="0.2">
      <c r="C56" s="138" t="str">
        <f>'Lead PL'!C52</f>
        <v>Abschreibungen auf Finanzanlagen</v>
      </c>
      <c r="D56" s="37" t="str">
        <f>'Lead PL'!D52</f>
        <v>Abschreibungn auf Finanzanlagen</v>
      </c>
      <c r="E56" s="129">
        <f>-SUMIF('Trial Balance (Susa)'!$D:$D,"*"&amp;$P56&amp;"*",'Trial Balance (Susa)'!AE:AE)/1000</f>
        <v>0</v>
      </c>
      <c r="F56" s="160">
        <f t="shared" si="0"/>
        <v>-4.0732900000000001</v>
      </c>
      <c r="G56" s="36">
        <f>'Lead PL'!H52</f>
        <v>-4.0732900000000001</v>
      </c>
      <c r="H56" s="81">
        <f t="shared" si="1"/>
        <v>0</v>
      </c>
      <c r="I56" s="36"/>
      <c r="J56" s="129">
        <f>-SUMIF('Trial Balance (Susa)'!$D:$D,"*"&amp;$P56&amp;"*",'Trial Balance (Susa)'!AQ:AQ)/1000</f>
        <v>0</v>
      </c>
      <c r="K56" s="160">
        <f t="shared" si="2"/>
        <v>0</v>
      </c>
      <c r="L56" s="128"/>
      <c r="M56" s="81" t="str">
        <f t="shared" si="3"/>
        <v>n/a</v>
      </c>
      <c r="P56" s="364" t="s">
        <v>2407</v>
      </c>
    </row>
    <row r="57" spans="3:16" ht="11.25" hidden="1" customHeight="1" outlineLevel="3" x14ac:dyDescent="0.2">
      <c r="C57" s="138" t="str">
        <f>'Lead PL'!C53</f>
        <v>Dummy 2</v>
      </c>
      <c r="D57" s="37" t="str">
        <f>'Lead PL'!D53</f>
        <v>Dummy 2</v>
      </c>
      <c r="E57" s="129"/>
      <c r="F57" s="160">
        <f t="shared" si="0"/>
        <v>0</v>
      </c>
      <c r="G57" s="36"/>
      <c r="H57" s="81" t="str">
        <f t="shared" si="1"/>
        <v>n/a</v>
      </c>
      <c r="I57" s="36"/>
      <c r="J57" s="129"/>
      <c r="K57" s="160">
        <f t="shared" si="2"/>
        <v>0</v>
      </c>
      <c r="L57" s="128"/>
      <c r="M57" s="81" t="str">
        <f t="shared" si="3"/>
        <v>n/a</v>
      </c>
      <c r="P57" s="364"/>
    </row>
    <row r="58" spans="3:16" ht="11.25" hidden="1" customHeight="1" outlineLevel="3" x14ac:dyDescent="0.2">
      <c r="C58" s="138" t="str">
        <f>'Lead PL'!C54</f>
        <v>Dummy 3</v>
      </c>
      <c r="D58" s="37" t="str">
        <f>'Lead PL'!D54</f>
        <v>Dummy 3</v>
      </c>
      <c r="E58" s="129"/>
      <c r="F58" s="160">
        <f t="shared" si="0"/>
        <v>0</v>
      </c>
      <c r="G58" s="36"/>
      <c r="H58" s="81" t="str">
        <f t="shared" si="1"/>
        <v>n/a</v>
      </c>
      <c r="I58" s="36"/>
      <c r="J58" s="129"/>
      <c r="K58" s="160">
        <f t="shared" si="2"/>
        <v>0</v>
      </c>
      <c r="L58" s="128"/>
      <c r="M58" s="81" t="str">
        <f t="shared" si="3"/>
        <v>n/a</v>
      </c>
      <c r="P58" s="364"/>
    </row>
    <row r="59" spans="3:16" ht="11.25" hidden="1" customHeight="1" outlineLevel="1" collapsed="1" x14ac:dyDescent="0.2">
      <c r="C59" s="42" t="str">
        <f>'Lead PL'!C55</f>
        <v>Finanzergebnis</v>
      </c>
      <c r="D59" s="42" t="str">
        <f>'Lead PL'!D55</f>
        <v>Financial result</v>
      </c>
      <c r="E59" s="135">
        <f>SUM(E53:E58)</f>
        <v>3.1324200000000002</v>
      </c>
      <c r="F59" s="175">
        <f t="shared" si="0"/>
        <v>-7.5775699999999997</v>
      </c>
      <c r="G59" s="127">
        <f>SUM(G53:G58)</f>
        <v>-4.4451499999999999</v>
      </c>
      <c r="H59" s="41">
        <f t="shared" si="1"/>
        <v>-0.70468263163222844</v>
      </c>
      <c r="I59" s="127"/>
      <c r="J59" s="135">
        <f>SUM(J53:J58)</f>
        <v>1.9948100000000004</v>
      </c>
      <c r="K59" s="175">
        <f t="shared" si="2"/>
        <v>-1.9948100000000004</v>
      </c>
      <c r="L59" s="134">
        <f>SUM(L53:L58)</f>
        <v>0</v>
      </c>
      <c r="M59" s="41" t="str">
        <f t="shared" si="3"/>
        <v>n/a</v>
      </c>
    </row>
    <row r="60" spans="3:16" ht="11.25" hidden="1" customHeight="1" outlineLevel="1" x14ac:dyDescent="0.2">
      <c r="C60" s="257" t="str">
        <f>'Lead PL'!C56</f>
        <v>EBT</v>
      </c>
      <c r="D60" s="257" t="str">
        <f>'Lead PL'!D56</f>
        <v>EBT</v>
      </c>
      <c r="E60" s="140">
        <f>E59+E52</f>
        <v>9.6844500000029008</v>
      </c>
      <c r="F60" s="177">
        <f t="shared" si="0"/>
        <v>1430.4914599999975</v>
      </c>
      <c r="G60" s="141">
        <f>G59+G52</f>
        <v>1440.1759100000004</v>
      </c>
      <c r="H60" s="244">
        <f t="shared" si="1"/>
        <v>6.7244910380447193E-3</v>
      </c>
      <c r="I60" s="256"/>
      <c r="J60" s="140">
        <f>J59+J52</f>
        <v>1232.1494800000023</v>
      </c>
      <c r="K60" s="177">
        <f t="shared" si="2"/>
        <v>-1232.1494800000023</v>
      </c>
      <c r="L60" s="139">
        <f>L59+L52</f>
        <v>0</v>
      </c>
      <c r="M60" s="244" t="str">
        <f t="shared" si="3"/>
        <v>n/a</v>
      </c>
    </row>
    <row r="61" spans="3:16" ht="11.25" hidden="1" customHeight="1" outlineLevel="1" x14ac:dyDescent="0.2">
      <c r="C61" s="37" t="str">
        <f>'Lead PL'!C57</f>
        <v>Ertragssteuern</v>
      </c>
      <c r="D61" s="37" t="str">
        <f>'Lead PL'!D57</f>
        <v>Income taxes</v>
      </c>
      <c r="E61" s="129">
        <f>-SUMIF('Trial Balance (Susa)'!$D:$D,"*"&amp;$P61&amp;"*",'Trial Balance (Susa)'!AE:AE)/1000</f>
        <v>-384.73909999999995</v>
      </c>
      <c r="F61" s="160">
        <f t="shared" si="0"/>
        <v>-57.382510000000025</v>
      </c>
      <c r="G61" s="36">
        <f>'Lead PL'!H57</f>
        <v>-442.12160999999998</v>
      </c>
      <c r="H61" s="81">
        <f t="shared" si="1"/>
        <v>0.87021102632825387</v>
      </c>
      <c r="I61" s="36"/>
      <c r="J61" s="129">
        <f>-SUMIF('Trial Balance (Susa)'!$D:$D,"*"&amp;$P61&amp;"*",'Trial Balance (Susa)'!AQ:AQ)/1000</f>
        <v>-333.51970999999998</v>
      </c>
      <c r="K61" s="160">
        <f t="shared" si="2"/>
        <v>333.51970999999998</v>
      </c>
      <c r="L61" s="128"/>
      <c r="M61" s="81" t="str">
        <f t="shared" si="3"/>
        <v>n/a</v>
      </c>
      <c r="P61" s="364" t="s">
        <v>698</v>
      </c>
    </row>
    <row r="62" spans="3:16" ht="11.25" hidden="1" customHeight="1" outlineLevel="1" x14ac:dyDescent="0.2">
      <c r="C62" s="42" t="str">
        <f>'Lead PL'!C58</f>
        <v>Sonstige Steuern</v>
      </c>
      <c r="D62" s="42" t="str">
        <f>'Lead PL'!D58</f>
        <v>Other taxes</v>
      </c>
      <c r="E62" s="129">
        <f>-SUMIF('Trial Balance (Susa)'!$D:$D,"*"&amp;$P62&amp;"*",'Trial Balance (Susa)'!AE:AE)/1000</f>
        <v>-2.972</v>
      </c>
      <c r="F62" s="175">
        <f t="shared" si="0"/>
        <v>-2.9999999999999805E-2</v>
      </c>
      <c r="G62" s="36">
        <f>'Lead PL'!H58</f>
        <v>-3.0019999999999998</v>
      </c>
      <c r="H62" s="41">
        <f t="shared" si="1"/>
        <v>0.9900066622251833</v>
      </c>
      <c r="I62" s="127"/>
      <c r="J62" s="129">
        <f>-SUMIF('Trial Balance (Susa)'!$D:$D,"*"&amp;$P62&amp;"*",'Trial Balance (Susa)'!AQ:AQ)/1000</f>
        <v>-2.484</v>
      </c>
      <c r="K62" s="175">
        <f t="shared" si="2"/>
        <v>2.484</v>
      </c>
      <c r="L62" s="134"/>
      <c r="M62" s="41" t="str">
        <f t="shared" si="3"/>
        <v>n/a</v>
      </c>
      <c r="P62" s="364" t="s">
        <v>699</v>
      </c>
    </row>
    <row r="63" spans="3:16" ht="11.25" hidden="1" customHeight="1" outlineLevel="1" x14ac:dyDescent="0.2">
      <c r="C63" s="133" t="str">
        <f>'Lead PL'!C59</f>
        <v>Jahresüberschuss</v>
      </c>
      <c r="D63" s="133" t="str">
        <f>'Lead PL'!D59</f>
        <v>Profit / Loss</v>
      </c>
      <c r="E63" s="146">
        <f>SUM(E60:E62)</f>
        <v>-378.02664999999701</v>
      </c>
      <c r="F63" s="180">
        <f t="shared" si="0"/>
        <v>1373.0789499999976</v>
      </c>
      <c r="G63" s="147">
        <f>SUM(G60:G62)</f>
        <v>995.05230000000051</v>
      </c>
      <c r="H63" s="246">
        <f t="shared" si="1"/>
        <v>-0.37990631246216588</v>
      </c>
      <c r="I63" s="255"/>
      <c r="J63" s="146">
        <f>SUM(J60:J62)</f>
        <v>896.14577000000224</v>
      </c>
      <c r="K63" s="180">
        <f t="shared" si="2"/>
        <v>-896.14577000000224</v>
      </c>
      <c r="L63" s="145">
        <f>SUM(L60:L62)</f>
        <v>0</v>
      </c>
      <c r="M63" s="246" t="str">
        <f t="shared" si="3"/>
        <v>n/a</v>
      </c>
    </row>
    <row r="64" spans="3:16" ht="11.25" customHeight="1" collapsed="1" x14ac:dyDescent="0.2">
      <c r="C64" s="37"/>
      <c r="D64" s="37"/>
      <c r="E64" s="129"/>
      <c r="F64" s="160"/>
      <c r="G64" s="36"/>
      <c r="H64" s="81"/>
      <c r="I64" s="36"/>
      <c r="J64" s="129"/>
      <c r="K64" s="160"/>
      <c r="L64" s="128"/>
      <c r="M64" s="81"/>
      <c r="P64" s="364"/>
    </row>
    <row r="65" spans="3:13" ht="11.25" customHeight="1" x14ac:dyDescent="0.2">
      <c r="C65" s="90" t="str">
        <f>"In % der "&amp;C28</f>
        <v>In % der Gesamtleistung</v>
      </c>
      <c r="D65" s="90" t="str">
        <f>"In % of "&amp;D28</f>
        <v>In % of Total output</v>
      </c>
      <c r="E65" s="129"/>
      <c r="F65" s="160"/>
      <c r="G65" s="36"/>
      <c r="H65" s="36"/>
      <c r="I65" s="36"/>
      <c r="J65" s="129"/>
      <c r="K65" s="160"/>
      <c r="L65" s="78"/>
      <c r="M65" s="254"/>
    </row>
    <row r="66" spans="3:13" ht="11.25" customHeight="1" x14ac:dyDescent="0.2">
      <c r="C66" s="82" t="str">
        <f>C12</f>
        <v>Umsatzerlöse</v>
      </c>
      <c r="D66" s="82" t="str">
        <f>D12</f>
        <v>Revenues</v>
      </c>
      <c r="E66" s="79">
        <f>IFERROR(E12/E$28,"n/a")</f>
        <v>0.99144003440817585</v>
      </c>
      <c r="F66" s="80">
        <f>IFERROR(F12/F$28,"n/a")</f>
        <v>0.94224598233008672</v>
      </c>
      <c r="G66" s="81">
        <f>IFERROR(G12/G$28,"n/a")</f>
        <v>0.9793780425524351</v>
      </c>
      <c r="H66" s="81"/>
      <c r="I66" s="81"/>
      <c r="J66" s="79">
        <f>IFERROR(J12/J$28,"n/a")</f>
        <v>1</v>
      </c>
      <c r="K66" s="80">
        <f>IFERROR(K12/K$28,"n/a")</f>
        <v>1</v>
      </c>
      <c r="L66" s="78" t="str">
        <f>IFERROR(L12/L$28,"n/a")</f>
        <v>n/a</v>
      </c>
      <c r="M66" s="254"/>
    </row>
    <row r="67" spans="3:13" ht="11.25" customHeight="1" x14ac:dyDescent="0.2">
      <c r="C67" s="82" t="str">
        <f>C23</f>
        <v>Bestandsveränderung</v>
      </c>
      <c r="D67" s="82" t="str">
        <f>D23</f>
        <v>Change in inventory</v>
      </c>
      <c r="E67" s="79">
        <f>IFERROR(E23/E$28,"n/a")</f>
        <v>8.5599655918242087E-3</v>
      </c>
      <c r="F67" s="80">
        <f>IFERROR(F23/F$28,"n/a")</f>
        <v>5.7754017669913588E-2</v>
      </c>
      <c r="G67" s="81">
        <f>IFERROR(G23/G$28,"n/a")</f>
        <v>2.0621957447564978E-2</v>
      </c>
      <c r="H67" s="81"/>
      <c r="I67" s="81"/>
      <c r="J67" s="79">
        <f>IFERROR(J23/J$28,"n/a")</f>
        <v>0</v>
      </c>
      <c r="K67" s="80">
        <f>IFERROR(K23/K$28,"n/a")</f>
        <v>0</v>
      </c>
      <c r="L67" s="78" t="str">
        <f>IFERROR(L23/L$28,"n/a")</f>
        <v>n/a</v>
      </c>
      <c r="M67" s="254"/>
    </row>
    <row r="68" spans="3:13" ht="11.25" hidden="1" customHeight="1" outlineLevel="2" x14ac:dyDescent="0.2">
      <c r="C68" s="82" t="str">
        <f>C24</f>
        <v>Aktivierte Eigenleistungen</v>
      </c>
      <c r="D68" s="82" t="str">
        <f>D24</f>
        <v>Own work capitalized</v>
      </c>
      <c r="E68" s="79">
        <f>IFERROR(E25/E$28,"n/a")</f>
        <v>0</v>
      </c>
      <c r="F68" s="80">
        <f>IFERROR(F25/F$28,"n/a")</f>
        <v>0</v>
      </c>
      <c r="G68" s="81">
        <f>IFERROR(G25/G$28,"n/a")</f>
        <v>0</v>
      </c>
      <c r="H68" s="81"/>
      <c r="I68" s="81"/>
      <c r="J68" s="79">
        <f>IFERROR(J25/J$28,"n/a")</f>
        <v>0</v>
      </c>
      <c r="K68" s="80">
        <f>IFERROR(K25/K$28,"n/a")</f>
        <v>0</v>
      </c>
      <c r="L68" s="78" t="str">
        <f>IFERROR(L25/L$28,"n/a")</f>
        <v>n/a</v>
      </c>
      <c r="M68" s="254"/>
    </row>
    <row r="69" spans="3:13" ht="11.25" hidden="1" customHeight="1" outlineLevel="2" x14ac:dyDescent="0.2">
      <c r="C69" s="82" t="str">
        <f t="shared" ref="C69:D77" si="8">C26</f>
        <v>Dummy 2</v>
      </c>
      <c r="D69" s="82" t="str">
        <f t="shared" si="8"/>
        <v>Dummy 2</v>
      </c>
      <c r="E69" s="79">
        <f t="shared" ref="E69:G78" si="9">IFERROR(E26/E$28,"n/a")</f>
        <v>0</v>
      </c>
      <c r="F69" s="80">
        <f t="shared" si="9"/>
        <v>0</v>
      </c>
      <c r="G69" s="81">
        <f t="shared" si="9"/>
        <v>0</v>
      </c>
      <c r="H69" s="81"/>
      <c r="I69" s="81"/>
      <c r="J69" s="79">
        <f t="shared" ref="J69:L78" si="10">IFERROR(J26/J$28,"n/a")</f>
        <v>0</v>
      </c>
      <c r="K69" s="80">
        <f t="shared" si="10"/>
        <v>0</v>
      </c>
      <c r="L69" s="78" t="str">
        <f t="shared" si="10"/>
        <v>n/a</v>
      </c>
      <c r="M69" s="254"/>
    </row>
    <row r="70" spans="3:13" ht="11.25" hidden="1" customHeight="1" outlineLevel="2" x14ac:dyDescent="0.2">
      <c r="C70" s="82" t="str">
        <f t="shared" si="8"/>
        <v>Dummy 3</v>
      </c>
      <c r="D70" s="82" t="str">
        <f t="shared" si="8"/>
        <v>Dummy 3</v>
      </c>
      <c r="E70" s="79">
        <f t="shared" si="9"/>
        <v>0</v>
      </c>
      <c r="F70" s="80">
        <f t="shared" si="9"/>
        <v>0</v>
      </c>
      <c r="G70" s="81">
        <f t="shared" si="9"/>
        <v>0</v>
      </c>
      <c r="H70" s="81"/>
      <c r="I70" s="81"/>
      <c r="J70" s="79">
        <f t="shared" si="10"/>
        <v>0</v>
      </c>
      <c r="K70" s="80">
        <f t="shared" si="10"/>
        <v>0</v>
      </c>
      <c r="L70" s="78" t="str">
        <f t="shared" si="10"/>
        <v>n/a</v>
      </c>
      <c r="M70" s="254"/>
    </row>
    <row r="71" spans="3:13" ht="11.25" customHeight="1" collapsed="1" x14ac:dyDescent="0.2">
      <c r="C71" s="88" t="str">
        <f t="shared" si="8"/>
        <v>Gesamtleistung</v>
      </c>
      <c r="D71" s="88" t="str">
        <f t="shared" si="8"/>
        <v>Total output</v>
      </c>
      <c r="E71" s="85">
        <f t="shared" si="9"/>
        <v>1</v>
      </c>
      <c r="F71" s="86">
        <f t="shared" si="9"/>
        <v>1</v>
      </c>
      <c r="G71" s="87">
        <f t="shared" si="9"/>
        <v>1</v>
      </c>
      <c r="H71" s="81"/>
      <c r="I71" s="81"/>
      <c r="J71" s="85">
        <f t="shared" si="10"/>
        <v>1</v>
      </c>
      <c r="K71" s="86">
        <f t="shared" si="10"/>
        <v>1</v>
      </c>
      <c r="L71" s="84" t="str">
        <f t="shared" si="10"/>
        <v>n/a</v>
      </c>
      <c r="M71" s="254"/>
    </row>
    <row r="72" spans="3:13" ht="11.25" customHeight="1" x14ac:dyDescent="0.2">
      <c r="C72" s="82" t="str">
        <f t="shared" si="8"/>
        <v>Materialaufwand</v>
      </c>
      <c r="D72" s="82" t="str">
        <f t="shared" si="8"/>
        <v>Cost of materials</v>
      </c>
      <c r="E72" s="79">
        <f t="shared" si="9"/>
        <v>-0.60097696271944356</v>
      </c>
      <c r="F72" s="80">
        <f t="shared" si="9"/>
        <v>-0.16337711022186885</v>
      </c>
      <c r="G72" s="81">
        <f t="shared" si="9"/>
        <v>-0.49368094553995961</v>
      </c>
      <c r="H72" s="81"/>
      <c r="I72" s="81"/>
      <c r="J72" s="79">
        <f t="shared" si="10"/>
        <v>-0.45725362179664852</v>
      </c>
      <c r="K72" s="80">
        <f t="shared" si="10"/>
        <v>-0.45725362179664852</v>
      </c>
      <c r="L72" s="78" t="str">
        <f t="shared" si="10"/>
        <v>n/a</v>
      </c>
      <c r="M72" s="254"/>
    </row>
    <row r="73" spans="3:13" ht="11.25" hidden="1" customHeight="1" outlineLevel="2" x14ac:dyDescent="0.2">
      <c r="C73" s="82" t="str">
        <f t="shared" si="8"/>
        <v>RHB-Aufwand</v>
      </c>
      <c r="D73" s="82" t="str">
        <f t="shared" si="8"/>
        <v>Dummy 1</v>
      </c>
      <c r="E73" s="79">
        <f t="shared" si="9"/>
        <v>0</v>
      </c>
      <c r="F73" s="80">
        <f t="shared" si="9"/>
        <v>0</v>
      </c>
      <c r="G73" s="81">
        <f t="shared" si="9"/>
        <v>0</v>
      </c>
      <c r="H73" s="81"/>
      <c r="I73" s="81"/>
      <c r="J73" s="79">
        <f t="shared" si="10"/>
        <v>0</v>
      </c>
      <c r="K73" s="80">
        <f t="shared" si="10"/>
        <v>0</v>
      </c>
      <c r="L73" s="78" t="str">
        <f t="shared" si="10"/>
        <v>n/a</v>
      </c>
      <c r="M73" s="254"/>
    </row>
    <row r="74" spans="3:13" ht="11.25" hidden="1" customHeight="1" outlineLevel="2" x14ac:dyDescent="0.2">
      <c r="C74" s="82" t="str">
        <f t="shared" si="8"/>
        <v>Fremdleistungen</v>
      </c>
      <c r="D74" s="82" t="str">
        <f t="shared" si="8"/>
        <v>Dummy 2</v>
      </c>
      <c r="E74" s="79">
        <f t="shared" si="9"/>
        <v>0</v>
      </c>
      <c r="F74" s="80">
        <f t="shared" si="9"/>
        <v>0</v>
      </c>
      <c r="G74" s="81">
        <f t="shared" si="9"/>
        <v>0</v>
      </c>
      <c r="H74" s="81"/>
      <c r="I74" s="81"/>
      <c r="J74" s="79">
        <f t="shared" si="10"/>
        <v>0</v>
      </c>
      <c r="K74" s="80">
        <f t="shared" si="10"/>
        <v>0</v>
      </c>
      <c r="L74" s="78" t="str">
        <f t="shared" si="10"/>
        <v>n/a</v>
      </c>
      <c r="M74" s="254"/>
    </row>
    <row r="75" spans="3:13" ht="11.25" hidden="1" customHeight="1" outlineLevel="2" x14ac:dyDescent="0.2">
      <c r="C75" s="82" t="str">
        <f t="shared" si="8"/>
        <v>Dummy 3</v>
      </c>
      <c r="D75" s="82" t="str">
        <f t="shared" si="8"/>
        <v>Dummy 3</v>
      </c>
      <c r="E75" s="79">
        <f t="shared" si="9"/>
        <v>0</v>
      </c>
      <c r="F75" s="80">
        <f t="shared" si="9"/>
        <v>0</v>
      </c>
      <c r="G75" s="81">
        <f t="shared" si="9"/>
        <v>0</v>
      </c>
      <c r="H75" s="81"/>
      <c r="I75" s="81"/>
      <c r="J75" s="79">
        <f t="shared" si="10"/>
        <v>0</v>
      </c>
      <c r="K75" s="80">
        <f t="shared" si="10"/>
        <v>0</v>
      </c>
      <c r="L75" s="78" t="str">
        <f t="shared" si="10"/>
        <v>n/a</v>
      </c>
      <c r="M75" s="254"/>
    </row>
    <row r="76" spans="3:13" ht="11.25" customHeight="1" collapsed="1" x14ac:dyDescent="0.2">
      <c r="C76" s="88" t="str">
        <f t="shared" si="8"/>
        <v>Rohergebnis</v>
      </c>
      <c r="D76" s="88" t="str">
        <f t="shared" si="8"/>
        <v>Gross profit</v>
      </c>
      <c r="E76" s="85">
        <f t="shared" si="9"/>
        <v>0.39902303728055644</v>
      </c>
      <c r="F76" s="86">
        <f t="shared" si="9"/>
        <v>0.83662288977813115</v>
      </c>
      <c r="G76" s="87">
        <f t="shared" si="9"/>
        <v>0.50631905446004044</v>
      </c>
      <c r="H76" s="81"/>
      <c r="I76" s="81"/>
      <c r="J76" s="85">
        <f t="shared" si="10"/>
        <v>0.54274637820335148</v>
      </c>
      <c r="K76" s="86">
        <f t="shared" si="10"/>
        <v>0.54274637820335148</v>
      </c>
      <c r="L76" s="84" t="str">
        <f t="shared" si="10"/>
        <v>n/a</v>
      </c>
      <c r="M76" s="254"/>
    </row>
    <row r="77" spans="3:13" ht="11.25" customHeight="1" x14ac:dyDescent="0.2">
      <c r="C77" s="82" t="str">
        <f t="shared" si="8"/>
        <v>Personalaufwand</v>
      </c>
      <c r="D77" s="82" t="str">
        <f t="shared" si="8"/>
        <v>Personnel expenses</v>
      </c>
      <c r="E77" s="79">
        <f t="shared" si="9"/>
        <v>-0.26285147752852212</v>
      </c>
      <c r="F77" s="80">
        <f t="shared" si="9"/>
        <v>-0.2750905574230238</v>
      </c>
      <c r="G77" s="81">
        <f t="shared" si="9"/>
        <v>-0.26585240296102969</v>
      </c>
      <c r="H77" s="81"/>
      <c r="I77" s="81"/>
      <c r="J77" s="79">
        <f t="shared" si="10"/>
        <v>-0.28000966949672706</v>
      </c>
      <c r="K77" s="80">
        <f t="shared" si="10"/>
        <v>-0.28000966949672706</v>
      </c>
      <c r="L77" s="78" t="str">
        <f t="shared" si="10"/>
        <v>n/a</v>
      </c>
      <c r="M77" s="254"/>
    </row>
    <row r="78" spans="3:13" ht="11.25" customHeight="1" x14ac:dyDescent="0.2">
      <c r="C78" s="82" t="str">
        <f t="shared" ref="C78:D89" si="11">C35</f>
        <v>Miet- und Grundstücksaufwendungen</v>
      </c>
      <c r="D78" s="82" t="str">
        <f t="shared" si="11"/>
        <v>Premise costs</v>
      </c>
      <c r="E78" s="79">
        <f t="shared" si="9"/>
        <v>-2.4675184522230616E-2</v>
      </c>
      <c r="F78" s="80">
        <f t="shared" si="9"/>
        <v>-2.5451736383480004E-2</v>
      </c>
      <c r="G78" s="81">
        <f t="shared" si="9"/>
        <v>-2.4865588886788387E-2</v>
      </c>
      <c r="H78" s="81"/>
      <c r="I78" s="81"/>
      <c r="J78" s="79">
        <f t="shared" si="10"/>
        <v>-2.292412564486182E-2</v>
      </c>
      <c r="K78" s="80">
        <f t="shared" si="10"/>
        <v>-2.292412564486182E-2</v>
      </c>
      <c r="L78" s="78" t="str">
        <f t="shared" si="10"/>
        <v>n/a</v>
      </c>
      <c r="M78" s="254"/>
    </row>
    <row r="79" spans="3:13" ht="11.25" customHeight="1" x14ac:dyDescent="0.2">
      <c r="C79" s="82" t="str">
        <f t="shared" si="11"/>
        <v>Reparaturen und Instandhaltungen</v>
      </c>
      <c r="D79" s="82" t="str">
        <f t="shared" si="11"/>
        <v>Repair and maintenance</v>
      </c>
      <c r="E79" s="79">
        <f t="shared" ref="E79:G87" si="12">IFERROR(E36/E$28,"n/a")</f>
        <v>-7.4809682338049079E-3</v>
      </c>
      <c r="F79" s="80">
        <f t="shared" si="12"/>
        <v>-8.9328996063382637E-3</v>
      </c>
      <c r="G79" s="81">
        <f t="shared" si="12"/>
        <v>-7.8369703041932526E-3</v>
      </c>
      <c r="H79" s="81"/>
      <c r="I79" s="81"/>
      <c r="J79" s="79">
        <f t="shared" ref="J79:L87" si="13">IFERROR(J36/J$28,"n/a")</f>
        <v>-7.0024891573075955E-3</v>
      </c>
      <c r="K79" s="80">
        <f t="shared" si="13"/>
        <v>-7.0024891573075955E-3</v>
      </c>
      <c r="L79" s="78" t="str">
        <f t="shared" si="13"/>
        <v>n/a</v>
      </c>
      <c r="M79" s="254"/>
    </row>
    <row r="80" spans="3:13" ht="11.25" hidden="1" customHeight="1" outlineLevel="1" x14ac:dyDescent="0.2">
      <c r="C80" s="82" t="str">
        <f t="shared" si="11"/>
        <v>Vertriebskosten</v>
      </c>
      <c r="D80" s="82" t="str">
        <f t="shared" si="11"/>
        <v>Sales costs</v>
      </c>
      <c r="E80" s="79">
        <f t="shared" si="12"/>
        <v>0</v>
      </c>
      <c r="F80" s="80">
        <f t="shared" si="12"/>
        <v>0</v>
      </c>
      <c r="G80" s="81">
        <f t="shared" si="12"/>
        <v>0</v>
      </c>
      <c r="H80" s="81"/>
      <c r="I80" s="81"/>
      <c r="J80" s="79">
        <f t="shared" si="13"/>
        <v>0</v>
      </c>
      <c r="K80" s="80">
        <f t="shared" si="13"/>
        <v>0</v>
      </c>
      <c r="L80" s="78" t="str">
        <f t="shared" si="13"/>
        <v>n/a</v>
      </c>
      <c r="M80" s="254"/>
    </row>
    <row r="81" spans="3:13" ht="11.25" customHeight="1" collapsed="1" x14ac:dyDescent="0.2">
      <c r="C81" s="82" t="str">
        <f t="shared" si="11"/>
        <v>Kosten der Warenabgabe</v>
      </c>
      <c r="D81" s="82" t="str">
        <f t="shared" si="11"/>
        <v>Delivery costs</v>
      </c>
      <c r="E81" s="79">
        <f t="shared" si="12"/>
        <v>-1.7281024119948515E-2</v>
      </c>
      <c r="F81" s="80">
        <f t="shared" si="12"/>
        <v>-1.9060039333206779E-2</v>
      </c>
      <c r="G81" s="81">
        <f t="shared" si="12"/>
        <v>-1.7717224556934218E-2</v>
      </c>
      <c r="H81" s="81"/>
      <c r="I81" s="81"/>
      <c r="J81" s="79">
        <f t="shared" si="13"/>
        <v>-2.3610867119717473E-2</v>
      </c>
      <c r="K81" s="80">
        <f t="shared" si="13"/>
        <v>-2.3610867119717473E-2</v>
      </c>
      <c r="L81" s="78" t="str">
        <f t="shared" si="13"/>
        <v>n/a</v>
      </c>
      <c r="M81" s="254"/>
    </row>
    <row r="82" spans="3:13" ht="11.25" customHeight="1" x14ac:dyDescent="0.2">
      <c r="C82" s="82" t="str">
        <f t="shared" si="11"/>
        <v>Fahrzeugkosten</v>
      </c>
      <c r="D82" s="82" t="str">
        <f t="shared" si="11"/>
        <v>Vehicle costs</v>
      </c>
      <c r="E82" s="79">
        <f t="shared" si="12"/>
        <v>-1.4181880950862893E-2</v>
      </c>
      <c r="F82" s="80">
        <f t="shared" si="12"/>
        <v>-1.5336848199487722E-2</v>
      </c>
      <c r="G82" s="81">
        <f t="shared" si="12"/>
        <v>-1.4465069770609759E-2</v>
      </c>
      <c r="H82" s="81"/>
      <c r="I82" s="81"/>
      <c r="J82" s="79">
        <f t="shared" si="13"/>
        <v>-1.4948063490556789E-2</v>
      </c>
      <c r="K82" s="80">
        <f t="shared" si="13"/>
        <v>-1.4948063490556789E-2</v>
      </c>
      <c r="L82" s="78" t="str">
        <f t="shared" si="13"/>
        <v>n/a</v>
      </c>
      <c r="M82" s="254"/>
    </row>
    <row r="83" spans="3:13" ht="11.25" customHeight="1" x14ac:dyDescent="0.2">
      <c r="C83" s="82" t="str">
        <f t="shared" si="11"/>
        <v>Versicherung, Beiträge und Abgaben</v>
      </c>
      <c r="D83" s="82" t="str">
        <f t="shared" si="11"/>
        <v>Insurance, contributions and levies expenses</v>
      </c>
      <c r="E83" s="79">
        <f t="shared" si="12"/>
        <v>-4.2764975541566353E-3</v>
      </c>
      <c r="F83" s="80">
        <f t="shared" si="12"/>
        <v>-3.5421080553714578E-3</v>
      </c>
      <c r="G83" s="81">
        <f t="shared" si="12"/>
        <v>-4.0964310668661179E-3</v>
      </c>
      <c r="H83" s="81"/>
      <c r="I83" s="81"/>
      <c r="J83" s="79">
        <f t="shared" si="13"/>
        <v>-5.4829164120034427E-3</v>
      </c>
      <c r="K83" s="80">
        <f t="shared" si="13"/>
        <v>-5.4829164120034427E-3</v>
      </c>
      <c r="L83" s="78" t="str">
        <f t="shared" si="13"/>
        <v>n/a</v>
      </c>
      <c r="M83" s="254"/>
    </row>
    <row r="84" spans="3:13" ht="11.25" customHeight="1" x14ac:dyDescent="0.2">
      <c r="C84" s="82" t="str">
        <f t="shared" si="11"/>
        <v>Werbe- und Reisekosten</v>
      </c>
      <c r="D84" s="82" t="str">
        <f t="shared" si="11"/>
        <v>Advertising and travel expenses</v>
      </c>
      <c r="E84" s="79">
        <f t="shared" si="12"/>
        <v>-8.1689386010100166E-3</v>
      </c>
      <c r="F84" s="80">
        <f t="shared" si="12"/>
        <v>-1.1800475112914691E-2</v>
      </c>
      <c r="G84" s="81">
        <f t="shared" si="12"/>
        <v>-9.0593625848055942E-3</v>
      </c>
      <c r="H84" s="81"/>
      <c r="I84" s="81"/>
      <c r="J84" s="79">
        <f t="shared" si="13"/>
        <v>-7.4016466572363309E-3</v>
      </c>
      <c r="K84" s="80">
        <f t="shared" si="13"/>
        <v>-7.4016466572363309E-3</v>
      </c>
      <c r="L84" s="78" t="str">
        <f t="shared" si="13"/>
        <v>n/a</v>
      </c>
      <c r="M84" s="254"/>
    </row>
    <row r="85" spans="3:13" ht="11.25" customHeight="1" x14ac:dyDescent="0.2">
      <c r="C85" s="82" t="str">
        <f t="shared" si="11"/>
        <v>Sonstige betriebliche Erträge</v>
      </c>
      <c r="D85" s="82" t="str">
        <f t="shared" si="11"/>
        <v>Other operating income</v>
      </c>
      <c r="E85" s="79">
        <f t="shared" si="12"/>
        <v>1.5648525199312306E-2</v>
      </c>
      <c r="F85" s="80">
        <f t="shared" si="12"/>
        <v>1.5259716225736002E-2</v>
      </c>
      <c r="G85" s="81">
        <f t="shared" si="12"/>
        <v>1.5553192319124437E-2</v>
      </c>
      <c r="H85" s="81"/>
      <c r="I85" s="81"/>
      <c r="J85" s="79">
        <f t="shared" si="13"/>
        <v>1.1381315504766332E-2</v>
      </c>
      <c r="K85" s="80">
        <f t="shared" si="13"/>
        <v>1.1381315504766332E-2</v>
      </c>
      <c r="L85" s="78" t="str">
        <f t="shared" si="13"/>
        <v>n/a</v>
      </c>
      <c r="M85" s="254"/>
    </row>
    <row r="86" spans="3:13" ht="11.25" customHeight="1" x14ac:dyDescent="0.2">
      <c r="C86" s="82" t="str">
        <f t="shared" si="11"/>
        <v>Sonstige betriebliche Aufwendungen</v>
      </c>
      <c r="D86" s="82" t="str">
        <f t="shared" si="11"/>
        <v>Other operating expenses</v>
      </c>
      <c r="E86" s="79">
        <f t="shared" si="12"/>
        <v>-5.7386700232569185E-2</v>
      </c>
      <c r="F86" s="80">
        <f t="shared" si="12"/>
        <v>-0.12716273147788798</v>
      </c>
      <c r="G86" s="81">
        <f t="shared" si="12"/>
        <v>-7.4495230330292261E-2</v>
      </c>
      <c r="H86" s="81"/>
      <c r="I86" s="81"/>
      <c r="J86" s="79">
        <f t="shared" si="13"/>
        <v>-6.7608264624752792E-2</v>
      </c>
      <c r="K86" s="80">
        <f t="shared" si="13"/>
        <v>-6.7608264624752792E-2</v>
      </c>
      <c r="L86" s="78" t="str">
        <f t="shared" si="13"/>
        <v>n/a</v>
      </c>
      <c r="M86" s="254"/>
    </row>
    <row r="87" spans="3:13" ht="11.25" hidden="1" customHeight="1" outlineLevel="1" x14ac:dyDescent="0.2">
      <c r="C87" s="82" t="str">
        <f t="shared" si="11"/>
        <v>Dummy 1</v>
      </c>
      <c r="D87" s="82" t="str">
        <f t="shared" si="11"/>
        <v>Dummy 1</v>
      </c>
      <c r="E87" s="79">
        <f t="shared" si="12"/>
        <v>0</v>
      </c>
      <c r="F87" s="80">
        <f t="shared" si="12"/>
        <v>0</v>
      </c>
      <c r="G87" s="81">
        <f t="shared" si="12"/>
        <v>0</v>
      </c>
      <c r="H87" s="81"/>
      <c r="I87" s="81"/>
      <c r="J87" s="79">
        <f t="shared" si="13"/>
        <v>0</v>
      </c>
      <c r="K87" s="80">
        <f t="shared" si="13"/>
        <v>0</v>
      </c>
      <c r="L87" s="78" t="str">
        <f t="shared" si="13"/>
        <v>n/a</v>
      </c>
      <c r="M87" s="254"/>
    </row>
    <row r="88" spans="3:13" ht="11.25" hidden="1" customHeight="1" outlineLevel="1" x14ac:dyDescent="0.2">
      <c r="C88" s="82" t="str">
        <f t="shared" si="11"/>
        <v>Dummy 2</v>
      </c>
      <c r="D88" s="82" t="str">
        <f t="shared" si="11"/>
        <v>Dummy 2</v>
      </c>
      <c r="E88" s="79">
        <f t="shared" ref="E88:G89" si="14">IFERROR(E45/E$28,"n/a")</f>
        <v>0</v>
      </c>
      <c r="F88" s="80">
        <f t="shared" si="14"/>
        <v>0</v>
      </c>
      <c r="G88" s="81">
        <f t="shared" si="14"/>
        <v>0</v>
      </c>
      <c r="H88" s="81"/>
      <c r="I88" s="81"/>
      <c r="J88" s="79">
        <f t="shared" ref="J88:L89" si="15">IFERROR(J45/J$28,"n/a")</f>
        <v>0</v>
      </c>
      <c r="K88" s="80">
        <f t="shared" si="15"/>
        <v>0</v>
      </c>
      <c r="L88" s="78" t="str">
        <f t="shared" si="15"/>
        <v>n/a</v>
      </c>
      <c r="M88" s="254"/>
    </row>
    <row r="89" spans="3:13" ht="11.25" hidden="1" customHeight="1" outlineLevel="1" x14ac:dyDescent="0.2">
      <c r="C89" s="82" t="str">
        <f t="shared" si="11"/>
        <v>Dummy 3</v>
      </c>
      <c r="D89" s="82" t="str">
        <f t="shared" si="11"/>
        <v>Dummy 3</v>
      </c>
      <c r="E89" s="79">
        <f t="shared" si="14"/>
        <v>0</v>
      </c>
      <c r="F89" s="80">
        <f t="shared" si="14"/>
        <v>0</v>
      </c>
      <c r="G89" s="81">
        <f t="shared" si="14"/>
        <v>0</v>
      </c>
      <c r="H89" s="81"/>
      <c r="I89" s="81"/>
      <c r="J89" s="79">
        <f t="shared" si="15"/>
        <v>0</v>
      </c>
      <c r="K89" s="80">
        <f t="shared" si="15"/>
        <v>0</v>
      </c>
      <c r="L89" s="78" t="str">
        <f t="shared" si="15"/>
        <v>n/a</v>
      </c>
      <c r="M89" s="254"/>
    </row>
    <row r="90" spans="3:13" ht="11.25" customHeight="1" collapsed="1" x14ac:dyDescent="0.2">
      <c r="C90" s="88" t="str">
        <f t="shared" ref="C90:D93" si="16">C47</f>
        <v>EBITDA</v>
      </c>
      <c r="D90" s="88" t="str">
        <f t="shared" si="16"/>
        <v>EBITDA</v>
      </c>
      <c r="E90" s="85">
        <f t="shared" ref="E90:G93" si="17">IFERROR(E47/E$28,"n/a")</f>
        <v>1.8368890736763861E-2</v>
      </c>
      <c r="F90" s="86">
        <f t="shared" si="17"/>
        <v>0.36550521041215656</v>
      </c>
      <c r="G90" s="87">
        <f t="shared" si="17"/>
        <v>0.10348396631764561</v>
      </c>
      <c r="H90" s="81"/>
      <c r="I90" s="81"/>
      <c r="J90" s="85">
        <f t="shared" ref="J90:L93" si="18">IFERROR(J47/J$28,"n/a")</f>
        <v>0.12513965110495448</v>
      </c>
      <c r="K90" s="86">
        <f t="shared" si="18"/>
        <v>0.12513965110495448</v>
      </c>
      <c r="L90" s="84" t="str">
        <f t="shared" si="18"/>
        <v>n/a</v>
      </c>
      <c r="M90" s="254"/>
    </row>
    <row r="91" spans="3:13" ht="11.25" hidden="1" customHeight="1" outlineLevel="1" x14ac:dyDescent="0.2">
      <c r="C91" s="82" t="str">
        <f t="shared" si="16"/>
        <v>Abschreibungen</v>
      </c>
      <c r="D91" s="82" t="str">
        <f t="shared" si="16"/>
        <v>Depreciation</v>
      </c>
      <c r="E91" s="79">
        <f t="shared" si="17"/>
        <v>-1.7858602277789678E-2</v>
      </c>
      <c r="F91" s="80">
        <f t="shared" si="17"/>
        <v>-2.0719214716860196E-2</v>
      </c>
      <c r="G91" s="81">
        <f t="shared" si="17"/>
        <v>-1.8560001786163727E-2</v>
      </c>
      <c r="H91" s="81"/>
      <c r="I91" s="81"/>
      <c r="J91" s="79">
        <f t="shared" si="18"/>
        <v>-1.8130020170345044E-2</v>
      </c>
      <c r="K91" s="80">
        <f t="shared" si="18"/>
        <v>-1.8130020170345044E-2</v>
      </c>
      <c r="L91" s="78" t="str">
        <f t="shared" si="18"/>
        <v>n/a</v>
      </c>
      <c r="M91" s="254"/>
    </row>
    <row r="92" spans="3:13" ht="11.25" hidden="1" customHeight="1" outlineLevel="3" x14ac:dyDescent="0.2">
      <c r="C92" s="82" t="str">
        <f t="shared" si="16"/>
        <v>Dummy 1</v>
      </c>
      <c r="D92" s="82" t="str">
        <f t="shared" si="16"/>
        <v>Dummy 1</v>
      </c>
      <c r="E92" s="79">
        <f t="shared" si="17"/>
        <v>0</v>
      </c>
      <c r="F92" s="80">
        <f t="shared" si="17"/>
        <v>0</v>
      </c>
      <c r="G92" s="81">
        <f t="shared" si="17"/>
        <v>0</v>
      </c>
      <c r="H92" s="81"/>
      <c r="I92" s="81"/>
      <c r="J92" s="79">
        <f t="shared" si="18"/>
        <v>0</v>
      </c>
      <c r="K92" s="80">
        <f t="shared" si="18"/>
        <v>0</v>
      </c>
      <c r="L92" s="78" t="str">
        <f t="shared" si="18"/>
        <v>n/a</v>
      </c>
      <c r="M92" s="254"/>
    </row>
    <row r="93" spans="3:13" ht="11.25" hidden="1" customHeight="1" outlineLevel="3" x14ac:dyDescent="0.2">
      <c r="C93" s="82" t="str">
        <f t="shared" si="16"/>
        <v>Dummy 2</v>
      </c>
      <c r="D93" s="82" t="str">
        <f t="shared" si="16"/>
        <v>Dummy 2</v>
      </c>
      <c r="E93" s="79">
        <f t="shared" si="17"/>
        <v>0</v>
      </c>
      <c r="F93" s="80">
        <f t="shared" si="17"/>
        <v>0</v>
      </c>
      <c r="G93" s="81">
        <f t="shared" si="17"/>
        <v>0</v>
      </c>
      <c r="H93" s="81"/>
      <c r="I93" s="81"/>
      <c r="J93" s="79">
        <f t="shared" si="18"/>
        <v>0</v>
      </c>
      <c r="K93" s="80">
        <f t="shared" si="18"/>
        <v>0</v>
      </c>
      <c r="L93" s="78" t="str">
        <f t="shared" si="18"/>
        <v>n/a</v>
      </c>
      <c r="M93" s="254"/>
    </row>
    <row r="94" spans="3:13" ht="11.25" hidden="1" customHeight="1" outlineLevel="3" x14ac:dyDescent="0.2">
      <c r="C94" s="82" t="str">
        <f t="shared" ref="C94:D106" si="19">C51</f>
        <v>Dummy 3</v>
      </c>
      <c r="D94" s="82" t="str">
        <f t="shared" si="19"/>
        <v>Dummy 3</v>
      </c>
      <c r="E94" s="79">
        <f t="shared" ref="E94:G106" si="20">IFERROR(E51/E$28,"n/a")</f>
        <v>0</v>
      </c>
      <c r="F94" s="80">
        <f t="shared" si="20"/>
        <v>0</v>
      </c>
      <c r="G94" s="81">
        <f t="shared" si="20"/>
        <v>0</v>
      </c>
      <c r="H94" s="81"/>
      <c r="I94" s="81"/>
      <c r="J94" s="79">
        <f t="shared" ref="J94:L106" si="21">IFERROR(J51/J$28,"n/a")</f>
        <v>0</v>
      </c>
      <c r="K94" s="80">
        <f t="shared" si="21"/>
        <v>0</v>
      </c>
      <c r="L94" s="78" t="str">
        <f t="shared" si="21"/>
        <v>n/a</v>
      </c>
      <c r="M94" s="254"/>
    </row>
    <row r="95" spans="3:13" ht="11.25" hidden="1" customHeight="1" outlineLevel="1" collapsed="1" x14ac:dyDescent="0.2">
      <c r="C95" s="88" t="str">
        <f t="shared" si="19"/>
        <v>EBIT</v>
      </c>
      <c r="D95" s="88" t="str">
        <f t="shared" si="19"/>
        <v>EBIT</v>
      </c>
      <c r="E95" s="85">
        <f t="shared" si="20"/>
        <v>5.1028845897418149E-4</v>
      </c>
      <c r="F95" s="86">
        <f t="shared" si="20"/>
        <v>0.34478599569529633</v>
      </c>
      <c r="G95" s="87">
        <f t="shared" si="20"/>
        <v>8.4923964531481877E-2</v>
      </c>
      <c r="H95" s="81"/>
      <c r="I95" s="81"/>
      <c r="J95" s="85">
        <f t="shared" si="21"/>
        <v>0.10700963093460944</v>
      </c>
      <c r="K95" s="86">
        <f t="shared" si="21"/>
        <v>0.10700963093460944</v>
      </c>
      <c r="L95" s="84" t="str">
        <f t="shared" si="21"/>
        <v>n/a</v>
      </c>
      <c r="M95" s="254"/>
    </row>
    <row r="96" spans="3:13" ht="11.25" hidden="1" customHeight="1" outlineLevel="2" x14ac:dyDescent="0.2">
      <c r="C96" s="82" t="str">
        <f t="shared" si="19"/>
        <v>Beteiligungsergebnis</v>
      </c>
      <c r="D96" s="82" t="str">
        <f t="shared" si="19"/>
        <v>Investment income</v>
      </c>
      <c r="E96" s="79">
        <f t="shared" si="20"/>
        <v>0</v>
      </c>
      <c r="F96" s="80">
        <f t="shared" si="20"/>
        <v>0</v>
      </c>
      <c r="G96" s="81">
        <f t="shared" si="20"/>
        <v>0</v>
      </c>
      <c r="H96" s="81"/>
      <c r="I96" s="81"/>
      <c r="J96" s="79">
        <f t="shared" si="21"/>
        <v>0</v>
      </c>
      <c r="K96" s="80">
        <f t="shared" si="21"/>
        <v>0</v>
      </c>
      <c r="L96" s="78" t="str">
        <f t="shared" si="21"/>
        <v>n/a</v>
      </c>
      <c r="M96" s="254"/>
    </row>
    <row r="97" spans="3:13" ht="11.25" hidden="1" customHeight="1" outlineLevel="2" x14ac:dyDescent="0.2">
      <c r="C97" s="82" t="str">
        <f t="shared" si="19"/>
        <v>Zinserträge</v>
      </c>
      <c r="D97" s="82" t="str">
        <f t="shared" si="19"/>
        <v>Interest income</v>
      </c>
      <c r="E97" s="79">
        <f t="shared" si="20"/>
        <v>2.4396069228303259E-4</v>
      </c>
      <c r="F97" s="80">
        <f t="shared" si="20"/>
        <v>5.3705393430058011E-7</v>
      </c>
      <c r="G97" s="81">
        <f t="shared" si="20"/>
        <v>1.8427514455469373E-4</v>
      </c>
      <c r="H97" s="81"/>
      <c r="I97" s="81"/>
      <c r="J97" s="79">
        <f t="shared" si="21"/>
        <v>1.9191982447686111E-4</v>
      </c>
      <c r="K97" s="80">
        <f t="shared" si="21"/>
        <v>1.9191982447686111E-4</v>
      </c>
      <c r="L97" s="78" t="str">
        <f t="shared" si="21"/>
        <v>n/a</v>
      </c>
      <c r="M97" s="254"/>
    </row>
    <row r="98" spans="3:13" ht="11.25" hidden="1" customHeight="1" outlineLevel="2" x14ac:dyDescent="0.2">
      <c r="C98" s="82" t="str">
        <f t="shared" si="19"/>
        <v>Zinsaufwendungen</v>
      </c>
      <c r="D98" s="82" t="str">
        <f t="shared" si="19"/>
        <v>Interest expenses</v>
      </c>
      <c r="E98" s="79">
        <f t="shared" si="20"/>
        <v>0</v>
      </c>
      <c r="F98" s="80">
        <f t="shared" si="20"/>
        <v>-8.4070998290358342E-4</v>
      </c>
      <c r="G98" s="81">
        <f t="shared" si="20"/>
        <v>-2.0613542772866109E-4</v>
      </c>
      <c r="H98" s="81"/>
      <c r="I98" s="81"/>
      <c r="J98" s="79">
        <f t="shared" si="21"/>
        <v>-1.839377357411741E-5</v>
      </c>
      <c r="K98" s="80">
        <f t="shared" si="21"/>
        <v>-1.839377357411741E-5</v>
      </c>
      <c r="L98" s="78" t="str">
        <f t="shared" si="21"/>
        <v>n/a</v>
      </c>
      <c r="M98" s="254"/>
    </row>
    <row r="99" spans="3:13" ht="11.25" hidden="1" customHeight="1" outlineLevel="3" x14ac:dyDescent="0.2">
      <c r="C99" s="82" t="str">
        <f t="shared" si="19"/>
        <v>Abschreibungen auf Finanzanlagen</v>
      </c>
      <c r="D99" s="82" t="str">
        <f t="shared" si="19"/>
        <v>Abschreibungn auf Finanzanlagen</v>
      </c>
      <c r="E99" s="79">
        <f t="shared" si="20"/>
        <v>0</v>
      </c>
      <c r="F99" s="80">
        <f t="shared" si="20"/>
        <v>-9.7659661609268938E-4</v>
      </c>
      <c r="G99" s="81">
        <f t="shared" si="20"/>
        <v>-2.3945375369679279E-4</v>
      </c>
      <c r="H99" s="81"/>
      <c r="I99" s="81"/>
      <c r="J99" s="79">
        <f t="shared" si="21"/>
        <v>0</v>
      </c>
      <c r="K99" s="80">
        <f t="shared" si="21"/>
        <v>0</v>
      </c>
      <c r="L99" s="78" t="str">
        <f t="shared" si="21"/>
        <v>n/a</v>
      </c>
      <c r="M99" s="254"/>
    </row>
    <row r="100" spans="3:13" ht="11.25" hidden="1" customHeight="1" outlineLevel="3" x14ac:dyDescent="0.2">
      <c r="C100" s="82" t="str">
        <f t="shared" si="19"/>
        <v>Dummy 2</v>
      </c>
      <c r="D100" s="82" t="str">
        <f t="shared" si="19"/>
        <v>Dummy 2</v>
      </c>
      <c r="E100" s="79">
        <f t="shared" si="20"/>
        <v>0</v>
      </c>
      <c r="F100" s="80">
        <f t="shared" si="20"/>
        <v>0</v>
      </c>
      <c r="G100" s="81">
        <f t="shared" si="20"/>
        <v>0</v>
      </c>
      <c r="H100" s="81"/>
      <c r="I100" s="81"/>
      <c r="J100" s="79">
        <f t="shared" si="21"/>
        <v>0</v>
      </c>
      <c r="K100" s="80">
        <f t="shared" si="21"/>
        <v>0</v>
      </c>
      <c r="L100" s="78" t="str">
        <f t="shared" si="21"/>
        <v>n/a</v>
      </c>
      <c r="M100" s="254"/>
    </row>
    <row r="101" spans="3:13" ht="11.25" hidden="1" customHeight="1" outlineLevel="3" x14ac:dyDescent="0.2">
      <c r="C101" s="82" t="str">
        <f t="shared" si="19"/>
        <v>Dummy 3</v>
      </c>
      <c r="D101" s="82" t="str">
        <f t="shared" si="19"/>
        <v>Dummy 3</v>
      </c>
      <c r="E101" s="79">
        <f t="shared" si="20"/>
        <v>0</v>
      </c>
      <c r="F101" s="80">
        <f t="shared" si="20"/>
        <v>0</v>
      </c>
      <c r="G101" s="81">
        <f t="shared" si="20"/>
        <v>0</v>
      </c>
      <c r="H101" s="81"/>
      <c r="I101" s="81"/>
      <c r="J101" s="79">
        <f t="shared" si="21"/>
        <v>0</v>
      </c>
      <c r="K101" s="80">
        <f t="shared" si="21"/>
        <v>0</v>
      </c>
      <c r="L101" s="78" t="str">
        <f t="shared" si="21"/>
        <v>n/a</v>
      </c>
      <c r="M101" s="254"/>
    </row>
    <row r="102" spans="3:13" ht="11.25" hidden="1" customHeight="1" outlineLevel="1" collapsed="1" x14ac:dyDescent="0.2">
      <c r="C102" s="82" t="str">
        <f t="shared" si="19"/>
        <v>Finanzergebnis</v>
      </c>
      <c r="D102" s="82" t="str">
        <f t="shared" si="19"/>
        <v>Financial result</v>
      </c>
      <c r="E102" s="79">
        <f t="shared" si="20"/>
        <v>2.4396069228303259E-4</v>
      </c>
      <c r="F102" s="80">
        <f t="shared" si="20"/>
        <v>-1.8167695450619721E-3</v>
      </c>
      <c r="G102" s="81">
        <f t="shared" si="20"/>
        <v>-2.6131403687076009E-4</v>
      </c>
      <c r="H102" s="81"/>
      <c r="I102" s="81"/>
      <c r="J102" s="79">
        <f t="shared" si="21"/>
        <v>1.7352605090274371E-4</v>
      </c>
      <c r="K102" s="80">
        <f t="shared" si="21"/>
        <v>1.7352605090274371E-4</v>
      </c>
      <c r="L102" s="78" t="str">
        <f t="shared" si="21"/>
        <v>n/a</v>
      </c>
      <c r="M102" s="254"/>
    </row>
    <row r="103" spans="3:13" ht="11.25" hidden="1" customHeight="1" outlineLevel="1" x14ac:dyDescent="0.2">
      <c r="C103" s="88" t="str">
        <f t="shared" si="19"/>
        <v>EBT</v>
      </c>
      <c r="D103" s="88" t="str">
        <f t="shared" si="19"/>
        <v>EBT</v>
      </c>
      <c r="E103" s="85">
        <f t="shared" si="20"/>
        <v>7.5424915125721413E-4</v>
      </c>
      <c r="F103" s="86">
        <f t="shared" si="20"/>
        <v>0.3429692261502344</v>
      </c>
      <c r="G103" s="87">
        <f t="shared" si="20"/>
        <v>8.4662650494611122E-2</v>
      </c>
      <c r="H103" s="81"/>
      <c r="I103" s="81"/>
      <c r="J103" s="85">
        <f t="shared" si="21"/>
        <v>0.10718315698551217</v>
      </c>
      <c r="K103" s="86">
        <f t="shared" si="21"/>
        <v>0.10718315698551217</v>
      </c>
      <c r="L103" s="84" t="str">
        <f t="shared" si="21"/>
        <v>n/a</v>
      </c>
      <c r="M103" s="254"/>
    </row>
    <row r="104" spans="3:13" ht="11.25" hidden="1" customHeight="1" outlineLevel="1" x14ac:dyDescent="0.2">
      <c r="C104" s="82" t="str">
        <f t="shared" si="19"/>
        <v>Ertragssteuern</v>
      </c>
      <c r="D104" s="82" t="str">
        <f t="shared" si="19"/>
        <v>Income taxes</v>
      </c>
      <c r="E104" s="79">
        <f t="shared" si="20"/>
        <v>-2.9964441928078255E-2</v>
      </c>
      <c r="F104" s="80">
        <f t="shared" si="20"/>
        <v>-1.3757813730155461E-2</v>
      </c>
      <c r="G104" s="81">
        <f t="shared" si="20"/>
        <v>-2.5990705082370634E-2</v>
      </c>
      <c r="H104" s="81"/>
      <c r="I104" s="81"/>
      <c r="J104" s="79">
        <f t="shared" si="21"/>
        <v>-2.9012466437669904E-2</v>
      </c>
      <c r="K104" s="80">
        <f t="shared" si="21"/>
        <v>-2.9012466437669904E-2</v>
      </c>
      <c r="L104" s="78" t="str">
        <f t="shared" si="21"/>
        <v>n/a</v>
      </c>
      <c r="M104" s="254"/>
    </row>
    <row r="105" spans="3:13" ht="11.25" hidden="1" customHeight="1" outlineLevel="1" x14ac:dyDescent="0.2">
      <c r="C105" s="82" t="str">
        <f t="shared" si="19"/>
        <v>Sonstige Steuern</v>
      </c>
      <c r="D105" s="82" t="str">
        <f t="shared" si="19"/>
        <v>Other taxes</v>
      </c>
      <c r="E105" s="79">
        <f t="shared" si="20"/>
        <v>-2.3146678206152841E-4</v>
      </c>
      <c r="F105" s="80">
        <f t="shared" si="20"/>
        <v>-7.1926866200983709E-6</v>
      </c>
      <c r="G105" s="81">
        <f t="shared" si="20"/>
        <v>-1.7647655055195478E-4</v>
      </c>
      <c r="H105" s="81"/>
      <c r="I105" s="81"/>
      <c r="J105" s="79">
        <f t="shared" si="21"/>
        <v>-2.1608008303668785E-4</v>
      </c>
      <c r="K105" s="80">
        <f t="shared" si="21"/>
        <v>-2.1608008303668785E-4</v>
      </c>
      <c r="L105" s="78" t="str">
        <f t="shared" si="21"/>
        <v>n/a</v>
      </c>
      <c r="M105" s="254"/>
    </row>
    <row r="106" spans="3:13" ht="11.25" hidden="1" customHeight="1" outlineLevel="1" x14ac:dyDescent="0.2">
      <c r="C106" s="88" t="str">
        <f t="shared" si="19"/>
        <v>Jahresüberschuss</v>
      </c>
      <c r="D106" s="88" t="str">
        <f t="shared" si="19"/>
        <v>Profit / Loss</v>
      </c>
      <c r="E106" s="85">
        <f t="shared" si="20"/>
        <v>-2.9441659558882567E-2</v>
      </c>
      <c r="F106" s="86">
        <f t="shared" si="20"/>
        <v>0.32920421973345887</v>
      </c>
      <c r="G106" s="87">
        <f t="shared" si="20"/>
        <v>5.8495468861688535E-2</v>
      </c>
      <c r="H106" s="81"/>
      <c r="I106" s="81"/>
      <c r="J106" s="85">
        <f t="shared" si="21"/>
        <v>7.7954610464805577E-2</v>
      </c>
      <c r="K106" s="86">
        <f t="shared" si="21"/>
        <v>7.7954610464805577E-2</v>
      </c>
      <c r="L106" s="84" t="str">
        <f t="shared" si="21"/>
        <v>n/a</v>
      </c>
      <c r="M106" s="254"/>
    </row>
    <row r="107" spans="3:13" ht="4.5" customHeight="1" collapsed="1" x14ac:dyDescent="0.2">
      <c r="C107" s="82"/>
      <c r="D107" s="82"/>
      <c r="E107" s="129"/>
      <c r="F107" s="160"/>
      <c r="G107" s="81"/>
      <c r="H107" s="81"/>
      <c r="I107" s="81"/>
      <c r="J107" s="129"/>
      <c r="K107" s="160"/>
      <c r="L107" s="128"/>
      <c r="M107" s="254"/>
    </row>
    <row r="108" spans="3:13" ht="11.25" customHeight="1" x14ac:dyDescent="0.2">
      <c r="C108" s="76" t="str">
        <f>"Quelle: "&amp;Cockpit!$C$7</f>
        <v>Quelle: Datenraum/ eigene Analysen</v>
      </c>
      <c r="D108" s="76" t="str">
        <f>"Source: "&amp;Cockpit!$C$8</f>
        <v>Source: Virtual Data Room/ Company Information</v>
      </c>
      <c r="E108" s="126"/>
      <c r="F108" s="126"/>
      <c r="G108" s="41"/>
      <c r="H108" s="41"/>
      <c r="I108" s="41"/>
      <c r="J108" s="126"/>
      <c r="K108" s="126"/>
      <c r="L108" s="125"/>
      <c r="M108" s="253"/>
    </row>
    <row r="109" spans="3:13" ht="11.25" customHeight="1" x14ac:dyDescent="0.2">
      <c r="C109" s="251"/>
      <c r="D109" s="251"/>
      <c r="E109" s="251"/>
      <c r="F109" s="251"/>
      <c r="G109" s="251"/>
      <c r="H109" s="251"/>
      <c r="I109" s="251"/>
      <c r="J109" s="251"/>
      <c r="K109" s="251"/>
      <c r="L109" s="252"/>
      <c r="M109" s="251"/>
    </row>
    <row r="110" spans="3:13" ht="11.25" customHeight="1" x14ac:dyDescent="0.2">
      <c r="C110" s="251"/>
      <c r="D110" s="251"/>
      <c r="E110" s="251"/>
      <c r="F110" s="251"/>
      <c r="G110" s="251"/>
      <c r="H110" s="251"/>
      <c r="I110" s="251"/>
      <c r="J110" s="251"/>
      <c r="K110" s="251"/>
      <c r="L110" s="252"/>
      <c r="M110" s="251"/>
    </row>
    <row r="111" spans="3:13" x14ac:dyDescent="0.2">
      <c r="C111" s="251"/>
      <c r="D111" s="251"/>
      <c r="E111" s="251"/>
      <c r="F111" s="251"/>
      <c r="G111" s="251"/>
      <c r="H111" s="251"/>
      <c r="I111" s="251"/>
      <c r="J111" s="251"/>
      <c r="K111" s="251"/>
      <c r="L111" s="252"/>
      <c r="M111" s="251"/>
    </row>
    <row r="112" spans="3:13" x14ac:dyDescent="0.2">
      <c r="C112" s="72" t="s">
        <v>455</v>
      </c>
      <c r="D112" s="72" t="s">
        <v>454</v>
      </c>
      <c r="E112" s="71"/>
      <c r="F112" s="251"/>
      <c r="G112" s="71">
        <f>'Lead PL'!H59</f>
        <v>-7402.8350900000014</v>
      </c>
      <c r="H112" s="251"/>
      <c r="I112" s="251"/>
      <c r="J112" s="71">
        <f>'Lead PL'!J59</f>
        <v>0</v>
      </c>
      <c r="K112" s="251"/>
      <c r="L112" s="71">
        <f>'Lead PL'!K59</f>
        <v>0</v>
      </c>
      <c r="M112" s="251"/>
    </row>
    <row r="113" spans="3:12" x14ac:dyDescent="0.2">
      <c r="C113" s="70" t="s">
        <v>233</v>
      </c>
      <c r="D113" s="69" t="s">
        <v>233</v>
      </c>
      <c r="E113" s="158"/>
      <c r="F113" s="250"/>
      <c r="G113" s="68">
        <f>G112-G63</f>
        <v>-8397.8873900000017</v>
      </c>
      <c r="H113" s="250"/>
      <c r="I113" s="250"/>
      <c r="J113" s="68">
        <f>J112-J63</f>
        <v>-896.14577000000224</v>
      </c>
      <c r="K113" s="250"/>
      <c r="L113" s="158">
        <f>L112-L63</f>
        <v>0</v>
      </c>
    </row>
  </sheetData>
  <mergeCells count="4">
    <mergeCell ref="E5:H5"/>
    <mergeCell ref="J5:M5"/>
    <mergeCell ref="E8:H8"/>
    <mergeCell ref="J8:M8"/>
  </mergeCells>
  <conditionalFormatting sqref="A1:XFD1048576">
    <cfRule type="containsText" dxfId="270" priority="1" operator="containsText" text="dummy">
      <formula>NOT(ISERROR(SEARCH("dummy",A1)))</formula>
    </cfRule>
  </conditionalFormatting>
  <conditionalFormatting sqref="E113">
    <cfRule type="cellIs" dxfId="269" priority="29" operator="between">
      <formula>-1</formula>
      <formula>1</formula>
    </cfRule>
    <cfRule type="cellIs" dxfId="268" priority="30" operator="lessThan">
      <formula>-1</formula>
    </cfRule>
    <cfRule type="cellIs" dxfId="267" priority="31" operator="greaterThan">
      <formula>1</formula>
    </cfRule>
  </conditionalFormatting>
  <conditionalFormatting sqref="G113">
    <cfRule type="cellIs" dxfId="266" priority="2" operator="between">
      <formula>-1</formula>
      <formula>1</formula>
    </cfRule>
    <cfRule type="cellIs" dxfId="265" priority="3" operator="lessThan">
      <formula>-1</formula>
    </cfRule>
    <cfRule type="cellIs" dxfId="264" priority="4" operator="greaterThan">
      <formula>1</formula>
    </cfRule>
  </conditionalFormatting>
  <conditionalFormatting sqref="J113">
    <cfRule type="cellIs" dxfId="263" priority="6" operator="between">
      <formula>-1</formula>
      <formula>1</formula>
    </cfRule>
    <cfRule type="cellIs" dxfId="262" priority="7" operator="lessThan">
      <formula>-1</formula>
    </cfRule>
    <cfRule type="cellIs" dxfId="261" priority="8" operator="greaterThan">
      <formula>1</formula>
    </cfRule>
  </conditionalFormatting>
  <conditionalFormatting sqref="L113">
    <cfRule type="cellIs" dxfId="260" priority="20" operator="between">
      <formula>-1</formula>
      <formula>1</formula>
    </cfRule>
    <cfRule type="cellIs" dxfId="259" priority="21" operator="lessThan">
      <formula>-1</formula>
    </cfRule>
    <cfRule type="cellIs" dxfId="258" priority="22" operator="greaterThan">
      <formula>1</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81A61A-4458-4D45-9BFC-56EC94E30C11}">
          <x14:formula1>
            <xm:f>'Trial Balance Dropdown'!$A$2:$A$305</xm:f>
          </x14:formula1>
          <xm:sqref>P29:P32 P34:P46 P53:P58 P48:P51 P61:P62 P23:P27 P12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099BE-E202-4AF2-8531-01C55B4E0D03}">
  <sheetPr>
    <tabColor rgb="FF92D050"/>
  </sheetPr>
  <dimension ref="A1:U74"/>
  <sheetViews>
    <sheetView topLeftCell="A2" workbookViewId="0"/>
  </sheetViews>
  <sheetFormatPr defaultColWidth="11.28515625" defaultRowHeight="11.45" customHeight="1" outlineLevelRow="3" outlineLevelCol="2" x14ac:dyDescent="0.2"/>
  <cols>
    <col min="1" max="1" width="11.28515625" style="1"/>
    <col min="2" max="2" width="0.85546875" style="1" customWidth="1"/>
    <col min="3" max="3" width="43" style="1" bestFit="1" customWidth="1"/>
    <col min="4" max="4" width="35.5703125" style="1" hidden="1" customWidth="1" outlineLevel="1"/>
    <col min="5" max="5" width="4" style="265" customWidth="1" collapsed="1"/>
    <col min="6" max="9" width="9.42578125" style="1" customWidth="1"/>
    <col min="10" max="14" width="9.42578125" style="1" hidden="1" customWidth="1" outlineLevel="1"/>
    <col min="15" max="15" width="0.85546875" style="1" hidden="1" customWidth="1" outlineLevel="2"/>
    <col min="16" max="16" width="11.28515625" style="1" collapsed="1"/>
    <col min="17" max="17" width="29.28515625" style="369" bestFit="1" customWidth="1"/>
    <col min="18" max="19" width="11.28515625" style="1"/>
    <col min="20" max="20" width="80" style="1" hidden="1" customWidth="1" outlineLevel="1"/>
    <col min="21" max="21" width="11.28515625" style="1" collapsed="1"/>
    <col min="22" max="16384" width="11.28515625" style="1"/>
  </cols>
  <sheetData>
    <row r="1" spans="3:20" ht="11.45" hidden="1" customHeight="1" outlineLevel="3" x14ac:dyDescent="0.2"/>
    <row r="2" spans="3:20" ht="11.45" customHeight="1" collapsed="1" x14ac:dyDescent="0.2"/>
    <row r="4" spans="3:20" ht="11.45" customHeight="1" x14ac:dyDescent="0.2">
      <c r="C4" s="236" t="str">
        <f>Cockpit!$C$4</f>
        <v>Projekt Namur</v>
      </c>
      <c r="D4" s="230"/>
      <c r="E4" s="230"/>
      <c r="F4" s="230">
        <f>'Lead PL'!F4</f>
        <v>44926</v>
      </c>
      <c r="G4" s="230">
        <f>'Lead PL'!G4</f>
        <v>45291</v>
      </c>
      <c r="H4" s="230">
        <f>'Lead PL'!H4</f>
        <v>45657</v>
      </c>
      <c r="I4" s="230">
        <f>'Lead PL'!I4</f>
        <v>46022</v>
      </c>
      <c r="J4" s="234">
        <f>'Lead PL'!J4</f>
        <v>46022</v>
      </c>
      <c r="K4" s="230">
        <f>'Lead PL'!K4</f>
        <v>46022</v>
      </c>
      <c r="L4" s="230">
        <f>'Lead PL'!L4</f>
        <v>46387</v>
      </c>
      <c r="M4" s="230">
        <f>'Lead PL'!M4</f>
        <v>46752</v>
      </c>
      <c r="N4" s="230">
        <f>'Lead PL'!N4</f>
        <v>47118</v>
      </c>
    </row>
    <row r="5" spans="3:20" ht="11.45" customHeight="1" x14ac:dyDescent="0.2">
      <c r="C5" s="236" t="str">
        <f>"in T"&amp;Cockpit!$C$5</f>
        <v>in TEUR</v>
      </c>
      <c r="D5" s="230"/>
      <c r="E5" s="232" t="s">
        <v>473</v>
      </c>
      <c r="F5" s="230" t="str">
        <f>'Lead PL'!F5</f>
        <v>IST</v>
      </c>
      <c r="G5" s="230" t="str">
        <f>'Lead PL'!G5</f>
        <v>IST</v>
      </c>
      <c r="H5" s="230" t="str">
        <f>'Lead PL'!H5</f>
        <v>IST</v>
      </c>
      <c r="I5" s="230" t="str">
        <f>'Lead PL'!I5</f>
        <v>IST</v>
      </c>
      <c r="J5" s="230" t="str">
        <f>'Lead PL'!J5</f>
        <v>YTD</v>
      </c>
      <c r="K5" s="230" t="str">
        <f>'Lead PL'!K5</f>
        <v>Plan</v>
      </c>
      <c r="L5" s="230" t="str">
        <f>'Lead PL'!L5</f>
        <v>Plan</v>
      </c>
      <c r="M5" s="230" t="str">
        <f>'Lead PL'!M5</f>
        <v>Plan</v>
      </c>
      <c r="N5" s="230" t="str">
        <f>'Lead PL'!N5</f>
        <v>Plan</v>
      </c>
      <c r="T5" s="419" t="s">
        <v>2465</v>
      </c>
    </row>
    <row r="6" spans="3:20" ht="11.45" hidden="1" customHeight="1" outlineLevel="1" x14ac:dyDescent="0.2">
      <c r="C6" s="233"/>
      <c r="D6" s="232" t="str">
        <f>Cockpit!$C$4</f>
        <v>Projekt Namur</v>
      </c>
      <c r="E6" s="232"/>
      <c r="F6" s="233">
        <f>'Lead PL'!F6</f>
        <v>44926</v>
      </c>
      <c r="G6" s="233">
        <f>'Lead PL'!G6</f>
        <v>45291</v>
      </c>
      <c r="H6" s="233">
        <f>'Lead PL'!H6</f>
        <v>45657</v>
      </c>
      <c r="I6" s="233">
        <f>'Lead PL'!I6</f>
        <v>46022</v>
      </c>
      <c r="J6" s="261">
        <f>'Lead PL'!J6</f>
        <v>46022</v>
      </c>
      <c r="K6" s="233">
        <f>'Lead PL'!K6</f>
        <v>46022</v>
      </c>
      <c r="L6" s="233">
        <f>'Lead PL'!L6</f>
        <v>46387</v>
      </c>
      <c r="M6" s="233">
        <f>'Lead PL'!M6</f>
        <v>46752</v>
      </c>
      <c r="N6" s="233">
        <f>'Lead PL'!N6</f>
        <v>47118</v>
      </c>
    </row>
    <row r="7" spans="3:20" ht="11.45" hidden="1" customHeight="1" outlineLevel="1" x14ac:dyDescent="0.2">
      <c r="C7" s="233"/>
      <c r="D7" s="232" t="str">
        <f>"in k"&amp;Cockpit!$C$5</f>
        <v>in kEUR</v>
      </c>
      <c r="E7" s="232" t="s">
        <v>473</v>
      </c>
      <c r="F7" s="233" t="str">
        <f>'Lead PL'!F7</f>
        <v>IST</v>
      </c>
      <c r="G7" s="233" t="str">
        <f>'Lead PL'!G7</f>
        <v>IST</v>
      </c>
      <c r="H7" s="233" t="str">
        <f>'Lead PL'!H7</f>
        <v>IST</v>
      </c>
      <c r="I7" s="233" t="str">
        <f>'Lead PL'!I7</f>
        <v>IST</v>
      </c>
      <c r="J7" s="233" t="str">
        <f>'Lead PL'!J7</f>
        <v>YTD</v>
      </c>
      <c r="K7" s="233" t="str">
        <f>'Lead PL'!K7</f>
        <v>Plan</v>
      </c>
      <c r="L7" s="233" t="str">
        <f>'Lead PL'!L7</f>
        <v>Plan</v>
      </c>
      <c r="M7" s="233" t="str">
        <f>'Lead PL'!M7</f>
        <v>Plan</v>
      </c>
      <c r="N7" s="233" t="str">
        <f>'Lead PL'!N7</f>
        <v>Plan</v>
      </c>
      <c r="Q7" s="419" t="s">
        <v>840</v>
      </c>
      <c r="T7" s="419" t="s">
        <v>2465</v>
      </c>
    </row>
    <row r="8" spans="3:20" ht="4.5" customHeight="1" collapsed="1" x14ac:dyDescent="0.2">
      <c r="C8" s="253"/>
      <c r="D8" s="254"/>
      <c r="E8" s="254"/>
      <c r="F8" s="254"/>
      <c r="G8" s="254"/>
      <c r="H8" s="254"/>
      <c r="I8" s="254"/>
      <c r="J8" s="35"/>
      <c r="K8" s="278"/>
      <c r="L8" s="278"/>
      <c r="M8" s="278"/>
      <c r="N8" s="278"/>
    </row>
    <row r="9" spans="3:20" ht="11.45" customHeight="1" x14ac:dyDescent="0.2">
      <c r="C9" s="271" t="s">
        <v>472</v>
      </c>
      <c r="D9" s="133" t="s">
        <v>472</v>
      </c>
      <c r="E9" s="133"/>
      <c r="F9" s="132">
        <f>'Lead PL'!F43</f>
        <v>-4386.7021700000023</v>
      </c>
      <c r="G9" s="132">
        <f>'Lead PL'!G43</f>
        <v>-6491.3423899999989</v>
      </c>
      <c r="H9" s="132">
        <f>'Lead PL'!H43</f>
        <v>-6637.546620000001</v>
      </c>
      <c r="I9" s="132">
        <f>'Lead PL'!I43</f>
        <v>-6045.3006299999943</v>
      </c>
      <c r="J9" s="131">
        <f>'Lead PL'!J43</f>
        <v>0</v>
      </c>
      <c r="K9" s="130">
        <f>'Lead PL'!K43</f>
        <v>0</v>
      </c>
      <c r="L9" s="130">
        <f>'Lead PL'!L43</f>
        <v>0</v>
      </c>
      <c r="M9" s="130">
        <f>'Lead PL'!M43</f>
        <v>0</v>
      </c>
      <c r="N9" s="130">
        <f>'Lead PL'!N43</f>
        <v>0</v>
      </c>
    </row>
    <row r="10" spans="3:20" ht="11.45" customHeight="1" x14ac:dyDescent="0.2">
      <c r="C10" s="254"/>
      <c r="D10" s="254"/>
      <c r="E10" s="254"/>
      <c r="F10" s="254"/>
      <c r="G10" s="254"/>
      <c r="H10" s="254"/>
      <c r="I10" s="254"/>
      <c r="J10" s="129"/>
      <c r="K10" s="128"/>
      <c r="L10" s="128"/>
      <c r="M10" s="128"/>
      <c r="N10" s="128"/>
    </row>
    <row r="11" spans="3:20" ht="11.45" customHeight="1" x14ac:dyDescent="0.2">
      <c r="C11" s="90" t="s">
        <v>471</v>
      </c>
      <c r="D11" s="90" t="s">
        <v>470</v>
      </c>
      <c r="E11" s="275"/>
      <c r="F11" s="36"/>
      <c r="G11" s="36"/>
      <c r="H11" s="36"/>
      <c r="I11" s="36"/>
      <c r="J11" s="129"/>
      <c r="K11" s="128"/>
      <c r="L11" s="128"/>
      <c r="M11" s="128"/>
      <c r="N11" s="128"/>
    </row>
    <row r="12" spans="3:20" ht="11.45" hidden="1" customHeight="1" outlineLevel="1" x14ac:dyDescent="0.2">
      <c r="C12" s="530" t="s">
        <v>2482</v>
      </c>
      <c r="D12" s="37" t="s">
        <v>209</v>
      </c>
      <c r="E12" s="532">
        <v>1</v>
      </c>
      <c r="F12" s="36">
        <v>0</v>
      </c>
      <c r="G12" s="36">
        <f>-'Management Bereinigung 2024'!AW28/1000</f>
        <v>32.306750000000001</v>
      </c>
      <c r="H12" s="36">
        <v>0</v>
      </c>
      <c r="I12" s="36">
        <v>0</v>
      </c>
      <c r="J12" s="129"/>
      <c r="K12" s="128"/>
      <c r="L12" s="128"/>
      <c r="M12" s="128"/>
      <c r="N12" s="128"/>
      <c r="T12" s="1" t="s">
        <v>4865</v>
      </c>
    </row>
    <row r="13" spans="3:20" ht="11.45" hidden="1" customHeight="1" outlineLevel="1" x14ac:dyDescent="0.2">
      <c r="C13" s="37" t="s">
        <v>4869</v>
      </c>
      <c r="D13" s="37" t="s">
        <v>208</v>
      </c>
      <c r="E13" s="532">
        <f>E12+1</f>
        <v>2</v>
      </c>
      <c r="F13" s="36">
        <v>0</v>
      </c>
      <c r="G13" s="36">
        <v>0</v>
      </c>
      <c r="H13" s="36">
        <f>(10*6.76498)*1.11</f>
        <v>75.091278000000003</v>
      </c>
      <c r="I13" s="36">
        <v>0</v>
      </c>
      <c r="J13" s="129"/>
      <c r="K13" s="128"/>
      <c r="L13" s="128"/>
      <c r="M13" s="128"/>
      <c r="N13" s="128"/>
      <c r="T13" s="1" t="s">
        <v>4862</v>
      </c>
    </row>
    <row r="14" spans="3:20" ht="11.45" hidden="1" customHeight="1" outlineLevel="1" x14ac:dyDescent="0.2">
      <c r="C14" s="37" t="s">
        <v>2432</v>
      </c>
      <c r="D14" s="37"/>
      <c r="E14" s="532">
        <f>E13+1</f>
        <v>3</v>
      </c>
      <c r="F14" s="36">
        <f>(12*19+76)*1.11</f>
        <v>337.44000000000005</v>
      </c>
      <c r="G14" s="36">
        <f>(12*19+76)*1.11</f>
        <v>337.44000000000005</v>
      </c>
      <c r="H14" s="36">
        <f>(12*19+76)*1.11</f>
        <v>337.44000000000005</v>
      </c>
      <c r="I14" s="36">
        <f>(12*19+76)*1.11</f>
        <v>337.44000000000005</v>
      </c>
      <c r="J14" s="129"/>
      <c r="K14" s="128"/>
      <c r="L14" s="128"/>
      <c r="M14" s="128"/>
      <c r="N14" s="128"/>
      <c r="T14" s="1" t="s">
        <v>4875</v>
      </c>
    </row>
    <row r="15" spans="3:20" ht="11.45" hidden="1" customHeight="1" outlineLevel="1" x14ac:dyDescent="0.2">
      <c r="C15" s="37" t="s">
        <v>4882</v>
      </c>
      <c r="D15" s="37"/>
      <c r="E15" s="532">
        <f>E14+1</f>
        <v>4</v>
      </c>
      <c r="F15" s="36">
        <v>0</v>
      </c>
      <c r="G15" s="36">
        <v>64.5</v>
      </c>
      <c r="H15" s="36">
        <v>10</v>
      </c>
      <c r="I15" s="762">
        <v>0</v>
      </c>
      <c r="J15" s="129"/>
      <c r="K15" s="128"/>
      <c r="L15" s="128"/>
      <c r="M15" s="128"/>
      <c r="N15" s="128"/>
      <c r="T15" s="1" t="s">
        <v>4867</v>
      </c>
    </row>
    <row r="16" spans="3:20" ht="11.45" hidden="1" customHeight="1" outlineLevel="1" x14ac:dyDescent="0.2">
      <c r="C16" s="37" t="s">
        <v>4881</v>
      </c>
      <c r="D16" s="37"/>
      <c r="E16" s="532">
        <f>E15</f>
        <v>4</v>
      </c>
      <c r="F16" s="36">
        <v>0</v>
      </c>
      <c r="G16" s="36">
        <v>0</v>
      </c>
      <c r="H16" s="36">
        <f>142.2025</f>
        <v>142.20249999999999</v>
      </c>
      <c r="I16" s="762">
        <v>0</v>
      </c>
      <c r="J16" s="129"/>
      <c r="K16" s="128"/>
      <c r="L16" s="128"/>
      <c r="M16" s="128"/>
      <c r="N16" s="128"/>
      <c r="T16" s="1" t="s">
        <v>4866</v>
      </c>
    </row>
    <row r="17" spans="1:20" ht="11.45" hidden="1" customHeight="1" outlineLevel="1" x14ac:dyDescent="0.2">
      <c r="C17" s="37" t="s">
        <v>4883</v>
      </c>
      <c r="D17" s="37"/>
      <c r="E17" s="532">
        <f>E16</f>
        <v>4</v>
      </c>
      <c r="F17" s="36">
        <v>0</v>
      </c>
      <c r="G17" s="36">
        <v>0</v>
      </c>
      <c r="H17" s="36">
        <v>0</v>
      </c>
      <c r="I17" s="762">
        <v>99.034999999999997</v>
      </c>
      <c r="J17" s="129"/>
      <c r="K17" s="128"/>
      <c r="L17" s="128"/>
      <c r="M17" s="128"/>
      <c r="N17" s="128"/>
    </row>
    <row r="18" spans="1:20" ht="11.45" hidden="1" customHeight="1" outlineLevel="1" x14ac:dyDescent="0.2">
      <c r="C18" s="37" t="s">
        <v>4885</v>
      </c>
      <c r="D18" s="37"/>
      <c r="E18" s="532">
        <f>E17+1</f>
        <v>5</v>
      </c>
      <c r="F18" s="36">
        <f>-'Management Bereinigung 2025'!AS32/1000</f>
        <v>5.5170399999999997</v>
      </c>
      <c r="G18" s="36">
        <f>2.80403+2.36825</f>
        <v>5.1722800000000007</v>
      </c>
      <c r="H18" s="36">
        <v>5.1748900000000004</v>
      </c>
      <c r="I18" s="36">
        <v>0</v>
      </c>
      <c r="J18" s="129"/>
      <c r="K18" s="128"/>
      <c r="L18" s="128"/>
      <c r="M18" s="128"/>
      <c r="N18" s="128"/>
      <c r="T18" s="1" t="s">
        <v>4878</v>
      </c>
    </row>
    <row r="19" spans="1:20" ht="11.45" hidden="1" customHeight="1" outlineLevel="1" x14ac:dyDescent="0.2">
      <c r="C19" s="530" t="s">
        <v>2483</v>
      </c>
      <c r="D19" s="42" t="s">
        <v>207</v>
      </c>
      <c r="E19" s="532">
        <f>E18+1</f>
        <v>6</v>
      </c>
      <c r="F19" s="36">
        <f>-'Management Bereinigung 2024'!AV34/1000</f>
        <v>0</v>
      </c>
      <c r="G19" s="36">
        <f>-'Management Bereinigung 2024'!AW34/1000</f>
        <v>0</v>
      </c>
      <c r="H19" s="101">
        <f>SUMIF('Trial Balance (Susa)'!$E:$E,"*"&amp;$Q19&amp;"*",'Trial Balance (Susa)'!H:H)/1000</f>
        <v>21.830399999999994</v>
      </c>
      <c r="I19" s="101">
        <f>-(-34174.9+40095.46)/1000</f>
        <v>-5.9205599999999974</v>
      </c>
      <c r="J19" s="135"/>
      <c r="K19" s="134"/>
      <c r="L19" s="134"/>
      <c r="M19" s="134"/>
      <c r="N19" s="134"/>
      <c r="Q19" s="370" t="s">
        <v>2466</v>
      </c>
      <c r="T19" s="1" t="s">
        <v>4880</v>
      </c>
    </row>
    <row r="20" spans="1:20" ht="11.45" hidden="1" customHeight="1" outlineLevel="1" x14ac:dyDescent="0.2">
      <c r="C20" s="530" t="s">
        <v>4876</v>
      </c>
      <c r="D20" s="42"/>
      <c r="E20" s="532">
        <f>E19+1</f>
        <v>7</v>
      </c>
      <c r="F20" s="36">
        <v>0</v>
      </c>
      <c r="G20" s="36">
        <v>0</v>
      </c>
      <c r="H20" s="36">
        <v>0</v>
      </c>
      <c r="I20" s="36">
        <f>8.178242+2.36288</f>
        <v>10.541122</v>
      </c>
      <c r="J20" s="135"/>
      <c r="K20" s="134"/>
      <c r="L20" s="134"/>
      <c r="M20" s="134"/>
      <c r="N20" s="134"/>
    </row>
    <row r="21" spans="1:20" ht="11.45" hidden="1" customHeight="1" outlineLevel="1" x14ac:dyDescent="0.2">
      <c r="C21" s="530" t="s">
        <v>4884</v>
      </c>
      <c r="D21" s="42"/>
      <c r="E21" s="532">
        <f>E20+1</f>
        <v>8</v>
      </c>
      <c r="F21" s="36">
        <v>0</v>
      </c>
      <c r="G21" s="36">
        <v>0</v>
      </c>
      <c r="H21" s="36">
        <v>0</v>
      </c>
      <c r="I21" s="36">
        <v>50</v>
      </c>
      <c r="J21" s="135"/>
      <c r="K21" s="134"/>
      <c r="L21" s="134"/>
      <c r="M21" s="134"/>
      <c r="N21" s="134"/>
      <c r="T21" s="1" t="s">
        <v>4879</v>
      </c>
    </row>
    <row r="22" spans="1:20" ht="11.45" customHeight="1" collapsed="1" x14ac:dyDescent="0.2">
      <c r="C22" s="272" t="str">
        <f>C11 &amp; " Gesamt"</f>
        <v>Normalisierungsanpassungen Management Gesamt</v>
      </c>
      <c r="D22" s="272" t="str">
        <f>D11</f>
        <v>Mgmt normalization adjustments</v>
      </c>
      <c r="E22" s="272"/>
      <c r="F22" s="147">
        <f>SUM(F12:F21)</f>
        <v>342.95704000000006</v>
      </c>
      <c r="G22" s="147">
        <f>SUM(G12:G21)</f>
        <v>439.41903000000008</v>
      </c>
      <c r="H22" s="147">
        <f>SUM(H12:H21)</f>
        <v>591.73906799999997</v>
      </c>
      <c r="I22" s="147">
        <f>SUM(I12:I21)</f>
        <v>491.09556199999997</v>
      </c>
      <c r="J22" s="146">
        <f>SUM(J12:J19)</f>
        <v>0</v>
      </c>
      <c r="K22" s="145">
        <f>SUM(K12:K19)</f>
        <v>0</v>
      </c>
      <c r="L22" s="145">
        <f>SUM(L12:L19)</f>
        <v>0</v>
      </c>
      <c r="M22" s="145">
        <f>SUM(M12:M19)</f>
        <v>0</v>
      </c>
      <c r="N22" s="145">
        <f>SUM(N12:N19)</f>
        <v>0</v>
      </c>
    </row>
    <row r="23" spans="1:20" ht="11.45" customHeight="1" x14ac:dyDescent="0.2">
      <c r="C23" s="271" t="s">
        <v>469</v>
      </c>
      <c r="D23" s="271" t="s">
        <v>468</v>
      </c>
      <c r="E23" s="271"/>
      <c r="F23" s="173">
        <f t="shared" ref="F23:N23" si="0">F22+F9</f>
        <v>-4043.7451300000021</v>
      </c>
      <c r="G23" s="173">
        <f t="shared" si="0"/>
        <v>-6051.9233599999989</v>
      </c>
      <c r="H23" s="173">
        <f t="shared" si="0"/>
        <v>-6045.8075520000011</v>
      </c>
      <c r="I23" s="173">
        <f t="shared" si="0"/>
        <v>-5554.2050679999938</v>
      </c>
      <c r="J23" s="270">
        <f t="shared" si="0"/>
        <v>0</v>
      </c>
      <c r="K23" s="169">
        <f t="shared" si="0"/>
        <v>0</v>
      </c>
      <c r="L23" s="169">
        <f t="shared" si="0"/>
        <v>0</v>
      </c>
      <c r="M23" s="169">
        <f t="shared" si="0"/>
        <v>0</v>
      </c>
      <c r="N23" s="169">
        <f t="shared" si="0"/>
        <v>0</v>
      </c>
    </row>
    <row r="24" spans="1:20" ht="4.5" customHeight="1" x14ac:dyDescent="0.2">
      <c r="C24" s="37"/>
      <c r="D24" s="37"/>
      <c r="E24" s="274"/>
      <c r="F24" s="36"/>
      <c r="G24" s="36"/>
      <c r="H24" s="36"/>
      <c r="I24" s="36"/>
      <c r="J24" s="129"/>
      <c r="K24" s="128"/>
      <c r="L24" s="128"/>
      <c r="M24" s="128"/>
      <c r="N24" s="128"/>
    </row>
    <row r="25" spans="1:20" ht="11.45" customHeight="1" x14ac:dyDescent="0.2">
      <c r="C25" s="90" t="s">
        <v>467</v>
      </c>
      <c r="D25" s="90" t="s">
        <v>466</v>
      </c>
      <c r="E25" s="275"/>
      <c r="F25" s="36"/>
      <c r="G25" s="36"/>
      <c r="H25" s="36"/>
      <c r="I25" s="36" t="s">
        <v>806</v>
      </c>
      <c r="J25" s="129"/>
      <c r="K25" s="128"/>
      <c r="L25" s="128"/>
      <c r="M25" s="128"/>
      <c r="N25" s="128"/>
    </row>
    <row r="26" spans="1:20" ht="4.5" customHeight="1" outlineLevel="1" x14ac:dyDescent="0.2">
      <c r="C26" s="241"/>
      <c r="D26" s="241"/>
      <c r="E26" s="277"/>
      <c r="F26" s="167"/>
      <c r="G26" s="167"/>
      <c r="H26" s="167"/>
      <c r="I26" s="167"/>
      <c r="J26" s="276"/>
      <c r="K26" s="165"/>
      <c r="L26" s="165"/>
      <c r="M26" s="165"/>
      <c r="N26" s="165"/>
      <c r="T26" s="518"/>
    </row>
    <row r="27" spans="1:20" ht="11.45" customHeight="1" outlineLevel="1" x14ac:dyDescent="0.2">
      <c r="A27" s="1" t="s">
        <v>91</v>
      </c>
      <c r="C27" s="529" t="s">
        <v>2509</v>
      </c>
      <c r="D27" s="90"/>
      <c r="E27" s="274"/>
      <c r="F27" s="36">
        <f>-SUMIF('P&amp;L (Annual Report)'!$I:$I,$Q27,'P&amp;L (Annual Report)'!E:E)/1000</f>
        <v>-4.7839999999999998</v>
      </c>
      <c r="G27" s="101">
        <f>SUMIF('Trial Balance (Susa)'!$E:$E,"*"&amp;$Q27&amp;"*",'Trial Balance (Susa)'!G:G)/1000</f>
        <v>-6.3</v>
      </c>
      <c r="H27" s="101">
        <f>SUMIF('Trial Balance (Susa)'!$E:$E,"*"&amp;$Q27&amp;"*",'Trial Balance (Susa)'!H:H)/1000</f>
        <v>-27.177</v>
      </c>
      <c r="I27" s="101">
        <f>SUMIF('Trial Balance (Susa)'!$E:$E,"*"&amp;$Q27&amp;"*",'Trial Balance (Susa)'!I:I)/1000</f>
        <v>0</v>
      </c>
      <c r="J27" s="129"/>
      <c r="K27" s="128"/>
      <c r="L27" s="128"/>
      <c r="M27" s="128"/>
      <c r="N27" s="128"/>
      <c r="Q27" s="370" t="s">
        <v>2510</v>
      </c>
    </row>
    <row r="28" spans="1:20" ht="11.45" customHeight="1" outlineLevel="1" x14ac:dyDescent="0.2">
      <c r="A28" s="1" t="s">
        <v>95</v>
      </c>
      <c r="C28" s="764" t="s">
        <v>2525</v>
      </c>
      <c r="D28" s="765"/>
      <c r="E28" s="273"/>
      <c r="F28" s="127">
        <f>SUMIF('P&amp;L (Annual Report)'!$I:$I,$Q28,'P&amp;L (Annual Report)'!E:E)/1000</f>
        <v>6.3</v>
      </c>
      <c r="G28" s="119">
        <f>SUMIF('Trial Balance (Susa)'!$E:$E,"*"&amp;$Q28&amp;"*",'Trial Balance (Susa)'!G:G)/1000</f>
        <v>27.177</v>
      </c>
      <c r="H28" s="119">
        <f>SUMIF('Trial Balance (Susa)'!$E:$E,"*"&amp;$Q28&amp;"*",'Trial Balance (Susa)'!H:H)/1000</f>
        <v>0</v>
      </c>
      <c r="I28" s="119">
        <f>SUMIF('Trial Balance (Susa)'!$E:$E,"*"&amp;$Q28&amp;"*",'Trial Balance (Susa)'!I:I)/1000</f>
        <v>0</v>
      </c>
      <c r="J28" s="129"/>
      <c r="K28" s="128"/>
      <c r="L28" s="128"/>
      <c r="M28" s="128"/>
      <c r="N28" s="128"/>
      <c r="Q28" s="370" t="s">
        <v>2511</v>
      </c>
      <c r="T28" s="518" t="s">
        <v>2514</v>
      </c>
    </row>
    <row r="29" spans="1:20" ht="11.45" customHeight="1" outlineLevel="1" x14ac:dyDescent="0.2">
      <c r="C29" s="531" t="s">
        <v>2526</v>
      </c>
      <c r="D29" s="90"/>
      <c r="E29" s="532">
        <f>E21+1</f>
        <v>9</v>
      </c>
      <c r="F29" s="36">
        <f>SUM(F27:F28)</f>
        <v>1.516</v>
      </c>
      <c r="G29" s="101">
        <f>SUM(G27:G28)</f>
        <v>20.876999999999999</v>
      </c>
      <c r="H29" s="101">
        <f>SUM(H27:H28)</f>
        <v>-27.177</v>
      </c>
      <c r="I29" s="101">
        <f>SUM(I27:I28)</f>
        <v>0</v>
      </c>
      <c r="J29" s="129"/>
      <c r="K29" s="128"/>
      <c r="L29" s="128"/>
      <c r="M29" s="128"/>
      <c r="N29" s="128"/>
      <c r="Q29" s="370"/>
      <c r="T29" s="518"/>
    </row>
    <row r="30" spans="1:20" ht="4.5" customHeight="1" outlineLevel="1" x14ac:dyDescent="0.2">
      <c r="C30" s="241"/>
      <c r="D30" s="241"/>
      <c r="E30" s="277"/>
      <c r="F30" s="167"/>
      <c r="G30" s="167"/>
      <c r="H30" s="167"/>
      <c r="I30" s="167"/>
      <c r="J30" s="276"/>
      <c r="K30" s="165"/>
      <c r="L30" s="165"/>
      <c r="M30" s="165"/>
      <c r="N30" s="165"/>
      <c r="T30" s="518"/>
    </row>
    <row r="31" spans="1:20" ht="11.45" customHeight="1" outlineLevel="1" x14ac:dyDescent="0.2">
      <c r="A31" s="1" t="s">
        <v>91</v>
      </c>
      <c r="C31" s="529" t="s">
        <v>2469</v>
      </c>
      <c r="D31" s="90"/>
      <c r="E31" s="532"/>
      <c r="F31" s="36">
        <f>-SUMIF('P&amp;L (Annual Report)'!$I:$I,$Q31,'P&amp;L (Annual Report)'!E:E)/1000</f>
        <v>-92.677460000000011</v>
      </c>
      <c r="G31" s="101">
        <f>SUMIF('Trial Balance (Susa)'!$E:$E,"*"&amp;$Q31&amp;"*",'Trial Balance (Susa)'!G:G)/1000</f>
        <v>-19.866139999999998</v>
      </c>
      <c r="H31" s="101">
        <f>SUMIF('Trial Balance (Susa)'!$E:$E,"*"&amp;$Q31&amp;"*",'Trial Balance (Susa)'!H:H)/1000</f>
        <v>-0.30610999999999999</v>
      </c>
      <c r="I31" s="101">
        <f>SUMIF('Trial Balance (Susa)'!$E:$E,"*"&amp;$Q31&amp;"*",'Trial Balance (Susa)'!I:I)/1000</f>
        <v>-2.4428800000000002</v>
      </c>
      <c r="J31" s="129"/>
      <c r="K31" s="128"/>
      <c r="L31" s="128"/>
      <c r="M31" s="128"/>
      <c r="N31" s="128"/>
      <c r="Q31" s="370" t="s">
        <v>2467</v>
      </c>
    </row>
    <row r="32" spans="1:20" ht="11.45" customHeight="1" outlineLevel="1" x14ac:dyDescent="0.2">
      <c r="C32" s="764" t="s">
        <v>2528</v>
      </c>
      <c r="D32" s="765"/>
      <c r="E32" s="766"/>
      <c r="F32" s="127" t="s">
        <v>2429</v>
      </c>
      <c r="G32" s="119" t="s">
        <v>2429</v>
      </c>
      <c r="H32" s="119" t="s">
        <v>2429</v>
      </c>
      <c r="I32" s="119" t="s">
        <v>2429</v>
      </c>
      <c r="J32" s="129"/>
      <c r="K32" s="128"/>
      <c r="L32" s="128"/>
      <c r="M32" s="128"/>
      <c r="N32" s="128"/>
      <c r="Q32" s="370"/>
    </row>
    <row r="33" spans="1:20" ht="11.45" customHeight="1" outlineLevel="1" x14ac:dyDescent="0.2">
      <c r="C33" s="531" t="s">
        <v>2527</v>
      </c>
      <c r="D33" s="90"/>
      <c r="E33" s="532">
        <f>E29+1</f>
        <v>10</v>
      </c>
      <c r="F33" s="154">
        <f>SUM(F31:F32)</f>
        <v>-92.677460000000011</v>
      </c>
      <c r="G33" s="214">
        <f>SUM(G31:G32)</f>
        <v>-19.866139999999998</v>
      </c>
      <c r="H33" s="214">
        <f>SUM(H31:H32)</f>
        <v>-0.30610999999999999</v>
      </c>
      <c r="I33" s="214">
        <f>SUM(I31:I32)</f>
        <v>-2.4428800000000002</v>
      </c>
      <c r="J33" s="129"/>
      <c r="K33" s="128"/>
      <c r="L33" s="128"/>
      <c r="M33" s="128"/>
      <c r="N33" s="128"/>
      <c r="Q33" s="370"/>
      <c r="T33" s="518"/>
    </row>
    <row r="34" spans="1:20" ht="4.5" customHeight="1" outlineLevel="1" x14ac:dyDescent="0.2">
      <c r="C34" s="241"/>
      <c r="D34" s="241"/>
      <c r="E34" s="277"/>
      <c r="F34" s="167"/>
      <c r="G34" s="167"/>
      <c r="H34" s="167"/>
      <c r="I34" s="167"/>
      <c r="J34" s="276"/>
      <c r="K34" s="165"/>
      <c r="L34" s="165"/>
      <c r="M34" s="165"/>
      <c r="N34" s="165"/>
      <c r="T34" s="518"/>
    </row>
    <row r="35" spans="1:20" ht="11.45" customHeight="1" outlineLevel="1" x14ac:dyDescent="0.2">
      <c r="A35" s="1" t="s">
        <v>91</v>
      </c>
      <c r="C35" s="529" t="s">
        <v>2483</v>
      </c>
      <c r="D35" s="90"/>
      <c r="E35" s="532"/>
      <c r="F35" s="36">
        <f>'P&amp;L (Annual Report)'!E203</f>
        <v>0</v>
      </c>
      <c r="G35" s="101">
        <f>SUMIF('Trial Balance (Susa)'!$E:$E,"*"&amp;$Q35&amp;"*",'Trial Balance (Susa)'!G:G)/1000</f>
        <v>0</v>
      </c>
      <c r="H35" s="101">
        <v>0</v>
      </c>
      <c r="I35" s="101"/>
      <c r="J35" s="129"/>
      <c r="K35" s="128"/>
      <c r="L35" s="128"/>
      <c r="M35" s="128"/>
      <c r="N35" s="128"/>
      <c r="Q35" s="370" t="s">
        <v>2466</v>
      </c>
    </row>
    <row r="36" spans="1:20" ht="11.45" customHeight="1" outlineLevel="1" x14ac:dyDescent="0.2">
      <c r="A36" s="1" t="s">
        <v>91</v>
      </c>
      <c r="C36" s="764" t="s">
        <v>2471</v>
      </c>
      <c r="D36" s="765"/>
      <c r="E36" s="766"/>
      <c r="F36" s="127">
        <f>-SUMIF('P&amp;L (Annual Report)'!$I:$I,$Q36,'P&amp;L (Annual Report)'!E:E)/1000</f>
        <v>0</v>
      </c>
      <c r="G36" s="119">
        <f>SUMIF('Trial Balance (Susa)'!$E:$E,"*"&amp;$Q36&amp;"*",'Trial Balance (Susa)'!G:G)/1000</f>
        <v>-10.163290000000002</v>
      </c>
      <c r="H36" s="119">
        <f>SUMIF('Trial Balance (Susa)'!$E:$E,"*"&amp;$Q36&amp;"*",'Trial Balance (Susa)'!H:H)/1000</f>
        <v>0</v>
      </c>
      <c r="I36" s="119">
        <f>SUMIF('Trial Balance (Susa)'!$E:$E,"*"&amp;$Q36&amp;"*",'Trial Balance (Susa)'!I:I)/1000</f>
        <v>0</v>
      </c>
      <c r="J36" s="129"/>
      <c r="K36" s="128"/>
      <c r="L36" s="128"/>
      <c r="M36" s="128"/>
      <c r="N36" s="128"/>
      <c r="Q36" s="370" t="s">
        <v>2470</v>
      </c>
    </row>
    <row r="37" spans="1:20" ht="11.45" customHeight="1" outlineLevel="1" x14ac:dyDescent="0.2">
      <c r="C37" s="531" t="s">
        <v>2529</v>
      </c>
      <c r="D37" s="90"/>
      <c r="E37" s="532">
        <f>E33+1</f>
        <v>11</v>
      </c>
      <c r="F37" s="154">
        <f>SUM(F35:F36)</f>
        <v>0</v>
      </c>
      <c r="G37" s="214">
        <f>SUM(G35:G36)</f>
        <v>-10.163290000000002</v>
      </c>
      <c r="H37" s="214">
        <f>SUM(H35:H36)</f>
        <v>0</v>
      </c>
      <c r="I37" s="214">
        <f>SUM(I35:I36)</f>
        <v>0</v>
      </c>
      <c r="J37" s="129"/>
      <c r="K37" s="128"/>
      <c r="L37" s="128"/>
      <c r="M37" s="128"/>
      <c r="N37" s="128"/>
      <c r="Q37" s="370"/>
    </row>
    <row r="38" spans="1:20" ht="4.5" customHeight="1" outlineLevel="1" x14ac:dyDescent="0.2">
      <c r="C38" s="241"/>
      <c r="D38" s="241"/>
      <c r="E38" s="277"/>
      <c r="F38" s="167"/>
      <c r="G38" s="167"/>
      <c r="H38" s="167"/>
      <c r="I38" s="167"/>
      <c r="J38" s="276"/>
      <c r="K38" s="165"/>
      <c r="L38" s="165"/>
      <c r="M38" s="165"/>
      <c r="N38" s="165"/>
      <c r="T38" s="518"/>
    </row>
    <row r="39" spans="1:20" ht="12" outlineLevel="1" x14ac:dyDescent="0.2">
      <c r="C39" s="37" t="s">
        <v>5370</v>
      </c>
      <c r="D39" s="797"/>
      <c r="E39" s="277">
        <f>E37+1</f>
        <v>12</v>
      </c>
      <c r="F39" s="782">
        <v>0</v>
      </c>
      <c r="G39" s="782">
        <v>0</v>
      </c>
      <c r="H39" s="782">
        <v>0</v>
      </c>
      <c r="I39" s="782">
        <v>17.734079999999999</v>
      </c>
      <c r="J39" s="276"/>
      <c r="K39" s="165"/>
      <c r="L39" s="165"/>
      <c r="M39" s="165"/>
      <c r="N39" s="165"/>
      <c r="T39" s="334" t="s">
        <v>5371</v>
      </c>
    </row>
    <row r="40" spans="1:20" ht="12" outlineLevel="1" x14ac:dyDescent="0.2">
      <c r="C40" s="37" t="s">
        <v>5372</v>
      </c>
      <c r="D40" s="797"/>
      <c r="E40" s="277">
        <f>E39+1</f>
        <v>13</v>
      </c>
      <c r="F40" s="782">
        <v>0</v>
      </c>
      <c r="G40" s="782">
        <v>0</v>
      </c>
      <c r="H40" s="782">
        <v>0</v>
      </c>
      <c r="I40" s="782">
        <v>-50</v>
      </c>
      <c r="J40" s="276"/>
      <c r="K40" s="165"/>
      <c r="L40" s="165"/>
      <c r="M40" s="165"/>
      <c r="N40" s="165"/>
      <c r="T40" s="334"/>
    </row>
    <row r="41" spans="1:20" ht="4.5" customHeight="1" outlineLevel="1" x14ac:dyDescent="0.2">
      <c r="C41" s="241"/>
      <c r="D41" s="241"/>
      <c r="E41" s="277"/>
      <c r="F41" s="167"/>
      <c r="G41" s="167"/>
      <c r="H41" s="167"/>
      <c r="I41" s="167"/>
      <c r="J41" s="276"/>
      <c r="K41" s="165"/>
      <c r="L41" s="165"/>
      <c r="M41" s="165"/>
      <c r="N41" s="165"/>
      <c r="T41" s="518"/>
    </row>
    <row r="42" spans="1:20" ht="11.45" customHeight="1" x14ac:dyDescent="0.2">
      <c r="C42" s="272" t="str">
        <f>C25&amp; " Gesamt"</f>
        <v>Normalisierungsanpassungen BT Gesamt</v>
      </c>
      <c r="D42" s="272" t="str">
        <f>D25</f>
        <v>BT normalization adjustments</v>
      </c>
      <c r="E42" s="272"/>
      <c r="F42" s="147">
        <f>F29+F33+F39+F40</f>
        <v>-91.161460000000005</v>
      </c>
      <c r="G42" s="147">
        <f>G29+G33+G39+G40</f>
        <v>1.010860000000001</v>
      </c>
      <c r="H42" s="147">
        <f>H29+H33+H39+H40</f>
        <v>-27.48311</v>
      </c>
      <c r="I42" s="147">
        <f>I29+I33+I39+I40</f>
        <v>-34.708800000000004</v>
      </c>
      <c r="J42" s="146"/>
      <c r="K42" s="145"/>
      <c r="L42" s="145"/>
      <c r="M42" s="145"/>
      <c r="N42" s="145"/>
      <c r="T42" s="518"/>
    </row>
    <row r="43" spans="1:20" ht="11.45" customHeight="1" x14ac:dyDescent="0.2">
      <c r="C43" s="271" t="s">
        <v>465</v>
      </c>
      <c r="D43" s="271" t="s">
        <v>464</v>
      </c>
      <c r="E43" s="271"/>
      <c r="F43" s="173">
        <f t="shared" ref="F43:N43" si="1">F42+F23</f>
        <v>-4134.9065900000023</v>
      </c>
      <c r="G43" s="173">
        <f t="shared" si="1"/>
        <v>-6050.9124999999985</v>
      </c>
      <c r="H43" s="173">
        <f t="shared" si="1"/>
        <v>-6073.2906620000012</v>
      </c>
      <c r="I43" s="173">
        <f t="shared" si="1"/>
        <v>-5588.9138679999942</v>
      </c>
      <c r="J43" s="270">
        <f t="shared" si="1"/>
        <v>0</v>
      </c>
      <c r="K43" s="169">
        <f t="shared" si="1"/>
        <v>0</v>
      </c>
      <c r="L43" s="169">
        <f t="shared" si="1"/>
        <v>0</v>
      </c>
      <c r="M43" s="169">
        <f t="shared" si="1"/>
        <v>0</v>
      </c>
      <c r="N43" s="169">
        <f t="shared" si="1"/>
        <v>0</v>
      </c>
      <c r="T43" s="518"/>
    </row>
    <row r="44" spans="1:20" ht="4.5" customHeight="1" x14ac:dyDescent="0.2">
      <c r="C44" s="241"/>
      <c r="D44" s="241"/>
      <c r="E44" s="277"/>
      <c r="F44" s="167"/>
      <c r="G44" s="167"/>
      <c r="H44" s="167"/>
      <c r="I44" s="167"/>
      <c r="J44" s="276"/>
      <c r="K44" s="165"/>
      <c r="L44" s="165"/>
      <c r="M44" s="165"/>
      <c r="N44" s="165"/>
      <c r="T44" s="518"/>
    </row>
    <row r="45" spans="1:20" ht="11.45" customHeight="1" x14ac:dyDescent="0.2">
      <c r="C45" s="90" t="s">
        <v>462</v>
      </c>
      <c r="D45" s="90" t="s">
        <v>463</v>
      </c>
      <c r="E45" s="275"/>
      <c r="F45" s="36"/>
      <c r="G45" s="36"/>
      <c r="H45" s="36"/>
      <c r="I45" s="36"/>
      <c r="J45" s="129"/>
      <c r="K45" s="128"/>
      <c r="L45" s="128"/>
      <c r="M45" s="128"/>
      <c r="N45" s="128"/>
      <c r="T45" s="518"/>
    </row>
    <row r="46" spans="1:20" ht="11.45" customHeight="1" outlineLevel="1" x14ac:dyDescent="0.2">
      <c r="C46" s="138" t="s">
        <v>2484</v>
      </c>
      <c r="D46" s="37" t="s">
        <v>209</v>
      </c>
      <c r="E46" s="532">
        <f>E40+1</f>
        <v>14</v>
      </c>
      <c r="F46" s="36" t="s">
        <v>2429</v>
      </c>
      <c r="G46" s="36" t="s">
        <v>2429</v>
      </c>
      <c r="H46" s="36" t="s">
        <v>2429</v>
      </c>
      <c r="I46" s="36" t="s">
        <v>2429</v>
      </c>
      <c r="J46" s="129" t="s">
        <v>2429</v>
      </c>
      <c r="K46" s="128"/>
      <c r="L46" s="128"/>
      <c r="M46" s="128"/>
      <c r="N46" s="128"/>
      <c r="Q46" s="370"/>
      <c r="T46" s="518" t="s">
        <v>4484</v>
      </c>
    </row>
    <row r="47" spans="1:20" ht="11.45" hidden="1" customHeight="1" outlineLevel="2" x14ac:dyDescent="0.2">
      <c r="C47" s="138" t="s">
        <v>2432</v>
      </c>
      <c r="D47" s="42" t="s">
        <v>207</v>
      </c>
      <c r="E47" s="532">
        <f>E46+1</f>
        <v>15</v>
      </c>
      <c r="F47" s="36"/>
      <c r="G47" s="36"/>
      <c r="H47" s="36"/>
      <c r="I47" s="36"/>
      <c r="J47" s="135"/>
      <c r="K47" s="134"/>
      <c r="L47" s="134"/>
      <c r="M47" s="134"/>
      <c r="N47" s="134"/>
      <c r="Q47" s="370"/>
      <c r="T47" s="518" t="s">
        <v>2512</v>
      </c>
    </row>
    <row r="48" spans="1:20" ht="11.45" customHeight="1" outlineLevel="1" collapsed="1" x14ac:dyDescent="0.2">
      <c r="C48" s="138" t="s">
        <v>4864</v>
      </c>
      <c r="D48" s="37"/>
      <c r="E48" s="532">
        <f>E47</f>
        <v>15</v>
      </c>
      <c r="F48" s="36">
        <v>-150</v>
      </c>
      <c r="G48" s="36">
        <v>-150</v>
      </c>
      <c r="H48" s="36">
        <v>-150</v>
      </c>
      <c r="I48" s="36">
        <v>-150</v>
      </c>
      <c r="J48" s="129"/>
      <c r="K48" s="128"/>
      <c r="L48" s="128"/>
      <c r="M48" s="128"/>
      <c r="N48" s="128"/>
      <c r="Q48" s="370"/>
      <c r="T48" s="518"/>
    </row>
    <row r="49" spans="3:20" ht="11.45" customHeight="1" outlineLevel="1" x14ac:dyDescent="0.2">
      <c r="C49" s="138" t="s">
        <v>4874</v>
      </c>
      <c r="D49" s="37"/>
      <c r="E49" s="532">
        <f>E48+1</f>
        <v>16</v>
      </c>
      <c r="F49" s="36">
        <v>-50</v>
      </c>
      <c r="G49" s="36">
        <v>-50</v>
      </c>
      <c r="H49" s="36">
        <v>-50</v>
      </c>
      <c r="I49" s="36">
        <v>-50</v>
      </c>
      <c r="J49" s="129"/>
      <c r="K49" s="128"/>
      <c r="L49" s="128"/>
      <c r="M49" s="128"/>
      <c r="N49" s="128"/>
      <c r="Q49" s="370"/>
      <c r="T49" s="518"/>
    </row>
    <row r="50" spans="3:20" ht="11.45" customHeight="1" outlineLevel="1" x14ac:dyDescent="0.2">
      <c r="C50" s="137" t="s">
        <v>4868</v>
      </c>
      <c r="D50" s="42"/>
      <c r="E50" s="766">
        <f>E49+1</f>
        <v>17</v>
      </c>
      <c r="F50" s="127">
        <v>-70</v>
      </c>
      <c r="G50" s="127">
        <v>-70</v>
      </c>
      <c r="H50" s="127">
        <v>-70</v>
      </c>
      <c r="I50" s="127">
        <v>-70</v>
      </c>
      <c r="J50" s="129"/>
      <c r="K50" s="128"/>
      <c r="L50" s="128"/>
      <c r="M50" s="128"/>
      <c r="N50" s="128"/>
      <c r="Q50" s="370"/>
      <c r="T50" s="518"/>
    </row>
    <row r="51" spans="3:20" ht="11.45" customHeight="1" outlineLevel="1" x14ac:dyDescent="0.2">
      <c r="C51" s="531" t="s">
        <v>2513</v>
      </c>
      <c r="D51" s="37"/>
      <c r="E51" s="532"/>
      <c r="F51" s="154">
        <f>SUM(F46:F50)</f>
        <v>-270</v>
      </c>
      <c r="G51" s="154">
        <f>SUM(G46:G50)</f>
        <v>-270</v>
      </c>
      <c r="H51" s="154">
        <f>SUM(H46:H50)</f>
        <v>-270</v>
      </c>
      <c r="I51" s="154">
        <f>SUM(I46:I50)</f>
        <v>-270</v>
      </c>
      <c r="J51" s="129"/>
      <c r="K51" s="128"/>
      <c r="L51" s="128"/>
      <c r="M51" s="128"/>
      <c r="N51" s="128"/>
      <c r="Q51" s="370"/>
      <c r="T51" s="518"/>
    </row>
    <row r="52" spans="3:20" ht="4.5" customHeight="1" outlineLevel="1" x14ac:dyDescent="0.2">
      <c r="C52" s="241"/>
      <c r="D52" s="241"/>
      <c r="E52" s="277"/>
      <c r="F52" s="167"/>
      <c r="G52" s="167"/>
      <c r="H52" s="167"/>
      <c r="I52" s="167"/>
      <c r="J52" s="276"/>
      <c r="K52" s="165"/>
      <c r="L52" s="165"/>
      <c r="M52" s="165"/>
      <c r="N52" s="165"/>
      <c r="T52" s="518"/>
    </row>
    <row r="53" spans="3:20" ht="11.45" customHeight="1" outlineLevel="1" x14ac:dyDescent="0.2">
      <c r="C53" s="239" t="s">
        <v>2431</v>
      </c>
      <c r="D53" s="37" t="s">
        <v>209</v>
      </c>
      <c r="E53" s="532">
        <f>E50+1</f>
        <v>18</v>
      </c>
      <c r="F53" s="36" t="s">
        <v>2429</v>
      </c>
      <c r="G53" s="36" t="s">
        <v>2429</v>
      </c>
      <c r="H53" s="36" t="s">
        <v>2429</v>
      </c>
      <c r="I53" s="36" t="s">
        <v>2429</v>
      </c>
      <c r="J53" s="129" t="s">
        <v>2429</v>
      </c>
      <c r="K53" s="128"/>
      <c r="L53" s="128"/>
      <c r="M53" s="128"/>
      <c r="N53" s="128"/>
      <c r="Q53" s="370"/>
      <c r="T53" s="518"/>
    </row>
    <row r="54" spans="3:20" ht="11.45" customHeight="1" x14ac:dyDescent="0.2">
      <c r="C54" s="272" t="str">
        <f>C45 &amp; " Gesamt"</f>
        <v>Pro forma Anpassungen BT Gesamt</v>
      </c>
      <c r="D54" s="272" t="str">
        <f>D45</f>
        <v>BT pro forma adjustments</v>
      </c>
      <c r="E54" s="272"/>
      <c r="F54" s="147">
        <f>SUM(F51:F53)</f>
        <v>-270</v>
      </c>
      <c r="G54" s="147">
        <f>SUM(G51:G53)</f>
        <v>-270</v>
      </c>
      <c r="H54" s="147">
        <f>SUM(H51:H53)</f>
        <v>-270</v>
      </c>
      <c r="I54" s="147">
        <f>SUM(I51:I53)</f>
        <v>-270</v>
      </c>
      <c r="J54" s="146">
        <f>SUM(J53:J53)</f>
        <v>0</v>
      </c>
      <c r="K54" s="145">
        <f>SUM(K53:K53)</f>
        <v>0</v>
      </c>
      <c r="L54" s="145">
        <f>SUM(L53:L53)</f>
        <v>0</v>
      </c>
      <c r="M54" s="145">
        <f>SUM(M53:M53)</f>
        <v>0</v>
      </c>
      <c r="N54" s="145">
        <f>SUM(N53:N53)</f>
        <v>0</v>
      </c>
    </row>
    <row r="55" spans="3:20" ht="11.45" customHeight="1" x14ac:dyDescent="0.2">
      <c r="C55" s="271" t="s">
        <v>461</v>
      </c>
      <c r="D55" s="271" t="s">
        <v>460</v>
      </c>
      <c r="E55" s="271"/>
      <c r="F55" s="173">
        <f t="shared" ref="F55:N55" si="2">F54+F43</f>
        <v>-4404.9065900000023</v>
      </c>
      <c r="G55" s="173">
        <f t="shared" si="2"/>
        <v>-6320.9124999999985</v>
      </c>
      <c r="H55" s="173">
        <f t="shared" si="2"/>
        <v>-6343.2906620000012</v>
      </c>
      <c r="I55" s="173">
        <f t="shared" si="2"/>
        <v>-5858.9138679999942</v>
      </c>
      <c r="J55" s="270">
        <f t="shared" si="2"/>
        <v>0</v>
      </c>
      <c r="K55" s="169">
        <f t="shared" si="2"/>
        <v>0</v>
      </c>
      <c r="L55" s="169">
        <f t="shared" si="2"/>
        <v>0</v>
      </c>
      <c r="M55" s="169">
        <f t="shared" si="2"/>
        <v>0</v>
      </c>
      <c r="N55" s="169">
        <f t="shared" si="2"/>
        <v>0</v>
      </c>
    </row>
    <row r="56" spans="3:20" ht="4.5" hidden="1" customHeight="1" outlineLevel="1" x14ac:dyDescent="0.2">
      <c r="C56" s="37"/>
      <c r="D56" s="37"/>
      <c r="E56" s="269"/>
      <c r="F56" s="36"/>
      <c r="G56" s="36"/>
      <c r="H56" s="36"/>
      <c r="I56" s="36"/>
      <c r="J56" s="129"/>
      <c r="K56" s="128"/>
      <c r="L56" s="128"/>
      <c r="M56" s="128"/>
      <c r="N56" s="128"/>
    </row>
    <row r="57" spans="3:20" ht="11.45" hidden="1" customHeight="1" outlineLevel="1" x14ac:dyDescent="0.2">
      <c r="C57" s="37" t="str">
        <f>'Lead PL'!C24</f>
        <v>Gesamtleistung</v>
      </c>
      <c r="D57" s="37" t="str">
        <f>'Lead PL'!D24</f>
        <v>Total output</v>
      </c>
      <c r="E57" s="37"/>
      <c r="F57" s="36">
        <f>'Lead PL'!F24</f>
        <v>16416.744779999997</v>
      </c>
      <c r="G57" s="36">
        <f>'Lead PL'!G24</f>
        <v>15515.82071</v>
      </c>
      <c r="H57" s="36">
        <f>'Lead PL'!H24</f>
        <v>17010.758600000001</v>
      </c>
      <c r="I57" s="36">
        <f>'Lead PL'!I24</f>
        <v>15235.918450000003</v>
      </c>
      <c r="J57" s="129">
        <f>'Lead PL'!J24</f>
        <v>0</v>
      </c>
      <c r="K57" s="128">
        <f>'Lead PL'!K24</f>
        <v>0</v>
      </c>
      <c r="L57" s="128">
        <f>'Lead PL'!L24</f>
        <v>0</v>
      </c>
      <c r="M57" s="128">
        <f>'Lead PL'!M24</f>
        <v>0</v>
      </c>
      <c r="N57" s="128">
        <f>'Lead PL'!N24</f>
        <v>0</v>
      </c>
    </row>
    <row r="58" spans="3:20" ht="4.5" hidden="1" customHeight="1" outlineLevel="1" collapsed="1" x14ac:dyDescent="0.2">
      <c r="C58" s="37"/>
      <c r="D58" s="37"/>
      <c r="E58" s="269"/>
      <c r="F58" s="36"/>
      <c r="G58" s="36"/>
      <c r="H58" s="36"/>
      <c r="I58" s="36"/>
      <c r="J58" s="129"/>
      <c r="K58" s="128"/>
      <c r="L58" s="128"/>
      <c r="M58" s="128"/>
      <c r="N58" s="128"/>
    </row>
    <row r="59" spans="3:20" ht="11.45" hidden="1" customHeight="1" outlineLevel="1" x14ac:dyDescent="0.2">
      <c r="C59" s="155" t="s">
        <v>763</v>
      </c>
      <c r="D59" s="155" t="s">
        <v>763</v>
      </c>
      <c r="E59" s="269"/>
      <c r="F59" s="36"/>
      <c r="G59" s="36"/>
      <c r="H59" s="36"/>
      <c r="I59" s="36"/>
      <c r="J59" s="129"/>
      <c r="K59" s="128"/>
      <c r="L59" s="128"/>
      <c r="M59" s="128"/>
      <c r="N59" s="128"/>
    </row>
    <row r="60" spans="3:20" ht="11.45" hidden="1" customHeight="1" outlineLevel="1" x14ac:dyDescent="0.2">
      <c r="C60" s="37" t="s">
        <v>2533</v>
      </c>
      <c r="D60" s="42" t="s">
        <v>207</v>
      </c>
      <c r="E60" s="532">
        <f>E53+1</f>
        <v>19</v>
      </c>
      <c r="F60" s="36" t="s">
        <v>2429</v>
      </c>
      <c r="G60" s="36">
        <v>0</v>
      </c>
      <c r="H60" s="36">
        <v>0</v>
      </c>
      <c r="I60" s="36">
        <v>0</v>
      </c>
      <c r="J60" s="135"/>
      <c r="K60" s="134"/>
      <c r="L60" s="134"/>
      <c r="M60" s="134"/>
      <c r="N60" s="134"/>
      <c r="Q60" s="370"/>
    </row>
    <row r="61" spans="3:20" ht="11.45" hidden="1" customHeight="1" outlineLevel="2" x14ac:dyDescent="0.2">
      <c r="C61" s="37" t="s">
        <v>207</v>
      </c>
      <c r="D61" s="37" t="s">
        <v>207</v>
      </c>
      <c r="E61" s="269"/>
      <c r="F61" s="36"/>
      <c r="G61" s="36"/>
      <c r="H61" s="36"/>
      <c r="I61" s="36"/>
      <c r="J61" s="129"/>
      <c r="K61" s="128"/>
      <c r="L61" s="128"/>
      <c r="M61" s="128"/>
      <c r="N61" s="128"/>
      <c r="Q61" s="370" t="s">
        <v>793</v>
      </c>
    </row>
    <row r="62" spans="3:20" ht="11.45" hidden="1" customHeight="1" outlineLevel="1" collapsed="1" x14ac:dyDescent="0.2">
      <c r="C62" s="272" t="s">
        <v>805</v>
      </c>
      <c r="D62" s="272" t="s">
        <v>805</v>
      </c>
      <c r="E62" s="373"/>
      <c r="F62" s="132">
        <f>SUM(F60:F61)</f>
        <v>0</v>
      </c>
      <c r="G62" s="132">
        <f>SUM(G60:G61)</f>
        <v>0</v>
      </c>
      <c r="H62" s="132">
        <f>SUM(H60:H61)</f>
        <v>0</v>
      </c>
      <c r="I62" s="132">
        <f>SUM(I60:I61)</f>
        <v>0</v>
      </c>
      <c r="J62" s="131">
        <f>SUM(J50:J61)</f>
        <v>0</v>
      </c>
      <c r="K62" s="130">
        <f>SUM(K50:K61)</f>
        <v>0</v>
      </c>
      <c r="L62" s="130">
        <f>SUM(L50:L61)</f>
        <v>0</v>
      </c>
      <c r="M62" s="130">
        <f>SUM(M50:M61)</f>
        <v>0</v>
      </c>
      <c r="N62" s="130">
        <f>SUM(N50:N61)</f>
        <v>0</v>
      </c>
      <c r="Q62" s="1"/>
    </row>
    <row r="63" spans="3:20" ht="11.45" customHeight="1" collapsed="1" x14ac:dyDescent="0.2">
      <c r="C63" s="37"/>
      <c r="D63" s="37"/>
      <c r="E63" s="269"/>
      <c r="F63" s="36"/>
      <c r="G63" s="36"/>
      <c r="H63" s="36"/>
      <c r="I63" s="36"/>
      <c r="J63" s="129"/>
      <c r="K63" s="128"/>
      <c r="L63" s="128"/>
      <c r="M63" s="128"/>
      <c r="N63" s="128"/>
    </row>
    <row r="64" spans="3:20" ht="11.45" customHeight="1" x14ac:dyDescent="0.2">
      <c r="C64" s="90" t="str">
        <f>"in % der "&amp;C57</f>
        <v>in % der Gesamtleistung</v>
      </c>
      <c r="D64" s="90" t="str">
        <f>"in % of "&amp;D57</f>
        <v>in % of Total output</v>
      </c>
      <c r="E64" s="268"/>
      <c r="F64" s="81"/>
      <c r="G64" s="81"/>
      <c r="H64" s="81"/>
      <c r="I64" s="81"/>
      <c r="J64" s="79"/>
      <c r="K64" s="78"/>
      <c r="L64" s="78"/>
      <c r="M64" s="78"/>
      <c r="N64" s="78"/>
    </row>
    <row r="65" spans="3:14" ht="11.45" customHeight="1" x14ac:dyDescent="0.2">
      <c r="C65" s="37" t="str">
        <f>C9</f>
        <v>Reported EBITDA</v>
      </c>
      <c r="D65" s="37" t="str">
        <f>D9</f>
        <v>Reported EBITDA</v>
      </c>
      <c r="E65" s="37"/>
      <c r="F65" s="81">
        <f t="shared" ref="F65:N65" si="3">IFERROR(F9/F$57,"n/a")</f>
        <v>-0.2672090130404039</v>
      </c>
      <c r="G65" s="81">
        <f t="shared" si="3"/>
        <v>-0.41836925750349169</v>
      </c>
      <c r="H65" s="81">
        <f t="shared" si="3"/>
        <v>-0.39019697922231406</v>
      </c>
      <c r="I65" s="81">
        <f t="shared" si="3"/>
        <v>-0.39677953448221515</v>
      </c>
      <c r="J65" s="79" t="str">
        <f t="shared" si="3"/>
        <v>n/a</v>
      </c>
      <c r="K65" s="78" t="str">
        <f t="shared" si="3"/>
        <v>n/a</v>
      </c>
      <c r="L65" s="78" t="str">
        <f t="shared" si="3"/>
        <v>n/a</v>
      </c>
      <c r="M65" s="78" t="str">
        <f t="shared" si="3"/>
        <v>n/a</v>
      </c>
      <c r="N65" s="78" t="str">
        <f t="shared" si="3"/>
        <v>n/a</v>
      </c>
    </row>
    <row r="66" spans="3:14" ht="11.45" hidden="1" customHeight="1" outlineLevel="1" x14ac:dyDescent="0.2">
      <c r="C66" s="37" t="str">
        <f>C23</f>
        <v>Management normalisiertes EBITDA</v>
      </c>
      <c r="D66" s="37" t="str">
        <f>D23</f>
        <v>Management normalized EBITDA</v>
      </c>
      <c r="E66" s="37"/>
      <c r="F66" s="81">
        <f t="shared" ref="F66:N66" si="4">IFERROR(F23/F$57,"n/a")</f>
        <v>-0.24631832827945094</v>
      </c>
      <c r="G66" s="81">
        <f t="shared" si="4"/>
        <v>-0.39004854935578842</v>
      </c>
      <c r="H66" s="81">
        <f t="shared" si="4"/>
        <v>-0.35541081348365033</v>
      </c>
      <c r="I66" s="81">
        <f t="shared" si="4"/>
        <v>-0.36454678372211902</v>
      </c>
      <c r="J66" s="79" t="str">
        <f t="shared" si="4"/>
        <v>n/a</v>
      </c>
      <c r="K66" s="78" t="str">
        <f t="shared" si="4"/>
        <v>n/a</v>
      </c>
      <c r="L66" s="78" t="str">
        <f t="shared" si="4"/>
        <v>n/a</v>
      </c>
      <c r="M66" s="78" t="str">
        <f t="shared" si="4"/>
        <v>n/a</v>
      </c>
      <c r="N66" s="78" t="str">
        <f t="shared" si="4"/>
        <v>n/a</v>
      </c>
    </row>
    <row r="67" spans="3:14" ht="11.45" customHeight="1" collapsed="1" x14ac:dyDescent="0.2">
      <c r="C67" s="37" t="str">
        <f>C43</f>
        <v>BT normalisiertes EBITDA I</v>
      </c>
      <c r="D67" s="37" t="str">
        <f>D43</f>
        <v>BT normalized EBITDA I</v>
      </c>
      <c r="E67" s="37"/>
      <c r="F67" s="81">
        <f t="shared" ref="F67:N67" si="5">IFERROR(F43/F$57,"n/a")</f>
        <v>-0.25187128419255372</v>
      </c>
      <c r="G67" s="81">
        <f t="shared" si="5"/>
        <v>-0.38998339907989299</v>
      </c>
      <c r="H67" s="81">
        <f t="shared" si="5"/>
        <v>-0.3570264445466883</v>
      </c>
      <c r="I67" s="81">
        <f t="shared" si="5"/>
        <v>-0.36682487415125231</v>
      </c>
      <c r="J67" s="79" t="str">
        <f t="shared" si="5"/>
        <v>n/a</v>
      </c>
      <c r="K67" s="78" t="str">
        <f t="shared" si="5"/>
        <v>n/a</v>
      </c>
      <c r="L67" s="78" t="str">
        <f t="shared" si="5"/>
        <v>n/a</v>
      </c>
      <c r="M67" s="78" t="str">
        <f t="shared" si="5"/>
        <v>n/a</v>
      </c>
      <c r="N67" s="78" t="str">
        <f t="shared" si="5"/>
        <v>n/a</v>
      </c>
    </row>
    <row r="68" spans="3:14" ht="11.45" customHeight="1" x14ac:dyDescent="0.2">
      <c r="C68" s="37" t="str">
        <f>C55</f>
        <v>BT normalisiertes EBITDA II</v>
      </c>
      <c r="D68" s="37" t="str">
        <f>D55</f>
        <v>BT normalized EBITDA II</v>
      </c>
      <c r="E68" s="37"/>
      <c r="F68" s="81">
        <f t="shared" ref="F68:N68" si="6">IFERROR(F55/F$57,"n/a")</f>
        <v>-0.26831790644430076</v>
      </c>
      <c r="G68" s="81">
        <f t="shared" si="6"/>
        <v>-0.40738499226960961</v>
      </c>
      <c r="H68" s="81">
        <f t="shared" si="6"/>
        <v>-0.37289875255769023</v>
      </c>
      <c r="I68" s="81">
        <f t="shared" si="6"/>
        <v>-0.38454615566677525</v>
      </c>
      <c r="J68" s="79" t="str">
        <f t="shared" si="6"/>
        <v>n/a</v>
      </c>
      <c r="K68" s="78" t="str">
        <f t="shared" si="6"/>
        <v>n/a</v>
      </c>
      <c r="L68" s="78" t="str">
        <f t="shared" si="6"/>
        <v>n/a</v>
      </c>
      <c r="M68" s="78" t="str">
        <f t="shared" si="6"/>
        <v>n/a</v>
      </c>
      <c r="N68" s="78" t="str">
        <f t="shared" si="6"/>
        <v>n/a</v>
      </c>
    </row>
    <row r="69" spans="3:14" ht="4.5" customHeight="1" x14ac:dyDescent="0.2">
      <c r="C69" s="37"/>
      <c r="D69" s="37"/>
      <c r="E69" s="37"/>
      <c r="F69" s="81"/>
      <c r="G69" s="81"/>
      <c r="H69" s="81"/>
      <c r="I69" s="81"/>
      <c r="J69" s="79"/>
      <c r="K69" s="78"/>
      <c r="L69" s="78"/>
      <c r="M69" s="78"/>
      <c r="N69" s="78"/>
    </row>
    <row r="70" spans="3:14" ht="11.45" customHeight="1" x14ac:dyDescent="0.2">
      <c r="C70" s="42" t="str">
        <f>"Quelle: "&amp;Cockpit!$C$7</f>
        <v>Quelle: Datenraum/ eigene Analysen</v>
      </c>
      <c r="D70" s="42" t="str">
        <f>"Source: "&amp;Cockpit!$C$8</f>
        <v>Source: Virtual Data Room/ Company Information</v>
      </c>
      <c r="E70" s="42"/>
      <c r="F70" s="41"/>
      <c r="G70" s="41"/>
      <c r="H70" s="41"/>
      <c r="I70" s="41"/>
      <c r="J70" s="187"/>
      <c r="K70" s="238"/>
      <c r="L70" s="238"/>
      <c r="M70" s="238"/>
      <c r="N70" s="238"/>
    </row>
    <row r="73" spans="3:14" ht="11.45" customHeight="1" x14ac:dyDescent="0.2">
      <c r="C73" s="72" t="s">
        <v>459</v>
      </c>
      <c r="D73" s="72" t="s">
        <v>459</v>
      </c>
      <c r="E73" s="267"/>
      <c r="F73" s="71">
        <f>'Lead PL'!F43</f>
        <v>-4386.7021700000023</v>
      </c>
      <c r="G73" s="71">
        <f>'Lead PL'!G43</f>
        <v>-6491.3423899999989</v>
      </c>
      <c r="H73" s="71">
        <f>'Lead PL'!H43</f>
        <v>-6637.546620000001</v>
      </c>
      <c r="I73" s="71">
        <f>'Lead PL'!I43</f>
        <v>-6045.3006299999943</v>
      </c>
      <c r="J73" s="71">
        <f>'Lead PL'!J43</f>
        <v>0</v>
      </c>
      <c r="K73" s="71">
        <f>'Lead PL'!K43</f>
        <v>0</v>
      </c>
      <c r="L73" s="71">
        <f>'Lead PL'!L43</f>
        <v>0</v>
      </c>
      <c r="M73" s="71">
        <f>'Lead PL'!M43</f>
        <v>0</v>
      </c>
      <c r="N73" s="71">
        <f>'Lead PL'!N43</f>
        <v>0</v>
      </c>
    </row>
    <row r="74" spans="3:14" ht="11.45" customHeight="1" x14ac:dyDescent="0.2">
      <c r="C74" s="70" t="s">
        <v>233</v>
      </c>
      <c r="D74" s="69" t="s">
        <v>233</v>
      </c>
      <c r="E74" s="266"/>
      <c r="F74" s="158">
        <f t="shared" ref="F74:N74" si="7">F73-F9</f>
        <v>0</v>
      </c>
      <c r="G74" s="158">
        <f t="shared" si="7"/>
        <v>0</v>
      </c>
      <c r="H74" s="158">
        <f t="shared" si="7"/>
        <v>0</v>
      </c>
      <c r="I74" s="158">
        <f t="shared" si="7"/>
        <v>0</v>
      </c>
      <c r="J74" s="158">
        <f t="shared" si="7"/>
        <v>0</v>
      </c>
      <c r="K74" s="158">
        <f t="shared" si="7"/>
        <v>0</v>
      </c>
      <c r="L74" s="158">
        <f t="shared" si="7"/>
        <v>0</v>
      </c>
      <c r="M74" s="158">
        <f t="shared" si="7"/>
        <v>0</v>
      </c>
      <c r="N74" s="158">
        <f t="shared" si="7"/>
        <v>0</v>
      </c>
    </row>
  </sheetData>
  <conditionalFormatting sqref="A1:I18 J1:XFD1048576 A19:G19 A20:I30 A31:F32 A33:I34 A35:F36 A37:I1048576">
    <cfRule type="containsText" dxfId="257" priority="18" operator="containsText" text="DUmmy">
      <formula>NOT(ISERROR(SEARCH("DUmmy",A1)))</formula>
    </cfRule>
  </conditionalFormatting>
  <conditionalFormatting sqref="F74:N74">
    <cfRule type="cellIs" dxfId="256" priority="20" operator="between">
      <formula>-1</formula>
      <formula>1</formula>
    </cfRule>
    <cfRule type="cellIs" dxfId="255" priority="21" operator="lessThan">
      <formula>-1</formula>
    </cfRule>
    <cfRule type="cellIs" dxfId="254" priority="22" operator="greaterThan">
      <formula>1</formula>
    </cfRule>
  </conditionalFormatting>
  <conditionalFormatting sqref="G27:I41">
    <cfRule type="containsText" dxfId="253" priority="3" operator="containsText" text="dummy">
      <formula>NOT(ISERROR(SEARCH("dummy",G27)))</formula>
    </cfRule>
  </conditionalFormatting>
  <conditionalFormatting sqref="G52:I52">
    <cfRule type="containsText" dxfId="252" priority="4" operator="containsText" text="dummy">
      <formula>NOT(ISERROR(SEARCH("dummy",G52)))</formula>
    </cfRule>
  </conditionalFormatting>
  <conditionalFormatting sqref="H19:I19">
    <cfRule type="containsText" dxfId="251" priority="1" operator="containsText" text="dummy">
      <formula>NOT(ISERROR(SEARCH("dummy",H19)))</formula>
    </cfRule>
  </conditionalFormatting>
  <pageMargins left="0.7" right="0.7" top="0.78740157499999996" bottom="0.78740157499999996" header="0.3" footer="0.3"/>
  <pageSetup paperSize="9" scale="57" orientation="portrait" r:id="rId1"/>
  <customProperties>
    <customPr name="AreLinksHighlighted" r:id="rId2"/>
  </customPropertie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7166B853-6835-4C56-A7AC-D5EAB44427D8}">
          <x14:formula1>
            <xm:f>'Trial Balance Dropdown'!$C$2:$C$300</xm:f>
          </x14:formula1>
          <xm:sqref>Q60:Q61 Q27:Q30 Q33:Q34 Q46:Q53 Q38:Q41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25277-8BF3-4FA9-82B9-41C12AB78E55}">
  <sheetPr>
    <tabColor rgb="FF92D050"/>
    <pageSetUpPr autoPageBreaks="0"/>
  </sheetPr>
  <dimension ref="A1:CN105"/>
  <sheetViews>
    <sheetView workbookViewId="0"/>
  </sheetViews>
  <sheetFormatPr defaultColWidth="11" defaultRowHeight="12" outlineLevelRow="3" outlineLevelCol="2" x14ac:dyDescent="0.2"/>
  <cols>
    <col min="1" max="1" width="12.85546875" style="1" customWidth="1"/>
    <col min="2" max="2" width="0.85546875" style="1" customWidth="1"/>
    <col min="3" max="3" width="35.5703125" style="1" customWidth="1"/>
    <col min="4" max="4" width="35.5703125" style="1" hidden="1" customWidth="1" outlineLevel="1"/>
    <col min="5" max="5" width="9.42578125" style="1" customWidth="1" collapsed="1"/>
    <col min="6" max="17" width="9.42578125" style="1" hidden="1" customWidth="1" outlineLevel="1"/>
    <col min="18" max="18" width="9.42578125" style="1" customWidth="1" collapsed="1"/>
    <col min="19" max="46" width="9.42578125" style="1" customWidth="1"/>
    <col min="47" max="53" width="9.42578125" style="30" customWidth="1"/>
    <col min="54" max="89" width="9.42578125" style="30" hidden="1" customWidth="1" outlineLevel="1"/>
    <col min="90" max="90" width="0.85546875" style="1" hidden="1" customWidth="1" outlineLevel="2"/>
    <col min="91" max="91" width="11" style="1" collapsed="1"/>
    <col min="92" max="92" width="48" style="1" bestFit="1" customWidth="1"/>
    <col min="93" max="16384" width="11" style="1"/>
  </cols>
  <sheetData>
    <row r="1" spans="3:92" outlineLevel="3" x14ac:dyDescent="0.2">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row>
    <row r="2" spans="3:92" x14ac:dyDescent="0.2">
      <c r="AE2" s="481">
        <f>-(NA_monthly!AX15-NA_monthly!AL15)+SUM(PL_monthly!AM35:AX35)</f>
        <v>-334.70817999999986</v>
      </c>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row>
    <row r="3" spans="3:92" ht="11.25" customHeight="1" x14ac:dyDescent="0.2">
      <c r="S3" s="481">
        <f>SUM(PL_monthly!G9:R9)</f>
        <v>1087.9522199999999</v>
      </c>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row>
    <row r="4" spans="3:92" s="313" customFormat="1" ht="11.25" customHeight="1" x14ac:dyDescent="0.2">
      <c r="C4" s="236" t="str">
        <f>Cockpit!$C$4</f>
        <v>Projekt Namur</v>
      </c>
      <c r="D4" s="230"/>
      <c r="E4" s="230"/>
      <c r="F4" s="234">
        <f>Cockpit!D45</f>
        <v>44592</v>
      </c>
      <c r="G4" s="234">
        <f>Cockpit!E45</f>
        <v>44620</v>
      </c>
      <c r="H4" s="234">
        <f>Cockpit!F45</f>
        <v>44651</v>
      </c>
      <c r="I4" s="234">
        <f>Cockpit!G45</f>
        <v>44681</v>
      </c>
      <c r="J4" s="234">
        <f>Cockpit!H45</f>
        <v>44712</v>
      </c>
      <c r="K4" s="234">
        <f>Cockpit!I45</f>
        <v>44742</v>
      </c>
      <c r="L4" s="234">
        <f>Cockpit!J45</f>
        <v>44773</v>
      </c>
      <c r="M4" s="234">
        <f>Cockpit!K45</f>
        <v>44804</v>
      </c>
      <c r="N4" s="234">
        <f>Cockpit!L45</f>
        <v>44834</v>
      </c>
      <c r="O4" s="234">
        <f>Cockpit!M45</f>
        <v>44865</v>
      </c>
      <c r="P4" s="234">
        <f>Cockpit!N45</f>
        <v>44895</v>
      </c>
      <c r="Q4" s="234">
        <f>Cockpit!O45</f>
        <v>44926</v>
      </c>
      <c r="R4" s="234">
        <f>Cockpit!P45</f>
        <v>44957</v>
      </c>
      <c r="S4" s="234">
        <f>Cockpit!Q45</f>
        <v>44985</v>
      </c>
      <c r="T4" s="234">
        <f>Cockpit!R45</f>
        <v>45016</v>
      </c>
      <c r="U4" s="234">
        <f>Cockpit!S45</f>
        <v>45046</v>
      </c>
      <c r="V4" s="234">
        <f>Cockpit!T45</f>
        <v>45077</v>
      </c>
      <c r="W4" s="234">
        <f>Cockpit!U45</f>
        <v>45107</v>
      </c>
      <c r="X4" s="234">
        <f>Cockpit!V45</f>
        <v>45138</v>
      </c>
      <c r="Y4" s="234">
        <f>Cockpit!W45</f>
        <v>45169</v>
      </c>
      <c r="Z4" s="234">
        <f>Cockpit!X45</f>
        <v>45199</v>
      </c>
      <c r="AA4" s="234">
        <f>Cockpit!Y45</f>
        <v>45230</v>
      </c>
      <c r="AB4" s="234">
        <f>Cockpit!Z45</f>
        <v>45260</v>
      </c>
      <c r="AC4" s="234">
        <f>Cockpit!AA45</f>
        <v>45291</v>
      </c>
      <c r="AD4" s="234">
        <f>Cockpit!AB45</f>
        <v>45322</v>
      </c>
      <c r="AE4" s="234">
        <f>Cockpit!AC45</f>
        <v>45351</v>
      </c>
      <c r="AF4" s="234">
        <f>Cockpit!AD45</f>
        <v>45382</v>
      </c>
      <c r="AG4" s="234">
        <f>Cockpit!AE45</f>
        <v>45412</v>
      </c>
      <c r="AH4" s="234">
        <f>Cockpit!AF45</f>
        <v>45443</v>
      </c>
      <c r="AI4" s="234">
        <f>Cockpit!AG45</f>
        <v>45473</v>
      </c>
      <c r="AJ4" s="234">
        <f>Cockpit!AH45</f>
        <v>45504</v>
      </c>
      <c r="AK4" s="234">
        <f>Cockpit!AI45</f>
        <v>45535</v>
      </c>
      <c r="AL4" s="234">
        <f>Cockpit!AJ45</f>
        <v>45565</v>
      </c>
      <c r="AM4" s="234">
        <f>Cockpit!AK45</f>
        <v>45596</v>
      </c>
      <c r="AN4" s="234">
        <f>Cockpit!AL45</f>
        <v>45626</v>
      </c>
      <c r="AO4" s="234">
        <f>Cockpit!AM45</f>
        <v>45657</v>
      </c>
      <c r="AP4" s="234">
        <f>Cockpit!AN45</f>
        <v>45688</v>
      </c>
      <c r="AQ4" s="234">
        <f>Cockpit!AO45</f>
        <v>45716</v>
      </c>
      <c r="AR4" s="234">
        <f>Cockpit!AP45</f>
        <v>45747</v>
      </c>
      <c r="AS4" s="234">
        <f>Cockpit!AQ45</f>
        <v>45777</v>
      </c>
      <c r="AT4" s="234">
        <f>Cockpit!AR45</f>
        <v>45808</v>
      </c>
      <c r="AU4" s="234">
        <f>Cockpit!AS45</f>
        <v>45838</v>
      </c>
      <c r="AV4" s="234">
        <f>Cockpit!AT45</f>
        <v>45869</v>
      </c>
      <c r="AW4" s="234">
        <f>Cockpit!AU45</f>
        <v>45900</v>
      </c>
      <c r="AX4" s="234">
        <f>Cockpit!AV45</f>
        <v>45930</v>
      </c>
      <c r="AY4" s="234">
        <f>Cockpit!AW45</f>
        <v>45961</v>
      </c>
      <c r="AZ4" s="234">
        <f>Cockpit!AX45</f>
        <v>45991</v>
      </c>
      <c r="BA4" s="234">
        <f>Cockpit!AY45</f>
        <v>46022</v>
      </c>
      <c r="BB4" s="234">
        <f>Cockpit!AZ45</f>
        <v>46053</v>
      </c>
      <c r="BC4" s="234">
        <f>Cockpit!BA45</f>
        <v>46081</v>
      </c>
      <c r="BD4" s="234">
        <f>Cockpit!BB45</f>
        <v>46112</v>
      </c>
      <c r="BE4" s="234">
        <f>Cockpit!BC45</f>
        <v>46142</v>
      </c>
      <c r="BF4" s="234">
        <f>Cockpit!BD45</f>
        <v>46173</v>
      </c>
      <c r="BG4" s="234">
        <f>Cockpit!BE45</f>
        <v>46203</v>
      </c>
      <c r="BH4" s="234">
        <f>Cockpit!BF45</f>
        <v>46234</v>
      </c>
      <c r="BI4" s="234">
        <f>Cockpit!BG45</f>
        <v>46265</v>
      </c>
      <c r="BJ4" s="234">
        <f>Cockpit!BH45</f>
        <v>46295</v>
      </c>
      <c r="BK4" s="234">
        <f>Cockpit!BI45</f>
        <v>46326</v>
      </c>
      <c r="BL4" s="234">
        <f>Cockpit!BJ45</f>
        <v>46356</v>
      </c>
      <c r="BM4" s="234">
        <f>Cockpit!BK45</f>
        <v>46387</v>
      </c>
      <c r="BN4" s="234">
        <f>Cockpit!BL45</f>
        <v>46418</v>
      </c>
      <c r="BO4" s="234">
        <f>Cockpit!BM45</f>
        <v>46446</v>
      </c>
      <c r="BP4" s="234">
        <f>Cockpit!BN45</f>
        <v>46477</v>
      </c>
      <c r="BQ4" s="234">
        <f>Cockpit!BO45</f>
        <v>46507</v>
      </c>
      <c r="BR4" s="234">
        <f>Cockpit!BP45</f>
        <v>46538</v>
      </c>
      <c r="BS4" s="234">
        <f>Cockpit!BQ45</f>
        <v>46568</v>
      </c>
      <c r="BT4" s="234">
        <f>Cockpit!BR45</f>
        <v>46599</v>
      </c>
      <c r="BU4" s="234">
        <f>Cockpit!BS45</f>
        <v>46630</v>
      </c>
      <c r="BV4" s="234">
        <f>Cockpit!BT45</f>
        <v>46660</v>
      </c>
      <c r="BW4" s="234">
        <f>Cockpit!BU45</f>
        <v>46691</v>
      </c>
      <c r="BX4" s="234">
        <f>Cockpit!BV45</f>
        <v>46721</v>
      </c>
      <c r="BY4" s="234">
        <f>Cockpit!BW45</f>
        <v>46752</v>
      </c>
      <c r="BZ4" s="234">
        <f>Cockpit!BX45</f>
        <v>46783</v>
      </c>
      <c r="CA4" s="234">
        <f>Cockpit!BY45</f>
        <v>46812</v>
      </c>
      <c r="CB4" s="234">
        <f>Cockpit!BZ45</f>
        <v>46843</v>
      </c>
      <c r="CC4" s="234">
        <f>Cockpit!CA45</f>
        <v>46873</v>
      </c>
      <c r="CD4" s="234">
        <f>Cockpit!CB45</f>
        <v>46904</v>
      </c>
      <c r="CE4" s="234">
        <f>Cockpit!CC45</f>
        <v>46934</v>
      </c>
      <c r="CF4" s="234">
        <f>Cockpit!CD45</f>
        <v>46965</v>
      </c>
      <c r="CG4" s="234">
        <f>Cockpit!CE45</f>
        <v>46996</v>
      </c>
      <c r="CH4" s="234">
        <f>Cockpit!CF45</f>
        <v>47026</v>
      </c>
      <c r="CI4" s="234">
        <f>Cockpit!CG45</f>
        <v>47057</v>
      </c>
      <c r="CJ4" s="234">
        <f>Cockpit!CH45</f>
        <v>47087</v>
      </c>
      <c r="CK4" s="234">
        <f>Cockpit!CI45</f>
        <v>47118</v>
      </c>
    </row>
    <row r="5" spans="3:92" s="313" customFormat="1" ht="11.25" customHeight="1" x14ac:dyDescent="0.2">
      <c r="C5" s="236" t="str">
        <f>"in T"&amp;Cockpit!$C$5</f>
        <v>in TEUR</v>
      </c>
      <c r="D5" s="230"/>
      <c r="E5" s="230"/>
      <c r="F5" s="234" t="str">
        <f>Cockpit!D46</f>
        <v>IST</v>
      </c>
      <c r="G5" s="234" t="str">
        <f>Cockpit!E46</f>
        <v>IST</v>
      </c>
      <c r="H5" s="234" t="str">
        <f>Cockpit!F46</f>
        <v>IST</v>
      </c>
      <c r="I5" s="234" t="str">
        <f>Cockpit!G46</f>
        <v>IST</v>
      </c>
      <c r="J5" s="234" t="str">
        <f>Cockpit!H46</f>
        <v>IST</v>
      </c>
      <c r="K5" s="234" t="str">
        <f>Cockpit!I46</f>
        <v>IST</v>
      </c>
      <c r="L5" s="234" t="str">
        <f>Cockpit!J46</f>
        <v>IST</v>
      </c>
      <c r="M5" s="234" t="str">
        <f>Cockpit!K46</f>
        <v>IST</v>
      </c>
      <c r="N5" s="234" t="str">
        <f>Cockpit!L46</f>
        <v>IST</v>
      </c>
      <c r="O5" s="234" t="str">
        <f>Cockpit!M46</f>
        <v>IST</v>
      </c>
      <c r="P5" s="234" t="str">
        <f>Cockpit!N46</f>
        <v>IST</v>
      </c>
      <c r="Q5" s="234" t="str">
        <f>Cockpit!O46</f>
        <v>IST</v>
      </c>
      <c r="R5" s="234" t="str">
        <f>Cockpit!P46</f>
        <v>IST</v>
      </c>
      <c r="S5" s="234" t="str">
        <f>Cockpit!Q46</f>
        <v>IST</v>
      </c>
      <c r="T5" s="234" t="str">
        <f>Cockpit!R46</f>
        <v>IST</v>
      </c>
      <c r="U5" s="234" t="str">
        <f>Cockpit!S46</f>
        <v>IST</v>
      </c>
      <c r="V5" s="234" t="str">
        <f>Cockpit!T46</f>
        <v>IST</v>
      </c>
      <c r="W5" s="234" t="str">
        <f>Cockpit!U46</f>
        <v>IST</v>
      </c>
      <c r="X5" s="234" t="str">
        <f>Cockpit!V46</f>
        <v>IST</v>
      </c>
      <c r="Y5" s="234" t="str">
        <f>Cockpit!W46</f>
        <v>IST</v>
      </c>
      <c r="Z5" s="234" t="str">
        <f>Cockpit!X46</f>
        <v>IST</v>
      </c>
      <c r="AA5" s="234" t="str">
        <f>Cockpit!Y46</f>
        <v>IST</v>
      </c>
      <c r="AB5" s="234" t="str">
        <f>Cockpit!Z46</f>
        <v>IST</v>
      </c>
      <c r="AC5" s="234" t="str">
        <f>Cockpit!AA46</f>
        <v>IST</v>
      </c>
      <c r="AD5" s="234" t="str">
        <f>Cockpit!AB46</f>
        <v>IST</v>
      </c>
      <c r="AE5" s="234" t="str">
        <f>Cockpit!AC46</f>
        <v>IST</v>
      </c>
      <c r="AF5" s="234" t="str">
        <f>Cockpit!AD46</f>
        <v>IST</v>
      </c>
      <c r="AG5" s="234" t="str">
        <f>Cockpit!AE46</f>
        <v>IST</v>
      </c>
      <c r="AH5" s="234" t="str">
        <f>Cockpit!AF46</f>
        <v>IST</v>
      </c>
      <c r="AI5" s="234" t="str">
        <f>Cockpit!AG46</f>
        <v>IST</v>
      </c>
      <c r="AJ5" s="234" t="str">
        <f>Cockpit!AH46</f>
        <v>IST</v>
      </c>
      <c r="AK5" s="234" t="str">
        <f>Cockpit!AI46</f>
        <v>IST</v>
      </c>
      <c r="AL5" s="234" t="str">
        <f>Cockpit!AJ46</f>
        <v>IST</v>
      </c>
      <c r="AM5" s="234" t="str">
        <f>Cockpit!AK46</f>
        <v>IST</v>
      </c>
      <c r="AN5" s="234" t="str">
        <f>Cockpit!AL46</f>
        <v>IST</v>
      </c>
      <c r="AO5" s="234" t="str">
        <f>Cockpit!AM46</f>
        <v>IST</v>
      </c>
      <c r="AP5" s="234" t="str">
        <f>Cockpit!AN46</f>
        <v>IST</v>
      </c>
      <c r="AQ5" s="234" t="str">
        <f>Cockpit!AO46</f>
        <v>IST</v>
      </c>
      <c r="AR5" s="234" t="str">
        <f>Cockpit!AP46</f>
        <v>IST</v>
      </c>
      <c r="AS5" s="234" t="str">
        <f>Cockpit!AQ46</f>
        <v>IST</v>
      </c>
      <c r="AT5" s="234" t="str">
        <f>Cockpit!AR46</f>
        <v>IST</v>
      </c>
      <c r="AU5" s="234" t="str">
        <f>Cockpit!AS46</f>
        <v>IST</v>
      </c>
      <c r="AV5" s="234" t="str">
        <f>Cockpit!AT46</f>
        <v>IST</v>
      </c>
      <c r="AW5" s="234" t="str">
        <f>Cockpit!AU46</f>
        <v>IST</v>
      </c>
      <c r="AX5" s="234" t="str">
        <f>Cockpit!AV46</f>
        <v>IST</v>
      </c>
      <c r="AY5" s="234" t="str">
        <f>Cockpit!AW46</f>
        <v>IST</v>
      </c>
      <c r="AZ5" s="234" t="str">
        <f>Cockpit!AX46</f>
        <v>IST</v>
      </c>
      <c r="BA5" s="234" t="str">
        <f>Cockpit!AY46</f>
        <v>IST</v>
      </c>
      <c r="BB5" s="234" t="str">
        <f>Cockpit!AZ46</f>
        <v>Plan</v>
      </c>
      <c r="BC5" s="234" t="str">
        <f>Cockpit!BA46</f>
        <v>Plan</v>
      </c>
      <c r="BD5" s="234" t="str">
        <f>Cockpit!BB46</f>
        <v>Plan</v>
      </c>
      <c r="BE5" s="234" t="str">
        <f>Cockpit!BC46</f>
        <v>Plan</v>
      </c>
      <c r="BF5" s="234" t="str">
        <f>Cockpit!BD46</f>
        <v>Plan</v>
      </c>
      <c r="BG5" s="234" t="str">
        <f>Cockpit!BE46</f>
        <v>Plan</v>
      </c>
      <c r="BH5" s="234" t="str">
        <f>Cockpit!BF46</f>
        <v>Plan</v>
      </c>
      <c r="BI5" s="234" t="str">
        <f>Cockpit!BG46</f>
        <v>Plan</v>
      </c>
      <c r="BJ5" s="234" t="str">
        <f>Cockpit!BH46</f>
        <v>Plan</v>
      </c>
      <c r="BK5" s="234" t="str">
        <f>Cockpit!BI46</f>
        <v>Plan</v>
      </c>
      <c r="BL5" s="234" t="str">
        <f>Cockpit!BJ46</f>
        <v>Plan</v>
      </c>
      <c r="BM5" s="234" t="str">
        <f>Cockpit!BK46</f>
        <v>Plan</v>
      </c>
      <c r="BN5" s="234" t="str">
        <f>Cockpit!BL46</f>
        <v>Plan</v>
      </c>
      <c r="BO5" s="234" t="str">
        <f>Cockpit!BM46</f>
        <v>Plan</v>
      </c>
      <c r="BP5" s="234" t="str">
        <f>Cockpit!BN46</f>
        <v>Plan</v>
      </c>
      <c r="BQ5" s="234" t="str">
        <f>Cockpit!BO46</f>
        <v>Plan</v>
      </c>
      <c r="BR5" s="234" t="str">
        <f>Cockpit!BP46</f>
        <v>Plan</v>
      </c>
      <c r="BS5" s="234" t="str">
        <f>Cockpit!BQ46</f>
        <v>Plan</v>
      </c>
      <c r="BT5" s="234" t="str">
        <f>Cockpit!BR46</f>
        <v>Plan</v>
      </c>
      <c r="BU5" s="234" t="str">
        <f>Cockpit!BS46</f>
        <v>Plan</v>
      </c>
      <c r="BV5" s="234" t="str">
        <f>Cockpit!BT46</f>
        <v>Plan</v>
      </c>
      <c r="BW5" s="234" t="str">
        <f>Cockpit!BU46</f>
        <v>Plan</v>
      </c>
      <c r="BX5" s="234" t="str">
        <f>Cockpit!BV46</f>
        <v>Plan</v>
      </c>
      <c r="BY5" s="234" t="str">
        <f>Cockpit!BW46</f>
        <v>Plan</v>
      </c>
      <c r="BZ5" s="234" t="str">
        <f>Cockpit!BX46</f>
        <v>Plan</v>
      </c>
      <c r="CA5" s="234" t="str">
        <f>Cockpit!BY46</f>
        <v>Plan</v>
      </c>
      <c r="CB5" s="234" t="str">
        <f>Cockpit!BZ46</f>
        <v>Plan</v>
      </c>
      <c r="CC5" s="234" t="str">
        <f>Cockpit!CA46</f>
        <v>Plan</v>
      </c>
      <c r="CD5" s="234" t="str">
        <f>Cockpit!CB46</f>
        <v>Plan</v>
      </c>
      <c r="CE5" s="234" t="str">
        <f>Cockpit!CC46</f>
        <v>Plan</v>
      </c>
      <c r="CF5" s="234" t="str">
        <f>Cockpit!CD46</f>
        <v>Plan</v>
      </c>
      <c r="CG5" s="234" t="str">
        <f>Cockpit!CE46</f>
        <v>Plan</v>
      </c>
      <c r="CH5" s="234" t="str">
        <f>Cockpit!CF46</f>
        <v>Plan</v>
      </c>
      <c r="CI5" s="234" t="str">
        <f>Cockpit!CG46</f>
        <v>Plan</v>
      </c>
      <c r="CJ5" s="234" t="str">
        <f>Cockpit!CH46</f>
        <v>Plan</v>
      </c>
      <c r="CK5" s="234" t="str">
        <f>Cockpit!CI46</f>
        <v>Plan</v>
      </c>
    </row>
    <row r="6" spans="3:92" s="313" customFormat="1" ht="11.25" hidden="1" customHeight="1" outlineLevel="1" x14ac:dyDescent="0.2">
      <c r="C6" s="233"/>
      <c r="D6" s="232" t="str">
        <f>Cockpit!$C$4</f>
        <v>Projekt Namur</v>
      </c>
      <c r="E6" s="232"/>
      <c r="F6" s="261">
        <f>Cockpit!D45</f>
        <v>44592</v>
      </c>
      <c r="G6" s="261">
        <f>Cockpit!E45</f>
        <v>44620</v>
      </c>
      <c r="H6" s="261">
        <f>Cockpit!F45</f>
        <v>44651</v>
      </c>
      <c r="I6" s="261">
        <f>Cockpit!G45</f>
        <v>44681</v>
      </c>
      <c r="J6" s="261">
        <f>Cockpit!H45</f>
        <v>44712</v>
      </c>
      <c r="K6" s="261">
        <f>Cockpit!I45</f>
        <v>44742</v>
      </c>
      <c r="L6" s="261">
        <f>Cockpit!J45</f>
        <v>44773</v>
      </c>
      <c r="M6" s="261">
        <f>Cockpit!K45</f>
        <v>44804</v>
      </c>
      <c r="N6" s="261">
        <f>Cockpit!L45</f>
        <v>44834</v>
      </c>
      <c r="O6" s="261">
        <f>Cockpit!M45</f>
        <v>44865</v>
      </c>
      <c r="P6" s="261">
        <f>Cockpit!N45</f>
        <v>44895</v>
      </c>
      <c r="Q6" s="261">
        <f>Cockpit!O45</f>
        <v>44926</v>
      </c>
      <c r="R6" s="261">
        <f>Cockpit!P45</f>
        <v>44957</v>
      </c>
      <c r="S6" s="261">
        <f>Cockpit!Q45</f>
        <v>44985</v>
      </c>
      <c r="T6" s="261">
        <f>Cockpit!R45</f>
        <v>45016</v>
      </c>
      <c r="U6" s="261">
        <f>Cockpit!S45</f>
        <v>45046</v>
      </c>
      <c r="V6" s="261">
        <f>Cockpit!T45</f>
        <v>45077</v>
      </c>
      <c r="W6" s="261">
        <f>Cockpit!U45</f>
        <v>45107</v>
      </c>
      <c r="X6" s="261">
        <f>Cockpit!V45</f>
        <v>45138</v>
      </c>
      <c r="Y6" s="261">
        <f>Cockpit!W45</f>
        <v>45169</v>
      </c>
      <c r="Z6" s="261">
        <f>Cockpit!X45</f>
        <v>45199</v>
      </c>
      <c r="AA6" s="261">
        <f>Cockpit!Y45</f>
        <v>45230</v>
      </c>
      <c r="AB6" s="261">
        <f>Cockpit!Z45</f>
        <v>45260</v>
      </c>
      <c r="AC6" s="261">
        <f>Cockpit!AA45</f>
        <v>45291</v>
      </c>
      <c r="AD6" s="261">
        <f>Cockpit!AB45</f>
        <v>45322</v>
      </c>
      <c r="AE6" s="261">
        <f>Cockpit!AC45</f>
        <v>45351</v>
      </c>
      <c r="AF6" s="261">
        <f>Cockpit!AD45</f>
        <v>45382</v>
      </c>
      <c r="AG6" s="261">
        <f>Cockpit!AE45</f>
        <v>45412</v>
      </c>
      <c r="AH6" s="261">
        <f>Cockpit!AF45</f>
        <v>45443</v>
      </c>
      <c r="AI6" s="261">
        <f>Cockpit!AG45</f>
        <v>45473</v>
      </c>
      <c r="AJ6" s="261">
        <f>Cockpit!AH45</f>
        <v>45504</v>
      </c>
      <c r="AK6" s="261">
        <f>Cockpit!AI45</f>
        <v>45535</v>
      </c>
      <c r="AL6" s="261">
        <f>Cockpit!AJ45</f>
        <v>45565</v>
      </c>
      <c r="AM6" s="261">
        <f>Cockpit!AK45</f>
        <v>45596</v>
      </c>
      <c r="AN6" s="261">
        <f>Cockpit!AL45</f>
        <v>45626</v>
      </c>
      <c r="AO6" s="261">
        <f>Cockpit!AM45</f>
        <v>45657</v>
      </c>
      <c r="AP6" s="261">
        <f>Cockpit!AN45</f>
        <v>45688</v>
      </c>
      <c r="AQ6" s="261">
        <f>Cockpit!AO45</f>
        <v>45716</v>
      </c>
      <c r="AR6" s="261">
        <f>Cockpit!AP45</f>
        <v>45747</v>
      </c>
      <c r="AS6" s="261">
        <f>Cockpit!AQ45</f>
        <v>45777</v>
      </c>
      <c r="AT6" s="261">
        <f>Cockpit!AR45</f>
        <v>45808</v>
      </c>
      <c r="AU6" s="261">
        <f>Cockpit!AS45</f>
        <v>45838</v>
      </c>
      <c r="AV6" s="261">
        <f>Cockpit!AT45</f>
        <v>45869</v>
      </c>
      <c r="AW6" s="261">
        <f>Cockpit!AU45</f>
        <v>45900</v>
      </c>
      <c r="AX6" s="261">
        <f>Cockpit!AV45</f>
        <v>45930</v>
      </c>
      <c r="AY6" s="261">
        <f>Cockpit!AW45</f>
        <v>45961</v>
      </c>
      <c r="AZ6" s="261">
        <f>Cockpit!AX45</f>
        <v>45991</v>
      </c>
      <c r="BA6" s="261">
        <f>Cockpit!AY45</f>
        <v>46022</v>
      </c>
      <c r="BB6" s="261">
        <f>Cockpit!AZ45</f>
        <v>46053</v>
      </c>
      <c r="BC6" s="261">
        <f>Cockpit!BA45</f>
        <v>46081</v>
      </c>
      <c r="BD6" s="261">
        <f>Cockpit!BB45</f>
        <v>46112</v>
      </c>
      <c r="BE6" s="261">
        <f>Cockpit!BC45</f>
        <v>46142</v>
      </c>
      <c r="BF6" s="261">
        <f>Cockpit!BD45</f>
        <v>46173</v>
      </c>
      <c r="BG6" s="261">
        <f>Cockpit!BE45</f>
        <v>46203</v>
      </c>
      <c r="BH6" s="261">
        <f>Cockpit!BF45</f>
        <v>46234</v>
      </c>
      <c r="BI6" s="261">
        <f>Cockpit!BG45</f>
        <v>46265</v>
      </c>
      <c r="BJ6" s="261">
        <f>Cockpit!BH45</f>
        <v>46295</v>
      </c>
      <c r="BK6" s="261">
        <f>Cockpit!BI45</f>
        <v>46326</v>
      </c>
      <c r="BL6" s="261">
        <f>Cockpit!BJ45</f>
        <v>46356</v>
      </c>
      <c r="BM6" s="261">
        <f>Cockpit!BK45</f>
        <v>46387</v>
      </c>
      <c r="BN6" s="261">
        <f>Cockpit!BL45</f>
        <v>46418</v>
      </c>
      <c r="BO6" s="261">
        <f>Cockpit!BM45</f>
        <v>46446</v>
      </c>
      <c r="BP6" s="261">
        <f>Cockpit!BN45</f>
        <v>46477</v>
      </c>
      <c r="BQ6" s="261">
        <f>Cockpit!BO45</f>
        <v>46507</v>
      </c>
      <c r="BR6" s="261">
        <f>Cockpit!BP45</f>
        <v>46538</v>
      </c>
      <c r="BS6" s="261">
        <f>Cockpit!BQ45</f>
        <v>46568</v>
      </c>
      <c r="BT6" s="261">
        <f>Cockpit!BR45</f>
        <v>46599</v>
      </c>
      <c r="BU6" s="261">
        <f>Cockpit!BS45</f>
        <v>46630</v>
      </c>
      <c r="BV6" s="261">
        <f>Cockpit!BT45</f>
        <v>46660</v>
      </c>
      <c r="BW6" s="261">
        <f>Cockpit!BU45</f>
        <v>46691</v>
      </c>
      <c r="BX6" s="261">
        <f>Cockpit!BV45</f>
        <v>46721</v>
      </c>
      <c r="BY6" s="261">
        <f>Cockpit!BW45</f>
        <v>46752</v>
      </c>
      <c r="BZ6" s="261">
        <f>Cockpit!BX45</f>
        <v>46783</v>
      </c>
      <c r="CA6" s="261">
        <f>Cockpit!BY45</f>
        <v>46812</v>
      </c>
      <c r="CB6" s="261">
        <f>Cockpit!BZ45</f>
        <v>46843</v>
      </c>
      <c r="CC6" s="261">
        <f>Cockpit!CA45</f>
        <v>46873</v>
      </c>
      <c r="CD6" s="261">
        <f>Cockpit!CB45</f>
        <v>46904</v>
      </c>
      <c r="CE6" s="261">
        <f>Cockpit!CC45</f>
        <v>46934</v>
      </c>
      <c r="CF6" s="261">
        <f>Cockpit!CD45</f>
        <v>46965</v>
      </c>
      <c r="CG6" s="261">
        <f>Cockpit!CE45</f>
        <v>46996</v>
      </c>
      <c r="CH6" s="261">
        <f>Cockpit!CF45</f>
        <v>47026</v>
      </c>
      <c r="CI6" s="261">
        <f>Cockpit!CG45</f>
        <v>47057</v>
      </c>
      <c r="CJ6" s="261">
        <f>Cockpit!CH45</f>
        <v>47087</v>
      </c>
      <c r="CK6" s="261">
        <f>Cockpit!CI45</f>
        <v>47118</v>
      </c>
    </row>
    <row r="7" spans="3:92" s="313" customFormat="1" ht="11.25" hidden="1" customHeight="1" outlineLevel="1" x14ac:dyDescent="0.2">
      <c r="C7" s="233"/>
      <c r="D7" s="232" t="str">
        <f>"in k"&amp;Cockpit!$C$5</f>
        <v>in kEUR</v>
      </c>
      <c r="E7" s="232"/>
      <c r="F7" s="261" t="str">
        <f>Cockpit!D46</f>
        <v>IST</v>
      </c>
      <c r="G7" s="261" t="str">
        <f>Cockpit!E46</f>
        <v>IST</v>
      </c>
      <c r="H7" s="261" t="str">
        <f>Cockpit!F46</f>
        <v>IST</v>
      </c>
      <c r="I7" s="261" t="str">
        <f>Cockpit!G46</f>
        <v>IST</v>
      </c>
      <c r="J7" s="261" t="str">
        <f>Cockpit!H46</f>
        <v>IST</v>
      </c>
      <c r="K7" s="261" t="str">
        <f>Cockpit!I46</f>
        <v>IST</v>
      </c>
      <c r="L7" s="261" t="str">
        <f>Cockpit!J46</f>
        <v>IST</v>
      </c>
      <c r="M7" s="261" t="str">
        <f>Cockpit!K46</f>
        <v>IST</v>
      </c>
      <c r="N7" s="261" t="str">
        <f>Cockpit!L46</f>
        <v>IST</v>
      </c>
      <c r="O7" s="261" t="str">
        <f>Cockpit!M46</f>
        <v>IST</v>
      </c>
      <c r="P7" s="261" t="str">
        <f>Cockpit!N46</f>
        <v>IST</v>
      </c>
      <c r="Q7" s="261" t="str">
        <f>Cockpit!O46</f>
        <v>IST</v>
      </c>
      <c r="R7" s="261" t="str">
        <f>Cockpit!P46</f>
        <v>IST</v>
      </c>
      <c r="S7" s="261" t="str">
        <f>Cockpit!Q46</f>
        <v>IST</v>
      </c>
      <c r="T7" s="261" t="str">
        <f>Cockpit!R46</f>
        <v>IST</v>
      </c>
      <c r="U7" s="261" t="str">
        <f>Cockpit!S46</f>
        <v>IST</v>
      </c>
      <c r="V7" s="261" t="str">
        <f>Cockpit!T46</f>
        <v>IST</v>
      </c>
      <c r="W7" s="261" t="str">
        <f>Cockpit!U46</f>
        <v>IST</v>
      </c>
      <c r="X7" s="261" t="str">
        <f>Cockpit!V46</f>
        <v>IST</v>
      </c>
      <c r="Y7" s="261" t="str">
        <f>Cockpit!W46</f>
        <v>IST</v>
      </c>
      <c r="Z7" s="261" t="str">
        <f>Cockpit!X46</f>
        <v>IST</v>
      </c>
      <c r="AA7" s="261" t="str">
        <f>Cockpit!Y46</f>
        <v>IST</v>
      </c>
      <c r="AB7" s="261" t="str">
        <f>Cockpit!Z46</f>
        <v>IST</v>
      </c>
      <c r="AC7" s="261" t="str">
        <f>Cockpit!AA46</f>
        <v>IST</v>
      </c>
      <c r="AD7" s="261" t="str">
        <f>Cockpit!AB46</f>
        <v>IST</v>
      </c>
      <c r="AE7" s="261" t="str">
        <f>Cockpit!AC46</f>
        <v>IST</v>
      </c>
      <c r="AF7" s="261" t="str">
        <f>Cockpit!AD46</f>
        <v>IST</v>
      </c>
      <c r="AG7" s="261" t="str">
        <f>Cockpit!AE46</f>
        <v>IST</v>
      </c>
      <c r="AH7" s="261" t="str">
        <f>Cockpit!AF46</f>
        <v>IST</v>
      </c>
      <c r="AI7" s="261" t="str">
        <f>Cockpit!AG46</f>
        <v>IST</v>
      </c>
      <c r="AJ7" s="261" t="str">
        <f>Cockpit!AH46</f>
        <v>IST</v>
      </c>
      <c r="AK7" s="261" t="str">
        <f>Cockpit!AI46</f>
        <v>IST</v>
      </c>
      <c r="AL7" s="261" t="str">
        <f>Cockpit!AJ46</f>
        <v>IST</v>
      </c>
      <c r="AM7" s="261" t="str">
        <f>Cockpit!AK46</f>
        <v>IST</v>
      </c>
      <c r="AN7" s="261" t="str">
        <f>Cockpit!AL46</f>
        <v>IST</v>
      </c>
      <c r="AO7" s="261" t="str">
        <f>Cockpit!AM46</f>
        <v>IST</v>
      </c>
      <c r="AP7" s="261" t="str">
        <f>Cockpit!AN46</f>
        <v>IST</v>
      </c>
      <c r="AQ7" s="261" t="str">
        <f>Cockpit!AO46</f>
        <v>IST</v>
      </c>
      <c r="AR7" s="261" t="str">
        <f>Cockpit!AP46</f>
        <v>IST</v>
      </c>
      <c r="AS7" s="261" t="str">
        <f>Cockpit!AQ46</f>
        <v>IST</v>
      </c>
      <c r="AT7" s="261" t="str">
        <f>Cockpit!AR46</f>
        <v>IST</v>
      </c>
      <c r="AU7" s="261" t="str">
        <f>Cockpit!AS46</f>
        <v>IST</v>
      </c>
      <c r="AV7" s="261" t="str">
        <f>Cockpit!AT46</f>
        <v>IST</v>
      </c>
      <c r="AW7" s="261" t="str">
        <f>Cockpit!AU46</f>
        <v>IST</v>
      </c>
      <c r="AX7" s="261" t="str">
        <f>Cockpit!AV46</f>
        <v>IST</v>
      </c>
      <c r="AY7" s="261" t="str">
        <f>Cockpit!AW46</f>
        <v>IST</v>
      </c>
      <c r="AZ7" s="261" t="str">
        <f>Cockpit!AX46</f>
        <v>IST</v>
      </c>
      <c r="BA7" s="261" t="str">
        <f>Cockpit!AY46</f>
        <v>IST</v>
      </c>
      <c r="BB7" s="261" t="str">
        <f>Cockpit!AZ46</f>
        <v>Plan</v>
      </c>
      <c r="BC7" s="261" t="str">
        <f>Cockpit!BA46</f>
        <v>Plan</v>
      </c>
      <c r="BD7" s="261" t="str">
        <f>Cockpit!BB46</f>
        <v>Plan</v>
      </c>
      <c r="BE7" s="261" t="str">
        <f>Cockpit!BC46</f>
        <v>Plan</v>
      </c>
      <c r="BF7" s="261" t="str">
        <f>Cockpit!BD46</f>
        <v>Plan</v>
      </c>
      <c r="BG7" s="261" t="str">
        <f>Cockpit!BE46</f>
        <v>Plan</v>
      </c>
      <c r="BH7" s="261" t="str">
        <f>Cockpit!BF46</f>
        <v>Plan</v>
      </c>
      <c r="BI7" s="261" t="str">
        <f>Cockpit!BG46</f>
        <v>Plan</v>
      </c>
      <c r="BJ7" s="261" t="str">
        <f>Cockpit!BH46</f>
        <v>Plan</v>
      </c>
      <c r="BK7" s="261" t="str">
        <f>Cockpit!BI46</f>
        <v>Plan</v>
      </c>
      <c r="BL7" s="261" t="str">
        <f>Cockpit!BJ46</f>
        <v>Plan</v>
      </c>
      <c r="BM7" s="261" t="str">
        <f>Cockpit!BK46</f>
        <v>Plan</v>
      </c>
      <c r="BN7" s="261" t="str">
        <f>Cockpit!BL46</f>
        <v>Plan</v>
      </c>
      <c r="BO7" s="261" t="str">
        <f>Cockpit!BM46</f>
        <v>Plan</v>
      </c>
      <c r="BP7" s="261" t="str">
        <f>Cockpit!BN46</f>
        <v>Plan</v>
      </c>
      <c r="BQ7" s="261" t="str">
        <f>Cockpit!BO46</f>
        <v>Plan</v>
      </c>
      <c r="BR7" s="261" t="str">
        <f>Cockpit!BP46</f>
        <v>Plan</v>
      </c>
      <c r="BS7" s="261" t="str">
        <f>Cockpit!BQ46</f>
        <v>Plan</v>
      </c>
      <c r="BT7" s="261" t="str">
        <f>Cockpit!BR46</f>
        <v>Plan</v>
      </c>
      <c r="BU7" s="261" t="str">
        <f>Cockpit!BS46</f>
        <v>Plan</v>
      </c>
      <c r="BV7" s="261" t="str">
        <f>Cockpit!BT46</f>
        <v>Plan</v>
      </c>
      <c r="BW7" s="261" t="str">
        <f>Cockpit!BU46</f>
        <v>Plan</v>
      </c>
      <c r="BX7" s="261" t="str">
        <f>Cockpit!BV46</f>
        <v>Plan</v>
      </c>
      <c r="BY7" s="261" t="str">
        <f>Cockpit!BW46</f>
        <v>Plan</v>
      </c>
      <c r="BZ7" s="261" t="str">
        <f>Cockpit!BX46</f>
        <v>Plan</v>
      </c>
      <c r="CA7" s="261" t="str">
        <f>Cockpit!BY46</f>
        <v>Plan</v>
      </c>
      <c r="CB7" s="261" t="str">
        <f>Cockpit!BZ46</f>
        <v>Plan</v>
      </c>
      <c r="CC7" s="261" t="str">
        <f>Cockpit!CA46</f>
        <v>Plan</v>
      </c>
      <c r="CD7" s="261" t="str">
        <f>Cockpit!CB46</f>
        <v>Plan</v>
      </c>
      <c r="CE7" s="261" t="str">
        <f>Cockpit!CC46</f>
        <v>Plan</v>
      </c>
      <c r="CF7" s="261" t="str">
        <f>Cockpit!CD46</f>
        <v>Plan</v>
      </c>
      <c r="CG7" s="261" t="str">
        <f>Cockpit!CE46</f>
        <v>Plan</v>
      </c>
      <c r="CH7" s="261" t="str">
        <f>Cockpit!CF46</f>
        <v>Plan</v>
      </c>
      <c r="CI7" s="261" t="str">
        <f>Cockpit!CG46</f>
        <v>Plan</v>
      </c>
      <c r="CJ7" s="261" t="str">
        <f>Cockpit!CH46</f>
        <v>Plan</v>
      </c>
      <c r="CK7" s="261" t="str">
        <f>Cockpit!CI46</f>
        <v>Plan</v>
      </c>
      <c r="CN7" s="419" t="s">
        <v>840</v>
      </c>
    </row>
    <row r="8" spans="3:92" ht="4.5" customHeight="1" collapsed="1" x14ac:dyDescent="0.2">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row>
    <row r="9" spans="3:92" ht="11.25" customHeight="1" x14ac:dyDescent="0.2">
      <c r="C9" s="37" t="str">
        <f>'Lead PL'!C9</f>
        <v>Umsatzerlöse</v>
      </c>
      <c r="D9" s="37" t="str">
        <f>'Lead PL'!D9</f>
        <v>Revenues</v>
      </c>
      <c r="E9" s="37"/>
      <c r="F9" s="36"/>
      <c r="G9" s="36"/>
      <c r="H9" s="36"/>
      <c r="I9" s="36"/>
      <c r="J9" s="36"/>
      <c r="K9" s="36"/>
      <c r="L9" s="36"/>
      <c r="M9" s="36"/>
      <c r="N9" s="36"/>
      <c r="O9" s="36"/>
      <c r="P9" s="36"/>
      <c r="Q9" s="36"/>
      <c r="R9" s="36">
        <f>-SUMIF('Trial Balance (Susa)'!$D:$D,"*"&amp;$CN9&amp;"*",'Trial Balance (Susa)'!K:K)/1000</f>
        <v>1087.9522199999999</v>
      </c>
      <c r="S9" s="36">
        <f>-SUMIF('Trial Balance (Susa)'!$D:$D,"*"&amp;$CN9&amp;"*",'Trial Balance (Susa)'!L:L)/1000-R9</f>
        <v>1215.65075</v>
      </c>
      <c r="T9" s="36">
        <f>-SUMIF('Trial Balance (Susa)'!$D:$D,"*"&amp;$CN9&amp;"*",'Trial Balance (Susa)'!M:M)/1000-SUM($R9:S9)</f>
        <v>1445.90085</v>
      </c>
      <c r="U9" s="36">
        <f>-SUMIF('Trial Balance (Susa)'!$D:$D,"*"&amp;$CN9&amp;"*",'Trial Balance (Susa)'!N:N)/1000-SUM($R9:T9)</f>
        <v>1326.2848800000011</v>
      </c>
      <c r="V9" s="36">
        <f>-SUMIF('Trial Balance (Susa)'!$D:$D,"*"&amp;$CN9&amp;"*",'Trial Balance (Susa)'!O:O)/1000-SUM($R9:U9)</f>
        <v>1200.1293099999994</v>
      </c>
      <c r="W9" s="36">
        <f>-SUMIF('Trial Balance (Susa)'!$D:$D,"*"&amp;$CN9&amp;"*",'Trial Balance (Susa)'!P:P)/1000-SUM($R9:V9)</f>
        <v>1229.531649999999</v>
      </c>
      <c r="X9" s="36">
        <f>-SUMIF('Trial Balance (Susa)'!$D:$D,"*"&amp;$CN9&amp;"*",'Trial Balance (Susa)'!Q:Q)/1000-SUM($R9:W9)</f>
        <v>1218.0430700000024</v>
      </c>
      <c r="Y9" s="36">
        <f>-SUMIF('Trial Balance (Susa)'!$D:$D,"*"&amp;$CN9&amp;"*",'Trial Balance (Susa)'!R:R)/1000-SUM($R9:X9)</f>
        <v>1357.9236899999996</v>
      </c>
      <c r="Z9" s="36">
        <f>-SUMIF('Trial Balance (Susa)'!$D:$D,"*"&amp;$CN9&amp;"*",'Trial Balance (Susa)'!S:S)/1000-SUM($R9:Y9)</f>
        <v>1298.7723099999985</v>
      </c>
      <c r="AA9" s="36">
        <f>-SUMIF('Trial Balance (Susa)'!$D:$D,"*"&amp;$CN9&amp;"*",'Trial Balance (Susa)'!T:T)/1000-SUM($R9:Z9)</f>
        <v>1083.6378500000028</v>
      </c>
      <c r="AB9" s="36">
        <f>-SUMIF('Trial Balance (Susa)'!$D:$D,"*"&amp;$CN9&amp;"*",'Trial Balance (Susa)'!U:U)/1000-SUM($R9:AA9)</f>
        <v>1323.5491799999982</v>
      </c>
      <c r="AC9" s="36">
        <f>-SUMIF('Trial Balance (Susa)'!$D:$D,"*"&amp;$CN9&amp;"*",'Trial Balance (Susa)'!V:V)/1000-SUM($R9:AB9)</f>
        <v>1528.8678199999995</v>
      </c>
      <c r="AD9" s="36">
        <f>-SUMIF('Trial Balance (Susa)'!$D:$D,"*"&amp;$CN9&amp;"*",'Trial Balance (Susa)'!W:W)/1000</f>
        <v>1340.90383</v>
      </c>
      <c r="AE9" s="36">
        <f>-SUMIF('Trial Balance (Susa)'!$D:$D,"*"&amp;$CN9&amp;"*",'Trial Balance (Susa)'!X:X)/1000-SUM($AD9:AD9)</f>
        <v>1375.6854699999997</v>
      </c>
      <c r="AF9" s="36">
        <f>-SUMIF('Trial Balance (Susa)'!$D:$D,"*"&amp;$CN9&amp;"*",'Trial Balance (Susa)'!Y:Y)/1000-SUM($AD9:AE9)</f>
        <v>1659.5217500000008</v>
      </c>
      <c r="AG9" s="36">
        <f>-SUMIF('Trial Balance (Susa)'!$D:$D,"*"&amp;$CN9&amp;"*",'Trial Balance (Susa)'!Z:Z)/1000-SUM($AD9:AF9)</f>
        <v>1332.6840699999993</v>
      </c>
      <c r="AH9" s="36">
        <f>-SUMIF('Trial Balance (Susa)'!$D:$D,"*"&amp;$CN9&amp;"*",'Trial Balance (Susa)'!AA:AA)/1000-SUM($AD9:AG9)</f>
        <v>1745.2055600000003</v>
      </c>
      <c r="AI9" s="36">
        <f>-SUMIF('Trial Balance (Susa)'!$D:$D,"*"&amp;$CN9&amp;"*",'Trial Balance (Susa)'!AB:AB)/1000-SUM($AD9:AH9)</f>
        <v>1098.1647899999998</v>
      </c>
      <c r="AJ9" s="36">
        <f>-SUMIF('Trial Balance (Susa)'!$D:$D,"*"&amp;$CN9&amp;"*",'Trial Balance (Susa)'!AC:AC)/1000-SUM($AD9:AI9)</f>
        <v>1488.1723400000028</v>
      </c>
      <c r="AK9" s="36">
        <f>-SUMIF('Trial Balance (Susa)'!$D:$D,"*"&amp;$CN9&amp;"*",'Trial Balance (Susa)'!AD:AD)/1000-SUM($AD9:AJ9)</f>
        <v>1264.4617200000012</v>
      </c>
      <c r="AL9" s="36">
        <f>-SUMIF('Trial Balance (Susa)'!$D:$D,"*"&amp;$CN9&amp;"*",'Trial Balance (Susa)'!AE:AE)/1000-SUM($AD9:AK9)</f>
        <v>1422.5577999999969</v>
      </c>
      <c r="AM9" s="36">
        <f>-SUMIF('Trial Balance (Susa)'!$D:$D,"*"&amp;$CN9&amp;"*",'Trial Balance (Susa)'!AF:AF)/1000-SUM($AD9:AL9)</f>
        <v>1334.7221700000009</v>
      </c>
      <c r="AN9" s="36">
        <f>-SUMIF('Trial Balance (Susa)'!$D:$D,"*"&amp;$CN9&amp;"*",'Trial Balance (Susa)'!AG:AG)/1000-SUM($AD9:AM9)</f>
        <v>1322.4554199999984</v>
      </c>
      <c r="AO9" s="36">
        <f>-SUMIF('Trial Balance (Susa)'!$D:$D,"*"&amp;$CN9&amp;"*",'Trial Balance (Susa)'!AH:AH)/1000-SUM($AD9:AN9)</f>
        <v>1275.4285400000026</v>
      </c>
      <c r="AP9" s="36">
        <f>-SUMIF('Trial Balance (Susa)'!$D:$D,"*"&amp;$CN9&amp;"*",'Trial Balance (Susa)'!AI:AI)/1000</f>
        <v>1354.9349999999999</v>
      </c>
      <c r="AQ9" s="36">
        <f>-SUMIF('Trial Balance (Susa)'!$D:$D,"*"&amp;$CN9&amp;"*",'Trial Balance (Susa)'!AJ:AJ)/1000-SUM($AP9:AP9)</f>
        <v>1472.33986</v>
      </c>
      <c r="AR9" s="36">
        <f>-SUMIF('Trial Balance (Susa)'!$D:$D,"*"&amp;$CN9&amp;"*",'Trial Balance (Susa)'!AK:AK)/1000-SUM($AP9:AQ9)</f>
        <v>1118.1142899999995</v>
      </c>
      <c r="AS9" s="36">
        <f>-SUMIF('Trial Balance (Susa)'!$D:$D,"*"&amp;$CN9&amp;"*",'Trial Balance (Susa)'!AL:AL)/1000-SUM($AP9:AR9)</f>
        <v>1362.9074900000001</v>
      </c>
      <c r="AT9" s="36">
        <f>-SUMIF('Trial Balance (Susa)'!$D:$D,"*"&amp;$CN9&amp;"*",'Trial Balance (Susa)'!AM:AM)/1000-SUM($AP9:AS9)</f>
        <v>1513.9719699999996</v>
      </c>
      <c r="AU9" s="36">
        <f>-SUMIF('Trial Balance (Susa)'!$D:$D,"*"&amp;$CN9&amp;"*",'Trial Balance (Susa)'!AN:AN)/1000-SUM($AP9:AT9)</f>
        <v>1056.3677600000001</v>
      </c>
      <c r="AV9" s="36">
        <f>-SUMIF('Trial Balance (Susa)'!$D:$D,"*"&amp;$CN9&amp;"*",'Trial Balance (Susa)'!AO:AO)/1000-SUM($AP9:AU9)</f>
        <v>1111.3171599999996</v>
      </c>
      <c r="AW9" s="36">
        <f>-SUMIF('Trial Balance (Susa)'!$D:$D,"*"&amp;$CN9&amp;"*",'Trial Balance (Susa)'!AP:AP)/1000-SUM($AP9:AV9)</f>
        <v>1378.936310000001</v>
      </c>
      <c r="AX9" s="36">
        <f>-SUMIF('Trial Balance (Susa)'!$D:$D,"*"&amp;$CN9&amp;"*",'Trial Balance (Susa)'!AQ:AQ)/1000-SUM($AP9:AW9)</f>
        <v>1124.2209600000006</v>
      </c>
      <c r="AY9" s="36">
        <f>-SUMIF('Trial Balance (Susa)'!$D:$D,"*"&amp;$CN9&amp;"*",'Trial Balance (Susa)'!AR:AR)/1000-SUM($AP9:AX9)</f>
        <v>1212.3275400000039</v>
      </c>
      <c r="AZ9" s="36">
        <f>-SUMIF('Trial Balance (Susa)'!$D:$D,"*"&amp;$CN9&amp;"*",'Trial Balance (Susa)'!AS:AS)/1000-SUM($AP9:AY9)</f>
        <v>1193.4928099999961</v>
      </c>
      <c r="BA9" s="36">
        <f>-SUMIF('Trial Balance (Susa)'!$D:$D,"*"&amp;$CN9&amp;"*",'Trial Balance (Susa)'!AT:AT)/1000-SUM($AP9:AZ9)</f>
        <v>1110.7971400000024</v>
      </c>
      <c r="BB9" s="278"/>
      <c r="BC9" s="278"/>
      <c r="BD9" s="278"/>
      <c r="BE9" s="278"/>
      <c r="BF9" s="278"/>
      <c r="BG9" s="278"/>
      <c r="BH9" s="278"/>
      <c r="BI9" s="278"/>
      <c r="BJ9" s="278"/>
      <c r="BK9" s="278"/>
      <c r="BL9" s="278"/>
      <c r="BM9" s="278"/>
      <c r="BN9" s="278"/>
      <c r="BO9" s="278"/>
      <c r="BP9" s="278"/>
      <c r="BQ9" s="278"/>
      <c r="BR9" s="278"/>
      <c r="BS9" s="278"/>
      <c r="BT9" s="278"/>
      <c r="BU9" s="278"/>
      <c r="BV9" s="278"/>
      <c r="BW9" s="278"/>
      <c r="BX9" s="278"/>
      <c r="BY9" s="278"/>
      <c r="BZ9" s="278"/>
      <c r="CA9" s="278"/>
      <c r="CB9" s="278"/>
      <c r="CC9" s="278"/>
      <c r="CD9" s="278"/>
      <c r="CE9" s="278"/>
      <c r="CF9" s="278"/>
      <c r="CG9" s="278"/>
      <c r="CH9" s="278"/>
      <c r="CI9" s="278"/>
      <c r="CJ9" s="278"/>
      <c r="CK9" s="278"/>
      <c r="CN9" s="364" t="s">
        <v>677</v>
      </c>
    </row>
    <row r="10" spans="3:92" ht="11.25" customHeight="1" x14ac:dyDescent="0.2">
      <c r="C10" s="37" t="str">
        <f>'Lead PL'!C19</f>
        <v>Bestandsveränderung</v>
      </c>
      <c r="D10" s="37" t="str">
        <f>'Lead PL'!D19</f>
        <v>Change in inventory</v>
      </c>
      <c r="E10" s="37"/>
      <c r="F10" s="36"/>
      <c r="G10" s="36"/>
      <c r="H10" s="36"/>
      <c r="I10" s="36"/>
      <c r="J10" s="36"/>
      <c r="K10" s="36"/>
      <c r="L10" s="36"/>
      <c r="M10" s="36"/>
      <c r="N10" s="36"/>
      <c r="O10" s="36"/>
      <c r="P10" s="36"/>
      <c r="Q10" s="36"/>
      <c r="R10" s="36">
        <f>-SUMIF('Trial Balance (Susa)'!$D:$D,"*"&amp;$CN10&amp;"*",'Trial Balance (Susa)'!K:K)/1000</f>
        <v>0</v>
      </c>
      <c r="S10" s="36">
        <f>-SUMIF('Trial Balance (Susa)'!$D:$D,"*"&amp;$CN10&amp;"*",'Trial Balance (Susa)'!L:L)/1000-R10</f>
        <v>0</v>
      </c>
      <c r="T10" s="36">
        <f>-SUMIF('Trial Balance (Susa)'!$D:$D,"*"&amp;$CN10&amp;"*",'Trial Balance (Susa)'!M:M)/1000-SUM($R10:S10)</f>
        <v>0</v>
      </c>
      <c r="U10" s="36">
        <f>-SUMIF('Trial Balance (Susa)'!$D:$D,"*"&amp;$CN10&amp;"*",'Trial Balance (Susa)'!N:N)/1000-SUM($R10:T10)</f>
        <v>0</v>
      </c>
      <c r="V10" s="36">
        <f>-SUMIF('Trial Balance (Susa)'!$D:$D,"*"&amp;$CN10&amp;"*",'Trial Balance (Susa)'!O:O)/1000-SUM($R10:U10)</f>
        <v>0</v>
      </c>
      <c r="W10" s="36">
        <f>-SUMIF('Trial Balance (Susa)'!$D:$D,"*"&amp;$CN10&amp;"*",'Trial Balance (Susa)'!P:P)/1000-SUM($R10:V10)</f>
        <v>141.02733000000001</v>
      </c>
      <c r="X10" s="36">
        <f>-SUMIF('Trial Balance (Susa)'!$D:$D,"*"&amp;$CN10&amp;"*",'Trial Balance (Susa)'!Q:Q)/1000-SUM($R10:W10)</f>
        <v>0</v>
      </c>
      <c r="Y10" s="36">
        <f>-SUMIF('Trial Balance (Susa)'!$D:$D,"*"&amp;$CN10&amp;"*",'Trial Balance (Susa)'!R:R)/1000-SUM($R10:X10)</f>
        <v>0</v>
      </c>
      <c r="Z10" s="36">
        <f>-SUMIF('Trial Balance (Susa)'!$D:$D,"*"&amp;$CN10&amp;"*",'Trial Balance (Susa)'!S:S)/1000-SUM($R10:Y10)</f>
        <v>20.012990000000002</v>
      </c>
      <c r="AA10" s="36">
        <f>-SUMIF('Trial Balance (Susa)'!$D:$D,"*"&amp;$CN10&amp;"*",'Trial Balance (Susa)'!T:T)/1000-SUM($R10:Z10)</f>
        <v>0</v>
      </c>
      <c r="AB10" s="36">
        <f>-SUMIF('Trial Balance (Susa)'!$D:$D,"*"&amp;$CN10&amp;"*",'Trial Balance (Susa)'!U:U)/1000-SUM($R10:AA10)</f>
        <v>0</v>
      </c>
      <c r="AC10" s="36">
        <f>-SUMIF('Trial Balance (Susa)'!$D:$D,"*"&amp;$CN10&amp;"*",'Trial Balance (Susa)'!V:V)/1000-SUM($R10:AB10)</f>
        <v>38.536810000000003</v>
      </c>
      <c r="AD10" s="36">
        <f>-SUMIF('Trial Balance (Susa)'!$D:$D,"*"&amp;$CN10&amp;"*",'Trial Balance (Susa)'!W:W)/1000</f>
        <v>0</v>
      </c>
      <c r="AE10" s="36">
        <f>-SUMIF('Trial Balance (Susa)'!$D:$D,"*"&amp;$CN10&amp;"*",'Trial Balance (Susa)'!X:X)/1000-SUM($AD10:AD10)</f>
        <v>0</v>
      </c>
      <c r="AF10" s="36">
        <f>-SUMIF('Trial Balance (Susa)'!$D:$D,"*"&amp;$CN10&amp;"*",'Trial Balance (Susa)'!Y:Y)/1000-SUM($AD10:AE10)</f>
        <v>0</v>
      </c>
      <c r="AG10" s="36">
        <f>-SUMIF('Trial Balance (Susa)'!$D:$D,"*"&amp;$CN10&amp;"*",'Trial Balance (Susa)'!Z:Z)/1000-SUM($AD10:AF10)</f>
        <v>0</v>
      </c>
      <c r="AH10" s="36">
        <f>-SUMIF('Trial Balance (Susa)'!$D:$D,"*"&amp;$CN10&amp;"*",'Trial Balance (Susa)'!AA:AA)/1000-SUM($AD10:AG10)</f>
        <v>0</v>
      </c>
      <c r="AI10" s="36">
        <f>-SUMIF('Trial Balance (Susa)'!$D:$D,"*"&amp;$CN10&amp;"*",'Trial Balance (Susa)'!AB:AB)/1000-SUM($AD10:AH10)</f>
        <v>109.90872</v>
      </c>
      <c r="AJ10" s="36">
        <f>-SUMIF('Trial Balance (Susa)'!$D:$D,"*"&amp;$CN10&amp;"*",'Trial Balance (Susa)'!AC:AC)/1000-SUM($AD10:AI10)</f>
        <v>0</v>
      </c>
      <c r="AK10" s="36">
        <f>-SUMIF('Trial Balance (Susa)'!$D:$D,"*"&amp;$CN10&amp;"*",'Trial Balance (Susa)'!AD:AD)/1000-SUM($AD10:AJ10)</f>
        <v>0</v>
      </c>
      <c r="AL10" s="36">
        <f>-SUMIF('Trial Balance (Susa)'!$D:$D,"*"&amp;$CN10&amp;"*",'Trial Balance (Susa)'!AE:AE)/1000-SUM($AD10:AK10)</f>
        <v>0</v>
      </c>
      <c r="AM10" s="36">
        <f>-SUMIF('Trial Balance (Susa)'!$D:$D,"*"&amp;$CN10&amp;"*",'Trial Balance (Susa)'!AF:AF)/1000-SUM($AD10:AL10)</f>
        <v>0</v>
      </c>
      <c r="AN10" s="36">
        <f>-SUMIF('Trial Balance (Susa)'!$D:$D,"*"&amp;$CN10&amp;"*",'Trial Balance (Susa)'!AG:AG)/1000-SUM($AD10:AM10)</f>
        <v>0</v>
      </c>
      <c r="AO10" s="36">
        <f>-SUMIF('Trial Balance (Susa)'!$D:$D,"*"&amp;$CN10&amp;"*",'Trial Balance (Susa)'!AH:AH)/1000-SUM($AD10:AN10)</f>
        <v>240.88641999999999</v>
      </c>
      <c r="AP10" s="36">
        <f>-SUMIF('Trial Balance (Susa)'!$D:$D,"*"&amp;$CN10&amp;"*",'Trial Balance (Susa)'!AI:AI)/1000</f>
        <v>0</v>
      </c>
      <c r="AQ10" s="36">
        <f>-SUMIF('Trial Balance (Susa)'!$D:$D,"*"&amp;$CN10&amp;"*",'Trial Balance (Susa)'!AJ:AJ)/1000-SUM($AP10:AP10)</f>
        <v>0</v>
      </c>
      <c r="AR10" s="36">
        <f>-SUMIF('Trial Balance (Susa)'!$D:$D,"*"&amp;$CN10&amp;"*",'Trial Balance (Susa)'!AK:AK)/1000-SUM($AP10:AQ10)</f>
        <v>0</v>
      </c>
      <c r="AS10" s="36">
        <f>-SUMIF('Trial Balance (Susa)'!$D:$D,"*"&amp;$CN10&amp;"*",'Trial Balance (Susa)'!AL:AL)/1000-SUM($AP10:AR10)</f>
        <v>0</v>
      </c>
      <c r="AT10" s="36">
        <f>-SUMIF('Trial Balance (Susa)'!$D:$D,"*"&amp;$CN10&amp;"*",'Trial Balance (Susa)'!AM:AM)/1000-SUM($AP10:AS10)</f>
        <v>0</v>
      </c>
      <c r="AU10" s="36">
        <f>-SUMIF('Trial Balance (Susa)'!$D:$D,"*"&amp;$CN10&amp;"*",'Trial Balance (Susa)'!AN:AN)/1000-SUM($AP10:AT10)</f>
        <v>0</v>
      </c>
      <c r="AV10" s="36">
        <f>-SUMIF('Trial Balance (Susa)'!$D:$D,"*"&amp;$CN10&amp;"*",'Trial Balance (Susa)'!AO:AO)/1000-SUM($AP10:AU10)</f>
        <v>0</v>
      </c>
      <c r="AW10" s="36">
        <f>-SUMIF('Trial Balance (Susa)'!$D:$D,"*"&amp;$CN10&amp;"*",'Trial Balance (Susa)'!AP:AP)/1000-SUM($AP10:AV10)</f>
        <v>0</v>
      </c>
      <c r="AX10" s="36">
        <f>-SUMIF('Trial Balance (Susa)'!$D:$D,"*"&amp;$CN10&amp;"*",'Trial Balance (Susa)'!AQ:AQ)/1000-SUM($AP10:AW10)</f>
        <v>0</v>
      </c>
      <c r="AY10" s="36">
        <f>-SUMIF('Trial Balance (Susa)'!$D:$D,"*"&amp;$CN10&amp;"*",'Trial Balance (Susa)'!AR:AR)/1000-SUM($AP10:AX10)</f>
        <v>0</v>
      </c>
      <c r="AZ10" s="36">
        <f>-SUMIF('Trial Balance (Susa)'!$D:$D,"*"&amp;$CN10&amp;"*",'Trial Balance (Susa)'!AS:AS)/1000-SUM($AP10:AY10)</f>
        <v>0</v>
      </c>
      <c r="BA10" s="36">
        <f>-SUMIF('Trial Balance (Susa)'!$D:$D,"*"&amp;$CN10&amp;"*",'Trial Balance (Susa)'!AT:AT)/1000-SUM($AP10:AZ10)</f>
        <v>226.19015999999999</v>
      </c>
      <c r="BB10" s="278"/>
      <c r="BC10" s="278"/>
      <c r="BD10" s="278"/>
      <c r="BE10" s="278"/>
      <c r="BF10" s="278"/>
      <c r="BG10" s="278"/>
      <c r="BH10" s="278"/>
      <c r="BI10" s="278"/>
      <c r="BJ10" s="278"/>
      <c r="BK10" s="278"/>
      <c r="BL10" s="278"/>
      <c r="BM10" s="278"/>
      <c r="BN10" s="278"/>
      <c r="BO10" s="278"/>
      <c r="BP10" s="278"/>
      <c r="BQ10" s="278"/>
      <c r="BR10" s="278"/>
      <c r="BS10" s="278"/>
      <c r="BT10" s="278"/>
      <c r="BU10" s="278"/>
      <c r="BV10" s="278"/>
      <c r="BW10" s="278"/>
      <c r="BX10" s="278"/>
      <c r="BY10" s="278"/>
      <c r="BZ10" s="278"/>
      <c r="CA10" s="278"/>
      <c r="CB10" s="278"/>
      <c r="CC10" s="278"/>
      <c r="CD10" s="278"/>
      <c r="CE10" s="278"/>
      <c r="CF10" s="278"/>
      <c r="CG10" s="278"/>
      <c r="CH10" s="278"/>
      <c r="CI10" s="278"/>
      <c r="CJ10" s="278"/>
      <c r="CK10" s="278"/>
      <c r="CN10" s="364" t="s">
        <v>684</v>
      </c>
    </row>
    <row r="11" spans="3:92" ht="11.25" hidden="1" customHeight="1" outlineLevel="2" x14ac:dyDescent="0.2">
      <c r="C11" s="37" t="str">
        <f>'Lead PL'!C20</f>
        <v>Aktivierte Eigenleistungen</v>
      </c>
      <c r="D11" s="37" t="str">
        <f>'Lead PL'!D20</f>
        <v>Own work capitalized</v>
      </c>
      <c r="E11" s="37"/>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278"/>
      <c r="AV11" s="278"/>
      <c r="AW11" s="278"/>
      <c r="AX11" s="278"/>
      <c r="AY11" s="278"/>
      <c r="AZ11" s="278"/>
      <c r="BA11" s="278"/>
      <c r="BB11" s="278"/>
      <c r="BC11" s="278"/>
      <c r="BD11" s="278"/>
      <c r="BE11" s="278"/>
      <c r="BF11" s="278"/>
      <c r="BG11" s="278"/>
      <c r="BH11" s="278"/>
      <c r="BI11" s="278"/>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278"/>
      <c r="CN11" s="364" t="s">
        <v>686</v>
      </c>
    </row>
    <row r="12" spans="3:92" ht="11.25" hidden="1" customHeight="1" outlineLevel="2" x14ac:dyDescent="0.2">
      <c r="C12" s="37" t="str">
        <f>'Lead PL'!C21</f>
        <v>Dummy 1</v>
      </c>
      <c r="D12" s="37" t="str">
        <f>'Lead PL'!D21</f>
        <v>Dummy 1</v>
      </c>
      <c r="E12" s="37"/>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278"/>
      <c r="AV12" s="278"/>
      <c r="AW12" s="278"/>
      <c r="AX12" s="278"/>
      <c r="AY12" s="278"/>
      <c r="AZ12" s="278"/>
      <c r="BA12" s="278"/>
      <c r="BB12" s="278"/>
      <c r="BC12" s="278"/>
      <c r="BD12" s="278"/>
      <c r="BE12" s="278"/>
      <c r="BF12" s="278"/>
      <c r="BG12" s="278"/>
      <c r="BH12" s="278"/>
      <c r="BI12" s="278"/>
      <c r="BJ12" s="278"/>
      <c r="BK12" s="278"/>
      <c r="BL12" s="278"/>
      <c r="BM12" s="278"/>
      <c r="BN12" s="278"/>
      <c r="BO12" s="278"/>
      <c r="BP12" s="278"/>
      <c r="BQ12" s="278"/>
      <c r="BR12" s="278"/>
      <c r="BS12" s="278"/>
      <c r="BT12" s="278"/>
      <c r="BU12" s="278"/>
      <c r="BV12" s="278"/>
      <c r="BW12" s="278"/>
      <c r="BX12" s="278"/>
      <c r="BY12" s="278"/>
      <c r="BZ12" s="278"/>
      <c r="CA12" s="278"/>
      <c r="CB12" s="278"/>
      <c r="CC12" s="278"/>
      <c r="CD12" s="278"/>
      <c r="CE12" s="278"/>
      <c r="CF12" s="278"/>
      <c r="CG12" s="278"/>
      <c r="CH12" s="278"/>
      <c r="CI12" s="278"/>
      <c r="CJ12" s="278"/>
      <c r="CK12" s="278"/>
      <c r="CN12" s="364"/>
    </row>
    <row r="13" spans="3:92" ht="11.25" hidden="1" customHeight="1" outlineLevel="2" x14ac:dyDescent="0.2">
      <c r="C13" s="37" t="str">
        <f>'Lead PL'!C22</f>
        <v>Dummy 2</v>
      </c>
      <c r="D13" s="37" t="str">
        <f>'Lead PL'!D22</f>
        <v>Dummy 2</v>
      </c>
      <c r="E13" s="37"/>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278"/>
      <c r="AV13" s="278"/>
      <c r="AW13" s="278"/>
      <c r="AX13" s="278"/>
      <c r="AY13" s="278"/>
      <c r="AZ13" s="278"/>
      <c r="BA13" s="278"/>
      <c r="BB13" s="278"/>
      <c r="BC13" s="278"/>
      <c r="BD13" s="278"/>
      <c r="BE13" s="278"/>
      <c r="BF13" s="278"/>
      <c r="BG13" s="278"/>
      <c r="BH13" s="278"/>
      <c r="BI13" s="278"/>
      <c r="BJ13" s="278"/>
      <c r="BK13" s="278"/>
      <c r="BL13" s="278"/>
      <c r="BM13" s="278"/>
      <c r="BN13" s="278"/>
      <c r="BO13" s="278"/>
      <c r="BP13" s="278"/>
      <c r="BQ13" s="278"/>
      <c r="BR13" s="278"/>
      <c r="BS13" s="278"/>
      <c r="BT13" s="278"/>
      <c r="BU13" s="278"/>
      <c r="BV13" s="278"/>
      <c r="BW13" s="278"/>
      <c r="BX13" s="278"/>
      <c r="BY13" s="278"/>
      <c r="BZ13" s="278"/>
      <c r="CA13" s="278"/>
      <c r="CB13" s="278"/>
      <c r="CC13" s="278"/>
      <c r="CD13" s="278"/>
      <c r="CE13" s="278"/>
      <c r="CF13" s="278"/>
      <c r="CG13" s="278"/>
      <c r="CH13" s="278"/>
      <c r="CI13" s="278"/>
      <c r="CJ13" s="278"/>
      <c r="CK13" s="278"/>
      <c r="CN13" s="364"/>
    </row>
    <row r="14" spans="3:92" ht="11.25" hidden="1" customHeight="1" outlineLevel="2" x14ac:dyDescent="0.2">
      <c r="C14" s="37" t="str">
        <f>'Lead PL'!C23</f>
        <v>Dummy 3</v>
      </c>
      <c r="D14" s="37" t="str">
        <f>'Lead PL'!D23</f>
        <v>Dummy 3</v>
      </c>
      <c r="E14" s="37"/>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N14" s="364"/>
    </row>
    <row r="15" spans="3:92" ht="11.25" customHeight="1" collapsed="1" x14ac:dyDescent="0.2">
      <c r="C15" s="141" t="str">
        <f>'Lead PL'!C24</f>
        <v>Gesamtleistung</v>
      </c>
      <c r="D15" s="141" t="str">
        <f>'Lead PL'!D24</f>
        <v>Total output</v>
      </c>
      <c r="E15" s="141"/>
      <c r="F15" s="141">
        <f>SUM(F9:F14)</f>
        <v>0</v>
      </c>
      <c r="G15" s="141">
        <f t="shared" ref="G15:BR15" si="0">SUM(G9:G14)</f>
        <v>0</v>
      </c>
      <c r="H15" s="141">
        <f t="shared" si="0"/>
        <v>0</v>
      </c>
      <c r="I15" s="141">
        <f t="shared" si="0"/>
        <v>0</v>
      </c>
      <c r="J15" s="141">
        <f t="shared" si="0"/>
        <v>0</v>
      </c>
      <c r="K15" s="141">
        <f t="shared" si="0"/>
        <v>0</v>
      </c>
      <c r="L15" s="141">
        <f t="shared" si="0"/>
        <v>0</v>
      </c>
      <c r="M15" s="141">
        <f t="shared" si="0"/>
        <v>0</v>
      </c>
      <c r="N15" s="141">
        <f t="shared" si="0"/>
        <v>0</v>
      </c>
      <c r="O15" s="141">
        <f t="shared" si="0"/>
        <v>0</v>
      </c>
      <c r="P15" s="141">
        <f t="shared" si="0"/>
        <v>0</v>
      </c>
      <c r="Q15" s="141">
        <f t="shared" si="0"/>
        <v>0</v>
      </c>
      <c r="R15" s="141">
        <f t="shared" si="0"/>
        <v>1087.9522199999999</v>
      </c>
      <c r="S15" s="141">
        <f t="shared" si="0"/>
        <v>1215.65075</v>
      </c>
      <c r="T15" s="141">
        <f t="shared" si="0"/>
        <v>1445.90085</v>
      </c>
      <c r="U15" s="141">
        <f t="shared" si="0"/>
        <v>1326.2848800000011</v>
      </c>
      <c r="V15" s="141">
        <f t="shared" si="0"/>
        <v>1200.1293099999994</v>
      </c>
      <c r="W15" s="141">
        <f t="shared" si="0"/>
        <v>1370.5589799999989</v>
      </c>
      <c r="X15" s="141">
        <f t="shared" si="0"/>
        <v>1218.0430700000024</v>
      </c>
      <c r="Y15" s="141">
        <f t="shared" si="0"/>
        <v>1357.9236899999996</v>
      </c>
      <c r="Z15" s="141">
        <f t="shared" si="0"/>
        <v>1318.7852999999984</v>
      </c>
      <c r="AA15" s="141">
        <f t="shared" si="0"/>
        <v>1083.6378500000028</v>
      </c>
      <c r="AB15" s="141">
        <f t="shared" si="0"/>
        <v>1323.5491799999982</v>
      </c>
      <c r="AC15" s="141">
        <f t="shared" si="0"/>
        <v>1567.4046299999995</v>
      </c>
      <c r="AD15" s="141">
        <f t="shared" si="0"/>
        <v>1340.90383</v>
      </c>
      <c r="AE15" s="141">
        <f t="shared" si="0"/>
        <v>1375.6854699999997</v>
      </c>
      <c r="AF15" s="141">
        <f t="shared" si="0"/>
        <v>1659.5217500000008</v>
      </c>
      <c r="AG15" s="141">
        <f t="shared" si="0"/>
        <v>1332.6840699999993</v>
      </c>
      <c r="AH15" s="141">
        <f t="shared" si="0"/>
        <v>1745.2055600000003</v>
      </c>
      <c r="AI15" s="141">
        <f t="shared" si="0"/>
        <v>1208.0735099999997</v>
      </c>
      <c r="AJ15" s="141">
        <f t="shared" si="0"/>
        <v>1488.1723400000028</v>
      </c>
      <c r="AK15" s="141">
        <f t="shared" si="0"/>
        <v>1264.4617200000012</v>
      </c>
      <c r="AL15" s="141">
        <f t="shared" si="0"/>
        <v>1422.5577999999969</v>
      </c>
      <c r="AM15" s="141">
        <f t="shared" si="0"/>
        <v>1334.7221700000009</v>
      </c>
      <c r="AN15" s="141">
        <f t="shared" si="0"/>
        <v>1322.4554199999984</v>
      </c>
      <c r="AO15" s="141">
        <f t="shared" si="0"/>
        <v>1516.3149600000027</v>
      </c>
      <c r="AP15" s="141">
        <f t="shared" si="0"/>
        <v>1354.9349999999999</v>
      </c>
      <c r="AQ15" s="141">
        <f t="shared" si="0"/>
        <v>1472.33986</v>
      </c>
      <c r="AR15" s="141">
        <f t="shared" si="0"/>
        <v>1118.1142899999995</v>
      </c>
      <c r="AS15" s="141">
        <f t="shared" si="0"/>
        <v>1362.9074900000001</v>
      </c>
      <c r="AT15" s="141">
        <f t="shared" si="0"/>
        <v>1513.9719699999996</v>
      </c>
      <c r="AU15" s="379">
        <f t="shared" si="0"/>
        <v>1056.3677600000001</v>
      </c>
      <c r="AV15" s="379">
        <f t="shared" si="0"/>
        <v>1111.3171599999996</v>
      </c>
      <c r="AW15" s="379">
        <f t="shared" si="0"/>
        <v>1378.936310000001</v>
      </c>
      <c r="AX15" s="379">
        <f t="shared" si="0"/>
        <v>1124.2209600000006</v>
      </c>
      <c r="AY15" s="379">
        <f t="shared" si="0"/>
        <v>1212.3275400000039</v>
      </c>
      <c r="AZ15" s="379">
        <f t="shared" si="0"/>
        <v>1193.4928099999961</v>
      </c>
      <c r="BA15" s="379">
        <f t="shared" si="0"/>
        <v>1336.9873000000025</v>
      </c>
      <c r="BB15" s="379">
        <f t="shared" si="0"/>
        <v>0</v>
      </c>
      <c r="BC15" s="379">
        <f t="shared" si="0"/>
        <v>0</v>
      </c>
      <c r="BD15" s="379">
        <f t="shared" si="0"/>
        <v>0</v>
      </c>
      <c r="BE15" s="379">
        <f t="shared" si="0"/>
        <v>0</v>
      </c>
      <c r="BF15" s="379">
        <f t="shared" si="0"/>
        <v>0</v>
      </c>
      <c r="BG15" s="379">
        <f t="shared" si="0"/>
        <v>0</v>
      </c>
      <c r="BH15" s="379">
        <f t="shared" si="0"/>
        <v>0</v>
      </c>
      <c r="BI15" s="379">
        <f t="shared" si="0"/>
        <v>0</v>
      </c>
      <c r="BJ15" s="379">
        <f t="shared" si="0"/>
        <v>0</v>
      </c>
      <c r="BK15" s="379">
        <f t="shared" si="0"/>
        <v>0</v>
      </c>
      <c r="BL15" s="379">
        <f t="shared" si="0"/>
        <v>0</v>
      </c>
      <c r="BM15" s="379">
        <f t="shared" si="0"/>
        <v>0</v>
      </c>
      <c r="BN15" s="379">
        <f t="shared" si="0"/>
        <v>0</v>
      </c>
      <c r="BO15" s="379">
        <f t="shared" si="0"/>
        <v>0</v>
      </c>
      <c r="BP15" s="379">
        <f t="shared" si="0"/>
        <v>0</v>
      </c>
      <c r="BQ15" s="379">
        <f t="shared" si="0"/>
        <v>0</v>
      </c>
      <c r="BR15" s="379">
        <f t="shared" si="0"/>
        <v>0</v>
      </c>
      <c r="BS15" s="379">
        <f t="shared" ref="BS15:CK15" si="1">SUM(BS9:BS14)</f>
        <v>0</v>
      </c>
      <c r="BT15" s="379">
        <f t="shared" si="1"/>
        <v>0</v>
      </c>
      <c r="BU15" s="379">
        <f t="shared" si="1"/>
        <v>0</v>
      </c>
      <c r="BV15" s="379">
        <f t="shared" si="1"/>
        <v>0</v>
      </c>
      <c r="BW15" s="379">
        <f t="shared" si="1"/>
        <v>0</v>
      </c>
      <c r="BX15" s="379">
        <f t="shared" si="1"/>
        <v>0</v>
      </c>
      <c r="BY15" s="379">
        <f t="shared" si="1"/>
        <v>0</v>
      </c>
      <c r="BZ15" s="379">
        <f t="shared" si="1"/>
        <v>0</v>
      </c>
      <c r="CA15" s="379">
        <f t="shared" si="1"/>
        <v>0</v>
      </c>
      <c r="CB15" s="379">
        <f t="shared" si="1"/>
        <v>0</v>
      </c>
      <c r="CC15" s="379">
        <f t="shared" si="1"/>
        <v>0</v>
      </c>
      <c r="CD15" s="379">
        <f t="shared" si="1"/>
        <v>0</v>
      </c>
      <c r="CE15" s="379">
        <f t="shared" si="1"/>
        <v>0</v>
      </c>
      <c r="CF15" s="379">
        <f t="shared" si="1"/>
        <v>0</v>
      </c>
      <c r="CG15" s="379">
        <f t="shared" si="1"/>
        <v>0</v>
      </c>
      <c r="CH15" s="379">
        <f t="shared" si="1"/>
        <v>0</v>
      </c>
      <c r="CI15" s="379">
        <f t="shared" si="1"/>
        <v>0</v>
      </c>
      <c r="CJ15" s="379">
        <f t="shared" si="1"/>
        <v>0</v>
      </c>
      <c r="CK15" s="379">
        <f t="shared" si="1"/>
        <v>0</v>
      </c>
    </row>
    <row r="16" spans="3:92" ht="11.25" customHeight="1" x14ac:dyDescent="0.2">
      <c r="C16" s="37" t="str">
        <f>'Lead PL'!C25</f>
        <v>Materialaufwand</v>
      </c>
      <c r="D16" s="37" t="str">
        <f>'Lead PL'!D25</f>
        <v>Cost of materials</v>
      </c>
      <c r="E16" s="37"/>
      <c r="F16" s="36"/>
      <c r="G16" s="36"/>
      <c r="H16" s="36"/>
      <c r="I16" s="36"/>
      <c r="J16" s="36"/>
      <c r="K16" s="36"/>
      <c r="L16" s="36"/>
      <c r="M16" s="36"/>
      <c r="N16" s="36"/>
      <c r="O16" s="36"/>
      <c r="P16" s="36"/>
      <c r="Q16" s="36"/>
      <c r="R16" s="36">
        <f>-SUMIF('Trial Balance (Susa)'!$D:$D,"*"&amp;$CN16&amp;"*",'Trial Balance (Susa)'!K:K)/1000</f>
        <v>-694.43766000000005</v>
      </c>
      <c r="S16" s="36">
        <f>-SUMIF('Trial Balance (Susa)'!$D:$D,"*"&amp;$CN16&amp;"*",'Trial Balance (Susa)'!L:L)/1000-R16</f>
        <v>-918.26468999999975</v>
      </c>
      <c r="T16" s="36">
        <f>-SUMIF('Trial Balance (Susa)'!$D:$D,"*"&amp;$CN16&amp;"*",'Trial Balance (Susa)'!M:M)/1000-SUM($R16:S16)</f>
        <v>-986.22682000000009</v>
      </c>
      <c r="U16" s="36">
        <f>-SUMIF('Trial Balance (Susa)'!$D:$D,"*"&amp;$CN16&amp;"*",'Trial Balance (Susa)'!N:N)/1000-SUM($R16:T16)</f>
        <v>-658.53135999999995</v>
      </c>
      <c r="V16" s="36">
        <f>-SUMIF('Trial Balance (Susa)'!$D:$D,"*"&amp;$CN16&amp;"*",'Trial Balance (Susa)'!O:O)/1000-SUM($R16:U16)</f>
        <v>-944.96867000000066</v>
      </c>
      <c r="W16" s="36">
        <f>-SUMIF('Trial Balance (Susa)'!$D:$D,"*"&amp;$CN16&amp;"*",'Trial Balance (Susa)'!P:P)/1000-SUM($R16:V16)</f>
        <v>60.982939999999871</v>
      </c>
      <c r="X16" s="36">
        <f>-SUMIF('Trial Balance (Susa)'!$D:$D,"*"&amp;$CN16&amp;"*",'Trial Balance (Susa)'!Q:Q)/1000-SUM($R16:W16)</f>
        <v>-721.89016999999967</v>
      </c>
      <c r="Y16" s="36">
        <f>-SUMIF('Trial Balance (Susa)'!$D:$D,"*"&amp;$CN16&amp;"*",'Trial Balance (Susa)'!R:R)/1000-SUM($R16:X16)</f>
        <v>-502.11795999999958</v>
      </c>
      <c r="Z16" s="36">
        <f>-SUMIF('Trial Balance (Susa)'!$D:$D,"*"&amp;$CN16&amp;"*",'Trial Balance (Susa)'!S:S)/1000-SUM($R16:Y16)</f>
        <v>-706.97924000000057</v>
      </c>
      <c r="AA16" s="36">
        <f>-SUMIF('Trial Balance (Susa)'!$D:$D,"*"&amp;$CN16&amp;"*",'Trial Balance (Susa)'!T:T)/1000-SUM($R16:Z16)</f>
        <v>-510.89213999999902</v>
      </c>
      <c r="AB16" s="36">
        <f>-SUMIF('Trial Balance (Susa)'!$D:$D,"*"&amp;$CN16&amp;"*",'Trial Balance (Susa)'!U:U)/1000-SUM($R16:AA16)</f>
        <v>-427.10223000000042</v>
      </c>
      <c r="AC16" s="36">
        <f>-SUMIF('Trial Balance (Susa)'!$D:$D,"*"&amp;$CN16&amp;"*",'Trial Balance (Susa)'!V:V)/1000-SUM($R16:AB16)</f>
        <v>-1076.0743799999991</v>
      </c>
      <c r="AD16" s="36">
        <f>-SUMIF('Trial Balance (Susa)'!$D:$D,"*"&amp;$CN16&amp;"*",'Trial Balance (Susa)'!W:W)/1000</f>
        <v>-702.71267999999998</v>
      </c>
      <c r="AE16" s="36">
        <f>-SUMIF('Trial Balance (Susa)'!$D:$D,"*"&amp;$CN16&amp;"*",'Trial Balance (Susa)'!X:X)/1000-SUM($AD16:AD16)</f>
        <v>-513.43488999999988</v>
      </c>
      <c r="AF16" s="36">
        <f>-SUMIF('Trial Balance (Susa)'!$D:$D,"*"&amp;$CN16&amp;"*",'Trial Balance (Susa)'!Y:Y)/1000-SUM($AD16:AE16)</f>
        <v>-623.84022000000027</v>
      </c>
      <c r="AG16" s="36">
        <f>-SUMIF('Trial Balance (Susa)'!$D:$D,"*"&amp;$CN16&amp;"*",'Trial Balance (Susa)'!Z:Z)/1000-SUM($AD16:AF16)</f>
        <v>-648.25691999999981</v>
      </c>
      <c r="AH16" s="36">
        <f>-SUMIF('Trial Balance (Susa)'!$D:$D,"*"&amp;$CN16&amp;"*",'Trial Balance (Susa)'!AA:AA)/1000-SUM($AD16:AG16)</f>
        <v>-1067.9753299999998</v>
      </c>
      <c r="AI16" s="36">
        <f>-SUMIF('Trial Balance (Susa)'!$D:$D,"*"&amp;$CN16&amp;"*",'Trial Balance (Susa)'!AB:AB)/1000-SUM($AD16:AH16)</f>
        <v>-829.1319299999991</v>
      </c>
      <c r="AJ16" s="36">
        <f>-SUMIF('Trial Balance (Susa)'!$D:$D,"*"&amp;$CN16&amp;"*",'Trial Balance (Susa)'!AC:AC)/1000-SUM($AD16:AI16)</f>
        <v>-1669.2756600000002</v>
      </c>
      <c r="AK16" s="36">
        <f>-SUMIF('Trial Balance (Susa)'!$D:$D,"*"&amp;$CN16&amp;"*",'Trial Balance (Susa)'!AD:AD)/1000-SUM($AD16:AJ16)</f>
        <v>-494.91564000000017</v>
      </c>
      <c r="AL16" s="36">
        <f>-SUMIF('Trial Balance (Susa)'!$D:$D,"*"&amp;$CN16&amp;"*",'Trial Balance (Susa)'!AE:AE)/1000-SUM($AD16:AK16)</f>
        <v>-1166.9139999999998</v>
      </c>
      <c r="AM16" s="36">
        <f>-SUMIF('Trial Balance (Susa)'!$D:$D,"*"&amp;$CN16&amp;"*",'Trial Balance (Susa)'!AF:AF)/1000-SUM($AD16:AL16)</f>
        <v>-353.45834999999988</v>
      </c>
      <c r="AN16" s="36">
        <f>-SUMIF('Trial Balance (Susa)'!$D:$D,"*"&amp;$CN16&amp;"*",'Trial Balance (Susa)'!AG:AG)/1000-SUM($AD16:AM16)</f>
        <v>-589.53628000000117</v>
      </c>
      <c r="AO16" s="36">
        <f>-SUMIF('Trial Balance (Susa)'!$D:$D,"*"&amp;$CN16&amp;"*",'Trial Balance (Susa)'!AH:AH)/1000-SUM($AD16:AN16)</f>
        <v>261.56451000000015</v>
      </c>
      <c r="AP16" s="36">
        <f>-SUMIF('Trial Balance (Susa)'!$D:$D,"*"&amp;$CN16&amp;"*",'Trial Balance (Susa)'!AI:AI)/1000</f>
        <v>-666.35807000000011</v>
      </c>
      <c r="AQ16" s="36">
        <f>-SUMIF('Trial Balance (Susa)'!$D:$D,"*"&amp;$CN16&amp;"*",'Trial Balance (Susa)'!AJ:AJ)/1000-SUM($AP16:AP16)</f>
        <v>-853.88634000000013</v>
      </c>
      <c r="AR16" s="36">
        <f>-SUMIF('Trial Balance (Susa)'!$D:$D,"*"&amp;$CN16&amp;"*",'Trial Balance (Susa)'!AK:AK)/1000-SUM($AP16:AQ16)</f>
        <v>-664.77470999999969</v>
      </c>
      <c r="AS16" s="36">
        <f>-SUMIF('Trial Balance (Susa)'!$D:$D,"*"&amp;$CN16&amp;"*",'Trial Balance (Susa)'!AL:AL)/1000-SUM($AP16:AR16)</f>
        <v>-703.46014000000014</v>
      </c>
      <c r="AT16" s="36">
        <f>-SUMIF('Trial Balance (Susa)'!$D:$D,"*"&amp;$CN16&amp;"*",'Trial Balance (Susa)'!AM:AM)/1000-SUM($AP16:AS16)</f>
        <v>-701.22722999999951</v>
      </c>
      <c r="AU16" s="36">
        <f>-SUMIF('Trial Balance (Susa)'!$D:$D,"*"&amp;$CN16&amp;"*",'Trial Balance (Susa)'!AN:AN)/1000-SUM($AP16:AT16)</f>
        <v>-291.10538000000042</v>
      </c>
      <c r="AV16" s="36">
        <f>-SUMIF('Trial Balance (Susa)'!$D:$D,"*"&amp;$CN16&amp;"*",'Trial Balance (Susa)'!AO:AO)/1000-SUM($AP16:AU16)</f>
        <v>-506.23965999999973</v>
      </c>
      <c r="AW16" s="36">
        <f>-SUMIF('Trial Balance (Susa)'!$D:$D,"*"&amp;$CN16&amp;"*",'Trial Balance (Susa)'!AP:AP)/1000-SUM($AP16:AV16)</f>
        <v>-446.51855000000069</v>
      </c>
      <c r="AX16" s="36">
        <f>-SUMIF('Trial Balance (Susa)'!$D:$D,"*"&amp;$CN16&amp;"*",'Trial Balance (Susa)'!AQ:AQ)/1000-SUM($AP16:AW16)</f>
        <v>-422.89770999999928</v>
      </c>
      <c r="AY16" s="36">
        <f>-SUMIF('Trial Balance (Susa)'!$D:$D,"*"&amp;$CN16&amp;"*",'Trial Balance (Susa)'!AR:AR)/1000-SUM($AP16:AX16)</f>
        <v>-378.50554000000011</v>
      </c>
      <c r="AZ16" s="36">
        <f>-SUMIF('Trial Balance (Susa)'!$D:$D,"*"&amp;$CN16&amp;"*",'Trial Balance (Susa)'!AS:AS)/1000-SUM($AP16:AY16)</f>
        <v>-736.2111900000009</v>
      </c>
      <c r="BA16" s="36">
        <f>-SUMIF('Trial Balance (Susa)'!$D:$D,"*"&amp;$CN16&amp;"*",'Trial Balance (Susa)'!AT:AT)/1000-SUM($AP16:AZ16)</f>
        <v>-990.60016999999789</v>
      </c>
      <c r="BB16" s="278"/>
      <c r="BC16" s="278"/>
      <c r="BD16" s="278"/>
      <c r="BE16" s="278"/>
      <c r="BF16" s="278"/>
      <c r="BG16" s="278"/>
      <c r="BH16" s="278"/>
      <c r="BI16" s="278"/>
      <c r="BJ16" s="278"/>
      <c r="BK16" s="278"/>
      <c r="BL16" s="278"/>
      <c r="BM16" s="278"/>
      <c r="BN16" s="278"/>
      <c r="BO16" s="278"/>
      <c r="BP16" s="278"/>
      <c r="BQ16" s="278"/>
      <c r="BR16" s="278"/>
      <c r="BS16" s="278"/>
      <c r="BT16" s="278"/>
      <c r="BU16" s="278"/>
      <c r="BV16" s="278"/>
      <c r="BW16" s="278"/>
      <c r="BX16" s="278"/>
      <c r="BY16" s="278"/>
      <c r="BZ16" s="278"/>
      <c r="CA16" s="278"/>
      <c r="CB16" s="278"/>
      <c r="CC16" s="278"/>
      <c r="CD16" s="278"/>
      <c r="CE16" s="278"/>
      <c r="CF16" s="278"/>
      <c r="CG16" s="278"/>
      <c r="CH16" s="278"/>
      <c r="CI16" s="278"/>
      <c r="CJ16" s="278"/>
      <c r="CK16" s="278"/>
      <c r="CN16" s="364" t="s">
        <v>693</v>
      </c>
    </row>
    <row r="17" spans="1:92" ht="11.25" hidden="1" customHeight="1" outlineLevel="2" x14ac:dyDescent="0.2">
      <c r="C17" s="37" t="str">
        <f>'Lead PL'!C26</f>
        <v>RHB-Aufwand</v>
      </c>
      <c r="D17" s="37" t="str">
        <f>'Lead PL'!D26</f>
        <v>Dummy 1</v>
      </c>
      <c r="E17" s="37"/>
      <c r="F17" s="36"/>
      <c r="G17" s="36"/>
      <c r="H17" s="36"/>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278"/>
      <c r="AV17" s="278"/>
      <c r="AW17" s="278"/>
      <c r="AX17" s="278"/>
      <c r="AY17" s="278"/>
      <c r="AZ17" s="278"/>
      <c r="BA17" s="278"/>
      <c r="BB17" s="278"/>
      <c r="BC17" s="278"/>
      <c r="BD17" s="278"/>
      <c r="BE17" s="278"/>
      <c r="BF17" s="278"/>
      <c r="BG17" s="278"/>
      <c r="BH17" s="278"/>
      <c r="BI17" s="278"/>
      <c r="BJ17" s="278"/>
      <c r="BK17" s="278"/>
      <c r="BL17" s="278"/>
      <c r="BM17" s="278"/>
      <c r="BN17" s="278"/>
      <c r="BO17" s="278"/>
      <c r="BP17" s="278"/>
      <c r="BQ17" s="278"/>
      <c r="BR17" s="278"/>
      <c r="BS17" s="278"/>
      <c r="BT17" s="278"/>
      <c r="BU17" s="278"/>
      <c r="BV17" s="278"/>
      <c r="BW17" s="278"/>
      <c r="BX17" s="278"/>
      <c r="BY17" s="278"/>
      <c r="BZ17" s="278"/>
      <c r="CA17" s="278"/>
      <c r="CB17" s="278"/>
      <c r="CC17" s="278"/>
      <c r="CD17" s="278"/>
      <c r="CE17" s="278"/>
      <c r="CF17" s="278"/>
      <c r="CG17" s="278"/>
      <c r="CH17" s="278"/>
      <c r="CI17" s="278"/>
      <c r="CJ17" s="278"/>
      <c r="CK17" s="278"/>
      <c r="CN17" s="364"/>
    </row>
    <row r="18" spans="1:92" ht="11.25" hidden="1" customHeight="1" outlineLevel="2" x14ac:dyDescent="0.2">
      <c r="C18" s="37" t="str">
        <f>'Lead PL'!C27</f>
        <v>Fremdleistungen</v>
      </c>
      <c r="D18" s="37" t="str">
        <f>'Lead PL'!D27</f>
        <v>Dummy 2</v>
      </c>
      <c r="E18" s="37"/>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278"/>
      <c r="AV18" s="278"/>
      <c r="AW18" s="278"/>
      <c r="AX18" s="278"/>
      <c r="AY18" s="278"/>
      <c r="AZ18" s="278"/>
      <c r="BA18" s="278"/>
      <c r="BB18" s="278"/>
      <c r="BC18" s="278"/>
      <c r="BD18" s="278"/>
      <c r="BE18" s="278"/>
      <c r="BF18" s="278"/>
      <c r="BG18" s="278"/>
      <c r="BH18" s="278"/>
      <c r="BI18" s="278"/>
      <c r="BJ18" s="278"/>
      <c r="BK18" s="278"/>
      <c r="BL18" s="278"/>
      <c r="BM18" s="278"/>
      <c r="BN18" s="278"/>
      <c r="BO18" s="278"/>
      <c r="BP18" s="278"/>
      <c r="BQ18" s="278"/>
      <c r="BR18" s="278"/>
      <c r="BS18" s="278"/>
      <c r="BT18" s="278"/>
      <c r="BU18" s="278"/>
      <c r="BV18" s="278"/>
      <c r="BW18" s="278"/>
      <c r="BX18" s="278"/>
      <c r="BY18" s="278"/>
      <c r="BZ18" s="278"/>
      <c r="CA18" s="278"/>
      <c r="CB18" s="278"/>
      <c r="CC18" s="278"/>
      <c r="CD18" s="278"/>
      <c r="CE18" s="278"/>
      <c r="CF18" s="278"/>
      <c r="CG18" s="278"/>
      <c r="CH18" s="278"/>
      <c r="CI18" s="278"/>
      <c r="CJ18" s="278"/>
      <c r="CK18" s="278"/>
      <c r="CN18" s="364"/>
    </row>
    <row r="19" spans="1:92" ht="11.25" hidden="1" customHeight="1" outlineLevel="2" x14ac:dyDescent="0.2">
      <c r="C19" s="42" t="str">
        <f>'Lead PL'!C28</f>
        <v>Dummy 3</v>
      </c>
      <c r="D19" s="42" t="str">
        <f>'Lead PL'!D28</f>
        <v>Dummy 3</v>
      </c>
      <c r="E19" s="42"/>
      <c r="F19" s="127"/>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5"/>
      <c r="AV19" s="125"/>
      <c r="AW19" s="125"/>
      <c r="AX19" s="125"/>
      <c r="AY19" s="125"/>
      <c r="AZ19" s="125"/>
      <c r="BA19" s="125"/>
      <c r="BB19" s="125"/>
      <c r="BC19" s="125"/>
      <c r="BD19" s="125"/>
      <c r="BE19" s="125"/>
      <c r="BF19" s="125"/>
      <c r="BG19" s="125"/>
      <c r="BH19" s="125"/>
      <c r="BI19" s="125"/>
      <c r="BJ19" s="125"/>
      <c r="BK19" s="125"/>
      <c r="BL19" s="125"/>
      <c r="BM19" s="125"/>
      <c r="BN19" s="125"/>
      <c r="BO19" s="125"/>
      <c r="BP19" s="125"/>
      <c r="BQ19" s="125"/>
      <c r="BR19" s="125"/>
      <c r="BS19" s="125"/>
      <c r="BT19" s="125"/>
      <c r="BU19" s="125"/>
      <c r="BV19" s="125"/>
      <c r="BW19" s="125"/>
      <c r="BX19" s="125"/>
      <c r="BY19" s="125"/>
      <c r="BZ19" s="125"/>
      <c r="CA19" s="125"/>
      <c r="CB19" s="125"/>
      <c r="CC19" s="125"/>
      <c r="CD19" s="125"/>
      <c r="CE19" s="125"/>
      <c r="CF19" s="125"/>
      <c r="CG19" s="125"/>
      <c r="CH19" s="125"/>
      <c r="CI19" s="125"/>
      <c r="CJ19" s="125"/>
      <c r="CK19" s="125"/>
      <c r="CN19" s="364"/>
    </row>
    <row r="20" spans="1:92" ht="11.25" customHeight="1" collapsed="1" x14ac:dyDescent="0.2">
      <c r="C20" s="141" t="str">
        <f>'Lead PL'!C29</f>
        <v>Rohergebnis</v>
      </c>
      <c r="D20" s="141" t="str">
        <f>'Lead PL'!D29</f>
        <v>Gross profit</v>
      </c>
      <c r="E20" s="141"/>
      <c r="F20" s="141">
        <f t="shared" ref="F20:AK20" si="2">SUM(F15:F19)</f>
        <v>0</v>
      </c>
      <c r="G20" s="141">
        <f t="shared" si="2"/>
        <v>0</v>
      </c>
      <c r="H20" s="141">
        <f t="shared" si="2"/>
        <v>0</v>
      </c>
      <c r="I20" s="141">
        <f t="shared" si="2"/>
        <v>0</v>
      </c>
      <c r="J20" s="141">
        <f t="shared" si="2"/>
        <v>0</v>
      </c>
      <c r="K20" s="141">
        <f t="shared" si="2"/>
        <v>0</v>
      </c>
      <c r="L20" s="141">
        <f t="shared" si="2"/>
        <v>0</v>
      </c>
      <c r="M20" s="141">
        <f t="shared" si="2"/>
        <v>0</v>
      </c>
      <c r="N20" s="141">
        <f t="shared" si="2"/>
        <v>0</v>
      </c>
      <c r="O20" s="141">
        <f t="shared" si="2"/>
        <v>0</v>
      </c>
      <c r="P20" s="141">
        <f t="shared" si="2"/>
        <v>0</v>
      </c>
      <c r="Q20" s="141">
        <f t="shared" si="2"/>
        <v>0</v>
      </c>
      <c r="R20" s="141">
        <f t="shared" si="2"/>
        <v>393.51455999999985</v>
      </c>
      <c r="S20" s="141">
        <f t="shared" si="2"/>
        <v>297.38606000000027</v>
      </c>
      <c r="T20" s="141">
        <f t="shared" si="2"/>
        <v>459.6740299999999</v>
      </c>
      <c r="U20" s="141">
        <f t="shared" si="2"/>
        <v>667.75352000000112</v>
      </c>
      <c r="V20" s="141">
        <f t="shared" si="2"/>
        <v>255.16063999999869</v>
      </c>
      <c r="W20" s="141">
        <f t="shared" si="2"/>
        <v>1431.5419199999988</v>
      </c>
      <c r="X20" s="141">
        <f t="shared" si="2"/>
        <v>496.15290000000277</v>
      </c>
      <c r="Y20" s="141">
        <f t="shared" si="2"/>
        <v>855.80573000000004</v>
      </c>
      <c r="Z20" s="141">
        <f t="shared" si="2"/>
        <v>611.80605999999784</v>
      </c>
      <c r="AA20" s="141">
        <f t="shared" si="2"/>
        <v>572.74571000000378</v>
      </c>
      <c r="AB20" s="141">
        <f t="shared" si="2"/>
        <v>896.44694999999774</v>
      </c>
      <c r="AC20" s="141">
        <f t="shared" si="2"/>
        <v>491.33025000000043</v>
      </c>
      <c r="AD20" s="141">
        <f t="shared" si="2"/>
        <v>638.19114999999999</v>
      </c>
      <c r="AE20" s="141">
        <f t="shared" si="2"/>
        <v>862.25057999999979</v>
      </c>
      <c r="AF20" s="141">
        <f t="shared" si="2"/>
        <v>1035.6815300000005</v>
      </c>
      <c r="AG20" s="141">
        <f t="shared" si="2"/>
        <v>684.42714999999953</v>
      </c>
      <c r="AH20" s="141">
        <f t="shared" si="2"/>
        <v>677.23023000000057</v>
      </c>
      <c r="AI20" s="141">
        <f t="shared" si="2"/>
        <v>378.94158000000061</v>
      </c>
      <c r="AJ20" s="141">
        <f t="shared" si="2"/>
        <v>-181.10331999999744</v>
      </c>
      <c r="AK20" s="141">
        <f t="shared" si="2"/>
        <v>769.54608000000098</v>
      </c>
      <c r="AL20" s="141">
        <f t="shared" ref="AL20:BQ20" si="3">SUM(AL15:AL19)</f>
        <v>255.6437999999971</v>
      </c>
      <c r="AM20" s="141">
        <f t="shared" si="3"/>
        <v>981.26382000000103</v>
      </c>
      <c r="AN20" s="141">
        <f t="shared" si="3"/>
        <v>732.91913999999724</v>
      </c>
      <c r="AO20" s="141">
        <f t="shared" si="3"/>
        <v>1777.8794700000028</v>
      </c>
      <c r="AP20" s="141">
        <f t="shared" si="3"/>
        <v>688.57692999999983</v>
      </c>
      <c r="AQ20" s="141">
        <f t="shared" si="3"/>
        <v>618.45351999999991</v>
      </c>
      <c r="AR20" s="141">
        <f t="shared" si="3"/>
        <v>453.33957999999984</v>
      </c>
      <c r="AS20" s="141">
        <f t="shared" si="3"/>
        <v>659.44734999999991</v>
      </c>
      <c r="AT20" s="141">
        <f t="shared" si="3"/>
        <v>812.74474000000009</v>
      </c>
      <c r="AU20" s="379">
        <f t="shared" si="3"/>
        <v>765.26237999999967</v>
      </c>
      <c r="AV20" s="379">
        <f t="shared" si="3"/>
        <v>605.07749999999987</v>
      </c>
      <c r="AW20" s="379">
        <f t="shared" si="3"/>
        <v>932.41776000000027</v>
      </c>
      <c r="AX20" s="379">
        <f t="shared" si="3"/>
        <v>701.32325000000128</v>
      </c>
      <c r="AY20" s="379">
        <f t="shared" si="3"/>
        <v>833.82200000000375</v>
      </c>
      <c r="AZ20" s="379">
        <f t="shared" si="3"/>
        <v>457.2816199999952</v>
      </c>
      <c r="BA20" s="379">
        <f t="shared" si="3"/>
        <v>346.38713000000462</v>
      </c>
      <c r="BB20" s="379">
        <f t="shared" si="3"/>
        <v>0</v>
      </c>
      <c r="BC20" s="379">
        <f t="shared" si="3"/>
        <v>0</v>
      </c>
      <c r="BD20" s="379">
        <f t="shared" si="3"/>
        <v>0</v>
      </c>
      <c r="BE20" s="379">
        <f t="shared" si="3"/>
        <v>0</v>
      </c>
      <c r="BF20" s="379">
        <f t="shared" si="3"/>
        <v>0</v>
      </c>
      <c r="BG20" s="379">
        <f t="shared" si="3"/>
        <v>0</v>
      </c>
      <c r="BH20" s="379">
        <f t="shared" si="3"/>
        <v>0</v>
      </c>
      <c r="BI20" s="379">
        <f t="shared" si="3"/>
        <v>0</v>
      </c>
      <c r="BJ20" s="379">
        <f t="shared" si="3"/>
        <v>0</v>
      </c>
      <c r="BK20" s="379">
        <f t="shared" si="3"/>
        <v>0</v>
      </c>
      <c r="BL20" s="379">
        <f t="shared" si="3"/>
        <v>0</v>
      </c>
      <c r="BM20" s="379">
        <f t="shared" si="3"/>
        <v>0</v>
      </c>
      <c r="BN20" s="379">
        <f t="shared" si="3"/>
        <v>0</v>
      </c>
      <c r="BO20" s="379">
        <f t="shared" si="3"/>
        <v>0</v>
      </c>
      <c r="BP20" s="379">
        <f t="shared" si="3"/>
        <v>0</v>
      </c>
      <c r="BQ20" s="379">
        <f t="shared" si="3"/>
        <v>0</v>
      </c>
      <c r="BR20" s="379">
        <f t="shared" ref="BR20:CK20" si="4">SUM(BR15:BR19)</f>
        <v>0</v>
      </c>
      <c r="BS20" s="379">
        <f t="shared" si="4"/>
        <v>0</v>
      </c>
      <c r="BT20" s="379">
        <f t="shared" si="4"/>
        <v>0</v>
      </c>
      <c r="BU20" s="379">
        <f t="shared" si="4"/>
        <v>0</v>
      </c>
      <c r="BV20" s="379">
        <f t="shared" si="4"/>
        <v>0</v>
      </c>
      <c r="BW20" s="379">
        <f t="shared" si="4"/>
        <v>0</v>
      </c>
      <c r="BX20" s="379">
        <f t="shared" si="4"/>
        <v>0</v>
      </c>
      <c r="BY20" s="379">
        <f t="shared" si="4"/>
        <v>0</v>
      </c>
      <c r="BZ20" s="379">
        <f t="shared" si="4"/>
        <v>0</v>
      </c>
      <c r="CA20" s="379">
        <f t="shared" si="4"/>
        <v>0</v>
      </c>
      <c r="CB20" s="379">
        <f t="shared" si="4"/>
        <v>0</v>
      </c>
      <c r="CC20" s="379">
        <f t="shared" si="4"/>
        <v>0</v>
      </c>
      <c r="CD20" s="379">
        <f t="shared" si="4"/>
        <v>0</v>
      </c>
      <c r="CE20" s="379">
        <f t="shared" si="4"/>
        <v>0</v>
      </c>
      <c r="CF20" s="379">
        <f t="shared" si="4"/>
        <v>0</v>
      </c>
      <c r="CG20" s="379">
        <f t="shared" si="4"/>
        <v>0</v>
      </c>
      <c r="CH20" s="379">
        <f t="shared" si="4"/>
        <v>0</v>
      </c>
      <c r="CI20" s="379">
        <f t="shared" si="4"/>
        <v>0</v>
      </c>
      <c r="CJ20" s="379">
        <f t="shared" si="4"/>
        <v>0</v>
      </c>
      <c r="CK20" s="379">
        <f t="shared" si="4"/>
        <v>0</v>
      </c>
    </row>
    <row r="21" spans="1:92" ht="11.25" customHeight="1" x14ac:dyDescent="0.2">
      <c r="C21" s="37" t="str">
        <f>'Lead PL'!C30</f>
        <v>Personalaufwand</v>
      </c>
      <c r="D21" s="37" t="str">
        <f>'Lead PL'!D30</f>
        <v>Personnel expenses</v>
      </c>
      <c r="E21" s="37"/>
      <c r="F21" s="36"/>
      <c r="G21" s="36"/>
      <c r="H21" s="36"/>
      <c r="I21" s="36"/>
      <c r="J21" s="36"/>
      <c r="K21" s="36"/>
      <c r="L21" s="36"/>
      <c r="M21" s="36"/>
      <c r="N21" s="36"/>
      <c r="O21" s="36"/>
      <c r="P21" s="36"/>
      <c r="Q21" s="36"/>
      <c r="R21" s="36">
        <f>-SUMIF('Trial Balance (Susa)'!$D:$D,"*"&amp;$CN21&amp;"*",'Trial Balance (Susa)'!K:K)/1000</f>
        <v>-294.62901999999997</v>
      </c>
      <c r="S21" s="36">
        <f>-SUMIF('Trial Balance (Susa)'!$D:$D,"*"&amp;$CN21&amp;"*",'Trial Balance (Susa)'!L:L)/1000-R21</f>
        <v>-251.95002000000011</v>
      </c>
      <c r="T21" s="36">
        <f>-SUMIF('Trial Balance (Susa)'!$D:$D,"*"&amp;$CN21&amp;"*",'Trial Balance (Susa)'!M:M)/1000-SUM($R21:S21)</f>
        <v>-275.87469999999985</v>
      </c>
      <c r="U21" s="36">
        <f>-SUMIF('Trial Balance (Susa)'!$D:$D,"*"&amp;$CN21&amp;"*",'Trial Balance (Susa)'!N:N)/1000-SUM($R21:T21)</f>
        <v>-273.98506999999995</v>
      </c>
      <c r="V21" s="36">
        <f>-SUMIF('Trial Balance (Susa)'!$D:$D,"*"&amp;$CN21&amp;"*",'Trial Balance (Susa)'!O:O)/1000-SUM($R21:U21)</f>
        <v>-306.27277000000049</v>
      </c>
      <c r="W21" s="36">
        <f>-SUMIF('Trial Balance (Susa)'!$D:$D,"*"&amp;$CN21&amp;"*",'Trial Balance (Susa)'!P:P)/1000-SUM($R21:V21)</f>
        <v>-351.39616999999976</v>
      </c>
      <c r="X21" s="36">
        <f>-SUMIF('Trial Balance (Susa)'!$D:$D,"*"&amp;$CN21&amp;"*",'Trial Balance (Susa)'!Q:Q)/1000-SUM($R21:W21)</f>
        <v>-295.89089000000013</v>
      </c>
      <c r="Y21" s="36">
        <f>-SUMIF('Trial Balance (Susa)'!$D:$D,"*"&amp;$CN21&amp;"*",'Trial Balance (Susa)'!R:R)/1000-SUM($R21:X21)</f>
        <v>-274.8454099999999</v>
      </c>
      <c r="Z21" s="36">
        <f>-SUMIF('Trial Balance (Susa)'!$D:$D,"*"&amp;$CN21&amp;"*",'Trial Balance (Susa)'!S:S)/1000-SUM($R21:Y21)</f>
        <v>-337.60095000000092</v>
      </c>
      <c r="AA21" s="36">
        <f>-SUMIF('Trial Balance (Susa)'!$D:$D,"*"&amp;$CN21&amp;"*",'Trial Balance (Susa)'!T:T)/1000-SUM($R21:Z21)</f>
        <v>-331.69482999999946</v>
      </c>
      <c r="AB21" s="36">
        <f>-SUMIF('Trial Balance (Susa)'!$D:$D,"*"&amp;$CN21&amp;"*",'Trial Balance (Susa)'!U:U)/1000-SUM($R21:AA21)</f>
        <v>-342.47145999999975</v>
      </c>
      <c r="AC21" s="36">
        <f>-SUMIF('Trial Balance (Susa)'!$D:$D,"*"&amp;$CN21&amp;"*",'Trial Balance (Susa)'!V:V)/1000-SUM($R21:AB21)</f>
        <v>-422.37297000000081</v>
      </c>
      <c r="AD21" s="36">
        <f>-SUMIF('Trial Balance (Susa)'!$D:$D,"*"&amp;$CN21&amp;"*",'Trial Balance (Susa)'!W:W)/1000</f>
        <v>-337.82956999999999</v>
      </c>
      <c r="AE21" s="36">
        <f>-SUMIF('Trial Balance (Susa)'!$D:$D,"*"&amp;$CN21&amp;"*",'Trial Balance (Susa)'!X:X)/1000-SUM($AD21:AD21)</f>
        <v>-340.19395999999995</v>
      </c>
      <c r="AF21" s="36">
        <f>-SUMIF('Trial Balance (Susa)'!$D:$D,"*"&amp;$CN21&amp;"*",'Trial Balance (Susa)'!Y:Y)/1000-SUM($AD21:AE21)</f>
        <v>-365.80620999999996</v>
      </c>
      <c r="AG21" s="36">
        <f>-SUMIF('Trial Balance (Susa)'!$D:$D,"*"&amp;$CN21&amp;"*",'Trial Balance (Susa)'!Z:Z)/1000-SUM($AD21:AF21)</f>
        <v>-366.03586999999993</v>
      </c>
      <c r="AH21" s="36">
        <f>-SUMIF('Trial Balance (Susa)'!$D:$D,"*"&amp;$CN21&amp;"*",'Trial Balance (Susa)'!AA:AA)/1000-SUM($AD21:AG21)</f>
        <v>-384.8410100000001</v>
      </c>
      <c r="AI21" s="36">
        <f>-SUMIF('Trial Balance (Susa)'!$D:$D,"*"&amp;$CN21&amp;"*",'Trial Balance (Susa)'!AB:AB)/1000-SUM($AD21:AH21)</f>
        <v>-401.95188000000053</v>
      </c>
      <c r="AJ21" s="36">
        <f>-SUMIF('Trial Balance (Susa)'!$D:$D,"*"&amp;$CN21&amp;"*",'Trial Balance (Susa)'!AC:AC)/1000-SUM($AD21:AI21)</f>
        <v>-408.64078999999992</v>
      </c>
      <c r="AK21" s="36">
        <f>-SUMIF('Trial Balance (Susa)'!$D:$D,"*"&amp;$CN21&amp;"*",'Trial Balance (Susa)'!AD:AD)/1000-SUM($AD21:AJ21)</f>
        <v>-388.09948999999961</v>
      </c>
      <c r="AL21" s="36">
        <f>-SUMIF('Trial Balance (Susa)'!$D:$D,"*"&amp;$CN21&amp;"*",'Trial Balance (Susa)'!AE:AE)/1000-SUM($AD21:AK21)</f>
        <v>-381.57616999999982</v>
      </c>
      <c r="AM21" s="36">
        <f>-SUMIF('Trial Balance (Susa)'!$D:$D,"*"&amp;$CN21&amp;"*",'Trial Balance (Susa)'!AF:AF)/1000-SUM($AD21:AL21)</f>
        <v>-392.60759000000053</v>
      </c>
      <c r="AN21" s="36">
        <f>-SUMIF('Trial Balance (Susa)'!$D:$D,"*"&amp;$CN21&amp;"*",'Trial Balance (Susa)'!AG:AG)/1000-SUM($AD21:AM21)</f>
        <v>-360.62585000000036</v>
      </c>
      <c r="AO21" s="36">
        <f>-SUMIF('Trial Balance (Susa)'!$D:$D,"*"&amp;$CN21&amp;"*",'Trial Balance (Susa)'!AH:AH)/1000-SUM($AD21:AN21)</f>
        <v>-394.14266000000043</v>
      </c>
      <c r="AP21" s="36">
        <f>-SUMIF('Trial Balance (Susa)'!$D:$D,"*"&amp;$CN21&amp;"*",'Trial Balance (Susa)'!AI:AI)/1000</f>
        <v>-354.7783</v>
      </c>
      <c r="AQ21" s="36">
        <f>-SUMIF('Trial Balance (Susa)'!$D:$D,"*"&amp;$CN21&amp;"*",'Trial Balance (Susa)'!AJ:AJ)/1000-SUM($AP21:AP21)</f>
        <v>-342.09085999999985</v>
      </c>
      <c r="AR21" s="36">
        <f>-SUMIF('Trial Balance (Susa)'!$D:$D,"*"&amp;$CN21&amp;"*",'Trial Balance (Susa)'!AK:AK)/1000-SUM($AP21:AQ21)</f>
        <v>-361.47042000000022</v>
      </c>
      <c r="AS21" s="36">
        <f>-SUMIF('Trial Balance (Susa)'!$D:$D,"*"&amp;$CN21&amp;"*",'Trial Balance (Susa)'!AL:AL)/1000-SUM($AP21:AR21)</f>
        <v>-364.211219999999</v>
      </c>
      <c r="AT21" s="36">
        <f>-SUMIF('Trial Balance (Susa)'!$D:$D,"*"&amp;$CN21&amp;"*",'Trial Balance (Susa)'!AM:AM)/1000-SUM($AP21:AS21)</f>
        <v>-356.70311000000129</v>
      </c>
      <c r="AU21" s="36">
        <f>-SUMIF('Trial Balance (Susa)'!$D:$D,"*"&amp;$CN21&amp;"*",'Trial Balance (Susa)'!AN:AN)/1000-SUM($AP21:AT21)</f>
        <v>-349.05644000000029</v>
      </c>
      <c r="AV21" s="36">
        <f>-SUMIF('Trial Balance (Susa)'!$D:$D,"*"&amp;$CN21&amp;"*",'Trial Balance (Susa)'!AO:AO)/1000-SUM($AP21:AU21)</f>
        <v>-403.34927999999991</v>
      </c>
      <c r="AW21" s="36">
        <f>-SUMIF('Trial Balance (Susa)'!$D:$D,"*"&amp;$CN21&amp;"*",'Trial Balance (Susa)'!AP:AP)/1000-SUM($AP21:AV21)</f>
        <v>-338.51617000000078</v>
      </c>
      <c r="AX21" s="36">
        <f>-SUMIF('Trial Balance (Susa)'!$D:$D,"*"&amp;$CN21&amp;"*",'Trial Balance (Susa)'!AQ:AQ)/1000-SUM($AP21:AW21)</f>
        <v>-348.74196999999867</v>
      </c>
      <c r="AY21" s="36">
        <f>-SUMIF('Trial Balance (Susa)'!$D:$D,"*"&amp;$CN21&amp;"*",'Trial Balance (Susa)'!AR:AR)/1000-SUM($AP21:AX21)</f>
        <v>-348.89501000000064</v>
      </c>
      <c r="AZ21" s="36">
        <f>-SUMIF('Trial Balance (Susa)'!$D:$D,"*"&amp;$CN21&amp;"*",'Trial Balance (Susa)'!AS:AS)/1000-SUM($AP21:AY21)</f>
        <v>-320.30163999999922</v>
      </c>
      <c r="BA21" s="36">
        <f>-SUMIF('Trial Balance (Susa)'!$D:$D,"*"&amp;$CN21&amp;"*",'Trial Balance (Susa)'!AT:AT)/1000-SUM($AP21:AZ21)</f>
        <v>-337.71260999999959</v>
      </c>
      <c r="BB21" s="278"/>
      <c r="BC21" s="278"/>
      <c r="BD21" s="278"/>
      <c r="BE21" s="278"/>
      <c r="BF21" s="278"/>
      <c r="BG21" s="278"/>
      <c r="BH21" s="278"/>
      <c r="BI21" s="278"/>
      <c r="BJ21" s="278"/>
      <c r="BK21" s="278"/>
      <c r="BL21" s="278"/>
      <c r="BM21" s="278"/>
      <c r="BN21" s="278"/>
      <c r="BO21" s="278"/>
      <c r="BP21" s="278"/>
      <c r="BQ21" s="278"/>
      <c r="BR21" s="278"/>
      <c r="BS21" s="278"/>
      <c r="BT21" s="278"/>
      <c r="BU21" s="278"/>
      <c r="BV21" s="278"/>
      <c r="BW21" s="278"/>
      <c r="BX21" s="278"/>
      <c r="BY21" s="278"/>
      <c r="BZ21" s="278"/>
      <c r="CA21" s="278"/>
      <c r="CB21" s="278"/>
      <c r="CC21" s="278"/>
      <c r="CD21" s="278"/>
      <c r="CE21" s="278"/>
      <c r="CF21" s="278"/>
      <c r="CG21" s="278"/>
      <c r="CH21" s="278"/>
      <c r="CI21" s="278"/>
      <c r="CJ21" s="278"/>
      <c r="CK21" s="278"/>
      <c r="CN21" s="364" t="s">
        <v>694</v>
      </c>
    </row>
    <row r="22" spans="1:92" ht="11.25" customHeight="1" x14ac:dyDescent="0.2">
      <c r="C22" s="37" t="str">
        <f>'Lead PL'!C31</f>
        <v>Miet- und Grundstücksaufwendungen</v>
      </c>
      <c r="D22" s="37" t="str">
        <f>'Lead PL'!D31</f>
        <v>Premise costs</v>
      </c>
      <c r="E22" s="37"/>
      <c r="F22" s="36"/>
      <c r="G22" s="36"/>
      <c r="H22" s="36"/>
      <c r="I22" s="36"/>
      <c r="J22" s="36"/>
      <c r="K22" s="36"/>
      <c r="L22" s="36"/>
      <c r="M22" s="36"/>
      <c r="N22" s="36"/>
      <c r="O22" s="36"/>
      <c r="P22" s="36"/>
      <c r="Q22" s="36"/>
      <c r="R22" s="36">
        <f>-SUMIF('Trial Balance (Susa)'!$D:$D,"*"&amp;$CN22&amp;"*",'Trial Balance (Susa)'!K:K)/1000</f>
        <v>-27.216100000000001</v>
      </c>
      <c r="S22" s="36">
        <f>-SUMIF('Trial Balance (Susa)'!$D:$D,"*"&amp;$CN22&amp;"*",'Trial Balance (Susa)'!L:L)/1000-R22</f>
        <v>-27.808609999999998</v>
      </c>
      <c r="T22" s="36">
        <f>-SUMIF('Trial Balance (Susa)'!$D:$D,"*"&amp;$CN22&amp;"*",'Trial Balance (Susa)'!M:M)/1000-SUM($R22:S22)</f>
        <v>-30.182599999999994</v>
      </c>
      <c r="U22" s="36">
        <f>-SUMIF('Trial Balance (Susa)'!$D:$D,"*"&amp;$CN22&amp;"*",'Trial Balance (Susa)'!N:N)/1000-SUM($R22:T22)</f>
        <v>-21.313380000000009</v>
      </c>
      <c r="V22" s="36">
        <f>-SUMIF('Trial Balance (Susa)'!$D:$D,"*"&amp;$CN22&amp;"*",'Trial Balance (Susa)'!O:O)/1000-SUM($R22:U22)</f>
        <v>-27.231920000000002</v>
      </c>
      <c r="W22" s="36">
        <f>-SUMIF('Trial Balance (Susa)'!$D:$D,"*"&amp;$CN22&amp;"*",'Trial Balance (Susa)'!P:P)/1000-SUM($R22:V22)</f>
        <v>-32.244010000000003</v>
      </c>
      <c r="X22" s="36">
        <f>-SUMIF('Trial Balance (Susa)'!$D:$D,"*"&amp;$CN22&amp;"*",'Trial Balance (Susa)'!Q:Q)/1000-SUM($R22:W22)</f>
        <v>-26.995159999999998</v>
      </c>
      <c r="Y22" s="36">
        <f>-SUMIF('Trial Balance (Susa)'!$D:$D,"*"&amp;$CN22&amp;"*",'Trial Balance (Susa)'!R:R)/1000-SUM($R22:X22)</f>
        <v>-28.254879999999957</v>
      </c>
      <c r="Z22" s="36">
        <f>-SUMIF('Trial Balance (Susa)'!$D:$D,"*"&amp;$CN22&amp;"*",'Trial Balance (Susa)'!S:S)/1000-SUM($R22:Y22)</f>
        <v>-27.747579999999999</v>
      </c>
      <c r="AA22" s="36">
        <f>-SUMIF('Trial Balance (Susa)'!$D:$D,"*"&amp;$CN22&amp;"*",'Trial Balance (Susa)'!T:T)/1000-SUM($R22:Z22)</f>
        <v>-27.16689999999997</v>
      </c>
      <c r="AB22" s="36">
        <f>-SUMIF('Trial Balance (Susa)'!$D:$D,"*"&amp;$CN22&amp;"*",'Trial Balance (Susa)'!U:U)/1000-SUM($R22:AA22)</f>
        <v>-27.322670000000073</v>
      </c>
      <c r="AC22" s="36">
        <f>-SUMIF('Trial Balance (Susa)'!$D:$D,"*"&amp;$CN22&amp;"*",'Trial Balance (Susa)'!V:V)/1000-SUM($R22:AB22)</f>
        <v>-37.84713000000005</v>
      </c>
      <c r="AD22" s="36">
        <f>-SUMIF('Trial Balance (Susa)'!$D:$D,"*"&amp;$CN22&amp;"*",'Trial Balance (Susa)'!W:W)/1000</f>
        <v>-25.753529999999998</v>
      </c>
      <c r="AE22" s="36">
        <f>-SUMIF('Trial Balance (Susa)'!$D:$D,"*"&amp;$CN22&amp;"*",'Trial Balance (Susa)'!X:X)/1000-SUM($AD22:AD22)</f>
        <v>-33.279890000000002</v>
      </c>
      <c r="AF22" s="36">
        <f>-SUMIF('Trial Balance (Susa)'!$D:$D,"*"&amp;$CN22&amp;"*",'Trial Balance (Susa)'!Y:Y)/1000-SUM($AD22:AE22)</f>
        <v>-41.535120000000013</v>
      </c>
      <c r="AG22" s="36">
        <f>-SUMIF('Trial Balance (Susa)'!$D:$D,"*"&amp;$CN22&amp;"*",'Trial Balance (Susa)'!Z:Z)/1000-SUM($AD22:AF22)</f>
        <v>-43.146299999999997</v>
      </c>
      <c r="AH22" s="36">
        <f>-SUMIF('Trial Balance (Susa)'!$D:$D,"*"&amp;$CN22&amp;"*",'Trial Balance (Susa)'!AA:AA)/1000-SUM($AD22:AG22)</f>
        <v>-42.935299999999984</v>
      </c>
      <c r="AI22" s="36">
        <f>-SUMIF('Trial Balance (Susa)'!$D:$D,"*"&amp;$CN22&amp;"*",'Trial Balance (Susa)'!AB:AB)/1000-SUM($AD22:AH22)</f>
        <v>-34.61969000000002</v>
      </c>
      <c r="AJ22" s="36">
        <f>-SUMIF('Trial Balance (Susa)'!$D:$D,"*"&amp;$CN22&amp;"*",'Trial Balance (Susa)'!AC:AC)/1000-SUM($AD22:AI22)</f>
        <v>-31.491209999999995</v>
      </c>
      <c r="AK22" s="36">
        <f>-SUMIF('Trial Balance (Susa)'!$D:$D,"*"&amp;$CN22&amp;"*",'Trial Balance (Susa)'!AD:AD)/1000-SUM($AD22:AJ22)</f>
        <v>-32.274500000000018</v>
      </c>
      <c r="AL22" s="36">
        <f>-SUMIF('Trial Balance (Susa)'!$D:$D,"*"&amp;$CN22&amp;"*",'Trial Balance (Susa)'!AE:AE)/1000-SUM($AD22:AK22)</f>
        <v>-31.790259999999989</v>
      </c>
      <c r="AM22" s="36">
        <f>-SUMIF('Trial Balance (Susa)'!$D:$D,"*"&amp;$CN22&amp;"*",'Trial Balance (Susa)'!AF:AF)/1000-SUM($AD22:AL22)</f>
        <v>-30.796469999999999</v>
      </c>
      <c r="AN22" s="36">
        <f>-SUMIF('Trial Balance (Susa)'!$D:$D,"*"&amp;$CN22&amp;"*",'Trial Balance (Susa)'!AG:AG)/1000-SUM($AD22:AM22)</f>
        <v>-31.193319999999972</v>
      </c>
      <c r="AO22" s="36">
        <f>-SUMIF('Trial Balance (Susa)'!$D:$D,"*"&amp;$CN22&amp;"*",'Trial Balance (Susa)'!AH:AH)/1000-SUM($AD22:AN22)</f>
        <v>-44.166940000000011</v>
      </c>
      <c r="AP22" s="36">
        <f>-SUMIF('Trial Balance (Susa)'!$D:$D,"*"&amp;$CN22&amp;"*",'Trial Balance (Susa)'!AI:AI)/1000</f>
        <v>-25.13871</v>
      </c>
      <c r="AQ22" s="36">
        <f>-SUMIF('Trial Balance (Susa)'!$D:$D,"*"&amp;$CN22&amp;"*",'Trial Balance (Susa)'!AJ:AJ)/1000-SUM($AP22:AP22)</f>
        <v>-30.708709999999993</v>
      </c>
      <c r="AR22" s="36">
        <f>-SUMIF('Trial Balance (Susa)'!$D:$D,"*"&amp;$CN22&amp;"*",'Trial Balance (Susa)'!AK:AK)/1000-SUM($AP22:AQ22)</f>
        <v>-25.318990000000007</v>
      </c>
      <c r="AS22" s="36">
        <f>-SUMIF('Trial Balance (Susa)'!$D:$D,"*"&amp;$CN22&amp;"*",'Trial Balance (Susa)'!AL:AL)/1000-SUM($AP22:AR22)</f>
        <v>-27.530550000000019</v>
      </c>
      <c r="AT22" s="36">
        <f>-SUMIF('Trial Balance (Susa)'!$D:$D,"*"&amp;$CN22&amp;"*",'Trial Balance (Susa)'!AM:AM)/1000-SUM($AP22:AS22)</f>
        <v>-29.153009999999995</v>
      </c>
      <c r="AU22" s="36">
        <f>-SUMIF('Trial Balance (Susa)'!$D:$D,"*"&amp;$CN22&amp;"*",'Trial Balance (Susa)'!AN:AN)/1000-SUM($AP22:AT22)</f>
        <v>-31.017669999999981</v>
      </c>
      <c r="AV22" s="36">
        <f>-SUMIF('Trial Balance (Susa)'!$D:$D,"*"&amp;$CN22&amp;"*",'Trial Balance (Susa)'!AO:AO)/1000-SUM($AP22:AU22)</f>
        <v>-36.828970000000027</v>
      </c>
      <c r="AW22" s="36">
        <f>-SUMIF('Trial Balance (Susa)'!$D:$D,"*"&amp;$CN22&amp;"*",'Trial Balance (Susa)'!AP:AP)/1000-SUM($AP22:AV22)</f>
        <v>-29.160119999999949</v>
      </c>
      <c r="AX22" s="36">
        <f>-SUMIF('Trial Balance (Susa)'!$D:$D,"*"&amp;$CN22&amp;"*",'Trial Balance (Susa)'!AQ:AQ)/1000-SUM($AP22:AW22)</f>
        <v>-28.673010000000033</v>
      </c>
      <c r="AY22" s="36">
        <f>-SUMIF('Trial Balance (Susa)'!$D:$D,"*"&amp;$CN22&amp;"*",'Trial Balance (Susa)'!AR:AR)/1000-SUM($AP22:AX22)</f>
        <v>-28.504300000000001</v>
      </c>
      <c r="AZ22" s="36">
        <f>-SUMIF('Trial Balance (Susa)'!$D:$D,"*"&amp;$CN22&amp;"*",'Trial Balance (Susa)'!AS:AS)/1000-SUM($AP22:AY22)</f>
        <v>-29.09973999999994</v>
      </c>
      <c r="BA22" s="36">
        <f>-SUMIF('Trial Balance (Susa)'!$D:$D,"*"&amp;$CN22&amp;"*",'Trial Balance (Susa)'!AT:AT)/1000-SUM($AP22:AZ22)</f>
        <v>-28.195550000000026</v>
      </c>
      <c r="BB22" s="278"/>
      <c r="BC22" s="278"/>
      <c r="BD22" s="278"/>
      <c r="BE22" s="278"/>
      <c r="BF22" s="278"/>
      <c r="BG22" s="278"/>
      <c r="BH22" s="278"/>
      <c r="BI22" s="278"/>
      <c r="BJ22" s="278"/>
      <c r="BK22" s="278"/>
      <c r="BL22" s="278"/>
      <c r="BM22" s="278"/>
      <c r="BN22" s="278"/>
      <c r="BO22" s="278"/>
      <c r="BP22" s="278"/>
      <c r="BQ22" s="278"/>
      <c r="BR22" s="278"/>
      <c r="BS22" s="278"/>
      <c r="BT22" s="278"/>
      <c r="BU22" s="278"/>
      <c r="BV22" s="278"/>
      <c r="BW22" s="278"/>
      <c r="BX22" s="278"/>
      <c r="BY22" s="278"/>
      <c r="BZ22" s="278"/>
      <c r="CA22" s="278"/>
      <c r="CB22" s="278"/>
      <c r="CC22" s="278"/>
      <c r="CD22" s="278"/>
      <c r="CE22" s="278"/>
      <c r="CF22" s="278"/>
      <c r="CG22" s="278"/>
      <c r="CH22" s="278"/>
      <c r="CI22" s="278"/>
      <c r="CJ22" s="278"/>
      <c r="CK22" s="278"/>
      <c r="CN22" s="364" t="s">
        <v>1373</v>
      </c>
    </row>
    <row r="23" spans="1:92" ht="11.25" customHeight="1" x14ac:dyDescent="0.2">
      <c r="C23" s="37" t="str">
        <f>'Lead PL'!C32</f>
        <v>Reparaturen und Instandhaltungen</v>
      </c>
      <c r="D23" s="37" t="str">
        <f>'Lead PL'!D32</f>
        <v>Repair and maintenance</v>
      </c>
      <c r="E23" s="37"/>
      <c r="F23" s="36"/>
      <c r="G23" s="36"/>
      <c r="H23" s="36"/>
      <c r="I23" s="36"/>
      <c r="J23" s="36"/>
      <c r="K23" s="36"/>
      <c r="L23" s="36"/>
      <c r="M23" s="36"/>
      <c r="N23" s="36"/>
      <c r="O23" s="36"/>
      <c r="P23" s="36"/>
      <c r="Q23" s="36"/>
      <c r="R23" s="36">
        <f>-SUMIF('Trial Balance (Susa)'!$D:$D,"*"&amp;$CN23&amp;"*",'Trial Balance (Susa)'!K:K)/1000</f>
        <v>-4.1392899999999999</v>
      </c>
      <c r="S23" s="36">
        <f>-SUMIF('Trial Balance (Susa)'!$D:$D,"*"&amp;$CN23&amp;"*",'Trial Balance (Susa)'!L:L)/1000-R23</f>
        <v>-11.563639999999999</v>
      </c>
      <c r="T23" s="36">
        <f>-SUMIF('Trial Balance (Susa)'!$D:$D,"*"&amp;$CN23&amp;"*",'Trial Balance (Susa)'!M:M)/1000-SUM($R23:S23)</f>
        <v>-12.4817</v>
      </c>
      <c r="U23" s="36">
        <f>-SUMIF('Trial Balance (Susa)'!$D:$D,"*"&amp;$CN23&amp;"*",'Trial Balance (Susa)'!N:N)/1000-SUM($R23:T23)</f>
        <v>-10.065130000000003</v>
      </c>
      <c r="V23" s="36">
        <f>-SUMIF('Trial Balance (Susa)'!$D:$D,"*"&amp;$CN23&amp;"*",'Trial Balance (Susa)'!O:O)/1000-SUM($R23:U23)</f>
        <v>-8.4795899999999946</v>
      </c>
      <c r="W23" s="36">
        <f>-SUMIF('Trial Balance (Susa)'!$D:$D,"*"&amp;$CN23&amp;"*",'Trial Balance (Susa)'!P:P)/1000-SUM($R23:V23)</f>
        <v>-4.7039600000000021</v>
      </c>
      <c r="X23" s="36">
        <f>-SUMIF('Trial Balance (Susa)'!$D:$D,"*"&amp;$CN23&amp;"*",'Trial Balance (Susa)'!Q:Q)/1000-SUM($R23:W23)</f>
        <v>-12.984600000000007</v>
      </c>
      <c r="Y23" s="36">
        <f>-SUMIF('Trial Balance (Susa)'!$D:$D,"*"&amp;$CN23&amp;"*",'Trial Balance (Susa)'!R:R)/1000-SUM($R23:X23)</f>
        <v>-5.3767199999999917</v>
      </c>
      <c r="Z23" s="36">
        <f>-SUMIF('Trial Balance (Susa)'!$D:$D,"*"&amp;$CN23&amp;"*",'Trial Balance (Susa)'!S:S)/1000-SUM($R23:Y23)</f>
        <v>-12.09035999999999</v>
      </c>
      <c r="AA23" s="36">
        <f>-SUMIF('Trial Balance (Susa)'!$D:$D,"*"&amp;$CN23&amp;"*",'Trial Balance (Susa)'!T:T)/1000-SUM($R23:Z23)</f>
        <v>-3.5572600000000136</v>
      </c>
      <c r="AB23" s="36">
        <f>-SUMIF('Trial Balance (Susa)'!$D:$D,"*"&amp;$CN23&amp;"*",'Trial Balance (Susa)'!U:U)/1000-SUM($R23:AA23)</f>
        <v>-13.375280000000004</v>
      </c>
      <c r="AC23" s="36">
        <f>-SUMIF('Trial Balance (Susa)'!$D:$D,"*"&amp;$CN23&amp;"*",'Trial Balance (Susa)'!V:V)/1000-SUM($R23:AB23)</f>
        <v>-25.46396</v>
      </c>
      <c r="AD23" s="36">
        <f>-SUMIF('Trial Balance (Susa)'!$D:$D,"*"&amp;$CN23&amp;"*",'Trial Balance (Susa)'!W:W)/1000</f>
        <v>-7.7870300000000006</v>
      </c>
      <c r="AE23" s="36">
        <f>-SUMIF('Trial Balance (Susa)'!$D:$D,"*"&amp;$CN23&amp;"*",'Trial Balance (Susa)'!X:X)/1000-SUM($AD23:AD23)</f>
        <v>-10.2227</v>
      </c>
      <c r="AF23" s="36">
        <f>-SUMIF('Trial Balance (Susa)'!$D:$D,"*"&amp;$CN23&amp;"*",'Trial Balance (Susa)'!Y:Y)/1000-SUM($AD23:AE23)</f>
        <v>-10.29589</v>
      </c>
      <c r="AG23" s="36">
        <f>-SUMIF('Trial Balance (Susa)'!$D:$D,"*"&amp;$CN23&amp;"*",'Trial Balance (Susa)'!Z:Z)/1000-SUM($AD23:AF23)</f>
        <v>-15.566410000000001</v>
      </c>
      <c r="AH23" s="36">
        <f>-SUMIF('Trial Balance (Susa)'!$D:$D,"*"&amp;$CN23&amp;"*",'Trial Balance (Susa)'!AA:AA)/1000-SUM($AD23:AG23)</f>
        <v>-10.101769999999995</v>
      </c>
      <c r="AI23" s="36">
        <f>-SUMIF('Trial Balance (Susa)'!$D:$D,"*"&amp;$CN23&amp;"*",'Trial Balance (Susa)'!AB:AB)/1000-SUM($AD23:AH23)</f>
        <v>-10.911459999999991</v>
      </c>
      <c r="AJ23" s="36">
        <f>-SUMIF('Trial Balance (Susa)'!$D:$D,"*"&amp;$CN23&amp;"*",'Trial Balance (Susa)'!AC:AC)/1000-SUM($AD23:AI23)</f>
        <v>-11.183160000000015</v>
      </c>
      <c r="AK23" s="36">
        <f>-SUMIF('Trial Balance (Susa)'!$D:$D,"*"&amp;$CN23&amp;"*",'Trial Balance (Susa)'!AD:AD)/1000-SUM($AD23:AJ23)</f>
        <v>-10.882080000000002</v>
      </c>
      <c r="AL23" s="36">
        <f>-SUMIF('Trial Balance (Susa)'!$D:$D,"*"&amp;$CN23&amp;"*",'Trial Balance (Susa)'!AE:AE)/1000-SUM($AD23:AK23)</f>
        <v>-9.1040500000000009</v>
      </c>
      <c r="AM23" s="36">
        <f>-SUMIF('Trial Balance (Susa)'!$D:$D,"*"&amp;$CN23&amp;"*",'Trial Balance (Susa)'!AF:AF)/1000-SUM($AD23:AL23)</f>
        <v>-17.167719999999989</v>
      </c>
      <c r="AN23" s="36">
        <f>-SUMIF('Trial Balance (Susa)'!$D:$D,"*"&amp;$CN23&amp;"*",'Trial Balance (Susa)'!AG:AG)/1000-SUM($AD23:AM23)</f>
        <v>-6.0588199999999972</v>
      </c>
      <c r="AO23" s="36">
        <f>-SUMIF('Trial Balance (Susa)'!$D:$D,"*"&amp;$CN23&amp;"*",'Trial Balance (Susa)'!AH:AH)/1000-SUM($AD23:AN23)</f>
        <v>-14.031719999999993</v>
      </c>
      <c r="AP23" s="36">
        <f>-SUMIF('Trial Balance (Susa)'!$D:$D,"*"&amp;$CN23&amp;"*",'Trial Balance (Susa)'!AI:AI)/1000</f>
        <v>-8.3120899999999995</v>
      </c>
      <c r="AQ23" s="36">
        <f>-SUMIF('Trial Balance (Susa)'!$D:$D,"*"&amp;$CN23&amp;"*",'Trial Balance (Susa)'!AJ:AJ)/1000-SUM($AP23:AP23)</f>
        <v>-8.7718399999999992</v>
      </c>
      <c r="AR23" s="36">
        <f>-SUMIF('Trial Balance (Susa)'!$D:$D,"*"&amp;$CN23&amp;"*",'Trial Balance (Susa)'!AK:AK)/1000-SUM($AP23:AQ23)</f>
        <v>-16.150500000000005</v>
      </c>
      <c r="AS23" s="36">
        <f>-SUMIF('Trial Balance (Susa)'!$D:$D,"*"&amp;$CN23&amp;"*",'Trial Balance (Susa)'!AL:AL)/1000-SUM($AP23:AR23)</f>
        <v>-12.622749999999989</v>
      </c>
      <c r="AT23" s="36">
        <f>-SUMIF('Trial Balance (Susa)'!$D:$D,"*"&amp;$CN23&amp;"*",'Trial Balance (Susa)'!AM:AM)/1000-SUM($AP23:AS23)</f>
        <v>-10.926410000000004</v>
      </c>
      <c r="AU23" s="36">
        <f>-SUMIF('Trial Balance (Susa)'!$D:$D,"*"&amp;$CN23&amp;"*",'Trial Balance (Susa)'!AN:AN)/1000-SUM($AP23:AT23)</f>
        <v>-5.3906100000000023</v>
      </c>
      <c r="AV23" s="36">
        <f>-SUMIF('Trial Balance (Susa)'!$D:$D,"*"&amp;$CN23&amp;"*",'Trial Balance (Susa)'!AO:AO)/1000-SUM($AP23:AU23)</f>
        <v>-11.066760000000002</v>
      </c>
      <c r="AW23" s="36">
        <f>-SUMIF('Trial Balance (Susa)'!$D:$D,"*"&amp;$CN23&amp;"*",'Trial Balance (Susa)'!AP:AP)/1000-SUM($AP23:AV23)</f>
        <v>-0.93762999999999863</v>
      </c>
      <c r="AX23" s="36">
        <f>-SUMIF('Trial Balance (Susa)'!$D:$D,"*"&amp;$CN23&amp;"*",'Trial Balance (Susa)'!AQ:AQ)/1000-SUM($AP23:AW23)</f>
        <v>-6.3201899999999966</v>
      </c>
      <c r="AY23" s="36">
        <f>-SUMIF('Trial Balance (Susa)'!$D:$D,"*"&amp;$CN23&amp;"*",'Trial Balance (Susa)'!AR:AR)/1000-SUM($AP23:AX23)</f>
        <v>-22.318899999999999</v>
      </c>
      <c r="AZ23" s="36">
        <f>-SUMIF('Trial Balance (Susa)'!$D:$D,"*"&amp;$CN23&amp;"*",'Trial Balance (Susa)'!AS:AS)/1000-SUM($AP23:AY23)</f>
        <v>-7.3503200000000106</v>
      </c>
      <c r="BA23" s="36">
        <f>-SUMIF('Trial Balance (Susa)'!$D:$D,"*"&amp;$CN23&amp;"*",'Trial Balance (Susa)'!AT:AT)/1000-SUM($AP23:AZ23)</f>
        <v>-2.3654899999999941</v>
      </c>
      <c r="BB23" s="278"/>
      <c r="BC23" s="278"/>
      <c r="BD23" s="278"/>
      <c r="BE23" s="278"/>
      <c r="BF23" s="278"/>
      <c r="BG23" s="278"/>
      <c r="BH23" s="278"/>
      <c r="BI23" s="278"/>
      <c r="BJ23" s="278"/>
      <c r="BK23" s="278"/>
      <c r="BL23" s="278"/>
      <c r="BM23" s="278"/>
      <c r="BN23" s="278"/>
      <c r="BO23" s="278"/>
      <c r="BP23" s="278"/>
      <c r="BQ23" s="278"/>
      <c r="BR23" s="278"/>
      <c r="BS23" s="278"/>
      <c r="BT23" s="278"/>
      <c r="BU23" s="278"/>
      <c r="BV23" s="278"/>
      <c r="BW23" s="278"/>
      <c r="BX23" s="278"/>
      <c r="BY23" s="278"/>
      <c r="BZ23" s="278"/>
      <c r="CA23" s="278"/>
      <c r="CB23" s="278"/>
      <c r="CC23" s="278"/>
      <c r="CD23" s="278"/>
      <c r="CE23" s="278"/>
      <c r="CF23" s="278"/>
      <c r="CG23" s="278"/>
      <c r="CH23" s="278"/>
      <c r="CI23" s="278"/>
      <c r="CJ23" s="278"/>
      <c r="CK23" s="278"/>
      <c r="CN23" s="364" t="s">
        <v>1601</v>
      </c>
    </row>
    <row r="24" spans="1:92" ht="11.25" customHeight="1" x14ac:dyDescent="0.2">
      <c r="C24" s="37" t="str">
        <f>'Lead PL'!C33</f>
        <v>Vertriebskosten</v>
      </c>
      <c r="D24" s="37" t="str">
        <f>'Lead PL'!D33</f>
        <v>Sales costs</v>
      </c>
      <c r="E24" s="37"/>
      <c r="F24" s="36"/>
      <c r="G24" s="36"/>
      <c r="H24" s="36"/>
      <c r="I24" s="36"/>
      <c r="J24" s="36"/>
      <c r="K24" s="36"/>
      <c r="L24" s="36"/>
      <c r="M24" s="36"/>
      <c r="N24" s="36"/>
      <c r="O24" s="36"/>
      <c r="P24" s="36"/>
      <c r="Q24" s="36"/>
      <c r="R24" s="36">
        <f>-SUMIF('Trial Balance (Susa)'!$D:$D,"*"&amp;$CN24&amp;"*",'Trial Balance (Susa)'!K:K)/1000</f>
        <v>0</v>
      </c>
      <c r="S24" s="36">
        <f>-SUMIF('Trial Balance (Susa)'!$D:$D,"*"&amp;$CN24&amp;"*",'Trial Balance (Susa)'!L:L)/1000-R24</f>
        <v>0</v>
      </c>
      <c r="T24" s="36">
        <f>-SUMIF('Trial Balance (Susa)'!$D:$D,"*"&amp;$CN24&amp;"*",'Trial Balance (Susa)'!M:M)/1000-SUM($R24:S24)</f>
        <v>0</v>
      </c>
      <c r="U24" s="36">
        <f>-SUMIF('Trial Balance (Susa)'!$D:$D,"*"&amp;$CN24&amp;"*",'Trial Balance (Susa)'!N:N)/1000-SUM($R24:T24)</f>
        <v>0</v>
      </c>
      <c r="V24" s="36">
        <f>-SUMIF('Trial Balance (Susa)'!$D:$D,"*"&amp;$CN24&amp;"*",'Trial Balance (Susa)'!O:O)/1000-SUM($R24:U24)</f>
        <v>0</v>
      </c>
      <c r="W24" s="36">
        <f>-SUMIF('Trial Balance (Susa)'!$D:$D,"*"&amp;$CN24&amp;"*",'Trial Balance (Susa)'!P:P)/1000-SUM($R24:V24)</f>
        <v>0</v>
      </c>
      <c r="X24" s="36">
        <f>-SUMIF('Trial Balance (Susa)'!$D:$D,"*"&amp;$CN24&amp;"*",'Trial Balance (Susa)'!Q:Q)/1000-SUM($R24:W24)</f>
        <v>0</v>
      </c>
      <c r="Y24" s="36">
        <f>-SUMIF('Trial Balance (Susa)'!$D:$D,"*"&amp;$CN24&amp;"*",'Trial Balance (Susa)'!R:R)/1000-SUM($R24:X24)</f>
        <v>0</v>
      </c>
      <c r="Z24" s="36">
        <f>-SUMIF('Trial Balance (Susa)'!$D:$D,"*"&amp;$CN24&amp;"*",'Trial Balance (Susa)'!S:S)/1000-SUM($R24:Y24)</f>
        <v>0</v>
      </c>
      <c r="AA24" s="36">
        <f>-SUMIF('Trial Balance (Susa)'!$D:$D,"*"&amp;$CN24&amp;"*",'Trial Balance (Susa)'!T:T)/1000-SUM($R24:Z24)</f>
        <v>0</v>
      </c>
      <c r="AB24" s="36">
        <f>-SUMIF('Trial Balance (Susa)'!$D:$D,"*"&amp;$CN24&amp;"*",'Trial Balance (Susa)'!U:U)/1000-SUM($R24:AA24)</f>
        <v>0</v>
      </c>
      <c r="AC24" s="36">
        <f>-SUMIF('Trial Balance (Susa)'!$D:$D,"*"&amp;$CN24&amp;"*",'Trial Balance (Susa)'!V:V)/1000-SUM($R24:AB24)</f>
        <v>0</v>
      </c>
      <c r="AD24" s="36">
        <f>-SUMIF('Trial Balance (Susa)'!$D:$D,"*"&amp;$CN24&amp;"*",'Trial Balance (Susa)'!W:W)/1000</f>
        <v>0</v>
      </c>
      <c r="AE24" s="36">
        <f>-SUMIF('Trial Balance (Susa)'!$D:$D,"*"&amp;$CN24&amp;"*",'Trial Balance (Susa)'!X:X)/1000-SUM($AD24:AD24)</f>
        <v>0</v>
      </c>
      <c r="AF24" s="36">
        <f>-SUMIF('Trial Balance (Susa)'!$D:$D,"*"&amp;$CN24&amp;"*",'Trial Balance (Susa)'!Y:Y)/1000-SUM($AD24:AE24)</f>
        <v>0</v>
      </c>
      <c r="AG24" s="36">
        <f>-SUMIF('Trial Balance (Susa)'!$D:$D,"*"&amp;$CN24&amp;"*",'Trial Balance (Susa)'!Z:Z)/1000-SUM($AD24:AF24)</f>
        <v>0</v>
      </c>
      <c r="AH24" s="36">
        <f>-SUMIF('Trial Balance (Susa)'!$D:$D,"*"&amp;$CN24&amp;"*",'Trial Balance (Susa)'!AA:AA)/1000-SUM($AD24:AG24)</f>
        <v>0</v>
      </c>
      <c r="AI24" s="36">
        <f>-SUMIF('Trial Balance (Susa)'!$D:$D,"*"&amp;$CN24&amp;"*",'Trial Balance (Susa)'!AB:AB)/1000-SUM($AD24:AH24)</f>
        <v>0</v>
      </c>
      <c r="AJ24" s="36">
        <f>-SUMIF('Trial Balance (Susa)'!$D:$D,"*"&amp;$CN24&amp;"*",'Trial Balance (Susa)'!AC:AC)/1000-SUM($AD24:AI24)</f>
        <v>0</v>
      </c>
      <c r="AK24" s="36">
        <f>-SUMIF('Trial Balance (Susa)'!$D:$D,"*"&amp;$CN24&amp;"*",'Trial Balance (Susa)'!AD:AD)/1000-SUM($AD24:AJ24)</f>
        <v>0</v>
      </c>
      <c r="AL24" s="36">
        <f>-SUMIF('Trial Balance (Susa)'!$D:$D,"*"&amp;$CN24&amp;"*",'Trial Balance (Susa)'!AE:AE)/1000-SUM($AD24:AK24)</f>
        <v>0</v>
      </c>
      <c r="AM24" s="36">
        <f>-SUMIF('Trial Balance (Susa)'!$D:$D,"*"&amp;$CN24&amp;"*",'Trial Balance (Susa)'!AF:AF)/1000-SUM($AD24:AL24)</f>
        <v>0</v>
      </c>
      <c r="AN24" s="36">
        <f>-SUMIF('Trial Balance (Susa)'!$D:$D,"*"&amp;$CN24&amp;"*",'Trial Balance (Susa)'!AG:AG)/1000-SUM($AD24:AM24)</f>
        <v>0</v>
      </c>
      <c r="AO24" s="36">
        <f>-SUMIF('Trial Balance (Susa)'!$D:$D,"*"&amp;$CN24&amp;"*",'Trial Balance (Susa)'!AH:AH)/1000-SUM($AD24:AN24)</f>
        <v>0</v>
      </c>
      <c r="AP24" s="36">
        <f>-SUMIF('Trial Balance (Susa)'!$D:$D,"*"&amp;$CN24&amp;"*",'Trial Balance (Susa)'!AI:AI)/1000</f>
        <v>0</v>
      </c>
      <c r="AQ24" s="36">
        <f>-SUMIF('Trial Balance (Susa)'!$D:$D,"*"&amp;$CN24&amp;"*",'Trial Balance (Susa)'!AJ:AJ)/1000-SUM($AP24:AP24)</f>
        <v>0</v>
      </c>
      <c r="AR24" s="36">
        <f>-SUMIF('Trial Balance (Susa)'!$D:$D,"*"&amp;$CN24&amp;"*",'Trial Balance (Susa)'!AK:AK)/1000-SUM($AP24:AQ24)</f>
        <v>0</v>
      </c>
      <c r="AS24" s="36">
        <f>-SUMIF('Trial Balance (Susa)'!$D:$D,"*"&amp;$CN24&amp;"*",'Trial Balance (Susa)'!AL:AL)/1000-SUM($AP24:AR24)</f>
        <v>0</v>
      </c>
      <c r="AT24" s="36">
        <f>-SUMIF('Trial Balance (Susa)'!$D:$D,"*"&amp;$CN24&amp;"*",'Trial Balance (Susa)'!AM:AM)/1000-SUM($AP24:AS24)</f>
        <v>0</v>
      </c>
      <c r="AU24" s="36">
        <f>-SUMIF('Trial Balance (Susa)'!$D:$D,"*"&amp;$CN24&amp;"*",'Trial Balance (Susa)'!AN:AN)/1000-SUM($AP24:AT24)</f>
        <v>0</v>
      </c>
      <c r="AV24" s="36">
        <f>-SUMIF('Trial Balance (Susa)'!$D:$D,"*"&amp;$CN24&amp;"*",'Trial Balance (Susa)'!AO:AO)/1000-SUM($AP24:AU24)</f>
        <v>0</v>
      </c>
      <c r="AW24" s="36">
        <f>-SUMIF('Trial Balance (Susa)'!$D:$D,"*"&amp;$CN24&amp;"*",'Trial Balance (Susa)'!AP:AP)/1000-SUM($AP24:AV24)</f>
        <v>0</v>
      </c>
      <c r="AX24" s="36">
        <f>-SUMIF('Trial Balance (Susa)'!$D:$D,"*"&amp;$CN24&amp;"*",'Trial Balance (Susa)'!AQ:AQ)/1000-SUM($AP24:AW24)</f>
        <v>0</v>
      </c>
      <c r="AY24" s="36">
        <f>-SUMIF('Trial Balance (Susa)'!$D:$D,"*"&amp;$CN24&amp;"*",'Trial Balance (Susa)'!AR:AR)/1000-SUM($AP24:AX24)</f>
        <v>0</v>
      </c>
      <c r="AZ24" s="36">
        <f>-SUMIF('Trial Balance (Susa)'!$D:$D,"*"&amp;$CN24&amp;"*",'Trial Balance (Susa)'!AS:AS)/1000-SUM($AP24:AY24)</f>
        <v>0</v>
      </c>
      <c r="BA24" s="36">
        <f>-SUMIF('Trial Balance (Susa)'!$D:$D,"*"&amp;$CN24&amp;"*",'Trial Balance (Susa)'!AT:AT)/1000-SUM($AP24:AZ24)</f>
        <v>0</v>
      </c>
      <c r="BB24" s="278"/>
      <c r="BC24" s="278"/>
      <c r="BD24" s="278"/>
      <c r="BE24" s="278"/>
      <c r="BF24" s="278"/>
      <c r="BG24" s="278"/>
      <c r="BH24" s="278"/>
      <c r="BI24" s="278"/>
      <c r="BJ24" s="278"/>
      <c r="BK24" s="278"/>
      <c r="BL24" s="278"/>
      <c r="BM24" s="278"/>
      <c r="BN24" s="278"/>
      <c r="BO24" s="278"/>
      <c r="BP24" s="278"/>
      <c r="BQ24" s="278"/>
      <c r="BR24" s="278"/>
      <c r="BS24" s="278"/>
      <c r="BT24" s="278"/>
      <c r="BU24" s="278"/>
      <c r="BV24" s="278"/>
      <c r="BW24" s="278"/>
      <c r="BX24" s="278"/>
      <c r="BY24" s="278"/>
      <c r="BZ24" s="278"/>
      <c r="CA24" s="278"/>
      <c r="CB24" s="278"/>
      <c r="CC24" s="278"/>
      <c r="CD24" s="278"/>
      <c r="CE24" s="278"/>
      <c r="CF24" s="278"/>
      <c r="CG24" s="278"/>
      <c r="CH24" s="278"/>
      <c r="CI24" s="278"/>
      <c r="CJ24" s="278"/>
      <c r="CK24" s="278"/>
      <c r="CN24" s="364" t="s">
        <v>1596</v>
      </c>
    </row>
    <row r="25" spans="1:92" ht="11.25" customHeight="1" x14ac:dyDescent="0.2">
      <c r="C25" s="37" t="str">
        <f>'Lead PL'!C34</f>
        <v>Kosten der Warenabgabe</v>
      </c>
      <c r="D25" s="37" t="str">
        <f>'Lead PL'!D34</f>
        <v>Delivery costs</v>
      </c>
      <c r="E25" s="37"/>
      <c r="F25" s="36"/>
      <c r="G25" s="36"/>
      <c r="H25" s="36"/>
      <c r="I25" s="36"/>
      <c r="J25" s="36"/>
      <c r="K25" s="36"/>
      <c r="L25" s="36"/>
      <c r="M25" s="36"/>
      <c r="N25" s="36"/>
      <c r="O25" s="36"/>
      <c r="P25" s="36"/>
      <c r="Q25" s="36"/>
      <c r="R25" s="36">
        <f>-SUMIF('Trial Balance (Susa)'!$D:$D,"*"&amp;$CN25&amp;"*",'Trial Balance (Susa)'!K:K)/1000</f>
        <v>-25.051479999999998</v>
      </c>
      <c r="S25" s="36">
        <f>-SUMIF('Trial Balance (Susa)'!$D:$D,"*"&amp;$CN25&amp;"*",'Trial Balance (Susa)'!L:L)/1000-R25</f>
        <v>-25.846160000000005</v>
      </c>
      <c r="T25" s="36">
        <f>-SUMIF('Trial Balance (Susa)'!$D:$D,"*"&amp;$CN25&amp;"*",'Trial Balance (Susa)'!M:M)/1000-SUM($R25:S25)</f>
        <v>-25.532119999999999</v>
      </c>
      <c r="U25" s="36">
        <f>-SUMIF('Trial Balance (Susa)'!$D:$D,"*"&amp;$CN25&amp;"*",'Trial Balance (Susa)'!N:N)/1000-SUM($R25:T25)</f>
        <v>-32.32235</v>
      </c>
      <c r="V25" s="36">
        <f>-SUMIF('Trial Balance (Susa)'!$D:$D,"*"&amp;$CN25&amp;"*",'Trial Balance (Susa)'!O:O)/1000-SUM($R25:U25)</f>
        <v>-18.075779999999995</v>
      </c>
      <c r="W25" s="36">
        <f>-SUMIF('Trial Balance (Susa)'!$D:$D,"*"&amp;$CN25&amp;"*",'Trial Balance (Susa)'!P:P)/1000-SUM($R25:V25)</f>
        <v>-29.255950000000013</v>
      </c>
      <c r="X25" s="36">
        <f>-SUMIF('Trial Balance (Susa)'!$D:$D,"*"&amp;$CN25&amp;"*",'Trial Balance (Susa)'!Q:Q)/1000-SUM($R25:W25)</f>
        <v>-26.166979999999995</v>
      </c>
      <c r="Y25" s="36">
        <f>-SUMIF('Trial Balance (Susa)'!$D:$D,"*"&amp;$CN25&amp;"*",'Trial Balance (Susa)'!R:R)/1000-SUM($R25:X25)</f>
        <v>-30.845929999999981</v>
      </c>
      <c r="Z25" s="36">
        <f>-SUMIF('Trial Balance (Susa)'!$D:$D,"*"&amp;$CN25&amp;"*",'Trial Balance (Susa)'!S:S)/1000-SUM($R25:Y25)</f>
        <v>-26.32689000000002</v>
      </c>
      <c r="AA25" s="36">
        <f>-SUMIF('Trial Balance (Susa)'!$D:$D,"*"&amp;$CN25&amp;"*",'Trial Balance (Susa)'!T:T)/1000-SUM($R25:Z25)</f>
        <v>-92.229270000000014</v>
      </c>
      <c r="AB25" s="36">
        <f>-SUMIF('Trial Balance (Susa)'!$D:$D,"*"&amp;$CN25&amp;"*",'Trial Balance (Susa)'!U:U)/1000-SUM($R25:AA25)</f>
        <v>-26.167880000000025</v>
      </c>
      <c r="AC25" s="36">
        <f>-SUMIF('Trial Balance (Susa)'!$D:$D,"*"&amp;$CN25&amp;"*",'Trial Balance (Susa)'!V:V)/1000-SUM($R25:AB25)</f>
        <v>72.392980000000023</v>
      </c>
      <c r="AD25" s="36">
        <f>-SUMIF('Trial Balance (Susa)'!$D:$D,"*"&amp;$CN25&amp;"*",'Trial Balance (Susa)'!W:W)/1000</f>
        <v>-21.166259999999998</v>
      </c>
      <c r="AE25" s="36">
        <f>-SUMIF('Trial Balance (Susa)'!$D:$D,"*"&amp;$CN25&amp;"*",'Trial Balance (Susa)'!X:X)/1000-SUM($AD25:AD25)</f>
        <v>-25.223160000000004</v>
      </c>
      <c r="AF25" s="36">
        <f>-SUMIF('Trial Balance (Susa)'!$D:$D,"*"&amp;$CN25&amp;"*",'Trial Balance (Susa)'!Y:Y)/1000-SUM($AD25:AE25)</f>
        <v>-27.558800000000005</v>
      </c>
      <c r="AG25" s="36">
        <f>-SUMIF('Trial Balance (Susa)'!$D:$D,"*"&amp;$CN25&amp;"*",'Trial Balance (Susa)'!Z:Z)/1000-SUM($AD25:AF25)</f>
        <v>-24.663539999999983</v>
      </c>
      <c r="AH25" s="36">
        <f>-SUMIF('Trial Balance (Susa)'!$D:$D,"*"&amp;$CN25&amp;"*",'Trial Balance (Susa)'!AA:AA)/1000-SUM($AD25:AG25)</f>
        <v>-25.548790000000011</v>
      </c>
      <c r="AI25" s="36">
        <f>-SUMIF('Trial Balance (Susa)'!$D:$D,"*"&amp;$CN25&amp;"*",'Trial Balance (Susa)'!AB:AB)/1000-SUM($AD25:AH25)</f>
        <v>-25.395370000000014</v>
      </c>
      <c r="AJ25" s="36">
        <f>-SUMIF('Trial Balance (Susa)'!$D:$D,"*"&amp;$CN25&amp;"*",'Trial Balance (Susa)'!AC:AC)/1000-SUM($AD25:AI25)</f>
        <v>-22.785729999999973</v>
      </c>
      <c r="AK25" s="36">
        <f>-SUMIF('Trial Balance (Susa)'!$D:$D,"*"&amp;$CN25&amp;"*",'Trial Balance (Susa)'!AD:AD)/1000-SUM($AD25:AJ25)</f>
        <v>-23.347090000000009</v>
      </c>
      <c r="AL25" s="36">
        <f>-SUMIF('Trial Balance (Susa)'!$D:$D,"*"&amp;$CN25&amp;"*",'Trial Balance (Susa)'!AE:AE)/1000-SUM($AD25:AK25)</f>
        <v>-26.197110000000009</v>
      </c>
      <c r="AM25" s="36">
        <f>-SUMIF('Trial Balance (Susa)'!$D:$D,"*"&amp;$CN25&amp;"*",'Trial Balance (Susa)'!AF:AF)/1000-SUM($AD25:AL25)</f>
        <v>-29.000540000000001</v>
      </c>
      <c r="AN25" s="36">
        <f>-SUMIF('Trial Balance (Susa)'!$D:$D,"*"&amp;$CN25&amp;"*",'Trial Balance (Susa)'!AG:AG)/1000-SUM($AD25:AM25)</f>
        <v>-25.268010000000004</v>
      </c>
      <c r="AO25" s="36">
        <f>-SUMIF('Trial Balance (Susa)'!$D:$D,"*"&amp;$CN25&amp;"*",'Trial Balance (Susa)'!AH:AH)/1000-SUM($AD25:AN25)</f>
        <v>-25.229029999999966</v>
      </c>
      <c r="AP25" s="36">
        <f>-SUMIF('Trial Balance (Susa)'!$D:$D,"*"&amp;$CN25&amp;"*",'Trial Balance (Susa)'!AI:AI)/1000</f>
        <v>-28.315830000000002</v>
      </c>
      <c r="AQ25" s="36">
        <f>-SUMIF('Trial Balance (Susa)'!$D:$D,"*"&amp;$CN25&amp;"*",'Trial Balance (Susa)'!AJ:AJ)/1000-SUM($AP25:AP25)</f>
        <v>-33.930540000000008</v>
      </c>
      <c r="AR25" s="36">
        <f>-SUMIF('Trial Balance (Susa)'!$D:$D,"*"&amp;$CN25&amp;"*",'Trial Balance (Susa)'!AK:AK)/1000-SUM($AP25:AQ25)</f>
        <v>-36.18774999999998</v>
      </c>
      <c r="AS25" s="36">
        <f>-SUMIF('Trial Balance (Susa)'!$D:$D,"*"&amp;$CN25&amp;"*",'Trial Balance (Susa)'!AL:AL)/1000-SUM($AP25:AR25)</f>
        <v>-30.887780000000006</v>
      </c>
      <c r="AT25" s="36">
        <f>-SUMIF('Trial Balance (Susa)'!$D:$D,"*"&amp;$CN25&amp;"*",'Trial Balance (Susa)'!AM:AM)/1000-SUM($AP25:AS25)</f>
        <v>-35.153439999999989</v>
      </c>
      <c r="AU25" s="36">
        <f>-SUMIF('Trial Balance (Susa)'!$D:$D,"*"&amp;$CN25&amp;"*",'Trial Balance (Susa)'!AN:AN)/1000-SUM($AP25:AT25)</f>
        <v>-27.58053000000001</v>
      </c>
      <c r="AV25" s="36">
        <f>-SUMIF('Trial Balance (Susa)'!$D:$D,"*"&amp;$CN25&amp;"*",'Trial Balance (Susa)'!AO:AO)/1000-SUM($AP25:AU25)</f>
        <v>-25.763249999999999</v>
      </c>
      <c r="AW25" s="36">
        <f>-SUMIF('Trial Balance (Susa)'!$D:$D,"*"&amp;$CN25&amp;"*",'Trial Balance (Susa)'!AP:AP)/1000-SUM($AP25:AV25)</f>
        <v>-28.222679999999997</v>
      </c>
      <c r="AX25" s="36">
        <f>-SUMIF('Trial Balance (Susa)'!$D:$D,"*"&amp;$CN25&amp;"*",'Trial Balance (Susa)'!AQ:AQ)/1000-SUM($AP25:AW25)</f>
        <v>-25.382540000000034</v>
      </c>
      <c r="AY25" s="36">
        <f>-SUMIF('Trial Balance (Susa)'!$D:$D,"*"&amp;$CN25&amp;"*",'Trial Balance (Susa)'!AR:AR)/1000-SUM($AP25:AX25)</f>
        <v>-29.760690000000011</v>
      </c>
      <c r="AZ25" s="36">
        <f>-SUMIF('Trial Balance (Susa)'!$D:$D,"*"&amp;$CN25&amp;"*",'Trial Balance (Susa)'!AS:AS)/1000-SUM($AP25:AY25)</f>
        <v>-25.203659999999957</v>
      </c>
      <c r="BA25" s="36">
        <f>-SUMIF('Trial Balance (Susa)'!$D:$D,"*"&amp;$CN25&amp;"*",'Trial Balance (Susa)'!AT:AT)/1000-SUM($AP25:AZ25)</f>
        <v>-29.199150000000031</v>
      </c>
      <c r="BB25" s="278"/>
      <c r="BC25" s="278"/>
      <c r="BD25" s="278"/>
      <c r="BE25" s="278"/>
      <c r="BF25" s="278"/>
      <c r="BG25" s="278"/>
      <c r="BH25" s="278"/>
      <c r="BI25" s="278"/>
      <c r="BJ25" s="278"/>
      <c r="BK25" s="278"/>
      <c r="BL25" s="278"/>
      <c r="BM25" s="278"/>
      <c r="BN25" s="278"/>
      <c r="BO25" s="278"/>
      <c r="BP25" s="278"/>
      <c r="BQ25" s="278"/>
      <c r="BR25" s="278"/>
      <c r="BS25" s="278"/>
      <c r="BT25" s="278"/>
      <c r="BU25" s="278"/>
      <c r="BV25" s="278"/>
      <c r="BW25" s="278"/>
      <c r="BX25" s="278"/>
      <c r="BY25" s="278"/>
      <c r="BZ25" s="278"/>
      <c r="CA25" s="278"/>
      <c r="CB25" s="278"/>
      <c r="CC25" s="278"/>
      <c r="CD25" s="278"/>
      <c r="CE25" s="278"/>
      <c r="CF25" s="278"/>
      <c r="CG25" s="278"/>
      <c r="CH25" s="278"/>
      <c r="CI25" s="278"/>
      <c r="CJ25" s="278"/>
      <c r="CK25" s="278"/>
      <c r="CN25" s="364" t="s">
        <v>1593</v>
      </c>
    </row>
    <row r="26" spans="1:92" ht="11.25" customHeight="1" x14ac:dyDescent="0.2">
      <c r="C26" s="37" t="str">
        <f>'Lead PL'!C35</f>
        <v>Fahrzeugkosten</v>
      </c>
      <c r="D26" s="37" t="str">
        <f>'Lead PL'!D35</f>
        <v>Vehicle costs</v>
      </c>
      <c r="E26" s="37"/>
      <c r="F26" s="36"/>
      <c r="G26" s="36"/>
      <c r="H26" s="36"/>
      <c r="I26" s="36"/>
      <c r="J26" s="36"/>
      <c r="K26" s="36"/>
      <c r="L26" s="36"/>
      <c r="M26" s="36"/>
      <c r="N26" s="36"/>
      <c r="O26" s="36"/>
      <c r="P26" s="36"/>
      <c r="Q26" s="36"/>
      <c r="R26" s="36">
        <f>-SUMIF('Trial Balance (Susa)'!$D:$D,"*"&amp;$CN26&amp;"*",'Trial Balance (Susa)'!K:K)/1000</f>
        <v>-11.662389999999998</v>
      </c>
      <c r="S26" s="36">
        <f>-SUMIF('Trial Balance (Susa)'!$D:$D,"*"&amp;$CN26&amp;"*",'Trial Balance (Susa)'!L:L)/1000-R26</f>
        <v>-11.919469999999993</v>
      </c>
      <c r="T26" s="36">
        <f>-SUMIF('Trial Balance (Susa)'!$D:$D,"*"&amp;$CN26&amp;"*",'Trial Balance (Susa)'!M:M)/1000-SUM($R26:S26)</f>
        <v>-11.511420000000008</v>
      </c>
      <c r="U26" s="36">
        <f>-SUMIF('Trial Balance (Susa)'!$D:$D,"*"&amp;$CN26&amp;"*",'Trial Balance (Susa)'!N:N)/1000-SUM($R26:T26)</f>
        <v>-15.4848</v>
      </c>
      <c r="V26" s="36">
        <f>-SUMIF('Trial Balance (Susa)'!$D:$D,"*"&amp;$CN26&amp;"*",'Trial Balance (Susa)'!O:O)/1000-SUM($R26:U26)</f>
        <v>-11.60913</v>
      </c>
      <c r="W26" s="36">
        <f>-SUMIF('Trial Balance (Susa)'!$D:$D,"*"&amp;$CN26&amp;"*",'Trial Balance (Susa)'!P:P)/1000-SUM($R26:V26)</f>
        <v>-18.61434999999998</v>
      </c>
      <c r="X26" s="36">
        <f>-SUMIF('Trial Balance (Susa)'!$D:$D,"*"&amp;$CN26&amp;"*",'Trial Balance (Susa)'!Q:Q)/1000-SUM($R26:W26)</f>
        <v>-14.612520000000018</v>
      </c>
      <c r="Y26" s="36">
        <f>-SUMIF('Trial Balance (Susa)'!$D:$D,"*"&amp;$CN26&amp;"*",'Trial Balance (Susa)'!R:R)/1000-SUM($R26:X26)</f>
        <v>-16.363929999999982</v>
      </c>
      <c r="Z26" s="36">
        <f>-SUMIF('Trial Balance (Susa)'!$D:$D,"*"&amp;$CN26&amp;"*",'Trial Balance (Susa)'!S:S)/1000-SUM($R26:Y26)</f>
        <v>-16.009540000000015</v>
      </c>
      <c r="AA26" s="36">
        <f>-SUMIF('Trial Balance (Susa)'!$D:$D,"*"&amp;$CN26&amp;"*",'Trial Balance (Susa)'!T:T)/1000-SUM($R26:Z26)</f>
        <v>-12.820669999999964</v>
      </c>
      <c r="AB26" s="36">
        <f>-SUMIF('Trial Balance (Susa)'!$D:$D,"*"&amp;$CN26&amp;"*",'Trial Balance (Susa)'!U:U)/1000-SUM($R26:AA26)</f>
        <v>-17.661810000000031</v>
      </c>
      <c r="AC26" s="36">
        <f>-SUMIF('Trial Balance (Susa)'!$D:$D,"*"&amp;$CN26&amp;"*",'Trial Balance (Susa)'!V:V)/1000-SUM($R26:AB26)</f>
        <v>-36.398050000000012</v>
      </c>
      <c r="AD26" s="36">
        <f>-SUMIF('Trial Balance (Susa)'!$D:$D,"*"&amp;$CN26&amp;"*",'Trial Balance (Susa)'!W:W)/1000</f>
        <v>-11.651209999999999</v>
      </c>
      <c r="AE26" s="36">
        <f>-SUMIF('Trial Balance (Susa)'!$D:$D,"*"&amp;$CN26&amp;"*",'Trial Balance (Susa)'!X:X)/1000-SUM($AD26:AD26)</f>
        <v>-21.025280000000009</v>
      </c>
      <c r="AF26" s="36">
        <f>-SUMIF('Trial Balance (Susa)'!$D:$D,"*"&amp;$CN26&amp;"*",'Trial Balance (Susa)'!Y:Y)/1000-SUM($AD26:AE26)</f>
        <v>-18.69666999999999</v>
      </c>
      <c r="AG26" s="36">
        <f>-SUMIF('Trial Balance (Susa)'!$D:$D,"*"&amp;$CN26&amp;"*",'Trial Balance (Susa)'!Z:Z)/1000-SUM($AD26:AF26)</f>
        <v>-23.988</v>
      </c>
      <c r="AH26" s="36">
        <f>-SUMIF('Trial Balance (Susa)'!$D:$D,"*"&amp;$CN26&amp;"*",'Trial Balance (Susa)'!AA:AA)/1000-SUM($AD26:AG26)</f>
        <v>-17.679860000000019</v>
      </c>
      <c r="AI26" s="36">
        <f>-SUMIF('Trial Balance (Susa)'!$D:$D,"*"&amp;$CN26&amp;"*",'Trial Balance (Susa)'!AB:AB)/1000-SUM($AD26:AH26)</f>
        <v>-22.898279999999971</v>
      </c>
      <c r="AJ26" s="36">
        <f>-SUMIF('Trial Balance (Susa)'!$D:$D,"*"&amp;$CN26&amp;"*",'Trial Balance (Susa)'!AC:AC)/1000-SUM($AD26:AI26)</f>
        <v>-19.621080000000049</v>
      </c>
      <c r="AK26" s="36">
        <f>-SUMIF('Trial Balance (Susa)'!$D:$D,"*"&amp;$CN26&amp;"*",'Trial Balance (Susa)'!AD:AD)/1000-SUM($AD26:AJ26)</f>
        <v>-24.248119999999972</v>
      </c>
      <c r="AL26" s="36">
        <f>-SUMIF('Trial Balance (Susa)'!$D:$D,"*"&amp;$CN26&amp;"*",'Trial Balance (Susa)'!AE:AE)/1000-SUM($AD26:AK26)</f>
        <v>-22.284800000000018</v>
      </c>
      <c r="AM26" s="36">
        <f>-SUMIF('Trial Balance (Susa)'!$D:$D,"*"&amp;$CN26&amp;"*",'Trial Balance (Susa)'!AF:AF)/1000-SUM($AD26:AL26)</f>
        <v>-25.773380000000003</v>
      </c>
      <c r="AN26" s="36">
        <f>-SUMIF('Trial Balance (Susa)'!$D:$D,"*"&amp;$CN26&amp;"*",'Trial Balance (Susa)'!AG:AG)/1000-SUM($AD26:AM26)</f>
        <v>-16.714359999999914</v>
      </c>
      <c r="AO26" s="36">
        <f>-SUMIF('Trial Balance (Susa)'!$D:$D,"*"&amp;$CN26&amp;"*",'Trial Balance (Susa)'!AH:AH)/1000-SUM($AD26:AN26)</f>
        <v>-21.480770000000064</v>
      </c>
      <c r="AP26" s="36">
        <f>-SUMIF('Trial Balance (Susa)'!$D:$D,"*"&amp;$CN26&amp;"*",'Trial Balance (Susa)'!AI:AI)/1000</f>
        <v>-16.218790000000002</v>
      </c>
      <c r="AQ26" s="36">
        <f>-SUMIF('Trial Balance (Susa)'!$D:$D,"*"&amp;$CN26&amp;"*",'Trial Balance (Susa)'!AJ:AJ)/1000-SUM($AP26:AP26)</f>
        <v>-16.644309999999987</v>
      </c>
      <c r="AR26" s="36">
        <f>-SUMIF('Trial Balance (Susa)'!$D:$D,"*"&amp;$CN26&amp;"*",'Trial Balance (Susa)'!AK:AK)/1000-SUM($AP26:AQ26)</f>
        <v>-17.82462000000001</v>
      </c>
      <c r="AS26" s="36">
        <f>-SUMIF('Trial Balance (Susa)'!$D:$D,"*"&amp;$CN26&amp;"*",'Trial Balance (Susa)'!AL:AL)/1000-SUM($AP26:AR26)</f>
        <v>-21.48326999999999</v>
      </c>
      <c r="AT26" s="36">
        <f>-SUMIF('Trial Balance (Susa)'!$D:$D,"*"&amp;$CN26&amp;"*",'Trial Balance (Susa)'!AM:AM)/1000-SUM($AP26:AS26)</f>
        <v>-21.488710000000012</v>
      </c>
      <c r="AU26" s="36">
        <f>-SUMIF('Trial Balance (Susa)'!$D:$D,"*"&amp;$CN26&amp;"*",'Trial Balance (Susa)'!AN:AN)/1000-SUM($AP26:AT26)</f>
        <v>-18.499840000000006</v>
      </c>
      <c r="AV26" s="36">
        <f>-SUMIF('Trial Balance (Susa)'!$D:$D,"*"&amp;$CN26&amp;"*",'Trial Balance (Susa)'!AO:AO)/1000-SUM($AP26:AU26)</f>
        <v>-20.629519999999971</v>
      </c>
      <c r="AW26" s="36">
        <f>-SUMIF('Trial Balance (Susa)'!$D:$D,"*"&amp;$CN26&amp;"*",'Trial Balance (Susa)'!AP:AP)/1000-SUM($AP26:AV26)</f>
        <v>-19.344400000000036</v>
      </c>
      <c r="AX26" s="36">
        <f>-SUMIF('Trial Balance (Susa)'!$D:$D,"*"&amp;$CN26&amp;"*",'Trial Balance (Susa)'!AQ:AQ)/1000-SUM($AP26:AW26)</f>
        <v>-19.705559999999991</v>
      </c>
      <c r="AY26" s="36">
        <f>-SUMIF('Trial Balance (Susa)'!$D:$D,"*"&amp;$CN26&amp;"*",'Trial Balance (Susa)'!AR:AR)/1000-SUM($AP26:AX26)</f>
        <v>-24.302540000000022</v>
      </c>
      <c r="AZ26" s="36">
        <f>-SUMIF('Trial Balance (Susa)'!$D:$D,"*"&amp;$CN26&amp;"*",'Trial Balance (Susa)'!AS:AS)/1000-SUM($AP26:AY26)</f>
        <v>-25.042759999999987</v>
      </c>
      <c r="BA26" s="36">
        <f>-SUMIF('Trial Balance (Susa)'!$D:$D,"*"&amp;$CN26&amp;"*",'Trial Balance (Susa)'!AT:AT)/1000-SUM($AP26:AZ26)</f>
        <v>-18.76470999999998</v>
      </c>
      <c r="BB26" s="278"/>
      <c r="BC26" s="278"/>
      <c r="BD26" s="278"/>
      <c r="BE26" s="278"/>
      <c r="BF26" s="278"/>
      <c r="BG26" s="278"/>
      <c r="BH26" s="278"/>
      <c r="BI26" s="278"/>
      <c r="BJ26" s="278"/>
      <c r="BK26" s="278"/>
      <c r="BL26" s="278"/>
      <c r="BM26" s="278"/>
      <c r="BN26" s="278"/>
      <c r="BO26" s="278"/>
      <c r="BP26" s="278"/>
      <c r="BQ26" s="278"/>
      <c r="BR26" s="278"/>
      <c r="BS26" s="278"/>
      <c r="BT26" s="278"/>
      <c r="BU26" s="278"/>
      <c r="BV26" s="278"/>
      <c r="BW26" s="278"/>
      <c r="BX26" s="278"/>
      <c r="BY26" s="278"/>
      <c r="BZ26" s="278"/>
      <c r="CA26" s="278"/>
      <c r="CB26" s="278"/>
      <c r="CC26" s="278"/>
      <c r="CD26" s="278"/>
      <c r="CE26" s="278"/>
      <c r="CF26" s="278"/>
      <c r="CG26" s="278"/>
      <c r="CH26" s="278"/>
      <c r="CI26" s="278"/>
      <c r="CJ26" s="278"/>
      <c r="CK26" s="278"/>
      <c r="CN26" s="364" t="s">
        <v>1391</v>
      </c>
    </row>
    <row r="27" spans="1:92" ht="11.25" customHeight="1" x14ac:dyDescent="0.2">
      <c r="C27" s="37" t="str">
        <f>'Lead PL'!C36</f>
        <v>Versicherung, Beiträge und Abgaben</v>
      </c>
      <c r="D27" s="37" t="str">
        <f>'Lead PL'!D36</f>
        <v>Insurance, contributions and levies expenses</v>
      </c>
      <c r="E27" s="37"/>
      <c r="F27" s="36"/>
      <c r="G27" s="36"/>
      <c r="H27" s="36"/>
      <c r="I27" s="36"/>
      <c r="J27" s="36"/>
      <c r="K27" s="36"/>
      <c r="L27" s="36"/>
      <c r="M27" s="36"/>
      <c r="N27" s="36"/>
      <c r="O27" s="36"/>
      <c r="P27" s="36"/>
      <c r="Q27" s="36"/>
      <c r="R27" s="36">
        <f>-SUMIF('Trial Balance (Susa)'!$D:$D,"*"&amp;$CN27&amp;"*",'Trial Balance (Susa)'!K:K)/1000</f>
        <v>-5.9921399999999991</v>
      </c>
      <c r="S27" s="36">
        <f>-SUMIF('Trial Balance (Susa)'!$D:$D,"*"&amp;$CN27&amp;"*",'Trial Balance (Susa)'!L:L)/1000-R27</f>
        <v>-3.8091100000000004</v>
      </c>
      <c r="T27" s="36">
        <f>-SUMIF('Trial Balance (Susa)'!$D:$D,"*"&amp;$CN27&amp;"*",'Trial Balance (Susa)'!M:M)/1000-SUM($R27:S27)</f>
        <v>-9.8751500000000014</v>
      </c>
      <c r="U27" s="36">
        <f>-SUMIF('Trial Balance (Susa)'!$D:$D,"*"&amp;$CN27&amp;"*",'Trial Balance (Susa)'!N:N)/1000-SUM($R27:T27)</f>
        <v>-4.7805700000000009</v>
      </c>
      <c r="V27" s="36">
        <f>-SUMIF('Trial Balance (Susa)'!$D:$D,"*"&amp;$CN27&amp;"*",'Trial Balance (Susa)'!O:O)/1000-SUM($R27:U27)</f>
        <v>-5.9305699999999995</v>
      </c>
      <c r="W27" s="36">
        <f>-SUMIF('Trial Balance (Susa)'!$D:$D,"*"&amp;$CN27&amp;"*",'Trial Balance (Susa)'!P:P)/1000-SUM($R27:V27)</f>
        <v>-4.7950899999999947</v>
      </c>
      <c r="X27" s="36">
        <f>-SUMIF('Trial Balance (Susa)'!$D:$D,"*"&amp;$CN27&amp;"*",'Trial Balance (Susa)'!Q:Q)/1000-SUM($R27:W27)</f>
        <v>-4.8650900000000021</v>
      </c>
      <c r="Y27" s="36">
        <f>-SUMIF('Trial Balance (Susa)'!$D:$D,"*"&amp;$CN27&amp;"*",'Trial Balance (Susa)'!R:R)/1000-SUM($R27:X27)</f>
        <v>-4.8160900000000026</v>
      </c>
      <c r="Z27" s="36">
        <f>-SUMIF('Trial Balance (Susa)'!$D:$D,"*"&amp;$CN27&amp;"*",'Trial Balance (Susa)'!S:S)/1000-SUM($R27:Y27)</f>
        <v>-4.7950900000000019</v>
      </c>
      <c r="AA27" s="36">
        <f>-SUMIF('Trial Balance (Susa)'!$D:$D,"*"&amp;$CN27&amp;"*",'Trial Balance (Susa)'!T:T)/1000-SUM($R27:Z27)</f>
        <v>-5.6030900000000017</v>
      </c>
      <c r="AB27" s="36">
        <f>-SUMIF('Trial Balance (Susa)'!$D:$D,"*"&amp;$CN27&amp;"*",'Trial Balance (Susa)'!U:U)/1000-SUM($R27:AA27)</f>
        <v>-5.595089999999999</v>
      </c>
      <c r="AC27" s="36">
        <f>-SUMIF('Trial Balance (Susa)'!$D:$D,"*"&amp;$CN27&amp;"*",'Trial Balance (Susa)'!V:V)/1000-SUM($R27:AB27)</f>
        <v>-12.386020000000009</v>
      </c>
      <c r="AD27" s="36">
        <f>-SUMIF('Trial Balance (Susa)'!$D:$D,"*"&amp;$CN27&amp;"*",'Trial Balance (Susa)'!W:W)/1000</f>
        <v>-6.5997999999999992</v>
      </c>
      <c r="AE27" s="36">
        <f>-SUMIF('Trial Balance (Susa)'!$D:$D,"*"&amp;$CN27&amp;"*",'Trial Balance (Susa)'!X:X)/1000-SUM($AD27:AD27)</f>
        <v>-5.3875300000000008</v>
      </c>
      <c r="AF27" s="36">
        <f>-SUMIF('Trial Balance (Susa)'!$D:$D,"*"&amp;$CN27&amp;"*",'Trial Balance (Susa)'!Y:Y)/1000-SUM($AD27:AE27)</f>
        <v>-5.2921200000000006</v>
      </c>
      <c r="AG27" s="36">
        <f>-SUMIF('Trial Balance (Susa)'!$D:$D,"*"&amp;$CN27&amp;"*",'Trial Balance (Susa)'!Z:Z)/1000-SUM($AD27:AF27)</f>
        <v>-4.9921199999999999</v>
      </c>
      <c r="AH27" s="36">
        <f>-SUMIF('Trial Balance (Susa)'!$D:$D,"*"&amp;$CN27&amp;"*",'Trial Balance (Susa)'!AA:AA)/1000-SUM($AD27:AG27)</f>
        <v>-5.5921199999999978</v>
      </c>
      <c r="AI27" s="36">
        <f>-SUMIF('Trial Balance (Susa)'!$D:$D,"*"&amp;$CN27&amp;"*",'Trial Balance (Susa)'!AB:AB)/1000-SUM($AD27:AH27)</f>
        <v>-4.9496299999999991</v>
      </c>
      <c r="AJ27" s="36">
        <f>-SUMIF('Trial Balance (Susa)'!$D:$D,"*"&amp;$CN27&amp;"*",'Trial Balance (Susa)'!AC:AC)/1000-SUM($AD27:AI27)</f>
        <v>-6.0296299999999974</v>
      </c>
      <c r="AK27" s="36">
        <f>-SUMIF('Trial Balance (Susa)'!$D:$D,"*"&amp;$CN27&amp;"*",'Trial Balance (Susa)'!AD:AD)/1000-SUM($AD27:AJ27)</f>
        <v>-14.885010000000008</v>
      </c>
      <c r="AL27" s="36">
        <f>-SUMIF('Trial Balance (Susa)'!$D:$D,"*"&amp;$CN27&amp;"*",'Trial Balance (Susa)'!AE:AE)/1000-SUM($AD27:AK27)</f>
        <v>-1.1816499999999976</v>
      </c>
      <c r="AM27" s="36">
        <f>-SUMIF('Trial Balance (Susa)'!$D:$D,"*"&amp;$CN27&amp;"*",'Trial Balance (Susa)'!AF:AF)/1000-SUM($AD27:AL27)</f>
        <v>-4.9376300000000057</v>
      </c>
      <c r="AN27" s="36">
        <f>-SUMIF('Trial Balance (Susa)'!$D:$D,"*"&amp;$CN27&amp;"*",'Trial Balance (Susa)'!AG:AG)/1000-SUM($AD27:AM27)</f>
        <v>-4.9046199999999871</v>
      </c>
      <c r="AO27" s="36">
        <f>-SUMIF('Trial Balance (Susa)'!$D:$D,"*"&amp;$CN27&amp;"*",'Trial Balance (Susa)'!AH:AH)/1000-SUM($AD27:AN27)</f>
        <v>-4.9315399999999983</v>
      </c>
      <c r="AP27" s="36">
        <f>-SUMIF('Trial Balance (Susa)'!$D:$D,"*"&amp;$CN27&amp;"*",'Trial Balance (Susa)'!AI:AI)/1000</f>
        <v>-12.63955</v>
      </c>
      <c r="AQ27" s="36">
        <f>-SUMIF('Trial Balance (Susa)'!$D:$D,"*"&amp;$CN27&amp;"*",'Trial Balance (Susa)'!AJ:AJ)/1000-SUM($AP27:AP27)</f>
        <v>-13.08013</v>
      </c>
      <c r="AR27" s="36">
        <f>-SUMIF('Trial Balance (Susa)'!$D:$D,"*"&amp;$CN27&amp;"*",'Trial Balance (Susa)'!AK:AK)/1000-SUM($AP27:AQ27)</f>
        <v>-5.3407099999999978</v>
      </c>
      <c r="AS27" s="36">
        <f>-SUMIF('Trial Balance (Susa)'!$D:$D,"*"&amp;$CN27&amp;"*",'Trial Balance (Susa)'!AL:AL)/1000-SUM($AP27:AR27)</f>
        <v>-5.0007100000000051</v>
      </c>
      <c r="AT27" s="36">
        <f>-SUMIF('Trial Balance (Susa)'!$D:$D,"*"&amp;$CN27&amp;"*",'Trial Balance (Susa)'!AM:AM)/1000-SUM($AP27:AS27)</f>
        <v>-5.6007099999999923</v>
      </c>
      <c r="AU27" s="36">
        <f>-SUMIF('Trial Balance (Susa)'!$D:$D,"*"&amp;$CN27&amp;"*",'Trial Balance (Susa)'!AN:AN)/1000-SUM($AP27:AT27)</f>
        <v>-5.4658599999999993</v>
      </c>
      <c r="AV27" s="36">
        <f>-SUMIF('Trial Balance (Susa)'!$D:$D,"*"&amp;$CN27&amp;"*",'Trial Balance (Susa)'!AO:AO)/1000-SUM($AP27:AU27)</f>
        <v>-5.6458600000000061</v>
      </c>
      <c r="AW27" s="36">
        <f>-SUMIF('Trial Balance (Susa)'!$D:$D,"*"&amp;$CN27&amp;"*",'Trial Balance (Susa)'!AP:AP)/1000-SUM($AP27:AV27)</f>
        <v>-5.3168599999999984</v>
      </c>
      <c r="AX27" s="36">
        <f>-SUMIF('Trial Balance (Susa)'!$D:$D,"*"&amp;$CN27&amp;"*",'Trial Balance (Susa)'!AQ:AQ)/1000-SUM($AP27:AW27)</f>
        <v>-4.9397799999999989</v>
      </c>
      <c r="AY27" s="36">
        <f>-SUMIF('Trial Balance (Susa)'!$D:$D,"*"&amp;$CN27&amp;"*",'Trial Balance (Susa)'!AR:AR)/1000-SUM($AP27:AX27)</f>
        <v>-4.9538600000000059</v>
      </c>
      <c r="AZ27" s="36">
        <f>-SUMIF('Trial Balance (Susa)'!$D:$D,"*"&amp;$CN27&amp;"*",'Trial Balance (Susa)'!AS:AS)/1000-SUM($AP27:AY27)</f>
        <v>-2.9242199999999912</v>
      </c>
      <c r="BA27" s="36">
        <f>-SUMIF('Trial Balance (Susa)'!$D:$D,"*"&amp;$CN27&amp;"*",'Trial Balance (Susa)'!AT:AT)/1000-SUM($AP27:AZ27)</f>
        <v>1.1374599999999901</v>
      </c>
      <c r="BB27" s="278"/>
      <c r="BC27" s="278"/>
      <c r="BD27" s="278"/>
      <c r="BE27" s="278"/>
      <c r="BF27" s="278"/>
      <c r="BG27" s="278"/>
      <c r="BH27" s="278"/>
      <c r="BI27" s="278"/>
      <c r="BJ27" s="278"/>
      <c r="BK27" s="278"/>
      <c r="BL27" s="278"/>
      <c r="BM27" s="278"/>
      <c r="BN27" s="278"/>
      <c r="BO27" s="278"/>
      <c r="BP27" s="278"/>
      <c r="BQ27" s="278"/>
      <c r="BR27" s="278"/>
      <c r="BS27" s="278"/>
      <c r="BT27" s="278"/>
      <c r="BU27" s="278"/>
      <c r="BV27" s="278"/>
      <c r="BW27" s="278"/>
      <c r="BX27" s="278"/>
      <c r="BY27" s="278"/>
      <c r="BZ27" s="278"/>
      <c r="CA27" s="278"/>
      <c r="CB27" s="278"/>
      <c r="CC27" s="278"/>
      <c r="CD27" s="278"/>
      <c r="CE27" s="278"/>
      <c r="CF27" s="278"/>
      <c r="CG27" s="278"/>
      <c r="CH27" s="278"/>
      <c r="CI27" s="278"/>
      <c r="CJ27" s="278"/>
      <c r="CK27" s="278"/>
      <c r="CN27" s="364" t="s">
        <v>1384</v>
      </c>
    </row>
    <row r="28" spans="1:92" ht="11.25" customHeight="1" x14ac:dyDescent="0.2">
      <c r="C28" s="37" t="str">
        <f>'Lead PL'!C37</f>
        <v>Werbe- und Reisekosten</v>
      </c>
      <c r="D28" s="37" t="str">
        <f>'Lead PL'!D37</f>
        <v>Advertising and travel expenses</v>
      </c>
      <c r="E28" s="37"/>
      <c r="F28" s="36"/>
      <c r="G28" s="36"/>
      <c r="H28" s="36"/>
      <c r="I28" s="36"/>
      <c r="J28" s="36"/>
      <c r="K28" s="36"/>
      <c r="L28" s="36"/>
      <c r="M28" s="36"/>
      <c r="N28" s="36"/>
      <c r="O28" s="36"/>
      <c r="P28" s="36"/>
      <c r="Q28" s="36"/>
      <c r="R28" s="36">
        <f>-SUMIF('Trial Balance (Susa)'!$D:$D,"*"&amp;$CN28&amp;"*",'Trial Balance (Susa)'!K:K)/1000</f>
        <v>-2.7300299999999997</v>
      </c>
      <c r="S28" s="36">
        <f>-SUMIF('Trial Balance (Susa)'!$D:$D,"*"&amp;$CN28&amp;"*",'Trial Balance (Susa)'!L:L)/1000-R28</f>
        <v>-3.9223499999999993</v>
      </c>
      <c r="T28" s="36">
        <f>-SUMIF('Trial Balance (Susa)'!$D:$D,"*"&amp;$CN28&amp;"*",'Trial Balance (Susa)'!M:M)/1000-SUM($R28:S28)</f>
        <v>-12.209250000000003</v>
      </c>
      <c r="U28" s="36">
        <f>-SUMIF('Trial Balance (Susa)'!$D:$D,"*"&amp;$CN28&amp;"*",'Trial Balance (Susa)'!N:N)/1000-SUM($R28:T28)</f>
        <v>-10.765139999999999</v>
      </c>
      <c r="V28" s="36">
        <f>-SUMIF('Trial Balance (Susa)'!$D:$D,"*"&amp;$CN28&amp;"*",'Trial Balance (Susa)'!O:O)/1000-SUM($R28:U28)</f>
        <v>-8.0142500000000041</v>
      </c>
      <c r="W28" s="36">
        <f>-SUMIF('Trial Balance (Susa)'!$D:$D,"*"&amp;$CN28&amp;"*",'Trial Balance (Susa)'!P:P)/1000-SUM($R28:V28)</f>
        <v>-23.333069999999985</v>
      </c>
      <c r="X28" s="36">
        <f>-SUMIF('Trial Balance (Susa)'!$D:$D,"*"&amp;$CN28&amp;"*",'Trial Balance (Susa)'!Q:Q)/1000-SUM($R28:W28)</f>
        <v>-9.3034400000000232</v>
      </c>
      <c r="Y28" s="36">
        <f>-SUMIF('Trial Balance (Susa)'!$D:$D,"*"&amp;$CN28&amp;"*",'Trial Balance (Susa)'!R:R)/1000-SUM($R28:X28)</f>
        <v>-37.504079999999973</v>
      </c>
      <c r="Z28" s="36">
        <f>-SUMIF('Trial Balance (Susa)'!$D:$D,"*"&amp;$CN28&amp;"*",'Trial Balance (Susa)'!S:S)/1000-SUM($R28:Y28)</f>
        <v>-12.841990000000024</v>
      </c>
      <c r="AA28" s="36">
        <f>-SUMIF('Trial Balance (Susa)'!$D:$D,"*"&amp;$CN28&amp;"*",'Trial Balance (Susa)'!T:T)/1000-SUM($R28:Z28)</f>
        <v>-14.232359999999971</v>
      </c>
      <c r="AB28" s="36">
        <f>-SUMIF('Trial Balance (Susa)'!$D:$D,"*"&amp;$CN28&amp;"*",'Trial Balance (Susa)'!U:U)/1000-SUM($R28:AA28)</f>
        <v>-11.151130000000023</v>
      </c>
      <c r="AC28" s="36">
        <f>-SUMIF('Trial Balance (Susa)'!$D:$D,"*"&amp;$CN28&amp;"*",'Trial Balance (Susa)'!V:V)/1000-SUM($R28:AB28)</f>
        <v>-31.412849999999992</v>
      </c>
      <c r="AD28" s="36">
        <f>-SUMIF('Trial Balance (Susa)'!$D:$D,"*"&amp;$CN28&amp;"*",'Trial Balance (Susa)'!W:W)/1000</f>
        <v>-4.8024200000000006</v>
      </c>
      <c r="AE28" s="36">
        <f>-SUMIF('Trial Balance (Susa)'!$D:$D,"*"&amp;$CN28&amp;"*",'Trial Balance (Susa)'!X:X)/1000-SUM($AD28:AD28)</f>
        <v>-4.5304399999999978</v>
      </c>
      <c r="AF28" s="36">
        <f>-SUMIF('Trial Balance (Susa)'!$D:$D,"*"&amp;$CN28&amp;"*",'Trial Balance (Susa)'!Y:Y)/1000-SUM($AD28:AE28)</f>
        <v>-10.017900000000003</v>
      </c>
      <c r="AG28" s="36">
        <f>-SUMIF('Trial Balance (Susa)'!$D:$D,"*"&amp;$CN28&amp;"*",'Trial Balance (Susa)'!Z:Z)/1000-SUM($AD28:AF28)</f>
        <v>-26.017499999999998</v>
      </c>
      <c r="AH28" s="36">
        <f>-SUMIF('Trial Balance (Susa)'!$D:$D,"*"&amp;$CN28&amp;"*",'Trial Balance (Susa)'!AA:AA)/1000-SUM($AD28:AG28)</f>
        <v>-15.221269999999997</v>
      </c>
      <c r="AI28" s="36">
        <f>-SUMIF('Trial Balance (Susa)'!$D:$D,"*"&amp;$CN28&amp;"*",'Trial Balance (Susa)'!AB:AB)/1000-SUM($AD28:AH28)</f>
        <v>-12.371420000000001</v>
      </c>
      <c r="AJ28" s="36">
        <f>-SUMIF('Trial Balance (Susa)'!$D:$D,"*"&amp;$CN28&amp;"*",'Trial Balance (Susa)'!AC:AC)/1000-SUM($AD28:AI28)</f>
        <v>-12.085010000000011</v>
      </c>
      <c r="AK28" s="36">
        <f>-SUMIF('Trial Balance (Susa)'!$D:$D,"*"&amp;$CN28&amp;"*",'Trial Balance (Susa)'!AD:AD)/1000-SUM($AD28:AJ28)</f>
        <v>-7.2907200000000074</v>
      </c>
      <c r="AL28" s="36">
        <f>-SUMIF('Trial Balance (Susa)'!$D:$D,"*"&amp;$CN28&amp;"*",'Trial Balance (Susa)'!AE:AE)/1000-SUM($AD28:AK28)</f>
        <v>-12.551309999999987</v>
      </c>
      <c r="AM28" s="36">
        <f>-SUMIF('Trial Balance (Susa)'!$D:$D,"*"&amp;$CN28&amp;"*",'Trial Balance (Susa)'!AF:AF)/1000-SUM($AD28:AL28)</f>
        <v>-22.627880000000005</v>
      </c>
      <c r="AN28" s="36">
        <f>-SUMIF('Trial Balance (Susa)'!$D:$D,"*"&amp;$CN28&amp;"*",'Trial Balance (Susa)'!AG:AG)/1000-SUM($AD28:AM28)</f>
        <v>-15.191509999999965</v>
      </c>
      <c r="AO28" s="36">
        <f>-SUMIF('Trial Balance (Susa)'!$D:$D,"*"&amp;$CN28&amp;"*",'Trial Balance (Susa)'!AH:AH)/1000-SUM($AD28:AN28)</f>
        <v>-11.399250000000023</v>
      </c>
      <c r="AP28" s="36">
        <f>-SUMIF('Trial Balance (Susa)'!$D:$D,"*"&amp;$CN28&amp;"*",'Trial Balance (Susa)'!AI:AI)/1000</f>
        <v>-6.1516299999999999</v>
      </c>
      <c r="AQ28" s="36">
        <f>-SUMIF('Trial Balance (Susa)'!$D:$D,"*"&amp;$CN28&amp;"*",'Trial Balance (Susa)'!AJ:AJ)/1000-SUM($AP28:AP28)</f>
        <v>-8.0339200000000019</v>
      </c>
      <c r="AR28" s="36">
        <f>-SUMIF('Trial Balance (Susa)'!$D:$D,"*"&amp;$CN28&amp;"*",'Trial Balance (Susa)'!AK:AK)/1000-SUM($AP28:AQ28)</f>
        <v>-7.5878200000000007</v>
      </c>
      <c r="AS28" s="36">
        <f>-SUMIF('Trial Balance (Susa)'!$D:$D,"*"&amp;$CN28&amp;"*",'Trial Balance (Susa)'!AL:AL)/1000-SUM($AP28:AR28)</f>
        <v>-7.5260099999999923</v>
      </c>
      <c r="AT28" s="36">
        <f>-SUMIF('Trial Balance (Susa)'!$D:$D,"*"&amp;$CN28&amp;"*",'Trial Balance (Susa)'!AM:AM)/1000-SUM($AP28:AS28)</f>
        <v>-9.9806800000000031</v>
      </c>
      <c r="AU28" s="36">
        <f>-SUMIF('Trial Balance (Susa)'!$D:$D,"*"&amp;$CN28&amp;"*",'Trial Balance (Susa)'!AN:AN)/1000-SUM($AP28:AT28)</f>
        <v>-14.512720000000002</v>
      </c>
      <c r="AV28" s="36">
        <f>-SUMIF('Trial Balance (Susa)'!$D:$D,"*"&amp;$CN28&amp;"*",'Trial Balance (Susa)'!AO:AO)/1000-SUM($AP28:AU28)</f>
        <v>-9.5270399999999995</v>
      </c>
      <c r="AW28" s="36">
        <f>-SUMIF('Trial Balance (Susa)'!$D:$D,"*"&amp;$CN28&amp;"*",'Trial Balance (Susa)'!AP:AP)/1000-SUM($AP28:AV28)</f>
        <v>-5.4221700000000013</v>
      </c>
      <c r="AX28" s="36">
        <f>-SUMIF('Trial Balance (Susa)'!$D:$D,"*"&amp;$CN28&amp;"*",'Trial Balance (Susa)'!AQ:AQ)/1000-SUM($AP28:AW28)</f>
        <v>-16.345400000000012</v>
      </c>
      <c r="AY28" s="36">
        <f>-SUMIF('Trial Balance (Susa)'!$D:$D,"*"&amp;$CN28&amp;"*",'Trial Balance (Susa)'!AR:AR)/1000-SUM($AP28:AX28)</f>
        <v>-14.403240000000011</v>
      </c>
      <c r="AZ28" s="36">
        <f>-SUMIF('Trial Balance (Susa)'!$D:$D,"*"&amp;$CN28&amp;"*",'Trial Balance (Susa)'!AS:AS)/1000-SUM($AP28:AY28)</f>
        <v>-17.846039999999974</v>
      </c>
      <c r="BA28" s="36">
        <f>-SUMIF('Trial Balance (Susa)'!$D:$D,"*"&amp;$CN28&amp;"*",'Trial Balance (Susa)'!AT:AT)/1000-SUM($AP28:AZ28)</f>
        <v>-46.278989999999993</v>
      </c>
      <c r="BB28" s="278"/>
      <c r="BC28" s="278"/>
      <c r="BD28" s="278"/>
      <c r="BE28" s="278"/>
      <c r="BF28" s="278"/>
      <c r="BG28" s="278"/>
      <c r="BH28" s="278"/>
      <c r="BI28" s="278"/>
      <c r="BJ28" s="278"/>
      <c r="BK28" s="278"/>
      <c r="BL28" s="278"/>
      <c r="BM28" s="278"/>
      <c r="BN28" s="278"/>
      <c r="BO28" s="278"/>
      <c r="BP28" s="278"/>
      <c r="BQ28" s="278"/>
      <c r="BR28" s="278"/>
      <c r="BS28" s="278"/>
      <c r="BT28" s="278"/>
      <c r="BU28" s="278"/>
      <c r="BV28" s="278"/>
      <c r="BW28" s="278"/>
      <c r="BX28" s="278"/>
      <c r="BY28" s="278"/>
      <c r="BZ28" s="278"/>
      <c r="CA28" s="278"/>
      <c r="CB28" s="278"/>
      <c r="CC28" s="278"/>
      <c r="CD28" s="278"/>
      <c r="CE28" s="278"/>
      <c r="CF28" s="278"/>
      <c r="CG28" s="278"/>
      <c r="CH28" s="278"/>
      <c r="CI28" s="278"/>
      <c r="CJ28" s="278"/>
      <c r="CK28" s="278"/>
      <c r="CN28" s="364" t="s">
        <v>1566</v>
      </c>
    </row>
    <row r="29" spans="1:92" ht="11.25" customHeight="1" x14ac:dyDescent="0.2">
      <c r="C29" s="37" t="str">
        <f>'Lead PL'!C38</f>
        <v>Sonstige betriebliche Erträge</v>
      </c>
      <c r="D29" s="37" t="str">
        <f>'Lead PL'!D38</f>
        <v>Other operating income</v>
      </c>
      <c r="E29" s="37"/>
      <c r="F29" s="36"/>
      <c r="G29" s="36"/>
      <c r="H29" s="36"/>
      <c r="I29" s="36"/>
      <c r="J29" s="36"/>
      <c r="K29" s="36"/>
      <c r="L29" s="36"/>
      <c r="M29" s="36"/>
      <c r="N29" s="36"/>
      <c r="O29" s="36"/>
      <c r="P29" s="36"/>
      <c r="Q29" s="36"/>
      <c r="R29" s="36">
        <f>-SUMIF('Trial Balance (Susa)'!$D:$D,"*"&amp;$CN29&amp;"*",'Trial Balance (Susa)'!K:K)/1000</f>
        <v>31.524919999999998</v>
      </c>
      <c r="S29" s="36">
        <f>-SUMIF('Trial Balance (Susa)'!$D:$D,"*"&amp;$CN29&amp;"*",'Trial Balance (Susa)'!L:L)/1000-R29</f>
        <v>22.85232000000001</v>
      </c>
      <c r="T29" s="36">
        <f>-SUMIF('Trial Balance (Susa)'!$D:$D,"*"&amp;$CN29&amp;"*",'Trial Balance (Susa)'!M:M)/1000-SUM($R29:S29)</f>
        <v>9.9566299999999828</v>
      </c>
      <c r="U29" s="36">
        <f>-SUMIF('Trial Balance (Susa)'!$D:$D,"*"&amp;$CN29&amp;"*",'Trial Balance (Susa)'!N:N)/1000-SUM($R29:T29)</f>
        <v>-2.0337099999999921</v>
      </c>
      <c r="V29" s="36">
        <f>-SUMIF('Trial Balance (Susa)'!$D:$D,"*"&amp;$CN29&amp;"*",'Trial Balance (Susa)'!O:O)/1000-SUM($R29:U29)</f>
        <v>21.568780000000011</v>
      </c>
      <c r="W29" s="36">
        <f>-SUMIF('Trial Balance (Susa)'!$D:$D,"*"&amp;$CN29&amp;"*",'Trial Balance (Susa)'!P:P)/1000-SUM($R29:V29)</f>
        <v>6.4419799999999725</v>
      </c>
      <c r="X29" s="36">
        <f>-SUMIF('Trial Balance (Susa)'!$D:$D,"*"&amp;$CN29&amp;"*",'Trial Balance (Susa)'!Q:Q)/1000-SUM($R29:W29)</f>
        <v>3.2684900000000141</v>
      </c>
      <c r="Y29" s="36">
        <f>-SUMIF('Trial Balance (Susa)'!$D:$D,"*"&amp;$CN29&amp;"*",'Trial Balance (Susa)'!R:R)/1000-SUM($R29:X29)</f>
        <v>37.107560000000007</v>
      </c>
      <c r="Z29" s="36">
        <f>-SUMIF('Trial Balance (Susa)'!$D:$D,"*"&amp;$CN29&amp;"*",'Trial Balance (Susa)'!S:S)/1000-SUM($R29:Y29)</f>
        <v>6.158600000000007</v>
      </c>
      <c r="AA29" s="36">
        <f>-SUMIF('Trial Balance (Susa)'!$D:$D,"*"&amp;$CN29&amp;"*",'Trial Balance (Susa)'!T:T)/1000-SUM($R29:Z29)</f>
        <v>10.035209999999978</v>
      </c>
      <c r="AB29" s="36">
        <f>-SUMIF('Trial Balance (Susa)'!$D:$D,"*"&amp;$CN29&amp;"*",'Trial Balance (Susa)'!U:U)/1000-SUM($R29:AA29)</f>
        <v>8.5425400000000309</v>
      </c>
      <c r="AC29" s="36">
        <f>-SUMIF('Trial Balance (Susa)'!$D:$D,"*"&amp;$CN29&amp;"*",'Trial Balance (Susa)'!V:V)/1000-SUM($R29:AB29)</f>
        <v>31.536529999999999</v>
      </c>
      <c r="AD29" s="36">
        <f>-SUMIF('Trial Balance (Susa)'!$D:$D,"*"&amp;$CN29&amp;"*",'Trial Balance (Susa)'!W:W)/1000</f>
        <v>35.280419999999999</v>
      </c>
      <c r="AE29" s="36">
        <f>-SUMIF('Trial Balance (Susa)'!$D:$D,"*"&amp;$CN29&amp;"*",'Trial Balance (Susa)'!X:X)/1000-SUM($AD29:AD29)</f>
        <v>35.803229999999992</v>
      </c>
      <c r="AF29" s="36">
        <f>-SUMIF('Trial Balance (Susa)'!$D:$D,"*"&amp;$CN29&amp;"*",'Trial Balance (Susa)'!Y:Y)/1000-SUM($AD29:AE29)</f>
        <v>7.5162900000000121</v>
      </c>
      <c r="AG29" s="36">
        <f>-SUMIF('Trial Balance (Susa)'!$D:$D,"*"&amp;$CN29&amp;"*",'Trial Balance (Susa)'!Z:Z)/1000-SUM($AD29:AF29)</f>
        <v>23.733940000000004</v>
      </c>
      <c r="AH29" s="36">
        <f>-SUMIF('Trial Balance (Susa)'!$D:$D,"*"&amp;$CN29&amp;"*",'Trial Balance (Susa)'!AA:AA)/1000-SUM($AD29:AG29)</f>
        <v>40.103799999999993</v>
      </c>
      <c r="AI29" s="36">
        <f>-SUMIF('Trial Balance (Susa)'!$D:$D,"*"&amp;$CN29&amp;"*",'Trial Balance (Susa)'!AB:AB)/1000-SUM($AD29:AH29)</f>
        <v>8.3594799999999907</v>
      </c>
      <c r="AJ29" s="36">
        <f>-SUMIF('Trial Balance (Susa)'!$D:$D,"*"&amp;$CN29&amp;"*",'Trial Balance (Susa)'!AC:AC)/1000-SUM($AD29:AI29)</f>
        <v>-3.7168000000000063</v>
      </c>
      <c r="AK29" s="36">
        <f>-SUMIF('Trial Balance (Susa)'!$D:$D,"*"&amp;$CN29&amp;"*",'Trial Balance (Susa)'!AD:AD)/1000-SUM($AD29:AJ29)</f>
        <v>26.199430000000007</v>
      </c>
      <c r="AL29" s="36">
        <f>-SUMIF('Trial Balance (Susa)'!$D:$D,"*"&amp;$CN29&amp;"*",'Trial Balance (Susa)'!AE:AE)/1000-SUM($AD29:AK29)</f>
        <v>27.645009999999985</v>
      </c>
      <c r="AM29" s="36">
        <f>-SUMIF('Trial Balance (Susa)'!$D:$D,"*"&amp;$CN29&amp;"*",'Trial Balance (Susa)'!AF:AF)/1000-SUM($AD29:AL29)</f>
        <v>38.886810000000025</v>
      </c>
      <c r="AN29" s="36">
        <f>-SUMIF('Trial Balance (Susa)'!$D:$D,"*"&amp;$CN29&amp;"*",'Trial Balance (Susa)'!AG:AG)/1000-SUM($AD29:AM29)</f>
        <v>11.471370000000007</v>
      </c>
      <c r="AO29" s="36">
        <f>-SUMIF('Trial Balance (Susa)'!$D:$D,"*"&amp;$CN29&amp;"*",'Trial Balance (Susa)'!AH:AH)/1000-SUM($AD29:AN29)</f>
        <v>13.28861999999998</v>
      </c>
      <c r="AP29" s="36">
        <f>-SUMIF('Trial Balance (Susa)'!$D:$D,"*"&amp;$CN29&amp;"*",'Trial Balance (Susa)'!AI:AI)/1000</f>
        <v>24.776489999999999</v>
      </c>
      <c r="AQ29" s="36">
        <f>-SUMIF('Trial Balance (Susa)'!$D:$D,"*"&amp;$CN29&amp;"*",'Trial Balance (Susa)'!AJ:AJ)/1000-SUM($AP29:AP29)</f>
        <v>9.3567399999999985</v>
      </c>
      <c r="AR29" s="36">
        <f>-SUMIF('Trial Balance (Susa)'!$D:$D,"*"&amp;$CN29&amp;"*",'Trial Balance (Susa)'!AK:AK)/1000-SUM($AP29:AQ29)</f>
        <v>39.334689999999981</v>
      </c>
      <c r="AS29" s="36">
        <f>-SUMIF('Trial Balance (Susa)'!$D:$D,"*"&amp;$CN29&amp;"*",'Trial Balance (Susa)'!AL:AL)/1000-SUM($AP29:AR29)</f>
        <v>9.0246200000000272</v>
      </c>
      <c r="AT29" s="36">
        <f>-SUMIF('Trial Balance (Susa)'!$D:$D,"*"&amp;$CN29&amp;"*",'Trial Balance (Susa)'!AM:AM)/1000-SUM($AP29:AS29)</f>
        <v>8.648769999999999</v>
      </c>
      <c r="AU29" s="36">
        <f>-SUMIF('Trial Balance (Susa)'!$D:$D,"*"&amp;$CN29&amp;"*",'Trial Balance (Susa)'!AN:AN)/1000-SUM($AP29:AT29)</f>
        <v>9.1544099999999986</v>
      </c>
      <c r="AV29" s="36">
        <f>-SUMIF('Trial Balance (Susa)'!$D:$D,"*"&amp;$CN29&amp;"*",'Trial Balance (Susa)'!AO:AO)/1000-SUM($AP29:AU29)</f>
        <v>11.24606</v>
      </c>
      <c r="AW29" s="36">
        <f>-SUMIF('Trial Balance (Susa)'!$D:$D,"*"&amp;$CN29&amp;"*",'Trial Balance (Susa)'!AP:AP)/1000-SUM($AP29:AV29)</f>
        <v>8.3263800000000003</v>
      </c>
      <c r="AX29" s="36">
        <f>-SUMIF('Trial Balance (Susa)'!$D:$D,"*"&amp;$CN29&amp;"*",'Trial Balance (Susa)'!AQ:AQ)/1000-SUM($AP29:AW29)</f>
        <v>10.968459999999979</v>
      </c>
      <c r="AY29" s="36">
        <f>-SUMIF('Trial Balance (Susa)'!$D:$D,"*"&amp;$CN29&amp;"*",'Trial Balance (Susa)'!AR:AR)/1000-SUM($AP29:AX29)</f>
        <v>8.5981800000000135</v>
      </c>
      <c r="AZ29" s="36">
        <f>-SUMIF('Trial Balance (Susa)'!$D:$D,"*"&amp;$CN29&amp;"*",'Trial Balance (Susa)'!AS:AS)/1000-SUM($AP29:AY29)</f>
        <v>7.8656900000000007</v>
      </c>
      <c r="BA29" s="36">
        <f>-SUMIF('Trial Balance (Susa)'!$D:$D,"*"&amp;$CN29&amp;"*",'Trial Balance (Susa)'!AT:AT)/1000-SUM($AP29:AZ29)</f>
        <v>38.084839999999986</v>
      </c>
      <c r="BB29" s="278"/>
      <c r="BC29" s="278"/>
      <c r="BD29" s="278"/>
      <c r="BE29" s="278"/>
      <c r="BF29" s="278"/>
      <c r="BG29" s="278"/>
      <c r="BH29" s="278"/>
      <c r="BI29" s="278"/>
      <c r="BJ29" s="278"/>
      <c r="BK29" s="278"/>
      <c r="BL29" s="278"/>
      <c r="BM29" s="278"/>
      <c r="BN29" s="278"/>
      <c r="BO29" s="278"/>
      <c r="BP29" s="278"/>
      <c r="BQ29" s="278"/>
      <c r="BR29" s="278"/>
      <c r="BS29" s="278"/>
      <c r="BT29" s="278"/>
      <c r="BU29" s="278"/>
      <c r="BV29" s="278"/>
      <c r="BW29" s="278"/>
      <c r="BX29" s="278"/>
      <c r="BY29" s="278"/>
      <c r="BZ29" s="278"/>
      <c r="CA29" s="278"/>
      <c r="CB29" s="278"/>
      <c r="CC29" s="278"/>
      <c r="CD29" s="278"/>
      <c r="CE29" s="278"/>
      <c r="CF29" s="278"/>
      <c r="CG29" s="278"/>
      <c r="CH29" s="278"/>
      <c r="CI29" s="278"/>
      <c r="CJ29" s="278"/>
      <c r="CK29" s="278"/>
      <c r="CN29" s="364" t="s">
        <v>690</v>
      </c>
    </row>
    <row r="30" spans="1:92" ht="11.25" customHeight="1" x14ac:dyDescent="0.2">
      <c r="C30" s="37" t="str">
        <f>'Lead PL'!C39</f>
        <v>Sonstige betriebliche Aufwendungen</v>
      </c>
      <c r="D30" s="37" t="str">
        <f>'Lead PL'!D39</f>
        <v>Other operating expenses</v>
      </c>
      <c r="E30" s="37"/>
      <c r="F30" s="36"/>
      <c r="G30" s="36"/>
      <c r="H30" s="36"/>
      <c r="I30" s="36"/>
      <c r="J30" s="36"/>
      <c r="K30" s="36"/>
      <c r="L30" s="36"/>
      <c r="M30" s="36"/>
      <c r="N30" s="36"/>
      <c r="O30" s="36"/>
      <c r="P30" s="36"/>
      <c r="Q30" s="36"/>
      <c r="R30" s="36">
        <f>-SUMIF('Trial Balance (Susa)'!$D:$D,"*"&amp;$CN30&amp;"*",'Trial Balance (Susa)'!K:K)/1000</f>
        <v>-53.365180000000002</v>
      </c>
      <c r="S30" s="36">
        <f>-SUMIF('Trial Balance (Susa)'!$D:$D,"*"&amp;$CN30&amp;"*",'Trial Balance (Susa)'!L:L)/1000-R30</f>
        <v>-57.934939999999976</v>
      </c>
      <c r="T30" s="36">
        <f>-SUMIF('Trial Balance (Susa)'!$D:$D,"*"&amp;$CN30&amp;"*",'Trial Balance (Susa)'!M:M)/1000-SUM($R30:S30)</f>
        <v>-96.566170000000071</v>
      </c>
      <c r="U30" s="36">
        <f>-SUMIF('Trial Balance (Susa)'!$D:$D,"*"&amp;$CN30&amp;"*",'Trial Balance (Susa)'!N:N)/1000-SUM($R30:T30)</f>
        <v>-140.67526999999995</v>
      </c>
      <c r="V30" s="36">
        <f>-SUMIF('Trial Balance (Susa)'!$D:$D,"*"&amp;$CN30&amp;"*",'Trial Balance (Susa)'!O:O)/1000-SUM($R30:U30)</f>
        <v>-50.509259999999927</v>
      </c>
      <c r="W30" s="36">
        <f>-SUMIF('Trial Balance (Susa)'!$D:$D,"*"&amp;$CN30&amp;"*",'Trial Balance (Susa)'!P:P)/1000-SUM($R30:V30)</f>
        <v>-100.6780700000001</v>
      </c>
      <c r="X30" s="36">
        <f>-SUMIF('Trial Balance (Susa)'!$D:$D,"*"&amp;$CN30&amp;"*",'Trial Balance (Susa)'!Q:Q)/1000-SUM($R30:W30)</f>
        <v>-72.258739999999818</v>
      </c>
      <c r="Y30" s="36">
        <f>-SUMIF('Trial Balance (Susa)'!$D:$D,"*"&amp;$CN30&amp;"*",'Trial Balance (Susa)'!R:R)/1000-SUM($R30:X30)</f>
        <v>-47.229490000000169</v>
      </c>
      <c r="Z30" s="36">
        <f>-SUMIF('Trial Balance (Susa)'!$D:$D,"*"&amp;$CN30&amp;"*",'Trial Balance (Susa)'!S:S)/1000-SUM($R30:Y30)</f>
        <v>-131.6340899999999</v>
      </c>
      <c r="AA30" s="36">
        <f>-SUMIF('Trial Balance (Susa)'!$D:$D,"*"&amp;$CN30&amp;"*",'Trial Balance (Susa)'!T:T)/1000-SUM($R30:Z30)</f>
        <v>-49.088909999999942</v>
      </c>
      <c r="AB30" s="36">
        <f>-SUMIF('Trial Balance (Susa)'!$D:$D,"*"&amp;$CN30&amp;"*",'Trial Balance (Susa)'!U:U)/1000-SUM($R30:AA30)</f>
        <v>-63.698989999999981</v>
      </c>
      <c r="AC30" s="36">
        <f>-SUMIF('Trial Balance (Susa)'!$D:$D,"*"&amp;$CN30&amp;"*",'Trial Balance (Susa)'!V:V)/1000-SUM($R30:AB30)</f>
        <v>-202.12346000000002</v>
      </c>
      <c r="AD30" s="36">
        <f>-SUMIF('Trial Balance (Susa)'!$D:$D,"*"&amp;$CN30&amp;"*",'Trial Balance (Susa)'!W:W)/1000</f>
        <v>-60.358390000000014</v>
      </c>
      <c r="AE30" s="36">
        <f>-SUMIF('Trial Balance (Susa)'!$D:$D,"*"&amp;$CN30&amp;"*",'Trial Balance (Susa)'!X:X)/1000-SUM($AD30:AD30)</f>
        <v>-149.04616000000001</v>
      </c>
      <c r="AF30" s="36">
        <f>-SUMIF('Trial Balance (Susa)'!$D:$D,"*"&amp;$CN30&amp;"*",'Trial Balance (Susa)'!Y:Y)/1000-SUM($AD30:AE30)</f>
        <v>-47.165459999999939</v>
      </c>
      <c r="AG30" s="36">
        <f>-SUMIF('Trial Balance (Susa)'!$D:$D,"*"&amp;$CN30&amp;"*",'Trial Balance (Susa)'!Z:Z)/1000-SUM($AD30:AF30)</f>
        <v>-67.806860000000029</v>
      </c>
      <c r="AH30" s="36">
        <f>-SUMIF('Trial Balance (Susa)'!$D:$D,"*"&amp;$CN30&amp;"*",'Trial Balance (Susa)'!AA:AA)/1000-SUM($AD30:AG30)</f>
        <v>-166.42185999999998</v>
      </c>
      <c r="AI30" s="36">
        <f>-SUMIF('Trial Balance (Susa)'!$D:$D,"*"&amp;$CN30&amp;"*",'Trial Balance (Susa)'!AB:AB)/1000-SUM($AD30:AH30)</f>
        <v>-59.657579999999939</v>
      </c>
      <c r="AJ30" s="36">
        <f>-SUMIF('Trial Balance (Susa)'!$D:$D,"*"&amp;$CN30&amp;"*",'Trial Balance (Susa)'!AC:AC)/1000-SUM($AD30:AI30)</f>
        <v>-79.590120000000184</v>
      </c>
      <c r="AK30" s="36">
        <f>-SUMIF('Trial Balance (Susa)'!$D:$D,"*"&amp;$CN30&amp;"*",'Trial Balance (Susa)'!AD:AD)/1000-SUM($AD30:AJ30)</f>
        <v>-57.457599999999843</v>
      </c>
      <c r="AL30" s="36">
        <f>-SUMIF('Trial Balance (Susa)'!$D:$D,"*"&amp;$CN30&amp;"*",'Trial Balance (Susa)'!AE:AE)/1000-SUM($AD30:AK30)</f>
        <v>-49.332899999999881</v>
      </c>
      <c r="AM30" s="36">
        <f>-SUMIF('Trial Balance (Susa)'!$D:$D,"*"&amp;$CN30&amp;"*",'Trial Balance (Susa)'!AF:AF)/1000-SUM($AD30:AL30)</f>
        <v>-396.44955999999991</v>
      </c>
      <c r="AN30" s="36">
        <f>-SUMIF('Trial Balance (Susa)'!$D:$D,"*"&amp;$CN30&amp;"*",'Trial Balance (Susa)'!AG:AG)/1000-SUM($AD30:AM30)</f>
        <v>-51.111169999999902</v>
      </c>
      <c r="AO30" s="36">
        <f>-SUMIF('Trial Balance (Susa)'!$D:$D,"*"&amp;$CN30&amp;"*",'Trial Balance (Susa)'!AH:AH)/1000-SUM($AD30:AN30)</f>
        <v>-82.822720000000345</v>
      </c>
      <c r="AP30" s="36">
        <f>-SUMIF('Trial Balance (Susa)'!$D:$D,"*"&amp;$CN30&amp;"*",'Trial Balance (Susa)'!AI:AI)/1000</f>
        <v>-125.08194000000002</v>
      </c>
      <c r="AQ30" s="36">
        <f>-SUMIF('Trial Balance (Susa)'!$D:$D,"*"&amp;$CN30&amp;"*",'Trial Balance (Susa)'!AJ:AJ)/1000-SUM($AP30:AP30)</f>
        <v>-45.365419999999958</v>
      </c>
      <c r="AR30" s="36">
        <f>-SUMIF('Trial Balance (Susa)'!$D:$D,"*"&amp;$CN30&amp;"*",'Trial Balance (Susa)'!AK:AK)/1000-SUM($AP30:AQ30)</f>
        <v>-87.637190000000004</v>
      </c>
      <c r="AS30" s="36">
        <f>-SUMIF('Trial Balance (Susa)'!$D:$D,"*"&amp;$CN30&amp;"*",'Trial Balance (Susa)'!AL:AL)/1000-SUM($AP30:AR30)</f>
        <v>-48.618449999999939</v>
      </c>
      <c r="AT30" s="36">
        <f>-SUMIF('Trial Balance (Susa)'!$D:$D,"*"&amp;$CN30&amp;"*",'Trial Balance (Susa)'!AM:AM)/1000-SUM($AP30:AS30)</f>
        <v>-180.46204000000012</v>
      </c>
      <c r="AU30" s="36">
        <f>-SUMIF('Trial Balance (Susa)'!$D:$D,"*"&amp;$CN30&amp;"*",'Trial Balance (Susa)'!AN:AN)/1000-SUM($AP30:AT30)</f>
        <v>-66.555179999999893</v>
      </c>
      <c r="AV30" s="36">
        <f>-SUMIF('Trial Balance (Susa)'!$D:$D,"*"&amp;$CN30&amp;"*",'Trial Balance (Susa)'!AO:AO)/1000-SUM($AP30:AU30)</f>
        <v>-118.45759999999996</v>
      </c>
      <c r="AW30" s="36">
        <f>-SUMIF('Trial Balance (Susa)'!$D:$D,"*"&amp;$CN30&amp;"*",'Trial Balance (Susa)'!AP:AP)/1000-SUM($AP30:AV30)</f>
        <v>-38.60828000000015</v>
      </c>
      <c r="AX30" s="36">
        <f>-SUMIF('Trial Balance (Susa)'!$D:$D,"*"&amp;$CN30&amp;"*",'Trial Balance (Susa)'!AQ:AQ)/1000-SUM($AP30:AW30)</f>
        <v>-66.420790000000011</v>
      </c>
      <c r="AY30" s="36">
        <f>-SUMIF('Trial Balance (Susa)'!$D:$D,"*"&amp;$CN30&amp;"*",'Trial Balance (Susa)'!AR:AR)/1000-SUM($AP30:AX30)</f>
        <v>-148.05082999999979</v>
      </c>
      <c r="AZ30" s="36">
        <f>-SUMIF('Trial Balance (Susa)'!$D:$D,"*"&amp;$CN30&amp;"*",'Trial Balance (Susa)'!AS:AS)/1000-SUM($AP30:AY30)</f>
        <v>-164.47605000000021</v>
      </c>
      <c r="BA30" s="36">
        <f>-SUMIF('Trial Balance (Susa)'!$D:$D,"*"&amp;$CN30&amp;"*",'Trial Balance (Susa)'!AT:AT)/1000-SUM($AP30:AZ30)</f>
        <v>-136.68808999999987</v>
      </c>
      <c r="BB30" s="278"/>
      <c r="BC30" s="278"/>
      <c r="BD30" s="278"/>
      <c r="BE30" s="278"/>
      <c r="BF30" s="278"/>
      <c r="BG30" s="278"/>
      <c r="BH30" s="278"/>
      <c r="BI30" s="278"/>
      <c r="BJ30" s="278"/>
      <c r="BK30" s="278"/>
      <c r="BL30" s="278"/>
      <c r="BM30" s="278"/>
      <c r="BN30" s="278"/>
      <c r="BO30" s="278"/>
      <c r="BP30" s="278"/>
      <c r="BQ30" s="278"/>
      <c r="BR30" s="278"/>
      <c r="BS30" s="278"/>
      <c r="BT30" s="278"/>
      <c r="BU30" s="278"/>
      <c r="BV30" s="278"/>
      <c r="BW30" s="278"/>
      <c r="BX30" s="278"/>
      <c r="BY30" s="278"/>
      <c r="BZ30" s="278"/>
      <c r="CA30" s="278"/>
      <c r="CB30" s="278"/>
      <c r="CC30" s="278"/>
      <c r="CD30" s="278"/>
      <c r="CE30" s="278"/>
      <c r="CF30" s="278"/>
      <c r="CG30" s="278"/>
      <c r="CH30" s="278"/>
      <c r="CI30" s="278"/>
      <c r="CJ30" s="278"/>
      <c r="CK30" s="278"/>
      <c r="CN30" s="364" t="s">
        <v>1352</v>
      </c>
    </row>
    <row r="31" spans="1:92" ht="11.25" hidden="1" customHeight="1" outlineLevel="1" x14ac:dyDescent="0.2">
      <c r="A31" s="1" t="s">
        <v>806</v>
      </c>
      <c r="C31" s="37" t="str">
        <f>'Lead PL'!C40</f>
        <v>Dummy 1</v>
      </c>
      <c r="D31" s="37" t="str">
        <f>'Lead PL'!D40</f>
        <v>Dummy 1</v>
      </c>
      <c r="E31" s="37"/>
      <c r="F31" s="36"/>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278"/>
      <c r="AV31" s="278"/>
      <c r="AW31" s="278"/>
      <c r="AX31" s="278"/>
      <c r="AY31" s="278"/>
      <c r="AZ31" s="278"/>
      <c r="BA31" s="278"/>
      <c r="BB31" s="278"/>
      <c r="BC31" s="278"/>
      <c r="BD31" s="278"/>
      <c r="BE31" s="278"/>
      <c r="BF31" s="278"/>
      <c r="BG31" s="278"/>
      <c r="BH31" s="278"/>
      <c r="BI31" s="278"/>
      <c r="BJ31" s="278"/>
      <c r="BK31" s="278"/>
      <c r="BL31" s="278"/>
      <c r="BM31" s="278"/>
      <c r="BN31" s="278"/>
      <c r="BO31" s="278"/>
      <c r="BP31" s="278"/>
      <c r="BQ31" s="278"/>
      <c r="BR31" s="278"/>
      <c r="BS31" s="278"/>
      <c r="BT31" s="278"/>
      <c r="BU31" s="278"/>
      <c r="BV31" s="278"/>
      <c r="BW31" s="278"/>
      <c r="BX31" s="278"/>
      <c r="BY31" s="278"/>
      <c r="BZ31" s="278"/>
      <c r="CA31" s="278"/>
      <c r="CB31" s="278"/>
      <c r="CC31" s="278"/>
      <c r="CD31" s="278"/>
      <c r="CE31" s="278"/>
      <c r="CF31" s="278"/>
      <c r="CG31" s="278"/>
      <c r="CH31" s="278"/>
      <c r="CI31" s="278"/>
      <c r="CJ31" s="278"/>
      <c r="CK31" s="278"/>
      <c r="CN31" s="364"/>
    </row>
    <row r="32" spans="1:92" ht="11.25" hidden="1" customHeight="1" outlineLevel="1" x14ac:dyDescent="0.2">
      <c r="C32" s="37" t="str">
        <f>'Lead PL'!C41</f>
        <v>Dummy 2</v>
      </c>
      <c r="D32" s="37" t="str">
        <f>'Lead PL'!D41</f>
        <v>Dummy 2</v>
      </c>
      <c r="E32" s="37"/>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278"/>
      <c r="AV32" s="278"/>
      <c r="AW32" s="278"/>
      <c r="AX32" s="278"/>
      <c r="AY32" s="278"/>
      <c r="AZ32" s="278"/>
      <c r="BA32" s="278"/>
      <c r="BB32" s="278"/>
      <c r="BC32" s="278"/>
      <c r="BD32" s="278"/>
      <c r="BE32" s="278"/>
      <c r="BF32" s="278"/>
      <c r="BG32" s="278"/>
      <c r="BH32" s="278"/>
      <c r="BI32" s="278"/>
      <c r="BJ32" s="278"/>
      <c r="BK32" s="278"/>
      <c r="BL32" s="278"/>
      <c r="BM32" s="278"/>
      <c r="BN32" s="278"/>
      <c r="BO32" s="278"/>
      <c r="BP32" s="278"/>
      <c r="BQ32" s="278"/>
      <c r="BR32" s="278"/>
      <c r="BS32" s="278"/>
      <c r="BT32" s="278"/>
      <c r="BU32" s="278"/>
      <c r="BV32" s="278"/>
      <c r="BW32" s="278"/>
      <c r="BX32" s="278"/>
      <c r="BY32" s="278"/>
      <c r="BZ32" s="278"/>
      <c r="CA32" s="278"/>
      <c r="CB32" s="278"/>
      <c r="CC32" s="278"/>
      <c r="CD32" s="278"/>
      <c r="CE32" s="278"/>
      <c r="CF32" s="278"/>
      <c r="CG32" s="278"/>
      <c r="CH32" s="278"/>
      <c r="CI32" s="278"/>
      <c r="CJ32" s="278"/>
      <c r="CK32" s="278"/>
      <c r="CN32" s="364"/>
    </row>
    <row r="33" spans="3:92" ht="11.25" hidden="1" customHeight="1" outlineLevel="1" x14ac:dyDescent="0.2">
      <c r="C33" s="37" t="str">
        <f>'Lead PL'!C42</f>
        <v>Dummy 3</v>
      </c>
      <c r="D33" s="37" t="str">
        <f>'Lead PL'!D42</f>
        <v>Dummy 3</v>
      </c>
      <c r="E33" s="3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5"/>
      <c r="AV33" s="125"/>
      <c r="AW33" s="125"/>
      <c r="AX33" s="125"/>
      <c r="AY33" s="125"/>
      <c r="AZ33" s="125"/>
      <c r="BA33" s="125"/>
      <c r="BB33" s="125"/>
      <c r="BC33" s="125"/>
      <c r="BD33" s="125"/>
      <c r="BE33" s="125"/>
      <c r="BF33" s="125"/>
      <c r="BG33" s="125"/>
      <c r="BH33" s="125"/>
      <c r="BI33" s="125"/>
      <c r="BJ33" s="125"/>
      <c r="BK33" s="125"/>
      <c r="BL33" s="125"/>
      <c r="BM33" s="125"/>
      <c r="BN33" s="125"/>
      <c r="BO33" s="125"/>
      <c r="BP33" s="125"/>
      <c r="BQ33" s="125"/>
      <c r="BR33" s="125"/>
      <c r="BS33" s="125"/>
      <c r="BT33" s="125"/>
      <c r="BU33" s="125"/>
      <c r="BV33" s="125"/>
      <c r="BW33" s="125"/>
      <c r="BX33" s="125"/>
      <c r="BY33" s="125"/>
      <c r="BZ33" s="125"/>
      <c r="CA33" s="125"/>
      <c r="CB33" s="125"/>
      <c r="CC33" s="125"/>
      <c r="CD33" s="125"/>
      <c r="CE33" s="125"/>
      <c r="CF33" s="125"/>
      <c r="CG33" s="125"/>
      <c r="CH33" s="125"/>
      <c r="CI33" s="125"/>
      <c r="CJ33" s="125"/>
      <c r="CK33" s="125"/>
      <c r="CN33" s="364"/>
    </row>
    <row r="34" spans="3:92" ht="11.25" customHeight="1" collapsed="1" x14ac:dyDescent="0.2">
      <c r="C34" s="141" t="str">
        <f>'Lead PL'!C43</f>
        <v>EBITDA</v>
      </c>
      <c r="D34" s="141" t="str">
        <f>'Lead PL'!D43</f>
        <v>EBITDA</v>
      </c>
      <c r="E34" s="141"/>
      <c r="F34" s="141">
        <f t="shared" ref="F34:AK34" si="5">SUM(F20:F33)</f>
        <v>0</v>
      </c>
      <c r="G34" s="141">
        <f t="shared" si="5"/>
        <v>0</v>
      </c>
      <c r="H34" s="141">
        <f t="shared" si="5"/>
        <v>0</v>
      </c>
      <c r="I34" s="141">
        <f t="shared" si="5"/>
        <v>0</v>
      </c>
      <c r="J34" s="141">
        <f t="shared" si="5"/>
        <v>0</v>
      </c>
      <c r="K34" s="141">
        <f t="shared" si="5"/>
        <v>0</v>
      </c>
      <c r="L34" s="141">
        <f t="shared" si="5"/>
        <v>0</v>
      </c>
      <c r="M34" s="141">
        <f t="shared" si="5"/>
        <v>0</v>
      </c>
      <c r="N34" s="141">
        <f t="shared" si="5"/>
        <v>0</v>
      </c>
      <c r="O34" s="141">
        <f t="shared" si="5"/>
        <v>0</v>
      </c>
      <c r="P34" s="141">
        <f t="shared" si="5"/>
        <v>0</v>
      </c>
      <c r="Q34" s="141">
        <f t="shared" si="5"/>
        <v>0</v>
      </c>
      <c r="R34" s="141">
        <f t="shared" si="5"/>
        <v>0.25384999999987912</v>
      </c>
      <c r="S34" s="141">
        <f t="shared" si="5"/>
        <v>-74.515919999999809</v>
      </c>
      <c r="T34" s="141">
        <f t="shared" si="5"/>
        <v>-4.6024500000000188</v>
      </c>
      <c r="U34" s="141">
        <f t="shared" si="5"/>
        <v>156.3281000000012</v>
      </c>
      <c r="V34" s="141">
        <f t="shared" si="5"/>
        <v>-159.39385000000175</v>
      </c>
      <c r="W34" s="141">
        <f t="shared" si="5"/>
        <v>872.9632299999987</v>
      </c>
      <c r="X34" s="141">
        <f t="shared" si="5"/>
        <v>36.343970000002798</v>
      </c>
      <c r="Y34" s="141">
        <f t="shared" si="5"/>
        <v>447.67676000000006</v>
      </c>
      <c r="Z34" s="141">
        <f t="shared" si="5"/>
        <v>48.918169999996991</v>
      </c>
      <c r="AA34" s="141">
        <f t="shared" si="5"/>
        <v>46.387630000004435</v>
      </c>
      <c r="AB34" s="141">
        <f t="shared" si="5"/>
        <v>397.54517999999797</v>
      </c>
      <c r="AC34" s="141">
        <f t="shared" si="5"/>
        <v>-172.74468000000044</v>
      </c>
      <c r="AD34" s="141">
        <f t="shared" si="5"/>
        <v>197.52336</v>
      </c>
      <c r="AE34" s="141">
        <f t="shared" si="5"/>
        <v>309.14468999999974</v>
      </c>
      <c r="AF34" s="141">
        <f t="shared" si="5"/>
        <v>516.82965000000058</v>
      </c>
      <c r="AG34" s="141">
        <f t="shared" si="5"/>
        <v>135.94448999999958</v>
      </c>
      <c r="AH34" s="141">
        <f t="shared" si="5"/>
        <v>48.992050000000518</v>
      </c>
      <c r="AI34" s="141">
        <f t="shared" si="5"/>
        <v>-185.45424999999986</v>
      </c>
      <c r="AJ34" s="141">
        <f t="shared" si="5"/>
        <v>-776.24684999999761</v>
      </c>
      <c r="AK34" s="141">
        <f t="shared" si="5"/>
        <v>237.26090000000158</v>
      </c>
      <c r="AL34" s="141">
        <f t="shared" ref="AL34:BQ34" si="6">SUM(AL20:AL33)</f>
        <v>-250.7294400000026</v>
      </c>
      <c r="AM34" s="141">
        <f t="shared" si="6"/>
        <v>100.7898600000006</v>
      </c>
      <c r="AN34" s="141">
        <f t="shared" si="6"/>
        <v>233.32284999999717</v>
      </c>
      <c r="AO34" s="141">
        <f t="shared" si="6"/>
        <v>1192.963460000002</v>
      </c>
      <c r="AP34" s="141">
        <f t="shared" si="6"/>
        <v>136.71657999999979</v>
      </c>
      <c r="AQ34" s="141">
        <f t="shared" si="6"/>
        <v>129.18453000000011</v>
      </c>
      <c r="AR34" s="141">
        <f t="shared" si="6"/>
        <v>-64.843730000000406</v>
      </c>
      <c r="AS34" s="141">
        <f t="shared" si="6"/>
        <v>150.59123000000099</v>
      </c>
      <c r="AT34" s="141">
        <f t="shared" si="6"/>
        <v>171.92539999999866</v>
      </c>
      <c r="AU34" s="379">
        <f t="shared" si="6"/>
        <v>256.33793999999949</v>
      </c>
      <c r="AV34" s="379">
        <f t="shared" si="6"/>
        <v>-14.94471999999999</v>
      </c>
      <c r="AW34" s="379">
        <f t="shared" si="6"/>
        <v>475.2158299999993</v>
      </c>
      <c r="AX34" s="379">
        <f t="shared" si="6"/>
        <v>195.76247000000251</v>
      </c>
      <c r="AY34" s="379">
        <f t="shared" si="6"/>
        <v>221.23081000000326</v>
      </c>
      <c r="AZ34" s="379">
        <f t="shared" si="6"/>
        <v>-127.0971200000041</v>
      </c>
      <c r="BA34" s="379">
        <f t="shared" si="6"/>
        <v>-213.59515999999491</v>
      </c>
      <c r="BB34" s="379">
        <f t="shared" si="6"/>
        <v>0</v>
      </c>
      <c r="BC34" s="379">
        <f t="shared" si="6"/>
        <v>0</v>
      </c>
      <c r="BD34" s="379">
        <f t="shared" si="6"/>
        <v>0</v>
      </c>
      <c r="BE34" s="379">
        <f t="shared" si="6"/>
        <v>0</v>
      </c>
      <c r="BF34" s="379">
        <f t="shared" si="6"/>
        <v>0</v>
      </c>
      <c r="BG34" s="379">
        <f t="shared" si="6"/>
        <v>0</v>
      </c>
      <c r="BH34" s="379">
        <f t="shared" si="6"/>
        <v>0</v>
      </c>
      <c r="BI34" s="379">
        <f t="shared" si="6"/>
        <v>0</v>
      </c>
      <c r="BJ34" s="379">
        <f t="shared" si="6"/>
        <v>0</v>
      </c>
      <c r="BK34" s="379">
        <f t="shared" si="6"/>
        <v>0</v>
      </c>
      <c r="BL34" s="379">
        <f t="shared" si="6"/>
        <v>0</v>
      </c>
      <c r="BM34" s="379">
        <f t="shared" si="6"/>
        <v>0</v>
      </c>
      <c r="BN34" s="379">
        <f t="shared" si="6"/>
        <v>0</v>
      </c>
      <c r="BO34" s="379">
        <f t="shared" si="6"/>
        <v>0</v>
      </c>
      <c r="BP34" s="379">
        <f t="shared" si="6"/>
        <v>0</v>
      </c>
      <c r="BQ34" s="379">
        <f t="shared" si="6"/>
        <v>0</v>
      </c>
      <c r="BR34" s="379">
        <f t="shared" ref="BR34:CK34" si="7">SUM(BR20:BR33)</f>
        <v>0</v>
      </c>
      <c r="BS34" s="379">
        <f t="shared" si="7"/>
        <v>0</v>
      </c>
      <c r="BT34" s="379">
        <f t="shared" si="7"/>
        <v>0</v>
      </c>
      <c r="BU34" s="379">
        <f t="shared" si="7"/>
        <v>0</v>
      </c>
      <c r="BV34" s="379">
        <f t="shared" si="7"/>
        <v>0</v>
      </c>
      <c r="BW34" s="379">
        <f t="shared" si="7"/>
        <v>0</v>
      </c>
      <c r="BX34" s="379">
        <f t="shared" si="7"/>
        <v>0</v>
      </c>
      <c r="BY34" s="379">
        <f t="shared" si="7"/>
        <v>0</v>
      </c>
      <c r="BZ34" s="379">
        <f t="shared" si="7"/>
        <v>0</v>
      </c>
      <c r="CA34" s="379">
        <f t="shared" si="7"/>
        <v>0</v>
      </c>
      <c r="CB34" s="379">
        <f t="shared" si="7"/>
        <v>0</v>
      </c>
      <c r="CC34" s="379">
        <f t="shared" si="7"/>
        <v>0</v>
      </c>
      <c r="CD34" s="379">
        <f t="shared" si="7"/>
        <v>0</v>
      </c>
      <c r="CE34" s="379">
        <f t="shared" si="7"/>
        <v>0</v>
      </c>
      <c r="CF34" s="379">
        <f t="shared" si="7"/>
        <v>0</v>
      </c>
      <c r="CG34" s="379">
        <f t="shared" si="7"/>
        <v>0</v>
      </c>
      <c r="CH34" s="379">
        <f t="shared" si="7"/>
        <v>0</v>
      </c>
      <c r="CI34" s="379">
        <f t="shared" si="7"/>
        <v>0</v>
      </c>
      <c r="CJ34" s="379">
        <f t="shared" si="7"/>
        <v>0</v>
      </c>
      <c r="CK34" s="379">
        <f t="shared" si="7"/>
        <v>0</v>
      </c>
    </row>
    <row r="35" spans="3:92" ht="11.25" customHeight="1" x14ac:dyDescent="0.2">
      <c r="C35" s="37" t="str">
        <f>'Lead PL'!C44</f>
        <v>Abschreibungen</v>
      </c>
      <c r="D35" s="37" t="str">
        <f>'Lead PL'!D44</f>
        <v>Depreciation</v>
      </c>
      <c r="E35" s="37"/>
      <c r="F35" s="36"/>
      <c r="G35" s="36"/>
      <c r="H35" s="36"/>
      <c r="I35" s="36"/>
      <c r="J35" s="36"/>
      <c r="K35" s="36"/>
      <c r="L35" s="36"/>
      <c r="M35" s="36"/>
      <c r="N35" s="36"/>
      <c r="O35" s="36"/>
      <c r="P35" s="36"/>
      <c r="Q35" s="36"/>
      <c r="R35" s="36">
        <f>-SUMIF('Trial Balance (Susa)'!$D:$D,"*"&amp;$CN35&amp;"*",'Trial Balance (Susa)'!K:K)/1000</f>
        <v>-28.708449999999996</v>
      </c>
      <c r="S35" s="36">
        <f>-SUMIF('Trial Balance (Susa)'!$D:$D,"*"&amp;$CN35&amp;"*",'Trial Balance (Susa)'!L:L)/1000-R35</f>
        <v>-27.820950000000007</v>
      </c>
      <c r="T35" s="36">
        <f>-SUMIF('Trial Balance (Susa)'!$D:$D,"*"&amp;$CN35&amp;"*",'Trial Balance (Susa)'!M:M)/1000-SUM($R35:S35)</f>
        <v>-28.93533</v>
      </c>
      <c r="U35" s="36">
        <f>-SUMIF('Trial Balance (Susa)'!$D:$D,"*"&amp;$CN35&amp;"*",'Trial Balance (Susa)'!N:N)/1000-SUM($R35:T35)</f>
        <v>-29.021429999999995</v>
      </c>
      <c r="V35" s="36">
        <f>-SUMIF('Trial Balance (Susa)'!$D:$D,"*"&amp;$CN35&amp;"*",'Trial Balance (Susa)'!O:O)/1000-SUM($R35:U35)</f>
        <v>-22.722189999999998</v>
      </c>
      <c r="W35" s="36">
        <f>-SUMIF('Trial Balance (Susa)'!$D:$D,"*"&amp;$CN35&amp;"*",'Trial Balance (Susa)'!P:P)/1000-SUM($R35:V35)</f>
        <v>-26.224770000000035</v>
      </c>
      <c r="X35" s="36">
        <f>-SUMIF('Trial Balance (Susa)'!$D:$D,"*"&amp;$CN35&amp;"*",'Trial Balance (Susa)'!Q:Q)/1000-SUM($R35:W35)</f>
        <v>-27.947169999999971</v>
      </c>
      <c r="Y35" s="36">
        <f>-SUMIF('Trial Balance (Susa)'!$D:$D,"*"&amp;$CN35&amp;"*",'Trial Balance (Susa)'!R:R)/1000-SUM($R35:X35)</f>
        <v>-26.012220000000013</v>
      </c>
      <c r="Z35" s="36">
        <f>-SUMIF('Trial Balance (Susa)'!$D:$D,"*"&amp;$CN35&amp;"*",'Trial Balance (Susa)'!S:S)/1000-SUM($R35:Y35)</f>
        <v>-25.652780000000035</v>
      </c>
      <c r="AA35" s="36">
        <f>-SUMIF('Trial Balance (Susa)'!$D:$D,"*"&amp;$CN35&amp;"*",'Trial Balance (Susa)'!T:T)/1000-SUM($R35:Z35)</f>
        <v>-26.497729999999905</v>
      </c>
      <c r="AB35" s="36">
        <f>-SUMIF('Trial Balance (Susa)'!$D:$D,"*"&amp;$CN35&amp;"*",'Trial Balance (Susa)'!U:U)/1000-SUM($R35:AA35)</f>
        <v>-29.045089999999959</v>
      </c>
      <c r="AC35" s="36">
        <f>-SUMIF('Trial Balance (Susa)'!$D:$D,"*"&amp;$CN35&amp;"*",'Trial Balance (Susa)'!V:V)/1000-SUM($R35:AB35)</f>
        <v>-26.051810000000046</v>
      </c>
      <c r="AD35" s="36">
        <f>-SUMIF('Trial Balance (Susa)'!$D:$D,"*"&amp;$CN35&amp;"*",'Trial Balance (Susa)'!W:W)/1000</f>
        <v>-23.590169999999997</v>
      </c>
      <c r="AE35" s="36">
        <f>-SUMIF('Trial Balance (Susa)'!$D:$D,"*"&amp;$CN35&amp;"*",'Trial Balance (Susa)'!X:X)/1000-SUM($AD35:AD35)</f>
        <v>-24.429050000000007</v>
      </c>
      <c r="AF35" s="36">
        <f>-SUMIF('Trial Balance (Susa)'!$D:$D,"*"&amp;$CN35&amp;"*",'Trial Balance (Susa)'!Y:Y)/1000-SUM($AD35:AE35)</f>
        <v>-23.335889999999992</v>
      </c>
      <c r="AG35" s="36">
        <f>-SUMIF('Trial Balance (Susa)'!$D:$D,"*"&amp;$CN35&amp;"*",'Trial Balance (Susa)'!Z:Z)/1000-SUM($AD35:AF35)</f>
        <v>-27.027619999999999</v>
      </c>
      <c r="AH35" s="36">
        <f>-SUMIF('Trial Balance (Susa)'!$D:$D,"*"&amp;$CN35&amp;"*",'Trial Balance (Susa)'!AA:AA)/1000-SUM($AD35:AG35)</f>
        <v>-26.054109999999994</v>
      </c>
      <c r="AI35" s="36">
        <f>-SUMIF('Trial Balance (Susa)'!$D:$D,"*"&amp;$CN35&amp;"*",'Trial Balance (Susa)'!AB:AB)/1000-SUM($AD35:AH35)</f>
        <v>-25.285330000000016</v>
      </c>
      <c r="AJ35" s="36">
        <f>-SUMIF('Trial Balance (Susa)'!$D:$D,"*"&amp;$CN35&amp;"*",'Trial Balance (Susa)'!AC:AC)/1000-SUM($AD35:AI35)</f>
        <v>-27.546130000000005</v>
      </c>
      <c r="AK35" s="36">
        <f>-SUMIF('Trial Balance (Susa)'!$D:$D,"*"&amp;$CN35&amp;"*",'Trial Balance (Susa)'!AD:AD)/1000-SUM($AD35:AJ35)</f>
        <v>-26.184480000000008</v>
      </c>
      <c r="AL35" s="36">
        <f>-SUMIF('Trial Balance (Susa)'!$D:$D,"*"&amp;$CN35&amp;"*",'Trial Balance (Susa)'!AE:AE)/1000-SUM($AD35:AK35)</f>
        <v>-25.84908999999999</v>
      </c>
      <c r="AM35" s="36">
        <f>-SUMIF('Trial Balance (Susa)'!$D:$D,"*"&amp;$CN35&amp;"*",'Trial Balance (Susa)'!AF:AF)/1000-SUM($AD35:AL35)</f>
        <v>-27.391099999999994</v>
      </c>
      <c r="AN35" s="36">
        <f>-SUMIF('Trial Balance (Susa)'!$D:$D,"*"&amp;$CN35&amp;"*",'Trial Balance (Susa)'!AG:AG)/1000-SUM($AD35:AM35)</f>
        <v>-32.89757000000003</v>
      </c>
      <c r="AO35" s="36">
        <f>-SUMIF('Trial Balance (Susa)'!$D:$D,"*"&amp;$CN35&amp;"*",'Trial Balance (Susa)'!AH:AH)/1000-SUM($AD35:AN35)</f>
        <v>-26.129169999999988</v>
      </c>
      <c r="AP35" s="36">
        <f>-SUMIF('Trial Balance (Susa)'!$D:$D,"*"&amp;$CN35&amp;"*",'Trial Balance (Susa)'!AI:AI)/1000</f>
        <v>-24.37548</v>
      </c>
      <c r="AQ35" s="36">
        <f>-SUMIF('Trial Balance (Susa)'!$D:$D,"*"&amp;$CN35&amp;"*",'Trial Balance (Susa)'!AJ:AJ)/1000-SUM($AP35:AP35)</f>
        <v>-23.781510000000008</v>
      </c>
      <c r="AR35" s="36">
        <f>-SUMIF('Trial Balance (Susa)'!$D:$D,"*"&amp;$CN35&amp;"*",'Trial Balance (Susa)'!AK:AK)/1000-SUM($AP35:AQ35)</f>
        <v>-25.177669999999978</v>
      </c>
      <c r="AS35" s="36">
        <f>-SUMIF('Trial Balance (Susa)'!$D:$D,"*"&amp;$CN35&amp;"*",'Trial Balance (Susa)'!AL:AL)/1000-SUM($AP35:AR35)</f>
        <v>-23.170520000000025</v>
      </c>
      <c r="AT35" s="36">
        <f>-SUMIF('Trial Balance (Susa)'!$D:$D,"*"&amp;$CN35&amp;"*",'Trial Balance (Susa)'!AM:AM)/1000-SUM($AP35:AS35)</f>
        <v>-22.703800000000001</v>
      </c>
      <c r="AU35" s="36">
        <f>-SUMIF('Trial Balance (Susa)'!$D:$D,"*"&amp;$CN35&amp;"*",'Trial Balance (Susa)'!AN:AN)/1000-SUM($AP35:AT35)</f>
        <v>-23.442089999999993</v>
      </c>
      <c r="AV35" s="36">
        <f>-SUMIF('Trial Balance (Susa)'!$D:$D,"*"&amp;$CN35&amp;"*",'Trial Balance (Susa)'!AO:AO)/1000-SUM($AP35:AU35)</f>
        <v>-21.865249999999975</v>
      </c>
      <c r="AW35" s="36">
        <f>-SUMIF('Trial Balance (Susa)'!$D:$D,"*"&amp;$CN35&amp;"*",'Trial Balance (Susa)'!AP:AP)/1000-SUM($AP35:AV35)</f>
        <v>-22.06504000000001</v>
      </c>
      <c r="AX35" s="36">
        <f>-SUMIF('Trial Balance (Susa)'!$D:$D,"*"&amp;$CN35&amp;"*",'Trial Balance (Susa)'!AQ:AQ)/1000-SUM($AP35:AW35)</f>
        <v>-21.836600000000004</v>
      </c>
      <c r="AY35" s="36">
        <f>-SUMIF('Trial Balance (Susa)'!$D:$D,"*"&amp;$CN35&amp;"*",'Trial Balance (Susa)'!AR:AR)/1000-SUM($AP35:AX35)</f>
        <v>-20.159429999999986</v>
      </c>
      <c r="AZ35" s="36">
        <f>-SUMIF('Trial Balance (Susa)'!$D:$D,"*"&amp;$CN35&amp;"*",'Trial Balance (Susa)'!AS:AS)/1000-SUM($AP35:AY35)</f>
        <v>-19.890980000000013</v>
      </c>
      <c r="BA35" s="36">
        <f>-SUMIF('Trial Balance (Susa)'!$D:$D,"*"&amp;$CN35&amp;"*",'Trial Balance (Susa)'!AT:AT)/1000-SUM($AP35:AZ35)</f>
        <v>-20.314130000000034</v>
      </c>
      <c r="BB35" s="278"/>
      <c r="BC35" s="278"/>
      <c r="BD35" s="278"/>
      <c r="BE35" s="278"/>
      <c r="BF35" s="278"/>
      <c r="BG35" s="278"/>
      <c r="BH35" s="278"/>
      <c r="BI35" s="278"/>
      <c r="BJ35" s="278"/>
      <c r="BK35" s="278"/>
      <c r="BL35" s="278"/>
      <c r="BM35" s="278"/>
      <c r="BN35" s="278"/>
      <c r="BO35" s="278"/>
      <c r="BP35" s="278"/>
      <c r="BQ35" s="278"/>
      <c r="BR35" s="278"/>
      <c r="BS35" s="278"/>
      <c r="BT35" s="278"/>
      <c r="BU35" s="278"/>
      <c r="BV35" s="278"/>
      <c r="BW35" s="278"/>
      <c r="BX35" s="278"/>
      <c r="BY35" s="278"/>
      <c r="BZ35" s="278"/>
      <c r="CA35" s="278"/>
      <c r="CB35" s="278"/>
      <c r="CC35" s="278"/>
      <c r="CD35" s="278"/>
      <c r="CE35" s="278"/>
      <c r="CF35" s="278"/>
      <c r="CG35" s="278"/>
      <c r="CH35" s="278"/>
      <c r="CI35" s="278"/>
      <c r="CJ35" s="278"/>
      <c r="CK35" s="278"/>
      <c r="CN35" s="364" t="s">
        <v>695</v>
      </c>
    </row>
    <row r="36" spans="3:92" ht="11.25" hidden="1" customHeight="1" outlineLevel="2" x14ac:dyDescent="0.2">
      <c r="C36" s="37" t="str">
        <f>'Lead PL'!C45</f>
        <v>Dummy 1</v>
      </c>
      <c r="D36" s="37" t="str">
        <f>'Lead PL'!D45</f>
        <v>Dummy 1</v>
      </c>
      <c r="E36" s="37"/>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278"/>
      <c r="AV36" s="278"/>
      <c r="AW36" s="278"/>
      <c r="AX36" s="278"/>
      <c r="AY36" s="278"/>
      <c r="AZ36" s="278"/>
      <c r="BA36" s="278"/>
      <c r="BB36" s="278"/>
      <c r="BC36" s="278"/>
      <c r="BD36" s="278"/>
      <c r="BE36" s="278"/>
      <c r="BF36" s="278"/>
      <c r="BG36" s="278"/>
      <c r="BH36" s="278"/>
      <c r="BI36" s="278"/>
      <c r="BJ36" s="278"/>
      <c r="BK36" s="278"/>
      <c r="BL36" s="278"/>
      <c r="BM36" s="278"/>
      <c r="BN36" s="278"/>
      <c r="BO36" s="278"/>
      <c r="BP36" s="278"/>
      <c r="BQ36" s="278"/>
      <c r="BR36" s="278"/>
      <c r="BS36" s="278"/>
      <c r="BT36" s="278"/>
      <c r="BU36" s="278"/>
      <c r="BV36" s="278"/>
      <c r="BW36" s="278"/>
      <c r="BX36" s="278"/>
      <c r="BY36" s="278"/>
      <c r="BZ36" s="278"/>
      <c r="CA36" s="278"/>
      <c r="CB36" s="278"/>
      <c r="CC36" s="278"/>
      <c r="CD36" s="278"/>
      <c r="CE36" s="278"/>
      <c r="CF36" s="278"/>
      <c r="CG36" s="278"/>
      <c r="CH36" s="278"/>
      <c r="CI36" s="278"/>
      <c r="CJ36" s="278"/>
      <c r="CK36" s="278"/>
      <c r="CN36" s="364"/>
    </row>
    <row r="37" spans="3:92" ht="11.25" hidden="1" customHeight="1" outlineLevel="2" x14ac:dyDescent="0.2">
      <c r="C37" s="37" t="str">
        <f>'Lead PL'!C46</f>
        <v>Dummy 2</v>
      </c>
      <c r="D37" s="37" t="str">
        <f>'Lead PL'!D46</f>
        <v>Dummy 2</v>
      </c>
      <c r="E37" s="37"/>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278"/>
      <c r="AV37" s="278"/>
      <c r="AW37" s="278"/>
      <c r="AX37" s="278"/>
      <c r="AY37" s="278"/>
      <c r="AZ37" s="278"/>
      <c r="BA37" s="278"/>
      <c r="BB37" s="278"/>
      <c r="BC37" s="278"/>
      <c r="BD37" s="278"/>
      <c r="BE37" s="278"/>
      <c r="BF37" s="278"/>
      <c r="BG37" s="278"/>
      <c r="BH37" s="278"/>
      <c r="BI37" s="278"/>
      <c r="BJ37" s="278"/>
      <c r="BK37" s="278"/>
      <c r="BL37" s="278"/>
      <c r="BM37" s="278"/>
      <c r="BN37" s="278"/>
      <c r="BO37" s="278"/>
      <c r="BP37" s="278"/>
      <c r="BQ37" s="278"/>
      <c r="BR37" s="278"/>
      <c r="BS37" s="278"/>
      <c r="BT37" s="278"/>
      <c r="BU37" s="278"/>
      <c r="BV37" s="278"/>
      <c r="BW37" s="278"/>
      <c r="BX37" s="278"/>
      <c r="BY37" s="278"/>
      <c r="BZ37" s="278"/>
      <c r="CA37" s="278"/>
      <c r="CB37" s="278"/>
      <c r="CC37" s="278"/>
      <c r="CD37" s="278"/>
      <c r="CE37" s="278"/>
      <c r="CF37" s="278"/>
      <c r="CG37" s="278"/>
      <c r="CH37" s="278"/>
      <c r="CI37" s="278"/>
      <c r="CJ37" s="278"/>
      <c r="CK37" s="278"/>
      <c r="CN37" s="364"/>
    </row>
    <row r="38" spans="3:92" ht="11.25" hidden="1" customHeight="1" outlineLevel="2" x14ac:dyDescent="0.2">
      <c r="C38" s="42" t="str">
        <f>'Lead PL'!C47</f>
        <v>Dummy 3</v>
      </c>
      <c r="D38" s="42" t="str">
        <f>'Lead PL'!D47</f>
        <v>Dummy 3</v>
      </c>
      <c r="E38" s="42"/>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5"/>
      <c r="AV38" s="125"/>
      <c r="AW38" s="125"/>
      <c r="AX38" s="125"/>
      <c r="AY38" s="125"/>
      <c r="AZ38" s="125"/>
      <c r="BA38" s="125"/>
      <c r="BB38" s="125"/>
      <c r="BC38" s="125"/>
      <c r="BD38" s="125"/>
      <c r="BE38" s="125"/>
      <c r="BF38" s="125"/>
      <c r="BG38" s="125"/>
      <c r="BH38" s="125"/>
      <c r="BI38" s="125"/>
      <c r="BJ38" s="125"/>
      <c r="BK38" s="125"/>
      <c r="BL38" s="125"/>
      <c r="BM38" s="125"/>
      <c r="BN38" s="125"/>
      <c r="BO38" s="125"/>
      <c r="BP38" s="125"/>
      <c r="BQ38" s="125"/>
      <c r="BR38" s="125"/>
      <c r="BS38" s="125"/>
      <c r="BT38" s="125"/>
      <c r="BU38" s="125"/>
      <c r="BV38" s="125"/>
      <c r="BW38" s="125"/>
      <c r="BX38" s="125"/>
      <c r="BY38" s="125"/>
      <c r="BZ38" s="125"/>
      <c r="CA38" s="125"/>
      <c r="CB38" s="125"/>
      <c r="CC38" s="125"/>
      <c r="CD38" s="125"/>
      <c r="CE38" s="125"/>
      <c r="CF38" s="125"/>
      <c r="CG38" s="125"/>
      <c r="CH38" s="125"/>
      <c r="CI38" s="125"/>
      <c r="CJ38" s="125"/>
      <c r="CK38" s="125"/>
      <c r="CN38" s="364"/>
    </row>
    <row r="39" spans="3:92" ht="11.25" customHeight="1" collapsed="1" x14ac:dyDescent="0.2">
      <c r="C39" s="141" t="str">
        <f>'Lead PL'!C48</f>
        <v>EBIT</v>
      </c>
      <c r="D39" s="141" t="str">
        <f>'Lead PL'!D48</f>
        <v>EBIT</v>
      </c>
      <c r="E39" s="141"/>
      <c r="F39" s="141">
        <f t="shared" ref="F39:AK39" si="8">SUM(F34:F38)</f>
        <v>0</v>
      </c>
      <c r="G39" s="141">
        <f t="shared" si="8"/>
        <v>0</v>
      </c>
      <c r="H39" s="141">
        <f t="shared" si="8"/>
        <v>0</v>
      </c>
      <c r="I39" s="141">
        <f t="shared" si="8"/>
        <v>0</v>
      </c>
      <c r="J39" s="141">
        <f t="shared" si="8"/>
        <v>0</v>
      </c>
      <c r="K39" s="141">
        <f t="shared" si="8"/>
        <v>0</v>
      </c>
      <c r="L39" s="141">
        <f t="shared" si="8"/>
        <v>0</v>
      </c>
      <c r="M39" s="141">
        <f t="shared" si="8"/>
        <v>0</v>
      </c>
      <c r="N39" s="141">
        <f t="shared" si="8"/>
        <v>0</v>
      </c>
      <c r="O39" s="141">
        <f t="shared" si="8"/>
        <v>0</v>
      </c>
      <c r="P39" s="141">
        <f t="shared" si="8"/>
        <v>0</v>
      </c>
      <c r="Q39" s="141">
        <f t="shared" si="8"/>
        <v>0</v>
      </c>
      <c r="R39" s="141">
        <f t="shared" si="8"/>
        <v>-28.454600000000116</v>
      </c>
      <c r="S39" s="141">
        <f t="shared" si="8"/>
        <v>-102.33686999999982</v>
      </c>
      <c r="T39" s="141">
        <f t="shared" si="8"/>
        <v>-33.537780000000019</v>
      </c>
      <c r="U39" s="141">
        <f t="shared" si="8"/>
        <v>127.3066700000012</v>
      </c>
      <c r="V39" s="141">
        <f t="shared" si="8"/>
        <v>-182.11604000000176</v>
      </c>
      <c r="W39" s="141">
        <f t="shared" si="8"/>
        <v>846.73845999999867</v>
      </c>
      <c r="X39" s="141">
        <f t="shared" si="8"/>
        <v>8.3968000000028269</v>
      </c>
      <c r="Y39" s="141">
        <f t="shared" si="8"/>
        <v>421.66454000000004</v>
      </c>
      <c r="Z39" s="141">
        <f t="shared" si="8"/>
        <v>23.265389999996955</v>
      </c>
      <c r="AA39" s="141">
        <f t="shared" si="8"/>
        <v>19.889900000004531</v>
      </c>
      <c r="AB39" s="141">
        <f t="shared" si="8"/>
        <v>368.50008999999801</v>
      </c>
      <c r="AC39" s="141">
        <f t="shared" si="8"/>
        <v>-198.79649000000049</v>
      </c>
      <c r="AD39" s="141">
        <f t="shared" si="8"/>
        <v>173.93319</v>
      </c>
      <c r="AE39" s="141">
        <f t="shared" si="8"/>
        <v>284.71563999999972</v>
      </c>
      <c r="AF39" s="141">
        <f t="shared" si="8"/>
        <v>493.49376000000058</v>
      </c>
      <c r="AG39" s="141">
        <f t="shared" si="8"/>
        <v>108.91686999999958</v>
      </c>
      <c r="AH39" s="141">
        <f t="shared" si="8"/>
        <v>22.937940000000523</v>
      </c>
      <c r="AI39" s="141">
        <f t="shared" si="8"/>
        <v>-210.73957999999988</v>
      </c>
      <c r="AJ39" s="141">
        <f t="shared" si="8"/>
        <v>-803.79297999999767</v>
      </c>
      <c r="AK39" s="141">
        <f t="shared" si="8"/>
        <v>211.07642000000158</v>
      </c>
      <c r="AL39" s="141">
        <f t="shared" ref="AL39:BQ39" si="9">SUM(AL34:AL38)</f>
        <v>-276.57853000000262</v>
      </c>
      <c r="AM39" s="141">
        <f t="shared" si="9"/>
        <v>73.398760000000607</v>
      </c>
      <c r="AN39" s="141">
        <f t="shared" si="9"/>
        <v>200.42527999999714</v>
      </c>
      <c r="AO39" s="141">
        <f t="shared" si="9"/>
        <v>1166.8342900000021</v>
      </c>
      <c r="AP39" s="141">
        <f t="shared" si="9"/>
        <v>112.3410999999998</v>
      </c>
      <c r="AQ39" s="141">
        <f t="shared" si="9"/>
        <v>105.4030200000001</v>
      </c>
      <c r="AR39" s="141">
        <f t="shared" si="9"/>
        <v>-90.021400000000384</v>
      </c>
      <c r="AS39" s="141">
        <f t="shared" si="9"/>
        <v>127.42071000000097</v>
      </c>
      <c r="AT39" s="141">
        <f t="shared" si="9"/>
        <v>149.22159999999866</v>
      </c>
      <c r="AU39" s="379">
        <f t="shared" si="9"/>
        <v>232.89584999999948</v>
      </c>
      <c r="AV39" s="379">
        <f t="shared" si="9"/>
        <v>-36.809969999999964</v>
      </c>
      <c r="AW39" s="379">
        <f t="shared" si="9"/>
        <v>453.15078999999929</v>
      </c>
      <c r="AX39" s="379">
        <f t="shared" si="9"/>
        <v>173.9258700000025</v>
      </c>
      <c r="AY39" s="379">
        <f t="shared" si="9"/>
        <v>201.07138000000327</v>
      </c>
      <c r="AZ39" s="379">
        <f t="shared" si="9"/>
        <v>-146.98810000000412</v>
      </c>
      <c r="BA39" s="379">
        <f t="shared" si="9"/>
        <v>-233.90928999999494</v>
      </c>
      <c r="BB39" s="379">
        <f t="shared" si="9"/>
        <v>0</v>
      </c>
      <c r="BC39" s="379">
        <f t="shared" si="9"/>
        <v>0</v>
      </c>
      <c r="BD39" s="379">
        <f t="shared" si="9"/>
        <v>0</v>
      </c>
      <c r="BE39" s="379">
        <f t="shared" si="9"/>
        <v>0</v>
      </c>
      <c r="BF39" s="379">
        <f t="shared" si="9"/>
        <v>0</v>
      </c>
      <c r="BG39" s="379">
        <f t="shared" si="9"/>
        <v>0</v>
      </c>
      <c r="BH39" s="379">
        <f t="shared" si="9"/>
        <v>0</v>
      </c>
      <c r="BI39" s="379">
        <f t="shared" si="9"/>
        <v>0</v>
      </c>
      <c r="BJ39" s="379">
        <f t="shared" si="9"/>
        <v>0</v>
      </c>
      <c r="BK39" s="379">
        <f t="shared" si="9"/>
        <v>0</v>
      </c>
      <c r="BL39" s="379">
        <f t="shared" si="9"/>
        <v>0</v>
      </c>
      <c r="BM39" s="379">
        <f t="shared" si="9"/>
        <v>0</v>
      </c>
      <c r="BN39" s="379">
        <f t="shared" si="9"/>
        <v>0</v>
      </c>
      <c r="BO39" s="379">
        <f t="shared" si="9"/>
        <v>0</v>
      </c>
      <c r="BP39" s="379">
        <f t="shared" si="9"/>
        <v>0</v>
      </c>
      <c r="BQ39" s="379">
        <f t="shared" si="9"/>
        <v>0</v>
      </c>
      <c r="BR39" s="379">
        <f t="shared" ref="BR39:CK39" si="10">SUM(BR34:BR38)</f>
        <v>0</v>
      </c>
      <c r="BS39" s="379">
        <f t="shared" si="10"/>
        <v>0</v>
      </c>
      <c r="BT39" s="379">
        <f t="shared" si="10"/>
        <v>0</v>
      </c>
      <c r="BU39" s="379">
        <f t="shared" si="10"/>
        <v>0</v>
      </c>
      <c r="BV39" s="379">
        <f t="shared" si="10"/>
        <v>0</v>
      </c>
      <c r="BW39" s="379">
        <f t="shared" si="10"/>
        <v>0</v>
      </c>
      <c r="BX39" s="379">
        <f t="shared" si="10"/>
        <v>0</v>
      </c>
      <c r="BY39" s="379">
        <f t="shared" si="10"/>
        <v>0</v>
      </c>
      <c r="BZ39" s="379">
        <f t="shared" si="10"/>
        <v>0</v>
      </c>
      <c r="CA39" s="379">
        <f t="shared" si="10"/>
        <v>0</v>
      </c>
      <c r="CB39" s="379">
        <f t="shared" si="10"/>
        <v>0</v>
      </c>
      <c r="CC39" s="379">
        <f t="shared" si="10"/>
        <v>0</v>
      </c>
      <c r="CD39" s="379">
        <f t="shared" si="10"/>
        <v>0</v>
      </c>
      <c r="CE39" s="379">
        <f t="shared" si="10"/>
        <v>0</v>
      </c>
      <c r="CF39" s="379">
        <f t="shared" si="10"/>
        <v>0</v>
      </c>
      <c r="CG39" s="379">
        <f t="shared" si="10"/>
        <v>0</v>
      </c>
      <c r="CH39" s="379">
        <f t="shared" si="10"/>
        <v>0</v>
      </c>
      <c r="CI39" s="379">
        <f t="shared" si="10"/>
        <v>0</v>
      </c>
      <c r="CJ39" s="379">
        <f t="shared" si="10"/>
        <v>0</v>
      </c>
      <c r="CK39" s="379">
        <f t="shared" si="10"/>
        <v>0</v>
      </c>
    </row>
    <row r="40" spans="3:92" ht="11.25" customHeight="1" outlineLevel="1" x14ac:dyDescent="0.2">
      <c r="C40" s="138" t="str">
        <f>'Lead PL'!C49</f>
        <v>Beteiligungsergebnis</v>
      </c>
      <c r="D40" s="138" t="str">
        <f>'Lead PL'!D49</f>
        <v>Investment income</v>
      </c>
      <c r="E40" s="138"/>
      <c r="F40" s="36"/>
      <c r="G40" s="36"/>
      <c r="H40" s="36"/>
      <c r="I40" s="36"/>
      <c r="J40" s="36"/>
      <c r="K40" s="36"/>
      <c r="L40" s="36"/>
      <c r="M40" s="36"/>
      <c r="N40" s="36"/>
      <c r="O40" s="36"/>
      <c r="P40" s="36"/>
      <c r="Q40" s="36"/>
      <c r="R40" s="36">
        <f>-SUMIF('Trial Balance (Susa)'!$D:$D,"*"&amp;$CN40&amp;"*",'Trial Balance (Susa)'!K:K)/1000</f>
        <v>0</v>
      </c>
      <c r="S40" s="36">
        <f>-SUMIF('Trial Balance (Susa)'!$D:$D,"*"&amp;$CN40&amp;"*",'Trial Balance (Susa)'!L:L)/1000-R40</f>
        <v>0</v>
      </c>
      <c r="T40" s="36">
        <f>-SUMIF('Trial Balance (Susa)'!$D:$D,"*"&amp;$CN40&amp;"*",'Trial Balance (Susa)'!M:M)/1000-SUM($R40:S40)</f>
        <v>0</v>
      </c>
      <c r="U40" s="36">
        <f>-SUMIF('Trial Balance (Susa)'!$D:$D,"*"&amp;$CN40&amp;"*",'Trial Balance (Susa)'!N:N)/1000-SUM($R40:T40)</f>
        <v>0</v>
      </c>
      <c r="V40" s="36">
        <f>-SUMIF('Trial Balance (Susa)'!$D:$D,"*"&amp;$CN40&amp;"*",'Trial Balance (Susa)'!O:O)/1000-SUM($R40:U40)</f>
        <v>0</v>
      </c>
      <c r="W40" s="36">
        <f>-SUMIF('Trial Balance (Susa)'!$D:$D,"*"&amp;$CN40&amp;"*",'Trial Balance (Susa)'!P:P)/1000-SUM($R40:V40)</f>
        <v>0</v>
      </c>
      <c r="X40" s="36">
        <f>-SUMIF('Trial Balance (Susa)'!$D:$D,"*"&amp;$CN40&amp;"*",'Trial Balance (Susa)'!Q:Q)/1000-SUM($R40:W40)</f>
        <v>0</v>
      </c>
      <c r="Y40" s="36">
        <f>-SUMIF('Trial Balance (Susa)'!$D:$D,"*"&amp;$CN40&amp;"*",'Trial Balance (Susa)'!R:R)/1000-SUM($R40:X40)</f>
        <v>0</v>
      </c>
      <c r="Z40" s="36">
        <f>-SUMIF('Trial Balance (Susa)'!$D:$D,"*"&amp;$CN40&amp;"*",'Trial Balance (Susa)'!S:S)/1000-SUM($R40:Y40)</f>
        <v>0</v>
      </c>
      <c r="AA40" s="36">
        <f>-SUMIF('Trial Balance (Susa)'!$D:$D,"*"&amp;$CN40&amp;"*",'Trial Balance (Susa)'!T:T)/1000-SUM($R40:Z40)</f>
        <v>0</v>
      </c>
      <c r="AB40" s="36">
        <f>-SUMIF('Trial Balance (Susa)'!$D:$D,"*"&amp;$CN40&amp;"*",'Trial Balance (Susa)'!U:U)/1000-SUM($R40:AA40)</f>
        <v>0</v>
      </c>
      <c r="AC40" s="36">
        <f>-SUMIF('Trial Balance (Susa)'!$D:$D,"*"&amp;$CN40&amp;"*",'Trial Balance (Susa)'!V:V)/1000-SUM($R40:AB40)</f>
        <v>0</v>
      </c>
      <c r="AD40" s="36">
        <f>-SUMIF('Trial Balance (Susa)'!$D:$D,"*"&amp;$CN40&amp;"*",'Trial Balance (Susa)'!W:W)/1000</f>
        <v>0</v>
      </c>
      <c r="AE40" s="36">
        <f>-SUMIF('Trial Balance (Susa)'!$D:$D,"*"&amp;$CN40&amp;"*",'Trial Balance (Susa)'!X:X)/1000-SUM($AD40:AD40)</f>
        <v>0</v>
      </c>
      <c r="AF40" s="36">
        <f>-SUMIF('Trial Balance (Susa)'!$D:$D,"*"&amp;$CN40&amp;"*",'Trial Balance (Susa)'!Y:Y)/1000-SUM($AD40:AE40)</f>
        <v>0</v>
      </c>
      <c r="AG40" s="36">
        <f>-SUMIF('Trial Balance (Susa)'!$D:$D,"*"&amp;$CN40&amp;"*",'Trial Balance (Susa)'!Z:Z)/1000-SUM($AD40:AF40)</f>
        <v>0</v>
      </c>
      <c r="AH40" s="36">
        <f>-SUMIF('Trial Balance (Susa)'!$D:$D,"*"&amp;$CN40&amp;"*",'Trial Balance (Susa)'!AA:AA)/1000-SUM($AD40:AG40)</f>
        <v>0</v>
      </c>
      <c r="AI40" s="36">
        <f>-SUMIF('Trial Balance (Susa)'!$D:$D,"*"&amp;$CN40&amp;"*",'Trial Balance (Susa)'!AB:AB)/1000-SUM($AD40:AH40)</f>
        <v>0</v>
      </c>
      <c r="AJ40" s="36">
        <f>-SUMIF('Trial Balance (Susa)'!$D:$D,"*"&amp;$CN40&amp;"*",'Trial Balance (Susa)'!AC:AC)/1000-SUM($AD40:AI40)</f>
        <v>0</v>
      </c>
      <c r="AK40" s="36">
        <f>-SUMIF('Trial Balance (Susa)'!$D:$D,"*"&amp;$CN40&amp;"*",'Trial Balance (Susa)'!AD:AD)/1000-SUM($AD40:AJ40)</f>
        <v>0</v>
      </c>
      <c r="AL40" s="36">
        <f>-SUMIF('Trial Balance (Susa)'!$D:$D,"*"&amp;$CN40&amp;"*",'Trial Balance (Susa)'!AE:AE)/1000-SUM($AD40:AK40)</f>
        <v>0</v>
      </c>
      <c r="AM40" s="36">
        <f>-SUMIF('Trial Balance (Susa)'!$D:$D,"*"&amp;$CN40&amp;"*",'Trial Balance (Susa)'!AF:AF)/1000-SUM($AD40:AL40)</f>
        <v>0</v>
      </c>
      <c r="AN40" s="36">
        <f>-SUMIF('Trial Balance (Susa)'!$D:$D,"*"&amp;$CN40&amp;"*",'Trial Balance (Susa)'!AG:AG)/1000-SUM($AD40:AM40)</f>
        <v>0</v>
      </c>
      <c r="AO40" s="36">
        <f>-SUMIF('Trial Balance (Susa)'!$D:$D,"*"&amp;$CN40&amp;"*",'Trial Balance (Susa)'!AH:AH)/1000-SUM($AD40:AN40)</f>
        <v>0</v>
      </c>
      <c r="AP40" s="36">
        <f>-SUMIF('Trial Balance (Susa)'!$D:$D,"*"&amp;$CN40&amp;"*",'Trial Balance (Susa)'!AI:AI)/1000</f>
        <v>0</v>
      </c>
      <c r="AQ40" s="36">
        <f>-SUMIF('Trial Balance (Susa)'!$D:$D,"*"&amp;$CN40&amp;"*",'Trial Balance (Susa)'!AJ:AJ)/1000-SUM($AP40:AP40)</f>
        <v>0</v>
      </c>
      <c r="AR40" s="36">
        <f>-SUMIF('Trial Balance (Susa)'!$D:$D,"*"&amp;$CN40&amp;"*",'Trial Balance (Susa)'!AK:AK)/1000-SUM($AP40:AQ40)</f>
        <v>0</v>
      </c>
      <c r="AS40" s="36">
        <f>-SUMIF('Trial Balance (Susa)'!$D:$D,"*"&amp;$CN40&amp;"*",'Trial Balance (Susa)'!AL:AL)/1000-SUM($AP40:AR40)</f>
        <v>0</v>
      </c>
      <c r="AT40" s="36">
        <f>-SUMIF('Trial Balance (Susa)'!$D:$D,"*"&amp;$CN40&amp;"*",'Trial Balance (Susa)'!AM:AM)/1000-SUM($AP40:AS40)</f>
        <v>0</v>
      </c>
      <c r="AU40" s="36">
        <f>-SUMIF('Trial Balance (Susa)'!$D:$D,"*"&amp;$CN40&amp;"*",'Trial Balance (Susa)'!AN:AN)/1000-SUM($AP40:AT40)</f>
        <v>0</v>
      </c>
      <c r="AV40" s="36">
        <f>-SUMIF('Trial Balance (Susa)'!$D:$D,"*"&amp;$CN40&amp;"*",'Trial Balance (Susa)'!AO:AO)/1000-SUM($AP40:AU40)</f>
        <v>0</v>
      </c>
      <c r="AW40" s="36">
        <f>-SUMIF('Trial Balance (Susa)'!$D:$D,"*"&amp;$CN40&amp;"*",'Trial Balance (Susa)'!AP:AP)/1000-SUM($AP40:AV40)</f>
        <v>0</v>
      </c>
      <c r="AX40" s="36">
        <f>-SUMIF('Trial Balance (Susa)'!$D:$D,"*"&amp;$CN40&amp;"*",'Trial Balance (Susa)'!AQ:AQ)/1000-SUM($AP40:AW40)</f>
        <v>0</v>
      </c>
      <c r="AY40" s="36">
        <f>-SUMIF('Trial Balance (Susa)'!$D:$D,"*"&amp;$CN40&amp;"*",'Trial Balance (Susa)'!AR:AR)/1000-SUM($AP40:AX40)</f>
        <v>0</v>
      </c>
      <c r="AZ40" s="36">
        <f>-SUMIF('Trial Balance (Susa)'!$D:$D,"*"&amp;$CN40&amp;"*",'Trial Balance (Susa)'!AS:AS)/1000-SUM($AP40:AY40)</f>
        <v>0</v>
      </c>
      <c r="BA40" s="36">
        <f>-SUMIF('Trial Balance (Susa)'!$D:$D,"*"&amp;$CN40&amp;"*",'Trial Balance (Susa)'!AT:AT)/1000-SUM($AP40:AZ40)</f>
        <v>0</v>
      </c>
      <c r="BB40" s="278"/>
      <c r="BC40" s="278"/>
      <c r="BD40" s="278"/>
      <c r="BE40" s="278"/>
      <c r="BF40" s="278"/>
      <c r="BG40" s="278"/>
      <c r="BH40" s="278"/>
      <c r="BI40" s="278"/>
      <c r="BJ40" s="278"/>
      <c r="BK40" s="278"/>
      <c r="BL40" s="278"/>
      <c r="BM40" s="278"/>
      <c r="BN40" s="278"/>
      <c r="BO40" s="278"/>
      <c r="BP40" s="278"/>
      <c r="BQ40" s="278"/>
      <c r="BR40" s="278"/>
      <c r="BS40" s="278"/>
      <c r="BT40" s="278"/>
      <c r="BU40" s="278"/>
      <c r="BV40" s="278"/>
      <c r="BW40" s="278"/>
      <c r="BX40" s="278"/>
      <c r="BY40" s="278"/>
      <c r="BZ40" s="278"/>
      <c r="CA40" s="278"/>
      <c r="CB40" s="278"/>
      <c r="CC40" s="278"/>
      <c r="CD40" s="278"/>
      <c r="CE40" s="278"/>
      <c r="CF40" s="278"/>
      <c r="CG40" s="278"/>
      <c r="CH40" s="278"/>
      <c r="CI40" s="278"/>
      <c r="CJ40" s="278"/>
      <c r="CK40" s="278"/>
      <c r="CN40" s="364" t="s">
        <v>687</v>
      </c>
    </row>
    <row r="41" spans="3:92" ht="11.25" customHeight="1" outlineLevel="1" x14ac:dyDescent="0.2">
      <c r="C41" s="138" t="str">
        <f>'Lead PL'!C50</f>
        <v>Zinserträge</v>
      </c>
      <c r="D41" s="138" t="str">
        <f>'Lead PL'!D50</f>
        <v>Interest income</v>
      </c>
      <c r="E41" s="138"/>
      <c r="F41" s="36"/>
      <c r="G41" s="36"/>
      <c r="H41" s="36"/>
      <c r="I41" s="36"/>
      <c r="J41" s="36"/>
      <c r="K41" s="36"/>
      <c r="L41" s="36"/>
      <c r="M41" s="36"/>
      <c r="N41" s="36"/>
      <c r="O41" s="36"/>
      <c r="P41" s="36"/>
      <c r="Q41" s="36"/>
      <c r="R41" s="36">
        <f>-SUMIF('Trial Balance (Susa)'!$D:$D,"*"&amp;$CN41&amp;"*",'Trial Balance (Susa)'!K:K)/1000</f>
        <v>0</v>
      </c>
      <c r="S41" s="36">
        <f>-SUMIF('Trial Balance (Susa)'!$D:$D,"*"&amp;$CN41&amp;"*",'Trial Balance (Susa)'!L:L)/1000-R41</f>
        <v>2.02</v>
      </c>
      <c r="T41" s="36">
        <f>-SUMIF('Trial Balance (Susa)'!$D:$D,"*"&amp;$CN41&amp;"*",'Trial Balance (Susa)'!M:M)/1000-SUM($R41:S41)</f>
        <v>0</v>
      </c>
      <c r="U41" s="36">
        <f>-SUMIF('Trial Balance (Susa)'!$D:$D,"*"&amp;$CN41&amp;"*",'Trial Balance (Susa)'!N:N)/1000-SUM($R41:T41)</f>
        <v>0</v>
      </c>
      <c r="V41" s="36">
        <f>-SUMIF('Trial Balance (Susa)'!$D:$D,"*"&amp;$CN41&amp;"*",'Trial Balance (Susa)'!O:O)/1000-SUM($R41:U41)</f>
        <v>2.4</v>
      </c>
      <c r="W41" s="36">
        <f>-SUMIF('Trial Balance (Susa)'!$D:$D,"*"&amp;$CN41&amp;"*",'Trial Balance (Susa)'!P:P)/1000-SUM($R41:V41)</f>
        <v>4.9999999999998934E-3</v>
      </c>
      <c r="X41" s="36">
        <f>-SUMIF('Trial Balance (Susa)'!$D:$D,"*"&amp;$CN41&amp;"*",'Trial Balance (Susa)'!Q:Q)/1000-SUM($R41:W41)</f>
        <v>0</v>
      </c>
      <c r="Y41" s="36">
        <f>-SUMIF('Trial Balance (Susa)'!$D:$D,"*"&amp;$CN41&amp;"*",'Trial Balance (Susa)'!R:R)/1000-SUM($R41:X41)</f>
        <v>0</v>
      </c>
      <c r="Z41" s="36">
        <f>-SUMIF('Trial Balance (Susa)'!$D:$D,"*"&amp;$CN41&amp;"*",'Trial Balance (Susa)'!S:S)/1000-SUM($R41:Y41)</f>
        <v>0</v>
      </c>
      <c r="AA41" s="36">
        <f>-SUMIF('Trial Balance (Susa)'!$D:$D,"*"&amp;$CN41&amp;"*",'Trial Balance (Susa)'!T:T)/1000-SUM($R41:Z41)</f>
        <v>0</v>
      </c>
      <c r="AB41" s="36">
        <f>-SUMIF('Trial Balance (Susa)'!$D:$D,"*"&amp;$CN41&amp;"*",'Trial Balance (Susa)'!U:U)/1000-SUM($R41:AA41)</f>
        <v>0</v>
      </c>
      <c r="AC41" s="36">
        <f>-SUMIF('Trial Balance (Susa)'!$D:$D,"*"&amp;$CN41&amp;"*",'Trial Balance (Susa)'!V:V)/1000-SUM($R41:AB41)</f>
        <v>0</v>
      </c>
      <c r="AD41" s="36">
        <f>-SUMIF('Trial Balance (Susa)'!$D:$D,"*"&amp;$CN41&amp;"*",'Trial Balance (Susa)'!W:W)/1000</f>
        <v>0</v>
      </c>
      <c r="AE41" s="36">
        <f>-SUMIF('Trial Balance (Susa)'!$D:$D,"*"&amp;$CN41&amp;"*",'Trial Balance (Susa)'!X:X)/1000-SUM($AD41:AD41)</f>
        <v>1.1000000000000001</v>
      </c>
      <c r="AF41" s="36">
        <f>-SUMIF('Trial Balance (Susa)'!$D:$D,"*"&amp;$CN41&amp;"*",'Trial Balance (Susa)'!Y:Y)/1000-SUM($AD41:AE41)</f>
        <v>9.6999999999999975E-2</v>
      </c>
      <c r="AG41" s="36">
        <f>-SUMIF('Trial Balance (Susa)'!$D:$D,"*"&amp;$CN41&amp;"*",'Trial Balance (Susa)'!Z:Z)/1000-SUM($AD41:AF41)</f>
        <v>1.8191599999999997</v>
      </c>
      <c r="AH41" s="36">
        <f>-SUMIF('Trial Balance (Susa)'!$D:$D,"*"&amp;$CN41&amp;"*",'Trial Balance (Susa)'!AA:AA)/1000-SUM($AD41:AG41)</f>
        <v>0.11000000000000032</v>
      </c>
      <c r="AI41" s="36">
        <f>-SUMIF('Trial Balance (Susa)'!$D:$D,"*"&amp;$CN41&amp;"*",'Trial Balance (Susa)'!AB:AB)/1000-SUM($AD41:AH41)</f>
        <v>6.2600000000001543E-3</v>
      </c>
      <c r="AJ41" s="36">
        <f>-SUMIF('Trial Balance (Susa)'!$D:$D,"*"&amp;$CN41&amp;"*",'Trial Balance (Susa)'!AC:AC)/1000-SUM($AD41:AI41)</f>
        <v>0</v>
      </c>
      <c r="AK41" s="36">
        <f>-SUMIF('Trial Balance (Susa)'!$D:$D,"*"&amp;$CN41&amp;"*",'Trial Balance (Susa)'!AD:AD)/1000-SUM($AD41:AJ41)</f>
        <v>0</v>
      </c>
      <c r="AL41" s="36">
        <f>-SUMIF('Trial Balance (Susa)'!$D:$D,"*"&amp;$CN41&amp;"*",'Trial Balance (Susa)'!AE:AE)/1000-SUM($AD41:AK41)</f>
        <v>0</v>
      </c>
      <c r="AM41" s="36">
        <f>-SUMIF('Trial Balance (Susa)'!$D:$D,"*"&amp;$CN41&amp;"*",'Trial Balance (Susa)'!AF:AF)/1000-SUM($AD41:AL41)</f>
        <v>0</v>
      </c>
      <c r="AN41" s="36">
        <f>-SUMIF('Trial Balance (Susa)'!$D:$D,"*"&amp;$CN41&amp;"*",'Trial Balance (Susa)'!AG:AG)/1000-SUM($AD41:AM41)</f>
        <v>0</v>
      </c>
      <c r="AO41" s="36">
        <f>-SUMIF('Trial Balance (Susa)'!$D:$D,"*"&amp;$CN41&amp;"*",'Trial Balance (Susa)'!AH:AH)/1000-SUM($AD41:AN41)</f>
        <v>2.2399999999995757E-3</v>
      </c>
      <c r="AP41" s="36">
        <f>-SUMIF('Trial Balance (Susa)'!$D:$D,"*"&amp;$CN41&amp;"*",'Trial Balance (Susa)'!AI:AI)/1000</f>
        <v>0</v>
      </c>
      <c r="AQ41" s="36">
        <f>-SUMIF('Trial Balance (Susa)'!$D:$D,"*"&amp;$CN41&amp;"*",'Trial Balance (Susa)'!AJ:AJ)/1000-SUM($AP41:AP41)</f>
        <v>0</v>
      </c>
      <c r="AR41" s="36">
        <f>-SUMIF('Trial Balance (Susa)'!$D:$D,"*"&amp;$CN41&amp;"*",'Trial Balance (Susa)'!AK:AK)/1000-SUM($AP41:AQ41)</f>
        <v>1.3</v>
      </c>
      <c r="AS41" s="36">
        <f>-SUMIF('Trial Balance (Susa)'!$D:$D,"*"&amp;$CN41&amp;"*",'Trial Balance (Susa)'!AL:AL)/1000-SUM($AP41:AR41)</f>
        <v>0.90000000000000013</v>
      </c>
      <c r="AT41" s="36">
        <f>-SUMIF('Trial Balance (Susa)'!$D:$D,"*"&amp;$CN41&amp;"*",'Trial Balance (Susa)'!AM:AM)/1000-SUM($AP41:AS41)</f>
        <v>0</v>
      </c>
      <c r="AU41" s="36">
        <f>-SUMIF('Trial Balance (Susa)'!$D:$D,"*"&amp;$CN41&amp;"*",'Trial Balance (Susa)'!AN:AN)/1000-SUM($AP41:AT41)</f>
        <v>6.2600000000001543E-3</v>
      </c>
      <c r="AV41" s="36">
        <f>-SUMIF('Trial Balance (Susa)'!$D:$D,"*"&amp;$CN41&amp;"*",'Trial Balance (Susa)'!AO:AO)/1000-SUM($AP41:AU41)</f>
        <v>0</v>
      </c>
      <c r="AW41" s="36">
        <f>-SUMIF('Trial Balance (Susa)'!$D:$D,"*"&amp;$CN41&amp;"*",'Trial Balance (Susa)'!AP:AP)/1000-SUM($AP41:AV41)</f>
        <v>0</v>
      </c>
      <c r="AX41" s="36">
        <f>-SUMIF('Trial Balance (Susa)'!$D:$D,"*"&amp;$CN41&amp;"*",'Trial Balance (Susa)'!AQ:AQ)/1000-SUM($AP41:AW41)</f>
        <v>0</v>
      </c>
      <c r="AY41" s="36">
        <f>-SUMIF('Trial Balance (Susa)'!$D:$D,"*"&amp;$CN41&amp;"*",'Trial Balance (Susa)'!AR:AR)/1000-SUM($AP41:AX41)</f>
        <v>0</v>
      </c>
      <c r="AZ41" s="36">
        <f>-SUMIF('Trial Balance (Susa)'!$D:$D,"*"&amp;$CN41&amp;"*",'Trial Balance (Susa)'!AS:AS)/1000-SUM($AP41:AY41)</f>
        <v>0</v>
      </c>
      <c r="BA41" s="36">
        <f>-SUMIF('Trial Balance (Susa)'!$D:$D,"*"&amp;$CN41&amp;"*",'Trial Balance (Susa)'!AT:AT)/1000-SUM($AP41:AZ41)</f>
        <v>2.2399999999995757E-3</v>
      </c>
      <c r="BB41" s="278"/>
      <c r="BC41" s="278"/>
      <c r="BD41" s="278"/>
      <c r="BE41" s="278"/>
      <c r="BF41" s="278"/>
      <c r="BG41" s="278"/>
      <c r="BH41" s="278"/>
      <c r="BI41" s="278"/>
      <c r="BJ41" s="278"/>
      <c r="BK41" s="278"/>
      <c r="BL41" s="278"/>
      <c r="BM41" s="278"/>
      <c r="BN41" s="278"/>
      <c r="BO41" s="278"/>
      <c r="BP41" s="278"/>
      <c r="BQ41" s="278"/>
      <c r="BR41" s="278"/>
      <c r="BS41" s="278"/>
      <c r="BT41" s="278"/>
      <c r="BU41" s="278"/>
      <c r="BV41" s="278"/>
      <c r="BW41" s="278"/>
      <c r="BX41" s="278"/>
      <c r="BY41" s="278"/>
      <c r="BZ41" s="278"/>
      <c r="CA41" s="278"/>
      <c r="CB41" s="278"/>
      <c r="CC41" s="278"/>
      <c r="CD41" s="278"/>
      <c r="CE41" s="278"/>
      <c r="CF41" s="278"/>
      <c r="CG41" s="278"/>
      <c r="CH41" s="278"/>
      <c r="CI41" s="278"/>
      <c r="CJ41" s="278"/>
      <c r="CK41" s="278"/>
      <c r="CN41" s="364" t="s">
        <v>689</v>
      </c>
    </row>
    <row r="42" spans="3:92" ht="11.25" customHeight="1" outlineLevel="1" x14ac:dyDescent="0.2">
      <c r="C42" s="138" t="str">
        <f>'Lead PL'!C51</f>
        <v>Zinsaufwendungen</v>
      </c>
      <c r="D42" s="138" t="str">
        <f>'Lead PL'!D51</f>
        <v>Interest expenses</v>
      </c>
      <c r="E42" s="138"/>
      <c r="F42" s="36"/>
      <c r="G42" s="36"/>
      <c r="H42" s="36"/>
      <c r="I42" s="36"/>
      <c r="J42" s="36"/>
      <c r="K42" s="36"/>
      <c r="L42" s="36"/>
      <c r="M42" s="36"/>
      <c r="N42" s="36"/>
      <c r="O42" s="36"/>
      <c r="P42" s="36"/>
      <c r="Q42" s="36"/>
      <c r="R42" s="36">
        <f>-SUMIF('Trial Balance (Susa)'!$D:$D,"*"&amp;$CN42&amp;"*",'Trial Balance (Susa)'!K:K)/1000</f>
        <v>-0.12913999999999998</v>
      </c>
      <c r="S42" s="36">
        <f>-SUMIF('Trial Balance (Susa)'!$D:$D,"*"&amp;$CN42&amp;"*",'Trial Balance (Susa)'!L:L)/1000-R42</f>
        <v>0</v>
      </c>
      <c r="T42" s="36">
        <f>-SUMIF('Trial Balance (Susa)'!$D:$D,"*"&amp;$CN42&amp;"*",'Trial Balance (Susa)'!M:M)/1000-SUM($R42:S42)</f>
        <v>0</v>
      </c>
      <c r="U42" s="36">
        <f>-SUMIF('Trial Balance (Susa)'!$D:$D,"*"&amp;$CN42&amp;"*",'Trial Balance (Susa)'!N:N)/1000-SUM($R42:T42)</f>
        <v>0</v>
      </c>
      <c r="V42" s="36">
        <f>-SUMIF('Trial Balance (Susa)'!$D:$D,"*"&amp;$CN42&amp;"*",'Trial Balance (Susa)'!O:O)/1000-SUM($R42:U42)</f>
        <v>0</v>
      </c>
      <c r="W42" s="36">
        <f>-SUMIF('Trial Balance (Susa)'!$D:$D,"*"&amp;$CN42&amp;"*",'Trial Balance (Susa)'!P:P)/1000-SUM($R42:V42)</f>
        <v>0</v>
      </c>
      <c r="X42" s="36">
        <f>-SUMIF('Trial Balance (Susa)'!$D:$D,"*"&amp;$CN42&amp;"*",'Trial Balance (Susa)'!Q:Q)/1000-SUM($R42:W42)</f>
        <v>0</v>
      </c>
      <c r="Y42" s="36">
        <f>-SUMIF('Trial Balance (Susa)'!$D:$D,"*"&amp;$CN42&amp;"*",'Trial Balance (Susa)'!R:R)/1000-SUM($R42:X42)</f>
        <v>0</v>
      </c>
      <c r="Z42" s="36">
        <f>-SUMIF('Trial Balance (Susa)'!$D:$D,"*"&amp;$CN42&amp;"*",'Trial Balance (Susa)'!S:S)/1000-SUM($R42:Y42)</f>
        <v>-3.5609999999999999</v>
      </c>
      <c r="AA42" s="36">
        <f>-SUMIF('Trial Balance (Susa)'!$D:$D,"*"&amp;$CN42&amp;"*",'Trial Balance (Susa)'!T:T)/1000-SUM($R42:Z42)</f>
        <v>0</v>
      </c>
      <c r="AB42" s="36">
        <f>-SUMIF('Trial Balance (Susa)'!$D:$D,"*"&amp;$CN42&amp;"*",'Trial Balance (Susa)'!U:U)/1000-SUM($R42:AA42)</f>
        <v>0</v>
      </c>
      <c r="AC42" s="36">
        <f>-SUMIF('Trial Balance (Susa)'!$D:$D,"*"&amp;$CN42&amp;"*",'Trial Balance (Susa)'!V:V)/1000-SUM($R42:AB42)</f>
        <v>0</v>
      </c>
      <c r="AD42" s="36">
        <f>-SUMIF('Trial Balance (Susa)'!$D:$D,"*"&amp;$CN42&amp;"*",'Trial Balance (Susa)'!W:W)/1000</f>
        <v>0</v>
      </c>
      <c r="AE42" s="36">
        <f>-SUMIF('Trial Balance (Susa)'!$D:$D,"*"&amp;$CN42&amp;"*",'Trial Balance (Susa)'!X:X)/1000-SUM($AD42:AD42)</f>
        <v>0</v>
      </c>
      <c r="AF42" s="36">
        <f>-SUMIF('Trial Balance (Susa)'!$D:$D,"*"&amp;$CN42&amp;"*",'Trial Balance (Susa)'!Y:Y)/1000-SUM($AD42:AE42)</f>
        <v>0</v>
      </c>
      <c r="AG42" s="36">
        <f>-SUMIF('Trial Balance (Susa)'!$D:$D,"*"&amp;$CN42&amp;"*",'Trial Balance (Susa)'!Z:Z)/1000-SUM($AD42:AF42)</f>
        <v>0</v>
      </c>
      <c r="AH42" s="36">
        <f>-SUMIF('Trial Balance (Susa)'!$D:$D,"*"&amp;$CN42&amp;"*",'Trial Balance (Susa)'!AA:AA)/1000-SUM($AD42:AG42)</f>
        <v>0</v>
      </c>
      <c r="AI42" s="36">
        <f>-SUMIF('Trial Balance (Susa)'!$D:$D,"*"&amp;$CN42&amp;"*",'Trial Balance (Susa)'!AB:AB)/1000-SUM($AD42:AH42)</f>
        <v>0</v>
      </c>
      <c r="AJ42" s="36">
        <f>-SUMIF('Trial Balance (Susa)'!$D:$D,"*"&amp;$CN42&amp;"*",'Trial Balance (Susa)'!AC:AC)/1000-SUM($AD42:AI42)</f>
        <v>0</v>
      </c>
      <c r="AK42" s="36">
        <f>-SUMIF('Trial Balance (Susa)'!$D:$D,"*"&amp;$CN42&amp;"*",'Trial Balance (Susa)'!AD:AD)/1000-SUM($AD42:AJ42)</f>
        <v>0</v>
      </c>
      <c r="AL42" s="36">
        <f>-SUMIF('Trial Balance (Susa)'!$D:$D,"*"&amp;$CN42&amp;"*",'Trial Balance (Susa)'!AE:AE)/1000-SUM($AD42:AK42)</f>
        <v>0</v>
      </c>
      <c r="AM42" s="36">
        <f>-SUMIF('Trial Balance (Susa)'!$D:$D,"*"&amp;$CN42&amp;"*",'Trial Balance (Susa)'!AF:AF)/1000-SUM($AD42:AL42)</f>
        <v>0</v>
      </c>
      <c r="AN42" s="36">
        <f>-SUMIF('Trial Balance (Susa)'!$D:$D,"*"&amp;$CN42&amp;"*",'Trial Balance (Susa)'!AG:AG)/1000-SUM($AD42:AM42)</f>
        <v>0</v>
      </c>
      <c r="AO42" s="36">
        <f>-SUMIF('Trial Balance (Susa)'!$D:$D,"*"&amp;$CN42&amp;"*",'Trial Balance (Susa)'!AH:AH)/1000-SUM($AD42:AN42)</f>
        <v>-3.5065200000000001</v>
      </c>
      <c r="AP42" s="36">
        <f>-SUMIF('Trial Balance (Susa)'!$D:$D,"*"&amp;$CN42&amp;"*",'Trial Balance (Susa)'!AI:AI)/1000</f>
        <v>0</v>
      </c>
      <c r="AQ42" s="36">
        <f>-SUMIF('Trial Balance (Susa)'!$D:$D,"*"&amp;$CN42&amp;"*",'Trial Balance (Susa)'!AJ:AJ)/1000-SUM($AP42:AP42)</f>
        <v>0</v>
      </c>
      <c r="AR42" s="36">
        <f>-SUMIF('Trial Balance (Susa)'!$D:$D,"*"&amp;$CN42&amp;"*",'Trial Balance (Susa)'!AK:AK)/1000-SUM($AP42:AQ42)</f>
        <v>-8.4870000000000001E-2</v>
      </c>
      <c r="AS42" s="36">
        <f>-SUMIF('Trial Balance (Susa)'!$D:$D,"*"&amp;$CN42&amp;"*",'Trial Balance (Susa)'!AL:AL)/1000-SUM($AP42:AR42)</f>
        <v>0</v>
      </c>
      <c r="AT42" s="36">
        <f>-SUMIF('Trial Balance (Susa)'!$D:$D,"*"&amp;$CN42&amp;"*",'Trial Balance (Susa)'!AM:AM)/1000-SUM($AP42:AS42)</f>
        <v>0</v>
      </c>
      <c r="AU42" s="36">
        <f>-SUMIF('Trial Balance (Susa)'!$D:$D,"*"&amp;$CN42&amp;"*",'Trial Balance (Susa)'!AN:AN)/1000-SUM($AP42:AT42)</f>
        <v>-3.057E-2</v>
      </c>
      <c r="AV42" s="36">
        <f>-SUMIF('Trial Balance (Susa)'!$D:$D,"*"&amp;$CN42&amp;"*",'Trial Balance (Susa)'!AO:AO)/1000-SUM($AP42:AU42)</f>
        <v>-5.2019999999999997E-2</v>
      </c>
      <c r="AW42" s="36">
        <f>-SUMIF('Trial Balance (Susa)'!$D:$D,"*"&amp;$CN42&amp;"*",'Trial Balance (Susa)'!AP:AP)/1000-SUM($AP42:AV42)</f>
        <v>0</v>
      </c>
      <c r="AX42" s="36">
        <f>-SUMIF('Trial Balance (Susa)'!$D:$D,"*"&amp;$CN42&amp;"*",'Trial Balance (Susa)'!AQ:AQ)/1000-SUM($AP42:AW42)</f>
        <v>-4.3990000000000001E-2</v>
      </c>
      <c r="AY42" s="36">
        <f>-SUMIF('Trial Balance (Susa)'!$D:$D,"*"&amp;$CN42&amp;"*",'Trial Balance (Susa)'!AR:AR)/1000-SUM($AP42:AX42)</f>
        <v>-1.3590000000000019E-2</v>
      </c>
      <c r="AZ42" s="36">
        <f>-SUMIF('Trial Balance (Susa)'!$D:$D,"*"&amp;$CN42&amp;"*",'Trial Balance (Susa)'!AS:AS)/1000-SUM($AP42:AY42)</f>
        <v>0</v>
      </c>
      <c r="BA42" s="36">
        <f>-SUMIF('Trial Balance (Susa)'!$D:$D,"*"&amp;$CN42&amp;"*",'Trial Balance (Susa)'!AT:AT)/1000-SUM($AP42:AZ42)</f>
        <v>-3.6224400000000001</v>
      </c>
      <c r="BB42" s="278"/>
      <c r="BC42" s="278"/>
      <c r="BD42" s="278"/>
      <c r="BE42" s="278"/>
      <c r="BF42" s="278"/>
      <c r="BG42" s="278"/>
      <c r="BH42" s="278"/>
      <c r="BI42" s="278"/>
      <c r="BJ42" s="278"/>
      <c r="BK42" s="278"/>
      <c r="BL42" s="278"/>
      <c r="BM42" s="278"/>
      <c r="BN42" s="278"/>
      <c r="BO42" s="278"/>
      <c r="BP42" s="278"/>
      <c r="BQ42" s="278"/>
      <c r="BR42" s="278"/>
      <c r="BS42" s="278"/>
      <c r="BT42" s="278"/>
      <c r="BU42" s="278"/>
      <c r="BV42" s="278"/>
      <c r="BW42" s="278"/>
      <c r="BX42" s="278"/>
      <c r="BY42" s="278"/>
      <c r="BZ42" s="278"/>
      <c r="CA42" s="278"/>
      <c r="CB42" s="278"/>
      <c r="CC42" s="278"/>
      <c r="CD42" s="278"/>
      <c r="CE42" s="278"/>
      <c r="CF42" s="278"/>
      <c r="CG42" s="278"/>
      <c r="CH42" s="278"/>
      <c r="CI42" s="278"/>
      <c r="CJ42" s="278"/>
      <c r="CK42" s="278"/>
      <c r="CN42" s="364" t="s">
        <v>696</v>
      </c>
    </row>
    <row r="43" spans="3:92" ht="11.25" customHeight="1" outlineLevel="2" x14ac:dyDescent="0.2">
      <c r="C43" s="138" t="str">
        <f>'Lead PL'!C52</f>
        <v>Abschreibungen auf Finanzanlagen</v>
      </c>
      <c r="D43" s="138" t="str">
        <f>'Lead PL'!D52</f>
        <v>Abschreibungn auf Finanzanlagen</v>
      </c>
      <c r="E43" s="138"/>
      <c r="F43" s="36"/>
      <c r="G43" s="36"/>
      <c r="H43" s="36"/>
      <c r="I43" s="36"/>
      <c r="J43" s="36"/>
      <c r="K43" s="36"/>
      <c r="L43" s="36"/>
      <c r="M43" s="36"/>
      <c r="N43" s="36"/>
      <c r="O43" s="36"/>
      <c r="P43" s="36"/>
      <c r="Q43" s="36"/>
      <c r="R43" s="36">
        <f>-SUMIF('Trial Balance (Susa)'!$D:$D,"*"&amp;$CN43&amp;"*",'Trial Balance (Susa)'!K:K)/1000</f>
        <v>0</v>
      </c>
      <c r="S43" s="36">
        <f>-SUMIF('Trial Balance (Susa)'!$D:$D,"*"&amp;$CN43&amp;"*",'Trial Balance (Susa)'!L:L)/1000-R43</f>
        <v>0</v>
      </c>
      <c r="T43" s="36">
        <f>-SUMIF('Trial Balance (Susa)'!$D:$D,"*"&amp;$CN43&amp;"*",'Trial Balance (Susa)'!M:M)/1000-SUM($R43:S43)</f>
        <v>0</v>
      </c>
      <c r="U43" s="36">
        <f>-SUMIF('Trial Balance (Susa)'!$D:$D,"*"&amp;$CN43&amp;"*",'Trial Balance (Susa)'!N:N)/1000-SUM($R43:T43)</f>
        <v>0</v>
      </c>
      <c r="V43" s="36">
        <f>-SUMIF('Trial Balance (Susa)'!$D:$D,"*"&amp;$CN43&amp;"*",'Trial Balance (Susa)'!O:O)/1000-SUM($R43:U43)</f>
        <v>0</v>
      </c>
      <c r="W43" s="36">
        <f>-SUMIF('Trial Balance (Susa)'!$D:$D,"*"&amp;$CN43&amp;"*",'Trial Balance (Susa)'!P:P)/1000-SUM($R43:V43)</f>
        <v>0</v>
      </c>
      <c r="X43" s="36">
        <f>-SUMIF('Trial Balance (Susa)'!$D:$D,"*"&amp;$CN43&amp;"*",'Trial Balance (Susa)'!Q:Q)/1000-SUM($R43:W43)</f>
        <v>0</v>
      </c>
      <c r="Y43" s="36">
        <f>-SUMIF('Trial Balance (Susa)'!$D:$D,"*"&amp;$CN43&amp;"*",'Trial Balance (Susa)'!R:R)/1000-SUM($R43:X43)</f>
        <v>0</v>
      </c>
      <c r="Z43" s="36">
        <f>-SUMIF('Trial Balance (Susa)'!$D:$D,"*"&amp;$CN43&amp;"*",'Trial Balance (Susa)'!S:S)/1000-SUM($R43:Y43)</f>
        <v>-3.6566199999999998</v>
      </c>
      <c r="AA43" s="36">
        <f>-SUMIF('Trial Balance (Susa)'!$D:$D,"*"&amp;$CN43&amp;"*",'Trial Balance (Susa)'!T:T)/1000-SUM($R43:Z43)</f>
        <v>3.6566199999999998</v>
      </c>
      <c r="AB43" s="36">
        <f>-SUMIF('Trial Balance (Susa)'!$D:$D,"*"&amp;$CN43&amp;"*",'Trial Balance (Susa)'!U:U)/1000-SUM($R43:AA43)</f>
        <v>0</v>
      </c>
      <c r="AC43" s="36">
        <f>-SUMIF('Trial Balance (Susa)'!$D:$D,"*"&amp;$CN43&amp;"*",'Trial Balance (Susa)'!V:V)/1000-SUM($R43:AB43)</f>
        <v>-35.078499999999998</v>
      </c>
      <c r="AD43" s="36">
        <f>-SUMIF('Trial Balance (Susa)'!$D:$D,"*"&amp;$CN43&amp;"*",'Trial Balance (Susa)'!W:W)/1000</f>
        <v>0</v>
      </c>
      <c r="AE43" s="36">
        <f>-SUMIF('Trial Balance (Susa)'!$D:$D,"*"&amp;$CN43&amp;"*",'Trial Balance (Susa)'!X:X)/1000-SUM($AD43:AD43)</f>
        <v>0</v>
      </c>
      <c r="AF43" s="36">
        <f>-SUMIF('Trial Balance (Susa)'!$D:$D,"*"&amp;$CN43&amp;"*",'Trial Balance (Susa)'!Y:Y)/1000-SUM($AD43:AE43)</f>
        <v>0</v>
      </c>
      <c r="AG43" s="36">
        <f>-SUMIF('Trial Balance (Susa)'!$D:$D,"*"&amp;$CN43&amp;"*",'Trial Balance (Susa)'!Z:Z)/1000-SUM($AD43:AF43)</f>
        <v>0</v>
      </c>
      <c r="AH43" s="36">
        <f>-SUMIF('Trial Balance (Susa)'!$D:$D,"*"&amp;$CN43&amp;"*",'Trial Balance (Susa)'!AA:AA)/1000-SUM($AD43:AG43)</f>
        <v>0</v>
      </c>
      <c r="AI43" s="36">
        <f>-SUMIF('Trial Balance (Susa)'!$D:$D,"*"&amp;$CN43&amp;"*",'Trial Balance (Susa)'!AB:AB)/1000-SUM($AD43:AH43)</f>
        <v>0</v>
      </c>
      <c r="AJ43" s="36">
        <f>-SUMIF('Trial Balance (Susa)'!$D:$D,"*"&amp;$CN43&amp;"*",'Trial Balance (Susa)'!AC:AC)/1000-SUM($AD43:AI43)</f>
        <v>0</v>
      </c>
      <c r="AK43" s="36">
        <f>-SUMIF('Trial Balance (Susa)'!$D:$D,"*"&amp;$CN43&amp;"*",'Trial Balance (Susa)'!AD:AD)/1000-SUM($AD43:AJ43)</f>
        <v>0</v>
      </c>
      <c r="AL43" s="36">
        <f>-SUMIF('Trial Balance (Susa)'!$D:$D,"*"&amp;$CN43&amp;"*",'Trial Balance (Susa)'!AE:AE)/1000-SUM($AD43:AK43)</f>
        <v>0</v>
      </c>
      <c r="AM43" s="36">
        <f>-SUMIF('Trial Balance (Susa)'!$D:$D,"*"&amp;$CN43&amp;"*",'Trial Balance (Susa)'!AF:AF)/1000-SUM($AD43:AL43)</f>
        <v>0</v>
      </c>
      <c r="AN43" s="36">
        <f>-SUMIF('Trial Balance (Susa)'!$D:$D,"*"&amp;$CN43&amp;"*",'Trial Balance (Susa)'!AG:AG)/1000-SUM($AD43:AM43)</f>
        <v>0</v>
      </c>
      <c r="AO43" s="36">
        <f>-SUMIF('Trial Balance (Susa)'!$D:$D,"*"&amp;$CN43&amp;"*",'Trial Balance (Susa)'!AH:AH)/1000-SUM($AD43:AN43)</f>
        <v>-4.0732900000000001</v>
      </c>
      <c r="AP43" s="36">
        <f>-SUMIF('Trial Balance (Susa)'!$D:$D,"*"&amp;$CN43&amp;"*",'Trial Balance (Susa)'!AI:AI)/1000</f>
        <v>0</v>
      </c>
      <c r="AQ43" s="36">
        <f>-SUMIF('Trial Balance (Susa)'!$D:$D,"*"&amp;$CN43&amp;"*",'Trial Balance (Susa)'!AJ:AJ)/1000-SUM($AP43:AP43)</f>
        <v>0</v>
      </c>
      <c r="AR43" s="36">
        <f>-SUMIF('Trial Balance (Susa)'!$D:$D,"*"&amp;$CN43&amp;"*",'Trial Balance (Susa)'!AK:AK)/1000-SUM($AP43:AQ43)</f>
        <v>0</v>
      </c>
      <c r="AS43" s="36">
        <f>-SUMIF('Trial Balance (Susa)'!$D:$D,"*"&amp;$CN43&amp;"*",'Trial Balance (Susa)'!AL:AL)/1000-SUM($AP43:AR43)</f>
        <v>0</v>
      </c>
      <c r="AT43" s="36">
        <f>-SUMIF('Trial Balance (Susa)'!$D:$D,"*"&amp;$CN43&amp;"*",'Trial Balance (Susa)'!AM:AM)/1000-SUM($AP43:AS43)</f>
        <v>0</v>
      </c>
      <c r="AU43" s="36">
        <f>-SUMIF('Trial Balance (Susa)'!$D:$D,"*"&amp;$CN43&amp;"*",'Trial Balance (Susa)'!AN:AN)/1000-SUM($AP43:AT43)</f>
        <v>0</v>
      </c>
      <c r="AV43" s="36">
        <f>-SUMIF('Trial Balance (Susa)'!$D:$D,"*"&amp;$CN43&amp;"*",'Trial Balance (Susa)'!AO:AO)/1000-SUM($AP43:AU43)</f>
        <v>0</v>
      </c>
      <c r="AW43" s="36">
        <f>-SUMIF('Trial Balance (Susa)'!$D:$D,"*"&amp;$CN43&amp;"*",'Trial Balance (Susa)'!AP:AP)/1000-SUM($AP43:AV43)</f>
        <v>0</v>
      </c>
      <c r="AX43" s="36">
        <f>-SUMIF('Trial Balance (Susa)'!$D:$D,"*"&amp;$CN43&amp;"*",'Trial Balance (Susa)'!AQ:AQ)/1000-SUM($AP43:AW43)</f>
        <v>0</v>
      </c>
      <c r="AY43" s="36">
        <f>-SUMIF('Trial Balance (Susa)'!$D:$D,"*"&amp;$CN43&amp;"*",'Trial Balance (Susa)'!AR:AR)/1000-SUM($AP43:AX43)</f>
        <v>0</v>
      </c>
      <c r="AZ43" s="36">
        <f>-SUMIF('Trial Balance (Susa)'!$D:$D,"*"&amp;$CN43&amp;"*",'Trial Balance (Susa)'!AS:AS)/1000-SUM($AP43:AY43)</f>
        <v>0</v>
      </c>
      <c r="BA43" s="36">
        <f>-SUMIF('Trial Balance (Susa)'!$D:$D,"*"&amp;$CN43&amp;"*",'Trial Balance (Susa)'!AT:AT)/1000-SUM($AP43:AZ43)</f>
        <v>-0.71</v>
      </c>
      <c r="BB43" s="278"/>
      <c r="BC43" s="278"/>
      <c r="BD43" s="278"/>
      <c r="BE43" s="278"/>
      <c r="BF43" s="278"/>
      <c r="BG43" s="278"/>
      <c r="BH43" s="278"/>
      <c r="BI43" s="278"/>
      <c r="BJ43" s="278"/>
      <c r="BK43" s="278"/>
      <c r="BL43" s="278"/>
      <c r="BM43" s="278"/>
      <c r="BN43" s="278"/>
      <c r="BO43" s="278"/>
      <c r="BP43" s="278"/>
      <c r="BQ43" s="278"/>
      <c r="BR43" s="278"/>
      <c r="BS43" s="278"/>
      <c r="BT43" s="278"/>
      <c r="BU43" s="278"/>
      <c r="BV43" s="278"/>
      <c r="BW43" s="278"/>
      <c r="BX43" s="278"/>
      <c r="BY43" s="278"/>
      <c r="BZ43" s="278"/>
      <c r="CA43" s="278"/>
      <c r="CB43" s="278"/>
      <c r="CC43" s="278"/>
      <c r="CD43" s="278"/>
      <c r="CE43" s="278"/>
      <c r="CF43" s="278"/>
      <c r="CG43" s="278"/>
      <c r="CH43" s="278"/>
      <c r="CI43" s="278"/>
      <c r="CJ43" s="278"/>
      <c r="CK43" s="278"/>
      <c r="CN43" s="364" t="s">
        <v>2407</v>
      </c>
    </row>
    <row r="44" spans="3:92" ht="11.25" customHeight="1" outlineLevel="2" x14ac:dyDescent="0.2">
      <c r="C44" s="138" t="str">
        <f>'Lead PL'!C53</f>
        <v>Dummy 2</v>
      </c>
      <c r="D44" s="138" t="str">
        <f>'Lead PL'!D53</f>
        <v>Dummy 2</v>
      </c>
      <c r="E44" s="138"/>
      <c r="F44" s="36"/>
      <c r="G44" s="36"/>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278"/>
      <c r="AV44" s="278"/>
      <c r="AW44" s="278"/>
      <c r="AX44" s="278"/>
      <c r="AY44" s="278"/>
      <c r="AZ44" s="278"/>
      <c r="BA44" s="278"/>
      <c r="BB44" s="278"/>
      <c r="BC44" s="278"/>
      <c r="BD44" s="278"/>
      <c r="BE44" s="278"/>
      <c r="BF44" s="278"/>
      <c r="BG44" s="278"/>
      <c r="BH44" s="278"/>
      <c r="BI44" s="278"/>
      <c r="BJ44" s="278"/>
      <c r="BK44" s="278"/>
      <c r="BL44" s="278"/>
      <c r="BM44" s="278"/>
      <c r="BN44" s="278"/>
      <c r="BO44" s="278"/>
      <c r="BP44" s="278"/>
      <c r="BQ44" s="278"/>
      <c r="BR44" s="278"/>
      <c r="BS44" s="278"/>
      <c r="BT44" s="278"/>
      <c r="BU44" s="278"/>
      <c r="BV44" s="278"/>
      <c r="BW44" s="278"/>
      <c r="BX44" s="278"/>
      <c r="BY44" s="278"/>
      <c r="BZ44" s="278"/>
      <c r="CA44" s="278"/>
      <c r="CB44" s="278"/>
      <c r="CC44" s="278"/>
      <c r="CD44" s="278"/>
      <c r="CE44" s="278"/>
      <c r="CF44" s="278"/>
      <c r="CG44" s="278"/>
      <c r="CH44" s="278"/>
      <c r="CI44" s="278"/>
      <c r="CJ44" s="278"/>
      <c r="CK44" s="278"/>
      <c r="CN44" s="364"/>
    </row>
    <row r="45" spans="3:92" ht="11.25" customHeight="1" outlineLevel="2" x14ac:dyDescent="0.2">
      <c r="C45" s="138" t="str">
        <f>'Lead PL'!C54</f>
        <v>Dummy 3</v>
      </c>
      <c r="D45" s="138" t="str">
        <f>'Lead PL'!D54</f>
        <v>Dummy 3</v>
      </c>
      <c r="E45" s="138"/>
      <c r="F45" s="36"/>
      <c r="G45" s="36"/>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278"/>
      <c r="AV45" s="278"/>
      <c r="AW45" s="278"/>
      <c r="AX45" s="278"/>
      <c r="AY45" s="278"/>
      <c r="AZ45" s="278"/>
      <c r="BA45" s="278"/>
      <c r="BB45" s="278"/>
      <c r="BC45" s="278"/>
      <c r="BD45" s="278"/>
      <c r="BE45" s="278"/>
      <c r="BF45" s="278"/>
      <c r="BG45" s="278"/>
      <c r="BH45" s="278"/>
      <c r="BI45" s="278"/>
      <c r="BJ45" s="278"/>
      <c r="BK45" s="278"/>
      <c r="BL45" s="278"/>
      <c r="BM45" s="278"/>
      <c r="BN45" s="278"/>
      <c r="BO45" s="278"/>
      <c r="BP45" s="278"/>
      <c r="BQ45" s="278"/>
      <c r="BR45" s="278"/>
      <c r="BS45" s="278"/>
      <c r="BT45" s="278"/>
      <c r="BU45" s="278"/>
      <c r="BV45" s="278"/>
      <c r="BW45" s="278"/>
      <c r="BX45" s="278"/>
      <c r="BY45" s="278"/>
      <c r="BZ45" s="278"/>
      <c r="CA45" s="278"/>
      <c r="CB45" s="278"/>
      <c r="CC45" s="278"/>
      <c r="CD45" s="278"/>
      <c r="CE45" s="278"/>
      <c r="CF45" s="278"/>
      <c r="CG45" s="278"/>
      <c r="CH45" s="278"/>
      <c r="CI45" s="278"/>
      <c r="CJ45" s="278"/>
      <c r="CK45" s="278"/>
      <c r="CN45" s="364"/>
    </row>
    <row r="46" spans="3:92" ht="11.25" customHeight="1" x14ac:dyDescent="0.2">
      <c r="C46" s="42" t="str">
        <f>'Lead PL'!C55</f>
        <v>Finanzergebnis</v>
      </c>
      <c r="D46" s="42" t="str">
        <f>'Lead PL'!D55</f>
        <v>Financial result</v>
      </c>
      <c r="E46" s="42"/>
      <c r="F46" s="127">
        <f t="shared" ref="F46:AK46" si="11">SUM(F40:F45)</f>
        <v>0</v>
      </c>
      <c r="G46" s="127">
        <f t="shared" si="11"/>
        <v>0</v>
      </c>
      <c r="H46" s="127">
        <f t="shared" si="11"/>
        <v>0</v>
      </c>
      <c r="I46" s="127">
        <f t="shared" si="11"/>
        <v>0</v>
      </c>
      <c r="J46" s="127">
        <f t="shared" si="11"/>
        <v>0</v>
      </c>
      <c r="K46" s="127">
        <f t="shared" si="11"/>
        <v>0</v>
      </c>
      <c r="L46" s="127">
        <f t="shared" si="11"/>
        <v>0</v>
      </c>
      <c r="M46" s="127">
        <f t="shared" si="11"/>
        <v>0</v>
      </c>
      <c r="N46" s="127">
        <f t="shared" si="11"/>
        <v>0</v>
      </c>
      <c r="O46" s="127">
        <f t="shared" si="11"/>
        <v>0</v>
      </c>
      <c r="P46" s="127">
        <f t="shared" si="11"/>
        <v>0</v>
      </c>
      <c r="Q46" s="127">
        <f t="shared" si="11"/>
        <v>0</v>
      </c>
      <c r="R46" s="127">
        <f t="shared" si="11"/>
        <v>-0.12913999999999998</v>
      </c>
      <c r="S46" s="127">
        <f t="shared" si="11"/>
        <v>2.02</v>
      </c>
      <c r="T46" s="127">
        <f t="shared" si="11"/>
        <v>0</v>
      </c>
      <c r="U46" s="127">
        <f t="shared" si="11"/>
        <v>0</v>
      </c>
      <c r="V46" s="127">
        <f t="shared" si="11"/>
        <v>2.4</v>
      </c>
      <c r="W46" s="127">
        <f t="shared" si="11"/>
        <v>4.9999999999998934E-3</v>
      </c>
      <c r="X46" s="127">
        <f t="shared" si="11"/>
        <v>0</v>
      </c>
      <c r="Y46" s="127">
        <f t="shared" si="11"/>
        <v>0</v>
      </c>
      <c r="Z46" s="127">
        <f t="shared" si="11"/>
        <v>-7.2176200000000001</v>
      </c>
      <c r="AA46" s="127">
        <f t="shared" si="11"/>
        <v>3.6566199999999998</v>
      </c>
      <c r="AB46" s="127">
        <f t="shared" si="11"/>
        <v>0</v>
      </c>
      <c r="AC46" s="127">
        <f t="shared" si="11"/>
        <v>-35.078499999999998</v>
      </c>
      <c r="AD46" s="127">
        <f t="shared" si="11"/>
        <v>0</v>
      </c>
      <c r="AE46" s="127">
        <f t="shared" si="11"/>
        <v>1.1000000000000001</v>
      </c>
      <c r="AF46" s="127">
        <f t="shared" si="11"/>
        <v>9.6999999999999975E-2</v>
      </c>
      <c r="AG46" s="127">
        <f t="shared" si="11"/>
        <v>1.8191599999999997</v>
      </c>
      <c r="AH46" s="127">
        <f t="shared" si="11"/>
        <v>0.11000000000000032</v>
      </c>
      <c r="AI46" s="127">
        <f t="shared" si="11"/>
        <v>6.2600000000001543E-3</v>
      </c>
      <c r="AJ46" s="127">
        <f t="shared" si="11"/>
        <v>0</v>
      </c>
      <c r="AK46" s="127">
        <f t="shared" si="11"/>
        <v>0</v>
      </c>
      <c r="AL46" s="127">
        <f t="shared" ref="AL46:BQ46" si="12">SUM(AL40:AL45)</f>
        <v>0</v>
      </c>
      <c r="AM46" s="127">
        <f t="shared" si="12"/>
        <v>0</v>
      </c>
      <c r="AN46" s="127">
        <f t="shared" si="12"/>
        <v>0</v>
      </c>
      <c r="AO46" s="127">
        <f t="shared" si="12"/>
        <v>-7.5775700000000006</v>
      </c>
      <c r="AP46" s="127">
        <f t="shared" si="12"/>
        <v>0</v>
      </c>
      <c r="AQ46" s="127">
        <f t="shared" si="12"/>
        <v>0</v>
      </c>
      <c r="AR46" s="127">
        <f t="shared" si="12"/>
        <v>1.21513</v>
      </c>
      <c r="AS46" s="127">
        <f t="shared" si="12"/>
        <v>0.90000000000000013</v>
      </c>
      <c r="AT46" s="127">
        <f t="shared" si="12"/>
        <v>0</v>
      </c>
      <c r="AU46" s="125">
        <f t="shared" si="12"/>
        <v>-2.4309999999999846E-2</v>
      </c>
      <c r="AV46" s="125">
        <f t="shared" si="12"/>
        <v>-5.2019999999999997E-2</v>
      </c>
      <c r="AW46" s="125">
        <f t="shared" si="12"/>
        <v>0</v>
      </c>
      <c r="AX46" s="125">
        <f t="shared" si="12"/>
        <v>-4.3990000000000001E-2</v>
      </c>
      <c r="AY46" s="125">
        <f t="shared" si="12"/>
        <v>-1.3590000000000019E-2</v>
      </c>
      <c r="AZ46" s="125">
        <f t="shared" si="12"/>
        <v>0</v>
      </c>
      <c r="BA46" s="125">
        <f t="shared" si="12"/>
        <v>-4.3302000000000005</v>
      </c>
      <c r="BB46" s="125">
        <f t="shared" si="12"/>
        <v>0</v>
      </c>
      <c r="BC46" s="125">
        <f t="shared" si="12"/>
        <v>0</v>
      </c>
      <c r="BD46" s="125">
        <f t="shared" si="12"/>
        <v>0</v>
      </c>
      <c r="BE46" s="125">
        <f t="shared" si="12"/>
        <v>0</v>
      </c>
      <c r="BF46" s="125">
        <f t="shared" si="12"/>
        <v>0</v>
      </c>
      <c r="BG46" s="125">
        <f t="shared" si="12"/>
        <v>0</v>
      </c>
      <c r="BH46" s="125">
        <f t="shared" si="12"/>
        <v>0</v>
      </c>
      <c r="BI46" s="125">
        <f t="shared" si="12"/>
        <v>0</v>
      </c>
      <c r="BJ46" s="125">
        <f t="shared" si="12"/>
        <v>0</v>
      </c>
      <c r="BK46" s="125">
        <f t="shared" si="12"/>
        <v>0</v>
      </c>
      <c r="BL46" s="125">
        <f t="shared" si="12"/>
        <v>0</v>
      </c>
      <c r="BM46" s="125">
        <f t="shared" si="12"/>
        <v>0</v>
      </c>
      <c r="BN46" s="125">
        <f t="shared" si="12"/>
        <v>0</v>
      </c>
      <c r="BO46" s="125">
        <f t="shared" si="12"/>
        <v>0</v>
      </c>
      <c r="BP46" s="125">
        <f t="shared" si="12"/>
        <v>0</v>
      </c>
      <c r="BQ46" s="125">
        <f t="shared" si="12"/>
        <v>0</v>
      </c>
      <c r="BR46" s="125">
        <f t="shared" ref="BR46:CK46" si="13">SUM(BR40:BR45)</f>
        <v>0</v>
      </c>
      <c r="BS46" s="125">
        <f t="shared" si="13"/>
        <v>0</v>
      </c>
      <c r="BT46" s="125">
        <f t="shared" si="13"/>
        <v>0</v>
      </c>
      <c r="BU46" s="125">
        <f t="shared" si="13"/>
        <v>0</v>
      </c>
      <c r="BV46" s="125">
        <f t="shared" si="13"/>
        <v>0</v>
      </c>
      <c r="BW46" s="125">
        <f t="shared" si="13"/>
        <v>0</v>
      </c>
      <c r="BX46" s="125">
        <f t="shared" si="13"/>
        <v>0</v>
      </c>
      <c r="BY46" s="125">
        <f t="shared" si="13"/>
        <v>0</v>
      </c>
      <c r="BZ46" s="125">
        <f t="shared" si="13"/>
        <v>0</v>
      </c>
      <c r="CA46" s="125">
        <f t="shared" si="13"/>
        <v>0</v>
      </c>
      <c r="CB46" s="125">
        <f t="shared" si="13"/>
        <v>0</v>
      </c>
      <c r="CC46" s="125">
        <f t="shared" si="13"/>
        <v>0</v>
      </c>
      <c r="CD46" s="125">
        <f t="shared" si="13"/>
        <v>0</v>
      </c>
      <c r="CE46" s="125">
        <f t="shared" si="13"/>
        <v>0</v>
      </c>
      <c r="CF46" s="125">
        <f t="shared" si="13"/>
        <v>0</v>
      </c>
      <c r="CG46" s="125">
        <f t="shared" si="13"/>
        <v>0</v>
      </c>
      <c r="CH46" s="125">
        <f t="shared" si="13"/>
        <v>0</v>
      </c>
      <c r="CI46" s="125">
        <f t="shared" si="13"/>
        <v>0</v>
      </c>
      <c r="CJ46" s="125">
        <f t="shared" si="13"/>
        <v>0</v>
      </c>
      <c r="CK46" s="125">
        <f t="shared" si="13"/>
        <v>0</v>
      </c>
    </row>
    <row r="47" spans="3:92" ht="11.25" customHeight="1" x14ac:dyDescent="0.2">
      <c r="C47" s="141" t="str">
        <f>'Lead PL'!C56</f>
        <v>EBT</v>
      </c>
      <c r="D47" s="141" t="str">
        <f>'Lead PL'!D56</f>
        <v>EBT</v>
      </c>
      <c r="E47" s="141"/>
      <c r="F47" s="141">
        <f t="shared" ref="F47:AK47" si="14">F46+F39</f>
        <v>0</v>
      </c>
      <c r="G47" s="141">
        <f t="shared" si="14"/>
        <v>0</v>
      </c>
      <c r="H47" s="141">
        <f t="shared" si="14"/>
        <v>0</v>
      </c>
      <c r="I47" s="141">
        <f t="shared" si="14"/>
        <v>0</v>
      </c>
      <c r="J47" s="141">
        <f t="shared" si="14"/>
        <v>0</v>
      </c>
      <c r="K47" s="141">
        <f t="shared" si="14"/>
        <v>0</v>
      </c>
      <c r="L47" s="141">
        <f t="shared" si="14"/>
        <v>0</v>
      </c>
      <c r="M47" s="141">
        <f t="shared" si="14"/>
        <v>0</v>
      </c>
      <c r="N47" s="141">
        <f t="shared" si="14"/>
        <v>0</v>
      </c>
      <c r="O47" s="141">
        <f t="shared" si="14"/>
        <v>0</v>
      </c>
      <c r="P47" s="141">
        <f t="shared" si="14"/>
        <v>0</v>
      </c>
      <c r="Q47" s="141">
        <f t="shared" si="14"/>
        <v>0</v>
      </c>
      <c r="R47" s="141">
        <f t="shared" si="14"/>
        <v>-28.583740000000116</v>
      </c>
      <c r="S47" s="141">
        <f t="shared" si="14"/>
        <v>-100.31686999999982</v>
      </c>
      <c r="T47" s="141">
        <f t="shared" si="14"/>
        <v>-33.537780000000019</v>
      </c>
      <c r="U47" s="141">
        <f t="shared" si="14"/>
        <v>127.3066700000012</v>
      </c>
      <c r="V47" s="141">
        <f t="shared" si="14"/>
        <v>-179.71604000000175</v>
      </c>
      <c r="W47" s="141">
        <f t="shared" si="14"/>
        <v>846.74345999999866</v>
      </c>
      <c r="X47" s="141">
        <f t="shared" si="14"/>
        <v>8.3968000000028269</v>
      </c>
      <c r="Y47" s="141">
        <f t="shared" si="14"/>
        <v>421.66454000000004</v>
      </c>
      <c r="Z47" s="141">
        <f t="shared" si="14"/>
        <v>16.047769999996955</v>
      </c>
      <c r="AA47" s="141">
        <f t="shared" si="14"/>
        <v>23.546520000004531</v>
      </c>
      <c r="AB47" s="141">
        <f t="shared" si="14"/>
        <v>368.50008999999801</v>
      </c>
      <c r="AC47" s="141">
        <f t="shared" si="14"/>
        <v>-233.87499000000048</v>
      </c>
      <c r="AD47" s="141">
        <f t="shared" si="14"/>
        <v>173.93319</v>
      </c>
      <c r="AE47" s="141">
        <f t="shared" si="14"/>
        <v>285.81563999999975</v>
      </c>
      <c r="AF47" s="141">
        <f t="shared" si="14"/>
        <v>493.59076000000056</v>
      </c>
      <c r="AG47" s="141">
        <f t="shared" si="14"/>
        <v>110.73602999999957</v>
      </c>
      <c r="AH47" s="141">
        <f t="shared" si="14"/>
        <v>23.047940000000523</v>
      </c>
      <c r="AI47" s="141">
        <f t="shared" si="14"/>
        <v>-210.73331999999988</v>
      </c>
      <c r="AJ47" s="141">
        <f t="shared" si="14"/>
        <v>-803.79297999999767</v>
      </c>
      <c r="AK47" s="141">
        <f t="shared" si="14"/>
        <v>211.07642000000158</v>
      </c>
      <c r="AL47" s="141">
        <f t="shared" ref="AL47:BQ47" si="15">AL46+AL39</f>
        <v>-276.57853000000262</v>
      </c>
      <c r="AM47" s="141">
        <f t="shared" si="15"/>
        <v>73.398760000000607</v>
      </c>
      <c r="AN47" s="141">
        <f t="shared" si="15"/>
        <v>200.42527999999714</v>
      </c>
      <c r="AO47" s="141">
        <f t="shared" si="15"/>
        <v>1159.2567200000021</v>
      </c>
      <c r="AP47" s="141">
        <f t="shared" si="15"/>
        <v>112.3410999999998</v>
      </c>
      <c r="AQ47" s="141">
        <f t="shared" si="15"/>
        <v>105.4030200000001</v>
      </c>
      <c r="AR47" s="141">
        <f t="shared" si="15"/>
        <v>-88.806270000000382</v>
      </c>
      <c r="AS47" s="141">
        <f t="shared" si="15"/>
        <v>128.32071000000096</v>
      </c>
      <c r="AT47" s="141">
        <f t="shared" si="15"/>
        <v>149.22159999999866</v>
      </c>
      <c r="AU47" s="379">
        <f t="shared" si="15"/>
        <v>232.87153999999947</v>
      </c>
      <c r="AV47" s="379">
        <f t="shared" si="15"/>
        <v>-36.861989999999963</v>
      </c>
      <c r="AW47" s="379">
        <f t="shared" si="15"/>
        <v>453.15078999999929</v>
      </c>
      <c r="AX47" s="379">
        <f t="shared" si="15"/>
        <v>173.8818800000025</v>
      </c>
      <c r="AY47" s="379">
        <f t="shared" si="15"/>
        <v>201.05779000000328</v>
      </c>
      <c r="AZ47" s="379">
        <f t="shared" si="15"/>
        <v>-146.98810000000412</v>
      </c>
      <c r="BA47" s="379">
        <f t="shared" si="15"/>
        <v>-238.23948999999493</v>
      </c>
      <c r="BB47" s="379">
        <f t="shared" si="15"/>
        <v>0</v>
      </c>
      <c r="BC47" s="379">
        <f t="shared" si="15"/>
        <v>0</v>
      </c>
      <c r="BD47" s="379">
        <f t="shared" si="15"/>
        <v>0</v>
      </c>
      <c r="BE47" s="379">
        <f t="shared" si="15"/>
        <v>0</v>
      </c>
      <c r="BF47" s="379">
        <f t="shared" si="15"/>
        <v>0</v>
      </c>
      <c r="BG47" s="379">
        <f t="shared" si="15"/>
        <v>0</v>
      </c>
      <c r="BH47" s="379">
        <f t="shared" si="15"/>
        <v>0</v>
      </c>
      <c r="BI47" s="379">
        <f t="shared" si="15"/>
        <v>0</v>
      </c>
      <c r="BJ47" s="379">
        <f t="shared" si="15"/>
        <v>0</v>
      </c>
      <c r="BK47" s="379">
        <f t="shared" si="15"/>
        <v>0</v>
      </c>
      <c r="BL47" s="379">
        <f t="shared" si="15"/>
        <v>0</v>
      </c>
      <c r="BM47" s="379">
        <f t="shared" si="15"/>
        <v>0</v>
      </c>
      <c r="BN47" s="379">
        <f t="shared" si="15"/>
        <v>0</v>
      </c>
      <c r="BO47" s="379">
        <f t="shared" si="15"/>
        <v>0</v>
      </c>
      <c r="BP47" s="379">
        <f t="shared" si="15"/>
        <v>0</v>
      </c>
      <c r="BQ47" s="379">
        <f t="shared" si="15"/>
        <v>0</v>
      </c>
      <c r="BR47" s="379">
        <f t="shared" ref="BR47:CK47" si="16">BR46+BR39</f>
        <v>0</v>
      </c>
      <c r="BS47" s="379">
        <f t="shared" si="16"/>
        <v>0</v>
      </c>
      <c r="BT47" s="379">
        <f t="shared" si="16"/>
        <v>0</v>
      </c>
      <c r="BU47" s="379">
        <f t="shared" si="16"/>
        <v>0</v>
      </c>
      <c r="BV47" s="379">
        <f t="shared" si="16"/>
        <v>0</v>
      </c>
      <c r="BW47" s="379">
        <f t="shared" si="16"/>
        <v>0</v>
      </c>
      <c r="BX47" s="379">
        <f t="shared" si="16"/>
        <v>0</v>
      </c>
      <c r="BY47" s="379">
        <f t="shared" si="16"/>
        <v>0</v>
      </c>
      <c r="BZ47" s="379">
        <f t="shared" si="16"/>
        <v>0</v>
      </c>
      <c r="CA47" s="379">
        <f t="shared" si="16"/>
        <v>0</v>
      </c>
      <c r="CB47" s="379">
        <f t="shared" si="16"/>
        <v>0</v>
      </c>
      <c r="CC47" s="379">
        <f t="shared" si="16"/>
        <v>0</v>
      </c>
      <c r="CD47" s="379">
        <f t="shared" si="16"/>
        <v>0</v>
      </c>
      <c r="CE47" s="379">
        <f t="shared" si="16"/>
        <v>0</v>
      </c>
      <c r="CF47" s="379">
        <f t="shared" si="16"/>
        <v>0</v>
      </c>
      <c r="CG47" s="379">
        <f t="shared" si="16"/>
        <v>0</v>
      </c>
      <c r="CH47" s="379">
        <f t="shared" si="16"/>
        <v>0</v>
      </c>
      <c r="CI47" s="379">
        <f t="shared" si="16"/>
        <v>0</v>
      </c>
      <c r="CJ47" s="379">
        <f t="shared" si="16"/>
        <v>0</v>
      </c>
      <c r="CK47" s="379">
        <f t="shared" si="16"/>
        <v>0</v>
      </c>
    </row>
    <row r="48" spans="3:92" ht="11.25" customHeight="1" x14ac:dyDescent="0.2">
      <c r="C48" s="37" t="str">
        <f>'Lead PL'!C57</f>
        <v>Ertragssteuern</v>
      </c>
      <c r="D48" s="37" t="str">
        <f>'Lead PL'!D57</f>
        <v>Income taxes</v>
      </c>
      <c r="E48" s="37"/>
      <c r="F48" s="36"/>
      <c r="G48" s="36"/>
      <c r="H48" s="36"/>
      <c r="I48" s="36"/>
      <c r="J48" s="36"/>
      <c r="K48" s="36"/>
      <c r="L48" s="36"/>
      <c r="M48" s="36"/>
      <c r="N48" s="36"/>
      <c r="O48" s="36"/>
      <c r="P48" s="36"/>
      <c r="Q48" s="36"/>
      <c r="R48" s="36">
        <f>-SUMIF('Trial Balance (Susa)'!$D:$D,"*"&amp;$CN48&amp;"*",'Trial Balance (Susa)'!K:K)/1000</f>
        <v>0</v>
      </c>
      <c r="S48" s="36">
        <f>-SUMIF('Trial Balance (Susa)'!$D:$D,"*"&amp;$CN48&amp;"*",'Trial Balance (Susa)'!L:L)/1000-R48</f>
        <v>-83.278770000000009</v>
      </c>
      <c r="T48" s="36">
        <f>-SUMIF('Trial Balance (Susa)'!$D:$D,"*"&amp;$CN48&amp;"*",'Trial Balance (Susa)'!M:M)/1000-SUM($R48:S48)</f>
        <v>-85.380000000000024</v>
      </c>
      <c r="U48" s="36">
        <f>-SUMIF('Trial Balance (Susa)'!$D:$D,"*"&amp;$CN48&amp;"*",'Trial Balance (Susa)'!N:N)/1000-SUM($R48:T48)</f>
        <v>0</v>
      </c>
      <c r="V48" s="36">
        <f>-SUMIF('Trial Balance (Susa)'!$D:$D,"*"&amp;$CN48&amp;"*",'Trial Balance (Susa)'!O:O)/1000-SUM($R48:U48)</f>
        <v>-83.378999999999991</v>
      </c>
      <c r="W48" s="36">
        <f>-SUMIF('Trial Balance (Susa)'!$D:$D,"*"&amp;$CN48&amp;"*",'Trial Balance (Susa)'!P:P)/1000-SUM($R48:V48)</f>
        <v>-85.381309999999928</v>
      </c>
      <c r="X48" s="36">
        <f>-SUMIF('Trial Balance (Susa)'!$D:$D,"*"&amp;$CN48&amp;"*",'Trial Balance (Susa)'!Q:Q)/1000-SUM($R48:W48)</f>
        <v>0</v>
      </c>
      <c r="Y48" s="36">
        <f>-SUMIF('Trial Balance (Susa)'!$D:$D,"*"&amp;$CN48&amp;"*",'Trial Balance (Susa)'!R:R)/1000-SUM($R48:X48)</f>
        <v>-82.745999999999981</v>
      </c>
      <c r="Z48" s="36">
        <f>-SUMIF('Trial Balance (Susa)'!$D:$D,"*"&amp;$CN48&amp;"*",'Trial Balance (Susa)'!S:S)/1000-SUM($R48:Y48)</f>
        <v>-85.380000000000052</v>
      </c>
      <c r="AA48" s="36">
        <f>-SUMIF('Trial Balance (Susa)'!$D:$D,"*"&amp;$CN48&amp;"*",'Trial Balance (Susa)'!T:T)/1000-SUM($R48:Z48)</f>
        <v>0</v>
      </c>
      <c r="AB48" s="36">
        <f>-SUMIF('Trial Balance (Susa)'!$D:$D,"*"&amp;$CN48&amp;"*",'Trial Balance (Susa)'!U:U)/1000-SUM($R48:AA48)</f>
        <v>-82.745999999999981</v>
      </c>
      <c r="AC48" s="36">
        <f>-SUMIF('Trial Balance (Susa)'!$D:$D,"*"&amp;$CN48&amp;"*",'Trial Balance (Susa)'!V:V)/1000-SUM($R48:AB48)</f>
        <v>197.67349000000002</v>
      </c>
      <c r="AD48" s="36">
        <f>-SUMIF('Trial Balance (Susa)'!$D:$D,"*"&amp;$CN48&amp;"*",'Trial Balance (Susa)'!W:W)/1000</f>
        <v>0</v>
      </c>
      <c r="AE48" s="36">
        <f>-SUMIF('Trial Balance (Susa)'!$D:$D,"*"&amp;$CN48&amp;"*",'Trial Balance (Susa)'!X:X)/1000-SUM($AD48:AD48)</f>
        <v>-83.036119999999997</v>
      </c>
      <c r="AF48" s="36">
        <f>-SUMIF('Trial Balance (Susa)'!$D:$D,"*"&amp;$CN48&amp;"*",'Trial Balance (Susa)'!Y:Y)/1000-SUM($AD48:AE48)</f>
        <v>-61.149999999999991</v>
      </c>
      <c r="AG48" s="36">
        <f>-SUMIF('Trial Balance (Susa)'!$D:$D,"*"&amp;$CN48&amp;"*",'Trial Balance (Susa)'!Z:Z)/1000-SUM($AD48:AF48)</f>
        <v>-0.2508900000000267</v>
      </c>
      <c r="AH48" s="36">
        <f>-SUMIF('Trial Balance (Susa)'!$D:$D,"*"&amp;$CN48&amp;"*",'Trial Balance (Susa)'!AA:AA)/1000-SUM($AD48:AG48)</f>
        <v>-51.624009999999998</v>
      </c>
      <c r="AI48" s="36">
        <f>-SUMIF('Trial Balance (Susa)'!$D:$D,"*"&amp;$CN48&amp;"*",'Trial Balance (Susa)'!AB:AB)/1000-SUM($AD48:AH48)</f>
        <v>-75.93307999999999</v>
      </c>
      <c r="AJ48" s="36">
        <f>-SUMIF('Trial Balance (Susa)'!$D:$D,"*"&amp;$CN48&amp;"*",'Trial Balance (Susa)'!AC:AC)/1000-SUM($AD48:AI48)</f>
        <v>0</v>
      </c>
      <c r="AK48" s="36">
        <f>-SUMIF('Trial Balance (Susa)'!$D:$D,"*"&amp;$CN48&amp;"*",'Trial Balance (Susa)'!AD:AD)/1000-SUM($AD48:AJ48)</f>
        <v>-51.59499999999997</v>
      </c>
      <c r="AL48" s="36">
        <f>-SUMIF('Trial Balance (Susa)'!$D:$D,"*"&amp;$CN48&amp;"*",'Trial Balance (Susa)'!AE:AE)/1000-SUM($AD48:AK48)</f>
        <v>-61.149999999999977</v>
      </c>
      <c r="AM48" s="36">
        <f>-SUMIF('Trial Balance (Susa)'!$D:$D,"*"&amp;$CN48&amp;"*",'Trial Balance (Susa)'!AF:AF)/1000-SUM($AD48:AL48)</f>
        <v>0</v>
      </c>
      <c r="AN48" s="36">
        <f>-SUMIF('Trial Balance (Susa)'!$D:$D,"*"&amp;$CN48&amp;"*",'Trial Balance (Susa)'!AG:AG)/1000-SUM($AD48:AM48)</f>
        <v>-51.595000000000027</v>
      </c>
      <c r="AO48" s="36">
        <f>-SUMIF('Trial Balance (Susa)'!$D:$D,"*"&amp;$CN48&amp;"*",'Trial Balance (Susa)'!AH:AH)/1000-SUM($AD48:AN48)</f>
        <v>-5.7875099999999975</v>
      </c>
      <c r="AP48" s="36">
        <f>-SUMIF('Trial Balance (Susa)'!$D:$D,"*"&amp;$CN48&amp;"*",'Trial Balance (Susa)'!AI:AI)/1000</f>
        <v>1E-3</v>
      </c>
      <c r="AQ48" s="36">
        <f>-SUMIF('Trial Balance (Susa)'!$D:$D,"*"&amp;$CN48&amp;"*",'Trial Balance (Susa)'!AJ:AJ)/1000-SUM($AP48:AP48)</f>
        <v>-61.693839999999994</v>
      </c>
      <c r="AR48" s="36">
        <f>-SUMIF('Trial Balance (Susa)'!$D:$D,"*"&amp;$CN48&amp;"*",'Trial Balance (Susa)'!AK:AK)/1000-SUM($AP48:AQ48)</f>
        <v>-49.708869999999997</v>
      </c>
      <c r="AS48" s="36">
        <f>-SUMIF('Trial Balance (Susa)'!$D:$D,"*"&amp;$CN48&amp;"*",'Trial Balance (Susa)'!AL:AL)/1000-SUM($AP48:AR48)</f>
        <v>0</v>
      </c>
      <c r="AT48" s="36">
        <f>-SUMIF('Trial Balance (Susa)'!$D:$D,"*"&amp;$CN48&amp;"*",'Trial Balance (Susa)'!AM:AM)/1000-SUM($AP48:AS48)</f>
        <v>-61.692999999999998</v>
      </c>
      <c r="AU48" s="36">
        <f>-SUMIF('Trial Balance (Susa)'!$D:$D,"*"&amp;$CN48&amp;"*",'Trial Balance (Susa)'!AN:AN)/1000-SUM($AP48:AT48)</f>
        <v>-49.366000000000014</v>
      </c>
      <c r="AV48" s="36">
        <f>-SUMIF('Trial Balance (Susa)'!$D:$D,"*"&amp;$CN48&amp;"*",'Trial Balance (Susa)'!AO:AO)/1000-SUM($AP48:AU48)</f>
        <v>0</v>
      </c>
      <c r="AW48" s="36">
        <f>-SUMIF('Trial Balance (Susa)'!$D:$D,"*"&amp;$CN48&amp;"*",'Trial Balance (Susa)'!AP:AP)/1000-SUM($AP48:AV48)</f>
        <v>-61.692999999999984</v>
      </c>
      <c r="AX48" s="36">
        <f>-SUMIF('Trial Balance (Susa)'!$D:$D,"*"&amp;$CN48&amp;"*",'Trial Balance (Susa)'!AQ:AQ)/1000-SUM($AP48:AW48)</f>
        <v>-49.365999999999985</v>
      </c>
      <c r="AY48" s="36">
        <f>-SUMIF('Trial Balance (Susa)'!$D:$D,"*"&amp;$CN48&amp;"*",'Trial Balance (Susa)'!AR:AR)/1000-SUM($AP48:AX48)</f>
        <v>0</v>
      </c>
      <c r="AZ48" s="36">
        <f>-SUMIF('Trial Balance (Susa)'!$D:$D,"*"&amp;$CN48&amp;"*",'Trial Balance (Susa)'!AS:AS)/1000-SUM($AP48:AY48)</f>
        <v>-61.692000000000007</v>
      </c>
      <c r="BA48" s="36">
        <f>-SUMIF('Trial Balance (Susa)'!$D:$D,"*"&amp;$CN48&amp;"*",'Trial Balance (Susa)'!AT:AT)/1000-SUM($AP48:AZ48)</f>
        <v>61.458030000000008</v>
      </c>
      <c r="BB48" s="278"/>
      <c r="BC48" s="278"/>
      <c r="BD48" s="278"/>
      <c r="BE48" s="278"/>
      <c r="BF48" s="278"/>
      <c r="BG48" s="278"/>
      <c r="BH48" s="278"/>
      <c r="BI48" s="278"/>
      <c r="BJ48" s="278"/>
      <c r="BK48" s="278"/>
      <c r="BL48" s="278"/>
      <c r="BM48" s="278"/>
      <c r="BN48" s="278"/>
      <c r="BO48" s="278"/>
      <c r="BP48" s="278"/>
      <c r="BQ48" s="278"/>
      <c r="BR48" s="278"/>
      <c r="BS48" s="278"/>
      <c r="BT48" s="278"/>
      <c r="BU48" s="278"/>
      <c r="BV48" s="278"/>
      <c r="BW48" s="278"/>
      <c r="BX48" s="278"/>
      <c r="BY48" s="278"/>
      <c r="BZ48" s="278"/>
      <c r="CA48" s="278"/>
      <c r="CB48" s="278"/>
      <c r="CC48" s="278"/>
      <c r="CD48" s="278"/>
      <c r="CE48" s="278"/>
      <c r="CF48" s="278"/>
      <c r="CG48" s="278"/>
      <c r="CH48" s="278"/>
      <c r="CI48" s="278"/>
      <c r="CJ48" s="278"/>
      <c r="CK48" s="278"/>
      <c r="CN48" s="364" t="s">
        <v>698</v>
      </c>
    </row>
    <row r="49" spans="3:92" ht="11.25" customHeight="1" x14ac:dyDescent="0.2">
      <c r="C49" s="42" t="str">
        <f>'Lead PL'!C58</f>
        <v>Sonstige Steuern</v>
      </c>
      <c r="D49" s="42" t="str">
        <f>'Lead PL'!D58</f>
        <v>Other taxes</v>
      </c>
      <c r="E49" s="42"/>
      <c r="F49" s="127"/>
      <c r="G49" s="127"/>
      <c r="H49" s="127"/>
      <c r="I49" s="127"/>
      <c r="J49" s="127"/>
      <c r="K49" s="127"/>
      <c r="L49" s="127"/>
      <c r="M49" s="127"/>
      <c r="N49" s="127"/>
      <c r="O49" s="127"/>
      <c r="P49" s="127"/>
      <c r="Q49" s="127"/>
      <c r="R49" s="36">
        <f>-SUMIF('Trial Balance (Susa)'!$D:$D,"*"&amp;$CN49&amp;"*",'Trial Balance (Susa)'!K:K)/1000</f>
        <v>-0.49199999999999999</v>
      </c>
      <c r="S49" s="36">
        <f>-SUMIF('Trial Balance (Susa)'!$D:$D,"*"&amp;$CN49&amp;"*",'Trial Balance (Susa)'!L:L)/1000-R49</f>
        <v>-0.46099999999999997</v>
      </c>
      <c r="T49" s="36">
        <f>-SUMIF('Trial Balance (Susa)'!$D:$D,"*"&amp;$CN49&amp;"*",'Trial Balance (Susa)'!M:M)/1000-SUM($R49:S49)</f>
        <v>-0.6170000000000001</v>
      </c>
      <c r="U49" s="36">
        <f>-SUMIF('Trial Balance (Susa)'!$D:$D,"*"&amp;$CN49&amp;"*",'Trial Balance (Susa)'!N:N)/1000-SUM($R49:T49)</f>
        <v>-0.55199999999999982</v>
      </c>
      <c r="V49" s="36">
        <f>-SUMIF('Trial Balance (Susa)'!$D:$D,"*"&amp;$CN49&amp;"*",'Trial Balance (Susa)'!O:O)/1000-SUM($R49:U49)</f>
        <v>-0.31099999999999994</v>
      </c>
      <c r="W49" s="36">
        <f>-SUMIF('Trial Balance (Susa)'!$D:$D,"*"&amp;$CN49&amp;"*",'Trial Balance (Susa)'!P:P)/1000-SUM($R49:V49)</f>
        <v>-0.23100000000000032</v>
      </c>
      <c r="X49" s="36">
        <f>-SUMIF('Trial Balance (Susa)'!$D:$D,"*"&amp;$CN49&amp;"*",'Trial Balance (Susa)'!Q:Q)/1000-SUM($R49:W49)</f>
        <v>0</v>
      </c>
      <c r="Y49" s="36">
        <f>-SUMIF('Trial Balance (Susa)'!$D:$D,"*"&amp;$CN49&amp;"*",'Trial Balance (Susa)'!R:R)/1000-SUM($R49:X49)</f>
        <v>-0.31999999999999984</v>
      </c>
      <c r="Z49" s="36">
        <f>-SUMIF('Trial Balance (Susa)'!$D:$D,"*"&amp;$CN49&amp;"*",'Trial Balance (Susa)'!S:S)/1000-SUM($R49:Y49)</f>
        <v>4.1999999999999815E-2</v>
      </c>
      <c r="AA49" s="36">
        <f>-SUMIF('Trial Balance (Susa)'!$D:$D,"*"&amp;$CN49&amp;"*",'Trial Balance (Susa)'!T:T)/1000-SUM($R49:Z49)</f>
        <v>0</v>
      </c>
      <c r="AB49" s="36">
        <f>-SUMIF('Trial Balance (Susa)'!$D:$D,"*"&amp;$CN49&amp;"*",'Trial Balance (Susa)'!U:U)/1000-SUM($R49:AA49)</f>
        <v>0</v>
      </c>
      <c r="AC49" s="36">
        <f>-SUMIF('Trial Balance (Susa)'!$D:$D,"*"&amp;$CN49&amp;"*",'Trial Balance (Susa)'!V:V)/1000-SUM($R49:AB49)</f>
        <v>2.0000000000000018E-2</v>
      </c>
      <c r="AD49" s="36">
        <f>-SUMIF('Trial Balance (Susa)'!$D:$D,"*"&amp;$CN49&amp;"*",'Trial Balance (Susa)'!W:W)/1000</f>
        <v>-0.66800000000000004</v>
      </c>
      <c r="AE49" s="36">
        <f>-SUMIF('Trial Balance (Susa)'!$D:$D,"*"&amp;$CN49&amp;"*",'Trial Balance (Susa)'!X:X)/1000-SUM($AD49:AD49)</f>
        <v>-0.30899999999999994</v>
      </c>
      <c r="AF49" s="36">
        <f>-SUMIF('Trial Balance (Susa)'!$D:$D,"*"&amp;$CN49&amp;"*",'Trial Balance (Susa)'!Y:Y)/1000-SUM($AD49:AE49)</f>
        <v>-0.6110000000000001</v>
      </c>
      <c r="AG49" s="36">
        <f>-SUMIF('Trial Balance (Susa)'!$D:$D,"*"&amp;$CN49&amp;"*",'Trial Balance (Susa)'!Z:Z)/1000-SUM($AD49:AF49)</f>
        <v>-0.49199999999999999</v>
      </c>
      <c r="AH49" s="36">
        <f>-SUMIF('Trial Balance (Susa)'!$D:$D,"*"&amp;$CN49&amp;"*",'Trial Balance (Susa)'!AA:AA)/1000-SUM($AD49:AG49)</f>
        <v>-0.31099999999999994</v>
      </c>
      <c r="AI49" s="36">
        <f>-SUMIF('Trial Balance (Susa)'!$D:$D,"*"&amp;$CN49&amp;"*",'Trial Balance (Susa)'!AB:AB)/1000-SUM($AD49:AH49)</f>
        <v>-0.27099999999999991</v>
      </c>
      <c r="AJ49" s="36">
        <f>-SUMIF('Trial Balance (Susa)'!$D:$D,"*"&amp;$CN49&amp;"*",'Trial Balance (Susa)'!AC:AC)/1000-SUM($AD49:AI49)</f>
        <v>-0.41000000000000014</v>
      </c>
      <c r="AK49" s="36">
        <f>-SUMIF('Trial Balance (Susa)'!$D:$D,"*"&amp;$CN49&amp;"*",'Trial Balance (Susa)'!AD:AD)/1000-SUM($AD49:AJ49)</f>
        <v>-0.27899999999999991</v>
      </c>
      <c r="AL49" s="36">
        <f>-SUMIF('Trial Balance (Susa)'!$D:$D,"*"&amp;$CN49&amp;"*",'Trial Balance (Susa)'!AE:AE)/1000-SUM($AD49:AK49)</f>
        <v>0.379</v>
      </c>
      <c r="AM49" s="36">
        <f>-SUMIF('Trial Balance (Susa)'!$D:$D,"*"&amp;$CN49&amp;"*",'Trial Balance (Susa)'!AF:AF)/1000-SUM($AD49:AL49)</f>
        <v>-2.9999999999999805E-2</v>
      </c>
      <c r="AN49" s="36">
        <f>-SUMIF('Trial Balance (Susa)'!$D:$D,"*"&amp;$CN49&amp;"*",'Trial Balance (Susa)'!AG:AG)/1000-SUM($AD49:AM49)</f>
        <v>0</v>
      </c>
      <c r="AO49" s="36">
        <f>-SUMIF('Trial Balance (Susa)'!$D:$D,"*"&amp;$CN49&amp;"*",'Trial Balance (Susa)'!AH:AH)/1000-SUM($AD49:AN49)</f>
        <v>0</v>
      </c>
      <c r="AP49" s="36">
        <f>-SUMIF('Trial Balance (Susa)'!$D:$D,"*"&amp;$CN49&amp;"*",'Trial Balance (Susa)'!AI:AI)/1000</f>
        <v>-0.17599999999999999</v>
      </c>
      <c r="AQ49" s="36">
        <f>-SUMIF('Trial Balance (Susa)'!$D:$D,"*"&amp;$CN49&amp;"*",'Trial Balance (Susa)'!AJ:AJ)/1000-SUM($AP49:AP49)</f>
        <v>0</v>
      </c>
      <c r="AR49" s="36">
        <f>-SUMIF('Trial Balance (Susa)'!$D:$D,"*"&amp;$CN49&amp;"*",'Trial Balance (Susa)'!AK:AK)/1000-SUM($AP49:AQ49)</f>
        <v>-0.311</v>
      </c>
      <c r="AS49" s="36">
        <f>-SUMIF('Trial Balance (Susa)'!$D:$D,"*"&amp;$CN49&amp;"*",'Trial Balance (Susa)'!AL:AL)/1000-SUM($AP49:AR49)</f>
        <v>-0.66800000000000004</v>
      </c>
      <c r="AT49" s="36">
        <f>-SUMIF('Trial Balance (Susa)'!$D:$D,"*"&amp;$CN49&amp;"*",'Trial Balance (Susa)'!AM:AM)/1000-SUM($AP49:AS49)</f>
        <v>-0.625</v>
      </c>
      <c r="AU49" s="36">
        <f>-SUMIF('Trial Balance (Susa)'!$D:$D,"*"&amp;$CN49&amp;"*",'Trial Balance (Susa)'!AN:AN)/1000-SUM($AP49:AT49)</f>
        <v>-0.41499999999999981</v>
      </c>
      <c r="AV49" s="36">
        <f>-SUMIF('Trial Balance (Susa)'!$D:$D,"*"&amp;$CN49&amp;"*",'Trial Balance (Susa)'!AO:AO)/1000-SUM($AP49:AU49)</f>
        <v>0</v>
      </c>
      <c r="AW49" s="36">
        <f>-SUMIF('Trial Balance (Susa)'!$D:$D,"*"&amp;$CN49&amp;"*",'Trial Balance (Susa)'!AP:AP)/1000-SUM($AP49:AV49)</f>
        <v>-0.28900000000000015</v>
      </c>
      <c r="AX49" s="36">
        <f>-SUMIF('Trial Balance (Susa)'!$D:$D,"*"&amp;$CN49&amp;"*",'Trial Balance (Susa)'!AQ:AQ)/1000-SUM($AP49:AW49)</f>
        <v>0</v>
      </c>
      <c r="AY49" s="36">
        <f>-SUMIF('Trial Balance (Susa)'!$D:$D,"*"&amp;$CN49&amp;"*",'Trial Balance (Susa)'!AR:AR)/1000-SUM($AP49:AX49)</f>
        <v>0</v>
      </c>
      <c r="AZ49" s="36">
        <f>-SUMIF('Trial Balance (Susa)'!$D:$D,"*"&amp;$CN49&amp;"*",'Trial Balance (Susa)'!AS:AS)/1000-SUM($AP49:AY49)</f>
        <v>0.25999999999999979</v>
      </c>
      <c r="BA49" s="36">
        <f>-SUMIF('Trial Balance (Susa)'!$D:$D,"*"&amp;$CN49&amp;"*",'Trial Balance (Susa)'!AT:AT)/1000-SUM($AP49:AZ49)</f>
        <v>-2.9999999999999805E-2</v>
      </c>
      <c r="BB49" s="125"/>
      <c r="BC49" s="125"/>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25"/>
      <c r="CD49" s="125"/>
      <c r="CE49" s="125"/>
      <c r="CF49" s="125"/>
      <c r="CG49" s="125"/>
      <c r="CH49" s="125"/>
      <c r="CI49" s="125"/>
      <c r="CJ49" s="125"/>
      <c r="CK49" s="125"/>
      <c r="CN49" s="364" t="s">
        <v>699</v>
      </c>
    </row>
    <row r="50" spans="3:92" ht="11.25" customHeight="1" x14ac:dyDescent="0.2">
      <c r="C50" s="271" t="str">
        <f>'Lead PL'!C59</f>
        <v>Jahresüberschuss</v>
      </c>
      <c r="D50" s="271" t="str">
        <f>'Lead PL'!D59</f>
        <v>Profit / Loss</v>
      </c>
      <c r="E50" s="271"/>
      <c r="F50" s="173">
        <f t="shared" ref="F50:AK50" si="17">SUM(F47:F49)</f>
        <v>0</v>
      </c>
      <c r="G50" s="173">
        <f t="shared" si="17"/>
        <v>0</v>
      </c>
      <c r="H50" s="173">
        <f t="shared" si="17"/>
        <v>0</v>
      </c>
      <c r="I50" s="173">
        <f t="shared" si="17"/>
        <v>0</v>
      </c>
      <c r="J50" s="173">
        <f t="shared" si="17"/>
        <v>0</v>
      </c>
      <c r="K50" s="173">
        <f t="shared" si="17"/>
        <v>0</v>
      </c>
      <c r="L50" s="173">
        <f t="shared" si="17"/>
        <v>0</v>
      </c>
      <c r="M50" s="173">
        <f t="shared" si="17"/>
        <v>0</v>
      </c>
      <c r="N50" s="173">
        <f t="shared" si="17"/>
        <v>0</v>
      </c>
      <c r="O50" s="173">
        <f t="shared" si="17"/>
        <v>0</v>
      </c>
      <c r="P50" s="173">
        <f t="shared" si="17"/>
        <v>0</v>
      </c>
      <c r="Q50" s="173">
        <f t="shared" si="17"/>
        <v>0</v>
      </c>
      <c r="R50" s="173">
        <f t="shared" si="17"/>
        <v>-29.075740000000117</v>
      </c>
      <c r="S50" s="173">
        <f t="shared" si="17"/>
        <v>-184.05663999999985</v>
      </c>
      <c r="T50" s="173">
        <f t="shared" si="17"/>
        <v>-119.53478000000005</v>
      </c>
      <c r="U50" s="173">
        <f t="shared" si="17"/>
        <v>126.7546700000012</v>
      </c>
      <c r="V50" s="173">
        <f t="shared" si="17"/>
        <v>-263.40604000000172</v>
      </c>
      <c r="W50" s="173">
        <f t="shared" si="17"/>
        <v>761.1311499999988</v>
      </c>
      <c r="X50" s="173">
        <f t="shared" si="17"/>
        <v>8.3968000000028269</v>
      </c>
      <c r="Y50" s="173">
        <f t="shared" si="17"/>
        <v>338.59854000000007</v>
      </c>
      <c r="Z50" s="173">
        <f t="shared" si="17"/>
        <v>-69.290230000003092</v>
      </c>
      <c r="AA50" s="173">
        <f t="shared" si="17"/>
        <v>23.546520000004531</v>
      </c>
      <c r="AB50" s="173">
        <f t="shared" si="17"/>
        <v>285.75408999999803</v>
      </c>
      <c r="AC50" s="173">
        <f t="shared" si="17"/>
        <v>-36.181500000000462</v>
      </c>
      <c r="AD50" s="173">
        <f t="shared" si="17"/>
        <v>173.26518999999999</v>
      </c>
      <c r="AE50" s="173">
        <f t="shared" si="17"/>
        <v>202.47051999999977</v>
      </c>
      <c r="AF50" s="173">
        <f t="shared" si="17"/>
        <v>431.82976000000059</v>
      </c>
      <c r="AG50" s="173">
        <f t="shared" si="17"/>
        <v>109.99313999999954</v>
      </c>
      <c r="AH50" s="173">
        <f t="shared" si="17"/>
        <v>-28.887069999999476</v>
      </c>
      <c r="AI50" s="173">
        <f t="shared" si="17"/>
        <v>-286.93739999999985</v>
      </c>
      <c r="AJ50" s="173">
        <f t="shared" si="17"/>
        <v>-804.20297999999764</v>
      </c>
      <c r="AK50" s="173">
        <f t="shared" si="17"/>
        <v>159.20242000000161</v>
      </c>
      <c r="AL50" s="173">
        <f t="shared" ref="AL50:BQ50" si="18">SUM(AL47:AL49)</f>
        <v>-337.34953000000257</v>
      </c>
      <c r="AM50" s="173">
        <f t="shared" si="18"/>
        <v>73.368760000000606</v>
      </c>
      <c r="AN50" s="173">
        <f t="shared" si="18"/>
        <v>148.83027999999712</v>
      </c>
      <c r="AO50" s="173">
        <f t="shared" si="18"/>
        <v>1153.469210000002</v>
      </c>
      <c r="AP50" s="173">
        <f t="shared" si="18"/>
        <v>112.1660999999998</v>
      </c>
      <c r="AQ50" s="173">
        <f t="shared" si="18"/>
        <v>43.709180000000103</v>
      </c>
      <c r="AR50" s="173">
        <f t="shared" si="18"/>
        <v>-138.82614000000038</v>
      </c>
      <c r="AS50" s="173">
        <f t="shared" si="18"/>
        <v>127.65271000000095</v>
      </c>
      <c r="AT50" s="173">
        <f t="shared" si="18"/>
        <v>86.903599999998661</v>
      </c>
      <c r="AU50" s="380">
        <f t="shared" si="18"/>
        <v>183.09053999999946</v>
      </c>
      <c r="AV50" s="380">
        <f t="shared" si="18"/>
        <v>-36.861989999999963</v>
      </c>
      <c r="AW50" s="380">
        <f t="shared" si="18"/>
        <v>391.16878999999932</v>
      </c>
      <c r="AX50" s="380">
        <f t="shared" si="18"/>
        <v>124.51588000000251</v>
      </c>
      <c r="AY50" s="380">
        <f t="shared" si="18"/>
        <v>201.05779000000328</v>
      </c>
      <c r="AZ50" s="380">
        <f t="shared" si="18"/>
        <v>-208.42010000000414</v>
      </c>
      <c r="BA50" s="380">
        <f t="shared" si="18"/>
        <v>-176.81145999999492</v>
      </c>
      <c r="BB50" s="380">
        <f t="shared" si="18"/>
        <v>0</v>
      </c>
      <c r="BC50" s="380">
        <f t="shared" si="18"/>
        <v>0</v>
      </c>
      <c r="BD50" s="380">
        <f t="shared" si="18"/>
        <v>0</v>
      </c>
      <c r="BE50" s="380">
        <f t="shared" si="18"/>
        <v>0</v>
      </c>
      <c r="BF50" s="380">
        <f t="shared" si="18"/>
        <v>0</v>
      </c>
      <c r="BG50" s="380">
        <f t="shared" si="18"/>
        <v>0</v>
      </c>
      <c r="BH50" s="380">
        <f t="shared" si="18"/>
        <v>0</v>
      </c>
      <c r="BI50" s="380">
        <f t="shared" si="18"/>
        <v>0</v>
      </c>
      <c r="BJ50" s="380">
        <f t="shared" si="18"/>
        <v>0</v>
      </c>
      <c r="BK50" s="380">
        <f t="shared" si="18"/>
        <v>0</v>
      </c>
      <c r="BL50" s="380">
        <f t="shared" si="18"/>
        <v>0</v>
      </c>
      <c r="BM50" s="380">
        <f t="shared" si="18"/>
        <v>0</v>
      </c>
      <c r="BN50" s="380">
        <f t="shared" si="18"/>
        <v>0</v>
      </c>
      <c r="BO50" s="380">
        <f t="shared" si="18"/>
        <v>0</v>
      </c>
      <c r="BP50" s="380">
        <f t="shared" si="18"/>
        <v>0</v>
      </c>
      <c r="BQ50" s="380">
        <f t="shared" si="18"/>
        <v>0</v>
      </c>
      <c r="BR50" s="380">
        <f t="shared" ref="BR50:CK50" si="19">SUM(BR47:BR49)</f>
        <v>0</v>
      </c>
      <c r="BS50" s="380">
        <f t="shared" si="19"/>
        <v>0</v>
      </c>
      <c r="BT50" s="380">
        <f t="shared" si="19"/>
        <v>0</v>
      </c>
      <c r="BU50" s="380">
        <f t="shared" si="19"/>
        <v>0</v>
      </c>
      <c r="BV50" s="380">
        <f t="shared" si="19"/>
        <v>0</v>
      </c>
      <c r="BW50" s="380">
        <f t="shared" si="19"/>
        <v>0</v>
      </c>
      <c r="BX50" s="380">
        <f t="shared" si="19"/>
        <v>0</v>
      </c>
      <c r="BY50" s="380">
        <f t="shared" si="19"/>
        <v>0</v>
      </c>
      <c r="BZ50" s="380">
        <f t="shared" si="19"/>
        <v>0</v>
      </c>
      <c r="CA50" s="380">
        <f t="shared" si="19"/>
        <v>0</v>
      </c>
      <c r="CB50" s="380">
        <f t="shared" si="19"/>
        <v>0</v>
      </c>
      <c r="CC50" s="380">
        <f t="shared" si="19"/>
        <v>0</v>
      </c>
      <c r="CD50" s="380">
        <f t="shared" si="19"/>
        <v>0</v>
      </c>
      <c r="CE50" s="380">
        <f t="shared" si="19"/>
        <v>0</v>
      </c>
      <c r="CF50" s="380">
        <f t="shared" si="19"/>
        <v>0</v>
      </c>
      <c r="CG50" s="380">
        <f t="shared" si="19"/>
        <v>0</v>
      </c>
      <c r="CH50" s="380">
        <f t="shared" si="19"/>
        <v>0</v>
      </c>
      <c r="CI50" s="380">
        <f t="shared" si="19"/>
        <v>0</v>
      </c>
      <c r="CJ50" s="380">
        <f t="shared" si="19"/>
        <v>0</v>
      </c>
      <c r="CK50" s="380">
        <f t="shared" si="19"/>
        <v>0</v>
      </c>
    </row>
    <row r="51" spans="3:92" ht="11.25" customHeight="1" x14ac:dyDescent="0.2">
      <c r="C51" s="241"/>
      <c r="D51" s="241"/>
      <c r="E51" s="241"/>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278"/>
      <c r="AV51" s="278"/>
      <c r="AW51" s="278"/>
      <c r="AX51" s="278"/>
      <c r="AY51" s="278"/>
      <c r="AZ51" s="278"/>
      <c r="BA51" s="278"/>
      <c r="BB51" s="278"/>
      <c r="BC51" s="278"/>
      <c r="BD51" s="278"/>
      <c r="BE51" s="278"/>
      <c r="BF51" s="278"/>
      <c r="BG51" s="278"/>
      <c r="BH51" s="278"/>
      <c r="BI51" s="278"/>
      <c r="BJ51" s="278"/>
      <c r="BK51" s="278"/>
      <c r="BL51" s="278"/>
      <c r="BM51" s="278"/>
      <c r="BN51" s="278"/>
      <c r="BO51" s="278"/>
      <c r="BP51" s="278"/>
      <c r="BQ51" s="278"/>
      <c r="BR51" s="278"/>
      <c r="BS51" s="278"/>
      <c r="BT51" s="278"/>
      <c r="BU51" s="278"/>
      <c r="BV51" s="278"/>
      <c r="BW51" s="278"/>
      <c r="BX51" s="278"/>
      <c r="BY51" s="278"/>
      <c r="BZ51" s="278"/>
      <c r="CA51" s="278"/>
      <c r="CB51" s="278"/>
      <c r="CC51" s="278"/>
      <c r="CD51" s="278"/>
      <c r="CE51" s="278"/>
      <c r="CF51" s="278"/>
      <c r="CG51" s="278"/>
      <c r="CH51" s="278"/>
      <c r="CI51" s="278"/>
      <c r="CJ51" s="278"/>
      <c r="CK51" s="278"/>
    </row>
    <row r="52" spans="3:92" s="89" customFormat="1" ht="11.25" customHeight="1" x14ac:dyDescent="0.2">
      <c r="C52" s="90" t="str">
        <f>'Lead PL'!C67</f>
        <v>In % der Gesamtleistung</v>
      </c>
      <c r="D52" s="90" t="str">
        <f>'Lead PL'!D67</f>
        <v>In % of Total output</v>
      </c>
      <c r="E52" s="90"/>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381"/>
      <c r="AV52" s="381"/>
      <c r="AW52" s="381"/>
      <c r="AX52" s="381"/>
      <c r="AY52" s="381"/>
      <c r="AZ52" s="381"/>
      <c r="BA52" s="381"/>
      <c r="BB52" s="381"/>
      <c r="BC52" s="381"/>
      <c r="BD52" s="381"/>
      <c r="BE52" s="381"/>
      <c r="BF52" s="381"/>
      <c r="BG52" s="381"/>
      <c r="BH52" s="381"/>
      <c r="BI52" s="381"/>
      <c r="BJ52" s="381"/>
      <c r="BK52" s="381"/>
      <c r="BL52" s="381"/>
      <c r="BM52" s="381"/>
      <c r="BN52" s="381"/>
      <c r="BO52" s="381"/>
      <c r="BP52" s="381"/>
      <c r="BQ52" s="381"/>
      <c r="BR52" s="381"/>
      <c r="BS52" s="381"/>
      <c r="BT52" s="381"/>
      <c r="BU52" s="381"/>
      <c r="BV52" s="381"/>
      <c r="BW52" s="381"/>
      <c r="BX52" s="381"/>
      <c r="BY52" s="381"/>
      <c r="BZ52" s="381"/>
      <c r="CA52" s="381"/>
      <c r="CB52" s="381"/>
      <c r="CC52" s="381"/>
      <c r="CD52" s="381"/>
      <c r="CE52" s="381"/>
      <c r="CF52" s="381"/>
      <c r="CG52" s="381"/>
      <c r="CH52" s="381"/>
      <c r="CI52" s="381"/>
      <c r="CJ52" s="381"/>
      <c r="CK52" s="381"/>
    </row>
    <row r="53" spans="3:92" s="89" customFormat="1" ht="11.25" customHeight="1" x14ac:dyDescent="0.2">
      <c r="C53" s="82" t="str">
        <f t="shared" ref="C53:D58" si="20">C9</f>
        <v>Umsatzerlöse</v>
      </c>
      <c r="D53" s="82" t="str">
        <f t="shared" si="20"/>
        <v>Revenues</v>
      </c>
      <c r="E53" s="82"/>
      <c r="F53" s="81" t="str">
        <f t="shared" ref="F53:AK53" si="21">IFERROR(F9/F$15,"n/a")</f>
        <v>n/a</v>
      </c>
      <c r="G53" s="81" t="str">
        <f t="shared" si="21"/>
        <v>n/a</v>
      </c>
      <c r="H53" s="81" t="str">
        <f t="shared" si="21"/>
        <v>n/a</v>
      </c>
      <c r="I53" s="81" t="str">
        <f t="shared" si="21"/>
        <v>n/a</v>
      </c>
      <c r="J53" s="81" t="str">
        <f t="shared" si="21"/>
        <v>n/a</v>
      </c>
      <c r="K53" s="81" t="str">
        <f t="shared" si="21"/>
        <v>n/a</v>
      </c>
      <c r="L53" s="81" t="str">
        <f t="shared" si="21"/>
        <v>n/a</v>
      </c>
      <c r="M53" s="81" t="str">
        <f t="shared" si="21"/>
        <v>n/a</v>
      </c>
      <c r="N53" s="81" t="str">
        <f t="shared" si="21"/>
        <v>n/a</v>
      </c>
      <c r="O53" s="81" t="str">
        <f t="shared" si="21"/>
        <v>n/a</v>
      </c>
      <c r="P53" s="81" t="str">
        <f t="shared" si="21"/>
        <v>n/a</v>
      </c>
      <c r="Q53" s="81" t="str">
        <f t="shared" si="21"/>
        <v>n/a</v>
      </c>
      <c r="R53" s="81">
        <f t="shared" si="21"/>
        <v>1</v>
      </c>
      <c r="S53" s="81">
        <f t="shared" si="21"/>
        <v>1</v>
      </c>
      <c r="T53" s="81">
        <f t="shared" si="21"/>
        <v>1</v>
      </c>
      <c r="U53" s="81">
        <f t="shared" si="21"/>
        <v>1</v>
      </c>
      <c r="V53" s="81">
        <f t="shared" si="21"/>
        <v>1</v>
      </c>
      <c r="W53" s="81">
        <f t="shared" si="21"/>
        <v>0.89710232681850732</v>
      </c>
      <c r="X53" s="81">
        <f t="shared" si="21"/>
        <v>1</v>
      </c>
      <c r="Y53" s="81">
        <f t="shared" si="21"/>
        <v>1</v>
      </c>
      <c r="Z53" s="81">
        <f t="shared" si="21"/>
        <v>0.98482467919531713</v>
      </c>
      <c r="AA53" s="81">
        <f t="shared" si="21"/>
        <v>1</v>
      </c>
      <c r="AB53" s="81">
        <f t="shared" si="21"/>
        <v>1</v>
      </c>
      <c r="AC53" s="81">
        <f t="shared" si="21"/>
        <v>0.97541361735035825</v>
      </c>
      <c r="AD53" s="81">
        <f t="shared" si="21"/>
        <v>1</v>
      </c>
      <c r="AE53" s="81">
        <f t="shared" si="21"/>
        <v>1</v>
      </c>
      <c r="AF53" s="81">
        <f t="shared" si="21"/>
        <v>1</v>
      </c>
      <c r="AG53" s="81">
        <f t="shared" si="21"/>
        <v>1</v>
      </c>
      <c r="AH53" s="81">
        <f t="shared" si="21"/>
        <v>1</v>
      </c>
      <c r="AI53" s="81">
        <f t="shared" si="21"/>
        <v>0.90902149654783848</v>
      </c>
      <c r="AJ53" s="81">
        <f t="shared" si="21"/>
        <v>1</v>
      </c>
      <c r="AK53" s="81">
        <f t="shared" si="21"/>
        <v>1</v>
      </c>
      <c r="AL53" s="81">
        <f t="shared" ref="AL53:BQ53" si="22">IFERROR(AL9/AL$15,"n/a")</f>
        <v>1</v>
      </c>
      <c r="AM53" s="81">
        <f t="shared" si="22"/>
        <v>1</v>
      </c>
      <c r="AN53" s="81">
        <f t="shared" si="22"/>
        <v>1</v>
      </c>
      <c r="AO53" s="81">
        <f t="shared" si="22"/>
        <v>0.8411369495424621</v>
      </c>
      <c r="AP53" s="81">
        <f t="shared" si="22"/>
        <v>1</v>
      </c>
      <c r="AQ53" s="81">
        <f t="shared" si="22"/>
        <v>1</v>
      </c>
      <c r="AR53" s="81">
        <f t="shared" si="22"/>
        <v>1</v>
      </c>
      <c r="AS53" s="81">
        <f t="shared" si="22"/>
        <v>1</v>
      </c>
      <c r="AT53" s="81">
        <f t="shared" si="22"/>
        <v>1</v>
      </c>
      <c r="AU53" s="381">
        <f t="shared" si="22"/>
        <v>1</v>
      </c>
      <c r="AV53" s="381">
        <f t="shared" si="22"/>
        <v>1</v>
      </c>
      <c r="AW53" s="381">
        <f t="shared" si="22"/>
        <v>1</v>
      </c>
      <c r="AX53" s="381">
        <f t="shared" si="22"/>
        <v>1</v>
      </c>
      <c r="AY53" s="381">
        <f t="shared" si="22"/>
        <v>1</v>
      </c>
      <c r="AZ53" s="381">
        <f t="shared" si="22"/>
        <v>1</v>
      </c>
      <c r="BA53" s="381">
        <f t="shared" si="22"/>
        <v>0.83082101079045423</v>
      </c>
      <c r="BB53" s="381" t="str">
        <f t="shared" si="22"/>
        <v>n/a</v>
      </c>
      <c r="BC53" s="381" t="str">
        <f t="shared" si="22"/>
        <v>n/a</v>
      </c>
      <c r="BD53" s="381" t="str">
        <f t="shared" si="22"/>
        <v>n/a</v>
      </c>
      <c r="BE53" s="381" t="str">
        <f t="shared" si="22"/>
        <v>n/a</v>
      </c>
      <c r="BF53" s="381" t="str">
        <f t="shared" si="22"/>
        <v>n/a</v>
      </c>
      <c r="BG53" s="381" t="str">
        <f t="shared" si="22"/>
        <v>n/a</v>
      </c>
      <c r="BH53" s="381" t="str">
        <f t="shared" si="22"/>
        <v>n/a</v>
      </c>
      <c r="BI53" s="381" t="str">
        <f t="shared" si="22"/>
        <v>n/a</v>
      </c>
      <c r="BJ53" s="381" t="str">
        <f t="shared" si="22"/>
        <v>n/a</v>
      </c>
      <c r="BK53" s="381" t="str">
        <f t="shared" si="22"/>
        <v>n/a</v>
      </c>
      <c r="BL53" s="381" t="str">
        <f t="shared" si="22"/>
        <v>n/a</v>
      </c>
      <c r="BM53" s="381" t="str">
        <f t="shared" si="22"/>
        <v>n/a</v>
      </c>
      <c r="BN53" s="381" t="str">
        <f t="shared" si="22"/>
        <v>n/a</v>
      </c>
      <c r="BO53" s="381" t="str">
        <f t="shared" si="22"/>
        <v>n/a</v>
      </c>
      <c r="BP53" s="381" t="str">
        <f t="shared" si="22"/>
        <v>n/a</v>
      </c>
      <c r="BQ53" s="381" t="str">
        <f t="shared" si="22"/>
        <v>n/a</v>
      </c>
      <c r="BR53" s="381" t="str">
        <f t="shared" ref="BR53:CK53" si="23">IFERROR(BR9/BR$15,"n/a")</f>
        <v>n/a</v>
      </c>
      <c r="BS53" s="381" t="str">
        <f t="shared" si="23"/>
        <v>n/a</v>
      </c>
      <c r="BT53" s="381" t="str">
        <f t="shared" si="23"/>
        <v>n/a</v>
      </c>
      <c r="BU53" s="381" t="str">
        <f t="shared" si="23"/>
        <v>n/a</v>
      </c>
      <c r="BV53" s="381" t="str">
        <f t="shared" si="23"/>
        <v>n/a</v>
      </c>
      <c r="BW53" s="381" t="str">
        <f t="shared" si="23"/>
        <v>n/a</v>
      </c>
      <c r="BX53" s="381" t="str">
        <f t="shared" si="23"/>
        <v>n/a</v>
      </c>
      <c r="BY53" s="381" t="str">
        <f t="shared" si="23"/>
        <v>n/a</v>
      </c>
      <c r="BZ53" s="381" t="str">
        <f t="shared" si="23"/>
        <v>n/a</v>
      </c>
      <c r="CA53" s="381" t="str">
        <f t="shared" si="23"/>
        <v>n/a</v>
      </c>
      <c r="CB53" s="381" t="str">
        <f t="shared" si="23"/>
        <v>n/a</v>
      </c>
      <c r="CC53" s="381" t="str">
        <f t="shared" si="23"/>
        <v>n/a</v>
      </c>
      <c r="CD53" s="381" t="str">
        <f t="shared" si="23"/>
        <v>n/a</v>
      </c>
      <c r="CE53" s="381" t="str">
        <f t="shared" si="23"/>
        <v>n/a</v>
      </c>
      <c r="CF53" s="381" t="str">
        <f t="shared" si="23"/>
        <v>n/a</v>
      </c>
      <c r="CG53" s="381" t="str">
        <f t="shared" si="23"/>
        <v>n/a</v>
      </c>
      <c r="CH53" s="381" t="str">
        <f t="shared" si="23"/>
        <v>n/a</v>
      </c>
      <c r="CI53" s="381" t="str">
        <f t="shared" si="23"/>
        <v>n/a</v>
      </c>
      <c r="CJ53" s="381" t="str">
        <f t="shared" si="23"/>
        <v>n/a</v>
      </c>
      <c r="CK53" s="381" t="str">
        <f t="shared" si="23"/>
        <v>n/a</v>
      </c>
    </row>
    <row r="54" spans="3:92" s="89" customFormat="1" ht="11.25" customHeight="1" outlineLevel="2" x14ac:dyDescent="0.2">
      <c r="C54" s="82" t="str">
        <f t="shared" si="20"/>
        <v>Bestandsveränderung</v>
      </c>
      <c r="D54" s="82" t="str">
        <f t="shared" si="20"/>
        <v>Change in inventory</v>
      </c>
      <c r="E54" s="82"/>
      <c r="F54" s="81" t="str">
        <f t="shared" ref="F54:BQ54" si="24">IFERROR(F10/F$15,"n/a")</f>
        <v>n/a</v>
      </c>
      <c r="G54" s="81" t="str">
        <f t="shared" si="24"/>
        <v>n/a</v>
      </c>
      <c r="H54" s="81" t="str">
        <f t="shared" si="24"/>
        <v>n/a</v>
      </c>
      <c r="I54" s="81" t="str">
        <f t="shared" si="24"/>
        <v>n/a</v>
      </c>
      <c r="J54" s="81" t="str">
        <f t="shared" si="24"/>
        <v>n/a</v>
      </c>
      <c r="K54" s="81" t="str">
        <f t="shared" si="24"/>
        <v>n/a</v>
      </c>
      <c r="L54" s="81" t="str">
        <f t="shared" si="24"/>
        <v>n/a</v>
      </c>
      <c r="M54" s="81" t="str">
        <f t="shared" si="24"/>
        <v>n/a</v>
      </c>
      <c r="N54" s="81" t="str">
        <f t="shared" si="24"/>
        <v>n/a</v>
      </c>
      <c r="O54" s="81" t="str">
        <f t="shared" si="24"/>
        <v>n/a</v>
      </c>
      <c r="P54" s="81" t="str">
        <f t="shared" si="24"/>
        <v>n/a</v>
      </c>
      <c r="Q54" s="81" t="str">
        <f t="shared" si="24"/>
        <v>n/a</v>
      </c>
      <c r="R54" s="81">
        <f t="shared" si="24"/>
        <v>0</v>
      </c>
      <c r="S54" s="81">
        <f t="shared" si="24"/>
        <v>0</v>
      </c>
      <c r="T54" s="81">
        <f t="shared" si="24"/>
        <v>0</v>
      </c>
      <c r="U54" s="81">
        <f t="shared" si="24"/>
        <v>0</v>
      </c>
      <c r="V54" s="81">
        <f t="shared" si="24"/>
        <v>0</v>
      </c>
      <c r="W54" s="81">
        <f t="shared" si="24"/>
        <v>0.1028976731814928</v>
      </c>
      <c r="X54" s="81">
        <f t="shared" si="24"/>
        <v>0</v>
      </c>
      <c r="Y54" s="81">
        <f t="shared" si="24"/>
        <v>0</v>
      </c>
      <c r="Z54" s="81">
        <f t="shared" si="24"/>
        <v>1.5175320804682936E-2</v>
      </c>
      <c r="AA54" s="81">
        <f t="shared" si="24"/>
        <v>0</v>
      </c>
      <c r="AB54" s="81">
        <f t="shared" si="24"/>
        <v>0</v>
      </c>
      <c r="AC54" s="81">
        <f t="shared" si="24"/>
        <v>2.4586382649641664E-2</v>
      </c>
      <c r="AD54" s="81">
        <f t="shared" si="24"/>
        <v>0</v>
      </c>
      <c r="AE54" s="81">
        <f t="shared" si="24"/>
        <v>0</v>
      </c>
      <c r="AF54" s="81">
        <f t="shared" si="24"/>
        <v>0</v>
      </c>
      <c r="AG54" s="81">
        <f t="shared" si="24"/>
        <v>0</v>
      </c>
      <c r="AH54" s="81">
        <f t="shared" si="24"/>
        <v>0</v>
      </c>
      <c r="AI54" s="81">
        <f t="shared" si="24"/>
        <v>9.0978503452161644E-2</v>
      </c>
      <c r="AJ54" s="81">
        <f t="shared" si="24"/>
        <v>0</v>
      </c>
      <c r="AK54" s="81">
        <f t="shared" si="24"/>
        <v>0</v>
      </c>
      <c r="AL54" s="81">
        <f t="shared" si="24"/>
        <v>0</v>
      </c>
      <c r="AM54" s="81">
        <f t="shared" si="24"/>
        <v>0</v>
      </c>
      <c r="AN54" s="81">
        <f t="shared" si="24"/>
        <v>0</v>
      </c>
      <c r="AO54" s="81">
        <f t="shared" si="24"/>
        <v>0.1588630504575379</v>
      </c>
      <c r="AP54" s="81">
        <f t="shared" si="24"/>
        <v>0</v>
      </c>
      <c r="AQ54" s="81">
        <f t="shared" si="24"/>
        <v>0</v>
      </c>
      <c r="AR54" s="81">
        <f t="shared" si="24"/>
        <v>0</v>
      </c>
      <c r="AS54" s="81">
        <f t="shared" si="24"/>
        <v>0</v>
      </c>
      <c r="AT54" s="81">
        <f t="shared" si="24"/>
        <v>0</v>
      </c>
      <c r="AU54" s="381">
        <f t="shared" si="24"/>
        <v>0</v>
      </c>
      <c r="AV54" s="381">
        <f t="shared" si="24"/>
        <v>0</v>
      </c>
      <c r="AW54" s="381">
        <f t="shared" si="24"/>
        <v>0</v>
      </c>
      <c r="AX54" s="381">
        <f t="shared" si="24"/>
        <v>0</v>
      </c>
      <c r="AY54" s="381">
        <f t="shared" si="24"/>
        <v>0</v>
      </c>
      <c r="AZ54" s="381">
        <f t="shared" si="24"/>
        <v>0</v>
      </c>
      <c r="BA54" s="381">
        <f t="shared" si="24"/>
        <v>0.16917898920954563</v>
      </c>
      <c r="BB54" s="381" t="str">
        <f t="shared" si="24"/>
        <v>n/a</v>
      </c>
      <c r="BC54" s="381" t="str">
        <f t="shared" si="24"/>
        <v>n/a</v>
      </c>
      <c r="BD54" s="381" t="str">
        <f t="shared" si="24"/>
        <v>n/a</v>
      </c>
      <c r="BE54" s="381" t="str">
        <f t="shared" si="24"/>
        <v>n/a</v>
      </c>
      <c r="BF54" s="381" t="str">
        <f t="shared" si="24"/>
        <v>n/a</v>
      </c>
      <c r="BG54" s="381" t="str">
        <f t="shared" si="24"/>
        <v>n/a</v>
      </c>
      <c r="BH54" s="381" t="str">
        <f t="shared" si="24"/>
        <v>n/a</v>
      </c>
      <c r="BI54" s="381" t="str">
        <f t="shared" si="24"/>
        <v>n/a</v>
      </c>
      <c r="BJ54" s="381" t="str">
        <f t="shared" si="24"/>
        <v>n/a</v>
      </c>
      <c r="BK54" s="381" t="str">
        <f t="shared" si="24"/>
        <v>n/a</v>
      </c>
      <c r="BL54" s="381" t="str">
        <f t="shared" si="24"/>
        <v>n/a</v>
      </c>
      <c r="BM54" s="381" t="str">
        <f t="shared" si="24"/>
        <v>n/a</v>
      </c>
      <c r="BN54" s="381" t="str">
        <f t="shared" si="24"/>
        <v>n/a</v>
      </c>
      <c r="BO54" s="381" t="str">
        <f t="shared" si="24"/>
        <v>n/a</v>
      </c>
      <c r="BP54" s="381" t="str">
        <f t="shared" si="24"/>
        <v>n/a</v>
      </c>
      <c r="BQ54" s="381" t="str">
        <f t="shared" si="24"/>
        <v>n/a</v>
      </c>
      <c r="BR54" s="381" t="str">
        <f t="shared" ref="BR54:CK54" si="25">IFERROR(BR10/BR$15,"n/a")</f>
        <v>n/a</v>
      </c>
      <c r="BS54" s="381" t="str">
        <f t="shared" si="25"/>
        <v>n/a</v>
      </c>
      <c r="BT54" s="381" t="str">
        <f t="shared" si="25"/>
        <v>n/a</v>
      </c>
      <c r="BU54" s="381" t="str">
        <f t="shared" si="25"/>
        <v>n/a</v>
      </c>
      <c r="BV54" s="381" t="str">
        <f t="shared" si="25"/>
        <v>n/a</v>
      </c>
      <c r="BW54" s="381" t="str">
        <f t="shared" si="25"/>
        <v>n/a</v>
      </c>
      <c r="BX54" s="381" t="str">
        <f t="shared" si="25"/>
        <v>n/a</v>
      </c>
      <c r="BY54" s="381" t="str">
        <f t="shared" si="25"/>
        <v>n/a</v>
      </c>
      <c r="BZ54" s="381" t="str">
        <f t="shared" si="25"/>
        <v>n/a</v>
      </c>
      <c r="CA54" s="381" t="str">
        <f t="shared" si="25"/>
        <v>n/a</v>
      </c>
      <c r="CB54" s="381" t="str">
        <f t="shared" si="25"/>
        <v>n/a</v>
      </c>
      <c r="CC54" s="381" t="str">
        <f t="shared" si="25"/>
        <v>n/a</v>
      </c>
      <c r="CD54" s="381" t="str">
        <f t="shared" si="25"/>
        <v>n/a</v>
      </c>
      <c r="CE54" s="381" t="str">
        <f t="shared" si="25"/>
        <v>n/a</v>
      </c>
      <c r="CF54" s="381" t="str">
        <f t="shared" si="25"/>
        <v>n/a</v>
      </c>
      <c r="CG54" s="381" t="str">
        <f t="shared" si="25"/>
        <v>n/a</v>
      </c>
      <c r="CH54" s="381" t="str">
        <f t="shared" si="25"/>
        <v>n/a</v>
      </c>
      <c r="CI54" s="381" t="str">
        <f t="shared" si="25"/>
        <v>n/a</v>
      </c>
      <c r="CJ54" s="381" t="str">
        <f t="shared" si="25"/>
        <v>n/a</v>
      </c>
      <c r="CK54" s="381" t="str">
        <f t="shared" si="25"/>
        <v>n/a</v>
      </c>
    </row>
    <row r="55" spans="3:92" s="89" customFormat="1" ht="11.25" customHeight="1" outlineLevel="2" x14ac:dyDescent="0.2">
      <c r="C55" s="82" t="str">
        <f t="shared" si="20"/>
        <v>Aktivierte Eigenleistungen</v>
      </c>
      <c r="D55" s="82" t="str">
        <f t="shared" si="20"/>
        <v>Own work capitalized</v>
      </c>
      <c r="E55" s="82"/>
      <c r="F55" s="81" t="str">
        <f t="shared" ref="F55:BQ55" si="26">IFERROR(F11/F$15,"n/a")</f>
        <v>n/a</v>
      </c>
      <c r="G55" s="81" t="str">
        <f t="shared" si="26"/>
        <v>n/a</v>
      </c>
      <c r="H55" s="81" t="str">
        <f t="shared" si="26"/>
        <v>n/a</v>
      </c>
      <c r="I55" s="81" t="str">
        <f t="shared" si="26"/>
        <v>n/a</v>
      </c>
      <c r="J55" s="81" t="str">
        <f t="shared" si="26"/>
        <v>n/a</v>
      </c>
      <c r="K55" s="81" t="str">
        <f t="shared" si="26"/>
        <v>n/a</v>
      </c>
      <c r="L55" s="81" t="str">
        <f t="shared" si="26"/>
        <v>n/a</v>
      </c>
      <c r="M55" s="81" t="str">
        <f t="shared" si="26"/>
        <v>n/a</v>
      </c>
      <c r="N55" s="81" t="str">
        <f t="shared" si="26"/>
        <v>n/a</v>
      </c>
      <c r="O55" s="81" t="str">
        <f t="shared" si="26"/>
        <v>n/a</v>
      </c>
      <c r="P55" s="81" t="str">
        <f t="shared" si="26"/>
        <v>n/a</v>
      </c>
      <c r="Q55" s="81" t="str">
        <f t="shared" si="26"/>
        <v>n/a</v>
      </c>
      <c r="R55" s="81">
        <f t="shared" si="26"/>
        <v>0</v>
      </c>
      <c r="S55" s="81">
        <f t="shared" si="26"/>
        <v>0</v>
      </c>
      <c r="T55" s="81">
        <f t="shared" si="26"/>
        <v>0</v>
      </c>
      <c r="U55" s="81">
        <f t="shared" si="26"/>
        <v>0</v>
      </c>
      <c r="V55" s="81">
        <f t="shared" si="26"/>
        <v>0</v>
      </c>
      <c r="W55" s="81">
        <f t="shared" si="26"/>
        <v>0</v>
      </c>
      <c r="X55" s="81">
        <f t="shared" si="26"/>
        <v>0</v>
      </c>
      <c r="Y55" s="81">
        <f t="shared" si="26"/>
        <v>0</v>
      </c>
      <c r="Z55" s="81">
        <f t="shared" si="26"/>
        <v>0</v>
      </c>
      <c r="AA55" s="81">
        <f t="shared" si="26"/>
        <v>0</v>
      </c>
      <c r="AB55" s="81">
        <f t="shared" si="26"/>
        <v>0</v>
      </c>
      <c r="AC55" s="81">
        <f t="shared" si="26"/>
        <v>0</v>
      </c>
      <c r="AD55" s="81">
        <f t="shared" si="26"/>
        <v>0</v>
      </c>
      <c r="AE55" s="81">
        <f t="shared" si="26"/>
        <v>0</v>
      </c>
      <c r="AF55" s="81">
        <f t="shared" si="26"/>
        <v>0</v>
      </c>
      <c r="AG55" s="81">
        <f t="shared" si="26"/>
        <v>0</v>
      </c>
      <c r="AH55" s="81">
        <f t="shared" si="26"/>
        <v>0</v>
      </c>
      <c r="AI55" s="81">
        <f t="shared" si="26"/>
        <v>0</v>
      </c>
      <c r="AJ55" s="81">
        <f t="shared" si="26"/>
        <v>0</v>
      </c>
      <c r="AK55" s="81">
        <f t="shared" si="26"/>
        <v>0</v>
      </c>
      <c r="AL55" s="81">
        <f t="shared" si="26"/>
        <v>0</v>
      </c>
      <c r="AM55" s="81">
        <f t="shared" si="26"/>
        <v>0</v>
      </c>
      <c r="AN55" s="81">
        <f t="shared" si="26"/>
        <v>0</v>
      </c>
      <c r="AO55" s="81">
        <f t="shared" si="26"/>
        <v>0</v>
      </c>
      <c r="AP55" s="81">
        <f t="shared" si="26"/>
        <v>0</v>
      </c>
      <c r="AQ55" s="81">
        <f t="shared" si="26"/>
        <v>0</v>
      </c>
      <c r="AR55" s="81">
        <f t="shared" si="26"/>
        <v>0</v>
      </c>
      <c r="AS55" s="81">
        <f t="shared" si="26"/>
        <v>0</v>
      </c>
      <c r="AT55" s="81">
        <f t="shared" si="26"/>
        <v>0</v>
      </c>
      <c r="AU55" s="381">
        <f t="shared" si="26"/>
        <v>0</v>
      </c>
      <c r="AV55" s="381">
        <f t="shared" si="26"/>
        <v>0</v>
      </c>
      <c r="AW55" s="381">
        <f t="shared" si="26"/>
        <v>0</v>
      </c>
      <c r="AX55" s="381">
        <f t="shared" si="26"/>
        <v>0</v>
      </c>
      <c r="AY55" s="381">
        <f t="shared" si="26"/>
        <v>0</v>
      </c>
      <c r="AZ55" s="381">
        <f t="shared" si="26"/>
        <v>0</v>
      </c>
      <c r="BA55" s="381">
        <f t="shared" si="26"/>
        <v>0</v>
      </c>
      <c r="BB55" s="381" t="str">
        <f t="shared" si="26"/>
        <v>n/a</v>
      </c>
      <c r="BC55" s="381" t="str">
        <f t="shared" si="26"/>
        <v>n/a</v>
      </c>
      <c r="BD55" s="381" t="str">
        <f t="shared" si="26"/>
        <v>n/a</v>
      </c>
      <c r="BE55" s="381" t="str">
        <f t="shared" si="26"/>
        <v>n/a</v>
      </c>
      <c r="BF55" s="381" t="str">
        <f t="shared" si="26"/>
        <v>n/a</v>
      </c>
      <c r="BG55" s="381" t="str">
        <f t="shared" si="26"/>
        <v>n/a</v>
      </c>
      <c r="BH55" s="381" t="str">
        <f t="shared" si="26"/>
        <v>n/a</v>
      </c>
      <c r="BI55" s="381" t="str">
        <f t="shared" si="26"/>
        <v>n/a</v>
      </c>
      <c r="BJ55" s="381" t="str">
        <f t="shared" si="26"/>
        <v>n/a</v>
      </c>
      <c r="BK55" s="381" t="str">
        <f t="shared" si="26"/>
        <v>n/a</v>
      </c>
      <c r="BL55" s="381" t="str">
        <f t="shared" si="26"/>
        <v>n/a</v>
      </c>
      <c r="BM55" s="381" t="str">
        <f t="shared" si="26"/>
        <v>n/a</v>
      </c>
      <c r="BN55" s="381" t="str">
        <f t="shared" si="26"/>
        <v>n/a</v>
      </c>
      <c r="BO55" s="381" t="str">
        <f t="shared" si="26"/>
        <v>n/a</v>
      </c>
      <c r="BP55" s="381" t="str">
        <f t="shared" si="26"/>
        <v>n/a</v>
      </c>
      <c r="BQ55" s="381" t="str">
        <f t="shared" si="26"/>
        <v>n/a</v>
      </c>
      <c r="BR55" s="381" t="str">
        <f t="shared" ref="BR55:CK55" si="27">IFERROR(BR11/BR$15,"n/a")</f>
        <v>n/a</v>
      </c>
      <c r="BS55" s="381" t="str">
        <f t="shared" si="27"/>
        <v>n/a</v>
      </c>
      <c r="BT55" s="381" t="str">
        <f t="shared" si="27"/>
        <v>n/a</v>
      </c>
      <c r="BU55" s="381" t="str">
        <f t="shared" si="27"/>
        <v>n/a</v>
      </c>
      <c r="BV55" s="381" t="str">
        <f t="shared" si="27"/>
        <v>n/a</v>
      </c>
      <c r="BW55" s="381" t="str">
        <f t="shared" si="27"/>
        <v>n/a</v>
      </c>
      <c r="BX55" s="381" t="str">
        <f t="shared" si="27"/>
        <v>n/a</v>
      </c>
      <c r="BY55" s="381" t="str">
        <f t="shared" si="27"/>
        <v>n/a</v>
      </c>
      <c r="BZ55" s="381" t="str">
        <f t="shared" si="27"/>
        <v>n/a</v>
      </c>
      <c r="CA55" s="381" t="str">
        <f t="shared" si="27"/>
        <v>n/a</v>
      </c>
      <c r="CB55" s="381" t="str">
        <f t="shared" si="27"/>
        <v>n/a</v>
      </c>
      <c r="CC55" s="381" t="str">
        <f t="shared" si="27"/>
        <v>n/a</v>
      </c>
      <c r="CD55" s="381" t="str">
        <f t="shared" si="27"/>
        <v>n/a</v>
      </c>
      <c r="CE55" s="381" t="str">
        <f t="shared" si="27"/>
        <v>n/a</v>
      </c>
      <c r="CF55" s="381" t="str">
        <f t="shared" si="27"/>
        <v>n/a</v>
      </c>
      <c r="CG55" s="381" t="str">
        <f t="shared" si="27"/>
        <v>n/a</v>
      </c>
      <c r="CH55" s="381" t="str">
        <f t="shared" si="27"/>
        <v>n/a</v>
      </c>
      <c r="CI55" s="381" t="str">
        <f t="shared" si="27"/>
        <v>n/a</v>
      </c>
      <c r="CJ55" s="381" t="str">
        <f t="shared" si="27"/>
        <v>n/a</v>
      </c>
      <c r="CK55" s="381" t="str">
        <f t="shared" si="27"/>
        <v>n/a</v>
      </c>
    </row>
    <row r="56" spans="3:92" s="89" customFormat="1" ht="11.25" customHeight="1" outlineLevel="2" x14ac:dyDescent="0.2">
      <c r="C56" s="82" t="str">
        <f t="shared" si="20"/>
        <v>Dummy 1</v>
      </c>
      <c r="D56" s="82" t="str">
        <f t="shared" si="20"/>
        <v>Dummy 1</v>
      </c>
      <c r="E56" s="82"/>
      <c r="F56" s="81" t="str">
        <f t="shared" ref="F56:BQ56" si="28">IFERROR(F12/F$15,"n/a")</f>
        <v>n/a</v>
      </c>
      <c r="G56" s="81" t="str">
        <f t="shared" si="28"/>
        <v>n/a</v>
      </c>
      <c r="H56" s="81" t="str">
        <f t="shared" si="28"/>
        <v>n/a</v>
      </c>
      <c r="I56" s="81" t="str">
        <f t="shared" si="28"/>
        <v>n/a</v>
      </c>
      <c r="J56" s="81" t="str">
        <f t="shared" si="28"/>
        <v>n/a</v>
      </c>
      <c r="K56" s="81" t="str">
        <f t="shared" si="28"/>
        <v>n/a</v>
      </c>
      <c r="L56" s="81" t="str">
        <f t="shared" si="28"/>
        <v>n/a</v>
      </c>
      <c r="M56" s="81" t="str">
        <f t="shared" si="28"/>
        <v>n/a</v>
      </c>
      <c r="N56" s="81" t="str">
        <f t="shared" si="28"/>
        <v>n/a</v>
      </c>
      <c r="O56" s="81" t="str">
        <f t="shared" si="28"/>
        <v>n/a</v>
      </c>
      <c r="P56" s="81" t="str">
        <f t="shared" si="28"/>
        <v>n/a</v>
      </c>
      <c r="Q56" s="81" t="str">
        <f t="shared" si="28"/>
        <v>n/a</v>
      </c>
      <c r="R56" s="81">
        <f t="shared" si="28"/>
        <v>0</v>
      </c>
      <c r="S56" s="81">
        <f t="shared" si="28"/>
        <v>0</v>
      </c>
      <c r="T56" s="81">
        <f t="shared" si="28"/>
        <v>0</v>
      </c>
      <c r="U56" s="81">
        <f t="shared" si="28"/>
        <v>0</v>
      </c>
      <c r="V56" s="81">
        <f t="shared" si="28"/>
        <v>0</v>
      </c>
      <c r="W56" s="81">
        <f t="shared" si="28"/>
        <v>0</v>
      </c>
      <c r="X56" s="81">
        <f t="shared" si="28"/>
        <v>0</v>
      </c>
      <c r="Y56" s="81">
        <f t="shared" si="28"/>
        <v>0</v>
      </c>
      <c r="Z56" s="81">
        <f t="shared" si="28"/>
        <v>0</v>
      </c>
      <c r="AA56" s="81">
        <f t="shared" si="28"/>
        <v>0</v>
      </c>
      <c r="AB56" s="81">
        <f t="shared" si="28"/>
        <v>0</v>
      </c>
      <c r="AC56" s="81">
        <f t="shared" si="28"/>
        <v>0</v>
      </c>
      <c r="AD56" s="81">
        <f t="shared" si="28"/>
        <v>0</v>
      </c>
      <c r="AE56" s="81">
        <f t="shared" si="28"/>
        <v>0</v>
      </c>
      <c r="AF56" s="81">
        <f t="shared" si="28"/>
        <v>0</v>
      </c>
      <c r="AG56" s="81">
        <f t="shared" si="28"/>
        <v>0</v>
      </c>
      <c r="AH56" s="81">
        <f t="shared" si="28"/>
        <v>0</v>
      </c>
      <c r="AI56" s="81">
        <f t="shared" si="28"/>
        <v>0</v>
      </c>
      <c r="AJ56" s="81">
        <f t="shared" si="28"/>
        <v>0</v>
      </c>
      <c r="AK56" s="81">
        <f t="shared" si="28"/>
        <v>0</v>
      </c>
      <c r="AL56" s="81">
        <f t="shared" si="28"/>
        <v>0</v>
      </c>
      <c r="AM56" s="81">
        <f t="shared" si="28"/>
        <v>0</v>
      </c>
      <c r="AN56" s="81">
        <f t="shared" si="28"/>
        <v>0</v>
      </c>
      <c r="AO56" s="81">
        <f t="shared" si="28"/>
        <v>0</v>
      </c>
      <c r="AP56" s="81">
        <f t="shared" si="28"/>
        <v>0</v>
      </c>
      <c r="AQ56" s="81">
        <f t="shared" si="28"/>
        <v>0</v>
      </c>
      <c r="AR56" s="81">
        <f t="shared" si="28"/>
        <v>0</v>
      </c>
      <c r="AS56" s="81">
        <f t="shared" si="28"/>
        <v>0</v>
      </c>
      <c r="AT56" s="81">
        <f t="shared" si="28"/>
        <v>0</v>
      </c>
      <c r="AU56" s="381">
        <f t="shared" si="28"/>
        <v>0</v>
      </c>
      <c r="AV56" s="381">
        <f t="shared" si="28"/>
        <v>0</v>
      </c>
      <c r="AW56" s="381">
        <f t="shared" si="28"/>
        <v>0</v>
      </c>
      <c r="AX56" s="381">
        <f t="shared" si="28"/>
        <v>0</v>
      </c>
      <c r="AY56" s="381">
        <f t="shared" si="28"/>
        <v>0</v>
      </c>
      <c r="AZ56" s="381">
        <f t="shared" si="28"/>
        <v>0</v>
      </c>
      <c r="BA56" s="381">
        <f t="shared" si="28"/>
        <v>0</v>
      </c>
      <c r="BB56" s="381" t="str">
        <f t="shared" si="28"/>
        <v>n/a</v>
      </c>
      <c r="BC56" s="381" t="str">
        <f t="shared" si="28"/>
        <v>n/a</v>
      </c>
      <c r="BD56" s="381" t="str">
        <f t="shared" si="28"/>
        <v>n/a</v>
      </c>
      <c r="BE56" s="381" t="str">
        <f t="shared" si="28"/>
        <v>n/a</v>
      </c>
      <c r="BF56" s="381" t="str">
        <f t="shared" si="28"/>
        <v>n/a</v>
      </c>
      <c r="BG56" s="381" t="str">
        <f t="shared" si="28"/>
        <v>n/a</v>
      </c>
      <c r="BH56" s="381" t="str">
        <f t="shared" si="28"/>
        <v>n/a</v>
      </c>
      <c r="BI56" s="381" t="str">
        <f t="shared" si="28"/>
        <v>n/a</v>
      </c>
      <c r="BJ56" s="381" t="str">
        <f t="shared" si="28"/>
        <v>n/a</v>
      </c>
      <c r="BK56" s="381" t="str">
        <f t="shared" si="28"/>
        <v>n/a</v>
      </c>
      <c r="BL56" s="381" t="str">
        <f t="shared" si="28"/>
        <v>n/a</v>
      </c>
      <c r="BM56" s="381" t="str">
        <f t="shared" si="28"/>
        <v>n/a</v>
      </c>
      <c r="BN56" s="381" t="str">
        <f t="shared" si="28"/>
        <v>n/a</v>
      </c>
      <c r="BO56" s="381" t="str">
        <f t="shared" si="28"/>
        <v>n/a</v>
      </c>
      <c r="BP56" s="381" t="str">
        <f t="shared" si="28"/>
        <v>n/a</v>
      </c>
      <c r="BQ56" s="381" t="str">
        <f t="shared" si="28"/>
        <v>n/a</v>
      </c>
      <c r="BR56" s="381" t="str">
        <f t="shared" ref="BR56:CK56" si="29">IFERROR(BR12/BR$15,"n/a")</f>
        <v>n/a</v>
      </c>
      <c r="BS56" s="381" t="str">
        <f t="shared" si="29"/>
        <v>n/a</v>
      </c>
      <c r="BT56" s="381" t="str">
        <f t="shared" si="29"/>
        <v>n/a</v>
      </c>
      <c r="BU56" s="381" t="str">
        <f t="shared" si="29"/>
        <v>n/a</v>
      </c>
      <c r="BV56" s="381" t="str">
        <f t="shared" si="29"/>
        <v>n/a</v>
      </c>
      <c r="BW56" s="381" t="str">
        <f t="shared" si="29"/>
        <v>n/a</v>
      </c>
      <c r="BX56" s="381" t="str">
        <f t="shared" si="29"/>
        <v>n/a</v>
      </c>
      <c r="BY56" s="381" t="str">
        <f t="shared" si="29"/>
        <v>n/a</v>
      </c>
      <c r="BZ56" s="381" t="str">
        <f t="shared" si="29"/>
        <v>n/a</v>
      </c>
      <c r="CA56" s="381" t="str">
        <f t="shared" si="29"/>
        <v>n/a</v>
      </c>
      <c r="CB56" s="381" t="str">
        <f t="shared" si="29"/>
        <v>n/a</v>
      </c>
      <c r="CC56" s="381" t="str">
        <f t="shared" si="29"/>
        <v>n/a</v>
      </c>
      <c r="CD56" s="381" t="str">
        <f t="shared" si="29"/>
        <v>n/a</v>
      </c>
      <c r="CE56" s="381" t="str">
        <f t="shared" si="29"/>
        <v>n/a</v>
      </c>
      <c r="CF56" s="381" t="str">
        <f t="shared" si="29"/>
        <v>n/a</v>
      </c>
      <c r="CG56" s="381" t="str">
        <f t="shared" si="29"/>
        <v>n/a</v>
      </c>
      <c r="CH56" s="381" t="str">
        <f t="shared" si="29"/>
        <v>n/a</v>
      </c>
      <c r="CI56" s="381" t="str">
        <f t="shared" si="29"/>
        <v>n/a</v>
      </c>
      <c r="CJ56" s="381" t="str">
        <f t="shared" si="29"/>
        <v>n/a</v>
      </c>
      <c r="CK56" s="381" t="str">
        <f t="shared" si="29"/>
        <v>n/a</v>
      </c>
    </row>
    <row r="57" spans="3:92" s="89" customFormat="1" ht="11.25" customHeight="1" outlineLevel="2" x14ac:dyDescent="0.2">
      <c r="C57" s="82" t="str">
        <f t="shared" si="20"/>
        <v>Dummy 2</v>
      </c>
      <c r="D57" s="82" t="str">
        <f t="shared" si="20"/>
        <v>Dummy 2</v>
      </c>
      <c r="E57" s="82"/>
      <c r="F57" s="81" t="str">
        <f t="shared" ref="F57:BQ57" si="30">IFERROR(F13/F$15,"n/a")</f>
        <v>n/a</v>
      </c>
      <c r="G57" s="81" t="str">
        <f t="shared" si="30"/>
        <v>n/a</v>
      </c>
      <c r="H57" s="81" t="str">
        <f t="shared" si="30"/>
        <v>n/a</v>
      </c>
      <c r="I57" s="81" t="str">
        <f t="shared" si="30"/>
        <v>n/a</v>
      </c>
      <c r="J57" s="81" t="str">
        <f t="shared" si="30"/>
        <v>n/a</v>
      </c>
      <c r="K57" s="81" t="str">
        <f t="shared" si="30"/>
        <v>n/a</v>
      </c>
      <c r="L57" s="81" t="str">
        <f t="shared" si="30"/>
        <v>n/a</v>
      </c>
      <c r="M57" s="81" t="str">
        <f t="shared" si="30"/>
        <v>n/a</v>
      </c>
      <c r="N57" s="81" t="str">
        <f t="shared" si="30"/>
        <v>n/a</v>
      </c>
      <c r="O57" s="81" t="str">
        <f t="shared" si="30"/>
        <v>n/a</v>
      </c>
      <c r="P57" s="81" t="str">
        <f t="shared" si="30"/>
        <v>n/a</v>
      </c>
      <c r="Q57" s="81" t="str">
        <f t="shared" si="30"/>
        <v>n/a</v>
      </c>
      <c r="R57" s="81">
        <f t="shared" si="30"/>
        <v>0</v>
      </c>
      <c r="S57" s="81">
        <f t="shared" si="30"/>
        <v>0</v>
      </c>
      <c r="T57" s="81">
        <f t="shared" si="30"/>
        <v>0</v>
      </c>
      <c r="U57" s="81">
        <f t="shared" si="30"/>
        <v>0</v>
      </c>
      <c r="V57" s="81">
        <f t="shared" si="30"/>
        <v>0</v>
      </c>
      <c r="W57" s="81">
        <f t="shared" si="30"/>
        <v>0</v>
      </c>
      <c r="X57" s="81">
        <f t="shared" si="30"/>
        <v>0</v>
      </c>
      <c r="Y57" s="81">
        <f t="shared" si="30"/>
        <v>0</v>
      </c>
      <c r="Z57" s="81">
        <f t="shared" si="30"/>
        <v>0</v>
      </c>
      <c r="AA57" s="81">
        <f t="shared" si="30"/>
        <v>0</v>
      </c>
      <c r="AB57" s="81">
        <f t="shared" si="30"/>
        <v>0</v>
      </c>
      <c r="AC57" s="81">
        <f t="shared" si="30"/>
        <v>0</v>
      </c>
      <c r="AD57" s="81">
        <f t="shared" si="30"/>
        <v>0</v>
      </c>
      <c r="AE57" s="81">
        <f t="shared" si="30"/>
        <v>0</v>
      </c>
      <c r="AF57" s="81">
        <f t="shared" si="30"/>
        <v>0</v>
      </c>
      <c r="AG57" s="81">
        <f t="shared" si="30"/>
        <v>0</v>
      </c>
      <c r="AH57" s="81">
        <f t="shared" si="30"/>
        <v>0</v>
      </c>
      <c r="AI57" s="81">
        <f t="shared" si="30"/>
        <v>0</v>
      </c>
      <c r="AJ57" s="81">
        <f t="shared" si="30"/>
        <v>0</v>
      </c>
      <c r="AK57" s="81">
        <f t="shared" si="30"/>
        <v>0</v>
      </c>
      <c r="AL57" s="81">
        <f t="shared" si="30"/>
        <v>0</v>
      </c>
      <c r="AM57" s="81">
        <f t="shared" si="30"/>
        <v>0</v>
      </c>
      <c r="AN57" s="81">
        <f t="shared" si="30"/>
        <v>0</v>
      </c>
      <c r="AO57" s="81">
        <f t="shared" si="30"/>
        <v>0</v>
      </c>
      <c r="AP57" s="81">
        <f t="shared" si="30"/>
        <v>0</v>
      </c>
      <c r="AQ57" s="81">
        <f t="shared" si="30"/>
        <v>0</v>
      </c>
      <c r="AR57" s="81">
        <f t="shared" si="30"/>
        <v>0</v>
      </c>
      <c r="AS57" s="81">
        <f t="shared" si="30"/>
        <v>0</v>
      </c>
      <c r="AT57" s="81">
        <f t="shared" si="30"/>
        <v>0</v>
      </c>
      <c r="AU57" s="381">
        <f t="shared" si="30"/>
        <v>0</v>
      </c>
      <c r="AV57" s="381">
        <f t="shared" si="30"/>
        <v>0</v>
      </c>
      <c r="AW57" s="381">
        <f t="shared" si="30"/>
        <v>0</v>
      </c>
      <c r="AX57" s="381">
        <f t="shared" si="30"/>
        <v>0</v>
      </c>
      <c r="AY57" s="381">
        <f t="shared" si="30"/>
        <v>0</v>
      </c>
      <c r="AZ57" s="381">
        <f t="shared" si="30"/>
        <v>0</v>
      </c>
      <c r="BA57" s="381">
        <f t="shared" si="30"/>
        <v>0</v>
      </c>
      <c r="BB57" s="381" t="str">
        <f t="shared" si="30"/>
        <v>n/a</v>
      </c>
      <c r="BC57" s="381" t="str">
        <f t="shared" si="30"/>
        <v>n/a</v>
      </c>
      <c r="BD57" s="381" t="str">
        <f t="shared" si="30"/>
        <v>n/a</v>
      </c>
      <c r="BE57" s="381" t="str">
        <f t="shared" si="30"/>
        <v>n/a</v>
      </c>
      <c r="BF57" s="381" t="str">
        <f t="shared" si="30"/>
        <v>n/a</v>
      </c>
      <c r="BG57" s="381" t="str">
        <f t="shared" si="30"/>
        <v>n/a</v>
      </c>
      <c r="BH57" s="381" t="str">
        <f t="shared" si="30"/>
        <v>n/a</v>
      </c>
      <c r="BI57" s="381" t="str">
        <f t="shared" si="30"/>
        <v>n/a</v>
      </c>
      <c r="BJ57" s="381" t="str">
        <f t="shared" si="30"/>
        <v>n/a</v>
      </c>
      <c r="BK57" s="381" t="str">
        <f t="shared" si="30"/>
        <v>n/a</v>
      </c>
      <c r="BL57" s="381" t="str">
        <f t="shared" si="30"/>
        <v>n/a</v>
      </c>
      <c r="BM57" s="381" t="str">
        <f t="shared" si="30"/>
        <v>n/a</v>
      </c>
      <c r="BN57" s="381" t="str">
        <f t="shared" si="30"/>
        <v>n/a</v>
      </c>
      <c r="BO57" s="381" t="str">
        <f t="shared" si="30"/>
        <v>n/a</v>
      </c>
      <c r="BP57" s="381" t="str">
        <f t="shared" si="30"/>
        <v>n/a</v>
      </c>
      <c r="BQ57" s="381" t="str">
        <f t="shared" si="30"/>
        <v>n/a</v>
      </c>
      <c r="BR57" s="381" t="str">
        <f t="shared" ref="BR57:CK57" si="31">IFERROR(BR13/BR$15,"n/a")</f>
        <v>n/a</v>
      </c>
      <c r="BS57" s="381" t="str">
        <f t="shared" si="31"/>
        <v>n/a</v>
      </c>
      <c r="BT57" s="381" t="str">
        <f t="shared" si="31"/>
        <v>n/a</v>
      </c>
      <c r="BU57" s="381" t="str">
        <f t="shared" si="31"/>
        <v>n/a</v>
      </c>
      <c r="BV57" s="381" t="str">
        <f t="shared" si="31"/>
        <v>n/a</v>
      </c>
      <c r="BW57" s="381" t="str">
        <f t="shared" si="31"/>
        <v>n/a</v>
      </c>
      <c r="BX57" s="381" t="str">
        <f t="shared" si="31"/>
        <v>n/a</v>
      </c>
      <c r="BY57" s="381" t="str">
        <f t="shared" si="31"/>
        <v>n/a</v>
      </c>
      <c r="BZ57" s="381" t="str">
        <f t="shared" si="31"/>
        <v>n/a</v>
      </c>
      <c r="CA57" s="381" t="str">
        <f t="shared" si="31"/>
        <v>n/a</v>
      </c>
      <c r="CB57" s="381" t="str">
        <f t="shared" si="31"/>
        <v>n/a</v>
      </c>
      <c r="CC57" s="381" t="str">
        <f t="shared" si="31"/>
        <v>n/a</v>
      </c>
      <c r="CD57" s="381" t="str">
        <f t="shared" si="31"/>
        <v>n/a</v>
      </c>
      <c r="CE57" s="381" t="str">
        <f t="shared" si="31"/>
        <v>n/a</v>
      </c>
      <c r="CF57" s="381" t="str">
        <f t="shared" si="31"/>
        <v>n/a</v>
      </c>
      <c r="CG57" s="381" t="str">
        <f t="shared" si="31"/>
        <v>n/a</v>
      </c>
      <c r="CH57" s="381" t="str">
        <f t="shared" si="31"/>
        <v>n/a</v>
      </c>
      <c r="CI57" s="381" t="str">
        <f t="shared" si="31"/>
        <v>n/a</v>
      </c>
      <c r="CJ57" s="381" t="str">
        <f t="shared" si="31"/>
        <v>n/a</v>
      </c>
      <c r="CK57" s="381" t="str">
        <f t="shared" si="31"/>
        <v>n/a</v>
      </c>
    </row>
    <row r="58" spans="3:92" s="89" customFormat="1" ht="11.25" customHeight="1" outlineLevel="2" x14ac:dyDescent="0.2">
      <c r="C58" s="82" t="str">
        <f t="shared" si="20"/>
        <v>Dummy 3</v>
      </c>
      <c r="D58" s="82" t="str">
        <f t="shared" si="20"/>
        <v>Dummy 3</v>
      </c>
      <c r="E58" s="82"/>
      <c r="F58" s="81" t="str">
        <f t="shared" ref="F58:BQ58" si="32">IFERROR(F14/F$15,"n/a")</f>
        <v>n/a</v>
      </c>
      <c r="G58" s="81" t="str">
        <f t="shared" si="32"/>
        <v>n/a</v>
      </c>
      <c r="H58" s="81" t="str">
        <f t="shared" si="32"/>
        <v>n/a</v>
      </c>
      <c r="I58" s="81" t="str">
        <f t="shared" si="32"/>
        <v>n/a</v>
      </c>
      <c r="J58" s="81" t="str">
        <f t="shared" si="32"/>
        <v>n/a</v>
      </c>
      <c r="K58" s="81" t="str">
        <f t="shared" si="32"/>
        <v>n/a</v>
      </c>
      <c r="L58" s="81" t="str">
        <f t="shared" si="32"/>
        <v>n/a</v>
      </c>
      <c r="M58" s="81" t="str">
        <f t="shared" si="32"/>
        <v>n/a</v>
      </c>
      <c r="N58" s="81" t="str">
        <f t="shared" si="32"/>
        <v>n/a</v>
      </c>
      <c r="O58" s="81" t="str">
        <f t="shared" si="32"/>
        <v>n/a</v>
      </c>
      <c r="P58" s="81" t="str">
        <f t="shared" si="32"/>
        <v>n/a</v>
      </c>
      <c r="Q58" s="81" t="str">
        <f t="shared" si="32"/>
        <v>n/a</v>
      </c>
      <c r="R58" s="81">
        <f t="shared" si="32"/>
        <v>0</v>
      </c>
      <c r="S58" s="81">
        <f t="shared" si="32"/>
        <v>0</v>
      </c>
      <c r="T58" s="81">
        <f t="shared" si="32"/>
        <v>0</v>
      </c>
      <c r="U58" s="81">
        <f t="shared" si="32"/>
        <v>0</v>
      </c>
      <c r="V58" s="81">
        <f t="shared" si="32"/>
        <v>0</v>
      </c>
      <c r="W58" s="81">
        <f t="shared" si="32"/>
        <v>0</v>
      </c>
      <c r="X58" s="81">
        <f t="shared" si="32"/>
        <v>0</v>
      </c>
      <c r="Y58" s="81">
        <f t="shared" si="32"/>
        <v>0</v>
      </c>
      <c r="Z58" s="81">
        <f t="shared" si="32"/>
        <v>0</v>
      </c>
      <c r="AA58" s="81">
        <f t="shared" si="32"/>
        <v>0</v>
      </c>
      <c r="AB58" s="81">
        <f t="shared" si="32"/>
        <v>0</v>
      </c>
      <c r="AC58" s="81">
        <f t="shared" si="32"/>
        <v>0</v>
      </c>
      <c r="AD58" s="81">
        <f t="shared" si="32"/>
        <v>0</v>
      </c>
      <c r="AE58" s="81">
        <f t="shared" si="32"/>
        <v>0</v>
      </c>
      <c r="AF58" s="81">
        <f t="shared" si="32"/>
        <v>0</v>
      </c>
      <c r="AG58" s="81">
        <f t="shared" si="32"/>
        <v>0</v>
      </c>
      <c r="AH58" s="81">
        <f t="shared" si="32"/>
        <v>0</v>
      </c>
      <c r="AI58" s="81">
        <f t="shared" si="32"/>
        <v>0</v>
      </c>
      <c r="AJ58" s="81">
        <f t="shared" si="32"/>
        <v>0</v>
      </c>
      <c r="AK58" s="81">
        <f t="shared" si="32"/>
        <v>0</v>
      </c>
      <c r="AL58" s="81">
        <f t="shared" si="32"/>
        <v>0</v>
      </c>
      <c r="AM58" s="81">
        <f t="shared" si="32"/>
        <v>0</v>
      </c>
      <c r="AN58" s="81">
        <f t="shared" si="32"/>
        <v>0</v>
      </c>
      <c r="AO58" s="81">
        <f t="shared" si="32"/>
        <v>0</v>
      </c>
      <c r="AP58" s="81">
        <f t="shared" si="32"/>
        <v>0</v>
      </c>
      <c r="AQ58" s="81">
        <f t="shared" si="32"/>
        <v>0</v>
      </c>
      <c r="AR58" s="81">
        <f t="shared" si="32"/>
        <v>0</v>
      </c>
      <c r="AS58" s="81">
        <f t="shared" si="32"/>
        <v>0</v>
      </c>
      <c r="AT58" s="81">
        <f t="shared" si="32"/>
        <v>0</v>
      </c>
      <c r="AU58" s="381">
        <f t="shared" si="32"/>
        <v>0</v>
      </c>
      <c r="AV58" s="381">
        <f t="shared" si="32"/>
        <v>0</v>
      </c>
      <c r="AW58" s="381">
        <f t="shared" si="32"/>
        <v>0</v>
      </c>
      <c r="AX58" s="381">
        <f t="shared" si="32"/>
        <v>0</v>
      </c>
      <c r="AY58" s="381">
        <f t="shared" si="32"/>
        <v>0</v>
      </c>
      <c r="AZ58" s="381">
        <f t="shared" si="32"/>
        <v>0</v>
      </c>
      <c r="BA58" s="381">
        <f t="shared" si="32"/>
        <v>0</v>
      </c>
      <c r="BB58" s="381" t="str">
        <f t="shared" si="32"/>
        <v>n/a</v>
      </c>
      <c r="BC58" s="381" t="str">
        <f t="shared" si="32"/>
        <v>n/a</v>
      </c>
      <c r="BD58" s="381" t="str">
        <f t="shared" si="32"/>
        <v>n/a</v>
      </c>
      <c r="BE58" s="381" t="str">
        <f t="shared" si="32"/>
        <v>n/a</v>
      </c>
      <c r="BF58" s="381" t="str">
        <f t="shared" si="32"/>
        <v>n/a</v>
      </c>
      <c r="BG58" s="381" t="str">
        <f t="shared" si="32"/>
        <v>n/a</v>
      </c>
      <c r="BH58" s="381" t="str">
        <f t="shared" si="32"/>
        <v>n/a</v>
      </c>
      <c r="BI58" s="381" t="str">
        <f t="shared" si="32"/>
        <v>n/a</v>
      </c>
      <c r="BJ58" s="381" t="str">
        <f t="shared" si="32"/>
        <v>n/a</v>
      </c>
      <c r="BK58" s="381" t="str">
        <f t="shared" si="32"/>
        <v>n/a</v>
      </c>
      <c r="BL58" s="381" t="str">
        <f t="shared" si="32"/>
        <v>n/a</v>
      </c>
      <c r="BM58" s="381" t="str">
        <f t="shared" si="32"/>
        <v>n/a</v>
      </c>
      <c r="BN58" s="381" t="str">
        <f t="shared" si="32"/>
        <v>n/a</v>
      </c>
      <c r="BO58" s="381" t="str">
        <f t="shared" si="32"/>
        <v>n/a</v>
      </c>
      <c r="BP58" s="381" t="str">
        <f t="shared" si="32"/>
        <v>n/a</v>
      </c>
      <c r="BQ58" s="381" t="str">
        <f t="shared" si="32"/>
        <v>n/a</v>
      </c>
      <c r="BR58" s="381" t="str">
        <f t="shared" ref="BR58:CK58" si="33">IFERROR(BR14/BR$15,"n/a")</f>
        <v>n/a</v>
      </c>
      <c r="BS58" s="381" t="str">
        <f t="shared" si="33"/>
        <v>n/a</v>
      </c>
      <c r="BT58" s="381" t="str">
        <f t="shared" si="33"/>
        <v>n/a</v>
      </c>
      <c r="BU58" s="381" t="str">
        <f t="shared" si="33"/>
        <v>n/a</v>
      </c>
      <c r="BV58" s="381" t="str">
        <f t="shared" si="33"/>
        <v>n/a</v>
      </c>
      <c r="BW58" s="381" t="str">
        <f t="shared" si="33"/>
        <v>n/a</v>
      </c>
      <c r="BX58" s="381" t="str">
        <f t="shared" si="33"/>
        <v>n/a</v>
      </c>
      <c r="BY58" s="381" t="str">
        <f t="shared" si="33"/>
        <v>n/a</v>
      </c>
      <c r="BZ58" s="381" t="str">
        <f t="shared" si="33"/>
        <v>n/a</v>
      </c>
      <c r="CA58" s="381" t="str">
        <f t="shared" si="33"/>
        <v>n/a</v>
      </c>
      <c r="CB58" s="381" t="str">
        <f t="shared" si="33"/>
        <v>n/a</v>
      </c>
      <c r="CC58" s="381" t="str">
        <f t="shared" si="33"/>
        <v>n/a</v>
      </c>
      <c r="CD58" s="381" t="str">
        <f t="shared" si="33"/>
        <v>n/a</v>
      </c>
      <c r="CE58" s="381" t="str">
        <f t="shared" si="33"/>
        <v>n/a</v>
      </c>
      <c r="CF58" s="381" t="str">
        <f t="shared" si="33"/>
        <v>n/a</v>
      </c>
      <c r="CG58" s="381" t="str">
        <f t="shared" si="33"/>
        <v>n/a</v>
      </c>
      <c r="CH58" s="381" t="str">
        <f t="shared" si="33"/>
        <v>n/a</v>
      </c>
      <c r="CI58" s="381" t="str">
        <f t="shared" si="33"/>
        <v>n/a</v>
      </c>
      <c r="CJ58" s="381" t="str">
        <f t="shared" si="33"/>
        <v>n/a</v>
      </c>
      <c r="CK58" s="381" t="str">
        <f t="shared" si="33"/>
        <v>n/a</v>
      </c>
    </row>
    <row r="59" spans="3:92" s="89" customFormat="1" ht="11.25" customHeight="1" x14ac:dyDescent="0.2">
      <c r="C59" s="90" t="str">
        <f t="shared" ref="C59:D65" si="34">C15</f>
        <v>Gesamtleistung</v>
      </c>
      <c r="D59" s="90" t="str">
        <f t="shared" si="34"/>
        <v>Total output</v>
      </c>
      <c r="E59" s="90"/>
      <c r="F59" s="87" t="str">
        <f t="shared" ref="F59:AK59" si="35">IFERROR(F15/F$15,"n/a")</f>
        <v>n/a</v>
      </c>
      <c r="G59" s="87" t="str">
        <f t="shared" si="35"/>
        <v>n/a</v>
      </c>
      <c r="H59" s="87" t="str">
        <f t="shared" si="35"/>
        <v>n/a</v>
      </c>
      <c r="I59" s="87" t="str">
        <f t="shared" si="35"/>
        <v>n/a</v>
      </c>
      <c r="J59" s="87" t="str">
        <f t="shared" si="35"/>
        <v>n/a</v>
      </c>
      <c r="K59" s="87" t="str">
        <f t="shared" si="35"/>
        <v>n/a</v>
      </c>
      <c r="L59" s="87" t="str">
        <f t="shared" si="35"/>
        <v>n/a</v>
      </c>
      <c r="M59" s="87" t="str">
        <f t="shared" si="35"/>
        <v>n/a</v>
      </c>
      <c r="N59" s="87" t="str">
        <f t="shared" si="35"/>
        <v>n/a</v>
      </c>
      <c r="O59" s="87" t="str">
        <f t="shared" si="35"/>
        <v>n/a</v>
      </c>
      <c r="P59" s="87" t="str">
        <f t="shared" si="35"/>
        <v>n/a</v>
      </c>
      <c r="Q59" s="87" t="str">
        <f t="shared" si="35"/>
        <v>n/a</v>
      </c>
      <c r="R59" s="87">
        <f t="shared" si="35"/>
        <v>1</v>
      </c>
      <c r="S59" s="87">
        <f t="shared" si="35"/>
        <v>1</v>
      </c>
      <c r="T59" s="87">
        <f t="shared" si="35"/>
        <v>1</v>
      </c>
      <c r="U59" s="87">
        <f t="shared" si="35"/>
        <v>1</v>
      </c>
      <c r="V59" s="87">
        <f t="shared" si="35"/>
        <v>1</v>
      </c>
      <c r="W59" s="87">
        <f t="shared" si="35"/>
        <v>1</v>
      </c>
      <c r="X59" s="87">
        <f t="shared" si="35"/>
        <v>1</v>
      </c>
      <c r="Y59" s="87">
        <f t="shared" si="35"/>
        <v>1</v>
      </c>
      <c r="Z59" s="87">
        <f t="shared" si="35"/>
        <v>1</v>
      </c>
      <c r="AA59" s="87">
        <f t="shared" si="35"/>
        <v>1</v>
      </c>
      <c r="AB59" s="87">
        <f t="shared" si="35"/>
        <v>1</v>
      </c>
      <c r="AC59" s="87">
        <f t="shared" si="35"/>
        <v>1</v>
      </c>
      <c r="AD59" s="87">
        <f t="shared" si="35"/>
        <v>1</v>
      </c>
      <c r="AE59" s="87">
        <f t="shared" si="35"/>
        <v>1</v>
      </c>
      <c r="AF59" s="87">
        <f t="shared" si="35"/>
        <v>1</v>
      </c>
      <c r="AG59" s="87">
        <f t="shared" si="35"/>
        <v>1</v>
      </c>
      <c r="AH59" s="87">
        <f t="shared" si="35"/>
        <v>1</v>
      </c>
      <c r="AI59" s="87">
        <f t="shared" si="35"/>
        <v>1</v>
      </c>
      <c r="AJ59" s="87">
        <f t="shared" si="35"/>
        <v>1</v>
      </c>
      <c r="AK59" s="87">
        <f t="shared" si="35"/>
        <v>1</v>
      </c>
      <c r="AL59" s="87">
        <f t="shared" ref="AL59:BQ59" si="36">IFERROR(AL15/AL$15,"n/a")</f>
        <v>1</v>
      </c>
      <c r="AM59" s="87">
        <f t="shared" si="36"/>
        <v>1</v>
      </c>
      <c r="AN59" s="87">
        <f t="shared" si="36"/>
        <v>1</v>
      </c>
      <c r="AO59" s="87">
        <f t="shared" si="36"/>
        <v>1</v>
      </c>
      <c r="AP59" s="87">
        <f t="shared" si="36"/>
        <v>1</v>
      </c>
      <c r="AQ59" s="87">
        <f t="shared" si="36"/>
        <v>1</v>
      </c>
      <c r="AR59" s="87">
        <f t="shared" si="36"/>
        <v>1</v>
      </c>
      <c r="AS59" s="87">
        <f t="shared" si="36"/>
        <v>1</v>
      </c>
      <c r="AT59" s="87">
        <f t="shared" si="36"/>
        <v>1</v>
      </c>
      <c r="AU59" s="382">
        <f t="shared" si="36"/>
        <v>1</v>
      </c>
      <c r="AV59" s="382">
        <f t="shared" si="36"/>
        <v>1</v>
      </c>
      <c r="AW59" s="382">
        <f t="shared" si="36"/>
        <v>1</v>
      </c>
      <c r="AX59" s="382">
        <f t="shared" si="36"/>
        <v>1</v>
      </c>
      <c r="AY59" s="382">
        <f t="shared" si="36"/>
        <v>1</v>
      </c>
      <c r="AZ59" s="382">
        <f t="shared" si="36"/>
        <v>1</v>
      </c>
      <c r="BA59" s="382">
        <f t="shared" si="36"/>
        <v>1</v>
      </c>
      <c r="BB59" s="382" t="str">
        <f t="shared" si="36"/>
        <v>n/a</v>
      </c>
      <c r="BC59" s="382" t="str">
        <f t="shared" si="36"/>
        <v>n/a</v>
      </c>
      <c r="BD59" s="382" t="str">
        <f t="shared" si="36"/>
        <v>n/a</v>
      </c>
      <c r="BE59" s="382" t="str">
        <f t="shared" si="36"/>
        <v>n/a</v>
      </c>
      <c r="BF59" s="382" t="str">
        <f t="shared" si="36"/>
        <v>n/a</v>
      </c>
      <c r="BG59" s="382" t="str">
        <f t="shared" si="36"/>
        <v>n/a</v>
      </c>
      <c r="BH59" s="382" t="str">
        <f t="shared" si="36"/>
        <v>n/a</v>
      </c>
      <c r="BI59" s="382" t="str">
        <f t="shared" si="36"/>
        <v>n/a</v>
      </c>
      <c r="BJ59" s="382" t="str">
        <f t="shared" si="36"/>
        <v>n/a</v>
      </c>
      <c r="BK59" s="382" t="str">
        <f t="shared" si="36"/>
        <v>n/a</v>
      </c>
      <c r="BL59" s="382" t="str">
        <f t="shared" si="36"/>
        <v>n/a</v>
      </c>
      <c r="BM59" s="382" t="str">
        <f t="shared" si="36"/>
        <v>n/a</v>
      </c>
      <c r="BN59" s="382" t="str">
        <f t="shared" si="36"/>
        <v>n/a</v>
      </c>
      <c r="BO59" s="382" t="str">
        <f t="shared" si="36"/>
        <v>n/a</v>
      </c>
      <c r="BP59" s="382" t="str">
        <f t="shared" si="36"/>
        <v>n/a</v>
      </c>
      <c r="BQ59" s="382" t="str">
        <f t="shared" si="36"/>
        <v>n/a</v>
      </c>
      <c r="BR59" s="382" t="str">
        <f t="shared" ref="BR59:CK59" si="37">IFERROR(BR15/BR$15,"n/a")</f>
        <v>n/a</v>
      </c>
      <c r="BS59" s="382" t="str">
        <f t="shared" si="37"/>
        <v>n/a</v>
      </c>
      <c r="BT59" s="382" t="str">
        <f t="shared" si="37"/>
        <v>n/a</v>
      </c>
      <c r="BU59" s="382" t="str">
        <f t="shared" si="37"/>
        <v>n/a</v>
      </c>
      <c r="BV59" s="382" t="str">
        <f t="shared" si="37"/>
        <v>n/a</v>
      </c>
      <c r="BW59" s="382" t="str">
        <f t="shared" si="37"/>
        <v>n/a</v>
      </c>
      <c r="BX59" s="382" t="str">
        <f t="shared" si="37"/>
        <v>n/a</v>
      </c>
      <c r="BY59" s="382" t="str">
        <f t="shared" si="37"/>
        <v>n/a</v>
      </c>
      <c r="BZ59" s="382" t="str">
        <f t="shared" si="37"/>
        <v>n/a</v>
      </c>
      <c r="CA59" s="382" t="str">
        <f t="shared" si="37"/>
        <v>n/a</v>
      </c>
      <c r="CB59" s="382" t="str">
        <f t="shared" si="37"/>
        <v>n/a</v>
      </c>
      <c r="CC59" s="382" t="str">
        <f t="shared" si="37"/>
        <v>n/a</v>
      </c>
      <c r="CD59" s="382" t="str">
        <f t="shared" si="37"/>
        <v>n/a</v>
      </c>
      <c r="CE59" s="382" t="str">
        <f t="shared" si="37"/>
        <v>n/a</v>
      </c>
      <c r="CF59" s="382" t="str">
        <f t="shared" si="37"/>
        <v>n/a</v>
      </c>
      <c r="CG59" s="382" t="str">
        <f t="shared" si="37"/>
        <v>n/a</v>
      </c>
      <c r="CH59" s="382" t="str">
        <f t="shared" si="37"/>
        <v>n/a</v>
      </c>
      <c r="CI59" s="382" t="str">
        <f t="shared" si="37"/>
        <v>n/a</v>
      </c>
      <c r="CJ59" s="382" t="str">
        <f t="shared" si="37"/>
        <v>n/a</v>
      </c>
      <c r="CK59" s="382" t="str">
        <f t="shared" si="37"/>
        <v>n/a</v>
      </c>
    </row>
    <row r="60" spans="3:92" s="89" customFormat="1" ht="11.25" customHeight="1" x14ac:dyDescent="0.2">
      <c r="C60" s="82" t="str">
        <f t="shared" si="34"/>
        <v>Materialaufwand</v>
      </c>
      <c r="D60" s="82" t="str">
        <f t="shared" si="34"/>
        <v>Cost of materials</v>
      </c>
      <c r="E60" s="82"/>
      <c r="F60" s="81" t="str">
        <f t="shared" ref="F60:AK60" si="38">IFERROR(F16/F$15,"n/a")</f>
        <v>n/a</v>
      </c>
      <c r="G60" s="81" t="str">
        <f t="shared" si="38"/>
        <v>n/a</v>
      </c>
      <c r="H60" s="81" t="str">
        <f t="shared" si="38"/>
        <v>n/a</v>
      </c>
      <c r="I60" s="81" t="str">
        <f t="shared" si="38"/>
        <v>n/a</v>
      </c>
      <c r="J60" s="81" t="str">
        <f t="shared" si="38"/>
        <v>n/a</v>
      </c>
      <c r="K60" s="81" t="str">
        <f t="shared" si="38"/>
        <v>n/a</v>
      </c>
      <c r="L60" s="81" t="str">
        <f t="shared" si="38"/>
        <v>n/a</v>
      </c>
      <c r="M60" s="81" t="str">
        <f t="shared" si="38"/>
        <v>n/a</v>
      </c>
      <c r="N60" s="81" t="str">
        <f t="shared" si="38"/>
        <v>n/a</v>
      </c>
      <c r="O60" s="81" t="str">
        <f t="shared" si="38"/>
        <v>n/a</v>
      </c>
      <c r="P60" s="81" t="str">
        <f t="shared" si="38"/>
        <v>n/a</v>
      </c>
      <c r="Q60" s="81" t="str">
        <f t="shared" si="38"/>
        <v>n/a</v>
      </c>
      <c r="R60" s="81">
        <f t="shared" si="38"/>
        <v>-0.63829793922383848</v>
      </c>
      <c r="S60" s="81">
        <f t="shared" si="38"/>
        <v>-0.75536883434654212</v>
      </c>
      <c r="T60" s="81">
        <f t="shared" si="38"/>
        <v>-0.6820846809793355</v>
      </c>
      <c r="U60" s="81">
        <f t="shared" si="38"/>
        <v>-0.49652331104008318</v>
      </c>
      <c r="V60" s="81">
        <f t="shared" si="38"/>
        <v>-0.78738904393560816</v>
      </c>
      <c r="W60" s="81">
        <f t="shared" si="38"/>
        <v>4.4494940305305153E-2</v>
      </c>
      <c r="X60" s="81">
        <f t="shared" si="38"/>
        <v>-0.59266391130159146</v>
      </c>
      <c r="Y60" s="81">
        <f t="shared" si="38"/>
        <v>-0.36976890800100831</v>
      </c>
      <c r="Z60" s="81">
        <f t="shared" si="38"/>
        <v>-0.53608365213048814</v>
      </c>
      <c r="AA60" s="81">
        <f t="shared" si="38"/>
        <v>-0.47146022077394001</v>
      </c>
      <c r="AB60" s="81">
        <f t="shared" si="38"/>
        <v>-0.32269464289948108</v>
      </c>
      <c r="AC60" s="81">
        <f t="shared" si="38"/>
        <v>-0.68653260262476024</v>
      </c>
      <c r="AD60" s="81">
        <f t="shared" si="38"/>
        <v>-0.52405896998593848</v>
      </c>
      <c r="AE60" s="81">
        <f t="shared" si="38"/>
        <v>-0.37322113317079669</v>
      </c>
      <c r="AF60" s="81">
        <f t="shared" si="38"/>
        <v>-0.37591566365430279</v>
      </c>
      <c r="AG60" s="81">
        <f t="shared" si="38"/>
        <v>-0.48642955565605295</v>
      </c>
      <c r="AH60" s="81">
        <f t="shared" si="38"/>
        <v>-0.61194815927586177</v>
      </c>
      <c r="AI60" s="81">
        <f t="shared" si="38"/>
        <v>-0.68632572698328542</v>
      </c>
      <c r="AJ60" s="81">
        <f t="shared" si="38"/>
        <v>-1.1216951257137309</v>
      </c>
      <c r="AK60" s="81">
        <f t="shared" si="38"/>
        <v>-0.39140420953194194</v>
      </c>
      <c r="AL60" s="81">
        <f t="shared" ref="AL60:BQ60" si="39">IFERROR(AL16/AL$15,"n/a")</f>
        <v>-0.82029285558731069</v>
      </c>
      <c r="AM60" s="81">
        <f t="shared" si="39"/>
        <v>-0.26481792087112754</v>
      </c>
      <c r="AN60" s="81">
        <f t="shared" si="39"/>
        <v>-0.44578915181882039</v>
      </c>
      <c r="AO60" s="81">
        <f t="shared" si="39"/>
        <v>0.17250011831315026</v>
      </c>
      <c r="AP60" s="81">
        <f t="shared" si="39"/>
        <v>-0.49180076535036749</v>
      </c>
      <c r="AQ60" s="81">
        <f t="shared" si="39"/>
        <v>-0.57995192767517689</v>
      </c>
      <c r="AR60" s="81">
        <f t="shared" si="39"/>
        <v>-0.59454987378794699</v>
      </c>
      <c r="AS60" s="81">
        <f t="shared" si="39"/>
        <v>-0.51614665350470712</v>
      </c>
      <c r="AT60" s="81">
        <f t="shared" si="39"/>
        <v>-0.46317054998052554</v>
      </c>
      <c r="AU60" s="381">
        <f t="shared" si="39"/>
        <v>-0.27557200344698174</v>
      </c>
      <c r="AV60" s="381">
        <f t="shared" si="39"/>
        <v>-0.45553121846872219</v>
      </c>
      <c r="AW60" s="381">
        <f t="shared" si="39"/>
        <v>-0.32381375902705789</v>
      </c>
      <c r="AX60" s="381">
        <f t="shared" si="39"/>
        <v>-0.37616956545624186</v>
      </c>
      <c r="AY60" s="381">
        <f t="shared" si="39"/>
        <v>-0.31221392528952935</v>
      </c>
      <c r="AZ60" s="381">
        <f t="shared" si="39"/>
        <v>-0.61685431519273526</v>
      </c>
      <c r="BA60" s="381">
        <f t="shared" si="39"/>
        <v>-0.74091965570652474</v>
      </c>
      <c r="BB60" s="381" t="str">
        <f t="shared" si="39"/>
        <v>n/a</v>
      </c>
      <c r="BC60" s="381" t="str">
        <f t="shared" si="39"/>
        <v>n/a</v>
      </c>
      <c r="BD60" s="381" t="str">
        <f t="shared" si="39"/>
        <v>n/a</v>
      </c>
      <c r="BE60" s="381" t="str">
        <f t="shared" si="39"/>
        <v>n/a</v>
      </c>
      <c r="BF60" s="381" t="str">
        <f t="shared" si="39"/>
        <v>n/a</v>
      </c>
      <c r="BG60" s="381" t="str">
        <f t="shared" si="39"/>
        <v>n/a</v>
      </c>
      <c r="BH60" s="381" t="str">
        <f t="shared" si="39"/>
        <v>n/a</v>
      </c>
      <c r="BI60" s="381" t="str">
        <f t="shared" si="39"/>
        <v>n/a</v>
      </c>
      <c r="BJ60" s="381" t="str">
        <f t="shared" si="39"/>
        <v>n/a</v>
      </c>
      <c r="BK60" s="381" t="str">
        <f t="shared" si="39"/>
        <v>n/a</v>
      </c>
      <c r="BL60" s="381" t="str">
        <f t="shared" si="39"/>
        <v>n/a</v>
      </c>
      <c r="BM60" s="381" t="str">
        <f t="shared" si="39"/>
        <v>n/a</v>
      </c>
      <c r="BN60" s="381" t="str">
        <f t="shared" si="39"/>
        <v>n/a</v>
      </c>
      <c r="BO60" s="381" t="str">
        <f t="shared" si="39"/>
        <v>n/a</v>
      </c>
      <c r="BP60" s="381" t="str">
        <f t="shared" si="39"/>
        <v>n/a</v>
      </c>
      <c r="BQ60" s="381" t="str">
        <f t="shared" si="39"/>
        <v>n/a</v>
      </c>
      <c r="BR60" s="381" t="str">
        <f t="shared" ref="BR60:CK60" si="40">IFERROR(BR16/BR$15,"n/a")</f>
        <v>n/a</v>
      </c>
      <c r="BS60" s="381" t="str">
        <f t="shared" si="40"/>
        <v>n/a</v>
      </c>
      <c r="BT60" s="381" t="str">
        <f t="shared" si="40"/>
        <v>n/a</v>
      </c>
      <c r="BU60" s="381" t="str">
        <f t="shared" si="40"/>
        <v>n/a</v>
      </c>
      <c r="BV60" s="381" t="str">
        <f t="shared" si="40"/>
        <v>n/a</v>
      </c>
      <c r="BW60" s="381" t="str">
        <f t="shared" si="40"/>
        <v>n/a</v>
      </c>
      <c r="BX60" s="381" t="str">
        <f t="shared" si="40"/>
        <v>n/a</v>
      </c>
      <c r="BY60" s="381" t="str">
        <f t="shared" si="40"/>
        <v>n/a</v>
      </c>
      <c r="BZ60" s="381" t="str">
        <f t="shared" si="40"/>
        <v>n/a</v>
      </c>
      <c r="CA60" s="381" t="str">
        <f t="shared" si="40"/>
        <v>n/a</v>
      </c>
      <c r="CB60" s="381" t="str">
        <f t="shared" si="40"/>
        <v>n/a</v>
      </c>
      <c r="CC60" s="381" t="str">
        <f t="shared" si="40"/>
        <v>n/a</v>
      </c>
      <c r="CD60" s="381" t="str">
        <f t="shared" si="40"/>
        <v>n/a</v>
      </c>
      <c r="CE60" s="381" t="str">
        <f t="shared" si="40"/>
        <v>n/a</v>
      </c>
      <c r="CF60" s="381" t="str">
        <f t="shared" si="40"/>
        <v>n/a</v>
      </c>
      <c r="CG60" s="381" t="str">
        <f t="shared" si="40"/>
        <v>n/a</v>
      </c>
      <c r="CH60" s="381" t="str">
        <f t="shared" si="40"/>
        <v>n/a</v>
      </c>
      <c r="CI60" s="381" t="str">
        <f t="shared" si="40"/>
        <v>n/a</v>
      </c>
      <c r="CJ60" s="381" t="str">
        <f t="shared" si="40"/>
        <v>n/a</v>
      </c>
      <c r="CK60" s="381" t="str">
        <f t="shared" si="40"/>
        <v>n/a</v>
      </c>
    </row>
    <row r="61" spans="3:92" s="89" customFormat="1" ht="11.25" customHeight="1" outlineLevel="2" x14ac:dyDescent="0.2">
      <c r="C61" s="82" t="str">
        <f t="shared" si="34"/>
        <v>RHB-Aufwand</v>
      </c>
      <c r="D61" s="82" t="str">
        <f t="shared" si="34"/>
        <v>Dummy 1</v>
      </c>
      <c r="E61" s="82"/>
      <c r="F61" s="81" t="str">
        <f t="shared" ref="F61:AK61" si="41">IFERROR(F17/F$15,"n/a")</f>
        <v>n/a</v>
      </c>
      <c r="G61" s="81" t="str">
        <f t="shared" si="41"/>
        <v>n/a</v>
      </c>
      <c r="H61" s="81" t="str">
        <f t="shared" si="41"/>
        <v>n/a</v>
      </c>
      <c r="I61" s="81" t="str">
        <f t="shared" si="41"/>
        <v>n/a</v>
      </c>
      <c r="J61" s="81" t="str">
        <f t="shared" si="41"/>
        <v>n/a</v>
      </c>
      <c r="K61" s="81" t="str">
        <f t="shared" si="41"/>
        <v>n/a</v>
      </c>
      <c r="L61" s="81" t="str">
        <f t="shared" si="41"/>
        <v>n/a</v>
      </c>
      <c r="M61" s="81" t="str">
        <f t="shared" si="41"/>
        <v>n/a</v>
      </c>
      <c r="N61" s="81" t="str">
        <f t="shared" si="41"/>
        <v>n/a</v>
      </c>
      <c r="O61" s="81" t="str">
        <f t="shared" si="41"/>
        <v>n/a</v>
      </c>
      <c r="P61" s="81" t="str">
        <f t="shared" si="41"/>
        <v>n/a</v>
      </c>
      <c r="Q61" s="81" t="str">
        <f t="shared" si="41"/>
        <v>n/a</v>
      </c>
      <c r="R61" s="81">
        <f t="shared" si="41"/>
        <v>0</v>
      </c>
      <c r="S61" s="81">
        <f t="shared" si="41"/>
        <v>0</v>
      </c>
      <c r="T61" s="81">
        <f t="shared" si="41"/>
        <v>0</v>
      </c>
      <c r="U61" s="81">
        <f t="shared" si="41"/>
        <v>0</v>
      </c>
      <c r="V61" s="81">
        <f t="shared" si="41"/>
        <v>0</v>
      </c>
      <c r="W61" s="81">
        <f t="shared" si="41"/>
        <v>0</v>
      </c>
      <c r="X61" s="81">
        <f t="shared" si="41"/>
        <v>0</v>
      </c>
      <c r="Y61" s="81">
        <f t="shared" si="41"/>
        <v>0</v>
      </c>
      <c r="Z61" s="81">
        <f t="shared" si="41"/>
        <v>0</v>
      </c>
      <c r="AA61" s="81">
        <f t="shared" si="41"/>
        <v>0</v>
      </c>
      <c r="AB61" s="81">
        <f t="shared" si="41"/>
        <v>0</v>
      </c>
      <c r="AC61" s="81">
        <f t="shared" si="41"/>
        <v>0</v>
      </c>
      <c r="AD61" s="81">
        <f t="shared" si="41"/>
        <v>0</v>
      </c>
      <c r="AE61" s="81">
        <f t="shared" si="41"/>
        <v>0</v>
      </c>
      <c r="AF61" s="81">
        <f t="shared" si="41"/>
        <v>0</v>
      </c>
      <c r="AG61" s="81">
        <f t="shared" si="41"/>
        <v>0</v>
      </c>
      <c r="AH61" s="81">
        <f t="shared" si="41"/>
        <v>0</v>
      </c>
      <c r="AI61" s="81">
        <f t="shared" si="41"/>
        <v>0</v>
      </c>
      <c r="AJ61" s="81">
        <f t="shared" si="41"/>
        <v>0</v>
      </c>
      <c r="AK61" s="81">
        <f t="shared" si="41"/>
        <v>0</v>
      </c>
      <c r="AL61" s="81">
        <f t="shared" ref="AL61:BQ61" si="42">IFERROR(AL17/AL$15,"n/a")</f>
        <v>0</v>
      </c>
      <c r="AM61" s="81">
        <f t="shared" si="42"/>
        <v>0</v>
      </c>
      <c r="AN61" s="81">
        <f t="shared" si="42"/>
        <v>0</v>
      </c>
      <c r="AO61" s="81">
        <f t="shared" si="42"/>
        <v>0</v>
      </c>
      <c r="AP61" s="81">
        <f t="shared" si="42"/>
        <v>0</v>
      </c>
      <c r="AQ61" s="81">
        <f t="shared" si="42"/>
        <v>0</v>
      </c>
      <c r="AR61" s="81">
        <f t="shared" si="42"/>
        <v>0</v>
      </c>
      <c r="AS61" s="81">
        <f t="shared" si="42"/>
        <v>0</v>
      </c>
      <c r="AT61" s="81">
        <f t="shared" si="42"/>
        <v>0</v>
      </c>
      <c r="AU61" s="381">
        <f t="shared" si="42"/>
        <v>0</v>
      </c>
      <c r="AV61" s="381">
        <f t="shared" si="42"/>
        <v>0</v>
      </c>
      <c r="AW61" s="381">
        <f t="shared" si="42"/>
        <v>0</v>
      </c>
      <c r="AX61" s="381">
        <f t="shared" si="42"/>
        <v>0</v>
      </c>
      <c r="AY61" s="381">
        <f t="shared" si="42"/>
        <v>0</v>
      </c>
      <c r="AZ61" s="381">
        <f t="shared" si="42"/>
        <v>0</v>
      </c>
      <c r="BA61" s="381">
        <f t="shared" si="42"/>
        <v>0</v>
      </c>
      <c r="BB61" s="381" t="str">
        <f t="shared" si="42"/>
        <v>n/a</v>
      </c>
      <c r="BC61" s="381" t="str">
        <f t="shared" si="42"/>
        <v>n/a</v>
      </c>
      <c r="BD61" s="381" t="str">
        <f t="shared" si="42"/>
        <v>n/a</v>
      </c>
      <c r="BE61" s="381" t="str">
        <f t="shared" si="42"/>
        <v>n/a</v>
      </c>
      <c r="BF61" s="381" t="str">
        <f t="shared" si="42"/>
        <v>n/a</v>
      </c>
      <c r="BG61" s="381" t="str">
        <f t="shared" si="42"/>
        <v>n/a</v>
      </c>
      <c r="BH61" s="381" t="str">
        <f t="shared" si="42"/>
        <v>n/a</v>
      </c>
      <c r="BI61" s="381" t="str">
        <f t="shared" si="42"/>
        <v>n/a</v>
      </c>
      <c r="BJ61" s="381" t="str">
        <f t="shared" si="42"/>
        <v>n/a</v>
      </c>
      <c r="BK61" s="381" t="str">
        <f t="shared" si="42"/>
        <v>n/a</v>
      </c>
      <c r="BL61" s="381" t="str">
        <f t="shared" si="42"/>
        <v>n/a</v>
      </c>
      <c r="BM61" s="381" t="str">
        <f t="shared" si="42"/>
        <v>n/a</v>
      </c>
      <c r="BN61" s="381" t="str">
        <f t="shared" si="42"/>
        <v>n/a</v>
      </c>
      <c r="BO61" s="381" t="str">
        <f t="shared" si="42"/>
        <v>n/a</v>
      </c>
      <c r="BP61" s="381" t="str">
        <f t="shared" si="42"/>
        <v>n/a</v>
      </c>
      <c r="BQ61" s="381" t="str">
        <f t="shared" si="42"/>
        <v>n/a</v>
      </c>
      <c r="BR61" s="381" t="str">
        <f t="shared" ref="BR61:CK61" si="43">IFERROR(BR17/BR$15,"n/a")</f>
        <v>n/a</v>
      </c>
      <c r="BS61" s="381" t="str">
        <f t="shared" si="43"/>
        <v>n/a</v>
      </c>
      <c r="BT61" s="381" t="str">
        <f t="shared" si="43"/>
        <v>n/a</v>
      </c>
      <c r="BU61" s="381" t="str">
        <f t="shared" si="43"/>
        <v>n/a</v>
      </c>
      <c r="BV61" s="381" t="str">
        <f t="shared" si="43"/>
        <v>n/a</v>
      </c>
      <c r="BW61" s="381" t="str">
        <f t="shared" si="43"/>
        <v>n/a</v>
      </c>
      <c r="BX61" s="381" t="str">
        <f t="shared" si="43"/>
        <v>n/a</v>
      </c>
      <c r="BY61" s="381" t="str">
        <f t="shared" si="43"/>
        <v>n/a</v>
      </c>
      <c r="BZ61" s="381" t="str">
        <f t="shared" si="43"/>
        <v>n/a</v>
      </c>
      <c r="CA61" s="381" t="str">
        <f t="shared" si="43"/>
        <v>n/a</v>
      </c>
      <c r="CB61" s="381" t="str">
        <f t="shared" si="43"/>
        <v>n/a</v>
      </c>
      <c r="CC61" s="381" t="str">
        <f t="shared" si="43"/>
        <v>n/a</v>
      </c>
      <c r="CD61" s="381" t="str">
        <f t="shared" si="43"/>
        <v>n/a</v>
      </c>
      <c r="CE61" s="381" t="str">
        <f t="shared" si="43"/>
        <v>n/a</v>
      </c>
      <c r="CF61" s="381" t="str">
        <f t="shared" si="43"/>
        <v>n/a</v>
      </c>
      <c r="CG61" s="381" t="str">
        <f t="shared" si="43"/>
        <v>n/a</v>
      </c>
      <c r="CH61" s="381" t="str">
        <f t="shared" si="43"/>
        <v>n/a</v>
      </c>
      <c r="CI61" s="381" t="str">
        <f t="shared" si="43"/>
        <v>n/a</v>
      </c>
      <c r="CJ61" s="381" t="str">
        <f t="shared" si="43"/>
        <v>n/a</v>
      </c>
      <c r="CK61" s="381" t="str">
        <f t="shared" si="43"/>
        <v>n/a</v>
      </c>
    </row>
    <row r="62" spans="3:92" s="89" customFormat="1" ht="11.25" customHeight="1" outlineLevel="2" x14ac:dyDescent="0.2">
      <c r="C62" s="82" t="str">
        <f t="shared" si="34"/>
        <v>Fremdleistungen</v>
      </c>
      <c r="D62" s="82" t="str">
        <f t="shared" si="34"/>
        <v>Dummy 2</v>
      </c>
      <c r="E62" s="82"/>
      <c r="F62" s="81" t="str">
        <f t="shared" ref="F62:AK62" si="44">IFERROR(F18/F$15,"n/a")</f>
        <v>n/a</v>
      </c>
      <c r="G62" s="81" t="str">
        <f t="shared" si="44"/>
        <v>n/a</v>
      </c>
      <c r="H62" s="81" t="str">
        <f t="shared" si="44"/>
        <v>n/a</v>
      </c>
      <c r="I62" s="81" t="str">
        <f t="shared" si="44"/>
        <v>n/a</v>
      </c>
      <c r="J62" s="81" t="str">
        <f t="shared" si="44"/>
        <v>n/a</v>
      </c>
      <c r="K62" s="81" t="str">
        <f t="shared" si="44"/>
        <v>n/a</v>
      </c>
      <c r="L62" s="81" t="str">
        <f t="shared" si="44"/>
        <v>n/a</v>
      </c>
      <c r="M62" s="81" t="str">
        <f t="shared" si="44"/>
        <v>n/a</v>
      </c>
      <c r="N62" s="81" t="str">
        <f t="shared" si="44"/>
        <v>n/a</v>
      </c>
      <c r="O62" s="81" t="str">
        <f t="shared" si="44"/>
        <v>n/a</v>
      </c>
      <c r="P62" s="81" t="str">
        <f t="shared" si="44"/>
        <v>n/a</v>
      </c>
      <c r="Q62" s="81" t="str">
        <f t="shared" si="44"/>
        <v>n/a</v>
      </c>
      <c r="R62" s="81">
        <f t="shared" si="44"/>
        <v>0</v>
      </c>
      <c r="S62" s="81">
        <f t="shared" si="44"/>
        <v>0</v>
      </c>
      <c r="T62" s="81">
        <f t="shared" si="44"/>
        <v>0</v>
      </c>
      <c r="U62" s="81">
        <f t="shared" si="44"/>
        <v>0</v>
      </c>
      <c r="V62" s="81">
        <f t="shared" si="44"/>
        <v>0</v>
      </c>
      <c r="W62" s="81">
        <f t="shared" si="44"/>
        <v>0</v>
      </c>
      <c r="X62" s="81">
        <f t="shared" si="44"/>
        <v>0</v>
      </c>
      <c r="Y62" s="81">
        <f t="shared" si="44"/>
        <v>0</v>
      </c>
      <c r="Z62" s="81">
        <f t="shared" si="44"/>
        <v>0</v>
      </c>
      <c r="AA62" s="81">
        <f t="shared" si="44"/>
        <v>0</v>
      </c>
      <c r="AB62" s="81">
        <f t="shared" si="44"/>
        <v>0</v>
      </c>
      <c r="AC62" s="81">
        <f t="shared" si="44"/>
        <v>0</v>
      </c>
      <c r="AD62" s="81">
        <f t="shared" si="44"/>
        <v>0</v>
      </c>
      <c r="AE62" s="81">
        <f t="shared" si="44"/>
        <v>0</v>
      </c>
      <c r="AF62" s="81">
        <f t="shared" si="44"/>
        <v>0</v>
      </c>
      <c r="AG62" s="81">
        <f t="shared" si="44"/>
        <v>0</v>
      </c>
      <c r="AH62" s="81">
        <f t="shared" si="44"/>
        <v>0</v>
      </c>
      <c r="AI62" s="81">
        <f t="shared" si="44"/>
        <v>0</v>
      </c>
      <c r="AJ62" s="81">
        <f t="shared" si="44"/>
        <v>0</v>
      </c>
      <c r="AK62" s="81">
        <f t="shared" si="44"/>
        <v>0</v>
      </c>
      <c r="AL62" s="81">
        <f t="shared" ref="AL62:BQ62" si="45">IFERROR(AL18/AL$15,"n/a")</f>
        <v>0</v>
      </c>
      <c r="AM62" s="81">
        <f t="shared" si="45"/>
        <v>0</v>
      </c>
      <c r="AN62" s="81">
        <f t="shared" si="45"/>
        <v>0</v>
      </c>
      <c r="AO62" s="81">
        <f t="shared" si="45"/>
        <v>0</v>
      </c>
      <c r="AP62" s="81">
        <f t="shared" si="45"/>
        <v>0</v>
      </c>
      <c r="AQ62" s="81">
        <f t="shared" si="45"/>
        <v>0</v>
      </c>
      <c r="AR62" s="81">
        <f t="shared" si="45"/>
        <v>0</v>
      </c>
      <c r="AS62" s="81">
        <f t="shared" si="45"/>
        <v>0</v>
      </c>
      <c r="AT62" s="81">
        <f t="shared" si="45"/>
        <v>0</v>
      </c>
      <c r="AU62" s="381">
        <f t="shared" si="45"/>
        <v>0</v>
      </c>
      <c r="AV62" s="381">
        <f t="shared" si="45"/>
        <v>0</v>
      </c>
      <c r="AW62" s="381">
        <f t="shared" si="45"/>
        <v>0</v>
      </c>
      <c r="AX62" s="381">
        <f t="shared" si="45"/>
        <v>0</v>
      </c>
      <c r="AY62" s="381">
        <f t="shared" si="45"/>
        <v>0</v>
      </c>
      <c r="AZ62" s="381">
        <f t="shared" si="45"/>
        <v>0</v>
      </c>
      <c r="BA62" s="381">
        <f t="shared" si="45"/>
        <v>0</v>
      </c>
      <c r="BB62" s="381" t="str">
        <f t="shared" si="45"/>
        <v>n/a</v>
      </c>
      <c r="BC62" s="381" t="str">
        <f t="shared" si="45"/>
        <v>n/a</v>
      </c>
      <c r="BD62" s="381" t="str">
        <f t="shared" si="45"/>
        <v>n/a</v>
      </c>
      <c r="BE62" s="381" t="str">
        <f t="shared" si="45"/>
        <v>n/a</v>
      </c>
      <c r="BF62" s="381" t="str">
        <f t="shared" si="45"/>
        <v>n/a</v>
      </c>
      <c r="BG62" s="381" t="str">
        <f t="shared" si="45"/>
        <v>n/a</v>
      </c>
      <c r="BH62" s="381" t="str">
        <f t="shared" si="45"/>
        <v>n/a</v>
      </c>
      <c r="BI62" s="381" t="str">
        <f t="shared" si="45"/>
        <v>n/a</v>
      </c>
      <c r="BJ62" s="381" t="str">
        <f t="shared" si="45"/>
        <v>n/a</v>
      </c>
      <c r="BK62" s="381" t="str">
        <f t="shared" si="45"/>
        <v>n/a</v>
      </c>
      <c r="BL62" s="381" t="str">
        <f t="shared" si="45"/>
        <v>n/a</v>
      </c>
      <c r="BM62" s="381" t="str">
        <f t="shared" si="45"/>
        <v>n/a</v>
      </c>
      <c r="BN62" s="381" t="str">
        <f t="shared" si="45"/>
        <v>n/a</v>
      </c>
      <c r="BO62" s="381" t="str">
        <f t="shared" si="45"/>
        <v>n/a</v>
      </c>
      <c r="BP62" s="381" t="str">
        <f t="shared" si="45"/>
        <v>n/a</v>
      </c>
      <c r="BQ62" s="381" t="str">
        <f t="shared" si="45"/>
        <v>n/a</v>
      </c>
      <c r="BR62" s="381" t="str">
        <f t="shared" ref="BR62:CK62" si="46">IFERROR(BR18/BR$15,"n/a")</f>
        <v>n/a</v>
      </c>
      <c r="BS62" s="381" t="str">
        <f t="shared" si="46"/>
        <v>n/a</v>
      </c>
      <c r="BT62" s="381" t="str">
        <f t="shared" si="46"/>
        <v>n/a</v>
      </c>
      <c r="BU62" s="381" t="str">
        <f t="shared" si="46"/>
        <v>n/a</v>
      </c>
      <c r="BV62" s="381" t="str">
        <f t="shared" si="46"/>
        <v>n/a</v>
      </c>
      <c r="BW62" s="381" t="str">
        <f t="shared" si="46"/>
        <v>n/a</v>
      </c>
      <c r="BX62" s="381" t="str">
        <f t="shared" si="46"/>
        <v>n/a</v>
      </c>
      <c r="BY62" s="381" t="str">
        <f t="shared" si="46"/>
        <v>n/a</v>
      </c>
      <c r="BZ62" s="381" t="str">
        <f t="shared" si="46"/>
        <v>n/a</v>
      </c>
      <c r="CA62" s="381" t="str">
        <f t="shared" si="46"/>
        <v>n/a</v>
      </c>
      <c r="CB62" s="381" t="str">
        <f t="shared" si="46"/>
        <v>n/a</v>
      </c>
      <c r="CC62" s="381" t="str">
        <f t="shared" si="46"/>
        <v>n/a</v>
      </c>
      <c r="CD62" s="381" t="str">
        <f t="shared" si="46"/>
        <v>n/a</v>
      </c>
      <c r="CE62" s="381" t="str">
        <f t="shared" si="46"/>
        <v>n/a</v>
      </c>
      <c r="CF62" s="381" t="str">
        <f t="shared" si="46"/>
        <v>n/a</v>
      </c>
      <c r="CG62" s="381" t="str">
        <f t="shared" si="46"/>
        <v>n/a</v>
      </c>
      <c r="CH62" s="381" t="str">
        <f t="shared" si="46"/>
        <v>n/a</v>
      </c>
      <c r="CI62" s="381" t="str">
        <f t="shared" si="46"/>
        <v>n/a</v>
      </c>
      <c r="CJ62" s="381" t="str">
        <f t="shared" si="46"/>
        <v>n/a</v>
      </c>
      <c r="CK62" s="381" t="str">
        <f t="shared" si="46"/>
        <v>n/a</v>
      </c>
    </row>
    <row r="63" spans="3:92" s="89" customFormat="1" ht="11.25" customHeight="1" outlineLevel="2" x14ac:dyDescent="0.2">
      <c r="C63" s="82" t="str">
        <f t="shared" si="34"/>
        <v>Dummy 3</v>
      </c>
      <c r="D63" s="82" t="str">
        <f t="shared" si="34"/>
        <v>Dummy 3</v>
      </c>
      <c r="E63" s="82"/>
      <c r="F63" s="81" t="str">
        <f t="shared" ref="F63:AK63" si="47">IFERROR(F19/F$15,"n/a")</f>
        <v>n/a</v>
      </c>
      <c r="G63" s="81" t="str">
        <f t="shared" si="47"/>
        <v>n/a</v>
      </c>
      <c r="H63" s="81" t="str">
        <f t="shared" si="47"/>
        <v>n/a</v>
      </c>
      <c r="I63" s="81" t="str">
        <f t="shared" si="47"/>
        <v>n/a</v>
      </c>
      <c r="J63" s="81" t="str">
        <f t="shared" si="47"/>
        <v>n/a</v>
      </c>
      <c r="K63" s="81" t="str">
        <f t="shared" si="47"/>
        <v>n/a</v>
      </c>
      <c r="L63" s="81" t="str">
        <f t="shared" si="47"/>
        <v>n/a</v>
      </c>
      <c r="M63" s="81" t="str">
        <f t="shared" si="47"/>
        <v>n/a</v>
      </c>
      <c r="N63" s="81" t="str">
        <f t="shared" si="47"/>
        <v>n/a</v>
      </c>
      <c r="O63" s="81" t="str">
        <f t="shared" si="47"/>
        <v>n/a</v>
      </c>
      <c r="P63" s="81" t="str">
        <f t="shared" si="47"/>
        <v>n/a</v>
      </c>
      <c r="Q63" s="81" t="str">
        <f t="shared" si="47"/>
        <v>n/a</v>
      </c>
      <c r="R63" s="81">
        <f t="shared" si="47"/>
        <v>0</v>
      </c>
      <c r="S63" s="81">
        <f t="shared" si="47"/>
        <v>0</v>
      </c>
      <c r="T63" s="81">
        <f t="shared" si="47"/>
        <v>0</v>
      </c>
      <c r="U63" s="81">
        <f t="shared" si="47"/>
        <v>0</v>
      </c>
      <c r="V63" s="81">
        <f t="shared" si="47"/>
        <v>0</v>
      </c>
      <c r="W63" s="81">
        <f t="shared" si="47"/>
        <v>0</v>
      </c>
      <c r="X63" s="81">
        <f t="shared" si="47"/>
        <v>0</v>
      </c>
      <c r="Y63" s="81">
        <f t="shared" si="47"/>
        <v>0</v>
      </c>
      <c r="Z63" s="81">
        <f t="shared" si="47"/>
        <v>0</v>
      </c>
      <c r="AA63" s="81">
        <f t="shared" si="47"/>
        <v>0</v>
      </c>
      <c r="AB63" s="81">
        <f t="shared" si="47"/>
        <v>0</v>
      </c>
      <c r="AC63" s="81">
        <f t="shared" si="47"/>
        <v>0</v>
      </c>
      <c r="AD63" s="81">
        <f t="shared" si="47"/>
        <v>0</v>
      </c>
      <c r="AE63" s="81">
        <f t="shared" si="47"/>
        <v>0</v>
      </c>
      <c r="AF63" s="81">
        <f t="shared" si="47"/>
        <v>0</v>
      </c>
      <c r="AG63" s="81">
        <f t="shared" si="47"/>
        <v>0</v>
      </c>
      <c r="AH63" s="81">
        <f t="shared" si="47"/>
        <v>0</v>
      </c>
      <c r="AI63" s="81">
        <f t="shared" si="47"/>
        <v>0</v>
      </c>
      <c r="AJ63" s="81">
        <f t="shared" si="47"/>
        <v>0</v>
      </c>
      <c r="AK63" s="81">
        <f t="shared" si="47"/>
        <v>0</v>
      </c>
      <c r="AL63" s="81">
        <f t="shared" ref="AL63:BQ63" si="48">IFERROR(AL19/AL$15,"n/a")</f>
        <v>0</v>
      </c>
      <c r="AM63" s="81">
        <f t="shared" si="48"/>
        <v>0</v>
      </c>
      <c r="AN63" s="81">
        <f t="shared" si="48"/>
        <v>0</v>
      </c>
      <c r="AO63" s="81">
        <f t="shared" si="48"/>
        <v>0</v>
      </c>
      <c r="AP63" s="81">
        <f t="shared" si="48"/>
        <v>0</v>
      </c>
      <c r="AQ63" s="81">
        <f t="shared" si="48"/>
        <v>0</v>
      </c>
      <c r="AR63" s="81">
        <f t="shared" si="48"/>
        <v>0</v>
      </c>
      <c r="AS63" s="81">
        <f t="shared" si="48"/>
        <v>0</v>
      </c>
      <c r="AT63" s="81">
        <f t="shared" si="48"/>
        <v>0</v>
      </c>
      <c r="AU63" s="381">
        <f t="shared" si="48"/>
        <v>0</v>
      </c>
      <c r="AV63" s="381">
        <f t="shared" si="48"/>
        <v>0</v>
      </c>
      <c r="AW63" s="381">
        <f t="shared" si="48"/>
        <v>0</v>
      </c>
      <c r="AX63" s="381">
        <f t="shared" si="48"/>
        <v>0</v>
      </c>
      <c r="AY63" s="381">
        <f t="shared" si="48"/>
        <v>0</v>
      </c>
      <c r="AZ63" s="381">
        <f t="shared" si="48"/>
        <v>0</v>
      </c>
      <c r="BA63" s="381">
        <f t="shared" si="48"/>
        <v>0</v>
      </c>
      <c r="BB63" s="381" t="str">
        <f t="shared" si="48"/>
        <v>n/a</v>
      </c>
      <c r="BC63" s="381" t="str">
        <f t="shared" si="48"/>
        <v>n/a</v>
      </c>
      <c r="BD63" s="381" t="str">
        <f t="shared" si="48"/>
        <v>n/a</v>
      </c>
      <c r="BE63" s="381" t="str">
        <f t="shared" si="48"/>
        <v>n/a</v>
      </c>
      <c r="BF63" s="381" t="str">
        <f t="shared" si="48"/>
        <v>n/a</v>
      </c>
      <c r="BG63" s="381" t="str">
        <f t="shared" si="48"/>
        <v>n/a</v>
      </c>
      <c r="BH63" s="381" t="str">
        <f t="shared" si="48"/>
        <v>n/a</v>
      </c>
      <c r="BI63" s="381" t="str">
        <f t="shared" si="48"/>
        <v>n/a</v>
      </c>
      <c r="BJ63" s="381" t="str">
        <f t="shared" si="48"/>
        <v>n/a</v>
      </c>
      <c r="BK63" s="381" t="str">
        <f t="shared" si="48"/>
        <v>n/a</v>
      </c>
      <c r="BL63" s="381" t="str">
        <f t="shared" si="48"/>
        <v>n/a</v>
      </c>
      <c r="BM63" s="381" t="str">
        <f t="shared" si="48"/>
        <v>n/a</v>
      </c>
      <c r="BN63" s="381" t="str">
        <f t="shared" si="48"/>
        <v>n/a</v>
      </c>
      <c r="BO63" s="381" t="str">
        <f t="shared" si="48"/>
        <v>n/a</v>
      </c>
      <c r="BP63" s="381" t="str">
        <f t="shared" si="48"/>
        <v>n/a</v>
      </c>
      <c r="BQ63" s="381" t="str">
        <f t="shared" si="48"/>
        <v>n/a</v>
      </c>
      <c r="BR63" s="381" t="str">
        <f t="shared" ref="BR63:CK63" si="49">IFERROR(BR19/BR$15,"n/a")</f>
        <v>n/a</v>
      </c>
      <c r="BS63" s="381" t="str">
        <f t="shared" si="49"/>
        <v>n/a</v>
      </c>
      <c r="BT63" s="381" t="str">
        <f t="shared" si="49"/>
        <v>n/a</v>
      </c>
      <c r="BU63" s="381" t="str">
        <f t="shared" si="49"/>
        <v>n/a</v>
      </c>
      <c r="BV63" s="381" t="str">
        <f t="shared" si="49"/>
        <v>n/a</v>
      </c>
      <c r="BW63" s="381" t="str">
        <f t="shared" si="49"/>
        <v>n/a</v>
      </c>
      <c r="BX63" s="381" t="str">
        <f t="shared" si="49"/>
        <v>n/a</v>
      </c>
      <c r="BY63" s="381" t="str">
        <f t="shared" si="49"/>
        <v>n/a</v>
      </c>
      <c r="BZ63" s="381" t="str">
        <f t="shared" si="49"/>
        <v>n/a</v>
      </c>
      <c r="CA63" s="381" t="str">
        <f t="shared" si="49"/>
        <v>n/a</v>
      </c>
      <c r="CB63" s="381" t="str">
        <f t="shared" si="49"/>
        <v>n/a</v>
      </c>
      <c r="CC63" s="381" t="str">
        <f t="shared" si="49"/>
        <v>n/a</v>
      </c>
      <c r="CD63" s="381" t="str">
        <f t="shared" si="49"/>
        <v>n/a</v>
      </c>
      <c r="CE63" s="381" t="str">
        <f t="shared" si="49"/>
        <v>n/a</v>
      </c>
      <c r="CF63" s="381" t="str">
        <f t="shared" si="49"/>
        <v>n/a</v>
      </c>
      <c r="CG63" s="381" t="str">
        <f t="shared" si="49"/>
        <v>n/a</v>
      </c>
      <c r="CH63" s="381" t="str">
        <f t="shared" si="49"/>
        <v>n/a</v>
      </c>
      <c r="CI63" s="381" t="str">
        <f t="shared" si="49"/>
        <v>n/a</v>
      </c>
      <c r="CJ63" s="381" t="str">
        <f t="shared" si="49"/>
        <v>n/a</v>
      </c>
      <c r="CK63" s="381" t="str">
        <f t="shared" si="49"/>
        <v>n/a</v>
      </c>
    </row>
    <row r="64" spans="3:92" s="89" customFormat="1" ht="11.25" customHeight="1" x14ac:dyDescent="0.2">
      <c r="C64" s="90" t="str">
        <f t="shared" si="34"/>
        <v>Rohergebnis</v>
      </c>
      <c r="D64" s="90" t="str">
        <f t="shared" si="34"/>
        <v>Gross profit</v>
      </c>
      <c r="E64" s="90"/>
      <c r="F64" s="87" t="str">
        <f t="shared" ref="F64:AK64" si="50">IFERROR(F20/F$15,"n/a")</f>
        <v>n/a</v>
      </c>
      <c r="G64" s="87" t="str">
        <f t="shared" si="50"/>
        <v>n/a</v>
      </c>
      <c r="H64" s="87" t="str">
        <f t="shared" si="50"/>
        <v>n/a</v>
      </c>
      <c r="I64" s="87" t="str">
        <f t="shared" si="50"/>
        <v>n/a</v>
      </c>
      <c r="J64" s="87" t="str">
        <f t="shared" si="50"/>
        <v>n/a</v>
      </c>
      <c r="K64" s="87" t="str">
        <f t="shared" si="50"/>
        <v>n/a</v>
      </c>
      <c r="L64" s="87" t="str">
        <f t="shared" si="50"/>
        <v>n/a</v>
      </c>
      <c r="M64" s="87" t="str">
        <f t="shared" si="50"/>
        <v>n/a</v>
      </c>
      <c r="N64" s="87" t="str">
        <f t="shared" si="50"/>
        <v>n/a</v>
      </c>
      <c r="O64" s="87" t="str">
        <f t="shared" si="50"/>
        <v>n/a</v>
      </c>
      <c r="P64" s="87" t="str">
        <f t="shared" si="50"/>
        <v>n/a</v>
      </c>
      <c r="Q64" s="87" t="str">
        <f t="shared" si="50"/>
        <v>n/a</v>
      </c>
      <c r="R64" s="87">
        <f t="shared" si="50"/>
        <v>0.36170206077616157</v>
      </c>
      <c r="S64" s="87">
        <f t="shared" si="50"/>
        <v>0.24463116565345785</v>
      </c>
      <c r="T64" s="87">
        <f t="shared" si="50"/>
        <v>0.31791531902066444</v>
      </c>
      <c r="U64" s="87">
        <f t="shared" si="50"/>
        <v>0.50347668895991682</v>
      </c>
      <c r="V64" s="87">
        <f t="shared" si="50"/>
        <v>0.21261095606439179</v>
      </c>
      <c r="W64" s="87">
        <f t="shared" si="50"/>
        <v>1.0444949403053052</v>
      </c>
      <c r="X64" s="87">
        <f t="shared" si="50"/>
        <v>0.40733608869840848</v>
      </c>
      <c r="Y64" s="87">
        <f t="shared" si="50"/>
        <v>0.63023109199899174</v>
      </c>
      <c r="Z64" s="87">
        <f t="shared" si="50"/>
        <v>0.46391634786951186</v>
      </c>
      <c r="AA64" s="87">
        <f t="shared" si="50"/>
        <v>0.52853977922605999</v>
      </c>
      <c r="AB64" s="87">
        <f t="shared" si="50"/>
        <v>0.67730535710051887</v>
      </c>
      <c r="AC64" s="87">
        <f t="shared" si="50"/>
        <v>0.31346739737523971</v>
      </c>
      <c r="AD64" s="87">
        <f t="shared" si="50"/>
        <v>0.47594103001406152</v>
      </c>
      <c r="AE64" s="87">
        <f t="shared" si="50"/>
        <v>0.62677886682920336</v>
      </c>
      <c r="AF64" s="87">
        <f t="shared" si="50"/>
        <v>0.62408433634569715</v>
      </c>
      <c r="AG64" s="87">
        <f t="shared" si="50"/>
        <v>0.51357044434394705</v>
      </c>
      <c r="AH64" s="87">
        <f t="shared" si="50"/>
        <v>0.38805184072413823</v>
      </c>
      <c r="AI64" s="87">
        <f t="shared" si="50"/>
        <v>0.31367427301671463</v>
      </c>
      <c r="AJ64" s="87">
        <f t="shared" si="50"/>
        <v>-0.12169512571373091</v>
      </c>
      <c r="AK64" s="87">
        <f t="shared" si="50"/>
        <v>0.60859579046805801</v>
      </c>
      <c r="AL64" s="87">
        <f t="shared" ref="AL64:BQ64" si="51">IFERROR(AL20/AL$15,"n/a")</f>
        <v>0.17970714441268937</v>
      </c>
      <c r="AM64" s="87">
        <f t="shared" si="51"/>
        <v>0.73518207912887246</v>
      </c>
      <c r="AN64" s="87">
        <f t="shared" si="51"/>
        <v>0.55421084818117961</v>
      </c>
      <c r="AO64" s="87">
        <f t="shared" si="51"/>
        <v>1.1725001183131503</v>
      </c>
      <c r="AP64" s="87">
        <f t="shared" si="51"/>
        <v>0.50819923464963257</v>
      </c>
      <c r="AQ64" s="87">
        <f t="shared" si="51"/>
        <v>0.42004807232482311</v>
      </c>
      <c r="AR64" s="87">
        <f t="shared" si="51"/>
        <v>0.40545012621205301</v>
      </c>
      <c r="AS64" s="87">
        <f t="shared" si="51"/>
        <v>0.48385334649529288</v>
      </c>
      <c r="AT64" s="87">
        <f t="shared" si="51"/>
        <v>0.53682945001947446</v>
      </c>
      <c r="AU64" s="382">
        <f t="shared" si="51"/>
        <v>0.72442799655301826</v>
      </c>
      <c r="AV64" s="382">
        <f t="shared" si="51"/>
        <v>0.54446878153127776</v>
      </c>
      <c r="AW64" s="382">
        <f t="shared" si="51"/>
        <v>0.67618624097294211</v>
      </c>
      <c r="AX64" s="382">
        <f t="shared" si="51"/>
        <v>0.62383043454375808</v>
      </c>
      <c r="AY64" s="382">
        <f t="shared" si="51"/>
        <v>0.6877860747104706</v>
      </c>
      <c r="AZ64" s="382">
        <f t="shared" si="51"/>
        <v>0.38314568480726474</v>
      </c>
      <c r="BA64" s="382">
        <f t="shared" si="51"/>
        <v>0.25908034429347532</v>
      </c>
      <c r="BB64" s="382" t="str">
        <f t="shared" si="51"/>
        <v>n/a</v>
      </c>
      <c r="BC64" s="382" t="str">
        <f t="shared" si="51"/>
        <v>n/a</v>
      </c>
      <c r="BD64" s="382" t="str">
        <f t="shared" si="51"/>
        <v>n/a</v>
      </c>
      <c r="BE64" s="382" t="str">
        <f t="shared" si="51"/>
        <v>n/a</v>
      </c>
      <c r="BF64" s="382" t="str">
        <f t="shared" si="51"/>
        <v>n/a</v>
      </c>
      <c r="BG64" s="382" t="str">
        <f t="shared" si="51"/>
        <v>n/a</v>
      </c>
      <c r="BH64" s="382" t="str">
        <f t="shared" si="51"/>
        <v>n/a</v>
      </c>
      <c r="BI64" s="382" t="str">
        <f t="shared" si="51"/>
        <v>n/a</v>
      </c>
      <c r="BJ64" s="382" t="str">
        <f t="shared" si="51"/>
        <v>n/a</v>
      </c>
      <c r="BK64" s="382" t="str">
        <f t="shared" si="51"/>
        <v>n/a</v>
      </c>
      <c r="BL64" s="382" t="str">
        <f t="shared" si="51"/>
        <v>n/a</v>
      </c>
      <c r="BM64" s="382" t="str">
        <f t="shared" si="51"/>
        <v>n/a</v>
      </c>
      <c r="BN64" s="382" t="str">
        <f t="shared" si="51"/>
        <v>n/a</v>
      </c>
      <c r="BO64" s="382" t="str">
        <f t="shared" si="51"/>
        <v>n/a</v>
      </c>
      <c r="BP64" s="382" t="str">
        <f t="shared" si="51"/>
        <v>n/a</v>
      </c>
      <c r="BQ64" s="382" t="str">
        <f t="shared" si="51"/>
        <v>n/a</v>
      </c>
      <c r="BR64" s="382" t="str">
        <f t="shared" ref="BR64:CK64" si="52">IFERROR(BR20/BR$15,"n/a")</f>
        <v>n/a</v>
      </c>
      <c r="BS64" s="382" t="str">
        <f t="shared" si="52"/>
        <v>n/a</v>
      </c>
      <c r="BT64" s="382" t="str">
        <f t="shared" si="52"/>
        <v>n/a</v>
      </c>
      <c r="BU64" s="382" t="str">
        <f t="shared" si="52"/>
        <v>n/a</v>
      </c>
      <c r="BV64" s="382" t="str">
        <f t="shared" si="52"/>
        <v>n/a</v>
      </c>
      <c r="BW64" s="382" t="str">
        <f t="shared" si="52"/>
        <v>n/a</v>
      </c>
      <c r="BX64" s="382" t="str">
        <f t="shared" si="52"/>
        <v>n/a</v>
      </c>
      <c r="BY64" s="382" t="str">
        <f t="shared" si="52"/>
        <v>n/a</v>
      </c>
      <c r="BZ64" s="382" t="str">
        <f t="shared" si="52"/>
        <v>n/a</v>
      </c>
      <c r="CA64" s="382" t="str">
        <f t="shared" si="52"/>
        <v>n/a</v>
      </c>
      <c r="CB64" s="382" t="str">
        <f t="shared" si="52"/>
        <v>n/a</v>
      </c>
      <c r="CC64" s="382" t="str">
        <f t="shared" si="52"/>
        <v>n/a</v>
      </c>
      <c r="CD64" s="382" t="str">
        <f t="shared" si="52"/>
        <v>n/a</v>
      </c>
      <c r="CE64" s="382" t="str">
        <f t="shared" si="52"/>
        <v>n/a</v>
      </c>
      <c r="CF64" s="382" t="str">
        <f t="shared" si="52"/>
        <v>n/a</v>
      </c>
      <c r="CG64" s="382" t="str">
        <f t="shared" si="52"/>
        <v>n/a</v>
      </c>
      <c r="CH64" s="382" t="str">
        <f t="shared" si="52"/>
        <v>n/a</v>
      </c>
      <c r="CI64" s="382" t="str">
        <f t="shared" si="52"/>
        <v>n/a</v>
      </c>
      <c r="CJ64" s="382" t="str">
        <f t="shared" si="52"/>
        <v>n/a</v>
      </c>
      <c r="CK64" s="382" t="str">
        <f t="shared" si="52"/>
        <v>n/a</v>
      </c>
    </row>
    <row r="65" spans="3:89" s="89" customFormat="1" ht="11.25" customHeight="1" x14ac:dyDescent="0.2">
      <c r="C65" s="82" t="str">
        <f t="shared" si="34"/>
        <v>Personalaufwand</v>
      </c>
      <c r="D65" s="82" t="str">
        <f t="shared" si="34"/>
        <v>Personnel expenses</v>
      </c>
      <c r="E65" s="82"/>
      <c r="F65" s="81" t="str">
        <f t="shared" ref="F65:AK65" si="53">IFERROR(F21/F$15,"n/a")</f>
        <v>n/a</v>
      </c>
      <c r="G65" s="81" t="str">
        <f t="shared" si="53"/>
        <v>n/a</v>
      </c>
      <c r="H65" s="81" t="str">
        <f t="shared" si="53"/>
        <v>n/a</v>
      </c>
      <c r="I65" s="81" t="str">
        <f t="shared" si="53"/>
        <v>n/a</v>
      </c>
      <c r="J65" s="81" t="str">
        <f t="shared" si="53"/>
        <v>n/a</v>
      </c>
      <c r="K65" s="81" t="str">
        <f t="shared" si="53"/>
        <v>n/a</v>
      </c>
      <c r="L65" s="81" t="str">
        <f t="shared" si="53"/>
        <v>n/a</v>
      </c>
      <c r="M65" s="81" t="str">
        <f t="shared" si="53"/>
        <v>n/a</v>
      </c>
      <c r="N65" s="81" t="str">
        <f t="shared" si="53"/>
        <v>n/a</v>
      </c>
      <c r="O65" s="81" t="str">
        <f t="shared" si="53"/>
        <v>n/a</v>
      </c>
      <c r="P65" s="81" t="str">
        <f t="shared" si="53"/>
        <v>n/a</v>
      </c>
      <c r="Q65" s="81" t="str">
        <f t="shared" si="53"/>
        <v>n/a</v>
      </c>
      <c r="R65" s="81">
        <f t="shared" si="53"/>
        <v>-0.27081062438569226</v>
      </c>
      <c r="S65" s="81">
        <f t="shared" si="53"/>
        <v>-0.20725526636659428</v>
      </c>
      <c r="T65" s="81">
        <f t="shared" si="53"/>
        <v>-0.19079779917136078</v>
      </c>
      <c r="U65" s="81">
        <f t="shared" si="53"/>
        <v>-0.20658085915900642</v>
      </c>
      <c r="V65" s="81">
        <f t="shared" si="53"/>
        <v>-0.25519980842731077</v>
      </c>
      <c r="W65" s="81">
        <f t="shared" si="53"/>
        <v>-0.25638894431234183</v>
      </c>
      <c r="X65" s="81">
        <f t="shared" si="53"/>
        <v>-0.2429231751222061</v>
      </c>
      <c r="Y65" s="81">
        <f t="shared" si="53"/>
        <v>-0.20240121887850707</v>
      </c>
      <c r="Z65" s="81">
        <f t="shared" si="53"/>
        <v>-0.25599386799352503</v>
      </c>
      <c r="AA65" s="81">
        <f t="shared" si="53"/>
        <v>-0.30609380246361695</v>
      </c>
      <c r="AB65" s="81">
        <f t="shared" si="53"/>
        <v>-0.25875234949713033</v>
      </c>
      <c r="AC65" s="81">
        <f t="shared" si="53"/>
        <v>-0.26947283548601036</v>
      </c>
      <c r="AD65" s="81">
        <f t="shared" si="53"/>
        <v>-0.2519416847366302</v>
      </c>
      <c r="AE65" s="81">
        <f t="shared" si="53"/>
        <v>-0.24729050892716054</v>
      </c>
      <c r="AF65" s="81">
        <f t="shared" si="53"/>
        <v>-0.22042869278453253</v>
      </c>
      <c r="AG65" s="81">
        <f t="shared" si="53"/>
        <v>-0.27466064781580235</v>
      </c>
      <c r="AH65" s="81">
        <f t="shared" si="53"/>
        <v>-0.22051328440645124</v>
      </c>
      <c r="AI65" s="81">
        <f t="shared" si="53"/>
        <v>-0.33272137553947412</v>
      </c>
      <c r="AJ65" s="81">
        <f t="shared" si="53"/>
        <v>-0.27459238356761767</v>
      </c>
      <c r="AK65" s="81">
        <f t="shared" si="53"/>
        <v>-0.3069286193970342</v>
      </c>
      <c r="AL65" s="81">
        <f t="shared" ref="AL65:BQ65" si="54">IFERROR(AL21/AL$15,"n/a")</f>
        <v>-0.26823245424544484</v>
      </c>
      <c r="AM65" s="81">
        <f t="shared" si="54"/>
        <v>-0.29414929850157523</v>
      </c>
      <c r="AN65" s="81">
        <f t="shared" si="54"/>
        <v>-0.27269414495650884</v>
      </c>
      <c r="AO65" s="81">
        <f t="shared" si="54"/>
        <v>-0.25993455871463522</v>
      </c>
      <c r="AP65" s="81">
        <f t="shared" si="54"/>
        <v>-0.26184156435548572</v>
      </c>
      <c r="AQ65" s="81">
        <f t="shared" si="54"/>
        <v>-0.23234503751056487</v>
      </c>
      <c r="AR65" s="81">
        <f t="shared" si="54"/>
        <v>-0.32328575283659094</v>
      </c>
      <c r="AS65" s="81">
        <f t="shared" si="54"/>
        <v>-0.26723106496391696</v>
      </c>
      <c r="AT65" s="81">
        <f t="shared" si="54"/>
        <v>-0.23560747297058701</v>
      </c>
      <c r="AU65" s="381">
        <f t="shared" si="54"/>
        <v>-0.33043079618408677</v>
      </c>
      <c r="AV65" s="381">
        <f t="shared" si="54"/>
        <v>-0.3629470456480669</v>
      </c>
      <c r="AW65" s="381">
        <f t="shared" si="54"/>
        <v>-0.2454907942775113</v>
      </c>
      <c r="AX65" s="381">
        <f t="shared" si="54"/>
        <v>-0.31020767483288919</v>
      </c>
      <c r="AY65" s="381">
        <f t="shared" si="54"/>
        <v>-0.28778939559518668</v>
      </c>
      <c r="AZ65" s="381">
        <f t="shared" si="54"/>
        <v>-0.26837333020883491</v>
      </c>
      <c r="BA65" s="381">
        <f t="shared" si="54"/>
        <v>-0.25259223479534842</v>
      </c>
      <c r="BB65" s="381" t="str">
        <f t="shared" si="54"/>
        <v>n/a</v>
      </c>
      <c r="BC65" s="381" t="str">
        <f t="shared" si="54"/>
        <v>n/a</v>
      </c>
      <c r="BD65" s="381" t="str">
        <f t="shared" si="54"/>
        <v>n/a</v>
      </c>
      <c r="BE65" s="381" t="str">
        <f t="shared" si="54"/>
        <v>n/a</v>
      </c>
      <c r="BF65" s="381" t="str">
        <f t="shared" si="54"/>
        <v>n/a</v>
      </c>
      <c r="BG65" s="381" t="str">
        <f t="shared" si="54"/>
        <v>n/a</v>
      </c>
      <c r="BH65" s="381" t="str">
        <f t="shared" si="54"/>
        <v>n/a</v>
      </c>
      <c r="BI65" s="381" t="str">
        <f t="shared" si="54"/>
        <v>n/a</v>
      </c>
      <c r="BJ65" s="381" t="str">
        <f t="shared" si="54"/>
        <v>n/a</v>
      </c>
      <c r="BK65" s="381" t="str">
        <f t="shared" si="54"/>
        <v>n/a</v>
      </c>
      <c r="BL65" s="381" t="str">
        <f t="shared" si="54"/>
        <v>n/a</v>
      </c>
      <c r="BM65" s="381" t="str">
        <f t="shared" si="54"/>
        <v>n/a</v>
      </c>
      <c r="BN65" s="381" t="str">
        <f t="shared" si="54"/>
        <v>n/a</v>
      </c>
      <c r="BO65" s="381" t="str">
        <f t="shared" si="54"/>
        <v>n/a</v>
      </c>
      <c r="BP65" s="381" t="str">
        <f t="shared" si="54"/>
        <v>n/a</v>
      </c>
      <c r="BQ65" s="381" t="str">
        <f t="shared" si="54"/>
        <v>n/a</v>
      </c>
      <c r="BR65" s="381" t="str">
        <f t="shared" ref="BR65:CK65" si="55">IFERROR(BR21/BR$15,"n/a")</f>
        <v>n/a</v>
      </c>
      <c r="BS65" s="381" t="str">
        <f t="shared" si="55"/>
        <v>n/a</v>
      </c>
      <c r="BT65" s="381" t="str">
        <f t="shared" si="55"/>
        <v>n/a</v>
      </c>
      <c r="BU65" s="381" t="str">
        <f t="shared" si="55"/>
        <v>n/a</v>
      </c>
      <c r="BV65" s="381" t="str">
        <f t="shared" si="55"/>
        <v>n/a</v>
      </c>
      <c r="BW65" s="381" t="str">
        <f t="shared" si="55"/>
        <v>n/a</v>
      </c>
      <c r="BX65" s="381" t="str">
        <f t="shared" si="55"/>
        <v>n/a</v>
      </c>
      <c r="BY65" s="381" t="str">
        <f t="shared" si="55"/>
        <v>n/a</v>
      </c>
      <c r="BZ65" s="381" t="str">
        <f t="shared" si="55"/>
        <v>n/a</v>
      </c>
      <c r="CA65" s="381" t="str">
        <f t="shared" si="55"/>
        <v>n/a</v>
      </c>
      <c r="CB65" s="381" t="str">
        <f t="shared" si="55"/>
        <v>n/a</v>
      </c>
      <c r="CC65" s="381" t="str">
        <f t="shared" si="55"/>
        <v>n/a</v>
      </c>
      <c r="CD65" s="381" t="str">
        <f t="shared" si="55"/>
        <v>n/a</v>
      </c>
      <c r="CE65" s="381" t="str">
        <f t="shared" si="55"/>
        <v>n/a</v>
      </c>
      <c r="CF65" s="381" t="str">
        <f t="shared" si="55"/>
        <v>n/a</v>
      </c>
      <c r="CG65" s="381" t="str">
        <f t="shared" si="55"/>
        <v>n/a</v>
      </c>
      <c r="CH65" s="381" t="str">
        <f t="shared" si="55"/>
        <v>n/a</v>
      </c>
      <c r="CI65" s="381" t="str">
        <f t="shared" si="55"/>
        <v>n/a</v>
      </c>
      <c r="CJ65" s="381" t="str">
        <f t="shared" si="55"/>
        <v>n/a</v>
      </c>
      <c r="CK65" s="381" t="str">
        <f t="shared" si="55"/>
        <v>n/a</v>
      </c>
    </row>
    <row r="66" spans="3:89" s="89" customFormat="1" ht="11.25" customHeight="1" x14ac:dyDescent="0.2">
      <c r="C66" s="82" t="str">
        <f t="shared" ref="C66:D77" si="56">C22</f>
        <v>Miet- und Grundstücksaufwendungen</v>
      </c>
      <c r="D66" s="82" t="str">
        <f t="shared" si="56"/>
        <v>Premise costs</v>
      </c>
      <c r="E66" s="82"/>
      <c r="F66" s="81" t="str">
        <f t="shared" ref="F66:BQ66" si="57">IFERROR(F22/F$15,"n/a")</f>
        <v>n/a</v>
      </c>
      <c r="G66" s="81" t="str">
        <f t="shared" si="57"/>
        <v>n/a</v>
      </c>
      <c r="H66" s="81" t="str">
        <f t="shared" si="57"/>
        <v>n/a</v>
      </c>
      <c r="I66" s="81" t="str">
        <f t="shared" si="57"/>
        <v>n/a</v>
      </c>
      <c r="J66" s="81" t="str">
        <f t="shared" si="57"/>
        <v>n/a</v>
      </c>
      <c r="K66" s="81" t="str">
        <f t="shared" si="57"/>
        <v>n/a</v>
      </c>
      <c r="L66" s="81" t="str">
        <f t="shared" si="57"/>
        <v>n/a</v>
      </c>
      <c r="M66" s="81" t="str">
        <f t="shared" si="57"/>
        <v>n/a</v>
      </c>
      <c r="N66" s="81" t="str">
        <f t="shared" si="57"/>
        <v>n/a</v>
      </c>
      <c r="O66" s="81" t="str">
        <f t="shared" si="57"/>
        <v>n/a</v>
      </c>
      <c r="P66" s="81" t="str">
        <f t="shared" si="57"/>
        <v>n/a</v>
      </c>
      <c r="Q66" s="81" t="str">
        <f t="shared" si="57"/>
        <v>n/a</v>
      </c>
      <c r="R66" s="81">
        <f t="shared" si="57"/>
        <v>-2.5015896378243526E-2</v>
      </c>
      <c r="S66" s="81">
        <f t="shared" si="57"/>
        <v>-2.2875492817324383E-2</v>
      </c>
      <c r="T66" s="81">
        <f t="shared" si="57"/>
        <v>-2.0874598697414138E-2</v>
      </c>
      <c r="U66" s="81">
        <f t="shared" si="57"/>
        <v>-1.6069986411969044E-2</v>
      </c>
      <c r="V66" s="81">
        <f t="shared" si="57"/>
        <v>-2.2690821541555398E-2</v>
      </c>
      <c r="W66" s="81">
        <f t="shared" si="57"/>
        <v>-2.3526174699902393E-2</v>
      </c>
      <c r="X66" s="81">
        <f t="shared" si="57"/>
        <v>-2.2162730255507256E-2</v>
      </c>
      <c r="Y66" s="81">
        <f t="shared" si="57"/>
        <v>-2.0807413706730431E-2</v>
      </c>
      <c r="Z66" s="81">
        <f t="shared" si="57"/>
        <v>-2.1040255756566314E-2</v>
      </c>
      <c r="AA66" s="81">
        <f t="shared" si="57"/>
        <v>-2.5070091451678159E-2</v>
      </c>
      <c r="AB66" s="81">
        <f t="shared" si="57"/>
        <v>-2.0643486779992649E-2</v>
      </c>
      <c r="AC66" s="81">
        <f t="shared" si="57"/>
        <v>-2.41463686374335E-2</v>
      </c>
      <c r="AD66" s="81">
        <f t="shared" si="57"/>
        <v>-1.9206097725889857E-2</v>
      </c>
      <c r="AE66" s="81">
        <f t="shared" si="57"/>
        <v>-2.4191496330916405E-2</v>
      </c>
      <c r="AF66" s="81">
        <f t="shared" si="57"/>
        <v>-2.5028367359451596E-2</v>
      </c>
      <c r="AG66" s="81">
        <f t="shared" si="57"/>
        <v>-3.2375490163996649E-2</v>
      </c>
      <c r="AH66" s="81">
        <f t="shared" si="57"/>
        <v>-2.4601858362174812E-2</v>
      </c>
      <c r="AI66" s="81">
        <f t="shared" si="57"/>
        <v>-2.8656939924127652E-2</v>
      </c>
      <c r="AJ66" s="81">
        <f t="shared" si="57"/>
        <v>-2.1160996716280814E-2</v>
      </c>
      <c r="AK66" s="81">
        <f t="shared" si="57"/>
        <v>-2.5524299778723225E-2</v>
      </c>
      <c r="AL66" s="81">
        <f t="shared" si="57"/>
        <v>-2.2347253658164229E-2</v>
      </c>
      <c r="AM66" s="81">
        <f t="shared" si="57"/>
        <v>-2.3073318696729208E-2</v>
      </c>
      <c r="AN66" s="81">
        <f t="shared" si="57"/>
        <v>-2.3587426485801699E-2</v>
      </c>
      <c r="AO66" s="81">
        <f t="shared" si="57"/>
        <v>-2.9127813920664564E-2</v>
      </c>
      <c r="AP66" s="81">
        <f t="shared" si="57"/>
        <v>-1.8553443523121035E-2</v>
      </c>
      <c r="AQ66" s="81">
        <f t="shared" si="57"/>
        <v>-2.0857079832097999E-2</v>
      </c>
      <c r="AR66" s="81">
        <f t="shared" si="57"/>
        <v>-2.2644366704230225E-2</v>
      </c>
      <c r="AS66" s="81">
        <f t="shared" si="57"/>
        <v>-2.0199866977031595E-2</v>
      </c>
      <c r="AT66" s="81">
        <f t="shared" si="57"/>
        <v>-1.9255977374534883E-2</v>
      </c>
      <c r="AU66" s="381">
        <f t="shared" si="57"/>
        <v>-2.9362567823917666E-2</v>
      </c>
      <c r="AV66" s="381">
        <f t="shared" si="57"/>
        <v>-3.3139927399303402E-2</v>
      </c>
      <c r="AW66" s="381">
        <f t="shared" si="57"/>
        <v>-2.1146821494605453E-2</v>
      </c>
      <c r="AX66" s="381">
        <f t="shared" si="57"/>
        <v>-2.5504781551128543E-2</v>
      </c>
      <c r="AY66" s="381">
        <f t="shared" si="57"/>
        <v>-2.35120452678984E-2</v>
      </c>
      <c r="AZ66" s="381">
        <f t="shared" si="57"/>
        <v>-2.438199858112261E-2</v>
      </c>
      <c r="BA66" s="381">
        <f t="shared" si="57"/>
        <v>-2.1088868981777142E-2</v>
      </c>
      <c r="BB66" s="381" t="str">
        <f t="shared" si="57"/>
        <v>n/a</v>
      </c>
      <c r="BC66" s="381" t="str">
        <f t="shared" si="57"/>
        <v>n/a</v>
      </c>
      <c r="BD66" s="381" t="str">
        <f t="shared" si="57"/>
        <v>n/a</v>
      </c>
      <c r="BE66" s="381" t="str">
        <f t="shared" si="57"/>
        <v>n/a</v>
      </c>
      <c r="BF66" s="381" t="str">
        <f t="shared" si="57"/>
        <v>n/a</v>
      </c>
      <c r="BG66" s="381" t="str">
        <f t="shared" si="57"/>
        <v>n/a</v>
      </c>
      <c r="BH66" s="381" t="str">
        <f t="shared" si="57"/>
        <v>n/a</v>
      </c>
      <c r="BI66" s="381" t="str">
        <f t="shared" si="57"/>
        <v>n/a</v>
      </c>
      <c r="BJ66" s="381" t="str">
        <f t="shared" si="57"/>
        <v>n/a</v>
      </c>
      <c r="BK66" s="381" t="str">
        <f t="shared" si="57"/>
        <v>n/a</v>
      </c>
      <c r="BL66" s="381" t="str">
        <f t="shared" si="57"/>
        <v>n/a</v>
      </c>
      <c r="BM66" s="381" t="str">
        <f t="shared" si="57"/>
        <v>n/a</v>
      </c>
      <c r="BN66" s="381" t="str">
        <f t="shared" si="57"/>
        <v>n/a</v>
      </c>
      <c r="BO66" s="381" t="str">
        <f t="shared" si="57"/>
        <v>n/a</v>
      </c>
      <c r="BP66" s="381" t="str">
        <f t="shared" si="57"/>
        <v>n/a</v>
      </c>
      <c r="BQ66" s="381" t="str">
        <f t="shared" si="57"/>
        <v>n/a</v>
      </c>
      <c r="BR66" s="381" t="str">
        <f t="shared" ref="BR66:CK66" si="58">IFERROR(BR22/BR$15,"n/a")</f>
        <v>n/a</v>
      </c>
      <c r="BS66" s="381" t="str">
        <f t="shared" si="58"/>
        <v>n/a</v>
      </c>
      <c r="BT66" s="381" t="str">
        <f t="shared" si="58"/>
        <v>n/a</v>
      </c>
      <c r="BU66" s="381" t="str">
        <f t="shared" si="58"/>
        <v>n/a</v>
      </c>
      <c r="BV66" s="381" t="str">
        <f t="shared" si="58"/>
        <v>n/a</v>
      </c>
      <c r="BW66" s="381" t="str">
        <f t="shared" si="58"/>
        <v>n/a</v>
      </c>
      <c r="BX66" s="381" t="str">
        <f t="shared" si="58"/>
        <v>n/a</v>
      </c>
      <c r="BY66" s="381" t="str">
        <f t="shared" si="58"/>
        <v>n/a</v>
      </c>
      <c r="BZ66" s="381" t="str">
        <f t="shared" si="58"/>
        <v>n/a</v>
      </c>
      <c r="CA66" s="381" t="str">
        <f t="shared" si="58"/>
        <v>n/a</v>
      </c>
      <c r="CB66" s="381" t="str">
        <f t="shared" si="58"/>
        <v>n/a</v>
      </c>
      <c r="CC66" s="381" t="str">
        <f t="shared" si="58"/>
        <v>n/a</v>
      </c>
      <c r="CD66" s="381" t="str">
        <f t="shared" si="58"/>
        <v>n/a</v>
      </c>
      <c r="CE66" s="381" t="str">
        <f t="shared" si="58"/>
        <v>n/a</v>
      </c>
      <c r="CF66" s="381" t="str">
        <f t="shared" si="58"/>
        <v>n/a</v>
      </c>
      <c r="CG66" s="381" t="str">
        <f t="shared" si="58"/>
        <v>n/a</v>
      </c>
      <c r="CH66" s="381" t="str">
        <f t="shared" si="58"/>
        <v>n/a</v>
      </c>
      <c r="CI66" s="381" t="str">
        <f t="shared" si="58"/>
        <v>n/a</v>
      </c>
      <c r="CJ66" s="381" t="str">
        <f t="shared" si="58"/>
        <v>n/a</v>
      </c>
      <c r="CK66" s="381" t="str">
        <f t="shared" si="58"/>
        <v>n/a</v>
      </c>
    </row>
    <row r="67" spans="3:89" s="89" customFormat="1" ht="11.25" customHeight="1" x14ac:dyDescent="0.2">
      <c r="C67" s="82" t="str">
        <f t="shared" si="56"/>
        <v>Reparaturen und Instandhaltungen</v>
      </c>
      <c r="D67" s="82" t="str">
        <f t="shared" si="56"/>
        <v>Repair and maintenance</v>
      </c>
      <c r="E67" s="82"/>
      <c r="F67" s="81" t="str">
        <f t="shared" ref="F67:BQ67" si="59">IFERROR(F23/F$15,"n/a")</f>
        <v>n/a</v>
      </c>
      <c r="G67" s="81" t="str">
        <f t="shared" si="59"/>
        <v>n/a</v>
      </c>
      <c r="H67" s="81" t="str">
        <f t="shared" si="59"/>
        <v>n/a</v>
      </c>
      <c r="I67" s="81" t="str">
        <f t="shared" si="59"/>
        <v>n/a</v>
      </c>
      <c r="J67" s="81" t="str">
        <f t="shared" si="59"/>
        <v>n/a</v>
      </c>
      <c r="K67" s="81" t="str">
        <f t="shared" si="59"/>
        <v>n/a</v>
      </c>
      <c r="L67" s="81" t="str">
        <f t="shared" si="59"/>
        <v>n/a</v>
      </c>
      <c r="M67" s="81" t="str">
        <f t="shared" si="59"/>
        <v>n/a</v>
      </c>
      <c r="N67" s="81" t="str">
        <f t="shared" si="59"/>
        <v>n/a</v>
      </c>
      <c r="O67" s="81" t="str">
        <f t="shared" si="59"/>
        <v>n/a</v>
      </c>
      <c r="P67" s="81" t="str">
        <f t="shared" si="59"/>
        <v>n/a</v>
      </c>
      <c r="Q67" s="81" t="str">
        <f t="shared" si="59"/>
        <v>n/a</v>
      </c>
      <c r="R67" s="81">
        <f t="shared" si="59"/>
        <v>-3.8046615686854338E-3</v>
      </c>
      <c r="S67" s="81">
        <f t="shared" si="59"/>
        <v>-9.5123044180246662E-3</v>
      </c>
      <c r="T67" s="81">
        <f t="shared" si="59"/>
        <v>-8.6324729665938019E-3</v>
      </c>
      <c r="U67" s="81">
        <f t="shared" si="59"/>
        <v>-7.5889653510940996E-3</v>
      </c>
      <c r="V67" s="81">
        <f t="shared" si="59"/>
        <v>-7.0655636266395323E-3</v>
      </c>
      <c r="W67" s="81">
        <f t="shared" si="59"/>
        <v>-3.4321470791428515E-3</v>
      </c>
      <c r="X67" s="81">
        <f t="shared" si="59"/>
        <v>-1.0660214174528313E-2</v>
      </c>
      <c r="Y67" s="81">
        <f t="shared" si="59"/>
        <v>-3.9595155748405816E-3</v>
      </c>
      <c r="Z67" s="81">
        <f t="shared" si="59"/>
        <v>-9.1678000960429308E-3</v>
      </c>
      <c r="AA67" s="81">
        <f t="shared" si="59"/>
        <v>-3.2827018731396329E-3</v>
      </c>
      <c r="AB67" s="81">
        <f t="shared" si="59"/>
        <v>-1.0105616173627959E-2</v>
      </c>
      <c r="AC67" s="81">
        <f t="shared" si="59"/>
        <v>-1.6245938995344173E-2</v>
      </c>
      <c r="AD67" s="81">
        <f t="shared" si="59"/>
        <v>-5.8072993944688787E-3</v>
      </c>
      <c r="AE67" s="81">
        <f t="shared" si="59"/>
        <v>-7.4309863867356267E-3</v>
      </c>
      <c r="AF67" s="81">
        <f t="shared" si="59"/>
        <v>-6.2041307985267417E-3</v>
      </c>
      <c r="AG67" s="81">
        <f t="shared" si="59"/>
        <v>-1.1680495287979251E-2</v>
      </c>
      <c r="AH67" s="81">
        <f t="shared" si="59"/>
        <v>-5.7882980844961279E-3</v>
      </c>
      <c r="AI67" s="81">
        <f t="shared" si="59"/>
        <v>-9.0321159347331384E-3</v>
      </c>
      <c r="AJ67" s="81">
        <f t="shared" si="59"/>
        <v>-7.514694165058863E-3</v>
      </c>
      <c r="AK67" s="81">
        <f t="shared" si="59"/>
        <v>-8.6060968298826736E-3</v>
      </c>
      <c r="AL67" s="81">
        <f t="shared" si="59"/>
        <v>-6.3997751093136752E-3</v>
      </c>
      <c r="AM67" s="81">
        <f t="shared" si="59"/>
        <v>-1.2862392178590977E-2</v>
      </c>
      <c r="AN67" s="81">
        <f t="shared" si="59"/>
        <v>-4.581492811303994E-3</v>
      </c>
      <c r="AO67" s="81">
        <f t="shared" si="59"/>
        <v>-9.2538294286827905E-3</v>
      </c>
      <c r="AP67" s="81">
        <f t="shared" si="59"/>
        <v>-6.1346780472864007E-3</v>
      </c>
      <c r="AQ67" s="81">
        <f t="shared" si="59"/>
        <v>-5.9577548895538282E-3</v>
      </c>
      <c r="AR67" s="81">
        <f t="shared" si="59"/>
        <v>-1.4444408898485691E-2</v>
      </c>
      <c r="AS67" s="81">
        <f t="shared" si="59"/>
        <v>-9.2616337444884015E-3</v>
      </c>
      <c r="AT67" s="81">
        <f t="shared" si="59"/>
        <v>-7.2170490712585699E-3</v>
      </c>
      <c r="AU67" s="381">
        <f t="shared" si="59"/>
        <v>-5.1029671712056052E-3</v>
      </c>
      <c r="AV67" s="381">
        <f t="shared" si="59"/>
        <v>-9.9582373046412844E-3</v>
      </c>
      <c r="AW67" s="381">
        <f t="shared" si="59"/>
        <v>-6.7996613998800128E-4</v>
      </c>
      <c r="AX67" s="381">
        <f t="shared" si="59"/>
        <v>-5.6218396782070253E-3</v>
      </c>
      <c r="AY67" s="381">
        <f t="shared" si="59"/>
        <v>-1.8409958747616941E-2</v>
      </c>
      <c r="AZ67" s="381">
        <f t="shared" si="59"/>
        <v>-6.1586629918617061E-3</v>
      </c>
      <c r="BA67" s="381">
        <f t="shared" si="59"/>
        <v>-1.7692688629129009E-3</v>
      </c>
      <c r="BB67" s="381" t="str">
        <f t="shared" si="59"/>
        <v>n/a</v>
      </c>
      <c r="BC67" s="381" t="str">
        <f t="shared" si="59"/>
        <v>n/a</v>
      </c>
      <c r="BD67" s="381" t="str">
        <f t="shared" si="59"/>
        <v>n/a</v>
      </c>
      <c r="BE67" s="381" t="str">
        <f t="shared" si="59"/>
        <v>n/a</v>
      </c>
      <c r="BF67" s="381" t="str">
        <f t="shared" si="59"/>
        <v>n/a</v>
      </c>
      <c r="BG67" s="381" t="str">
        <f t="shared" si="59"/>
        <v>n/a</v>
      </c>
      <c r="BH67" s="381" t="str">
        <f t="shared" si="59"/>
        <v>n/a</v>
      </c>
      <c r="BI67" s="381" t="str">
        <f t="shared" si="59"/>
        <v>n/a</v>
      </c>
      <c r="BJ67" s="381" t="str">
        <f t="shared" si="59"/>
        <v>n/a</v>
      </c>
      <c r="BK67" s="381" t="str">
        <f t="shared" si="59"/>
        <v>n/a</v>
      </c>
      <c r="BL67" s="381" t="str">
        <f t="shared" si="59"/>
        <v>n/a</v>
      </c>
      <c r="BM67" s="381" t="str">
        <f t="shared" si="59"/>
        <v>n/a</v>
      </c>
      <c r="BN67" s="381" t="str">
        <f t="shared" si="59"/>
        <v>n/a</v>
      </c>
      <c r="BO67" s="381" t="str">
        <f t="shared" si="59"/>
        <v>n/a</v>
      </c>
      <c r="BP67" s="381" t="str">
        <f t="shared" si="59"/>
        <v>n/a</v>
      </c>
      <c r="BQ67" s="381" t="str">
        <f t="shared" si="59"/>
        <v>n/a</v>
      </c>
      <c r="BR67" s="381" t="str">
        <f t="shared" ref="BR67:CK67" si="60">IFERROR(BR23/BR$15,"n/a")</f>
        <v>n/a</v>
      </c>
      <c r="BS67" s="381" t="str">
        <f t="shared" si="60"/>
        <v>n/a</v>
      </c>
      <c r="BT67" s="381" t="str">
        <f t="shared" si="60"/>
        <v>n/a</v>
      </c>
      <c r="BU67" s="381" t="str">
        <f t="shared" si="60"/>
        <v>n/a</v>
      </c>
      <c r="BV67" s="381" t="str">
        <f t="shared" si="60"/>
        <v>n/a</v>
      </c>
      <c r="BW67" s="381" t="str">
        <f t="shared" si="60"/>
        <v>n/a</v>
      </c>
      <c r="BX67" s="381" t="str">
        <f t="shared" si="60"/>
        <v>n/a</v>
      </c>
      <c r="BY67" s="381" t="str">
        <f t="shared" si="60"/>
        <v>n/a</v>
      </c>
      <c r="BZ67" s="381" t="str">
        <f t="shared" si="60"/>
        <v>n/a</v>
      </c>
      <c r="CA67" s="381" t="str">
        <f t="shared" si="60"/>
        <v>n/a</v>
      </c>
      <c r="CB67" s="381" t="str">
        <f t="shared" si="60"/>
        <v>n/a</v>
      </c>
      <c r="CC67" s="381" t="str">
        <f t="shared" si="60"/>
        <v>n/a</v>
      </c>
      <c r="CD67" s="381" t="str">
        <f t="shared" si="60"/>
        <v>n/a</v>
      </c>
      <c r="CE67" s="381" t="str">
        <f t="shared" si="60"/>
        <v>n/a</v>
      </c>
      <c r="CF67" s="381" t="str">
        <f t="shared" si="60"/>
        <v>n/a</v>
      </c>
      <c r="CG67" s="381" t="str">
        <f t="shared" si="60"/>
        <v>n/a</v>
      </c>
      <c r="CH67" s="381" t="str">
        <f t="shared" si="60"/>
        <v>n/a</v>
      </c>
      <c r="CI67" s="381" t="str">
        <f t="shared" si="60"/>
        <v>n/a</v>
      </c>
      <c r="CJ67" s="381" t="str">
        <f t="shared" si="60"/>
        <v>n/a</v>
      </c>
      <c r="CK67" s="381" t="str">
        <f t="shared" si="60"/>
        <v>n/a</v>
      </c>
    </row>
    <row r="68" spans="3:89" s="89" customFormat="1" ht="11.25" customHeight="1" x14ac:dyDescent="0.2">
      <c r="C68" s="82" t="str">
        <f t="shared" si="56"/>
        <v>Vertriebskosten</v>
      </c>
      <c r="D68" s="82" t="str">
        <f t="shared" si="56"/>
        <v>Sales costs</v>
      </c>
      <c r="E68" s="82"/>
      <c r="F68" s="81" t="str">
        <f t="shared" ref="F68:BQ68" si="61">IFERROR(F24/F$15,"n/a")</f>
        <v>n/a</v>
      </c>
      <c r="G68" s="81" t="str">
        <f t="shared" si="61"/>
        <v>n/a</v>
      </c>
      <c r="H68" s="81" t="str">
        <f t="shared" si="61"/>
        <v>n/a</v>
      </c>
      <c r="I68" s="81" t="str">
        <f t="shared" si="61"/>
        <v>n/a</v>
      </c>
      <c r="J68" s="81" t="str">
        <f t="shared" si="61"/>
        <v>n/a</v>
      </c>
      <c r="K68" s="81" t="str">
        <f t="shared" si="61"/>
        <v>n/a</v>
      </c>
      <c r="L68" s="81" t="str">
        <f t="shared" si="61"/>
        <v>n/a</v>
      </c>
      <c r="M68" s="81" t="str">
        <f t="shared" si="61"/>
        <v>n/a</v>
      </c>
      <c r="N68" s="81" t="str">
        <f t="shared" si="61"/>
        <v>n/a</v>
      </c>
      <c r="O68" s="81" t="str">
        <f t="shared" si="61"/>
        <v>n/a</v>
      </c>
      <c r="P68" s="81" t="str">
        <f t="shared" si="61"/>
        <v>n/a</v>
      </c>
      <c r="Q68" s="81" t="str">
        <f t="shared" si="61"/>
        <v>n/a</v>
      </c>
      <c r="R68" s="81">
        <f t="shared" si="61"/>
        <v>0</v>
      </c>
      <c r="S68" s="81">
        <f t="shared" si="61"/>
        <v>0</v>
      </c>
      <c r="T68" s="81">
        <f t="shared" si="61"/>
        <v>0</v>
      </c>
      <c r="U68" s="81">
        <f t="shared" si="61"/>
        <v>0</v>
      </c>
      <c r="V68" s="81">
        <f t="shared" si="61"/>
        <v>0</v>
      </c>
      <c r="W68" s="81">
        <f t="shared" si="61"/>
        <v>0</v>
      </c>
      <c r="X68" s="81">
        <f t="shared" si="61"/>
        <v>0</v>
      </c>
      <c r="Y68" s="81">
        <f t="shared" si="61"/>
        <v>0</v>
      </c>
      <c r="Z68" s="81">
        <f t="shared" si="61"/>
        <v>0</v>
      </c>
      <c r="AA68" s="81">
        <f t="shared" si="61"/>
        <v>0</v>
      </c>
      <c r="AB68" s="81">
        <f t="shared" si="61"/>
        <v>0</v>
      </c>
      <c r="AC68" s="81">
        <f t="shared" si="61"/>
        <v>0</v>
      </c>
      <c r="AD68" s="81">
        <f t="shared" si="61"/>
        <v>0</v>
      </c>
      <c r="AE68" s="81">
        <f t="shared" si="61"/>
        <v>0</v>
      </c>
      <c r="AF68" s="81">
        <f t="shared" si="61"/>
        <v>0</v>
      </c>
      <c r="AG68" s="81">
        <f t="shared" si="61"/>
        <v>0</v>
      </c>
      <c r="AH68" s="81">
        <f t="shared" si="61"/>
        <v>0</v>
      </c>
      <c r="AI68" s="81">
        <f t="shared" si="61"/>
        <v>0</v>
      </c>
      <c r="AJ68" s="81">
        <f t="shared" si="61"/>
        <v>0</v>
      </c>
      <c r="AK68" s="81">
        <f t="shared" si="61"/>
        <v>0</v>
      </c>
      <c r="AL68" s="81">
        <f t="shared" si="61"/>
        <v>0</v>
      </c>
      <c r="AM68" s="81">
        <f t="shared" si="61"/>
        <v>0</v>
      </c>
      <c r="AN68" s="81">
        <f t="shared" si="61"/>
        <v>0</v>
      </c>
      <c r="AO68" s="81">
        <f t="shared" si="61"/>
        <v>0</v>
      </c>
      <c r="AP68" s="81">
        <f t="shared" si="61"/>
        <v>0</v>
      </c>
      <c r="AQ68" s="81">
        <f t="shared" si="61"/>
        <v>0</v>
      </c>
      <c r="AR68" s="81">
        <f t="shared" si="61"/>
        <v>0</v>
      </c>
      <c r="AS68" s="81">
        <f t="shared" si="61"/>
        <v>0</v>
      </c>
      <c r="AT68" s="81">
        <f t="shared" si="61"/>
        <v>0</v>
      </c>
      <c r="AU68" s="381">
        <f t="shared" si="61"/>
        <v>0</v>
      </c>
      <c r="AV68" s="381">
        <f t="shared" si="61"/>
        <v>0</v>
      </c>
      <c r="AW68" s="381">
        <f t="shared" si="61"/>
        <v>0</v>
      </c>
      <c r="AX68" s="381">
        <f t="shared" si="61"/>
        <v>0</v>
      </c>
      <c r="AY68" s="381">
        <f t="shared" si="61"/>
        <v>0</v>
      </c>
      <c r="AZ68" s="381">
        <f t="shared" si="61"/>
        <v>0</v>
      </c>
      <c r="BA68" s="381">
        <f t="shared" si="61"/>
        <v>0</v>
      </c>
      <c r="BB68" s="381" t="str">
        <f t="shared" si="61"/>
        <v>n/a</v>
      </c>
      <c r="BC68" s="381" t="str">
        <f t="shared" si="61"/>
        <v>n/a</v>
      </c>
      <c r="BD68" s="381" t="str">
        <f t="shared" si="61"/>
        <v>n/a</v>
      </c>
      <c r="BE68" s="381" t="str">
        <f t="shared" si="61"/>
        <v>n/a</v>
      </c>
      <c r="BF68" s="381" t="str">
        <f t="shared" si="61"/>
        <v>n/a</v>
      </c>
      <c r="BG68" s="381" t="str">
        <f t="shared" si="61"/>
        <v>n/a</v>
      </c>
      <c r="BH68" s="381" t="str">
        <f t="shared" si="61"/>
        <v>n/a</v>
      </c>
      <c r="BI68" s="381" t="str">
        <f t="shared" si="61"/>
        <v>n/a</v>
      </c>
      <c r="BJ68" s="381" t="str">
        <f t="shared" si="61"/>
        <v>n/a</v>
      </c>
      <c r="BK68" s="381" t="str">
        <f t="shared" si="61"/>
        <v>n/a</v>
      </c>
      <c r="BL68" s="381" t="str">
        <f t="shared" si="61"/>
        <v>n/a</v>
      </c>
      <c r="BM68" s="381" t="str">
        <f t="shared" si="61"/>
        <v>n/a</v>
      </c>
      <c r="BN68" s="381" t="str">
        <f t="shared" si="61"/>
        <v>n/a</v>
      </c>
      <c r="BO68" s="381" t="str">
        <f t="shared" si="61"/>
        <v>n/a</v>
      </c>
      <c r="BP68" s="381" t="str">
        <f t="shared" si="61"/>
        <v>n/a</v>
      </c>
      <c r="BQ68" s="381" t="str">
        <f t="shared" si="61"/>
        <v>n/a</v>
      </c>
      <c r="BR68" s="381" t="str">
        <f t="shared" ref="BR68:CK68" si="62">IFERROR(BR24/BR$15,"n/a")</f>
        <v>n/a</v>
      </c>
      <c r="BS68" s="381" t="str">
        <f t="shared" si="62"/>
        <v>n/a</v>
      </c>
      <c r="BT68" s="381" t="str">
        <f t="shared" si="62"/>
        <v>n/a</v>
      </c>
      <c r="BU68" s="381" t="str">
        <f t="shared" si="62"/>
        <v>n/a</v>
      </c>
      <c r="BV68" s="381" t="str">
        <f t="shared" si="62"/>
        <v>n/a</v>
      </c>
      <c r="BW68" s="381" t="str">
        <f t="shared" si="62"/>
        <v>n/a</v>
      </c>
      <c r="BX68" s="381" t="str">
        <f t="shared" si="62"/>
        <v>n/a</v>
      </c>
      <c r="BY68" s="381" t="str">
        <f t="shared" si="62"/>
        <v>n/a</v>
      </c>
      <c r="BZ68" s="381" t="str">
        <f t="shared" si="62"/>
        <v>n/a</v>
      </c>
      <c r="CA68" s="381" t="str">
        <f t="shared" si="62"/>
        <v>n/a</v>
      </c>
      <c r="CB68" s="381" t="str">
        <f t="shared" si="62"/>
        <v>n/a</v>
      </c>
      <c r="CC68" s="381" t="str">
        <f t="shared" si="62"/>
        <v>n/a</v>
      </c>
      <c r="CD68" s="381" t="str">
        <f t="shared" si="62"/>
        <v>n/a</v>
      </c>
      <c r="CE68" s="381" t="str">
        <f t="shared" si="62"/>
        <v>n/a</v>
      </c>
      <c r="CF68" s="381" t="str">
        <f t="shared" si="62"/>
        <v>n/a</v>
      </c>
      <c r="CG68" s="381" t="str">
        <f t="shared" si="62"/>
        <v>n/a</v>
      </c>
      <c r="CH68" s="381" t="str">
        <f t="shared" si="62"/>
        <v>n/a</v>
      </c>
      <c r="CI68" s="381" t="str">
        <f t="shared" si="62"/>
        <v>n/a</v>
      </c>
      <c r="CJ68" s="381" t="str">
        <f t="shared" si="62"/>
        <v>n/a</v>
      </c>
      <c r="CK68" s="381" t="str">
        <f t="shared" si="62"/>
        <v>n/a</v>
      </c>
    </row>
    <row r="69" spans="3:89" s="89" customFormat="1" ht="11.25" customHeight="1" x14ac:dyDescent="0.2">
      <c r="C69" s="82" t="str">
        <f t="shared" si="56"/>
        <v>Kosten der Warenabgabe</v>
      </c>
      <c r="D69" s="82" t="str">
        <f t="shared" si="56"/>
        <v>Delivery costs</v>
      </c>
      <c r="E69" s="82"/>
      <c r="F69" s="81" t="str">
        <f t="shared" ref="F69:BQ69" si="63">IFERROR(F25/F$15,"n/a")</f>
        <v>n/a</v>
      </c>
      <c r="G69" s="81" t="str">
        <f t="shared" si="63"/>
        <v>n/a</v>
      </c>
      <c r="H69" s="81" t="str">
        <f t="shared" si="63"/>
        <v>n/a</v>
      </c>
      <c r="I69" s="81" t="str">
        <f t="shared" si="63"/>
        <v>n/a</v>
      </c>
      <c r="J69" s="81" t="str">
        <f t="shared" si="63"/>
        <v>n/a</v>
      </c>
      <c r="K69" s="81" t="str">
        <f t="shared" si="63"/>
        <v>n/a</v>
      </c>
      <c r="L69" s="81" t="str">
        <f t="shared" si="63"/>
        <v>n/a</v>
      </c>
      <c r="M69" s="81" t="str">
        <f t="shared" si="63"/>
        <v>n/a</v>
      </c>
      <c r="N69" s="81" t="str">
        <f t="shared" si="63"/>
        <v>n/a</v>
      </c>
      <c r="O69" s="81" t="str">
        <f t="shared" si="63"/>
        <v>n/a</v>
      </c>
      <c r="P69" s="81" t="str">
        <f t="shared" si="63"/>
        <v>n/a</v>
      </c>
      <c r="Q69" s="81" t="str">
        <f t="shared" si="63"/>
        <v>n/a</v>
      </c>
      <c r="R69" s="81">
        <f t="shared" si="63"/>
        <v>-2.3026268561683712E-2</v>
      </c>
      <c r="S69" s="81">
        <f t="shared" si="63"/>
        <v>-2.1261172256916722E-2</v>
      </c>
      <c r="T69" s="81">
        <f t="shared" si="63"/>
        <v>-1.765827857421897E-2</v>
      </c>
      <c r="U69" s="81">
        <f t="shared" si="63"/>
        <v>-2.4370593744535467E-2</v>
      </c>
      <c r="V69" s="81">
        <f t="shared" si="63"/>
        <v>-1.5061526994953573E-2</v>
      </c>
      <c r="W69" s="81">
        <f t="shared" si="63"/>
        <v>-2.1345998550168221E-2</v>
      </c>
      <c r="X69" s="81">
        <f t="shared" si="63"/>
        <v>-2.1482803559647479E-2</v>
      </c>
      <c r="Y69" s="81">
        <f t="shared" si="63"/>
        <v>-2.2715510619009813E-2</v>
      </c>
      <c r="Z69" s="81">
        <f t="shared" si="63"/>
        <v>-1.996298411879481E-2</v>
      </c>
      <c r="AA69" s="81">
        <f t="shared" si="63"/>
        <v>-8.5110786781764564E-2</v>
      </c>
      <c r="AB69" s="81">
        <f t="shared" si="63"/>
        <v>-1.977099181157746E-2</v>
      </c>
      <c r="AC69" s="81">
        <f t="shared" si="63"/>
        <v>4.6186529383928157E-2</v>
      </c>
      <c r="AD69" s="81">
        <f t="shared" si="63"/>
        <v>-1.5785069388607829E-2</v>
      </c>
      <c r="AE69" s="81">
        <f t="shared" si="63"/>
        <v>-1.8334975944755753E-2</v>
      </c>
      <c r="AF69" s="81">
        <f t="shared" si="63"/>
        <v>-1.6606471111330713E-2</v>
      </c>
      <c r="AG69" s="81">
        <f t="shared" si="63"/>
        <v>-1.8506666775119474E-2</v>
      </c>
      <c r="AH69" s="81">
        <f t="shared" si="63"/>
        <v>-1.4639415886344074E-2</v>
      </c>
      <c r="AI69" s="81">
        <f t="shared" si="63"/>
        <v>-2.1021378078226398E-2</v>
      </c>
      <c r="AJ69" s="81">
        <f t="shared" si="63"/>
        <v>-1.5311217247862522E-2</v>
      </c>
      <c r="AK69" s="81">
        <f t="shared" si="63"/>
        <v>-1.846405441202284E-2</v>
      </c>
      <c r="AL69" s="81">
        <f t="shared" si="63"/>
        <v>-1.8415497774501723E-2</v>
      </c>
      <c r="AM69" s="81">
        <f t="shared" si="63"/>
        <v>-2.1727772754385269E-2</v>
      </c>
      <c r="AN69" s="81">
        <f t="shared" si="63"/>
        <v>-1.9106889818637542E-2</v>
      </c>
      <c r="AO69" s="81">
        <f t="shared" si="63"/>
        <v>-1.6638383624468046E-2</v>
      </c>
      <c r="AP69" s="81">
        <f t="shared" si="63"/>
        <v>-2.0898294014104001E-2</v>
      </c>
      <c r="AQ69" s="81">
        <f t="shared" si="63"/>
        <v>-2.3045317811337396E-2</v>
      </c>
      <c r="AR69" s="81">
        <f t="shared" si="63"/>
        <v>-3.2364983010815467E-2</v>
      </c>
      <c r="AS69" s="81">
        <f t="shared" si="63"/>
        <v>-2.2663152287760929E-2</v>
      </c>
      <c r="AT69" s="81">
        <f t="shared" si="63"/>
        <v>-2.3219346656728392E-2</v>
      </c>
      <c r="AU69" s="381">
        <f t="shared" si="63"/>
        <v>-2.6108833537290089E-2</v>
      </c>
      <c r="AV69" s="381">
        <f t="shared" si="63"/>
        <v>-2.318262592111869E-2</v>
      </c>
      <c r="AW69" s="381">
        <f t="shared" si="63"/>
        <v>-2.0466993141982009E-2</v>
      </c>
      <c r="AX69" s="381">
        <f t="shared" si="63"/>
        <v>-2.2577892516787823E-2</v>
      </c>
      <c r="AY69" s="381">
        <f t="shared" si="63"/>
        <v>-2.4548390610675985E-2</v>
      </c>
      <c r="AZ69" s="381">
        <f t="shared" si="63"/>
        <v>-2.1117563330775357E-2</v>
      </c>
      <c r="BA69" s="381">
        <f t="shared" si="63"/>
        <v>-2.183951186372524E-2</v>
      </c>
      <c r="BB69" s="381" t="str">
        <f t="shared" si="63"/>
        <v>n/a</v>
      </c>
      <c r="BC69" s="381" t="str">
        <f t="shared" si="63"/>
        <v>n/a</v>
      </c>
      <c r="BD69" s="381" t="str">
        <f t="shared" si="63"/>
        <v>n/a</v>
      </c>
      <c r="BE69" s="381" t="str">
        <f t="shared" si="63"/>
        <v>n/a</v>
      </c>
      <c r="BF69" s="381" t="str">
        <f t="shared" si="63"/>
        <v>n/a</v>
      </c>
      <c r="BG69" s="381" t="str">
        <f t="shared" si="63"/>
        <v>n/a</v>
      </c>
      <c r="BH69" s="381" t="str">
        <f t="shared" si="63"/>
        <v>n/a</v>
      </c>
      <c r="BI69" s="381" t="str">
        <f t="shared" si="63"/>
        <v>n/a</v>
      </c>
      <c r="BJ69" s="381" t="str">
        <f t="shared" si="63"/>
        <v>n/a</v>
      </c>
      <c r="BK69" s="381" t="str">
        <f t="shared" si="63"/>
        <v>n/a</v>
      </c>
      <c r="BL69" s="381" t="str">
        <f t="shared" si="63"/>
        <v>n/a</v>
      </c>
      <c r="BM69" s="381" t="str">
        <f t="shared" si="63"/>
        <v>n/a</v>
      </c>
      <c r="BN69" s="381" t="str">
        <f t="shared" si="63"/>
        <v>n/a</v>
      </c>
      <c r="BO69" s="381" t="str">
        <f t="shared" si="63"/>
        <v>n/a</v>
      </c>
      <c r="BP69" s="381" t="str">
        <f t="shared" si="63"/>
        <v>n/a</v>
      </c>
      <c r="BQ69" s="381" t="str">
        <f t="shared" si="63"/>
        <v>n/a</v>
      </c>
      <c r="BR69" s="381" t="str">
        <f t="shared" ref="BR69:CK69" si="64">IFERROR(BR25/BR$15,"n/a")</f>
        <v>n/a</v>
      </c>
      <c r="BS69" s="381" t="str">
        <f t="shared" si="64"/>
        <v>n/a</v>
      </c>
      <c r="BT69" s="381" t="str">
        <f t="shared" si="64"/>
        <v>n/a</v>
      </c>
      <c r="BU69" s="381" t="str">
        <f t="shared" si="64"/>
        <v>n/a</v>
      </c>
      <c r="BV69" s="381" t="str">
        <f t="shared" si="64"/>
        <v>n/a</v>
      </c>
      <c r="BW69" s="381" t="str">
        <f t="shared" si="64"/>
        <v>n/a</v>
      </c>
      <c r="BX69" s="381" t="str">
        <f t="shared" si="64"/>
        <v>n/a</v>
      </c>
      <c r="BY69" s="381" t="str">
        <f t="shared" si="64"/>
        <v>n/a</v>
      </c>
      <c r="BZ69" s="381" t="str">
        <f t="shared" si="64"/>
        <v>n/a</v>
      </c>
      <c r="CA69" s="381" t="str">
        <f t="shared" si="64"/>
        <v>n/a</v>
      </c>
      <c r="CB69" s="381" t="str">
        <f t="shared" si="64"/>
        <v>n/a</v>
      </c>
      <c r="CC69" s="381" t="str">
        <f t="shared" si="64"/>
        <v>n/a</v>
      </c>
      <c r="CD69" s="381" t="str">
        <f t="shared" si="64"/>
        <v>n/a</v>
      </c>
      <c r="CE69" s="381" t="str">
        <f t="shared" si="64"/>
        <v>n/a</v>
      </c>
      <c r="CF69" s="381" t="str">
        <f t="shared" si="64"/>
        <v>n/a</v>
      </c>
      <c r="CG69" s="381" t="str">
        <f t="shared" si="64"/>
        <v>n/a</v>
      </c>
      <c r="CH69" s="381" t="str">
        <f t="shared" si="64"/>
        <v>n/a</v>
      </c>
      <c r="CI69" s="381" t="str">
        <f t="shared" si="64"/>
        <v>n/a</v>
      </c>
      <c r="CJ69" s="381" t="str">
        <f t="shared" si="64"/>
        <v>n/a</v>
      </c>
      <c r="CK69" s="381" t="str">
        <f t="shared" si="64"/>
        <v>n/a</v>
      </c>
    </row>
    <row r="70" spans="3:89" s="89" customFormat="1" ht="11.25" customHeight="1" x14ac:dyDescent="0.2">
      <c r="C70" s="82" t="str">
        <f t="shared" si="56"/>
        <v>Fahrzeugkosten</v>
      </c>
      <c r="D70" s="82" t="str">
        <f t="shared" si="56"/>
        <v>Vehicle costs</v>
      </c>
      <c r="E70" s="82"/>
      <c r="F70" s="81" t="str">
        <f t="shared" ref="F70:BQ70" si="65">IFERROR(F26/F$15,"n/a")</f>
        <v>n/a</v>
      </c>
      <c r="G70" s="81" t="str">
        <f t="shared" si="65"/>
        <v>n/a</v>
      </c>
      <c r="H70" s="81" t="str">
        <f t="shared" si="65"/>
        <v>n/a</v>
      </c>
      <c r="I70" s="81" t="str">
        <f t="shared" si="65"/>
        <v>n/a</v>
      </c>
      <c r="J70" s="81" t="str">
        <f t="shared" si="65"/>
        <v>n/a</v>
      </c>
      <c r="K70" s="81" t="str">
        <f t="shared" si="65"/>
        <v>n/a</v>
      </c>
      <c r="L70" s="81" t="str">
        <f t="shared" si="65"/>
        <v>n/a</v>
      </c>
      <c r="M70" s="81" t="str">
        <f t="shared" si="65"/>
        <v>n/a</v>
      </c>
      <c r="N70" s="81" t="str">
        <f t="shared" si="65"/>
        <v>n/a</v>
      </c>
      <c r="O70" s="81" t="str">
        <f t="shared" si="65"/>
        <v>n/a</v>
      </c>
      <c r="P70" s="81" t="str">
        <f t="shared" si="65"/>
        <v>n/a</v>
      </c>
      <c r="Q70" s="81" t="str">
        <f t="shared" si="65"/>
        <v>n/a</v>
      </c>
      <c r="R70" s="81">
        <f t="shared" si="65"/>
        <v>-1.0719579210932627E-2</v>
      </c>
      <c r="S70" s="81">
        <f t="shared" si="65"/>
        <v>-9.8050118424226635E-3</v>
      </c>
      <c r="T70" s="81">
        <f t="shared" si="65"/>
        <v>-7.9614172714539931E-3</v>
      </c>
      <c r="U70" s="81">
        <f t="shared" si="65"/>
        <v>-1.1675319709593604E-2</v>
      </c>
      <c r="V70" s="81">
        <f t="shared" si="65"/>
        <v>-9.673232628574004E-3</v>
      </c>
      <c r="W70" s="81">
        <f t="shared" si="65"/>
        <v>-1.3581575307324604E-2</v>
      </c>
      <c r="X70" s="81">
        <f t="shared" si="65"/>
        <v>-1.1996718638200527E-2</v>
      </c>
      <c r="Y70" s="81">
        <f t="shared" si="65"/>
        <v>-1.2050699255419859E-2</v>
      </c>
      <c r="Z70" s="81">
        <f t="shared" si="65"/>
        <v>-1.2139610594688943E-2</v>
      </c>
      <c r="AA70" s="81">
        <f t="shared" si="65"/>
        <v>-1.1831138973227939E-2</v>
      </c>
      <c r="AB70" s="81">
        <f t="shared" si="65"/>
        <v>-1.334427935651024E-2</v>
      </c>
      <c r="AC70" s="81">
        <f t="shared" si="65"/>
        <v>-2.3221859437789222E-2</v>
      </c>
      <c r="AD70" s="81">
        <f t="shared" si="65"/>
        <v>-8.6890720567186375E-3</v>
      </c>
      <c r="AE70" s="81">
        <f t="shared" si="65"/>
        <v>-1.5283493544494596E-2</v>
      </c>
      <c r="AF70" s="81">
        <f t="shared" si="65"/>
        <v>-1.1266300065063914E-2</v>
      </c>
      <c r="AG70" s="81">
        <f t="shared" si="65"/>
        <v>-1.7999764940538392E-2</v>
      </c>
      <c r="AH70" s="81">
        <f t="shared" si="65"/>
        <v>-1.0130531557554754E-2</v>
      </c>
      <c r="AI70" s="81">
        <f t="shared" si="65"/>
        <v>-1.8954376377311656E-2</v>
      </c>
      <c r="AJ70" s="81">
        <f t="shared" si="65"/>
        <v>-1.3184682628894991E-2</v>
      </c>
      <c r="AK70" s="81">
        <f t="shared" si="65"/>
        <v>-1.9176634307284487E-2</v>
      </c>
      <c r="AL70" s="81">
        <f t="shared" si="65"/>
        <v>-1.5665303722632619E-2</v>
      </c>
      <c r="AM70" s="81">
        <f t="shared" si="65"/>
        <v>-1.9309921254997947E-2</v>
      </c>
      <c r="AN70" s="81">
        <f t="shared" si="65"/>
        <v>-1.2638883509585476E-2</v>
      </c>
      <c r="AO70" s="81">
        <f t="shared" si="65"/>
        <v>-1.4166430172264492E-2</v>
      </c>
      <c r="AP70" s="81">
        <f t="shared" si="65"/>
        <v>-1.1970160930229127E-2</v>
      </c>
      <c r="AQ70" s="81">
        <f t="shared" si="65"/>
        <v>-1.1304665758352822E-2</v>
      </c>
      <c r="AR70" s="81">
        <f t="shared" si="65"/>
        <v>-1.5941679808063287E-2</v>
      </c>
      <c r="AS70" s="81">
        <f t="shared" si="65"/>
        <v>-1.5762823344671759E-2</v>
      </c>
      <c r="AT70" s="81">
        <f t="shared" si="65"/>
        <v>-1.4193598313448311E-2</v>
      </c>
      <c r="AU70" s="381">
        <f t="shared" si="65"/>
        <v>-1.7512688952188396E-2</v>
      </c>
      <c r="AV70" s="381">
        <f t="shared" si="65"/>
        <v>-1.8563125579739971E-2</v>
      </c>
      <c r="AW70" s="381">
        <f t="shared" si="65"/>
        <v>-1.4028494180416514E-2</v>
      </c>
      <c r="AX70" s="381">
        <f t="shared" si="65"/>
        <v>-1.7528191255213727E-2</v>
      </c>
      <c r="AY70" s="381">
        <f t="shared" si="65"/>
        <v>-2.0046183228667677E-2</v>
      </c>
      <c r="AZ70" s="381">
        <f t="shared" si="65"/>
        <v>-2.0982748945090057E-2</v>
      </c>
      <c r="BA70" s="381">
        <f t="shared" si="65"/>
        <v>-1.4035069742248071E-2</v>
      </c>
      <c r="BB70" s="381" t="str">
        <f t="shared" si="65"/>
        <v>n/a</v>
      </c>
      <c r="BC70" s="381" t="str">
        <f t="shared" si="65"/>
        <v>n/a</v>
      </c>
      <c r="BD70" s="381" t="str">
        <f t="shared" si="65"/>
        <v>n/a</v>
      </c>
      <c r="BE70" s="381" t="str">
        <f t="shared" si="65"/>
        <v>n/a</v>
      </c>
      <c r="BF70" s="381" t="str">
        <f t="shared" si="65"/>
        <v>n/a</v>
      </c>
      <c r="BG70" s="381" t="str">
        <f t="shared" si="65"/>
        <v>n/a</v>
      </c>
      <c r="BH70" s="381" t="str">
        <f t="shared" si="65"/>
        <v>n/a</v>
      </c>
      <c r="BI70" s="381" t="str">
        <f t="shared" si="65"/>
        <v>n/a</v>
      </c>
      <c r="BJ70" s="381" t="str">
        <f t="shared" si="65"/>
        <v>n/a</v>
      </c>
      <c r="BK70" s="381" t="str">
        <f t="shared" si="65"/>
        <v>n/a</v>
      </c>
      <c r="BL70" s="381" t="str">
        <f t="shared" si="65"/>
        <v>n/a</v>
      </c>
      <c r="BM70" s="381" t="str">
        <f t="shared" si="65"/>
        <v>n/a</v>
      </c>
      <c r="BN70" s="381" t="str">
        <f t="shared" si="65"/>
        <v>n/a</v>
      </c>
      <c r="BO70" s="381" t="str">
        <f t="shared" si="65"/>
        <v>n/a</v>
      </c>
      <c r="BP70" s="381" t="str">
        <f t="shared" si="65"/>
        <v>n/a</v>
      </c>
      <c r="BQ70" s="381" t="str">
        <f t="shared" si="65"/>
        <v>n/a</v>
      </c>
      <c r="BR70" s="381" t="str">
        <f t="shared" ref="BR70:CK70" si="66">IFERROR(BR26/BR$15,"n/a")</f>
        <v>n/a</v>
      </c>
      <c r="BS70" s="381" t="str">
        <f t="shared" si="66"/>
        <v>n/a</v>
      </c>
      <c r="BT70" s="381" t="str">
        <f t="shared" si="66"/>
        <v>n/a</v>
      </c>
      <c r="BU70" s="381" t="str">
        <f t="shared" si="66"/>
        <v>n/a</v>
      </c>
      <c r="BV70" s="381" t="str">
        <f t="shared" si="66"/>
        <v>n/a</v>
      </c>
      <c r="BW70" s="381" t="str">
        <f t="shared" si="66"/>
        <v>n/a</v>
      </c>
      <c r="BX70" s="381" t="str">
        <f t="shared" si="66"/>
        <v>n/a</v>
      </c>
      <c r="BY70" s="381" t="str">
        <f t="shared" si="66"/>
        <v>n/a</v>
      </c>
      <c r="BZ70" s="381" t="str">
        <f t="shared" si="66"/>
        <v>n/a</v>
      </c>
      <c r="CA70" s="381" t="str">
        <f t="shared" si="66"/>
        <v>n/a</v>
      </c>
      <c r="CB70" s="381" t="str">
        <f t="shared" si="66"/>
        <v>n/a</v>
      </c>
      <c r="CC70" s="381" t="str">
        <f t="shared" si="66"/>
        <v>n/a</v>
      </c>
      <c r="CD70" s="381" t="str">
        <f t="shared" si="66"/>
        <v>n/a</v>
      </c>
      <c r="CE70" s="381" t="str">
        <f t="shared" si="66"/>
        <v>n/a</v>
      </c>
      <c r="CF70" s="381" t="str">
        <f t="shared" si="66"/>
        <v>n/a</v>
      </c>
      <c r="CG70" s="381" t="str">
        <f t="shared" si="66"/>
        <v>n/a</v>
      </c>
      <c r="CH70" s="381" t="str">
        <f t="shared" si="66"/>
        <v>n/a</v>
      </c>
      <c r="CI70" s="381" t="str">
        <f t="shared" si="66"/>
        <v>n/a</v>
      </c>
      <c r="CJ70" s="381" t="str">
        <f t="shared" si="66"/>
        <v>n/a</v>
      </c>
      <c r="CK70" s="381" t="str">
        <f t="shared" si="66"/>
        <v>n/a</v>
      </c>
    </row>
    <row r="71" spans="3:89" s="89" customFormat="1" ht="11.25" customHeight="1" x14ac:dyDescent="0.2">
      <c r="C71" s="82" t="str">
        <f t="shared" si="56"/>
        <v>Versicherung, Beiträge und Abgaben</v>
      </c>
      <c r="D71" s="82" t="str">
        <f t="shared" si="56"/>
        <v>Insurance, contributions and levies expenses</v>
      </c>
      <c r="E71" s="82"/>
      <c r="F71" s="81" t="str">
        <f t="shared" ref="F71:BQ71" si="67">IFERROR(F27/F$15,"n/a")</f>
        <v>n/a</v>
      </c>
      <c r="G71" s="81" t="str">
        <f t="shared" si="67"/>
        <v>n/a</v>
      </c>
      <c r="H71" s="81" t="str">
        <f t="shared" si="67"/>
        <v>n/a</v>
      </c>
      <c r="I71" s="81" t="str">
        <f t="shared" si="67"/>
        <v>n/a</v>
      </c>
      <c r="J71" s="81" t="str">
        <f t="shared" si="67"/>
        <v>n/a</v>
      </c>
      <c r="K71" s="81" t="str">
        <f t="shared" si="67"/>
        <v>n/a</v>
      </c>
      <c r="L71" s="81" t="str">
        <f t="shared" si="67"/>
        <v>n/a</v>
      </c>
      <c r="M71" s="81" t="str">
        <f t="shared" si="67"/>
        <v>n/a</v>
      </c>
      <c r="N71" s="81" t="str">
        <f t="shared" si="67"/>
        <v>n/a</v>
      </c>
      <c r="O71" s="81" t="str">
        <f t="shared" si="67"/>
        <v>n/a</v>
      </c>
      <c r="P71" s="81" t="str">
        <f t="shared" si="67"/>
        <v>n/a</v>
      </c>
      <c r="Q71" s="81" t="str">
        <f t="shared" si="67"/>
        <v>n/a</v>
      </c>
      <c r="R71" s="81">
        <f t="shared" si="67"/>
        <v>-5.5077234917540767E-3</v>
      </c>
      <c r="S71" s="81">
        <f t="shared" si="67"/>
        <v>-3.133391724555758E-3</v>
      </c>
      <c r="T71" s="81">
        <f t="shared" si="67"/>
        <v>-6.8297559960629403E-3</v>
      </c>
      <c r="U71" s="81">
        <f t="shared" si="67"/>
        <v>-3.6044820174682209E-3</v>
      </c>
      <c r="V71" s="81">
        <f t="shared" si="67"/>
        <v>-4.9416091670988378E-3</v>
      </c>
      <c r="W71" s="81">
        <f t="shared" si="67"/>
        <v>-3.4986381979708737E-3</v>
      </c>
      <c r="X71" s="81">
        <f t="shared" si="67"/>
        <v>-3.9941855258041016E-3</v>
      </c>
      <c r="Y71" s="81">
        <f t="shared" si="67"/>
        <v>-3.5466573235790619E-3</v>
      </c>
      <c r="Z71" s="81">
        <f t="shared" si="67"/>
        <v>-3.6359898764416069E-3</v>
      </c>
      <c r="AA71" s="81">
        <f t="shared" si="67"/>
        <v>-5.1706296527017645E-3</v>
      </c>
      <c r="AB71" s="81">
        <f t="shared" si="67"/>
        <v>-4.2273381938100754E-3</v>
      </c>
      <c r="AC71" s="81">
        <f t="shared" si="67"/>
        <v>-7.9022479345362221E-3</v>
      </c>
      <c r="AD71" s="81">
        <f t="shared" si="67"/>
        <v>-4.9219040563110326E-3</v>
      </c>
      <c r="AE71" s="81">
        <f t="shared" si="67"/>
        <v>-3.916251292528373E-3</v>
      </c>
      <c r="AF71" s="81">
        <f t="shared" si="67"/>
        <v>-3.1889428385015127E-3</v>
      </c>
      <c r="AG71" s="81">
        <f t="shared" si="67"/>
        <v>-3.7459140634884323E-3</v>
      </c>
      <c r="AH71" s="81">
        <f t="shared" si="67"/>
        <v>-3.2042758332720398E-3</v>
      </c>
      <c r="AI71" s="81">
        <f t="shared" si="67"/>
        <v>-4.0971265068133148E-3</v>
      </c>
      <c r="AJ71" s="81">
        <f t="shared" si="67"/>
        <v>-4.0517014313006154E-3</v>
      </c>
      <c r="AK71" s="81">
        <f t="shared" si="67"/>
        <v>-1.1771815440960913E-2</v>
      </c>
      <c r="AL71" s="81">
        <f t="shared" si="67"/>
        <v>-8.3065166139470762E-4</v>
      </c>
      <c r="AM71" s="81">
        <f t="shared" si="67"/>
        <v>-3.6993691353759428E-3</v>
      </c>
      <c r="AN71" s="81">
        <f t="shared" si="67"/>
        <v>-3.7087223703918828E-3</v>
      </c>
      <c r="AO71" s="81">
        <f t="shared" si="67"/>
        <v>-3.2523190300780187E-3</v>
      </c>
      <c r="AP71" s="81">
        <f t="shared" si="67"/>
        <v>-9.3285286748072786E-3</v>
      </c>
      <c r="AQ71" s="81">
        <f t="shared" si="67"/>
        <v>-8.883906736043945E-3</v>
      </c>
      <c r="AR71" s="81">
        <f t="shared" si="67"/>
        <v>-4.7765331753339812E-3</v>
      </c>
      <c r="AS71" s="81">
        <f t="shared" si="67"/>
        <v>-3.6691485201244328E-3</v>
      </c>
      <c r="AT71" s="81">
        <f t="shared" si="67"/>
        <v>-3.6993485421001511E-3</v>
      </c>
      <c r="AU71" s="381">
        <f t="shared" si="67"/>
        <v>-5.1742018328919835E-3</v>
      </c>
      <c r="AV71" s="381">
        <f t="shared" si="67"/>
        <v>-5.0803318829343086E-3</v>
      </c>
      <c r="AW71" s="381">
        <f t="shared" si="67"/>
        <v>-3.8557690891466876E-3</v>
      </c>
      <c r="AX71" s="381">
        <f t="shared" si="67"/>
        <v>-4.3939582837879097E-3</v>
      </c>
      <c r="AY71" s="381">
        <f t="shared" si="67"/>
        <v>-4.0862389383647842E-3</v>
      </c>
      <c r="AZ71" s="381">
        <f t="shared" si="67"/>
        <v>-2.4501362517634277E-3</v>
      </c>
      <c r="BA71" s="381">
        <f t="shared" si="67"/>
        <v>8.5076350388667722E-4</v>
      </c>
      <c r="BB71" s="381" t="str">
        <f t="shared" si="67"/>
        <v>n/a</v>
      </c>
      <c r="BC71" s="381" t="str">
        <f t="shared" si="67"/>
        <v>n/a</v>
      </c>
      <c r="BD71" s="381" t="str">
        <f t="shared" si="67"/>
        <v>n/a</v>
      </c>
      <c r="BE71" s="381" t="str">
        <f t="shared" si="67"/>
        <v>n/a</v>
      </c>
      <c r="BF71" s="381" t="str">
        <f t="shared" si="67"/>
        <v>n/a</v>
      </c>
      <c r="BG71" s="381" t="str">
        <f t="shared" si="67"/>
        <v>n/a</v>
      </c>
      <c r="BH71" s="381" t="str">
        <f t="shared" si="67"/>
        <v>n/a</v>
      </c>
      <c r="BI71" s="381" t="str">
        <f t="shared" si="67"/>
        <v>n/a</v>
      </c>
      <c r="BJ71" s="381" t="str">
        <f t="shared" si="67"/>
        <v>n/a</v>
      </c>
      <c r="BK71" s="381" t="str">
        <f t="shared" si="67"/>
        <v>n/a</v>
      </c>
      <c r="BL71" s="381" t="str">
        <f t="shared" si="67"/>
        <v>n/a</v>
      </c>
      <c r="BM71" s="381" t="str">
        <f t="shared" si="67"/>
        <v>n/a</v>
      </c>
      <c r="BN71" s="381" t="str">
        <f t="shared" si="67"/>
        <v>n/a</v>
      </c>
      <c r="BO71" s="381" t="str">
        <f t="shared" si="67"/>
        <v>n/a</v>
      </c>
      <c r="BP71" s="381" t="str">
        <f t="shared" si="67"/>
        <v>n/a</v>
      </c>
      <c r="BQ71" s="381" t="str">
        <f t="shared" si="67"/>
        <v>n/a</v>
      </c>
      <c r="BR71" s="381" t="str">
        <f t="shared" ref="BR71:CK71" si="68">IFERROR(BR27/BR$15,"n/a")</f>
        <v>n/a</v>
      </c>
      <c r="BS71" s="381" t="str">
        <f t="shared" si="68"/>
        <v>n/a</v>
      </c>
      <c r="BT71" s="381" t="str">
        <f t="shared" si="68"/>
        <v>n/a</v>
      </c>
      <c r="BU71" s="381" t="str">
        <f t="shared" si="68"/>
        <v>n/a</v>
      </c>
      <c r="BV71" s="381" t="str">
        <f t="shared" si="68"/>
        <v>n/a</v>
      </c>
      <c r="BW71" s="381" t="str">
        <f t="shared" si="68"/>
        <v>n/a</v>
      </c>
      <c r="BX71" s="381" t="str">
        <f t="shared" si="68"/>
        <v>n/a</v>
      </c>
      <c r="BY71" s="381" t="str">
        <f t="shared" si="68"/>
        <v>n/a</v>
      </c>
      <c r="BZ71" s="381" t="str">
        <f t="shared" si="68"/>
        <v>n/a</v>
      </c>
      <c r="CA71" s="381" t="str">
        <f t="shared" si="68"/>
        <v>n/a</v>
      </c>
      <c r="CB71" s="381" t="str">
        <f t="shared" si="68"/>
        <v>n/a</v>
      </c>
      <c r="CC71" s="381" t="str">
        <f t="shared" si="68"/>
        <v>n/a</v>
      </c>
      <c r="CD71" s="381" t="str">
        <f t="shared" si="68"/>
        <v>n/a</v>
      </c>
      <c r="CE71" s="381" t="str">
        <f t="shared" si="68"/>
        <v>n/a</v>
      </c>
      <c r="CF71" s="381" t="str">
        <f t="shared" si="68"/>
        <v>n/a</v>
      </c>
      <c r="CG71" s="381" t="str">
        <f t="shared" si="68"/>
        <v>n/a</v>
      </c>
      <c r="CH71" s="381" t="str">
        <f t="shared" si="68"/>
        <v>n/a</v>
      </c>
      <c r="CI71" s="381" t="str">
        <f t="shared" si="68"/>
        <v>n/a</v>
      </c>
      <c r="CJ71" s="381" t="str">
        <f t="shared" si="68"/>
        <v>n/a</v>
      </c>
      <c r="CK71" s="381" t="str">
        <f t="shared" si="68"/>
        <v>n/a</v>
      </c>
    </row>
    <row r="72" spans="3:89" s="89" customFormat="1" ht="11.25" customHeight="1" x14ac:dyDescent="0.2">
      <c r="C72" s="82" t="str">
        <f t="shared" si="56"/>
        <v>Werbe- und Reisekosten</v>
      </c>
      <c r="D72" s="82" t="str">
        <f t="shared" si="56"/>
        <v>Advertising and travel expenses</v>
      </c>
      <c r="E72" s="82"/>
      <c r="F72" s="81" t="str">
        <f t="shared" ref="F72:BQ72" si="69">IFERROR(F28/F$15,"n/a")</f>
        <v>n/a</v>
      </c>
      <c r="G72" s="81" t="str">
        <f t="shared" si="69"/>
        <v>n/a</v>
      </c>
      <c r="H72" s="81" t="str">
        <f t="shared" si="69"/>
        <v>n/a</v>
      </c>
      <c r="I72" s="81" t="str">
        <f t="shared" si="69"/>
        <v>n/a</v>
      </c>
      <c r="J72" s="81" t="str">
        <f t="shared" si="69"/>
        <v>n/a</v>
      </c>
      <c r="K72" s="81" t="str">
        <f t="shared" si="69"/>
        <v>n/a</v>
      </c>
      <c r="L72" s="81" t="str">
        <f t="shared" si="69"/>
        <v>n/a</v>
      </c>
      <c r="M72" s="81" t="str">
        <f t="shared" si="69"/>
        <v>n/a</v>
      </c>
      <c r="N72" s="81" t="str">
        <f t="shared" si="69"/>
        <v>n/a</v>
      </c>
      <c r="O72" s="81" t="str">
        <f t="shared" si="69"/>
        <v>n/a</v>
      </c>
      <c r="P72" s="81" t="str">
        <f t="shared" si="69"/>
        <v>n/a</v>
      </c>
      <c r="Q72" s="81" t="str">
        <f t="shared" si="69"/>
        <v>n/a</v>
      </c>
      <c r="R72" s="81">
        <f t="shared" si="69"/>
        <v>-2.509328948287821E-3</v>
      </c>
      <c r="S72" s="81">
        <f t="shared" si="69"/>
        <v>-3.2265434788733517E-3</v>
      </c>
      <c r="T72" s="81">
        <f t="shared" si="69"/>
        <v>-8.4440437254048248E-3</v>
      </c>
      <c r="U72" s="81">
        <f t="shared" si="69"/>
        <v>-8.1167629687522256E-3</v>
      </c>
      <c r="V72" s="81">
        <f t="shared" si="69"/>
        <v>-6.6778220756895006E-3</v>
      </c>
      <c r="W72" s="81">
        <f t="shared" si="69"/>
        <v>-1.7024491715051916E-2</v>
      </c>
      <c r="X72" s="81">
        <f t="shared" si="69"/>
        <v>-7.6380221924336423E-3</v>
      </c>
      <c r="Y72" s="81">
        <f t="shared" si="69"/>
        <v>-2.761869483254982E-2</v>
      </c>
      <c r="Z72" s="81">
        <f t="shared" si="69"/>
        <v>-9.7377412380923872E-3</v>
      </c>
      <c r="AA72" s="81">
        <f t="shared" si="69"/>
        <v>-1.3133871246745336E-2</v>
      </c>
      <c r="AB72" s="81">
        <f t="shared" si="69"/>
        <v>-8.4251723838475265E-3</v>
      </c>
      <c r="AC72" s="81">
        <f t="shared" si="69"/>
        <v>-2.0041315049579764E-2</v>
      </c>
      <c r="AD72" s="81">
        <f t="shared" si="69"/>
        <v>-3.5814798142533464E-3</v>
      </c>
      <c r="AE72" s="81">
        <f t="shared" si="69"/>
        <v>-3.2932237046888334E-3</v>
      </c>
      <c r="AF72" s="81">
        <f t="shared" si="69"/>
        <v>-6.0366186824607742E-3</v>
      </c>
      <c r="AG72" s="81">
        <f t="shared" si="69"/>
        <v>-1.95226314966007E-2</v>
      </c>
      <c r="AH72" s="81">
        <f t="shared" si="69"/>
        <v>-8.721763412213741E-3</v>
      </c>
      <c r="AI72" s="81">
        <f t="shared" si="69"/>
        <v>-1.0240618553087886E-2</v>
      </c>
      <c r="AJ72" s="81">
        <f t="shared" si="69"/>
        <v>-8.1207059660845394E-3</v>
      </c>
      <c r="AK72" s="81">
        <f t="shared" si="69"/>
        <v>-5.7658684993642994E-3</v>
      </c>
      <c r="AL72" s="81">
        <f t="shared" si="69"/>
        <v>-8.8230580156391635E-3</v>
      </c>
      <c r="AM72" s="81">
        <f t="shared" si="69"/>
        <v>-1.6953251027515329E-2</v>
      </c>
      <c r="AN72" s="81">
        <f t="shared" si="69"/>
        <v>-1.1487351308976436E-2</v>
      </c>
      <c r="AO72" s="81">
        <f t="shared" si="69"/>
        <v>-7.5177323318105383E-3</v>
      </c>
      <c r="AP72" s="81">
        <f t="shared" si="69"/>
        <v>-4.5401661334307552E-3</v>
      </c>
      <c r="AQ72" s="81">
        <f t="shared" si="69"/>
        <v>-5.4565662577388905E-3</v>
      </c>
      <c r="AR72" s="81">
        <f t="shared" si="69"/>
        <v>-6.7862651142755756E-3</v>
      </c>
      <c r="AS72" s="81">
        <f t="shared" si="69"/>
        <v>-5.5220255631583566E-3</v>
      </c>
      <c r="AT72" s="81">
        <f t="shared" si="69"/>
        <v>-6.5923809672645429E-3</v>
      </c>
      <c r="AU72" s="381">
        <f t="shared" si="69"/>
        <v>-1.373832158603553E-2</v>
      </c>
      <c r="AV72" s="381">
        <f t="shared" si="69"/>
        <v>-8.5727462356470791E-3</v>
      </c>
      <c r="AW72" s="381">
        <f t="shared" si="69"/>
        <v>-3.9321395489252129E-3</v>
      </c>
      <c r="AX72" s="381">
        <f t="shared" si="69"/>
        <v>-1.4539312627652845E-2</v>
      </c>
      <c r="AY72" s="381">
        <f t="shared" si="69"/>
        <v>-1.1880650669702649E-2</v>
      </c>
      <c r="AZ72" s="381">
        <f t="shared" si="69"/>
        <v>-1.4952783837885066E-2</v>
      </c>
      <c r="BA72" s="381">
        <f t="shared" si="69"/>
        <v>-3.4614382649707974E-2</v>
      </c>
      <c r="BB72" s="381" t="str">
        <f t="shared" si="69"/>
        <v>n/a</v>
      </c>
      <c r="BC72" s="381" t="str">
        <f t="shared" si="69"/>
        <v>n/a</v>
      </c>
      <c r="BD72" s="381" t="str">
        <f t="shared" si="69"/>
        <v>n/a</v>
      </c>
      <c r="BE72" s="381" t="str">
        <f t="shared" si="69"/>
        <v>n/a</v>
      </c>
      <c r="BF72" s="381" t="str">
        <f t="shared" si="69"/>
        <v>n/a</v>
      </c>
      <c r="BG72" s="381" t="str">
        <f t="shared" si="69"/>
        <v>n/a</v>
      </c>
      <c r="BH72" s="381" t="str">
        <f t="shared" si="69"/>
        <v>n/a</v>
      </c>
      <c r="BI72" s="381" t="str">
        <f t="shared" si="69"/>
        <v>n/a</v>
      </c>
      <c r="BJ72" s="381" t="str">
        <f t="shared" si="69"/>
        <v>n/a</v>
      </c>
      <c r="BK72" s="381" t="str">
        <f t="shared" si="69"/>
        <v>n/a</v>
      </c>
      <c r="BL72" s="381" t="str">
        <f t="shared" si="69"/>
        <v>n/a</v>
      </c>
      <c r="BM72" s="381" t="str">
        <f t="shared" si="69"/>
        <v>n/a</v>
      </c>
      <c r="BN72" s="381" t="str">
        <f t="shared" si="69"/>
        <v>n/a</v>
      </c>
      <c r="BO72" s="381" t="str">
        <f t="shared" si="69"/>
        <v>n/a</v>
      </c>
      <c r="BP72" s="381" t="str">
        <f t="shared" si="69"/>
        <v>n/a</v>
      </c>
      <c r="BQ72" s="381" t="str">
        <f t="shared" si="69"/>
        <v>n/a</v>
      </c>
      <c r="BR72" s="381" t="str">
        <f t="shared" ref="BR72:CK72" si="70">IFERROR(BR28/BR$15,"n/a")</f>
        <v>n/a</v>
      </c>
      <c r="BS72" s="381" t="str">
        <f t="shared" si="70"/>
        <v>n/a</v>
      </c>
      <c r="BT72" s="381" t="str">
        <f t="shared" si="70"/>
        <v>n/a</v>
      </c>
      <c r="BU72" s="381" t="str">
        <f t="shared" si="70"/>
        <v>n/a</v>
      </c>
      <c r="BV72" s="381" t="str">
        <f t="shared" si="70"/>
        <v>n/a</v>
      </c>
      <c r="BW72" s="381" t="str">
        <f t="shared" si="70"/>
        <v>n/a</v>
      </c>
      <c r="BX72" s="381" t="str">
        <f t="shared" si="70"/>
        <v>n/a</v>
      </c>
      <c r="BY72" s="381" t="str">
        <f t="shared" si="70"/>
        <v>n/a</v>
      </c>
      <c r="BZ72" s="381" t="str">
        <f t="shared" si="70"/>
        <v>n/a</v>
      </c>
      <c r="CA72" s="381" t="str">
        <f t="shared" si="70"/>
        <v>n/a</v>
      </c>
      <c r="CB72" s="381" t="str">
        <f t="shared" si="70"/>
        <v>n/a</v>
      </c>
      <c r="CC72" s="381" t="str">
        <f t="shared" si="70"/>
        <v>n/a</v>
      </c>
      <c r="CD72" s="381" t="str">
        <f t="shared" si="70"/>
        <v>n/a</v>
      </c>
      <c r="CE72" s="381" t="str">
        <f t="shared" si="70"/>
        <v>n/a</v>
      </c>
      <c r="CF72" s="381" t="str">
        <f t="shared" si="70"/>
        <v>n/a</v>
      </c>
      <c r="CG72" s="381" t="str">
        <f t="shared" si="70"/>
        <v>n/a</v>
      </c>
      <c r="CH72" s="381" t="str">
        <f t="shared" si="70"/>
        <v>n/a</v>
      </c>
      <c r="CI72" s="381" t="str">
        <f t="shared" si="70"/>
        <v>n/a</v>
      </c>
      <c r="CJ72" s="381" t="str">
        <f t="shared" si="70"/>
        <v>n/a</v>
      </c>
      <c r="CK72" s="381" t="str">
        <f t="shared" si="70"/>
        <v>n/a</v>
      </c>
    </row>
    <row r="73" spans="3:89" s="89" customFormat="1" ht="11.25" customHeight="1" outlineLevel="2" x14ac:dyDescent="0.2">
      <c r="C73" s="82" t="str">
        <f t="shared" si="56"/>
        <v>Sonstige betriebliche Erträge</v>
      </c>
      <c r="D73" s="82" t="str">
        <f t="shared" si="56"/>
        <v>Other operating income</v>
      </c>
      <c r="E73" s="82"/>
      <c r="F73" s="81" t="str">
        <f t="shared" ref="F73:BQ73" si="71">IFERROR(F29/F$15,"n/a")</f>
        <v>n/a</v>
      </c>
      <c r="G73" s="81" t="str">
        <f t="shared" si="71"/>
        <v>n/a</v>
      </c>
      <c r="H73" s="81" t="str">
        <f t="shared" si="71"/>
        <v>n/a</v>
      </c>
      <c r="I73" s="81" t="str">
        <f t="shared" si="71"/>
        <v>n/a</v>
      </c>
      <c r="J73" s="81" t="str">
        <f t="shared" si="71"/>
        <v>n/a</v>
      </c>
      <c r="K73" s="81" t="str">
        <f t="shared" si="71"/>
        <v>n/a</v>
      </c>
      <c r="L73" s="81" t="str">
        <f t="shared" si="71"/>
        <v>n/a</v>
      </c>
      <c r="M73" s="81" t="str">
        <f t="shared" si="71"/>
        <v>n/a</v>
      </c>
      <c r="N73" s="81" t="str">
        <f t="shared" si="71"/>
        <v>n/a</v>
      </c>
      <c r="O73" s="81" t="str">
        <f t="shared" si="71"/>
        <v>n/a</v>
      </c>
      <c r="P73" s="81" t="str">
        <f t="shared" si="71"/>
        <v>n/a</v>
      </c>
      <c r="Q73" s="81" t="str">
        <f t="shared" si="71"/>
        <v>n/a</v>
      </c>
      <c r="R73" s="81">
        <f t="shared" si="71"/>
        <v>2.8976382804752218E-2</v>
      </c>
      <c r="S73" s="81">
        <f t="shared" si="71"/>
        <v>1.879842545237603E-2</v>
      </c>
      <c r="T73" s="81">
        <f t="shared" si="71"/>
        <v>6.8861084077791249E-3</v>
      </c>
      <c r="U73" s="81">
        <f t="shared" si="71"/>
        <v>-1.5333885130319742E-3</v>
      </c>
      <c r="V73" s="81">
        <f t="shared" si="71"/>
        <v>1.7972046695534854E-2</v>
      </c>
      <c r="W73" s="81">
        <f t="shared" si="71"/>
        <v>4.7002574088420316E-3</v>
      </c>
      <c r="X73" s="81">
        <f t="shared" si="71"/>
        <v>2.6833944385891112E-3</v>
      </c>
      <c r="Y73" s="81">
        <f t="shared" si="71"/>
        <v>2.7326690205986479E-2</v>
      </c>
      <c r="Z73" s="81">
        <f t="shared" si="71"/>
        <v>4.6699034331062188E-3</v>
      </c>
      <c r="AA73" s="81">
        <f t="shared" si="71"/>
        <v>9.2606676667854968E-3</v>
      </c>
      <c r="AB73" s="81">
        <f t="shared" si="71"/>
        <v>6.4542671546213666E-3</v>
      </c>
      <c r="AC73" s="81">
        <f t="shared" si="71"/>
        <v>2.0120222561802698E-2</v>
      </c>
      <c r="AD73" s="81">
        <f t="shared" si="71"/>
        <v>2.6310924922930527E-2</v>
      </c>
      <c r="AE73" s="81">
        <f t="shared" si="71"/>
        <v>2.6025738281585543E-2</v>
      </c>
      <c r="AF73" s="81">
        <f t="shared" si="71"/>
        <v>4.5291904128403311E-3</v>
      </c>
      <c r="AG73" s="81">
        <f t="shared" si="71"/>
        <v>1.780912710992337E-2</v>
      </c>
      <c r="AH73" s="81">
        <f t="shared" si="71"/>
        <v>2.2979413382111839E-2</v>
      </c>
      <c r="AI73" s="81">
        <f t="shared" si="71"/>
        <v>6.9196782569961269E-3</v>
      </c>
      <c r="AJ73" s="81">
        <f t="shared" si="71"/>
        <v>-2.4975601952123361E-3</v>
      </c>
      <c r="AK73" s="81">
        <f t="shared" si="71"/>
        <v>2.0719828513274394E-2</v>
      </c>
      <c r="AL73" s="81">
        <f t="shared" si="71"/>
        <v>1.9433312305482453E-2</v>
      </c>
      <c r="AM73" s="81">
        <f t="shared" si="71"/>
        <v>2.9134759932848045E-2</v>
      </c>
      <c r="AN73" s="81">
        <f t="shared" si="71"/>
        <v>8.6742961815680867E-3</v>
      </c>
      <c r="AO73" s="81">
        <f t="shared" si="71"/>
        <v>8.7637597402586837E-3</v>
      </c>
      <c r="AP73" s="81">
        <f t="shared" si="71"/>
        <v>1.8286109665777324E-2</v>
      </c>
      <c r="AQ73" s="81">
        <f t="shared" si="71"/>
        <v>6.35501371266278E-3</v>
      </c>
      <c r="AR73" s="81">
        <f t="shared" si="71"/>
        <v>3.5179489567206942E-2</v>
      </c>
      <c r="AS73" s="81">
        <f t="shared" si="71"/>
        <v>6.6215939571951628E-3</v>
      </c>
      <c r="AT73" s="81">
        <f t="shared" si="71"/>
        <v>5.7126354855829998E-3</v>
      </c>
      <c r="AU73" s="381">
        <f t="shared" si="71"/>
        <v>8.6659308875537792E-3</v>
      </c>
      <c r="AV73" s="381">
        <f t="shared" si="71"/>
        <v>1.0119577385091403E-2</v>
      </c>
      <c r="AW73" s="381">
        <f t="shared" si="71"/>
        <v>6.0382629274589152E-3</v>
      </c>
      <c r="AX73" s="381">
        <f t="shared" si="71"/>
        <v>9.7564984022357783E-3</v>
      </c>
      <c r="AY73" s="381">
        <f t="shared" si="71"/>
        <v>7.0922912466378401E-3</v>
      </c>
      <c r="AZ73" s="381">
        <f t="shared" si="71"/>
        <v>6.5904795857128174E-3</v>
      </c>
      <c r="BA73" s="381">
        <f t="shared" si="71"/>
        <v>2.8485566018465483E-2</v>
      </c>
      <c r="BB73" s="381" t="str">
        <f t="shared" si="71"/>
        <v>n/a</v>
      </c>
      <c r="BC73" s="381" t="str">
        <f t="shared" si="71"/>
        <v>n/a</v>
      </c>
      <c r="BD73" s="381" t="str">
        <f t="shared" si="71"/>
        <v>n/a</v>
      </c>
      <c r="BE73" s="381" t="str">
        <f t="shared" si="71"/>
        <v>n/a</v>
      </c>
      <c r="BF73" s="381" t="str">
        <f t="shared" si="71"/>
        <v>n/a</v>
      </c>
      <c r="BG73" s="381" t="str">
        <f t="shared" si="71"/>
        <v>n/a</v>
      </c>
      <c r="BH73" s="381" t="str">
        <f t="shared" si="71"/>
        <v>n/a</v>
      </c>
      <c r="BI73" s="381" t="str">
        <f t="shared" si="71"/>
        <v>n/a</v>
      </c>
      <c r="BJ73" s="381" t="str">
        <f t="shared" si="71"/>
        <v>n/a</v>
      </c>
      <c r="BK73" s="381" t="str">
        <f t="shared" si="71"/>
        <v>n/a</v>
      </c>
      <c r="BL73" s="381" t="str">
        <f t="shared" si="71"/>
        <v>n/a</v>
      </c>
      <c r="BM73" s="381" t="str">
        <f t="shared" si="71"/>
        <v>n/a</v>
      </c>
      <c r="BN73" s="381" t="str">
        <f t="shared" si="71"/>
        <v>n/a</v>
      </c>
      <c r="BO73" s="381" t="str">
        <f t="shared" si="71"/>
        <v>n/a</v>
      </c>
      <c r="BP73" s="381" t="str">
        <f t="shared" si="71"/>
        <v>n/a</v>
      </c>
      <c r="BQ73" s="381" t="str">
        <f t="shared" si="71"/>
        <v>n/a</v>
      </c>
      <c r="BR73" s="381" t="str">
        <f t="shared" ref="BR73:CK73" si="72">IFERROR(BR29/BR$15,"n/a")</f>
        <v>n/a</v>
      </c>
      <c r="BS73" s="381" t="str">
        <f t="shared" si="72"/>
        <v>n/a</v>
      </c>
      <c r="BT73" s="381" t="str">
        <f t="shared" si="72"/>
        <v>n/a</v>
      </c>
      <c r="BU73" s="381" t="str">
        <f t="shared" si="72"/>
        <v>n/a</v>
      </c>
      <c r="BV73" s="381" t="str">
        <f t="shared" si="72"/>
        <v>n/a</v>
      </c>
      <c r="BW73" s="381" t="str">
        <f t="shared" si="72"/>
        <v>n/a</v>
      </c>
      <c r="BX73" s="381" t="str">
        <f t="shared" si="72"/>
        <v>n/a</v>
      </c>
      <c r="BY73" s="381" t="str">
        <f t="shared" si="72"/>
        <v>n/a</v>
      </c>
      <c r="BZ73" s="381" t="str">
        <f t="shared" si="72"/>
        <v>n/a</v>
      </c>
      <c r="CA73" s="381" t="str">
        <f t="shared" si="72"/>
        <v>n/a</v>
      </c>
      <c r="CB73" s="381" t="str">
        <f t="shared" si="72"/>
        <v>n/a</v>
      </c>
      <c r="CC73" s="381" t="str">
        <f t="shared" si="72"/>
        <v>n/a</v>
      </c>
      <c r="CD73" s="381" t="str">
        <f t="shared" si="72"/>
        <v>n/a</v>
      </c>
      <c r="CE73" s="381" t="str">
        <f t="shared" si="72"/>
        <v>n/a</v>
      </c>
      <c r="CF73" s="381" t="str">
        <f t="shared" si="72"/>
        <v>n/a</v>
      </c>
      <c r="CG73" s="381" t="str">
        <f t="shared" si="72"/>
        <v>n/a</v>
      </c>
      <c r="CH73" s="381" t="str">
        <f t="shared" si="72"/>
        <v>n/a</v>
      </c>
      <c r="CI73" s="381" t="str">
        <f t="shared" si="72"/>
        <v>n/a</v>
      </c>
      <c r="CJ73" s="381" t="str">
        <f t="shared" si="72"/>
        <v>n/a</v>
      </c>
      <c r="CK73" s="381" t="str">
        <f t="shared" si="72"/>
        <v>n/a</v>
      </c>
    </row>
    <row r="74" spans="3:89" s="89" customFormat="1" ht="11.25" customHeight="1" outlineLevel="2" x14ac:dyDescent="0.2">
      <c r="C74" s="82" t="str">
        <f t="shared" si="56"/>
        <v>Sonstige betriebliche Aufwendungen</v>
      </c>
      <c r="D74" s="82" t="str">
        <f t="shared" si="56"/>
        <v>Other operating expenses</v>
      </c>
      <c r="E74" s="82"/>
      <c r="F74" s="81" t="str">
        <f t="shared" ref="F74:BQ74" si="73">IFERROR(F30/F$15,"n/a")</f>
        <v>n/a</v>
      </c>
      <c r="G74" s="81" t="str">
        <f t="shared" si="73"/>
        <v>n/a</v>
      </c>
      <c r="H74" s="81" t="str">
        <f t="shared" si="73"/>
        <v>n/a</v>
      </c>
      <c r="I74" s="81" t="str">
        <f t="shared" si="73"/>
        <v>n/a</v>
      </c>
      <c r="J74" s="81" t="str">
        <f t="shared" si="73"/>
        <v>n/a</v>
      </c>
      <c r="K74" s="81" t="str">
        <f t="shared" si="73"/>
        <v>n/a</v>
      </c>
      <c r="L74" s="81" t="str">
        <f t="shared" si="73"/>
        <v>n/a</v>
      </c>
      <c r="M74" s="81" t="str">
        <f t="shared" si="73"/>
        <v>n/a</v>
      </c>
      <c r="N74" s="81" t="str">
        <f t="shared" si="73"/>
        <v>n/a</v>
      </c>
      <c r="O74" s="81" t="str">
        <f t="shared" si="73"/>
        <v>n/a</v>
      </c>
      <c r="P74" s="81" t="str">
        <f t="shared" si="73"/>
        <v>n/a</v>
      </c>
      <c r="Q74" s="81" t="str">
        <f t="shared" si="73"/>
        <v>n/a</v>
      </c>
      <c r="R74" s="81">
        <f t="shared" si="73"/>
        <v>-4.9051032774215034E-2</v>
      </c>
      <c r="S74" s="81">
        <f t="shared" si="73"/>
        <v>-4.7657552960831864E-2</v>
      </c>
      <c r="T74" s="81">
        <f t="shared" si="73"/>
        <v>-6.6786163103784102E-2</v>
      </c>
      <c r="U74" s="81">
        <f t="shared" si="73"/>
        <v>-0.10606715956831224</v>
      </c>
      <c r="V74" s="81">
        <f t="shared" si="73"/>
        <v>-4.2086514827306361E-2</v>
      </c>
      <c r="W74" s="81">
        <f t="shared" si="73"/>
        <v>-7.345767053381401E-2</v>
      </c>
      <c r="X74" s="81">
        <f t="shared" si="73"/>
        <v>-5.9323632948381437E-2</v>
      </c>
      <c r="Y74" s="81">
        <f t="shared" si="73"/>
        <v>-3.478066576775031E-2</v>
      </c>
      <c r="Z74" s="81">
        <f t="shared" si="73"/>
        <v>-9.981464761549895E-2</v>
      </c>
      <c r="AA74" s="81">
        <f t="shared" si="73"/>
        <v>-4.5300106488528259E-2</v>
      </c>
      <c r="AB74" s="81">
        <f t="shared" si="73"/>
        <v>-4.8127406946827669E-2</v>
      </c>
      <c r="AC74" s="81">
        <f t="shared" si="73"/>
        <v>-0.12895423181185836</v>
      </c>
      <c r="AD74" s="81">
        <f t="shared" si="73"/>
        <v>-4.5013213214552469E-2</v>
      </c>
      <c r="AE74" s="81">
        <f t="shared" si="73"/>
        <v>-0.10834319562886716</v>
      </c>
      <c r="AF74" s="81">
        <f t="shared" si="73"/>
        <v>-2.8421115902819542E-2</v>
      </c>
      <c r="AG74" s="81">
        <f t="shared" si="73"/>
        <v>-5.0879920850258276E-2</v>
      </c>
      <c r="AH74" s="81">
        <f t="shared" si="73"/>
        <v>-9.5359460119987208E-2</v>
      </c>
      <c r="AI74" s="81">
        <f t="shared" si="73"/>
        <v>-4.9382408856891456E-2</v>
      </c>
      <c r="AJ74" s="81">
        <f t="shared" si="73"/>
        <v>-5.3481789615845189E-2</v>
      </c>
      <c r="AK74" s="81">
        <f t="shared" si="73"/>
        <v>-4.5440363350817602E-2</v>
      </c>
      <c r="AL74" s="81">
        <f t="shared" si="73"/>
        <v>-3.4679012691083616E-2</v>
      </c>
      <c r="AM74" s="81">
        <f t="shared" si="73"/>
        <v>-0.2970277776984851</v>
      </c>
      <c r="AN74" s="81">
        <f t="shared" si="73"/>
        <v>-3.8648690327875067E-2</v>
      </c>
      <c r="AO74" s="81">
        <f t="shared" si="73"/>
        <v>-5.4621053135293342E-2</v>
      </c>
      <c r="AP74" s="81">
        <f t="shared" si="73"/>
        <v>-9.231582326827488E-2</v>
      </c>
      <c r="AQ74" s="81">
        <f t="shared" si="73"/>
        <v>-3.0811785534353431E-2</v>
      </c>
      <c r="AR74" s="81">
        <f t="shared" si="73"/>
        <v>-7.8379456182426616E-2</v>
      </c>
      <c r="AS74" s="81">
        <f t="shared" si="73"/>
        <v>-3.5672597264837055E-2</v>
      </c>
      <c r="AT74" s="81">
        <f t="shared" si="73"/>
        <v>-0.119197741818166</v>
      </c>
      <c r="AU74" s="381">
        <f t="shared" si="73"/>
        <v>-6.3003797086726585E-2</v>
      </c>
      <c r="AV74" s="381">
        <f t="shared" si="73"/>
        <v>-0.1065920731395887</v>
      </c>
      <c r="AW74" s="381">
        <f t="shared" si="73"/>
        <v>-2.7998595526141541E-2</v>
      </c>
      <c r="AX74" s="381">
        <f t="shared" si="73"/>
        <v>-5.9081615059018273E-2</v>
      </c>
      <c r="AY74" s="381">
        <f t="shared" si="73"/>
        <v>-0.12212114722725784</v>
      </c>
      <c r="AZ74" s="381">
        <f t="shared" si="73"/>
        <v>-0.13781067520633053</v>
      </c>
      <c r="BA74" s="381">
        <f t="shared" si="73"/>
        <v>-0.10223589259224797</v>
      </c>
      <c r="BB74" s="381" t="str">
        <f t="shared" si="73"/>
        <v>n/a</v>
      </c>
      <c r="BC74" s="381" t="str">
        <f t="shared" si="73"/>
        <v>n/a</v>
      </c>
      <c r="BD74" s="381" t="str">
        <f t="shared" si="73"/>
        <v>n/a</v>
      </c>
      <c r="BE74" s="381" t="str">
        <f t="shared" si="73"/>
        <v>n/a</v>
      </c>
      <c r="BF74" s="381" t="str">
        <f t="shared" si="73"/>
        <v>n/a</v>
      </c>
      <c r="BG74" s="381" t="str">
        <f t="shared" si="73"/>
        <v>n/a</v>
      </c>
      <c r="BH74" s="381" t="str">
        <f t="shared" si="73"/>
        <v>n/a</v>
      </c>
      <c r="BI74" s="381" t="str">
        <f t="shared" si="73"/>
        <v>n/a</v>
      </c>
      <c r="BJ74" s="381" t="str">
        <f t="shared" si="73"/>
        <v>n/a</v>
      </c>
      <c r="BK74" s="381" t="str">
        <f t="shared" si="73"/>
        <v>n/a</v>
      </c>
      <c r="BL74" s="381" t="str">
        <f t="shared" si="73"/>
        <v>n/a</v>
      </c>
      <c r="BM74" s="381" t="str">
        <f t="shared" si="73"/>
        <v>n/a</v>
      </c>
      <c r="BN74" s="381" t="str">
        <f t="shared" si="73"/>
        <v>n/a</v>
      </c>
      <c r="BO74" s="381" t="str">
        <f t="shared" si="73"/>
        <v>n/a</v>
      </c>
      <c r="BP74" s="381" t="str">
        <f t="shared" si="73"/>
        <v>n/a</v>
      </c>
      <c r="BQ74" s="381" t="str">
        <f t="shared" si="73"/>
        <v>n/a</v>
      </c>
      <c r="BR74" s="381" t="str">
        <f t="shared" ref="BR74:CK74" si="74">IFERROR(BR30/BR$15,"n/a")</f>
        <v>n/a</v>
      </c>
      <c r="BS74" s="381" t="str">
        <f t="shared" si="74"/>
        <v>n/a</v>
      </c>
      <c r="BT74" s="381" t="str">
        <f t="shared" si="74"/>
        <v>n/a</v>
      </c>
      <c r="BU74" s="381" t="str">
        <f t="shared" si="74"/>
        <v>n/a</v>
      </c>
      <c r="BV74" s="381" t="str">
        <f t="shared" si="74"/>
        <v>n/a</v>
      </c>
      <c r="BW74" s="381" t="str">
        <f t="shared" si="74"/>
        <v>n/a</v>
      </c>
      <c r="BX74" s="381" t="str">
        <f t="shared" si="74"/>
        <v>n/a</v>
      </c>
      <c r="BY74" s="381" t="str">
        <f t="shared" si="74"/>
        <v>n/a</v>
      </c>
      <c r="BZ74" s="381" t="str">
        <f t="shared" si="74"/>
        <v>n/a</v>
      </c>
      <c r="CA74" s="381" t="str">
        <f t="shared" si="74"/>
        <v>n/a</v>
      </c>
      <c r="CB74" s="381" t="str">
        <f t="shared" si="74"/>
        <v>n/a</v>
      </c>
      <c r="CC74" s="381" t="str">
        <f t="shared" si="74"/>
        <v>n/a</v>
      </c>
      <c r="CD74" s="381" t="str">
        <f t="shared" si="74"/>
        <v>n/a</v>
      </c>
      <c r="CE74" s="381" t="str">
        <f t="shared" si="74"/>
        <v>n/a</v>
      </c>
      <c r="CF74" s="381" t="str">
        <f t="shared" si="74"/>
        <v>n/a</v>
      </c>
      <c r="CG74" s="381" t="str">
        <f t="shared" si="74"/>
        <v>n/a</v>
      </c>
      <c r="CH74" s="381" t="str">
        <f t="shared" si="74"/>
        <v>n/a</v>
      </c>
      <c r="CI74" s="381" t="str">
        <f t="shared" si="74"/>
        <v>n/a</v>
      </c>
      <c r="CJ74" s="381" t="str">
        <f t="shared" si="74"/>
        <v>n/a</v>
      </c>
      <c r="CK74" s="381" t="str">
        <f t="shared" si="74"/>
        <v>n/a</v>
      </c>
    </row>
    <row r="75" spans="3:89" s="89" customFormat="1" ht="11.25" customHeight="1" outlineLevel="2" x14ac:dyDescent="0.2">
      <c r="C75" s="82" t="str">
        <f t="shared" si="56"/>
        <v>Dummy 1</v>
      </c>
      <c r="D75" s="82" t="str">
        <f t="shared" si="56"/>
        <v>Dummy 1</v>
      </c>
      <c r="E75" s="82"/>
      <c r="F75" s="81" t="str">
        <f t="shared" ref="F75:BQ75" si="75">IFERROR(F31/F$15,"n/a")</f>
        <v>n/a</v>
      </c>
      <c r="G75" s="81" t="str">
        <f t="shared" si="75"/>
        <v>n/a</v>
      </c>
      <c r="H75" s="81" t="str">
        <f t="shared" si="75"/>
        <v>n/a</v>
      </c>
      <c r="I75" s="81" t="str">
        <f t="shared" si="75"/>
        <v>n/a</v>
      </c>
      <c r="J75" s="81" t="str">
        <f t="shared" si="75"/>
        <v>n/a</v>
      </c>
      <c r="K75" s="81" t="str">
        <f t="shared" si="75"/>
        <v>n/a</v>
      </c>
      <c r="L75" s="81" t="str">
        <f t="shared" si="75"/>
        <v>n/a</v>
      </c>
      <c r="M75" s="81" t="str">
        <f t="shared" si="75"/>
        <v>n/a</v>
      </c>
      <c r="N75" s="81" t="str">
        <f t="shared" si="75"/>
        <v>n/a</v>
      </c>
      <c r="O75" s="81" t="str">
        <f t="shared" si="75"/>
        <v>n/a</v>
      </c>
      <c r="P75" s="81" t="str">
        <f t="shared" si="75"/>
        <v>n/a</v>
      </c>
      <c r="Q75" s="81" t="str">
        <f t="shared" si="75"/>
        <v>n/a</v>
      </c>
      <c r="R75" s="81">
        <f t="shared" si="75"/>
        <v>0</v>
      </c>
      <c r="S75" s="81">
        <f t="shared" si="75"/>
        <v>0</v>
      </c>
      <c r="T75" s="81">
        <f t="shared" si="75"/>
        <v>0</v>
      </c>
      <c r="U75" s="81">
        <f t="shared" si="75"/>
        <v>0</v>
      </c>
      <c r="V75" s="81">
        <f t="shared" si="75"/>
        <v>0</v>
      </c>
      <c r="W75" s="81">
        <f t="shared" si="75"/>
        <v>0</v>
      </c>
      <c r="X75" s="81">
        <f t="shared" si="75"/>
        <v>0</v>
      </c>
      <c r="Y75" s="81">
        <f t="shared" si="75"/>
        <v>0</v>
      </c>
      <c r="Z75" s="81">
        <f t="shared" si="75"/>
        <v>0</v>
      </c>
      <c r="AA75" s="81">
        <f t="shared" si="75"/>
        <v>0</v>
      </c>
      <c r="AB75" s="81">
        <f t="shared" si="75"/>
        <v>0</v>
      </c>
      <c r="AC75" s="81">
        <f t="shared" si="75"/>
        <v>0</v>
      </c>
      <c r="AD75" s="81">
        <f t="shared" si="75"/>
        <v>0</v>
      </c>
      <c r="AE75" s="81">
        <f t="shared" si="75"/>
        <v>0</v>
      </c>
      <c r="AF75" s="81">
        <f t="shared" si="75"/>
        <v>0</v>
      </c>
      <c r="AG75" s="81">
        <f t="shared" si="75"/>
        <v>0</v>
      </c>
      <c r="AH75" s="81">
        <f t="shared" si="75"/>
        <v>0</v>
      </c>
      <c r="AI75" s="81">
        <f t="shared" si="75"/>
        <v>0</v>
      </c>
      <c r="AJ75" s="81">
        <f t="shared" si="75"/>
        <v>0</v>
      </c>
      <c r="AK75" s="81">
        <f t="shared" si="75"/>
        <v>0</v>
      </c>
      <c r="AL75" s="81">
        <f t="shared" si="75"/>
        <v>0</v>
      </c>
      <c r="AM75" s="81">
        <f t="shared" si="75"/>
        <v>0</v>
      </c>
      <c r="AN75" s="81">
        <f t="shared" si="75"/>
        <v>0</v>
      </c>
      <c r="AO75" s="81">
        <f t="shared" si="75"/>
        <v>0</v>
      </c>
      <c r="AP75" s="81">
        <f t="shared" si="75"/>
        <v>0</v>
      </c>
      <c r="AQ75" s="81">
        <f t="shared" si="75"/>
        <v>0</v>
      </c>
      <c r="AR75" s="81">
        <f t="shared" si="75"/>
        <v>0</v>
      </c>
      <c r="AS75" s="81">
        <f t="shared" si="75"/>
        <v>0</v>
      </c>
      <c r="AT75" s="81">
        <f t="shared" si="75"/>
        <v>0</v>
      </c>
      <c r="AU75" s="381">
        <f t="shared" si="75"/>
        <v>0</v>
      </c>
      <c r="AV75" s="381">
        <f t="shared" si="75"/>
        <v>0</v>
      </c>
      <c r="AW75" s="381">
        <f t="shared" si="75"/>
        <v>0</v>
      </c>
      <c r="AX75" s="381">
        <f t="shared" si="75"/>
        <v>0</v>
      </c>
      <c r="AY75" s="381">
        <f t="shared" si="75"/>
        <v>0</v>
      </c>
      <c r="AZ75" s="381">
        <f t="shared" si="75"/>
        <v>0</v>
      </c>
      <c r="BA75" s="381">
        <f t="shared" si="75"/>
        <v>0</v>
      </c>
      <c r="BB75" s="381" t="str">
        <f t="shared" si="75"/>
        <v>n/a</v>
      </c>
      <c r="BC75" s="381" t="str">
        <f t="shared" si="75"/>
        <v>n/a</v>
      </c>
      <c r="BD75" s="381" t="str">
        <f t="shared" si="75"/>
        <v>n/a</v>
      </c>
      <c r="BE75" s="381" t="str">
        <f t="shared" si="75"/>
        <v>n/a</v>
      </c>
      <c r="BF75" s="381" t="str">
        <f t="shared" si="75"/>
        <v>n/a</v>
      </c>
      <c r="BG75" s="381" t="str">
        <f t="shared" si="75"/>
        <v>n/a</v>
      </c>
      <c r="BH75" s="381" t="str">
        <f t="shared" si="75"/>
        <v>n/a</v>
      </c>
      <c r="BI75" s="381" t="str">
        <f t="shared" si="75"/>
        <v>n/a</v>
      </c>
      <c r="BJ75" s="381" t="str">
        <f t="shared" si="75"/>
        <v>n/a</v>
      </c>
      <c r="BK75" s="381" t="str">
        <f t="shared" si="75"/>
        <v>n/a</v>
      </c>
      <c r="BL75" s="381" t="str">
        <f t="shared" si="75"/>
        <v>n/a</v>
      </c>
      <c r="BM75" s="381" t="str">
        <f t="shared" si="75"/>
        <v>n/a</v>
      </c>
      <c r="BN75" s="381" t="str">
        <f t="shared" si="75"/>
        <v>n/a</v>
      </c>
      <c r="BO75" s="381" t="str">
        <f t="shared" si="75"/>
        <v>n/a</v>
      </c>
      <c r="BP75" s="381" t="str">
        <f t="shared" si="75"/>
        <v>n/a</v>
      </c>
      <c r="BQ75" s="381" t="str">
        <f t="shared" si="75"/>
        <v>n/a</v>
      </c>
      <c r="BR75" s="381" t="str">
        <f t="shared" ref="BR75:CK75" si="76">IFERROR(BR31/BR$15,"n/a")</f>
        <v>n/a</v>
      </c>
      <c r="BS75" s="381" t="str">
        <f t="shared" si="76"/>
        <v>n/a</v>
      </c>
      <c r="BT75" s="381" t="str">
        <f t="shared" si="76"/>
        <v>n/a</v>
      </c>
      <c r="BU75" s="381" t="str">
        <f t="shared" si="76"/>
        <v>n/a</v>
      </c>
      <c r="BV75" s="381" t="str">
        <f t="shared" si="76"/>
        <v>n/a</v>
      </c>
      <c r="BW75" s="381" t="str">
        <f t="shared" si="76"/>
        <v>n/a</v>
      </c>
      <c r="BX75" s="381" t="str">
        <f t="shared" si="76"/>
        <v>n/a</v>
      </c>
      <c r="BY75" s="381" t="str">
        <f t="shared" si="76"/>
        <v>n/a</v>
      </c>
      <c r="BZ75" s="381" t="str">
        <f t="shared" si="76"/>
        <v>n/a</v>
      </c>
      <c r="CA75" s="381" t="str">
        <f t="shared" si="76"/>
        <v>n/a</v>
      </c>
      <c r="CB75" s="381" t="str">
        <f t="shared" si="76"/>
        <v>n/a</v>
      </c>
      <c r="CC75" s="381" t="str">
        <f t="shared" si="76"/>
        <v>n/a</v>
      </c>
      <c r="CD75" s="381" t="str">
        <f t="shared" si="76"/>
        <v>n/a</v>
      </c>
      <c r="CE75" s="381" t="str">
        <f t="shared" si="76"/>
        <v>n/a</v>
      </c>
      <c r="CF75" s="381" t="str">
        <f t="shared" si="76"/>
        <v>n/a</v>
      </c>
      <c r="CG75" s="381" t="str">
        <f t="shared" si="76"/>
        <v>n/a</v>
      </c>
      <c r="CH75" s="381" t="str">
        <f t="shared" si="76"/>
        <v>n/a</v>
      </c>
      <c r="CI75" s="381" t="str">
        <f t="shared" si="76"/>
        <v>n/a</v>
      </c>
      <c r="CJ75" s="381" t="str">
        <f t="shared" si="76"/>
        <v>n/a</v>
      </c>
      <c r="CK75" s="381" t="str">
        <f t="shared" si="76"/>
        <v>n/a</v>
      </c>
    </row>
    <row r="76" spans="3:89" s="89" customFormat="1" ht="11.25" customHeight="1" outlineLevel="2" x14ac:dyDescent="0.2">
      <c r="C76" s="82" t="str">
        <f t="shared" si="56"/>
        <v>Dummy 2</v>
      </c>
      <c r="D76" s="82" t="str">
        <f t="shared" si="56"/>
        <v>Dummy 2</v>
      </c>
      <c r="E76" s="82"/>
      <c r="F76" s="81" t="str">
        <f t="shared" ref="F76:BQ76" si="77">IFERROR(F32/F$15,"n/a")</f>
        <v>n/a</v>
      </c>
      <c r="G76" s="81" t="str">
        <f t="shared" si="77"/>
        <v>n/a</v>
      </c>
      <c r="H76" s="81" t="str">
        <f t="shared" si="77"/>
        <v>n/a</v>
      </c>
      <c r="I76" s="81" t="str">
        <f t="shared" si="77"/>
        <v>n/a</v>
      </c>
      <c r="J76" s="81" t="str">
        <f t="shared" si="77"/>
        <v>n/a</v>
      </c>
      <c r="K76" s="81" t="str">
        <f t="shared" si="77"/>
        <v>n/a</v>
      </c>
      <c r="L76" s="81" t="str">
        <f t="shared" si="77"/>
        <v>n/a</v>
      </c>
      <c r="M76" s="81" t="str">
        <f t="shared" si="77"/>
        <v>n/a</v>
      </c>
      <c r="N76" s="81" t="str">
        <f t="shared" si="77"/>
        <v>n/a</v>
      </c>
      <c r="O76" s="81" t="str">
        <f t="shared" si="77"/>
        <v>n/a</v>
      </c>
      <c r="P76" s="81" t="str">
        <f t="shared" si="77"/>
        <v>n/a</v>
      </c>
      <c r="Q76" s="81" t="str">
        <f t="shared" si="77"/>
        <v>n/a</v>
      </c>
      <c r="R76" s="81">
        <f t="shared" si="77"/>
        <v>0</v>
      </c>
      <c r="S76" s="81">
        <f t="shared" si="77"/>
        <v>0</v>
      </c>
      <c r="T76" s="81">
        <f t="shared" si="77"/>
        <v>0</v>
      </c>
      <c r="U76" s="81">
        <f t="shared" si="77"/>
        <v>0</v>
      </c>
      <c r="V76" s="81">
        <f t="shared" si="77"/>
        <v>0</v>
      </c>
      <c r="W76" s="81">
        <f t="shared" si="77"/>
        <v>0</v>
      </c>
      <c r="X76" s="81">
        <f t="shared" si="77"/>
        <v>0</v>
      </c>
      <c r="Y76" s="81">
        <f t="shared" si="77"/>
        <v>0</v>
      </c>
      <c r="Z76" s="81">
        <f t="shared" si="77"/>
        <v>0</v>
      </c>
      <c r="AA76" s="81">
        <f t="shared" si="77"/>
        <v>0</v>
      </c>
      <c r="AB76" s="81">
        <f t="shared" si="77"/>
        <v>0</v>
      </c>
      <c r="AC76" s="81">
        <f t="shared" si="77"/>
        <v>0</v>
      </c>
      <c r="AD76" s="81">
        <f t="shared" si="77"/>
        <v>0</v>
      </c>
      <c r="AE76" s="81">
        <f t="shared" si="77"/>
        <v>0</v>
      </c>
      <c r="AF76" s="81">
        <f t="shared" si="77"/>
        <v>0</v>
      </c>
      <c r="AG76" s="81">
        <f t="shared" si="77"/>
        <v>0</v>
      </c>
      <c r="AH76" s="81">
        <f t="shared" si="77"/>
        <v>0</v>
      </c>
      <c r="AI76" s="81">
        <f t="shared" si="77"/>
        <v>0</v>
      </c>
      <c r="AJ76" s="81">
        <f t="shared" si="77"/>
        <v>0</v>
      </c>
      <c r="AK76" s="81">
        <f t="shared" si="77"/>
        <v>0</v>
      </c>
      <c r="AL76" s="81">
        <f t="shared" si="77"/>
        <v>0</v>
      </c>
      <c r="AM76" s="81">
        <f t="shared" si="77"/>
        <v>0</v>
      </c>
      <c r="AN76" s="81">
        <f t="shared" si="77"/>
        <v>0</v>
      </c>
      <c r="AO76" s="81">
        <f t="shared" si="77"/>
        <v>0</v>
      </c>
      <c r="AP76" s="81">
        <f t="shared" si="77"/>
        <v>0</v>
      </c>
      <c r="AQ76" s="81">
        <f t="shared" si="77"/>
        <v>0</v>
      </c>
      <c r="AR76" s="81">
        <f t="shared" si="77"/>
        <v>0</v>
      </c>
      <c r="AS76" s="81">
        <f t="shared" si="77"/>
        <v>0</v>
      </c>
      <c r="AT76" s="81">
        <f t="shared" si="77"/>
        <v>0</v>
      </c>
      <c r="AU76" s="381">
        <f t="shared" si="77"/>
        <v>0</v>
      </c>
      <c r="AV76" s="381">
        <f t="shared" si="77"/>
        <v>0</v>
      </c>
      <c r="AW76" s="381">
        <f t="shared" si="77"/>
        <v>0</v>
      </c>
      <c r="AX76" s="381">
        <f t="shared" si="77"/>
        <v>0</v>
      </c>
      <c r="AY76" s="381">
        <f t="shared" si="77"/>
        <v>0</v>
      </c>
      <c r="AZ76" s="381">
        <f t="shared" si="77"/>
        <v>0</v>
      </c>
      <c r="BA76" s="381">
        <f t="shared" si="77"/>
        <v>0</v>
      </c>
      <c r="BB76" s="381" t="str">
        <f t="shared" si="77"/>
        <v>n/a</v>
      </c>
      <c r="BC76" s="381" t="str">
        <f t="shared" si="77"/>
        <v>n/a</v>
      </c>
      <c r="BD76" s="381" t="str">
        <f t="shared" si="77"/>
        <v>n/a</v>
      </c>
      <c r="BE76" s="381" t="str">
        <f t="shared" si="77"/>
        <v>n/a</v>
      </c>
      <c r="BF76" s="381" t="str">
        <f t="shared" si="77"/>
        <v>n/a</v>
      </c>
      <c r="BG76" s="381" t="str">
        <f t="shared" si="77"/>
        <v>n/a</v>
      </c>
      <c r="BH76" s="381" t="str">
        <f t="shared" si="77"/>
        <v>n/a</v>
      </c>
      <c r="BI76" s="381" t="str">
        <f t="shared" si="77"/>
        <v>n/a</v>
      </c>
      <c r="BJ76" s="381" t="str">
        <f t="shared" si="77"/>
        <v>n/a</v>
      </c>
      <c r="BK76" s="381" t="str">
        <f t="shared" si="77"/>
        <v>n/a</v>
      </c>
      <c r="BL76" s="381" t="str">
        <f t="shared" si="77"/>
        <v>n/a</v>
      </c>
      <c r="BM76" s="381" t="str">
        <f t="shared" si="77"/>
        <v>n/a</v>
      </c>
      <c r="BN76" s="381" t="str">
        <f t="shared" si="77"/>
        <v>n/a</v>
      </c>
      <c r="BO76" s="381" t="str">
        <f t="shared" si="77"/>
        <v>n/a</v>
      </c>
      <c r="BP76" s="381" t="str">
        <f t="shared" si="77"/>
        <v>n/a</v>
      </c>
      <c r="BQ76" s="381" t="str">
        <f t="shared" si="77"/>
        <v>n/a</v>
      </c>
      <c r="BR76" s="381" t="str">
        <f t="shared" ref="BR76:CK76" si="78">IFERROR(BR32/BR$15,"n/a")</f>
        <v>n/a</v>
      </c>
      <c r="BS76" s="381" t="str">
        <f t="shared" si="78"/>
        <v>n/a</v>
      </c>
      <c r="BT76" s="381" t="str">
        <f t="shared" si="78"/>
        <v>n/a</v>
      </c>
      <c r="BU76" s="381" t="str">
        <f t="shared" si="78"/>
        <v>n/a</v>
      </c>
      <c r="BV76" s="381" t="str">
        <f t="shared" si="78"/>
        <v>n/a</v>
      </c>
      <c r="BW76" s="381" t="str">
        <f t="shared" si="78"/>
        <v>n/a</v>
      </c>
      <c r="BX76" s="381" t="str">
        <f t="shared" si="78"/>
        <v>n/a</v>
      </c>
      <c r="BY76" s="381" t="str">
        <f t="shared" si="78"/>
        <v>n/a</v>
      </c>
      <c r="BZ76" s="381" t="str">
        <f t="shared" si="78"/>
        <v>n/a</v>
      </c>
      <c r="CA76" s="381" t="str">
        <f t="shared" si="78"/>
        <v>n/a</v>
      </c>
      <c r="CB76" s="381" t="str">
        <f t="shared" si="78"/>
        <v>n/a</v>
      </c>
      <c r="CC76" s="381" t="str">
        <f t="shared" si="78"/>
        <v>n/a</v>
      </c>
      <c r="CD76" s="381" t="str">
        <f t="shared" si="78"/>
        <v>n/a</v>
      </c>
      <c r="CE76" s="381" t="str">
        <f t="shared" si="78"/>
        <v>n/a</v>
      </c>
      <c r="CF76" s="381" t="str">
        <f t="shared" si="78"/>
        <v>n/a</v>
      </c>
      <c r="CG76" s="381" t="str">
        <f t="shared" si="78"/>
        <v>n/a</v>
      </c>
      <c r="CH76" s="381" t="str">
        <f t="shared" si="78"/>
        <v>n/a</v>
      </c>
      <c r="CI76" s="381" t="str">
        <f t="shared" si="78"/>
        <v>n/a</v>
      </c>
      <c r="CJ76" s="381" t="str">
        <f t="shared" si="78"/>
        <v>n/a</v>
      </c>
      <c r="CK76" s="381" t="str">
        <f t="shared" si="78"/>
        <v>n/a</v>
      </c>
    </row>
    <row r="77" spans="3:89" s="89" customFormat="1" ht="11.25" customHeight="1" outlineLevel="2" x14ac:dyDescent="0.2">
      <c r="C77" s="82" t="str">
        <f t="shared" si="56"/>
        <v>Dummy 3</v>
      </c>
      <c r="D77" s="82" t="str">
        <f t="shared" si="56"/>
        <v>Dummy 3</v>
      </c>
      <c r="E77" s="82"/>
      <c r="F77" s="81" t="str">
        <f t="shared" ref="F77:BQ77" si="79">IFERROR(F33/F$15,"n/a")</f>
        <v>n/a</v>
      </c>
      <c r="G77" s="81" t="str">
        <f t="shared" si="79"/>
        <v>n/a</v>
      </c>
      <c r="H77" s="81" t="str">
        <f t="shared" si="79"/>
        <v>n/a</v>
      </c>
      <c r="I77" s="81" t="str">
        <f t="shared" si="79"/>
        <v>n/a</v>
      </c>
      <c r="J77" s="81" t="str">
        <f t="shared" si="79"/>
        <v>n/a</v>
      </c>
      <c r="K77" s="81" t="str">
        <f t="shared" si="79"/>
        <v>n/a</v>
      </c>
      <c r="L77" s="81" t="str">
        <f t="shared" si="79"/>
        <v>n/a</v>
      </c>
      <c r="M77" s="81" t="str">
        <f t="shared" si="79"/>
        <v>n/a</v>
      </c>
      <c r="N77" s="81" t="str">
        <f t="shared" si="79"/>
        <v>n/a</v>
      </c>
      <c r="O77" s="81" t="str">
        <f t="shared" si="79"/>
        <v>n/a</v>
      </c>
      <c r="P77" s="81" t="str">
        <f t="shared" si="79"/>
        <v>n/a</v>
      </c>
      <c r="Q77" s="81" t="str">
        <f t="shared" si="79"/>
        <v>n/a</v>
      </c>
      <c r="R77" s="81">
        <f t="shared" si="79"/>
        <v>0</v>
      </c>
      <c r="S77" s="81">
        <f t="shared" si="79"/>
        <v>0</v>
      </c>
      <c r="T77" s="81">
        <f t="shared" si="79"/>
        <v>0</v>
      </c>
      <c r="U77" s="81">
        <f t="shared" si="79"/>
        <v>0</v>
      </c>
      <c r="V77" s="81">
        <f t="shared" si="79"/>
        <v>0</v>
      </c>
      <c r="W77" s="81">
        <f t="shared" si="79"/>
        <v>0</v>
      </c>
      <c r="X77" s="81">
        <f t="shared" si="79"/>
        <v>0</v>
      </c>
      <c r="Y77" s="81">
        <f t="shared" si="79"/>
        <v>0</v>
      </c>
      <c r="Z77" s="81">
        <f t="shared" si="79"/>
        <v>0</v>
      </c>
      <c r="AA77" s="81">
        <f t="shared" si="79"/>
        <v>0</v>
      </c>
      <c r="AB77" s="81">
        <f t="shared" si="79"/>
        <v>0</v>
      </c>
      <c r="AC77" s="81">
        <f t="shared" si="79"/>
        <v>0</v>
      </c>
      <c r="AD77" s="81">
        <f t="shared" si="79"/>
        <v>0</v>
      </c>
      <c r="AE77" s="81">
        <f t="shared" si="79"/>
        <v>0</v>
      </c>
      <c r="AF77" s="81">
        <f t="shared" si="79"/>
        <v>0</v>
      </c>
      <c r="AG77" s="81">
        <f t="shared" si="79"/>
        <v>0</v>
      </c>
      <c r="AH77" s="81">
        <f t="shared" si="79"/>
        <v>0</v>
      </c>
      <c r="AI77" s="81">
        <f t="shared" si="79"/>
        <v>0</v>
      </c>
      <c r="AJ77" s="81">
        <f t="shared" si="79"/>
        <v>0</v>
      </c>
      <c r="AK77" s="81">
        <f t="shared" si="79"/>
        <v>0</v>
      </c>
      <c r="AL77" s="81">
        <f t="shared" si="79"/>
        <v>0</v>
      </c>
      <c r="AM77" s="81">
        <f t="shared" si="79"/>
        <v>0</v>
      </c>
      <c r="AN77" s="81">
        <f t="shared" si="79"/>
        <v>0</v>
      </c>
      <c r="AO77" s="81">
        <f t="shared" si="79"/>
        <v>0</v>
      </c>
      <c r="AP77" s="81">
        <f t="shared" si="79"/>
        <v>0</v>
      </c>
      <c r="AQ77" s="81">
        <f t="shared" si="79"/>
        <v>0</v>
      </c>
      <c r="AR77" s="81">
        <f t="shared" si="79"/>
        <v>0</v>
      </c>
      <c r="AS77" s="81">
        <f t="shared" si="79"/>
        <v>0</v>
      </c>
      <c r="AT77" s="81">
        <f t="shared" si="79"/>
        <v>0</v>
      </c>
      <c r="AU77" s="381">
        <f t="shared" si="79"/>
        <v>0</v>
      </c>
      <c r="AV77" s="381">
        <f t="shared" si="79"/>
        <v>0</v>
      </c>
      <c r="AW77" s="381">
        <f t="shared" si="79"/>
        <v>0</v>
      </c>
      <c r="AX77" s="381">
        <f t="shared" si="79"/>
        <v>0</v>
      </c>
      <c r="AY77" s="381">
        <f t="shared" si="79"/>
        <v>0</v>
      </c>
      <c r="AZ77" s="381">
        <f t="shared" si="79"/>
        <v>0</v>
      </c>
      <c r="BA77" s="381">
        <f t="shared" si="79"/>
        <v>0</v>
      </c>
      <c r="BB77" s="381" t="str">
        <f t="shared" si="79"/>
        <v>n/a</v>
      </c>
      <c r="BC77" s="381" t="str">
        <f t="shared" si="79"/>
        <v>n/a</v>
      </c>
      <c r="BD77" s="381" t="str">
        <f t="shared" si="79"/>
        <v>n/a</v>
      </c>
      <c r="BE77" s="381" t="str">
        <f t="shared" si="79"/>
        <v>n/a</v>
      </c>
      <c r="BF77" s="381" t="str">
        <f t="shared" si="79"/>
        <v>n/a</v>
      </c>
      <c r="BG77" s="381" t="str">
        <f t="shared" si="79"/>
        <v>n/a</v>
      </c>
      <c r="BH77" s="381" t="str">
        <f t="shared" si="79"/>
        <v>n/a</v>
      </c>
      <c r="BI77" s="381" t="str">
        <f t="shared" si="79"/>
        <v>n/a</v>
      </c>
      <c r="BJ77" s="381" t="str">
        <f t="shared" si="79"/>
        <v>n/a</v>
      </c>
      <c r="BK77" s="381" t="str">
        <f t="shared" si="79"/>
        <v>n/a</v>
      </c>
      <c r="BL77" s="381" t="str">
        <f t="shared" si="79"/>
        <v>n/a</v>
      </c>
      <c r="BM77" s="381" t="str">
        <f t="shared" si="79"/>
        <v>n/a</v>
      </c>
      <c r="BN77" s="381" t="str">
        <f t="shared" si="79"/>
        <v>n/a</v>
      </c>
      <c r="BO77" s="381" t="str">
        <f t="shared" si="79"/>
        <v>n/a</v>
      </c>
      <c r="BP77" s="381" t="str">
        <f t="shared" si="79"/>
        <v>n/a</v>
      </c>
      <c r="BQ77" s="381" t="str">
        <f t="shared" si="79"/>
        <v>n/a</v>
      </c>
      <c r="BR77" s="381" t="str">
        <f t="shared" ref="BR77:CK77" si="80">IFERROR(BR33/BR$15,"n/a")</f>
        <v>n/a</v>
      </c>
      <c r="BS77" s="381" t="str">
        <f t="shared" si="80"/>
        <v>n/a</v>
      </c>
      <c r="BT77" s="381" t="str">
        <f t="shared" si="80"/>
        <v>n/a</v>
      </c>
      <c r="BU77" s="381" t="str">
        <f t="shared" si="80"/>
        <v>n/a</v>
      </c>
      <c r="BV77" s="381" t="str">
        <f t="shared" si="80"/>
        <v>n/a</v>
      </c>
      <c r="BW77" s="381" t="str">
        <f t="shared" si="80"/>
        <v>n/a</v>
      </c>
      <c r="BX77" s="381" t="str">
        <f t="shared" si="80"/>
        <v>n/a</v>
      </c>
      <c r="BY77" s="381" t="str">
        <f t="shared" si="80"/>
        <v>n/a</v>
      </c>
      <c r="BZ77" s="381" t="str">
        <f t="shared" si="80"/>
        <v>n/a</v>
      </c>
      <c r="CA77" s="381" t="str">
        <f t="shared" si="80"/>
        <v>n/a</v>
      </c>
      <c r="CB77" s="381" t="str">
        <f t="shared" si="80"/>
        <v>n/a</v>
      </c>
      <c r="CC77" s="381" t="str">
        <f t="shared" si="80"/>
        <v>n/a</v>
      </c>
      <c r="CD77" s="381" t="str">
        <f t="shared" si="80"/>
        <v>n/a</v>
      </c>
      <c r="CE77" s="381" t="str">
        <f t="shared" si="80"/>
        <v>n/a</v>
      </c>
      <c r="CF77" s="381" t="str">
        <f t="shared" si="80"/>
        <v>n/a</v>
      </c>
      <c r="CG77" s="381" t="str">
        <f t="shared" si="80"/>
        <v>n/a</v>
      </c>
      <c r="CH77" s="381" t="str">
        <f t="shared" si="80"/>
        <v>n/a</v>
      </c>
      <c r="CI77" s="381" t="str">
        <f t="shared" si="80"/>
        <v>n/a</v>
      </c>
      <c r="CJ77" s="381" t="str">
        <f t="shared" si="80"/>
        <v>n/a</v>
      </c>
      <c r="CK77" s="381" t="str">
        <f t="shared" si="80"/>
        <v>n/a</v>
      </c>
    </row>
    <row r="78" spans="3:89" s="89" customFormat="1" ht="11.25" customHeight="1" x14ac:dyDescent="0.2">
      <c r="C78" s="90" t="str">
        <f t="shared" ref="C78:D81" si="81">C34</f>
        <v>EBITDA</v>
      </c>
      <c r="D78" s="90" t="str">
        <f t="shared" si="81"/>
        <v>EBITDA</v>
      </c>
      <c r="E78" s="90"/>
      <c r="F78" s="87" t="str">
        <f t="shared" ref="F78:AK78" si="82">IFERROR(F34/F$15,"n/a")</f>
        <v>n/a</v>
      </c>
      <c r="G78" s="87" t="str">
        <f t="shared" si="82"/>
        <v>n/a</v>
      </c>
      <c r="H78" s="87" t="str">
        <f t="shared" si="82"/>
        <v>n/a</v>
      </c>
      <c r="I78" s="87" t="str">
        <f t="shared" si="82"/>
        <v>n/a</v>
      </c>
      <c r="J78" s="87" t="str">
        <f t="shared" si="82"/>
        <v>n/a</v>
      </c>
      <c r="K78" s="87" t="str">
        <f t="shared" si="82"/>
        <v>n/a</v>
      </c>
      <c r="L78" s="87" t="str">
        <f t="shared" si="82"/>
        <v>n/a</v>
      </c>
      <c r="M78" s="87" t="str">
        <f t="shared" si="82"/>
        <v>n/a</v>
      </c>
      <c r="N78" s="87" t="str">
        <f t="shared" si="82"/>
        <v>n/a</v>
      </c>
      <c r="O78" s="87" t="str">
        <f t="shared" si="82"/>
        <v>n/a</v>
      </c>
      <c r="P78" s="87" t="str">
        <f t="shared" si="82"/>
        <v>n/a</v>
      </c>
      <c r="Q78" s="87" t="str">
        <f t="shared" si="82"/>
        <v>n/a</v>
      </c>
      <c r="R78" s="87">
        <f t="shared" si="82"/>
        <v>2.3332826141931045E-4</v>
      </c>
      <c r="S78" s="87">
        <f t="shared" si="82"/>
        <v>-6.1297144759709814E-2</v>
      </c>
      <c r="T78" s="87">
        <f t="shared" si="82"/>
        <v>-3.1831020778499567E-3</v>
      </c>
      <c r="U78" s="87">
        <f t="shared" si="82"/>
        <v>0.1178691715161535</v>
      </c>
      <c r="V78" s="87">
        <f t="shared" si="82"/>
        <v>-0.13281389652920136</v>
      </c>
      <c r="W78" s="87">
        <f t="shared" si="82"/>
        <v>0.63693955731843033</v>
      </c>
      <c r="X78" s="87">
        <f t="shared" si="82"/>
        <v>2.9838000720288756E-2</v>
      </c>
      <c r="Y78" s="87">
        <f t="shared" si="82"/>
        <v>0.3296774062465912</v>
      </c>
      <c r="Z78" s="87">
        <f t="shared" si="82"/>
        <v>3.7093354012967122E-2</v>
      </c>
      <c r="AA78" s="87">
        <f t="shared" si="82"/>
        <v>4.2807317961442853E-2</v>
      </c>
      <c r="AB78" s="87">
        <f t="shared" si="82"/>
        <v>0.30036298311181647</v>
      </c>
      <c r="AC78" s="87">
        <f t="shared" si="82"/>
        <v>-0.11021064803158102</v>
      </c>
      <c r="AD78" s="87">
        <f t="shared" si="82"/>
        <v>0.14730613454955976</v>
      </c>
      <c r="AE78" s="87">
        <f t="shared" si="82"/>
        <v>0.22472047335064158</v>
      </c>
      <c r="AF78" s="87">
        <f t="shared" si="82"/>
        <v>0.31143288721585022</v>
      </c>
      <c r="AG78" s="87">
        <f t="shared" si="82"/>
        <v>0.10200804006008689</v>
      </c>
      <c r="AH78" s="87">
        <f t="shared" si="82"/>
        <v>2.8072366443756065E-2</v>
      </c>
      <c r="AI78" s="87">
        <f t="shared" si="82"/>
        <v>-0.15351238849695487</v>
      </c>
      <c r="AJ78" s="87">
        <f t="shared" si="82"/>
        <v>-0.52161085724788847</v>
      </c>
      <c r="AK78" s="87">
        <f t="shared" si="82"/>
        <v>0.18763786696524223</v>
      </c>
      <c r="AL78" s="87">
        <f t="shared" ref="AL78:BQ78" si="83">IFERROR(AL34/AL$15,"n/a")</f>
        <v>-0.17625255016000274</v>
      </c>
      <c r="AM78" s="87">
        <f t="shared" si="83"/>
        <v>7.5513737814065479E-2</v>
      </c>
      <c r="AN78" s="87">
        <f t="shared" si="83"/>
        <v>0.17643154277366677</v>
      </c>
      <c r="AO78" s="87">
        <f t="shared" si="83"/>
        <v>0.78675175769551198</v>
      </c>
      <c r="AP78" s="87">
        <f t="shared" si="83"/>
        <v>0.10090268536867067</v>
      </c>
      <c r="AQ78" s="87">
        <f t="shared" si="83"/>
        <v>8.7740971707442675E-2</v>
      </c>
      <c r="AR78" s="87">
        <f t="shared" si="83"/>
        <v>-5.7993829950961841E-2</v>
      </c>
      <c r="AS78" s="87">
        <f t="shared" si="83"/>
        <v>0.11049262778649854</v>
      </c>
      <c r="AT78" s="87">
        <f t="shared" si="83"/>
        <v>0.11355916979096958</v>
      </c>
      <c r="AU78" s="382">
        <f t="shared" si="83"/>
        <v>0.24265975326622943</v>
      </c>
      <c r="AV78" s="382">
        <f t="shared" si="83"/>
        <v>-1.3447754194671119E-2</v>
      </c>
      <c r="AW78" s="382">
        <f t="shared" si="83"/>
        <v>0.3446249305016843</v>
      </c>
      <c r="AX78" s="382">
        <f t="shared" si="83"/>
        <v>0.17413166714130859</v>
      </c>
      <c r="AY78" s="382">
        <f t="shared" si="83"/>
        <v>0.18248435567173749</v>
      </c>
      <c r="AZ78" s="382">
        <f t="shared" si="83"/>
        <v>-0.10649173496068612</v>
      </c>
      <c r="BA78" s="382">
        <f t="shared" si="83"/>
        <v>-0.15975855567214026</v>
      </c>
      <c r="BB78" s="382" t="str">
        <f t="shared" si="83"/>
        <v>n/a</v>
      </c>
      <c r="BC78" s="382" t="str">
        <f t="shared" si="83"/>
        <v>n/a</v>
      </c>
      <c r="BD78" s="382" t="str">
        <f t="shared" si="83"/>
        <v>n/a</v>
      </c>
      <c r="BE78" s="382" t="str">
        <f t="shared" si="83"/>
        <v>n/a</v>
      </c>
      <c r="BF78" s="382" t="str">
        <f t="shared" si="83"/>
        <v>n/a</v>
      </c>
      <c r="BG78" s="382" t="str">
        <f t="shared" si="83"/>
        <v>n/a</v>
      </c>
      <c r="BH78" s="382" t="str">
        <f t="shared" si="83"/>
        <v>n/a</v>
      </c>
      <c r="BI78" s="382" t="str">
        <f t="shared" si="83"/>
        <v>n/a</v>
      </c>
      <c r="BJ78" s="382" t="str">
        <f t="shared" si="83"/>
        <v>n/a</v>
      </c>
      <c r="BK78" s="382" t="str">
        <f t="shared" si="83"/>
        <v>n/a</v>
      </c>
      <c r="BL78" s="382" t="str">
        <f t="shared" si="83"/>
        <v>n/a</v>
      </c>
      <c r="BM78" s="382" t="str">
        <f t="shared" si="83"/>
        <v>n/a</v>
      </c>
      <c r="BN78" s="382" t="str">
        <f t="shared" si="83"/>
        <v>n/a</v>
      </c>
      <c r="BO78" s="382" t="str">
        <f t="shared" si="83"/>
        <v>n/a</v>
      </c>
      <c r="BP78" s="382" t="str">
        <f t="shared" si="83"/>
        <v>n/a</v>
      </c>
      <c r="BQ78" s="382" t="str">
        <f t="shared" si="83"/>
        <v>n/a</v>
      </c>
      <c r="BR78" s="382" t="str">
        <f t="shared" ref="BR78:CK78" si="84">IFERROR(BR34/BR$15,"n/a")</f>
        <v>n/a</v>
      </c>
      <c r="BS78" s="382" t="str">
        <f t="shared" si="84"/>
        <v>n/a</v>
      </c>
      <c r="BT78" s="382" t="str">
        <f t="shared" si="84"/>
        <v>n/a</v>
      </c>
      <c r="BU78" s="382" t="str">
        <f t="shared" si="84"/>
        <v>n/a</v>
      </c>
      <c r="BV78" s="382" t="str">
        <f t="shared" si="84"/>
        <v>n/a</v>
      </c>
      <c r="BW78" s="382" t="str">
        <f t="shared" si="84"/>
        <v>n/a</v>
      </c>
      <c r="BX78" s="382" t="str">
        <f t="shared" si="84"/>
        <v>n/a</v>
      </c>
      <c r="BY78" s="382" t="str">
        <f t="shared" si="84"/>
        <v>n/a</v>
      </c>
      <c r="BZ78" s="382" t="str">
        <f t="shared" si="84"/>
        <v>n/a</v>
      </c>
      <c r="CA78" s="382" t="str">
        <f t="shared" si="84"/>
        <v>n/a</v>
      </c>
      <c r="CB78" s="382" t="str">
        <f t="shared" si="84"/>
        <v>n/a</v>
      </c>
      <c r="CC78" s="382" t="str">
        <f t="shared" si="84"/>
        <v>n/a</v>
      </c>
      <c r="CD78" s="382" t="str">
        <f t="shared" si="84"/>
        <v>n/a</v>
      </c>
      <c r="CE78" s="382" t="str">
        <f t="shared" si="84"/>
        <v>n/a</v>
      </c>
      <c r="CF78" s="382" t="str">
        <f t="shared" si="84"/>
        <v>n/a</v>
      </c>
      <c r="CG78" s="382" t="str">
        <f t="shared" si="84"/>
        <v>n/a</v>
      </c>
      <c r="CH78" s="382" t="str">
        <f t="shared" si="84"/>
        <v>n/a</v>
      </c>
      <c r="CI78" s="382" t="str">
        <f t="shared" si="84"/>
        <v>n/a</v>
      </c>
      <c r="CJ78" s="382" t="str">
        <f t="shared" si="84"/>
        <v>n/a</v>
      </c>
      <c r="CK78" s="382" t="str">
        <f t="shared" si="84"/>
        <v>n/a</v>
      </c>
    </row>
    <row r="79" spans="3:89" s="89" customFormat="1" ht="11.25" customHeight="1" x14ac:dyDescent="0.2">
      <c r="C79" s="82" t="str">
        <f t="shared" si="81"/>
        <v>Abschreibungen</v>
      </c>
      <c r="D79" s="82" t="str">
        <f t="shared" si="81"/>
        <v>Depreciation</v>
      </c>
      <c r="E79" s="82"/>
      <c r="F79" s="81" t="str">
        <f t="shared" ref="F79:AK79" si="85">IFERROR(F35/F$15,"n/a")</f>
        <v>n/a</v>
      </c>
      <c r="G79" s="81" t="str">
        <f t="shared" si="85"/>
        <v>n/a</v>
      </c>
      <c r="H79" s="81" t="str">
        <f t="shared" si="85"/>
        <v>n/a</v>
      </c>
      <c r="I79" s="81" t="str">
        <f t="shared" si="85"/>
        <v>n/a</v>
      </c>
      <c r="J79" s="81" t="str">
        <f t="shared" si="85"/>
        <v>n/a</v>
      </c>
      <c r="K79" s="81" t="str">
        <f t="shared" si="85"/>
        <v>n/a</v>
      </c>
      <c r="L79" s="81" t="str">
        <f t="shared" si="85"/>
        <v>n/a</v>
      </c>
      <c r="M79" s="81" t="str">
        <f t="shared" si="85"/>
        <v>n/a</v>
      </c>
      <c r="N79" s="81" t="str">
        <f t="shared" si="85"/>
        <v>n/a</v>
      </c>
      <c r="O79" s="81" t="str">
        <f t="shared" si="85"/>
        <v>n/a</v>
      </c>
      <c r="P79" s="81" t="str">
        <f t="shared" si="85"/>
        <v>n/a</v>
      </c>
      <c r="Q79" s="81" t="str">
        <f t="shared" si="85"/>
        <v>n/a</v>
      </c>
      <c r="R79" s="81">
        <f t="shared" si="85"/>
        <v>-2.638760183788218E-2</v>
      </c>
      <c r="S79" s="81">
        <f t="shared" si="85"/>
        <v>-2.288564375911421E-2</v>
      </c>
      <c r="T79" s="81">
        <f t="shared" si="85"/>
        <v>-2.0011973850074159E-2</v>
      </c>
      <c r="U79" s="81">
        <f t="shared" si="85"/>
        <v>-2.1881746853662367E-2</v>
      </c>
      <c r="V79" s="81">
        <f t="shared" si="85"/>
        <v>-1.8933118132078625E-2</v>
      </c>
      <c r="W79" s="81">
        <f t="shared" si="85"/>
        <v>-1.9134360784677836E-2</v>
      </c>
      <c r="X79" s="81">
        <f t="shared" si="85"/>
        <v>-2.2944320023100592E-2</v>
      </c>
      <c r="Y79" s="81">
        <f t="shared" si="85"/>
        <v>-1.9155877603107448E-2</v>
      </c>
      <c r="Z79" s="81">
        <f t="shared" si="85"/>
        <v>-1.9451824341687813E-2</v>
      </c>
      <c r="AA79" s="81">
        <f t="shared" si="85"/>
        <v>-2.4452569647691651E-2</v>
      </c>
      <c r="AB79" s="81">
        <f t="shared" si="85"/>
        <v>-2.1944851342811454E-2</v>
      </c>
      <c r="AC79" s="81">
        <f t="shared" si="85"/>
        <v>-1.6620985737422541E-2</v>
      </c>
      <c r="AD79" s="81">
        <f t="shared" si="85"/>
        <v>-1.759273817571242E-2</v>
      </c>
      <c r="AE79" s="81">
        <f t="shared" si="85"/>
        <v>-1.7757729170462207E-2</v>
      </c>
      <c r="AF79" s="81">
        <f t="shared" si="85"/>
        <v>-1.4061816303401857E-2</v>
      </c>
      <c r="AG79" s="81">
        <f t="shared" si="85"/>
        <v>-2.0280590582882868E-2</v>
      </c>
      <c r="AH79" s="81">
        <f t="shared" si="85"/>
        <v>-1.4928963439699327E-2</v>
      </c>
      <c r="AI79" s="81">
        <f t="shared" si="85"/>
        <v>-2.0930290905890339E-2</v>
      </c>
      <c r="AJ79" s="81">
        <f t="shared" si="85"/>
        <v>-1.8510040308906663E-2</v>
      </c>
      <c r="AK79" s="81">
        <f t="shared" si="85"/>
        <v>-2.070800530046887E-2</v>
      </c>
      <c r="AL79" s="81">
        <f t="shared" ref="AL79:BQ79" si="86">IFERROR(AL35/AL$15,"n/a")</f>
        <v>-1.8170853936479801E-2</v>
      </c>
      <c r="AM79" s="81">
        <f t="shared" si="86"/>
        <v>-2.0521948773803596E-2</v>
      </c>
      <c r="AN79" s="81">
        <f t="shared" si="86"/>
        <v>-2.4876127771475329E-2</v>
      </c>
      <c r="AO79" s="81">
        <f t="shared" si="86"/>
        <v>-1.7232020186623988E-2</v>
      </c>
      <c r="AP79" s="81">
        <f t="shared" si="86"/>
        <v>-1.799014712882906E-2</v>
      </c>
      <c r="AQ79" s="81">
        <f t="shared" si="86"/>
        <v>-1.6152187851519558E-2</v>
      </c>
      <c r="AR79" s="81">
        <f t="shared" si="86"/>
        <v>-2.2517975331484214E-2</v>
      </c>
      <c r="AS79" s="81">
        <f t="shared" si="86"/>
        <v>-1.7000801719858495E-2</v>
      </c>
      <c r="AT79" s="81">
        <f t="shared" si="86"/>
        <v>-1.4996182525096555E-2</v>
      </c>
      <c r="AU79" s="381">
        <f t="shared" si="86"/>
        <v>-2.2191220602946073E-2</v>
      </c>
      <c r="AV79" s="381">
        <f t="shared" si="86"/>
        <v>-1.9675076375136675E-2</v>
      </c>
      <c r="AW79" s="381">
        <f t="shared" si="86"/>
        <v>-1.6001493208921299E-2</v>
      </c>
      <c r="AX79" s="381">
        <f t="shared" si="86"/>
        <v>-1.9423761677597608E-2</v>
      </c>
      <c r="AY79" s="381">
        <f t="shared" si="86"/>
        <v>-1.6628699204506995E-2</v>
      </c>
      <c r="AZ79" s="381">
        <f t="shared" si="86"/>
        <v>-1.666619173013709E-2</v>
      </c>
      <c r="BA79" s="381">
        <f t="shared" si="86"/>
        <v>-1.5193958835659842E-2</v>
      </c>
      <c r="BB79" s="381" t="str">
        <f t="shared" si="86"/>
        <v>n/a</v>
      </c>
      <c r="BC79" s="381" t="str">
        <f t="shared" si="86"/>
        <v>n/a</v>
      </c>
      <c r="BD79" s="381" t="str">
        <f t="shared" si="86"/>
        <v>n/a</v>
      </c>
      <c r="BE79" s="381" t="str">
        <f t="shared" si="86"/>
        <v>n/a</v>
      </c>
      <c r="BF79" s="381" t="str">
        <f t="shared" si="86"/>
        <v>n/a</v>
      </c>
      <c r="BG79" s="381" t="str">
        <f t="shared" si="86"/>
        <v>n/a</v>
      </c>
      <c r="BH79" s="381" t="str">
        <f t="shared" si="86"/>
        <v>n/a</v>
      </c>
      <c r="BI79" s="381" t="str">
        <f t="shared" si="86"/>
        <v>n/a</v>
      </c>
      <c r="BJ79" s="381" t="str">
        <f t="shared" si="86"/>
        <v>n/a</v>
      </c>
      <c r="BK79" s="381" t="str">
        <f t="shared" si="86"/>
        <v>n/a</v>
      </c>
      <c r="BL79" s="381" t="str">
        <f t="shared" si="86"/>
        <v>n/a</v>
      </c>
      <c r="BM79" s="381" t="str">
        <f t="shared" si="86"/>
        <v>n/a</v>
      </c>
      <c r="BN79" s="381" t="str">
        <f t="shared" si="86"/>
        <v>n/a</v>
      </c>
      <c r="BO79" s="381" t="str">
        <f t="shared" si="86"/>
        <v>n/a</v>
      </c>
      <c r="BP79" s="381" t="str">
        <f t="shared" si="86"/>
        <v>n/a</v>
      </c>
      <c r="BQ79" s="381" t="str">
        <f t="shared" si="86"/>
        <v>n/a</v>
      </c>
      <c r="BR79" s="381" t="str">
        <f t="shared" ref="BR79:CK79" si="87">IFERROR(BR35/BR$15,"n/a")</f>
        <v>n/a</v>
      </c>
      <c r="BS79" s="381" t="str">
        <f t="shared" si="87"/>
        <v>n/a</v>
      </c>
      <c r="BT79" s="381" t="str">
        <f t="shared" si="87"/>
        <v>n/a</v>
      </c>
      <c r="BU79" s="381" t="str">
        <f t="shared" si="87"/>
        <v>n/a</v>
      </c>
      <c r="BV79" s="381" t="str">
        <f t="shared" si="87"/>
        <v>n/a</v>
      </c>
      <c r="BW79" s="381" t="str">
        <f t="shared" si="87"/>
        <v>n/a</v>
      </c>
      <c r="BX79" s="381" t="str">
        <f t="shared" si="87"/>
        <v>n/a</v>
      </c>
      <c r="BY79" s="381" t="str">
        <f t="shared" si="87"/>
        <v>n/a</v>
      </c>
      <c r="BZ79" s="381" t="str">
        <f t="shared" si="87"/>
        <v>n/a</v>
      </c>
      <c r="CA79" s="381" t="str">
        <f t="shared" si="87"/>
        <v>n/a</v>
      </c>
      <c r="CB79" s="381" t="str">
        <f t="shared" si="87"/>
        <v>n/a</v>
      </c>
      <c r="CC79" s="381" t="str">
        <f t="shared" si="87"/>
        <v>n/a</v>
      </c>
      <c r="CD79" s="381" t="str">
        <f t="shared" si="87"/>
        <v>n/a</v>
      </c>
      <c r="CE79" s="381" t="str">
        <f t="shared" si="87"/>
        <v>n/a</v>
      </c>
      <c r="CF79" s="381" t="str">
        <f t="shared" si="87"/>
        <v>n/a</v>
      </c>
      <c r="CG79" s="381" t="str">
        <f t="shared" si="87"/>
        <v>n/a</v>
      </c>
      <c r="CH79" s="381" t="str">
        <f t="shared" si="87"/>
        <v>n/a</v>
      </c>
      <c r="CI79" s="381" t="str">
        <f t="shared" si="87"/>
        <v>n/a</v>
      </c>
      <c r="CJ79" s="381" t="str">
        <f t="shared" si="87"/>
        <v>n/a</v>
      </c>
      <c r="CK79" s="381" t="str">
        <f t="shared" si="87"/>
        <v>n/a</v>
      </c>
    </row>
    <row r="80" spans="3:89" s="89" customFormat="1" ht="11.25" customHeight="1" outlineLevel="2" x14ac:dyDescent="0.2">
      <c r="C80" s="82" t="str">
        <f t="shared" si="81"/>
        <v>Dummy 1</v>
      </c>
      <c r="D80" s="82" t="str">
        <f t="shared" si="81"/>
        <v>Dummy 1</v>
      </c>
      <c r="E80" s="82"/>
      <c r="F80" s="81" t="str">
        <f t="shared" ref="F80:AK80" si="88">IFERROR(F36/F$15,"n/a")</f>
        <v>n/a</v>
      </c>
      <c r="G80" s="81" t="str">
        <f t="shared" si="88"/>
        <v>n/a</v>
      </c>
      <c r="H80" s="81" t="str">
        <f t="shared" si="88"/>
        <v>n/a</v>
      </c>
      <c r="I80" s="81" t="str">
        <f t="shared" si="88"/>
        <v>n/a</v>
      </c>
      <c r="J80" s="81" t="str">
        <f t="shared" si="88"/>
        <v>n/a</v>
      </c>
      <c r="K80" s="81" t="str">
        <f t="shared" si="88"/>
        <v>n/a</v>
      </c>
      <c r="L80" s="81" t="str">
        <f t="shared" si="88"/>
        <v>n/a</v>
      </c>
      <c r="M80" s="81" t="str">
        <f t="shared" si="88"/>
        <v>n/a</v>
      </c>
      <c r="N80" s="81" t="str">
        <f t="shared" si="88"/>
        <v>n/a</v>
      </c>
      <c r="O80" s="81" t="str">
        <f t="shared" si="88"/>
        <v>n/a</v>
      </c>
      <c r="P80" s="81" t="str">
        <f t="shared" si="88"/>
        <v>n/a</v>
      </c>
      <c r="Q80" s="81" t="str">
        <f t="shared" si="88"/>
        <v>n/a</v>
      </c>
      <c r="R80" s="81">
        <f t="shared" si="88"/>
        <v>0</v>
      </c>
      <c r="S80" s="81">
        <f t="shared" si="88"/>
        <v>0</v>
      </c>
      <c r="T80" s="81">
        <f t="shared" si="88"/>
        <v>0</v>
      </c>
      <c r="U80" s="81">
        <f t="shared" si="88"/>
        <v>0</v>
      </c>
      <c r="V80" s="81">
        <f t="shared" si="88"/>
        <v>0</v>
      </c>
      <c r="W80" s="81">
        <f t="shared" si="88"/>
        <v>0</v>
      </c>
      <c r="X80" s="81">
        <f t="shared" si="88"/>
        <v>0</v>
      </c>
      <c r="Y80" s="81">
        <f t="shared" si="88"/>
        <v>0</v>
      </c>
      <c r="Z80" s="81">
        <f t="shared" si="88"/>
        <v>0</v>
      </c>
      <c r="AA80" s="81">
        <f t="shared" si="88"/>
        <v>0</v>
      </c>
      <c r="AB80" s="81">
        <f t="shared" si="88"/>
        <v>0</v>
      </c>
      <c r="AC80" s="81">
        <f t="shared" si="88"/>
        <v>0</v>
      </c>
      <c r="AD80" s="81">
        <f t="shared" si="88"/>
        <v>0</v>
      </c>
      <c r="AE80" s="81">
        <f t="shared" si="88"/>
        <v>0</v>
      </c>
      <c r="AF80" s="81">
        <f t="shared" si="88"/>
        <v>0</v>
      </c>
      <c r="AG80" s="81">
        <f t="shared" si="88"/>
        <v>0</v>
      </c>
      <c r="AH80" s="81">
        <f t="shared" si="88"/>
        <v>0</v>
      </c>
      <c r="AI80" s="81">
        <f t="shared" si="88"/>
        <v>0</v>
      </c>
      <c r="AJ80" s="81">
        <f t="shared" si="88"/>
        <v>0</v>
      </c>
      <c r="AK80" s="81">
        <f t="shared" si="88"/>
        <v>0</v>
      </c>
      <c r="AL80" s="81">
        <f t="shared" ref="AL80:BQ80" si="89">IFERROR(AL36/AL$15,"n/a")</f>
        <v>0</v>
      </c>
      <c r="AM80" s="81">
        <f t="shared" si="89"/>
        <v>0</v>
      </c>
      <c r="AN80" s="81">
        <f t="shared" si="89"/>
        <v>0</v>
      </c>
      <c r="AO80" s="81">
        <f t="shared" si="89"/>
        <v>0</v>
      </c>
      <c r="AP80" s="81">
        <f t="shared" si="89"/>
        <v>0</v>
      </c>
      <c r="AQ80" s="81">
        <f t="shared" si="89"/>
        <v>0</v>
      </c>
      <c r="AR80" s="81">
        <f t="shared" si="89"/>
        <v>0</v>
      </c>
      <c r="AS80" s="81">
        <f t="shared" si="89"/>
        <v>0</v>
      </c>
      <c r="AT80" s="81">
        <f t="shared" si="89"/>
        <v>0</v>
      </c>
      <c r="AU80" s="381">
        <f t="shared" si="89"/>
        <v>0</v>
      </c>
      <c r="AV80" s="381">
        <f t="shared" si="89"/>
        <v>0</v>
      </c>
      <c r="AW80" s="381">
        <f t="shared" si="89"/>
        <v>0</v>
      </c>
      <c r="AX80" s="381">
        <f t="shared" si="89"/>
        <v>0</v>
      </c>
      <c r="AY80" s="381">
        <f t="shared" si="89"/>
        <v>0</v>
      </c>
      <c r="AZ80" s="381">
        <f t="shared" si="89"/>
        <v>0</v>
      </c>
      <c r="BA80" s="381">
        <f t="shared" si="89"/>
        <v>0</v>
      </c>
      <c r="BB80" s="381" t="str">
        <f t="shared" si="89"/>
        <v>n/a</v>
      </c>
      <c r="BC80" s="381" t="str">
        <f t="shared" si="89"/>
        <v>n/a</v>
      </c>
      <c r="BD80" s="381" t="str">
        <f t="shared" si="89"/>
        <v>n/a</v>
      </c>
      <c r="BE80" s="381" t="str">
        <f t="shared" si="89"/>
        <v>n/a</v>
      </c>
      <c r="BF80" s="381" t="str">
        <f t="shared" si="89"/>
        <v>n/a</v>
      </c>
      <c r="BG80" s="381" t="str">
        <f t="shared" si="89"/>
        <v>n/a</v>
      </c>
      <c r="BH80" s="381" t="str">
        <f t="shared" si="89"/>
        <v>n/a</v>
      </c>
      <c r="BI80" s="381" t="str">
        <f t="shared" si="89"/>
        <v>n/a</v>
      </c>
      <c r="BJ80" s="381" t="str">
        <f t="shared" si="89"/>
        <v>n/a</v>
      </c>
      <c r="BK80" s="381" t="str">
        <f t="shared" si="89"/>
        <v>n/a</v>
      </c>
      <c r="BL80" s="381" t="str">
        <f t="shared" si="89"/>
        <v>n/a</v>
      </c>
      <c r="BM80" s="381" t="str">
        <f t="shared" si="89"/>
        <v>n/a</v>
      </c>
      <c r="BN80" s="381" t="str">
        <f t="shared" si="89"/>
        <v>n/a</v>
      </c>
      <c r="BO80" s="381" t="str">
        <f t="shared" si="89"/>
        <v>n/a</v>
      </c>
      <c r="BP80" s="381" t="str">
        <f t="shared" si="89"/>
        <v>n/a</v>
      </c>
      <c r="BQ80" s="381" t="str">
        <f t="shared" si="89"/>
        <v>n/a</v>
      </c>
      <c r="BR80" s="381" t="str">
        <f t="shared" ref="BR80:CK80" si="90">IFERROR(BR36/BR$15,"n/a")</f>
        <v>n/a</v>
      </c>
      <c r="BS80" s="381" t="str">
        <f t="shared" si="90"/>
        <v>n/a</v>
      </c>
      <c r="BT80" s="381" t="str">
        <f t="shared" si="90"/>
        <v>n/a</v>
      </c>
      <c r="BU80" s="381" t="str">
        <f t="shared" si="90"/>
        <v>n/a</v>
      </c>
      <c r="BV80" s="381" t="str">
        <f t="shared" si="90"/>
        <v>n/a</v>
      </c>
      <c r="BW80" s="381" t="str">
        <f t="shared" si="90"/>
        <v>n/a</v>
      </c>
      <c r="BX80" s="381" t="str">
        <f t="shared" si="90"/>
        <v>n/a</v>
      </c>
      <c r="BY80" s="381" t="str">
        <f t="shared" si="90"/>
        <v>n/a</v>
      </c>
      <c r="BZ80" s="381" t="str">
        <f t="shared" si="90"/>
        <v>n/a</v>
      </c>
      <c r="CA80" s="381" t="str">
        <f t="shared" si="90"/>
        <v>n/a</v>
      </c>
      <c r="CB80" s="381" t="str">
        <f t="shared" si="90"/>
        <v>n/a</v>
      </c>
      <c r="CC80" s="381" t="str">
        <f t="shared" si="90"/>
        <v>n/a</v>
      </c>
      <c r="CD80" s="381" t="str">
        <f t="shared" si="90"/>
        <v>n/a</v>
      </c>
      <c r="CE80" s="381" t="str">
        <f t="shared" si="90"/>
        <v>n/a</v>
      </c>
      <c r="CF80" s="381" t="str">
        <f t="shared" si="90"/>
        <v>n/a</v>
      </c>
      <c r="CG80" s="381" t="str">
        <f t="shared" si="90"/>
        <v>n/a</v>
      </c>
      <c r="CH80" s="381" t="str">
        <f t="shared" si="90"/>
        <v>n/a</v>
      </c>
      <c r="CI80" s="381" t="str">
        <f t="shared" si="90"/>
        <v>n/a</v>
      </c>
      <c r="CJ80" s="381" t="str">
        <f t="shared" si="90"/>
        <v>n/a</v>
      </c>
      <c r="CK80" s="381" t="str">
        <f t="shared" si="90"/>
        <v>n/a</v>
      </c>
    </row>
    <row r="81" spans="3:91" s="89" customFormat="1" ht="11.25" customHeight="1" outlineLevel="2" x14ac:dyDescent="0.2">
      <c r="C81" s="82" t="str">
        <f t="shared" si="81"/>
        <v>Dummy 2</v>
      </c>
      <c r="D81" s="82" t="str">
        <f t="shared" si="81"/>
        <v>Dummy 2</v>
      </c>
      <c r="E81" s="82"/>
      <c r="F81" s="81" t="str">
        <f t="shared" ref="F81:AK81" si="91">IFERROR(F37/F$15,"n/a")</f>
        <v>n/a</v>
      </c>
      <c r="G81" s="81" t="str">
        <f t="shared" si="91"/>
        <v>n/a</v>
      </c>
      <c r="H81" s="81" t="str">
        <f t="shared" si="91"/>
        <v>n/a</v>
      </c>
      <c r="I81" s="81" t="str">
        <f t="shared" si="91"/>
        <v>n/a</v>
      </c>
      <c r="J81" s="81" t="str">
        <f t="shared" si="91"/>
        <v>n/a</v>
      </c>
      <c r="K81" s="81" t="str">
        <f t="shared" si="91"/>
        <v>n/a</v>
      </c>
      <c r="L81" s="81" t="str">
        <f t="shared" si="91"/>
        <v>n/a</v>
      </c>
      <c r="M81" s="81" t="str">
        <f t="shared" si="91"/>
        <v>n/a</v>
      </c>
      <c r="N81" s="81" t="str">
        <f t="shared" si="91"/>
        <v>n/a</v>
      </c>
      <c r="O81" s="81" t="str">
        <f t="shared" si="91"/>
        <v>n/a</v>
      </c>
      <c r="P81" s="81" t="str">
        <f t="shared" si="91"/>
        <v>n/a</v>
      </c>
      <c r="Q81" s="81" t="str">
        <f t="shared" si="91"/>
        <v>n/a</v>
      </c>
      <c r="R81" s="81">
        <f t="shared" si="91"/>
        <v>0</v>
      </c>
      <c r="S81" s="81">
        <f t="shared" si="91"/>
        <v>0</v>
      </c>
      <c r="T81" s="81">
        <f t="shared" si="91"/>
        <v>0</v>
      </c>
      <c r="U81" s="81">
        <f t="shared" si="91"/>
        <v>0</v>
      </c>
      <c r="V81" s="81">
        <f t="shared" si="91"/>
        <v>0</v>
      </c>
      <c r="W81" s="81">
        <f t="shared" si="91"/>
        <v>0</v>
      </c>
      <c r="X81" s="81">
        <f t="shared" si="91"/>
        <v>0</v>
      </c>
      <c r="Y81" s="81">
        <f t="shared" si="91"/>
        <v>0</v>
      </c>
      <c r="Z81" s="81">
        <f t="shared" si="91"/>
        <v>0</v>
      </c>
      <c r="AA81" s="81">
        <f t="shared" si="91"/>
        <v>0</v>
      </c>
      <c r="AB81" s="81">
        <f t="shared" si="91"/>
        <v>0</v>
      </c>
      <c r="AC81" s="81">
        <f t="shared" si="91"/>
        <v>0</v>
      </c>
      <c r="AD81" s="81">
        <f t="shared" si="91"/>
        <v>0</v>
      </c>
      <c r="AE81" s="81">
        <f t="shared" si="91"/>
        <v>0</v>
      </c>
      <c r="AF81" s="81">
        <f t="shared" si="91"/>
        <v>0</v>
      </c>
      <c r="AG81" s="81">
        <f t="shared" si="91"/>
        <v>0</v>
      </c>
      <c r="AH81" s="81">
        <f t="shared" si="91"/>
        <v>0</v>
      </c>
      <c r="AI81" s="81">
        <f t="shared" si="91"/>
        <v>0</v>
      </c>
      <c r="AJ81" s="81">
        <f t="shared" si="91"/>
        <v>0</v>
      </c>
      <c r="AK81" s="81">
        <f t="shared" si="91"/>
        <v>0</v>
      </c>
      <c r="AL81" s="81">
        <f t="shared" ref="AL81:BQ81" si="92">IFERROR(AL37/AL$15,"n/a")</f>
        <v>0</v>
      </c>
      <c r="AM81" s="81">
        <f t="shared" si="92"/>
        <v>0</v>
      </c>
      <c r="AN81" s="81">
        <f t="shared" si="92"/>
        <v>0</v>
      </c>
      <c r="AO81" s="81">
        <f t="shared" si="92"/>
        <v>0</v>
      </c>
      <c r="AP81" s="81">
        <f t="shared" si="92"/>
        <v>0</v>
      </c>
      <c r="AQ81" s="81">
        <f t="shared" si="92"/>
        <v>0</v>
      </c>
      <c r="AR81" s="81">
        <f t="shared" si="92"/>
        <v>0</v>
      </c>
      <c r="AS81" s="81">
        <f t="shared" si="92"/>
        <v>0</v>
      </c>
      <c r="AT81" s="81">
        <f t="shared" si="92"/>
        <v>0</v>
      </c>
      <c r="AU81" s="381">
        <f t="shared" si="92"/>
        <v>0</v>
      </c>
      <c r="AV81" s="381">
        <f t="shared" si="92"/>
        <v>0</v>
      </c>
      <c r="AW81" s="381">
        <f t="shared" si="92"/>
        <v>0</v>
      </c>
      <c r="AX81" s="381">
        <f t="shared" si="92"/>
        <v>0</v>
      </c>
      <c r="AY81" s="381">
        <f t="shared" si="92"/>
        <v>0</v>
      </c>
      <c r="AZ81" s="381">
        <f t="shared" si="92"/>
        <v>0</v>
      </c>
      <c r="BA81" s="381">
        <f t="shared" si="92"/>
        <v>0</v>
      </c>
      <c r="BB81" s="381" t="str">
        <f t="shared" si="92"/>
        <v>n/a</v>
      </c>
      <c r="BC81" s="381" t="str">
        <f t="shared" si="92"/>
        <v>n/a</v>
      </c>
      <c r="BD81" s="381" t="str">
        <f t="shared" si="92"/>
        <v>n/a</v>
      </c>
      <c r="BE81" s="381" t="str">
        <f t="shared" si="92"/>
        <v>n/a</v>
      </c>
      <c r="BF81" s="381" t="str">
        <f t="shared" si="92"/>
        <v>n/a</v>
      </c>
      <c r="BG81" s="381" t="str">
        <f t="shared" si="92"/>
        <v>n/a</v>
      </c>
      <c r="BH81" s="381" t="str">
        <f t="shared" si="92"/>
        <v>n/a</v>
      </c>
      <c r="BI81" s="381" t="str">
        <f t="shared" si="92"/>
        <v>n/a</v>
      </c>
      <c r="BJ81" s="381" t="str">
        <f t="shared" si="92"/>
        <v>n/a</v>
      </c>
      <c r="BK81" s="381" t="str">
        <f t="shared" si="92"/>
        <v>n/a</v>
      </c>
      <c r="BL81" s="381" t="str">
        <f t="shared" si="92"/>
        <v>n/a</v>
      </c>
      <c r="BM81" s="381" t="str">
        <f t="shared" si="92"/>
        <v>n/a</v>
      </c>
      <c r="BN81" s="381" t="str">
        <f t="shared" si="92"/>
        <v>n/a</v>
      </c>
      <c r="BO81" s="381" t="str">
        <f t="shared" si="92"/>
        <v>n/a</v>
      </c>
      <c r="BP81" s="381" t="str">
        <f t="shared" si="92"/>
        <v>n/a</v>
      </c>
      <c r="BQ81" s="381" t="str">
        <f t="shared" si="92"/>
        <v>n/a</v>
      </c>
      <c r="BR81" s="381" t="str">
        <f t="shared" ref="BR81:CK81" si="93">IFERROR(BR37/BR$15,"n/a")</f>
        <v>n/a</v>
      </c>
      <c r="BS81" s="381" t="str">
        <f t="shared" si="93"/>
        <v>n/a</v>
      </c>
      <c r="BT81" s="381" t="str">
        <f t="shared" si="93"/>
        <v>n/a</v>
      </c>
      <c r="BU81" s="381" t="str">
        <f t="shared" si="93"/>
        <v>n/a</v>
      </c>
      <c r="BV81" s="381" t="str">
        <f t="shared" si="93"/>
        <v>n/a</v>
      </c>
      <c r="BW81" s="381" t="str">
        <f t="shared" si="93"/>
        <v>n/a</v>
      </c>
      <c r="BX81" s="381" t="str">
        <f t="shared" si="93"/>
        <v>n/a</v>
      </c>
      <c r="BY81" s="381" t="str">
        <f t="shared" si="93"/>
        <v>n/a</v>
      </c>
      <c r="BZ81" s="381" t="str">
        <f t="shared" si="93"/>
        <v>n/a</v>
      </c>
      <c r="CA81" s="381" t="str">
        <f t="shared" si="93"/>
        <v>n/a</v>
      </c>
      <c r="CB81" s="381" t="str">
        <f t="shared" si="93"/>
        <v>n/a</v>
      </c>
      <c r="CC81" s="381" t="str">
        <f t="shared" si="93"/>
        <v>n/a</v>
      </c>
      <c r="CD81" s="381" t="str">
        <f t="shared" si="93"/>
        <v>n/a</v>
      </c>
      <c r="CE81" s="381" t="str">
        <f t="shared" si="93"/>
        <v>n/a</v>
      </c>
      <c r="CF81" s="381" t="str">
        <f t="shared" si="93"/>
        <v>n/a</v>
      </c>
      <c r="CG81" s="381" t="str">
        <f t="shared" si="93"/>
        <v>n/a</v>
      </c>
      <c r="CH81" s="381" t="str">
        <f t="shared" si="93"/>
        <v>n/a</v>
      </c>
      <c r="CI81" s="381" t="str">
        <f t="shared" si="93"/>
        <v>n/a</v>
      </c>
      <c r="CJ81" s="381" t="str">
        <f t="shared" si="93"/>
        <v>n/a</v>
      </c>
      <c r="CK81" s="381" t="str">
        <f t="shared" si="93"/>
        <v>n/a</v>
      </c>
    </row>
    <row r="82" spans="3:91" s="89" customFormat="1" ht="11.25" customHeight="1" outlineLevel="2" x14ac:dyDescent="0.2">
      <c r="C82" s="82" t="str">
        <f t="shared" ref="C82:D94" si="94">C38</f>
        <v>Dummy 3</v>
      </c>
      <c r="D82" s="82" t="str">
        <f t="shared" si="94"/>
        <v>Dummy 3</v>
      </c>
      <c r="E82" s="82"/>
      <c r="F82" s="81" t="str">
        <f t="shared" ref="F82:AK82" si="95">IFERROR(F38/F$15,"n/a")</f>
        <v>n/a</v>
      </c>
      <c r="G82" s="81" t="str">
        <f t="shared" si="95"/>
        <v>n/a</v>
      </c>
      <c r="H82" s="81" t="str">
        <f t="shared" si="95"/>
        <v>n/a</v>
      </c>
      <c r="I82" s="81" t="str">
        <f t="shared" si="95"/>
        <v>n/a</v>
      </c>
      <c r="J82" s="81" t="str">
        <f t="shared" si="95"/>
        <v>n/a</v>
      </c>
      <c r="K82" s="81" t="str">
        <f t="shared" si="95"/>
        <v>n/a</v>
      </c>
      <c r="L82" s="81" t="str">
        <f t="shared" si="95"/>
        <v>n/a</v>
      </c>
      <c r="M82" s="81" t="str">
        <f t="shared" si="95"/>
        <v>n/a</v>
      </c>
      <c r="N82" s="81" t="str">
        <f t="shared" si="95"/>
        <v>n/a</v>
      </c>
      <c r="O82" s="81" t="str">
        <f t="shared" si="95"/>
        <v>n/a</v>
      </c>
      <c r="P82" s="81" t="str">
        <f t="shared" si="95"/>
        <v>n/a</v>
      </c>
      <c r="Q82" s="81" t="str">
        <f t="shared" si="95"/>
        <v>n/a</v>
      </c>
      <c r="R82" s="81">
        <f t="shared" si="95"/>
        <v>0</v>
      </c>
      <c r="S82" s="81">
        <f t="shared" si="95"/>
        <v>0</v>
      </c>
      <c r="T82" s="81">
        <f t="shared" si="95"/>
        <v>0</v>
      </c>
      <c r="U82" s="81">
        <f t="shared" si="95"/>
        <v>0</v>
      </c>
      <c r="V82" s="81">
        <f t="shared" si="95"/>
        <v>0</v>
      </c>
      <c r="W82" s="81">
        <f t="shared" si="95"/>
        <v>0</v>
      </c>
      <c r="X82" s="81">
        <f t="shared" si="95"/>
        <v>0</v>
      </c>
      <c r="Y82" s="81">
        <f t="shared" si="95"/>
        <v>0</v>
      </c>
      <c r="Z82" s="81">
        <f t="shared" si="95"/>
        <v>0</v>
      </c>
      <c r="AA82" s="81">
        <f t="shared" si="95"/>
        <v>0</v>
      </c>
      <c r="AB82" s="81">
        <f t="shared" si="95"/>
        <v>0</v>
      </c>
      <c r="AC82" s="81">
        <f t="shared" si="95"/>
        <v>0</v>
      </c>
      <c r="AD82" s="81">
        <f t="shared" si="95"/>
        <v>0</v>
      </c>
      <c r="AE82" s="81">
        <f t="shared" si="95"/>
        <v>0</v>
      </c>
      <c r="AF82" s="81">
        <f t="shared" si="95"/>
        <v>0</v>
      </c>
      <c r="AG82" s="81">
        <f t="shared" si="95"/>
        <v>0</v>
      </c>
      <c r="AH82" s="81">
        <f t="shared" si="95"/>
        <v>0</v>
      </c>
      <c r="AI82" s="81">
        <f t="shared" si="95"/>
        <v>0</v>
      </c>
      <c r="AJ82" s="81">
        <f t="shared" si="95"/>
        <v>0</v>
      </c>
      <c r="AK82" s="81">
        <f t="shared" si="95"/>
        <v>0</v>
      </c>
      <c r="AL82" s="81">
        <f t="shared" ref="AL82:BQ82" si="96">IFERROR(AL38/AL$15,"n/a")</f>
        <v>0</v>
      </c>
      <c r="AM82" s="81">
        <f t="shared" si="96"/>
        <v>0</v>
      </c>
      <c r="AN82" s="81">
        <f t="shared" si="96"/>
        <v>0</v>
      </c>
      <c r="AO82" s="81">
        <f t="shared" si="96"/>
        <v>0</v>
      </c>
      <c r="AP82" s="81">
        <f t="shared" si="96"/>
        <v>0</v>
      </c>
      <c r="AQ82" s="81">
        <f t="shared" si="96"/>
        <v>0</v>
      </c>
      <c r="AR82" s="81">
        <f t="shared" si="96"/>
        <v>0</v>
      </c>
      <c r="AS82" s="81">
        <f t="shared" si="96"/>
        <v>0</v>
      </c>
      <c r="AT82" s="81">
        <f t="shared" si="96"/>
        <v>0</v>
      </c>
      <c r="AU82" s="381">
        <f t="shared" si="96"/>
        <v>0</v>
      </c>
      <c r="AV82" s="381">
        <f t="shared" si="96"/>
        <v>0</v>
      </c>
      <c r="AW82" s="381">
        <f t="shared" si="96"/>
        <v>0</v>
      </c>
      <c r="AX82" s="381">
        <f t="shared" si="96"/>
        <v>0</v>
      </c>
      <c r="AY82" s="381">
        <f t="shared" si="96"/>
        <v>0</v>
      </c>
      <c r="AZ82" s="381">
        <f t="shared" si="96"/>
        <v>0</v>
      </c>
      <c r="BA82" s="381">
        <f t="shared" si="96"/>
        <v>0</v>
      </c>
      <c r="BB82" s="381" t="str">
        <f t="shared" si="96"/>
        <v>n/a</v>
      </c>
      <c r="BC82" s="381" t="str">
        <f t="shared" si="96"/>
        <v>n/a</v>
      </c>
      <c r="BD82" s="381" t="str">
        <f t="shared" si="96"/>
        <v>n/a</v>
      </c>
      <c r="BE82" s="381" t="str">
        <f t="shared" si="96"/>
        <v>n/a</v>
      </c>
      <c r="BF82" s="381" t="str">
        <f t="shared" si="96"/>
        <v>n/a</v>
      </c>
      <c r="BG82" s="381" t="str">
        <f t="shared" si="96"/>
        <v>n/a</v>
      </c>
      <c r="BH82" s="381" t="str">
        <f t="shared" si="96"/>
        <v>n/a</v>
      </c>
      <c r="BI82" s="381" t="str">
        <f t="shared" si="96"/>
        <v>n/a</v>
      </c>
      <c r="BJ82" s="381" t="str">
        <f t="shared" si="96"/>
        <v>n/a</v>
      </c>
      <c r="BK82" s="381" t="str">
        <f t="shared" si="96"/>
        <v>n/a</v>
      </c>
      <c r="BL82" s="381" t="str">
        <f t="shared" si="96"/>
        <v>n/a</v>
      </c>
      <c r="BM82" s="381" t="str">
        <f t="shared" si="96"/>
        <v>n/a</v>
      </c>
      <c r="BN82" s="381" t="str">
        <f t="shared" si="96"/>
        <v>n/a</v>
      </c>
      <c r="BO82" s="381" t="str">
        <f t="shared" si="96"/>
        <v>n/a</v>
      </c>
      <c r="BP82" s="381" t="str">
        <f t="shared" si="96"/>
        <v>n/a</v>
      </c>
      <c r="BQ82" s="381" t="str">
        <f t="shared" si="96"/>
        <v>n/a</v>
      </c>
      <c r="BR82" s="381" t="str">
        <f t="shared" ref="BR82:CK82" si="97">IFERROR(BR38/BR$15,"n/a")</f>
        <v>n/a</v>
      </c>
      <c r="BS82" s="381" t="str">
        <f t="shared" si="97"/>
        <v>n/a</v>
      </c>
      <c r="BT82" s="381" t="str">
        <f t="shared" si="97"/>
        <v>n/a</v>
      </c>
      <c r="BU82" s="381" t="str">
        <f t="shared" si="97"/>
        <v>n/a</v>
      </c>
      <c r="BV82" s="381" t="str">
        <f t="shared" si="97"/>
        <v>n/a</v>
      </c>
      <c r="BW82" s="381" t="str">
        <f t="shared" si="97"/>
        <v>n/a</v>
      </c>
      <c r="BX82" s="381" t="str">
        <f t="shared" si="97"/>
        <v>n/a</v>
      </c>
      <c r="BY82" s="381" t="str">
        <f t="shared" si="97"/>
        <v>n/a</v>
      </c>
      <c r="BZ82" s="381" t="str">
        <f t="shared" si="97"/>
        <v>n/a</v>
      </c>
      <c r="CA82" s="381" t="str">
        <f t="shared" si="97"/>
        <v>n/a</v>
      </c>
      <c r="CB82" s="381" t="str">
        <f t="shared" si="97"/>
        <v>n/a</v>
      </c>
      <c r="CC82" s="381" t="str">
        <f t="shared" si="97"/>
        <v>n/a</v>
      </c>
      <c r="CD82" s="381" t="str">
        <f t="shared" si="97"/>
        <v>n/a</v>
      </c>
      <c r="CE82" s="381" t="str">
        <f t="shared" si="97"/>
        <v>n/a</v>
      </c>
      <c r="CF82" s="381" t="str">
        <f t="shared" si="97"/>
        <v>n/a</v>
      </c>
      <c r="CG82" s="381" t="str">
        <f t="shared" si="97"/>
        <v>n/a</v>
      </c>
      <c r="CH82" s="381" t="str">
        <f t="shared" si="97"/>
        <v>n/a</v>
      </c>
      <c r="CI82" s="381" t="str">
        <f t="shared" si="97"/>
        <v>n/a</v>
      </c>
      <c r="CJ82" s="381" t="str">
        <f t="shared" si="97"/>
        <v>n/a</v>
      </c>
      <c r="CK82" s="381" t="str">
        <f t="shared" si="97"/>
        <v>n/a</v>
      </c>
    </row>
    <row r="83" spans="3:91" s="89" customFormat="1" ht="11.25" customHeight="1" x14ac:dyDescent="0.2">
      <c r="C83" s="90" t="str">
        <f t="shared" si="94"/>
        <v>EBIT</v>
      </c>
      <c r="D83" s="90" t="str">
        <f t="shared" si="94"/>
        <v>EBIT</v>
      </c>
      <c r="E83" s="90"/>
      <c r="F83" s="87" t="str">
        <f t="shared" ref="F83:AK83" si="98">IFERROR(F39/F$15,"n/a")</f>
        <v>n/a</v>
      </c>
      <c r="G83" s="87" t="str">
        <f t="shared" si="98"/>
        <v>n/a</v>
      </c>
      <c r="H83" s="87" t="str">
        <f t="shared" si="98"/>
        <v>n/a</v>
      </c>
      <c r="I83" s="87" t="str">
        <f t="shared" si="98"/>
        <v>n/a</v>
      </c>
      <c r="J83" s="87" t="str">
        <f t="shared" si="98"/>
        <v>n/a</v>
      </c>
      <c r="K83" s="87" t="str">
        <f t="shared" si="98"/>
        <v>n/a</v>
      </c>
      <c r="L83" s="87" t="str">
        <f t="shared" si="98"/>
        <v>n/a</v>
      </c>
      <c r="M83" s="87" t="str">
        <f t="shared" si="98"/>
        <v>n/a</v>
      </c>
      <c r="N83" s="87" t="str">
        <f t="shared" si="98"/>
        <v>n/a</v>
      </c>
      <c r="O83" s="87" t="str">
        <f t="shared" si="98"/>
        <v>n/a</v>
      </c>
      <c r="P83" s="87" t="str">
        <f t="shared" si="98"/>
        <v>n/a</v>
      </c>
      <c r="Q83" s="87" t="str">
        <f t="shared" si="98"/>
        <v>n/a</v>
      </c>
      <c r="R83" s="87">
        <f t="shared" si="98"/>
        <v>-2.6154273576462869E-2</v>
      </c>
      <c r="S83" s="87">
        <f t="shared" si="98"/>
        <v>-8.4182788518824034E-2</v>
      </c>
      <c r="T83" s="87">
        <f t="shared" si="98"/>
        <v>-2.3195075927924119E-2</v>
      </c>
      <c r="U83" s="87">
        <f t="shared" si="98"/>
        <v>9.5987424662491147E-2</v>
      </c>
      <c r="V83" s="87">
        <f t="shared" si="98"/>
        <v>-0.15174701466128002</v>
      </c>
      <c r="W83" s="87">
        <f t="shared" si="98"/>
        <v>0.61780519653375254</v>
      </c>
      <c r="X83" s="87">
        <f t="shared" si="98"/>
        <v>6.8936806971881624E-3</v>
      </c>
      <c r="Y83" s="87">
        <f t="shared" si="98"/>
        <v>0.31052152864348376</v>
      </c>
      <c r="Z83" s="87">
        <f t="shared" si="98"/>
        <v>1.7641529671279309E-2</v>
      </c>
      <c r="AA83" s="87">
        <f t="shared" si="98"/>
        <v>1.8354748313751203E-2</v>
      </c>
      <c r="AB83" s="87">
        <f t="shared" si="98"/>
        <v>0.27841813176900498</v>
      </c>
      <c r="AC83" s="87">
        <f t="shared" si="98"/>
        <v>-0.12683163376900358</v>
      </c>
      <c r="AD83" s="87">
        <f t="shared" si="98"/>
        <v>0.12971339637384732</v>
      </c>
      <c r="AE83" s="87">
        <f t="shared" si="98"/>
        <v>0.20696274418017935</v>
      </c>
      <c r="AF83" s="87">
        <f t="shared" si="98"/>
        <v>0.2973710709124483</v>
      </c>
      <c r="AG83" s="87">
        <f t="shared" si="98"/>
        <v>8.172744947720402E-2</v>
      </c>
      <c r="AH83" s="87">
        <f t="shared" si="98"/>
        <v>1.3143403004056737E-2</v>
      </c>
      <c r="AI83" s="87">
        <f t="shared" si="98"/>
        <v>-0.17444267940284522</v>
      </c>
      <c r="AJ83" s="87">
        <f t="shared" si="98"/>
        <v>-0.54012089755679515</v>
      </c>
      <c r="AK83" s="87">
        <f t="shared" si="98"/>
        <v>0.16692986166477336</v>
      </c>
      <c r="AL83" s="87">
        <f t="shared" ref="AL83:BQ83" si="99">IFERROR(AL39/AL$15,"n/a")</f>
        <v>-0.19442340409648257</v>
      </c>
      <c r="AM83" s="87">
        <f t="shared" si="99"/>
        <v>5.4991789040261883E-2</v>
      </c>
      <c r="AN83" s="87">
        <f t="shared" si="99"/>
        <v>0.15155541500219144</v>
      </c>
      <c r="AO83" s="87">
        <f t="shared" si="99"/>
        <v>0.76951973750888802</v>
      </c>
      <c r="AP83" s="87">
        <f t="shared" si="99"/>
        <v>8.2912538239841613E-2</v>
      </c>
      <c r="AQ83" s="87">
        <f t="shared" si="99"/>
        <v>7.1588783855923113E-2</v>
      </c>
      <c r="AR83" s="87">
        <f t="shared" si="99"/>
        <v>-8.0511805282446058E-2</v>
      </c>
      <c r="AS83" s="87">
        <f t="shared" si="99"/>
        <v>9.3491826066640055E-2</v>
      </c>
      <c r="AT83" s="87">
        <f t="shared" si="99"/>
        <v>9.8562987265873023E-2</v>
      </c>
      <c r="AU83" s="382">
        <f t="shared" si="99"/>
        <v>0.22046853266328334</v>
      </c>
      <c r="AV83" s="382">
        <f t="shared" si="99"/>
        <v>-3.312283056980779E-2</v>
      </c>
      <c r="AW83" s="382">
        <f t="shared" si="99"/>
        <v>0.328623437292763</v>
      </c>
      <c r="AX83" s="382">
        <f t="shared" si="99"/>
        <v>0.15470790546371099</v>
      </c>
      <c r="AY83" s="382">
        <f t="shared" si="99"/>
        <v>0.16585565646723049</v>
      </c>
      <c r="AZ83" s="382">
        <f t="shared" si="99"/>
        <v>-0.12315792669082322</v>
      </c>
      <c r="BA83" s="382">
        <f t="shared" si="99"/>
        <v>-0.17495251450780011</v>
      </c>
      <c r="BB83" s="382" t="str">
        <f t="shared" si="99"/>
        <v>n/a</v>
      </c>
      <c r="BC83" s="382" t="str">
        <f t="shared" si="99"/>
        <v>n/a</v>
      </c>
      <c r="BD83" s="382" t="str">
        <f t="shared" si="99"/>
        <v>n/a</v>
      </c>
      <c r="BE83" s="382" t="str">
        <f t="shared" si="99"/>
        <v>n/a</v>
      </c>
      <c r="BF83" s="382" t="str">
        <f t="shared" si="99"/>
        <v>n/a</v>
      </c>
      <c r="BG83" s="382" t="str">
        <f t="shared" si="99"/>
        <v>n/a</v>
      </c>
      <c r="BH83" s="382" t="str">
        <f t="shared" si="99"/>
        <v>n/a</v>
      </c>
      <c r="BI83" s="382" t="str">
        <f t="shared" si="99"/>
        <v>n/a</v>
      </c>
      <c r="BJ83" s="382" t="str">
        <f t="shared" si="99"/>
        <v>n/a</v>
      </c>
      <c r="BK83" s="382" t="str">
        <f t="shared" si="99"/>
        <v>n/a</v>
      </c>
      <c r="BL83" s="382" t="str">
        <f t="shared" si="99"/>
        <v>n/a</v>
      </c>
      <c r="BM83" s="382" t="str">
        <f t="shared" si="99"/>
        <v>n/a</v>
      </c>
      <c r="BN83" s="382" t="str">
        <f t="shared" si="99"/>
        <v>n/a</v>
      </c>
      <c r="BO83" s="382" t="str">
        <f t="shared" si="99"/>
        <v>n/a</v>
      </c>
      <c r="BP83" s="382" t="str">
        <f t="shared" si="99"/>
        <v>n/a</v>
      </c>
      <c r="BQ83" s="382" t="str">
        <f t="shared" si="99"/>
        <v>n/a</v>
      </c>
      <c r="BR83" s="382" t="str">
        <f t="shared" ref="BR83:CK83" si="100">IFERROR(BR39/BR$15,"n/a")</f>
        <v>n/a</v>
      </c>
      <c r="BS83" s="382" t="str">
        <f t="shared" si="100"/>
        <v>n/a</v>
      </c>
      <c r="BT83" s="382" t="str">
        <f t="shared" si="100"/>
        <v>n/a</v>
      </c>
      <c r="BU83" s="382" t="str">
        <f t="shared" si="100"/>
        <v>n/a</v>
      </c>
      <c r="BV83" s="382" t="str">
        <f t="shared" si="100"/>
        <v>n/a</v>
      </c>
      <c r="BW83" s="382" t="str">
        <f t="shared" si="100"/>
        <v>n/a</v>
      </c>
      <c r="BX83" s="382" t="str">
        <f t="shared" si="100"/>
        <v>n/a</v>
      </c>
      <c r="BY83" s="382" t="str">
        <f t="shared" si="100"/>
        <v>n/a</v>
      </c>
      <c r="BZ83" s="382" t="str">
        <f t="shared" si="100"/>
        <v>n/a</v>
      </c>
      <c r="CA83" s="382" t="str">
        <f t="shared" si="100"/>
        <v>n/a</v>
      </c>
      <c r="CB83" s="382" t="str">
        <f t="shared" si="100"/>
        <v>n/a</v>
      </c>
      <c r="CC83" s="382" t="str">
        <f t="shared" si="100"/>
        <v>n/a</v>
      </c>
      <c r="CD83" s="382" t="str">
        <f t="shared" si="100"/>
        <v>n/a</v>
      </c>
      <c r="CE83" s="382" t="str">
        <f t="shared" si="100"/>
        <v>n/a</v>
      </c>
      <c r="CF83" s="382" t="str">
        <f t="shared" si="100"/>
        <v>n/a</v>
      </c>
      <c r="CG83" s="382" t="str">
        <f t="shared" si="100"/>
        <v>n/a</v>
      </c>
      <c r="CH83" s="382" t="str">
        <f t="shared" si="100"/>
        <v>n/a</v>
      </c>
      <c r="CI83" s="382" t="str">
        <f t="shared" si="100"/>
        <v>n/a</v>
      </c>
      <c r="CJ83" s="382" t="str">
        <f t="shared" si="100"/>
        <v>n/a</v>
      </c>
      <c r="CK83" s="382" t="str">
        <f t="shared" si="100"/>
        <v>n/a</v>
      </c>
    </row>
    <row r="84" spans="3:91" s="89" customFormat="1" ht="11.25" customHeight="1" outlineLevel="1" x14ac:dyDescent="0.2">
      <c r="C84" s="312" t="str">
        <f t="shared" si="94"/>
        <v>Beteiligungsergebnis</v>
      </c>
      <c r="D84" s="312" t="str">
        <f t="shared" si="94"/>
        <v>Investment income</v>
      </c>
      <c r="E84" s="312"/>
      <c r="F84" s="81" t="str">
        <f t="shared" ref="F84:AK84" si="101">IFERROR(F40/F$15,"n/a")</f>
        <v>n/a</v>
      </c>
      <c r="G84" s="81" t="str">
        <f t="shared" si="101"/>
        <v>n/a</v>
      </c>
      <c r="H84" s="81" t="str">
        <f t="shared" si="101"/>
        <v>n/a</v>
      </c>
      <c r="I84" s="81" t="str">
        <f t="shared" si="101"/>
        <v>n/a</v>
      </c>
      <c r="J84" s="81" t="str">
        <f t="shared" si="101"/>
        <v>n/a</v>
      </c>
      <c r="K84" s="81" t="str">
        <f t="shared" si="101"/>
        <v>n/a</v>
      </c>
      <c r="L84" s="81" t="str">
        <f t="shared" si="101"/>
        <v>n/a</v>
      </c>
      <c r="M84" s="81" t="str">
        <f t="shared" si="101"/>
        <v>n/a</v>
      </c>
      <c r="N84" s="81" t="str">
        <f t="shared" si="101"/>
        <v>n/a</v>
      </c>
      <c r="O84" s="81" t="str">
        <f t="shared" si="101"/>
        <v>n/a</v>
      </c>
      <c r="P84" s="81" t="str">
        <f t="shared" si="101"/>
        <v>n/a</v>
      </c>
      <c r="Q84" s="81" t="str">
        <f t="shared" si="101"/>
        <v>n/a</v>
      </c>
      <c r="R84" s="81">
        <f t="shared" si="101"/>
        <v>0</v>
      </c>
      <c r="S84" s="81">
        <f t="shared" si="101"/>
        <v>0</v>
      </c>
      <c r="T84" s="81">
        <f t="shared" si="101"/>
        <v>0</v>
      </c>
      <c r="U84" s="81">
        <f t="shared" si="101"/>
        <v>0</v>
      </c>
      <c r="V84" s="81">
        <f t="shared" si="101"/>
        <v>0</v>
      </c>
      <c r="W84" s="81">
        <f t="shared" si="101"/>
        <v>0</v>
      </c>
      <c r="X84" s="81">
        <f t="shared" si="101"/>
        <v>0</v>
      </c>
      <c r="Y84" s="81">
        <f t="shared" si="101"/>
        <v>0</v>
      </c>
      <c r="Z84" s="81">
        <f t="shared" si="101"/>
        <v>0</v>
      </c>
      <c r="AA84" s="81">
        <f t="shared" si="101"/>
        <v>0</v>
      </c>
      <c r="AB84" s="81">
        <f t="shared" si="101"/>
        <v>0</v>
      </c>
      <c r="AC84" s="81">
        <f t="shared" si="101"/>
        <v>0</v>
      </c>
      <c r="AD84" s="81">
        <f t="shared" si="101"/>
        <v>0</v>
      </c>
      <c r="AE84" s="81">
        <f t="shared" si="101"/>
        <v>0</v>
      </c>
      <c r="AF84" s="81">
        <f t="shared" si="101"/>
        <v>0</v>
      </c>
      <c r="AG84" s="81">
        <f t="shared" si="101"/>
        <v>0</v>
      </c>
      <c r="AH84" s="81">
        <f t="shared" si="101"/>
        <v>0</v>
      </c>
      <c r="AI84" s="81">
        <f t="shared" si="101"/>
        <v>0</v>
      </c>
      <c r="AJ84" s="81">
        <f t="shared" si="101"/>
        <v>0</v>
      </c>
      <c r="AK84" s="81">
        <f t="shared" si="101"/>
        <v>0</v>
      </c>
      <c r="AL84" s="81">
        <f t="shared" ref="AL84:BQ84" si="102">IFERROR(AL40/AL$15,"n/a")</f>
        <v>0</v>
      </c>
      <c r="AM84" s="81">
        <f t="shared" si="102"/>
        <v>0</v>
      </c>
      <c r="AN84" s="81">
        <f t="shared" si="102"/>
        <v>0</v>
      </c>
      <c r="AO84" s="81">
        <f t="shared" si="102"/>
        <v>0</v>
      </c>
      <c r="AP84" s="81">
        <f t="shared" si="102"/>
        <v>0</v>
      </c>
      <c r="AQ84" s="81">
        <f t="shared" si="102"/>
        <v>0</v>
      </c>
      <c r="AR84" s="81">
        <f t="shared" si="102"/>
        <v>0</v>
      </c>
      <c r="AS84" s="81">
        <f t="shared" si="102"/>
        <v>0</v>
      </c>
      <c r="AT84" s="81">
        <f t="shared" si="102"/>
        <v>0</v>
      </c>
      <c r="AU84" s="381">
        <f t="shared" si="102"/>
        <v>0</v>
      </c>
      <c r="AV84" s="381">
        <f t="shared" si="102"/>
        <v>0</v>
      </c>
      <c r="AW84" s="381">
        <f t="shared" si="102"/>
        <v>0</v>
      </c>
      <c r="AX84" s="381">
        <f t="shared" si="102"/>
        <v>0</v>
      </c>
      <c r="AY84" s="381">
        <f t="shared" si="102"/>
        <v>0</v>
      </c>
      <c r="AZ84" s="381">
        <f t="shared" si="102"/>
        <v>0</v>
      </c>
      <c r="BA84" s="381">
        <f t="shared" si="102"/>
        <v>0</v>
      </c>
      <c r="BB84" s="381" t="str">
        <f t="shared" si="102"/>
        <v>n/a</v>
      </c>
      <c r="BC84" s="381" t="str">
        <f t="shared" si="102"/>
        <v>n/a</v>
      </c>
      <c r="BD84" s="381" t="str">
        <f t="shared" si="102"/>
        <v>n/a</v>
      </c>
      <c r="BE84" s="381" t="str">
        <f t="shared" si="102"/>
        <v>n/a</v>
      </c>
      <c r="BF84" s="381" t="str">
        <f t="shared" si="102"/>
        <v>n/a</v>
      </c>
      <c r="BG84" s="381" t="str">
        <f t="shared" si="102"/>
        <v>n/a</v>
      </c>
      <c r="BH84" s="381" t="str">
        <f t="shared" si="102"/>
        <v>n/a</v>
      </c>
      <c r="BI84" s="381" t="str">
        <f t="shared" si="102"/>
        <v>n/a</v>
      </c>
      <c r="BJ84" s="381" t="str">
        <f t="shared" si="102"/>
        <v>n/a</v>
      </c>
      <c r="BK84" s="381" t="str">
        <f t="shared" si="102"/>
        <v>n/a</v>
      </c>
      <c r="BL84" s="381" t="str">
        <f t="shared" si="102"/>
        <v>n/a</v>
      </c>
      <c r="BM84" s="381" t="str">
        <f t="shared" si="102"/>
        <v>n/a</v>
      </c>
      <c r="BN84" s="381" t="str">
        <f t="shared" si="102"/>
        <v>n/a</v>
      </c>
      <c r="BO84" s="381" t="str">
        <f t="shared" si="102"/>
        <v>n/a</v>
      </c>
      <c r="BP84" s="381" t="str">
        <f t="shared" si="102"/>
        <v>n/a</v>
      </c>
      <c r="BQ84" s="381" t="str">
        <f t="shared" si="102"/>
        <v>n/a</v>
      </c>
      <c r="BR84" s="381" t="str">
        <f t="shared" ref="BR84:CK84" si="103">IFERROR(BR40/BR$15,"n/a")</f>
        <v>n/a</v>
      </c>
      <c r="BS84" s="381" t="str">
        <f t="shared" si="103"/>
        <v>n/a</v>
      </c>
      <c r="BT84" s="381" t="str">
        <f t="shared" si="103"/>
        <v>n/a</v>
      </c>
      <c r="BU84" s="381" t="str">
        <f t="shared" si="103"/>
        <v>n/a</v>
      </c>
      <c r="BV84" s="381" t="str">
        <f t="shared" si="103"/>
        <v>n/a</v>
      </c>
      <c r="BW84" s="381" t="str">
        <f t="shared" si="103"/>
        <v>n/a</v>
      </c>
      <c r="BX84" s="381" t="str">
        <f t="shared" si="103"/>
        <v>n/a</v>
      </c>
      <c r="BY84" s="381" t="str">
        <f t="shared" si="103"/>
        <v>n/a</v>
      </c>
      <c r="BZ84" s="381" t="str">
        <f t="shared" si="103"/>
        <v>n/a</v>
      </c>
      <c r="CA84" s="381" t="str">
        <f t="shared" si="103"/>
        <v>n/a</v>
      </c>
      <c r="CB84" s="381" t="str">
        <f t="shared" si="103"/>
        <v>n/a</v>
      </c>
      <c r="CC84" s="381" t="str">
        <f t="shared" si="103"/>
        <v>n/a</v>
      </c>
      <c r="CD84" s="381" t="str">
        <f t="shared" si="103"/>
        <v>n/a</v>
      </c>
      <c r="CE84" s="381" t="str">
        <f t="shared" si="103"/>
        <v>n/a</v>
      </c>
      <c r="CF84" s="381" t="str">
        <f t="shared" si="103"/>
        <v>n/a</v>
      </c>
      <c r="CG84" s="381" t="str">
        <f t="shared" si="103"/>
        <v>n/a</v>
      </c>
      <c r="CH84" s="381" t="str">
        <f t="shared" si="103"/>
        <v>n/a</v>
      </c>
      <c r="CI84" s="381" t="str">
        <f t="shared" si="103"/>
        <v>n/a</v>
      </c>
      <c r="CJ84" s="381" t="str">
        <f t="shared" si="103"/>
        <v>n/a</v>
      </c>
      <c r="CK84" s="381" t="str">
        <f t="shared" si="103"/>
        <v>n/a</v>
      </c>
    </row>
    <row r="85" spans="3:91" s="89" customFormat="1" ht="11.25" customHeight="1" outlineLevel="1" x14ac:dyDescent="0.2">
      <c r="C85" s="312" t="str">
        <f t="shared" si="94"/>
        <v>Zinserträge</v>
      </c>
      <c r="D85" s="312" t="str">
        <f t="shared" si="94"/>
        <v>Interest income</v>
      </c>
      <c r="E85" s="312"/>
      <c r="F85" s="81" t="str">
        <f t="shared" ref="F85:AK85" si="104">IFERROR(F41/F$15,"n/a")</f>
        <v>n/a</v>
      </c>
      <c r="G85" s="81" t="str">
        <f t="shared" si="104"/>
        <v>n/a</v>
      </c>
      <c r="H85" s="81" t="str">
        <f t="shared" si="104"/>
        <v>n/a</v>
      </c>
      <c r="I85" s="81" t="str">
        <f t="shared" si="104"/>
        <v>n/a</v>
      </c>
      <c r="J85" s="81" t="str">
        <f t="shared" si="104"/>
        <v>n/a</v>
      </c>
      <c r="K85" s="81" t="str">
        <f t="shared" si="104"/>
        <v>n/a</v>
      </c>
      <c r="L85" s="81" t="str">
        <f t="shared" si="104"/>
        <v>n/a</v>
      </c>
      <c r="M85" s="81" t="str">
        <f t="shared" si="104"/>
        <v>n/a</v>
      </c>
      <c r="N85" s="81" t="str">
        <f t="shared" si="104"/>
        <v>n/a</v>
      </c>
      <c r="O85" s="81" t="str">
        <f t="shared" si="104"/>
        <v>n/a</v>
      </c>
      <c r="P85" s="81" t="str">
        <f t="shared" si="104"/>
        <v>n/a</v>
      </c>
      <c r="Q85" s="81" t="str">
        <f t="shared" si="104"/>
        <v>n/a</v>
      </c>
      <c r="R85" s="81">
        <f t="shared" si="104"/>
        <v>0</v>
      </c>
      <c r="S85" s="81">
        <f t="shared" si="104"/>
        <v>1.6616614599217743E-3</v>
      </c>
      <c r="T85" s="81">
        <f t="shared" si="104"/>
        <v>0</v>
      </c>
      <c r="U85" s="81">
        <f t="shared" si="104"/>
        <v>0</v>
      </c>
      <c r="V85" s="81">
        <f t="shared" si="104"/>
        <v>1.9997845065545489E-3</v>
      </c>
      <c r="W85" s="81">
        <f t="shared" si="104"/>
        <v>3.6481465394505658E-6</v>
      </c>
      <c r="X85" s="81">
        <f t="shared" si="104"/>
        <v>0</v>
      </c>
      <c r="Y85" s="81">
        <f t="shared" si="104"/>
        <v>0</v>
      </c>
      <c r="Z85" s="81">
        <f t="shared" si="104"/>
        <v>0</v>
      </c>
      <c r="AA85" s="81">
        <f t="shared" si="104"/>
        <v>0</v>
      </c>
      <c r="AB85" s="81">
        <f t="shared" si="104"/>
        <v>0</v>
      </c>
      <c r="AC85" s="81">
        <f t="shared" si="104"/>
        <v>0</v>
      </c>
      <c r="AD85" s="81">
        <f t="shared" si="104"/>
        <v>0</v>
      </c>
      <c r="AE85" s="81">
        <f t="shared" si="104"/>
        <v>7.9960137981249476E-4</v>
      </c>
      <c r="AF85" s="81">
        <f t="shared" si="104"/>
        <v>5.8450574691172279E-5</v>
      </c>
      <c r="AG85" s="81">
        <f t="shared" si="104"/>
        <v>1.3650347002346929E-3</v>
      </c>
      <c r="AH85" s="81">
        <f t="shared" si="104"/>
        <v>6.3029824406472947E-5</v>
      </c>
      <c r="AI85" s="81">
        <f t="shared" si="104"/>
        <v>5.1818038788054843E-6</v>
      </c>
      <c r="AJ85" s="81">
        <f t="shared" si="104"/>
        <v>0</v>
      </c>
      <c r="AK85" s="81">
        <f t="shared" si="104"/>
        <v>0</v>
      </c>
      <c r="AL85" s="81">
        <f t="shared" ref="AL85:BQ85" si="105">IFERROR(AL41/AL$15,"n/a")</f>
        <v>0</v>
      </c>
      <c r="AM85" s="81">
        <f t="shared" si="105"/>
        <v>0</v>
      </c>
      <c r="AN85" s="81">
        <f t="shared" si="105"/>
        <v>0</v>
      </c>
      <c r="AO85" s="81">
        <f t="shared" si="105"/>
        <v>1.4772656467094222E-6</v>
      </c>
      <c r="AP85" s="81">
        <f t="shared" si="105"/>
        <v>0</v>
      </c>
      <c r="AQ85" s="81">
        <f t="shared" si="105"/>
        <v>0</v>
      </c>
      <c r="AR85" s="81">
        <f t="shared" si="105"/>
        <v>1.1626718409975788E-3</v>
      </c>
      <c r="AS85" s="81">
        <f t="shared" si="105"/>
        <v>6.6035296350158007E-4</v>
      </c>
      <c r="AT85" s="81">
        <f t="shared" si="105"/>
        <v>0</v>
      </c>
      <c r="AU85" s="381">
        <f t="shared" si="105"/>
        <v>5.9259665402891074E-6</v>
      </c>
      <c r="AV85" s="381">
        <f t="shared" si="105"/>
        <v>0</v>
      </c>
      <c r="AW85" s="381">
        <f t="shared" si="105"/>
        <v>0</v>
      </c>
      <c r="AX85" s="381">
        <f t="shared" si="105"/>
        <v>0</v>
      </c>
      <c r="AY85" s="381">
        <f t="shared" si="105"/>
        <v>0</v>
      </c>
      <c r="AZ85" s="381">
        <f t="shared" si="105"/>
        <v>0</v>
      </c>
      <c r="BA85" s="381">
        <f t="shared" si="105"/>
        <v>1.6754085846586362E-6</v>
      </c>
      <c r="BB85" s="381" t="str">
        <f t="shared" si="105"/>
        <v>n/a</v>
      </c>
      <c r="BC85" s="381" t="str">
        <f t="shared" si="105"/>
        <v>n/a</v>
      </c>
      <c r="BD85" s="381" t="str">
        <f t="shared" si="105"/>
        <v>n/a</v>
      </c>
      <c r="BE85" s="381" t="str">
        <f t="shared" si="105"/>
        <v>n/a</v>
      </c>
      <c r="BF85" s="381" t="str">
        <f t="shared" si="105"/>
        <v>n/a</v>
      </c>
      <c r="BG85" s="381" t="str">
        <f t="shared" si="105"/>
        <v>n/a</v>
      </c>
      <c r="BH85" s="381" t="str">
        <f t="shared" si="105"/>
        <v>n/a</v>
      </c>
      <c r="BI85" s="381" t="str">
        <f t="shared" si="105"/>
        <v>n/a</v>
      </c>
      <c r="BJ85" s="381" t="str">
        <f t="shared" si="105"/>
        <v>n/a</v>
      </c>
      <c r="BK85" s="381" t="str">
        <f t="shared" si="105"/>
        <v>n/a</v>
      </c>
      <c r="BL85" s="381" t="str">
        <f t="shared" si="105"/>
        <v>n/a</v>
      </c>
      <c r="BM85" s="381" t="str">
        <f t="shared" si="105"/>
        <v>n/a</v>
      </c>
      <c r="BN85" s="381" t="str">
        <f t="shared" si="105"/>
        <v>n/a</v>
      </c>
      <c r="BO85" s="381" t="str">
        <f t="shared" si="105"/>
        <v>n/a</v>
      </c>
      <c r="BP85" s="381" t="str">
        <f t="shared" si="105"/>
        <v>n/a</v>
      </c>
      <c r="BQ85" s="381" t="str">
        <f t="shared" si="105"/>
        <v>n/a</v>
      </c>
      <c r="BR85" s="381" t="str">
        <f t="shared" ref="BR85:CK85" si="106">IFERROR(BR41/BR$15,"n/a")</f>
        <v>n/a</v>
      </c>
      <c r="BS85" s="381" t="str">
        <f t="shared" si="106"/>
        <v>n/a</v>
      </c>
      <c r="BT85" s="381" t="str">
        <f t="shared" si="106"/>
        <v>n/a</v>
      </c>
      <c r="BU85" s="381" t="str">
        <f t="shared" si="106"/>
        <v>n/a</v>
      </c>
      <c r="BV85" s="381" t="str">
        <f t="shared" si="106"/>
        <v>n/a</v>
      </c>
      <c r="BW85" s="381" t="str">
        <f t="shared" si="106"/>
        <v>n/a</v>
      </c>
      <c r="BX85" s="381" t="str">
        <f t="shared" si="106"/>
        <v>n/a</v>
      </c>
      <c r="BY85" s="381" t="str">
        <f t="shared" si="106"/>
        <v>n/a</v>
      </c>
      <c r="BZ85" s="381" t="str">
        <f t="shared" si="106"/>
        <v>n/a</v>
      </c>
      <c r="CA85" s="381" t="str">
        <f t="shared" si="106"/>
        <v>n/a</v>
      </c>
      <c r="CB85" s="381" t="str">
        <f t="shared" si="106"/>
        <v>n/a</v>
      </c>
      <c r="CC85" s="381" t="str">
        <f t="shared" si="106"/>
        <v>n/a</v>
      </c>
      <c r="CD85" s="381" t="str">
        <f t="shared" si="106"/>
        <v>n/a</v>
      </c>
      <c r="CE85" s="381" t="str">
        <f t="shared" si="106"/>
        <v>n/a</v>
      </c>
      <c r="CF85" s="381" t="str">
        <f t="shared" si="106"/>
        <v>n/a</v>
      </c>
      <c r="CG85" s="381" t="str">
        <f t="shared" si="106"/>
        <v>n/a</v>
      </c>
      <c r="CH85" s="381" t="str">
        <f t="shared" si="106"/>
        <v>n/a</v>
      </c>
      <c r="CI85" s="381" t="str">
        <f t="shared" si="106"/>
        <v>n/a</v>
      </c>
      <c r="CJ85" s="381" t="str">
        <f t="shared" si="106"/>
        <v>n/a</v>
      </c>
      <c r="CK85" s="381" t="str">
        <f t="shared" si="106"/>
        <v>n/a</v>
      </c>
    </row>
    <row r="86" spans="3:91" s="89" customFormat="1" ht="11.25" customHeight="1" outlineLevel="1" x14ac:dyDescent="0.2">
      <c r="C86" s="312" t="str">
        <f t="shared" si="94"/>
        <v>Zinsaufwendungen</v>
      </c>
      <c r="D86" s="312" t="str">
        <f t="shared" si="94"/>
        <v>Interest expenses</v>
      </c>
      <c r="E86" s="312"/>
      <c r="F86" s="81" t="str">
        <f t="shared" ref="F86:AK86" si="107">IFERROR(F42/F$15,"n/a")</f>
        <v>n/a</v>
      </c>
      <c r="G86" s="81" t="str">
        <f t="shared" si="107"/>
        <v>n/a</v>
      </c>
      <c r="H86" s="81" t="str">
        <f t="shared" si="107"/>
        <v>n/a</v>
      </c>
      <c r="I86" s="81" t="str">
        <f t="shared" si="107"/>
        <v>n/a</v>
      </c>
      <c r="J86" s="81" t="str">
        <f t="shared" si="107"/>
        <v>n/a</v>
      </c>
      <c r="K86" s="81" t="str">
        <f t="shared" si="107"/>
        <v>n/a</v>
      </c>
      <c r="L86" s="81" t="str">
        <f t="shared" si="107"/>
        <v>n/a</v>
      </c>
      <c r="M86" s="81" t="str">
        <f t="shared" si="107"/>
        <v>n/a</v>
      </c>
      <c r="N86" s="81" t="str">
        <f t="shared" si="107"/>
        <v>n/a</v>
      </c>
      <c r="O86" s="81" t="str">
        <f t="shared" si="107"/>
        <v>n/a</v>
      </c>
      <c r="P86" s="81" t="str">
        <f t="shared" si="107"/>
        <v>n/a</v>
      </c>
      <c r="Q86" s="81" t="str">
        <f t="shared" si="107"/>
        <v>n/a</v>
      </c>
      <c r="R86" s="81">
        <f t="shared" si="107"/>
        <v>-1.1870006570692966E-4</v>
      </c>
      <c r="S86" s="81">
        <f t="shared" si="107"/>
        <v>0</v>
      </c>
      <c r="T86" s="81">
        <f t="shared" si="107"/>
        <v>0</v>
      </c>
      <c r="U86" s="81">
        <f t="shared" si="107"/>
        <v>0</v>
      </c>
      <c r="V86" s="81">
        <f t="shared" si="107"/>
        <v>0</v>
      </c>
      <c r="W86" s="81">
        <f t="shared" si="107"/>
        <v>0</v>
      </c>
      <c r="X86" s="81">
        <f t="shared" si="107"/>
        <v>0</v>
      </c>
      <c r="Y86" s="81">
        <f t="shared" si="107"/>
        <v>0</v>
      </c>
      <c r="Z86" s="81">
        <f t="shared" si="107"/>
        <v>-2.7002120815268447E-3</v>
      </c>
      <c r="AA86" s="81">
        <f t="shared" si="107"/>
        <v>0</v>
      </c>
      <c r="AB86" s="81">
        <f t="shared" si="107"/>
        <v>0</v>
      </c>
      <c r="AC86" s="81">
        <f t="shared" si="107"/>
        <v>0</v>
      </c>
      <c r="AD86" s="81">
        <f t="shared" si="107"/>
        <v>0</v>
      </c>
      <c r="AE86" s="81">
        <f t="shared" si="107"/>
        <v>0</v>
      </c>
      <c r="AF86" s="81">
        <f t="shared" si="107"/>
        <v>0</v>
      </c>
      <c r="AG86" s="81">
        <f t="shared" si="107"/>
        <v>0</v>
      </c>
      <c r="AH86" s="81">
        <f t="shared" si="107"/>
        <v>0</v>
      </c>
      <c r="AI86" s="81">
        <f t="shared" si="107"/>
        <v>0</v>
      </c>
      <c r="AJ86" s="81">
        <f t="shared" si="107"/>
        <v>0</v>
      </c>
      <c r="AK86" s="81">
        <f t="shared" si="107"/>
        <v>0</v>
      </c>
      <c r="AL86" s="81">
        <f t="shared" ref="AL86:BQ86" si="108">IFERROR(AL42/AL$15,"n/a")</f>
        <v>0</v>
      </c>
      <c r="AM86" s="81">
        <f t="shared" si="108"/>
        <v>0</v>
      </c>
      <c r="AN86" s="81">
        <f t="shared" si="108"/>
        <v>0</v>
      </c>
      <c r="AO86" s="81">
        <f t="shared" si="108"/>
        <v>-2.3125274712055824E-3</v>
      </c>
      <c r="AP86" s="81">
        <f t="shared" si="108"/>
        <v>0</v>
      </c>
      <c r="AQ86" s="81">
        <f t="shared" si="108"/>
        <v>0</v>
      </c>
      <c r="AR86" s="81">
        <f t="shared" si="108"/>
        <v>-7.590458395804961E-5</v>
      </c>
      <c r="AS86" s="81">
        <f t="shared" si="108"/>
        <v>0</v>
      </c>
      <c r="AT86" s="81">
        <f t="shared" si="108"/>
        <v>0</v>
      </c>
      <c r="AU86" s="381">
        <f t="shared" si="108"/>
        <v>-2.8938785485085229E-5</v>
      </c>
      <c r="AV86" s="381">
        <f t="shared" si="108"/>
        <v>-4.6809319492556033E-5</v>
      </c>
      <c r="AW86" s="381">
        <f t="shared" si="108"/>
        <v>0</v>
      </c>
      <c r="AX86" s="381">
        <f t="shared" si="108"/>
        <v>-3.9129318492692022E-5</v>
      </c>
      <c r="AY86" s="381">
        <f t="shared" si="108"/>
        <v>-1.1209841855114481E-5</v>
      </c>
      <c r="AZ86" s="381">
        <f t="shared" si="108"/>
        <v>0</v>
      </c>
      <c r="BA86" s="381">
        <f t="shared" si="108"/>
        <v>-2.7094049434874912E-3</v>
      </c>
      <c r="BB86" s="381" t="str">
        <f t="shared" si="108"/>
        <v>n/a</v>
      </c>
      <c r="BC86" s="381" t="str">
        <f t="shared" si="108"/>
        <v>n/a</v>
      </c>
      <c r="BD86" s="381" t="str">
        <f t="shared" si="108"/>
        <v>n/a</v>
      </c>
      <c r="BE86" s="381" t="str">
        <f t="shared" si="108"/>
        <v>n/a</v>
      </c>
      <c r="BF86" s="381" t="str">
        <f t="shared" si="108"/>
        <v>n/a</v>
      </c>
      <c r="BG86" s="381" t="str">
        <f t="shared" si="108"/>
        <v>n/a</v>
      </c>
      <c r="BH86" s="381" t="str">
        <f t="shared" si="108"/>
        <v>n/a</v>
      </c>
      <c r="BI86" s="381" t="str">
        <f t="shared" si="108"/>
        <v>n/a</v>
      </c>
      <c r="BJ86" s="381" t="str">
        <f t="shared" si="108"/>
        <v>n/a</v>
      </c>
      <c r="BK86" s="381" t="str">
        <f t="shared" si="108"/>
        <v>n/a</v>
      </c>
      <c r="BL86" s="381" t="str">
        <f t="shared" si="108"/>
        <v>n/a</v>
      </c>
      <c r="BM86" s="381" t="str">
        <f t="shared" si="108"/>
        <v>n/a</v>
      </c>
      <c r="BN86" s="381" t="str">
        <f t="shared" si="108"/>
        <v>n/a</v>
      </c>
      <c r="BO86" s="381" t="str">
        <f t="shared" si="108"/>
        <v>n/a</v>
      </c>
      <c r="BP86" s="381" t="str">
        <f t="shared" si="108"/>
        <v>n/a</v>
      </c>
      <c r="BQ86" s="381" t="str">
        <f t="shared" si="108"/>
        <v>n/a</v>
      </c>
      <c r="BR86" s="381" t="str">
        <f t="shared" ref="BR86:CK86" si="109">IFERROR(BR42/BR$15,"n/a")</f>
        <v>n/a</v>
      </c>
      <c r="BS86" s="381" t="str">
        <f t="shared" si="109"/>
        <v>n/a</v>
      </c>
      <c r="BT86" s="381" t="str">
        <f t="shared" si="109"/>
        <v>n/a</v>
      </c>
      <c r="BU86" s="381" t="str">
        <f t="shared" si="109"/>
        <v>n/a</v>
      </c>
      <c r="BV86" s="381" t="str">
        <f t="shared" si="109"/>
        <v>n/a</v>
      </c>
      <c r="BW86" s="381" t="str">
        <f t="shared" si="109"/>
        <v>n/a</v>
      </c>
      <c r="BX86" s="381" t="str">
        <f t="shared" si="109"/>
        <v>n/a</v>
      </c>
      <c r="BY86" s="381" t="str">
        <f t="shared" si="109"/>
        <v>n/a</v>
      </c>
      <c r="BZ86" s="381" t="str">
        <f t="shared" si="109"/>
        <v>n/a</v>
      </c>
      <c r="CA86" s="381" t="str">
        <f t="shared" si="109"/>
        <v>n/a</v>
      </c>
      <c r="CB86" s="381" t="str">
        <f t="shared" si="109"/>
        <v>n/a</v>
      </c>
      <c r="CC86" s="381" t="str">
        <f t="shared" si="109"/>
        <v>n/a</v>
      </c>
      <c r="CD86" s="381" t="str">
        <f t="shared" si="109"/>
        <v>n/a</v>
      </c>
      <c r="CE86" s="381" t="str">
        <f t="shared" si="109"/>
        <v>n/a</v>
      </c>
      <c r="CF86" s="381" t="str">
        <f t="shared" si="109"/>
        <v>n/a</v>
      </c>
      <c r="CG86" s="381" t="str">
        <f t="shared" si="109"/>
        <v>n/a</v>
      </c>
      <c r="CH86" s="381" t="str">
        <f t="shared" si="109"/>
        <v>n/a</v>
      </c>
      <c r="CI86" s="381" t="str">
        <f t="shared" si="109"/>
        <v>n/a</v>
      </c>
      <c r="CJ86" s="381" t="str">
        <f t="shared" si="109"/>
        <v>n/a</v>
      </c>
      <c r="CK86" s="381" t="str">
        <f t="shared" si="109"/>
        <v>n/a</v>
      </c>
    </row>
    <row r="87" spans="3:91" s="89" customFormat="1" ht="11.25" customHeight="1" outlineLevel="2" x14ac:dyDescent="0.2">
      <c r="C87" s="312" t="str">
        <f t="shared" si="94"/>
        <v>Abschreibungen auf Finanzanlagen</v>
      </c>
      <c r="D87" s="312" t="str">
        <f t="shared" si="94"/>
        <v>Abschreibungn auf Finanzanlagen</v>
      </c>
      <c r="E87" s="312"/>
      <c r="F87" s="81" t="str">
        <f t="shared" ref="F87:AK87" si="110">IFERROR(F43/F$15,"n/a")</f>
        <v>n/a</v>
      </c>
      <c r="G87" s="81" t="str">
        <f t="shared" si="110"/>
        <v>n/a</v>
      </c>
      <c r="H87" s="81" t="str">
        <f t="shared" si="110"/>
        <v>n/a</v>
      </c>
      <c r="I87" s="81" t="str">
        <f t="shared" si="110"/>
        <v>n/a</v>
      </c>
      <c r="J87" s="81" t="str">
        <f t="shared" si="110"/>
        <v>n/a</v>
      </c>
      <c r="K87" s="81" t="str">
        <f t="shared" si="110"/>
        <v>n/a</v>
      </c>
      <c r="L87" s="81" t="str">
        <f t="shared" si="110"/>
        <v>n/a</v>
      </c>
      <c r="M87" s="81" t="str">
        <f t="shared" si="110"/>
        <v>n/a</v>
      </c>
      <c r="N87" s="81" t="str">
        <f t="shared" si="110"/>
        <v>n/a</v>
      </c>
      <c r="O87" s="81" t="str">
        <f t="shared" si="110"/>
        <v>n/a</v>
      </c>
      <c r="P87" s="81" t="str">
        <f t="shared" si="110"/>
        <v>n/a</v>
      </c>
      <c r="Q87" s="81" t="str">
        <f t="shared" si="110"/>
        <v>n/a</v>
      </c>
      <c r="R87" s="81">
        <f t="shared" si="110"/>
        <v>0</v>
      </c>
      <c r="S87" s="81">
        <f t="shared" si="110"/>
        <v>0</v>
      </c>
      <c r="T87" s="81">
        <f t="shared" si="110"/>
        <v>0</v>
      </c>
      <c r="U87" s="81">
        <f t="shared" si="110"/>
        <v>0</v>
      </c>
      <c r="V87" s="81">
        <f t="shared" si="110"/>
        <v>0</v>
      </c>
      <c r="W87" s="81">
        <f t="shared" si="110"/>
        <v>0</v>
      </c>
      <c r="X87" s="81">
        <f t="shared" si="110"/>
        <v>0</v>
      </c>
      <c r="Y87" s="81">
        <f t="shared" si="110"/>
        <v>0</v>
      </c>
      <c r="Z87" s="81">
        <f t="shared" si="110"/>
        <v>-2.7727181975716626E-3</v>
      </c>
      <c r="AA87" s="81">
        <f t="shared" si="110"/>
        <v>3.3743930225397629E-3</v>
      </c>
      <c r="AB87" s="81">
        <f t="shared" si="110"/>
        <v>0</v>
      </c>
      <c r="AC87" s="81">
        <f t="shared" si="110"/>
        <v>-2.2379990034864201E-2</v>
      </c>
      <c r="AD87" s="81">
        <f t="shared" si="110"/>
        <v>0</v>
      </c>
      <c r="AE87" s="81">
        <f t="shared" si="110"/>
        <v>0</v>
      </c>
      <c r="AF87" s="81">
        <f t="shared" si="110"/>
        <v>0</v>
      </c>
      <c r="AG87" s="81">
        <f t="shared" si="110"/>
        <v>0</v>
      </c>
      <c r="AH87" s="81">
        <f t="shared" si="110"/>
        <v>0</v>
      </c>
      <c r="AI87" s="81">
        <f t="shared" si="110"/>
        <v>0</v>
      </c>
      <c r="AJ87" s="81">
        <f t="shared" si="110"/>
        <v>0</v>
      </c>
      <c r="AK87" s="81">
        <f t="shared" si="110"/>
        <v>0</v>
      </c>
      <c r="AL87" s="81">
        <f t="shared" ref="AL87:BQ87" si="111">IFERROR(AL43/AL$15,"n/a")</f>
        <v>0</v>
      </c>
      <c r="AM87" s="81">
        <f t="shared" si="111"/>
        <v>0</v>
      </c>
      <c r="AN87" s="81">
        <f t="shared" si="111"/>
        <v>0</v>
      </c>
      <c r="AO87" s="81">
        <f t="shared" si="111"/>
        <v>-2.6863086545027511E-3</v>
      </c>
      <c r="AP87" s="81">
        <f t="shared" si="111"/>
        <v>0</v>
      </c>
      <c r="AQ87" s="81">
        <f t="shared" si="111"/>
        <v>0</v>
      </c>
      <c r="AR87" s="81">
        <f t="shared" si="111"/>
        <v>0</v>
      </c>
      <c r="AS87" s="81">
        <f t="shared" si="111"/>
        <v>0</v>
      </c>
      <c r="AT87" s="81">
        <f t="shared" si="111"/>
        <v>0</v>
      </c>
      <c r="AU87" s="381">
        <f t="shared" si="111"/>
        <v>0</v>
      </c>
      <c r="AV87" s="381">
        <f t="shared" si="111"/>
        <v>0</v>
      </c>
      <c r="AW87" s="381">
        <f t="shared" si="111"/>
        <v>0</v>
      </c>
      <c r="AX87" s="381">
        <f t="shared" si="111"/>
        <v>0</v>
      </c>
      <c r="AY87" s="381">
        <f t="shared" si="111"/>
        <v>0</v>
      </c>
      <c r="AZ87" s="381">
        <f t="shared" si="111"/>
        <v>0</v>
      </c>
      <c r="BA87" s="381">
        <f t="shared" si="111"/>
        <v>-5.3104468531600755E-4</v>
      </c>
      <c r="BB87" s="381" t="str">
        <f t="shared" si="111"/>
        <v>n/a</v>
      </c>
      <c r="BC87" s="381" t="str">
        <f t="shared" si="111"/>
        <v>n/a</v>
      </c>
      <c r="BD87" s="381" t="str">
        <f t="shared" si="111"/>
        <v>n/a</v>
      </c>
      <c r="BE87" s="381" t="str">
        <f t="shared" si="111"/>
        <v>n/a</v>
      </c>
      <c r="BF87" s="381" t="str">
        <f t="shared" si="111"/>
        <v>n/a</v>
      </c>
      <c r="BG87" s="381" t="str">
        <f t="shared" si="111"/>
        <v>n/a</v>
      </c>
      <c r="BH87" s="381" t="str">
        <f t="shared" si="111"/>
        <v>n/a</v>
      </c>
      <c r="BI87" s="381" t="str">
        <f t="shared" si="111"/>
        <v>n/a</v>
      </c>
      <c r="BJ87" s="381" t="str">
        <f t="shared" si="111"/>
        <v>n/a</v>
      </c>
      <c r="BK87" s="381" t="str">
        <f t="shared" si="111"/>
        <v>n/a</v>
      </c>
      <c r="BL87" s="381" t="str">
        <f t="shared" si="111"/>
        <v>n/a</v>
      </c>
      <c r="BM87" s="381" t="str">
        <f t="shared" si="111"/>
        <v>n/a</v>
      </c>
      <c r="BN87" s="381" t="str">
        <f t="shared" si="111"/>
        <v>n/a</v>
      </c>
      <c r="BO87" s="381" t="str">
        <f t="shared" si="111"/>
        <v>n/a</v>
      </c>
      <c r="BP87" s="381" t="str">
        <f t="shared" si="111"/>
        <v>n/a</v>
      </c>
      <c r="BQ87" s="381" t="str">
        <f t="shared" si="111"/>
        <v>n/a</v>
      </c>
      <c r="BR87" s="381" t="str">
        <f t="shared" ref="BR87:CK87" si="112">IFERROR(BR43/BR$15,"n/a")</f>
        <v>n/a</v>
      </c>
      <c r="BS87" s="381" t="str">
        <f t="shared" si="112"/>
        <v>n/a</v>
      </c>
      <c r="BT87" s="381" t="str">
        <f t="shared" si="112"/>
        <v>n/a</v>
      </c>
      <c r="BU87" s="381" t="str">
        <f t="shared" si="112"/>
        <v>n/a</v>
      </c>
      <c r="BV87" s="381" t="str">
        <f t="shared" si="112"/>
        <v>n/a</v>
      </c>
      <c r="BW87" s="381" t="str">
        <f t="shared" si="112"/>
        <v>n/a</v>
      </c>
      <c r="BX87" s="381" t="str">
        <f t="shared" si="112"/>
        <v>n/a</v>
      </c>
      <c r="BY87" s="381" t="str">
        <f t="shared" si="112"/>
        <v>n/a</v>
      </c>
      <c r="BZ87" s="381" t="str">
        <f t="shared" si="112"/>
        <v>n/a</v>
      </c>
      <c r="CA87" s="381" t="str">
        <f t="shared" si="112"/>
        <v>n/a</v>
      </c>
      <c r="CB87" s="381" t="str">
        <f t="shared" si="112"/>
        <v>n/a</v>
      </c>
      <c r="CC87" s="381" t="str">
        <f t="shared" si="112"/>
        <v>n/a</v>
      </c>
      <c r="CD87" s="381" t="str">
        <f t="shared" si="112"/>
        <v>n/a</v>
      </c>
      <c r="CE87" s="381" t="str">
        <f t="shared" si="112"/>
        <v>n/a</v>
      </c>
      <c r="CF87" s="381" t="str">
        <f t="shared" si="112"/>
        <v>n/a</v>
      </c>
      <c r="CG87" s="381" t="str">
        <f t="shared" si="112"/>
        <v>n/a</v>
      </c>
      <c r="CH87" s="381" t="str">
        <f t="shared" si="112"/>
        <v>n/a</v>
      </c>
      <c r="CI87" s="381" t="str">
        <f t="shared" si="112"/>
        <v>n/a</v>
      </c>
      <c r="CJ87" s="381" t="str">
        <f t="shared" si="112"/>
        <v>n/a</v>
      </c>
      <c r="CK87" s="381" t="str">
        <f t="shared" si="112"/>
        <v>n/a</v>
      </c>
    </row>
    <row r="88" spans="3:91" s="89" customFormat="1" ht="11.25" customHeight="1" outlineLevel="2" x14ac:dyDescent="0.2">
      <c r="C88" s="312" t="str">
        <f t="shared" si="94"/>
        <v>Dummy 2</v>
      </c>
      <c r="D88" s="312" t="str">
        <f t="shared" si="94"/>
        <v>Dummy 2</v>
      </c>
      <c r="E88" s="312"/>
      <c r="F88" s="81" t="str">
        <f t="shared" ref="F88:AK88" si="113">IFERROR(F44/F$15,"n/a")</f>
        <v>n/a</v>
      </c>
      <c r="G88" s="81" t="str">
        <f t="shared" si="113"/>
        <v>n/a</v>
      </c>
      <c r="H88" s="81" t="str">
        <f t="shared" si="113"/>
        <v>n/a</v>
      </c>
      <c r="I88" s="81" t="str">
        <f t="shared" si="113"/>
        <v>n/a</v>
      </c>
      <c r="J88" s="81" t="str">
        <f t="shared" si="113"/>
        <v>n/a</v>
      </c>
      <c r="K88" s="81" t="str">
        <f t="shared" si="113"/>
        <v>n/a</v>
      </c>
      <c r="L88" s="81" t="str">
        <f t="shared" si="113"/>
        <v>n/a</v>
      </c>
      <c r="M88" s="81" t="str">
        <f t="shared" si="113"/>
        <v>n/a</v>
      </c>
      <c r="N88" s="81" t="str">
        <f t="shared" si="113"/>
        <v>n/a</v>
      </c>
      <c r="O88" s="81" t="str">
        <f t="shared" si="113"/>
        <v>n/a</v>
      </c>
      <c r="P88" s="81" t="str">
        <f t="shared" si="113"/>
        <v>n/a</v>
      </c>
      <c r="Q88" s="81" t="str">
        <f t="shared" si="113"/>
        <v>n/a</v>
      </c>
      <c r="R88" s="81">
        <f t="shared" si="113"/>
        <v>0</v>
      </c>
      <c r="S88" s="81">
        <f t="shared" si="113"/>
        <v>0</v>
      </c>
      <c r="T88" s="81">
        <f t="shared" si="113"/>
        <v>0</v>
      </c>
      <c r="U88" s="81">
        <f t="shared" si="113"/>
        <v>0</v>
      </c>
      <c r="V88" s="81">
        <f t="shared" si="113"/>
        <v>0</v>
      </c>
      <c r="W88" s="81">
        <f t="shared" si="113"/>
        <v>0</v>
      </c>
      <c r="X88" s="81">
        <f t="shared" si="113"/>
        <v>0</v>
      </c>
      <c r="Y88" s="81">
        <f t="shared" si="113"/>
        <v>0</v>
      </c>
      <c r="Z88" s="81">
        <f t="shared" si="113"/>
        <v>0</v>
      </c>
      <c r="AA88" s="81">
        <f t="shared" si="113"/>
        <v>0</v>
      </c>
      <c r="AB88" s="81">
        <f t="shared" si="113"/>
        <v>0</v>
      </c>
      <c r="AC88" s="81">
        <f t="shared" si="113"/>
        <v>0</v>
      </c>
      <c r="AD88" s="81">
        <f t="shared" si="113"/>
        <v>0</v>
      </c>
      <c r="AE88" s="81">
        <f t="shared" si="113"/>
        <v>0</v>
      </c>
      <c r="AF88" s="81">
        <f t="shared" si="113"/>
        <v>0</v>
      </c>
      <c r="AG88" s="81">
        <f t="shared" si="113"/>
        <v>0</v>
      </c>
      <c r="AH88" s="81">
        <f t="shared" si="113"/>
        <v>0</v>
      </c>
      <c r="AI88" s="81">
        <f t="shared" si="113"/>
        <v>0</v>
      </c>
      <c r="AJ88" s="81">
        <f t="shared" si="113"/>
        <v>0</v>
      </c>
      <c r="AK88" s="81">
        <f t="shared" si="113"/>
        <v>0</v>
      </c>
      <c r="AL88" s="81">
        <f t="shared" ref="AL88:BQ88" si="114">IFERROR(AL44/AL$15,"n/a")</f>
        <v>0</v>
      </c>
      <c r="AM88" s="81">
        <f t="shared" si="114"/>
        <v>0</v>
      </c>
      <c r="AN88" s="81">
        <f t="shared" si="114"/>
        <v>0</v>
      </c>
      <c r="AO88" s="81">
        <f t="shared" si="114"/>
        <v>0</v>
      </c>
      <c r="AP88" s="81">
        <f t="shared" si="114"/>
        <v>0</v>
      </c>
      <c r="AQ88" s="81">
        <f t="shared" si="114"/>
        <v>0</v>
      </c>
      <c r="AR88" s="81">
        <f t="shared" si="114"/>
        <v>0</v>
      </c>
      <c r="AS88" s="81">
        <f t="shared" si="114"/>
        <v>0</v>
      </c>
      <c r="AT88" s="81">
        <f t="shared" si="114"/>
        <v>0</v>
      </c>
      <c r="AU88" s="381">
        <f t="shared" si="114"/>
        <v>0</v>
      </c>
      <c r="AV88" s="381">
        <f t="shared" si="114"/>
        <v>0</v>
      </c>
      <c r="AW88" s="381">
        <f t="shared" si="114"/>
        <v>0</v>
      </c>
      <c r="AX88" s="381">
        <f t="shared" si="114"/>
        <v>0</v>
      </c>
      <c r="AY88" s="381">
        <f t="shared" si="114"/>
        <v>0</v>
      </c>
      <c r="AZ88" s="381">
        <f t="shared" si="114"/>
        <v>0</v>
      </c>
      <c r="BA88" s="381">
        <f t="shared" si="114"/>
        <v>0</v>
      </c>
      <c r="BB88" s="381" t="str">
        <f t="shared" si="114"/>
        <v>n/a</v>
      </c>
      <c r="BC88" s="381" t="str">
        <f t="shared" si="114"/>
        <v>n/a</v>
      </c>
      <c r="BD88" s="381" t="str">
        <f t="shared" si="114"/>
        <v>n/a</v>
      </c>
      <c r="BE88" s="381" t="str">
        <f t="shared" si="114"/>
        <v>n/a</v>
      </c>
      <c r="BF88" s="381" t="str">
        <f t="shared" si="114"/>
        <v>n/a</v>
      </c>
      <c r="BG88" s="381" t="str">
        <f t="shared" si="114"/>
        <v>n/a</v>
      </c>
      <c r="BH88" s="381" t="str">
        <f t="shared" si="114"/>
        <v>n/a</v>
      </c>
      <c r="BI88" s="381" t="str">
        <f t="shared" si="114"/>
        <v>n/a</v>
      </c>
      <c r="BJ88" s="381" t="str">
        <f t="shared" si="114"/>
        <v>n/a</v>
      </c>
      <c r="BK88" s="381" t="str">
        <f t="shared" si="114"/>
        <v>n/a</v>
      </c>
      <c r="BL88" s="381" t="str">
        <f t="shared" si="114"/>
        <v>n/a</v>
      </c>
      <c r="BM88" s="381" t="str">
        <f t="shared" si="114"/>
        <v>n/a</v>
      </c>
      <c r="BN88" s="381" t="str">
        <f t="shared" si="114"/>
        <v>n/a</v>
      </c>
      <c r="BO88" s="381" t="str">
        <f t="shared" si="114"/>
        <v>n/a</v>
      </c>
      <c r="BP88" s="381" t="str">
        <f t="shared" si="114"/>
        <v>n/a</v>
      </c>
      <c r="BQ88" s="381" t="str">
        <f t="shared" si="114"/>
        <v>n/a</v>
      </c>
      <c r="BR88" s="381" t="str">
        <f t="shared" ref="BR88:CK88" si="115">IFERROR(BR44/BR$15,"n/a")</f>
        <v>n/a</v>
      </c>
      <c r="BS88" s="381" t="str">
        <f t="shared" si="115"/>
        <v>n/a</v>
      </c>
      <c r="BT88" s="381" t="str">
        <f t="shared" si="115"/>
        <v>n/a</v>
      </c>
      <c r="BU88" s="381" t="str">
        <f t="shared" si="115"/>
        <v>n/a</v>
      </c>
      <c r="BV88" s="381" t="str">
        <f t="shared" si="115"/>
        <v>n/a</v>
      </c>
      <c r="BW88" s="381" t="str">
        <f t="shared" si="115"/>
        <v>n/a</v>
      </c>
      <c r="BX88" s="381" t="str">
        <f t="shared" si="115"/>
        <v>n/a</v>
      </c>
      <c r="BY88" s="381" t="str">
        <f t="shared" si="115"/>
        <v>n/a</v>
      </c>
      <c r="BZ88" s="381" t="str">
        <f t="shared" si="115"/>
        <v>n/a</v>
      </c>
      <c r="CA88" s="381" t="str">
        <f t="shared" si="115"/>
        <v>n/a</v>
      </c>
      <c r="CB88" s="381" t="str">
        <f t="shared" si="115"/>
        <v>n/a</v>
      </c>
      <c r="CC88" s="381" t="str">
        <f t="shared" si="115"/>
        <v>n/a</v>
      </c>
      <c r="CD88" s="381" t="str">
        <f t="shared" si="115"/>
        <v>n/a</v>
      </c>
      <c r="CE88" s="381" t="str">
        <f t="shared" si="115"/>
        <v>n/a</v>
      </c>
      <c r="CF88" s="381" t="str">
        <f t="shared" si="115"/>
        <v>n/a</v>
      </c>
      <c r="CG88" s="381" t="str">
        <f t="shared" si="115"/>
        <v>n/a</v>
      </c>
      <c r="CH88" s="381" t="str">
        <f t="shared" si="115"/>
        <v>n/a</v>
      </c>
      <c r="CI88" s="381" t="str">
        <f t="shared" si="115"/>
        <v>n/a</v>
      </c>
      <c r="CJ88" s="381" t="str">
        <f t="shared" si="115"/>
        <v>n/a</v>
      </c>
      <c r="CK88" s="381" t="str">
        <f t="shared" si="115"/>
        <v>n/a</v>
      </c>
    </row>
    <row r="89" spans="3:91" s="89" customFormat="1" ht="11.25" customHeight="1" outlineLevel="2" x14ac:dyDescent="0.2">
      <c r="C89" s="312" t="str">
        <f t="shared" si="94"/>
        <v>Dummy 3</v>
      </c>
      <c r="D89" s="312" t="str">
        <f t="shared" si="94"/>
        <v>Dummy 3</v>
      </c>
      <c r="E89" s="312"/>
      <c r="F89" s="81" t="str">
        <f t="shared" ref="F89:AK89" si="116">IFERROR(F45/F$15,"n/a")</f>
        <v>n/a</v>
      </c>
      <c r="G89" s="81" t="str">
        <f t="shared" si="116"/>
        <v>n/a</v>
      </c>
      <c r="H89" s="81" t="str">
        <f t="shared" si="116"/>
        <v>n/a</v>
      </c>
      <c r="I89" s="81" t="str">
        <f t="shared" si="116"/>
        <v>n/a</v>
      </c>
      <c r="J89" s="81" t="str">
        <f t="shared" si="116"/>
        <v>n/a</v>
      </c>
      <c r="K89" s="81" t="str">
        <f t="shared" si="116"/>
        <v>n/a</v>
      </c>
      <c r="L89" s="81" t="str">
        <f t="shared" si="116"/>
        <v>n/a</v>
      </c>
      <c r="M89" s="81" t="str">
        <f t="shared" si="116"/>
        <v>n/a</v>
      </c>
      <c r="N89" s="81" t="str">
        <f t="shared" si="116"/>
        <v>n/a</v>
      </c>
      <c r="O89" s="81" t="str">
        <f t="shared" si="116"/>
        <v>n/a</v>
      </c>
      <c r="P89" s="81" t="str">
        <f t="shared" si="116"/>
        <v>n/a</v>
      </c>
      <c r="Q89" s="81" t="str">
        <f t="shared" si="116"/>
        <v>n/a</v>
      </c>
      <c r="R89" s="81">
        <f t="shared" si="116"/>
        <v>0</v>
      </c>
      <c r="S89" s="81">
        <f t="shared" si="116"/>
        <v>0</v>
      </c>
      <c r="T89" s="81">
        <f t="shared" si="116"/>
        <v>0</v>
      </c>
      <c r="U89" s="81">
        <f t="shared" si="116"/>
        <v>0</v>
      </c>
      <c r="V89" s="81">
        <f t="shared" si="116"/>
        <v>0</v>
      </c>
      <c r="W89" s="81">
        <f t="shared" si="116"/>
        <v>0</v>
      </c>
      <c r="X89" s="81">
        <f t="shared" si="116"/>
        <v>0</v>
      </c>
      <c r="Y89" s="81">
        <f t="shared" si="116"/>
        <v>0</v>
      </c>
      <c r="Z89" s="81">
        <f t="shared" si="116"/>
        <v>0</v>
      </c>
      <c r="AA89" s="81">
        <f t="shared" si="116"/>
        <v>0</v>
      </c>
      <c r="AB89" s="81">
        <f t="shared" si="116"/>
        <v>0</v>
      </c>
      <c r="AC89" s="81">
        <f t="shared" si="116"/>
        <v>0</v>
      </c>
      <c r="AD89" s="81">
        <f t="shared" si="116"/>
        <v>0</v>
      </c>
      <c r="AE89" s="81">
        <f t="shared" si="116"/>
        <v>0</v>
      </c>
      <c r="AF89" s="81">
        <f t="shared" si="116"/>
        <v>0</v>
      </c>
      <c r="AG89" s="81">
        <f t="shared" si="116"/>
        <v>0</v>
      </c>
      <c r="AH89" s="81">
        <f t="shared" si="116"/>
        <v>0</v>
      </c>
      <c r="AI89" s="81">
        <f t="shared" si="116"/>
        <v>0</v>
      </c>
      <c r="AJ89" s="81">
        <f t="shared" si="116"/>
        <v>0</v>
      </c>
      <c r="AK89" s="81">
        <f t="shared" si="116"/>
        <v>0</v>
      </c>
      <c r="AL89" s="81">
        <f t="shared" ref="AL89:BQ89" si="117">IFERROR(AL45/AL$15,"n/a")</f>
        <v>0</v>
      </c>
      <c r="AM89" s="81">
        <f t="shared" si="117"/>
        <v>0</v>
      </c>
      <c r="AN89" s="81">
        <f t="shared" si="117"/>
        <v>0</v>
      </c>
      <c r="AO89" s="81">
        <f t="shared" si="117"/>
        <v>0</v>
      </c>
      <c r="AP89" s="81">
        <f t="shared" si="117"/>
        <v>0</v>
      </c>
      <c r="AQ89" s="81">
        <f t="shared" si="117"/>
        <v>0</v>
      </c>
      <c r="AR89" s="81">
        <f t="shared" si="117"/>
        <v>0</v>
      </c>
      <c r="AS89" s="81">
        <f t="shared" si="117"/>
        <v>0</v>
      </c>
      <c r="AT89" s="81">
        <f t="shared" si="117"/>
        <v>0</v>
      </c>
      <c r="AU89" s="381">
        <f t="shared" si="117"/>
        <v>0</v>
      </c>
      <c r="AV89" s="381">
        <f t="shared" si="117"/>
        <v>0</v>
      </c>
      <c r="AW89" s="381">
        <f t="shared" si="117"/>
        <v>0</v>
      </c>
      <c r="AX89" s="381">
        <f t="shared" si="117"/>
        <v>0</v>
      </c>
      <c r="AY89" s="381">
        <f t="shared" si="117"/>
        <v>0</v>
      </c>
      <c r="AZ89" s="381">
        <f t="shared" si="117"/>
        <v>0</v>
      </c>
      <c r="BA89" s="381">
        <f t="shared" si="117"/>
        <v>0</v>
      </c>
      <c r="BB89" s="381" t="str">
        <f t="shared" si="117"/>
        <v>n/a</v>
      </c>
      <c r="BC89" s="381" t="str">
        <f t="shared" si="117"/>
        <v>n/a</v>
      </c>
      <c r="BD89" s="381" t="str">
        <f t="shared" si="117"/>
        <v>n/a</v>
      </c>
      <c r="BE89" s="381" t="str">
        <f t="shared" si="117"/>
        <v>n/a</v>
      </c>
      <c r="BF89" s="381" t="str">
        <f t="shared" si="117"/>
        <v>n/a</v>
      </c>
      <c r="BG89" s="381" t="str">
        <f t="shared" si="117"/>
        <v>n/a</v>
      </c>
      <c r="BH89" s="381" t="str">
        <f t="shared" si="117"/>
        <v>n/a</v>
      </c>
      <c r="BI89" s="381" t="str">
        <f t="shared" si="117"/>
        <v>n/a</v>
      </c>
      <c r="BJ89" s="381" t="str">
        <f t="shared" si="117"/>
        <v>n/a</v>
      </c>
      <c r="BK89" s="381" t="str">
        <f t="shared" si="117"/>
        <v>n/a</v>
      </c>
      <c r="BL89" s="381" t="str">
        <f t="shared" si="117"/>
        <v>n/a</v>
      </c>
      <c r="BM89" s="381" t="str">
        <f t="shared" si="117"/>
        <v>n/a</v>
      </c>
      <c r="BN89" s="381" t="str">
        <f t="shared" si="117"/>
        <v>n/a</v>
      </c>
      <c r="BO89" s="381" t="str">
        <f t="shared" si="117"/>
        <v>n/a</v>
      </c>
      <c r="BP89" s="381" t="str">
        <f t="shared" si="117"/>
        <v>n/a</v>
      </c>
      <c r="BQ89" s="381" t="str">
        <f t="shared" si="117"/>
        <v>n/a</v>
      </c>
      <c r="BR89" s="381" t="str">
        <f t="shared" ref="BR89:CK89" si="118">IFERROR(BR45/BR$15,"n/a")</f>
        <v>n/a</v>
      </c>
      <c r="BS89" s="381" t="str">
        <f t="shared" si="118"/>
        <v>n/a</v>
      </c>
      <c r="BT89" s="381" t="str">
        <f t="shared" si="118"/>
        <v>n/a</v>
      </c>
      <c r="BU89" s="381" t="str">
        <f t="shared" si="118"/>
        <v>n/a</v>
      </c>
      <c r="BV89" s="381" t="str">
        <f t="shared" si="118"/>
        <v>n/a</v>
      </c>
      <c r="BW89" s="381" t="str">
        <f t="shared" si="118"/>
        <v>n/a</v>
      </c>
      <c r="BX89" s="381" t="str">
        <f t="shared" si="118"/>
        <v>n/a</v>
      </c>
      <c r="BY89" s="381" t="str">
        <f t="shared" si="118"/>
        <v>n/a</v>
      </c>
      <c r="BZ89" s="381" t="str">
        <f t="shared" si="118"/>
        <v>n/a</v>
      </c>
      <c r="CA89" s="381" t="str">
        <f t="shared" si="118"/>
        <v>n/a</v>
      </c>
      <c r="CB89" s="381" t="str">
        <f t="shared" si="118"/>
        <v>n/a</v>
      </c>
      <c r="CC89" s="381" t="str">
        <f t="shared" si="118"/>
        <v>n/a</v>
      </c>
      <c r="CD89" s="381" t="str">
        <f t="shared" si="118"/>
        <v>n/a</v>
      </c>
      <c r="CE89" s="381" t="str">
        <f t="shared" si="118"/>
        <v>n/a</v>
      </c>
      <c r="CF89" s="381" t="str">
        <f t="shared" si="118"/>
        <v>n/a</v>
      </c>
      <c r="CG89" s="381" t="str">
        <f t="shared" si="118"/>
        <v>n/a</v>
      </c>
      <c r="CH89" s="381" t="str">
        <f t="shared" si="118"/>
        <v>n/a</v>
      </c>
      <c r="CI89" s="381" t="str">
        <f t="shared" si="118"/>
        <v>n/a</v>
      </c>
      <c r="CJ89" s="381" t="str">
        <f t="shared" si="118"/>
        <v>n/a</v>
      </c>
      <c r="CK89" s="381" t="str">
        <f t="shared" si="118"/>
        <v>n/a</v>
      </c>
    </row>
    <row r="90" spans="3:91" s="89" customFormat="1" ht="11.25" customHeight="1" x14ac:dyDescent="0.2">
      <c r="C90" s="82" t="str">
        <f t="shared" si="94"/>
        <v>Finanzergebnis</v>
      </c>
      <c r="D90" s="82" t="str">
        <f t="shared" si="94"/>
        <v>Financial result</v>
      </c>
      <c r="E90" s="82"/>
      <c r="F90" s="81" t="str">
        <f t="shared" ref="F90:AK90" si="119">IFERROR(F46/F$15,"n/a")</f>
        <v>n/a</v>
      </c>
      <c r="G90" s="81" t="str">
        <f t="shared" si="119"/>
        <v>n/a</v>
      </c>
      <c r="H90" s="81" t="str">
        <f t="shared" si="119"/>
        <v>n/a</v>
      </c>
      <c r="I90" s="81" t="str">
        <f t="shared" si="119"/>
        <v>n/a</v>
      </c>
      <c r="J90" s="81" t="str">
        <f t="shared" si="119"/>
        <v>n/a</v>
      </c>
      <c r="K90" s="81" t="str">
        <f t="shared" si="119"/>
        <v>n/a</v>
      </c>
      <c r="L90" s="81" t="str">
        <f t="shared" si="119"/>
        <v>n/a</v>
      </c>
      <c r="M90" s="81" t="str">
        <f t="shared" si="119"/>
        <v>n/a</v>
      </c>
      <c r="N90" s="81" t="str">
        <f t="shared" si="119"/>
        <v>n/a</v>
      </c>
      <c r="O90" s="81" t="str">
        <f t="shared" si="119"/>
        <v>n/a</v>
      </c>
      <c r="P90" s="81" t="str">
        <f t="shared" si="119"/>
        <v>n/a</v>
      </c>
      <c r="Q90" s="81" t="str">
        <f t="shared" si="119"/>
        <v>n/a</v>
      </c>
      <c r="R90" s="81">
        <f t="shared" si="119"/>
        <v>-1.1870006570692966E-4</v>
      </c>
      <c r="S90" s="81">
        <f t="shared" si="119"/>
        <v>1.6616614599217743E-3</v>
      </c>
      <c r="T90" s="81">
        <f t="shared" si="119"/>
        <v>0</v>
      </c>
      <c r="U90" s="81">
        <f t="shared" si="119"/>
        <v>0</v>
      </c>
      <c r="V90" s="81">
        <f t="shared" si="119"/>
        <v>1.9997845065545489E-3</v>
      </c>
      <c r="W90" s="81">
        <f t="shared" si="119"/>
        <v>3.6481465394505658E-6</v>
      </c>
      <c r="X90" s="81">
        <f t="shared" si="119"/>
        <v>0</v>
      </c>
      <c r="Y90" s="81">
        <f t="shared" si="119"/>
        <v>0</v>
      </c>
      <c r="Z90" s="81">
        <f t="shared" si="119"/>
        <v>-5.4729302790985073E-3</v>
      </c>
      <c r="AA90" s="81">
        <f t="shared" si="119"/>
        <v>3.3743930225397629E-3</v>
      </c>
      <c r="AB90" s="81">
        <f t="shared" si="119"/>
        <v>0</v>
      </c>
      <c r="AC90" s="81">
        <f t="shared" si="119"/>
        <v>-2.2379990034864201E-2</v>
      </c>
      <c r="AD90" s="81">
        <f t="shared" si="119"/>
        <v>0</v>
      </c>
      <c r="AE90" s="81">
        <f t="shared" si="119"/>
        <v>7.9960137981249476E-4</v>
      </c>
      <c r="AF90" s="81">
        <f t="shared" si="119"/>
        <v>5.8450574691172279E-5</v>
      </c>
      <c r="AG90" s="81">
        <f t="shared" si="119"/>
        <v>1.3650347002346929E-3</v>
      </c>
      <c r="AH90" s="81">
        <f t="shared" si="119"/>
        <v>6.3029824406472947E-5</v>
      </c>
      <c r="AI90" s="81">
        <f t="shared" si="119"/>
        <v>5.1818038788054843E-6</v>
      </c>
      <c r="AJ90" s="81">
        <f t="shared" si="119"/>
        <v>0</v>
      </c>
      <c r="AK90" s="81">
        <f t="shared" si="119"/>
        <v>0</v>
      </c>
      <c r="AL90" s="81">
        <f t="shared" ref="AL90:BQ90" si="120">IFERROR(AL46/AL$15,"n/a")</f>
        <v>0</v>
      </c>
      <c r="AM90" s="81">
        <f t="shared" si="120"/>
        <v>0</v>
      </c>
      <c r="AN90" s="81">
        <f t="shared" si="120"/>
        <v>0</v>
      </c>
      <c r="AO90" s="81">
        <f t="shared" si="120"/>
        <v>-4.9973588600616238E-3</v>
      </c>
      <c r="AP90" s="81">
        <f t="shared" si="120"/>
        <v>0</v>
      </c>
      <c r="AQ90" s="81">
        <f t="shared" si="120"/>
        <v>0</v>
      </c>
      <c r="AR90" s="81">
        <f t="shared" si="120"/>
        <v>1.0867672570395292E-3</v>
      </c>
      <c r="AS90" s="81">
        <f t="shared" si="120"/>
        <v>6.6035296350158007E-4</v>
      </c>
      <c r="AT90" s="81">
        <f t="shared" si="120"/>
        <v>0</v>
      </c>
      <c r="AU90" s="381">
        <f t="shared" si="120"/>
        <v>-2.3012818944796121E-5</v>
      </c>
      <c r="AV90" s="381">
        <f t="shared" si="120"/>
        <v>-4.6809319492556033E-5</v>
      </c>
      <c r="AW90" s="381">
        <f t="shared" si="120"/>
        <v>0</v>
      </c>
      <c r="AX90" s="381">
        <f t="shared" si="120"/>
        <v>-3.9129318492692022E-5</v>
      </c>
      <c r="AY90" s="381">
        <f t="shared" si="120"/>
        <v>-1.1209841855114481E-5</v>
      </c>
      <c r="AZ90" s="381">
        <f t="shared" si="120"/>
        <v>0</v>
      </c>
      <c r="BA90" s="381">
        <f t="shared" si="120"/>
        <v>-3.2387742202188399E-3</v>
      </c>
      <c r="BB90" s="381" t="str">
        <f t="shared" si="120"/>
        <v>n/a</v>
      </c>
      <c r="BC90" s="381" t="str">
        <f t="shared" si="120"/>
        <v>n/a</v>
      </c>
      <c r="BD90" s="381" t="str">
        <f t="shared" si="120"/>
        <v>n/a</v>
      </c>
      <c r="BE90" s="381" t="str">
        <f t="shared" si="120"/>
        <v>n/a</v>
      </c>
      <c r="BF90" s="381" t="str">
        <f t="shared" si="120"/>
        <v>n/a</v>
      </c>
      <c r="BG90" s="381" t="str">
        <f t="shared" si="120"/>
        <v>n/a</v>
      </c>
      <c r="BH90" s="381" t="str">
        <f t="shared" si="120"/>
        <v>n/a</v>
      </c>
      <c r="BI90" s="381" t="str">
        <f t="shared" si="120"/>
        <v>n/a</v>
      </c>
      <c r="BJ90" s="381" t="str">
        <f t="shared" si="120"/>
        <v>n/a</v>
      </c>
      <c r="BK90" s="381" t="str">
        <f t="shared" si="120"/>
        <v>n/a</v>
      </c>
      <c r="BL90" s="381" t="str">
        <f t="shared" si="120"/>
        <v>n/a</v>
      </c>
      <c r="BM90" s="381" t="str">
        <f t="shared" si="120"/>
        <v>n/a</v>
      </c>
      <c r="BN90" s="381" t="str">
        <f t="shared" si="120"/>
        <v>n/a</v>
      </c>
      <c r="BO90" s="381" t="str">
        <f t="shared" si="120"/>
        <v>n/a</v>
      </c>
      <c r="BP90" s="381" t="str">
        <f t="shared" si="120"/>
        <v>n/a</v>
      </c>
      <c r="BQ90" s="381" t="str">
        <f t="shared" si="120"/>
        <v>n/a</v>
      </c>
      <c r="BR90" s="381" t="str">
        <f t="shared" ref="BR90:CK90" si="121">IFERROR(BR46/BR$15,"n/a")</f>
        <v>n/a</v>
      </c>
      <c r="BS90" s="381" t="str">
        <f t="shared" si="121"/>
        <v>n/a</v>
      </c>
      <c r="BT90" s="381" t="str">
        <f t="shared" si="121"/>
        <v>n/a</v>
      </c>
      <c r="BU90" s="381" t="str">
        <f t="shared" si="121"/>
        <v>n/a</v>
      </c>
      <c r="BV90" s="381" t="str">
        <f t="shared" si="121"/>
        <v>n/a</v>
      </c>
      <c r="BW90" s="381" t="str">
        <f t="shared" si="121"/>
        <v>n/a</v>
      </c>
      <c r="BX90" s="381" t="str">
        <f t="shared" si="121"/>
        <v>n/a</v>
      </c>
      <c r="BY90" s="381" t="str">
        <f t="shared" si="121"/>
        <v>n/a</v>
      </c>
      <c r="BZ90" s="381" t="str">
        <f t="shared" si="121"/>
        <v>n/a</v>
      </c>
      <c r="CA90" s="381" t="str">
        <f t="shared" si="121"/>
        <v>n/a</v>
      </c>
      <c r="CB90" s="381" t="str">
        <f t="shared" si="121"/>
        <v>n/a</v>
      </c>
      <c r="CC90" s="381" t="str">
        <f t="shared" si="121"/>
        <v>n/a</v>
      </c>
      <c r="CD90" s="381" t="str">
        <f t="shared" si="121"/>
        <v>n/a</v>
      </c>
      <c r="CE90" s="381" t="str">
        <f t="shared" si="121"/>
        <v>n/a</v>
      </c>
      <c r="CF90" s="381" t="str">
        <f t="shared" si="121"/>
        <v>n/a</v>
      </c>
      <c r="CG90" s="381" t="str">
        <f t="shared" si="121"/>
        <v>n/a</v>
      </c>
      <c r="CH90" s="381" t="str">
        <f t="shared" si="121"/>
        <v>n/a</v>
      </c>
      <c r="CI90" s="381" t="str">
        <f t="shared" si="121"/>
        <v>n/a</v>
      </c>
      <c r="CJ90" s="381" t="str">
        <f t="shared" si="121"/>
        <v>n/a</v>
      </c>
      <c r="CK90" s="381" t="str">
        <f t="shared" si="121"/>
        <v>n/a</v>
      </c>
    </row>
    <row r="91" spans="3:91" s="89" customFormat="1" ht="11.25" customHeight="1" x14ac:dyDescent="0.2">
      <c r="C91" s="90" t="str">
        <f t="shared" si="94"/>
        <v>EBT</v>
      </c>
      <c r="D91" s="90" t="str">
        <f t="shared" si="94"/>
        <v>EBT</v>
      </c>
      <c r="E91" s="90"/>
      <c r="F91" s="87" t="str">
        <f t="shared" ref="F91:AK91" si="122">IFERROR(F47/F$15,"n/a")</f>
        <v>n/a</v>
      </c>
      <c r="G91" s="87" t="str">
        <f t="shared" si="122"/>
        <v>n/a</v>
      </c>
      <c r="H91" s="87" t="str">
        <f t="shared" si="122"/>
        <v>n/a</v>
      </c>
      <c r="I91" s="87" t="str">
        <f t="shared" si="122"/>
        <v>n/a</v>
      </c>
      <c r="J91" s="87" t="str">
        <f t="shared" si="122"/>
        <v>n/a</v>
      </c>
      <c r="K91" s="87" t="str">
        <f t="shared" si="122"/>
        <v>n/a</v>
      </c>
      <c r="L91" s="87" t="str">
        <f t="shared" si="122"/>
        <v>n/a</v>
      </c>
      <c r="M91" s="87" t="str">
        <f t="shared" si="122"/>
        <v>n/a</v>
      </c>
      <c r="N91" s="87" t="str">
        <f t="shared" si="122"/>
        <v>n/a</v>
      </c>
      <c r="O91" s="87" t="str">
        <f t="shared" si="122"/>
        <v>n/a</v>
      </c>
      <c r="P91" s="87" t="str">
        <f t="shared" si="122"/>
        <v>n/a</v>
      </c>
      <c r="Q91" s="87" t="str">
        <f t="shared" si="122"/>
        <v>n/a</v>
      </c>
      <c r="R91" s="87">
        <f t="shared" si="122"/>
        <v>-2.6272973642169798E-2</v>
      </c>
      <c r="S91" s="87">
        <f t="shared" si="122"/>
        <v>-8.2521127058902258E-2</v>
      </c>
      <c r="T91" s="87">
        <f t="shared" si="122"/>
        <v>-2.3195075927924119E-2</v>
      </c>
      <c r="U91" s="87">
        <f t="shared" si="122"/>
        <v>9.5987424662491147E-2</v>
      </c>
      <c r="V91" s="87">
        <f t="shared" si="122"/>
        <v>-0.14974723015472546</v>
      </c>
      <c r="W91" s="87">
        <f t="shared" si="122"/>
        <v>0.61780884468029196</v>
      </c>
      <c r="X91" s="87">
        <f t="shared" si="122"/>
        <v>6.8936806971881624E-3</v>
      </c>
      <c r="Y91" s="87">
        <f t="shared" si="122"/>
        <v>0.31052152864348376</v>
      </c>
      <c r="Z91" s="87">
        <f t="shared" si="122"/>
        <v>1.21685993921808E-2</v>
      </c>
      <c r="AA91" s="87">
        <f t="shared" si="122"/>
        <v>2.1729141336290968E-2</v>
      </c>
      <c r="AB91" s="87">
        <f t="shared" si="122"/>
        <v>0.27841813176900498</v>
      </c>
      <c r="AC91" s="87">
        <f t="shared" si="122"/>
        <v>-0.14921162380386777</v>
      </c>
      <c r="AD91" s="87">
        <f t="shared" si="122"/>
        <v>0.12971339637384732</v>
      </c>
      <c r="AE91" s="87">
        <f t="shared" si="122"/>
        <v>0.20776234555999187</v>
      </c>
      <c r="AF91" s="87">
        <f t="shared" si="122"/>
        <v>0.29742952148713947</v>
      </c>
      <c r="AG91" s="87">
        <f t="shared" si="122"/>
        <v>8.3092484177438711E-2</v>
      </c>
      <c r="AH91" s="87">
        <f t="shared" si="122"/>
        <v>1.3206432828463208E-2</v>
      </c>
      <c r="AI91" s="87">
        <f t="shared" si="122"/>
        <v>-0.1744374975989664</v>
      </c>
      <c r="AJ91" s="87">
        <f t="shared" si="122"/>
        <v>-0.54012089755679515</v>
      </c>
      <c r="AK91" s="87">
        <f t="shared" si="122"/>
        <v>0.16692986166477336</v>
      </c>
      <c r="AL91" s="87">
        <f t="shared" ref="AL91:BQ91" si="123">IFERROR(AL47/AL$15,"n/a")</f>
        <v>-0.19442340409648257</v>
      </c>
      <c r="AM91" s="87">
        <f t="shared" si="123"/>
        <v>5.4991789040261883E-2</v>
      </c>
      <c r="AN91" s="87">
        <f t="shared" si="123"/>
        <v>0.15155541500219144</v>
      </c>
      <c r="AO91" s="87">
        <f t="shared" si="123"/>
        <v>0.76452237864882644</v>
      </c>
      <c r="AP91" s="87">
        <f t="shared" si="123"/>
        <v>8.2912538239841613E-2</v>
      </c>
      <c r="AQ91" s="87">
        <f t="shared" si="123"/>
        <v>7.1588783855923113E-2</v>
      </c>
      <c r="AR91" s="87">
        <f t="shared" si="123"/>
        <v>-7.9425038025406527E-2</v>
      </c>
      <c r="AS91" s="87">
        <f t="shared" si="123"/>
        <v>9.4152179030141628E-2</v>
      </c>
      <c r="AT91" s="87">
        <f t="shared" si="123"/>
        <v>9.8562987265873023E-2</v>
      </c>
      <c r="AU91" s="382">
        <f t="shared" si="123"/>
        <v>0.22044551984433855</v>
      </c>
      <c r="AV91" s="382">
        <f t="shared" si="123"/>
        <v>-3.3169639889300349E-2</v>
      </c>
      <c r="AW91" s="382">
        <f t="shared" si="123"/>
        <v>0.328623437292763</v>
      </c>
      <c r="AX91" s="382">
        <f t="shared" si="123"/>
        <v>0.15466877614521829</v>
      </c>
      <c r="AY91" s="382">
        <f t="shared" si="123"/>
        <v>0.16584444662537537</v>
      </c>
      <c r="AZ91" s="382">
        <f t="shared" si="123"/>
        <v>-0.12315792669082322</v>
      </c>
      <c r="BA91" s="382">
        <f t="shared" si="123"/>
        <v>-0.17819128872801895</v>
      </c>
      <c r="BB91" s="382" t="str">
        <f t="shared" si="123"/>
        <v>n/a</v>
      </c>
      <c r="BC91" s="382" t="str">
        <f t="shared" si="123"/>
        <v>n/a</v>
      </c>
      <c r="BD91" s="382" t="str">
        <f t="shared" si="123"/>
        <v>n/a</v>
      </c>
      <c r="BE91" s="382" t="str">
        <f t="shared" si="123"/>
        <v>n/a</v>
      </c>
      <c r="BF91" s="382" t="str">
        <f t="shared" si="123"/>
        <v>n/a</v>
      </c>
      <c r="BG91" s="382" t="str">
        <f t="shared" si="123"/>
        <v>n/a</v>
      </c>
      <c r="BH91" s="382" t="str">
        <f t="shared" si="123"/>
        <v>n/a</v>
      </c>
      <c r="BI91" s="382" t="str">
        <f t="shared" si="123"/>
        <v>n/a</v>
      </c>
      <c r="BJ91" s="382" t="str">
        <f t="shared" si="123"/>
        <v>n/a</v>
      </c>
      <c r="BK91" s="382" t="str">
        <f t="shared" si="123"/>
        <v>n/a</v>
      </c>
      <c r="BL91" s="382" t="str">
        <f t="shared" si="123"/>
        <v>n/a</v>
      </c>
      <c r="BM91" s="382" t="str">
        <f t="shared" si="123"/>
        <v>n/a</v>
      </c>
      <c r="BN91" s="382" t="str">
        <f t="shared" si="123"/>
        <v>n/a</v>
      </c>
      <c r="BO91" s="382" t="str">
        <f t="shared" si="123"/>
        <v>n/a</v>
      </c>
      <c r="BP91" s="382" t="str">
        <f t="shared" si="123"/>
        <v>n/a</v>
      </c>
      <c r="BQ91" s="382" t="str">
        <f t="shared" si="123"/>
        <v>n/a</v>
      </c>
      <c r="BR91" s="382" t="str">
        <f t="shared" ref="BR91:CK91" si="124">IFERROR(BR47/BR$15,"n/a")</f>
        <v>n/a</v>
      </c>
      <c r="BS91" s="382" t="str">
        <f t="shared" si="124"/>
        <v>n/a</v>
      </c>
      <c r="BT91" s="382" t="str">
        <f t="shared" si="124"/>
        <v>n/a</v>
      </c>
      <c r="BU91" s="382" t="str">
        <f t="shared" si="124"/>
        <v>n/a</v>
      </c>
      <c r="BV91" s="382" t="str">
        <f t="shared" si="124"/>
        <v>n/a</v>
      </c>
      <c r="BW91" s="382" t="str">
        <f t="shared" si="124"/>
        <v>n/a</v>
      </c>
      <c r="BX91" s="382" t="str">
        <f t="shared" si="124"/>
        <v>n/a</v>
      </c>
      <c r="BY91" s="382" t="str">
        <f t="shared" si="124"/>
        <v>n/a</v>
      </c>
      <c r="BZ91" s="382" t="str">
        <f t="shared" si="124"/>
        <v>n/a</v>
      </c>
      <c r="CA91" s="382" t="str">
        <f t="shared" si="124"/>
        <v>n/a</v>
      </c>
      <c r="CB91" s="382" t="str">
        <f t="shared" si="124"/>
        <v>n/a</v>
      </c>
      <c r="CC91" s="382" t="str">
        <f t="shared" si="124"/>
        <v>n/a</v>
      </c>
      <c r="CD91" s="382" t="str">
        <f t="shared" si="124"/>
        <v>n/a</v>
      </c>
      <c r="CE91" s="382" t="str">
        <f t="shared" si="124"/>
        <v>n/a</v>
      </c>
      <c r="CF91" s="382" t="str">
        <f t="shared" si="124"/>
        <v>n/a</v>
      </c>
      <c r="CG91" s="382" t="str">
        <f t="shared" si="124"/>
        <v>n/a</v>
      </c>
      <c r="CH91" s="382" t="str">
        <f t="shared" si="124"/>
        <v>n/a</v>
      </c>
      <c r="CI91" s="382" t="str">
        <f t="shared" si="124"/>
        <v>n/a</v>
      </c>
      <c r="CJ91" s="382" t="str">
        <f t="shared" si="124"/>
        <v>n/a</v>
      </c>
      <c r="CK91" s="382" t="str">
        <f t="shared" si="124"/>
        <v>n/a</v>
      </c>
    </row>
    <row r="92" spans="3:91" s="89" customFormat="1" ht="11.25" customHeight="1" x14ac:dyDescent="0.2">
      <c r="C92" s="82" t="str">
        <f t="shared" si="94"/>
        <v>Ertragssteuern</v>
      </c>
      <c r="D92" s="82" t="str">
        <f t="shared" si="94"/>
        <v>Income taxes</v>
      </c>
      <c r="E92" s="82"/>
      <c r="F92" s="81" t="str">
        <f t="shared" ref="F92:AK92" si="125">IFERROR(F48/F$15,"n/a")</f>
        <v>n/a</v>
      </c>
      <c r="G92" s="81" t="str">
        <f t="shared" si="125"/>
        <v>n/a</v>
      </c>
      <c r="H92" s="81" t="str">
        <f t="shared" si="125"/>
        <v>n/a</v>
      </c>
      <c r="I92" s="81" t="str">
        <f t="shared" si="125"/>
        <v>n/a</v>
      </c>
      <c r="J92" s="81" t="str">
        <f t="shared" si="125"/>
        <v>n/a</v>
      </c>
      <c r="K92" s="81" t="str">
        <f t="shared" si="125"/>
        <v>n/a</v>
      </c>
      <c r="L92" s="81" t="str">
        <f t="shared" si="125"/>
        <v>n/a</v>
      </c>
      <c r="M92" s="81" t="str">
        <f t="shared" si="125"/>
        <v>n/a</v>
      </c>
      <c r="N92" s="81" t="str">
        <f t="shared" si="125"/>
        <v>n/a</v>
      </c>
      <c r="O92" s="81" t="str">
        <f t="shared" si="125"/>
        <v>n/a</v>
      </c>
      <c r="P92" s="81" t="str">
        <f t="shared" si="125"/>
        <v>n/a</v>
      </c>
      <c r="Q92" s="81" t="str">
        <f t="shared" si="125"/>
        <v>n/a</v>
      </c>
      <c r="R92" s="81">
        <f t="shared" si="125"/>
        <v>0</v>
      </c>
      <c r="S92" s="81">
        <f t="shared" si="125"/>
        <v>-6.8505506207272124E-2</v>
      </c>
      <c r="T92" s="81">
        <f t="shared" si="125"/>
        <v>-5.9049692100257102E-2</v>
      </c>
      <c r="U92" s="81">
        <f t="shared" si="125"/>
        <v>0</v>
      </c>
      <c r="V92" s="81">
        <f t="shared" si="125"/>
        <v>-6.9475013488338219E-2</v>
      </c>
      <c r="W92" s="81">
        <f t="shared" si="125"/>
        <v>-6.229670612205248E-2</v>
      </c>
      <c r="X92" s="81">
        <f t="shared" si="125"/>
        <v>0</v>
      </c>
      <c r="Y92" s="81">
        <f t="shared" si="125"/>
        <v>-6.0935677468002644E-2</v>
      </c>
      <c r="Z92" s="81">
        <f t="shared" si="125"/>
        <v>-6.4741394979152531E-2</v>
      </c>
      <c r="AA92" s="81">
        <f t="shared" si="125"/>
        <v>0</v>
      </c>
      <c r="AB92" s="81">
        <f t="shared" si="125"/>
        <v>-6.2518266227175698E-2</v>
      </c>
      <c r="AC92" s="81">
        <f t="shared" si="125"/>
        <v>0.12611516274518092</v>
      </c>
      <c r="AD92" s="81">
        <f t="shared" si="125"/>
        <v>0</v>
      </c>
      <c r="AE92" s="81">
        <f t="shared" si="125"/>
        <v>-6.0359814660250803E-2</v>
      </c>
      <c r="AF92" s="81">
        <f t="shared" si="125"/>
        <v>-3.6847965385208098E-2</v>
      </c>
      <c r="AG92" s="81">
        <f t="shared" si="125"/>
        <v>-1.882591723333399E-4</v>
      </c>
      <c r="AH92" s="81">
        <f t="shared" si="125"/>
        <v>-2.9580475322345402E-2</v>
      </c>
      <c r="AI92" s="81">
        <f t="shared" si="125"/>
        <v>-6.2854685059686485E-2</v>
      </c>
      <c r="AJ92" s="81">
        <f t="shared" si="125"/>
        <v>0</v>
      </c>
      <c r="AK92" s="81">
        <f t="shared" si="125"/>
        <v>-4.0803924060271217E-2</v>
      </c>
      <c r="AL92" s="81">
        <f t="shared" ref="AL92:BQ92" si="126">IFERROR(AL48/AL$15,"n/a")</f>
        <v>-4.2985951080511536E-2</v>
      </c>
      <c r="AM92" s="81">
        <f t="shared" si="126"/>
        <v>0</v>
      </c>
      <c r="AN92" s="81">
        <f t="shared" si="126"/>
        <v>-3.9014547651065691E-2</v>
      </c>
      <c r="AO92" s="81">
        <f t="shared" si="126"/>
        <v>-3.8168257602628859E-3</v>
      </c>
      <c r="AP92" s="81">
        <f t="shared" si="126"/>
        <v>7.3804278434020829E-7</v>
      </c>
      <c r="AQ92" s="81">
        <f t="shared" si="126"/>
        <v>-4.190190164382291E-2</v>
      </c>
      <c r="AR92" s="81">
        <f t="shared" si="126"/>
        <v>-4.4457771843699465E-2</v>
      </c>
      <c r="AS92" s="81">
        <f t="shared" si="126"/>
        <v>0</v>
      </c>
      <c r="AT92" s="81">
        <f t="shared" si="126"/>
        <v>-4.0749103168666999E-2</v>
      </c>
      <c r="AU92" s="381">
        <f t="shared" si="126"/>
        <v>-4.673183134631069E-2</v>
      </c>
      <c r="AV92" s="381">
        <f t="shared" si="126"/>
        <v>0</v>
      </c>
      <c r="AW92" s="381">
        <f t="shared" si="126"/>
        <v>-4.4739557260624993E-2</v>
      </c>
      <c r="AX92" s="381">
        <f t="shared" si="126"/>
        <v>-4.3911296583547026E-2</v>
      </c>
      <c r="AY92" s="381">
        <f t="shared" si="126"/>
        <v>0</v>
      </c>
      <c r="AZ92" s="381">
        <f t="shared" si="126"/>
        <v>-5.1690298829701546E-2</v>
      </c>
      <c r="BA92" s="381">
        <f t="shared" si="126"/>
        <v>4.5967549579565857E-2</v>
      </c>
      <c r="BB92" s="381" t="str">
        <f t="shared" si="126"/>
        <v>n/a</v>
      </c>
      <c r="BC92" s="381" t="str">
        <f t="shared" si="126"/>
        <v>n/a</v>
      </c>
      <c r="BD92" s="381" t="str">
        <f t="shared" si="126"/>
        <v>n/a</v>
      </c>
      <c r="BE92" s="381" t="str">
        <f t="shared" si="126"/>
        <v>n/a</v>
      </c>
      <c r="BF92" s="381" t="str">
        <f t="shared" si="126"/>
        <v>n/a</v>
      </c>
      <c r="BG92" s="381" t="str">
        <f t="shared" si="126"/>
        <v>n/a</v>
      </c>
      <c r="BH92" s="381" t="str">
        <f t="shared" si="126"/>
        <v>n/a</v>
      </c>
      <c r="BI92" s="381" t="str">
        <f t="shared" si="126"/>
        <v>n/a</v>
      </c>
      <c r="BJ92" s="381" t="str">
        <f t="shared" si="126"/>
        <v>n/a</v>
      </c>
      <c r="BK92" s="381" t="str">
        <f t="shared" si="126"/>
        <v>n/a</v>
      </c>
      <c r="BL92" s="381" t="str">
        <f t="shared" si="126"/>
        <v>n/a</v>
      </c>
      <c r="BM92" s="381" t="str">
        <f t="shared" si="126"/>
        <v>n/a</v>
      </c>
      <c r="BN92" s="381" t="str">
        <f t="shared" si="126"/>
        <v>n/a</v>
      </c>
      <c r="BO92" s="381" t="str">
        <f t="shared" si="126"/>
        <v>n/a</v>
      </c>
      <c r="BP92" s="381" t="str">
        <f t="shared" si="126"/>
        <v>n/a</v>
      </c>
      <c r="BQ92" s="381" t="str">
        <f t="shared" si="126"/>
        <v>n/a</v>
      </c>
      <c r="BR92" s="381" t="str">
        <f t="shared" ref="BR92:CK92" si="127">IFERROR(BR48/BR$15,"n/a")</f>
        <v>n/a</v>
      </c>
      <c r="BS92" s="381" t="str">
        <f t="shared" si="127"/>
        <v>n/a</v>
      </c>
      <c r="BT92" s="381" t="str">
        <f t="shared" si="127"/>
        <v>n/a</v>
      </c>
      <c r="BU92" s="381" t="str">
        <f t="shared" si="127"/>
        <v>n/a</v>
      </c>
      <c r="BV92" s="381" t="str">
        <f t="shared" si="127"/>
        <v>n/a</v>
      </c>
      <c r="BW92" s="381" t="str">
        <f t="shared" si="127"/>
        <v>n/a</v>
      </c>
      <c r="BX92" s="381" t="str">
        <f t="shared" si="127"/>
        <v>n/a</v>
      </c>
      <c r="BY92" s="381" t="str">
        <f t="shared" si="127"/>
        <v>n/a</v>
      </c>
      <c r="BZ92" s="381" t="str">
        <f t="shared" si="127"/>
        <v>n/a</v>
      </c>
      <c r="CA92" s="381" t="str">
        <f t="shared" si="127"/>
        <v>n/a</v>
      </c>
      <c r="CB92" s="381" t="str">
        <f t="shared" si="127"/>
        <v>n/a</v>
      </c>
      <c r="CC92" s="381" t="str">
        <f t="shared" si="127"/>
        <v>n/a</v>
      </c>
      <c r="CD92" s="381" t="str">
        <f t="shared" si="127"/>
        <v>n/a</v>
      </c>
      <c r="CE92" s="381" t="str">
        <f t="shared" si="127"/>
        <v>n/a</v>
      </c>
      <c r="CF92" s="381" t="str">
        <f t="shared" si="127"/>
        <v>n/a</v>
      </c>
      <c r="CG92" s="381" t="str">
        <f t="shared" si="127"/>
        <v>n/a</v>
      </c>
      <c r="CH92" s="381" t="str">
        <f t="shared" si="127"/>
        <v>n/a</v>
      </c>
      <c r="CI92" s="381" t="str">
        <f t="shared" si="127"/>
        <v>n/a</v>
      </c>
      <c r="CJ92" s="381" t="str">
        <f t="shared" si="127"/>
        <v>n/a</v>
      </c>
      <c r="CK92" s="381" t="str">
        <f t="shared" si="127"/>
        <v>n/a</v>
      </c>
      <c r="CM92" s="1"/>
    </row>
    <row r="93" spans="3:91" s="89" customFormat="1" ht="11.25" customHeight="1" x14ac:dyDescent="0.2">
      <c r="C93" s="82" t="str">
        <f t="shared" si="94"/>
        <v>Sonstige Steuern</v>
      </c>
      <c r="D93" s="82" t="str">
        <f t="shared" si="94"/>
        <v>Other taxes</v>
      </c>
      <c r="E93" s="82"/>
      <c r="F93" s="81" t="str">
        <f t="shared" ref="F93:AK93" si="128">IFERROR(F49/F$15,"n/a")</f>
        <v>n/a</v>
      </c>
      <c r="G93" s="81" t="str">
        <f t="shared" si="128"/>
        <v>n/a</v>
      </c>
      <c r="H93" s="81" t="str">
        <f t="shared" si="128"/>
        <v>n/a</v>
      </c>
      <c r="I93" s="81" t="str">
        <f t="shared" si="128"/>
        <v>n/a</v>
      </c>
      <c r="J93" s="81" t="str">
        <f t="shared" si="128"/>
        <v>n/a</v>
      </c>
      <c r="K93" s="81" t="str">
        <f t="shared" si="128"/>
        <v>n/a</v>
      </c>
      <c r="L93" s="81" t="str">
        <f t="shared" si="128"/>
        <v>n/a</v>
      </c>
      <c r="M93" s="81" t="str">
        <f t="shared" si="128"/>
        <v>n/a</v>
      </c>
      <c r="N93" s="81" t="str">
        <f t="shared" si="128"/>
        <v>n/a</v>
      </c>
      <c r="O93" s="81" t="str">
        <f t="shared" si="128"/>
        <v>n/a</v>
      </c>
      <c r="P93" s="81" t="str">
        <f t="shared" si="128"/>
        <v>n/a</v>
      </c>
      <c r="Q93" s="81" t="str">
        <f t="shared" si="128"/>
        <v>n/a</v>
      </c>
      <c r="R93" s="81">
        <f t="shared" si="128"/>
        <v>-4.5222574204591452E-4</v>
      </c>
      <c r="S93" s="81">
        <f t="shared" si="128"/>
        <v>-3.7922075892274154E-4</v>
      </c>
      <c r="T93" s="81">
        <f t="shared" si="128"/>
        <v>-4.2672358896531537E-4</v>
      </c>
      <c r="U93" s="81">
        <f t="shared" si="128"/>
        <v>-4.1620017563647366E-4</v>
      </c>
      <c r="V93" s="81">
        <f t="shared" si="128"/>
        <v>-2.5913874230769357E-4</v>
      </c>
      <c r="W93" s="81">
        <f t="shared" si="128"/>
        <v>-1.6854437012261996E-4</v>
      </c>
      <c r="X93" s="81">
        <f t="shared" si="128"/>
        <v>0</v>
      </c>
      <c r="Y93" s="81">
        <f t="shared" si="128"/>
        <v>-2.3565389009451624E-4</v>
      </c>
      <c r="Z93" s="81">
        <f t="shared" si="128"/>
        <v>3.1847488745893564E-5</v>
      </c>
      <c r="AA93" s="81">
        <f t="shared" si="128"/>
        <v>0</v>
      </c>
      <c r="AB93" s="81">
        <f t="shared" si="128"/>
        <v>0</v>
      </c>
      <c r="AC93" s="81">
        <f t="shared" si="128"/>
        <v>1.275994699594579E-5</v>
      </c>
      <c r="AD93" s="81">
        <f t="shared" si="128"/>
        <v>-4.9817144604620903E-4</v>
      </c>
      <c r="AE93" s="81">
        <f t="shared" si="128"/>
        <v>-2.2461529669278257E-4</v>
      </c>
      <c r="AF93" s="81">
        <f t="shared" si="128"/>
        <v>-3.6817836222996161E-4</v>
      </c>
      <c r="AG93" s="81">
        <f t="shared" si="128"/>
        <v>-3.6917977116662033E-4</v>
      </c>
      <c r="AH93" s="81">
        <f t="shared" si="128"/>
        <v>-1.7820250354920935E-4</v>
      </c>
      <c r="AI93" s="81">
        <f t="shared" si="128"/>
        <v>-2.243240976287941E-4</v>
      </c>
      <c r="AJ93" s="81">
        <f t="shared" si="128"/>
        <v>-2.7550572536511422E-4</v>
      </c>
      <c r="AK93" s="81">
        <f t="shared" si="128"/>
        <v>-2.2064724901280495E-4</v>
      </c>
      <c r="AL93" s="81">
        <f t="shared" ref="AL93:BQ93" si="129">IFERROR(AL49/AL$15,"n/a")</f>
        <v>2.6642151201167419E-4</v>
      </c>
      <c r="AM93" s="81">
        <f t="shared" si="129"/>
        <v>-2.2476587768074449E-5</v>
      </c>
      <c r="AN93" s="81">
        <f t="shared" si="129"/>
        <v>0</v>
      </c>
      <c r="AO93" s="81">
        <f t="shared" si="129"/>
        <v>0</v>
      </c>
      <c r="AP93" s="81">
        <f t="shared" si="129"/>
        <v>-1.2989553004387664E-4</v>
      </c>
      <c r="AQ93" s="81">
        <f t="shared" si="129"/>
        <v>0</v>
      </c>
      <c r="AR93" s="81">
        <f t="shared" si="129"/>
        <v>-2.7814687888480538E-4</v>
      </c>
      <c r="AS93" s="81">
        <f t="shared" si="129"/>
        <v>-4.901286440211727E-4</v>
      </c>
      <c r="AT93" s="81">
        <f t="shared" si="129"/>
        <v>-4.128213813628268E-4</v>
      </c>
      <c r="AU93" s="381">
        <f t="shared" si="129"/>
        <v>-3.9285560930030634E-4</v>
      </c>
      <c r="AV93" s="381">
        <f t="shared" si="129"/>
        <v>0</v>
      </c>
      <c r="AW93" s="381">
        <f t="shared" si="129"/>
        <v>-2.0958183340606931E-4</v>
      </c>
      <c r="AX93" s="381">
        <f t="shared" si="129"/>
        <v>0</v>
      </c>
      <c r="AY93" s="381">
        <f t="shared" si="129"/>
        <v>0</v>
      </c>
      <c r="AZ93" s="381">
        <f t="shared" si="129"/>
        <v>2.1784798184079605E-4</v>
      </c>
      <c r="BA93" s="381">
        <f t="shared" si="129"/>
        <v>-2.2438507830253697E-5</v>
      </c>
      <c r="BB93" s="381" t="str">
        <f t="shared" si="129"/>
        <v>n/a</v>
      </c>
      <c r="BC93" s="381" t="str">
        <f t="shared" si="129"/>
        <v>n/a</v>
      </c>
      <c r="BD93" s="381" t="str">
        <f t="shared" si="129"/>
        <v>n/a</v>
      </c>
      <c r="BE93" s="381" t="str">
        <f t="shared" si="129"/>
        <v>n/a</v>
      </c>
      <c r="BF93" s="381" t="str">
        <f t="shared" si="129"/>
        <v>n/a</v>
      </c>
      <c r="BG93" s="381" t="str">
        <f t="shared" si="129"/>
        <v>n/a</v>
      </c>
      <c r="BH93" s="381" t="str">
        <f t="shared" si="129"/>
        <v>n/a</v>
      </c>
      <c r="BI93" s="381" t="str">
        <f t="shared" si="129"/>
        <v>n/a</v>
      </c>
      <c r="BJ93" s="381" t="str">
        <f t="shared" si="129"/>
        <v>n/a</v>
      </c>
      <c r="BK93" s="381" t="str">
        <f t="shared" si="129"/>
        <v>n/a</v>
      </c>
      <c r="BL93" s="381" t="str">
        <f t="shared" si="129"/>
        <v>n/a</v>
      </c>
      <c r="BM93" s="381" t="str">
        <f t="shared" si="129"/>
        <v>n/a</v>
      </c>
      <c r="BN93" s="381" t="str">
        <f t="shared" si="129"/>
        <v>n/a</v>
      </c>
      <c r="BO93" s="381" t="str">
        <f t="shared" si="129"/>
        <v>n/a</v>
      </c>
      <c r="BP93" s="381" t="str">
        <f t="shared" si="129"/>
        <v>n/a</v>
      </c>
      <c r="BQ93" s="381" t="str">
        <f t="shared" si="129"/>
        <v>n/a</v>
      </c>
      <c r="BR93" s="381" t="str">
        <f t="shared" ref="BR93:CK93" si="130">IFERROR(BR49/BR$15,"n/a")</f>
        <v>n/a</v>
      </c>
      <c r="BS93" s="381" t="str">
        <f t="shared" si="130"/>
        <v>n/a</v>
      </c>
      <c r="BT93" s="381" t="str">
        <f t="shared" si="130"/>
        <v>n/a</v>
      </c>
      <c r="BU93" s="381" t="str">
        <f t="shared" si="130"/>
        <v>n/a</v>
      </c>
      <c r="BV93" s="381" t="str">
        <f t="shared" si="130"/>
        <v>n/a</v>
      </c>
      <c r="BW93" s="381" t="str">
        <f t="shared" si="130"/>
        <v>n/a</v>
      </c>
      <c r="BX93" s="381" t="str">
        <f t="shared" si="130"/>
        <v>n/a</v>
      </c>
      <c r="BY93" s="381" t="str">
        <f t="shared" si="130"/>
        <v>n/a</v>
      </c>
      <c r="BZ93" s="381" t="str">
        <f t="shared" si="130"/>
        <v>n/a</v>
      </c>
      <c r="CA93" s="381" t="str">
        <f t="shared" si="130"/>
        <v>n/a</v>
      </c>
      <c r="CB93" s="381" t="str">
        <f t="shared" si="130"/>
        <v>n/a</v>
      </c>
      <c r="CC93" s="381" t="str">
        <f t="shared" si="130"/>
        <v>n/a</v>
      </c>
      <c r="CD93" s="381" t="str">
        <f t="shared" si="130"/>
        <v>n/a</v>
      </c>
      <c r="CE93" s="381" t="str">
        <f t="shared" si="130"/>
        <v>n/a</v>
      </c>
      <c r="CF93" s="381" t="str">
        <f t="shared" si="130"/>
        <v>n/a</v>
      </c>
      <c r="CG93" s="381" t="str">
        <f t="shared" si="130"/>
        <v>n/a</v>
      </c>
      <c r="CH93" s="381" t="str">
        <f t="shared" si="130"/>
        <v>n/a</v>
      </c>
      <c r="CI93" s="381" t="str">
        <f t="shared" si="130"/>
        <v>n/a</v>
      </c>
      <c r="CJ93" s="381" t="str">
        <f t="shared" si="130"/>
        <v>n/a</v>
      </c>
      <c r="CK93" s="381" t="str">
        <f t="shared" si="130"/>
        <v>n/a</v>
      </c>
    </row>
    <row r="94" spans="3:91" s="89" customFormat="1" ht="11.25" customHeight="1" x14ac:dyDescent="0.2">
      <c r="C94" s="90" t="str">
        <f t="shared" si="94"/>
        <v>Jahresüberschuss</v>
      </c>
      <c r="D94" s="90" t="str">
        <f t="shared" si="94"/>
        <v>Profit / Loss</v>
      </c>
      <c r="E94" s="90"/>
      <c r="F94" s="87" t="str">
        <f t="shared" ref="F94:AK94" si="131">IFERROR(F50/F$15,"n/a")</f>
        <v>n/a</v>
      </c>
      <c r="G94" s="87" t="str">
        <f t="shared" si="131"/>
        <v>n/a</v>
      </c>
      <c r="H94" s="87" t="str">
        <f t="shared" si="131"/>
        <v>n/a</v>
      </c>
      <c r="I94" s="87" t="str">
        <f t="shared" si="131"/>
        <v>n/a</v>
      </c>
      <c r="J94" s="87" t="str">
        <f t="shared" si="131"/>
        <v>n/a</v>
      </c>
      <c r="K94" s="87" t="str">
        <f t="shared" si="131"/>
        <v>n/a</v>
      </c>
      <c r="L94" s="87" t="str">
        <f t="shared" si="131"/>
        <v>n/a</v>
      </c>
      <c r="M94" s="87" t="str">
        <f t="shared" si="131"/>
        <v>n/a</v>
      </c>
      <c r="N94" s="87" t="str">
        <f t="shared" si="131"/>
        <v>n/a</v>
      </c>
      <c r="O94" s="87" t="str">
        <f t="shared" si="131"/>
        <v>n/a</v>
      </c>
      <c r="P94" s="87" t="str">
        <f t="shared" si="131"/>
        <v>n/a</v>
      </c>
      <c r="Q94" s="87" t="str">
        <f t="shared" si="131"/>
        <v>n/a</v>
      </c>
      <c r="R94" s="87">
        <f t="shared" si="131"/>
        <v>-2.6725199384215713E-2</v>
      </c>
      <c r="S94" s="87">
        <f t="shared" si="131"/>
        <v>-0.15140585402509713</v>
      </c>
      <c r="T94" s="87">
        <f t="shared" si="131"/>
        <v>-8.2671491617146542E-2</v>
      </c>
      <c r="U94" s="87">
        <f t="shared" si="131"/>
        <v>9.5571224486854664E-2</v>
      </c>
      <c r="V94" s="87">
        <f t="shared" si="131"/>
        <v>-0.21948138238537135</v>
      </c>
      <c r="W94" s="87">
        <f t="shared" si="131"/>
        <v>0.55534359418811685</v>
      </c>
      <c r="X94" s="87">
        <f t="shared" si="131"/>
        <v>6.8936806971881624E-3</v>
      </c>
      <c r="Y94" s="87">
        <f t="shared" si="131"/>
        <v>0.2493501972853866</v>
      </c>
      <c r="Z94" s="87">
        <f t="shared" si="131"/>
        <v>-5.2540948098225827E-2</v>
      </c>
      <c r="AA94" s="87">
        <f t="shared" si="131"/>
        <v>2.1729141336290968E-2</v>
      </c>
      <c r="AB94" s="87">
        <f t="shared" si="131"/>
        <v>0.2158998655418293</v>
      </c>
      <c r="AC94" s="87">
        <f t="shared" si="131"/>
        <v>-2.3083701111690905E-2</v>
      </c>
      <c r="AD94" s="87">
        <f t="shared" si="131"/>
        <v>0.12921522492780113</v>
      </c>
      <c r="AE94" s="87">
        <f t="shared" si="131"/>
        <v>0.1471779156030483</v>
      </c>
      <c r="AF94" s="87">
        <f t="shared" si="131"/>
        <v>0.26021337773970143</v>
      </c>
      <c r="AG94" s="87">
        <f t="shared" si="131"/>
        <v>8.2535045233938745E-2</v>
      </c>
      <c r="AH94" s="87">
        <f t="shared" si="131"/>
        <v>-1.6552244997431402E-2</v>
      </c>
      <c r="AI94" s="87">
        <f t="shared" si="131"/>
        <v>-0.23751650675628169</v>
      </c>
      <c r="AJ94" s="87">
        <f t="shared" si="131"/>
        <v>-0.54039640328216032</v>
      </c>
      <c r="AK94" s="87">
        <f t="shared" si="131"/>
        <v>0.12590529035548934</v>
      </c>
      <c r="AL94" s="87">
        <f t="shared" ref="AL94:BQ94" si="132">IFERROR(AL50/AL$15,"n/a")</f>
        <v>-0.2371429336649824</v>
      </c>
      <c r="AM94" s="87">
        <f t="shared" si="132"/>
        <v>5.4969312452493806E-2</v>
      </c>
      <c r="AN94" s="87">
        <f t="shared" si="132"/>
        <v>0.11254086735112576</v>
      </c>
      <c r="AO94" s="87">
        <f t="shared" si="132"/>
        <v>0.76070555288856345</v>
      </c>
      <c r="AP94" s="87">
        <f t="shared" si="132"/>
        <v>8.2783380752582084E-2</v>
      </c>
      <c r="AQ94" s="87">
        <f t="shared" si="132"/>
        <v>2.9686882212100203E-2</v>
      </c>
      <c r="AR94" s="87">
        <f t="shared" si="132"/>
        <v>-0.1241609567479908</v>
      </c>
      <c r="AS94" s="87">
        <f t="shared" si="132"/>
        <v>9.3662050386120438E-2</v>
      </c>
      <c r="AT94" s="87">
        <f t="shared" si="132"/>
        <v>5.74010627158432E-2</v>
      </c>
      <c r="AU94" s="382">
        <f t="shared" si="132"/>
        <v>0.17332083288872754</v>
      </c>
      <c r="AV94" s="382">
        <f t="shared" si="132"/>
        <v>-3.3169639889300349E-2</v>
      </c>
      <c r="AW94" s="382">
        <f t="shared" si="132"/>
        <v>0.28367429819873191</v>
      </c>
      <c r="AX94" s="382">
        <f t="shared" si="132"/>
        <v>0.11075747956167127</v>
      </c>
      <c r="AY94" s="382">
        <f t="shared" si="132"/>
        <v>0.16584444662537537</v>
      </c>
      <c r="AZ94" s="382">
        <f t="shared" si="132"/>
        <v>-0.17463037753868396</v>
      </c>
      <c r="BA94" s="382">
        <f t="shared" si="132"/>
        <v>-0.13224617765628335</v>
      </c>
      <c r="BB94" s="382" t="str">
        <f t="shared" si="132"/>
        <v>n/a</v>
      </c>
      <c r="BC94" s="382" t="str">
        <f t="shared" si="132"/>
        <v>n/a</v>
      </c>
      <c r="BD94" s="382" t="str">
        <f t="shared" si="132"/>
        <v>n/a</v>
      </c>
      <c r="BE94" s="382" t="str">
        <f t="shared" si="132"/>
        <v>n/a</v>
      </c>
      <c r="BF94" s="382" t="str">
        <f t="shared" si="132"/>
        <v>n/a</v>
      </c>
      <c r="BG94" s="382" t="str">
        <f t="shared" si="132"/>
        <v>n/a</v>
      </c>
      <c r="BH94" s="382" t="str">
        <f t="shared" si="132"/>
        <v>n/a</v>
      </c>
      <c r="BI94" s="382" t="str">
        <f t="shared" si="132"/>
        <v>n/a</v>
      </c>
      <c r="BJ94" s="382" t="str">
        <f t="shared" si="132"/>
        <v>n/a</v>
      </c>
      <c r="BK94" s="382" t="str">
        <f t="shared" si="132"/>
        <v>n/a</v>
      </c>
      <c r="BL94" s="382" t="str">
        <f t="shared" si="132"/>
        <v>n/a</v>
      </c>
      <c r="BM94" s="382" t="str">
        <f t="shared" si="132"/>
        <v>n/a</v>
      </c>
      <c r="BN94" s="382" t="str">
        <f t="shared" si="132"/>
        <v>n/a</v>
      </c>
      <c r="BO94" s="382" t="str">
        <f t="shared" si="132"/>
        <v>n/a</v>
      </c>
      <c r="BP94" s="382" t="str">
        <f t="shared" si="132"/>
        <v>n/a</v>
      </c>
      <c r="BQ94" s="382" t="str">
        <f t="shared" si="132"/>
        <v>n/a</v>
      </c>
      <c r="BR94" s="382" t="str">
        <f t="shared" ref="BR94:CK94" si="133">IFERROR(BR50/BR$15,"n/a")</f>
        <v>n/a</v>
      </c>
      <c r="BS94" s="382" t="str">
        <f t="shared" si="133"/>
        <v>n/a</v>
      </c>
      <c r="BT94" s="382" t="str">
        <f t="shared" si="133"/>
        <v>n/a</v>
      </c>
      <c r="BU94" s="382" t="str">
        <f t="shared" si="133"/>
        <v>n/a</v>
      </c>
      <c r="BV94" s="382" t="str">
        <f t="shared" si="133"/>
        <v>n/a</v>
      </c>
      <c r="BW94" s="382" t="str">
        <f t="shared" si="133"/>
        <v>n/a</v>
      </c>
      <c r="BX94" s="382" t="str">
        <f t="shared" si="133"/>
        <v>n/a</v>
      </c>
      <c r="BY94" s="382" t="str">
        <f t="shared" si="133"/>
        <v>n/a</v>
      </c>
      <c r="BZ94" s="382" t="str">
        <f t="shared" si="133"/>
        <v>n/a</v>
      </c>
      <c r="CA94" s="382" t="str">
        <f t="shared" si="133"/>
        <v>n/a</v>
      </c>
      <c r="CB94" s="382" t="str">
        <f t="shared" si="133"/>
        <v>n/a</v>
      </c>
      <c r="CC94" s="382" t="str">
        <f t="shared" si="133"/>
        <v>n/a</v>
      </c>
      <c r="CD94" s="382" t="str">
        <f t="shared" si="133"/>
        <v>n/a</v>
      </c>
      <c r="CE94" s="382" t="str">
        <f t="shared" si="133"/>
        <v>n/a</v>
      </c>
      <c r="CF94" s="382" t="str">
        <f t="shared" si="133"/>
        <v>n/a</v>
      </c>
      <c r="CG94" s="382" t="str">
        <f t="shared" si="133"/>
        <v>n/a</v>
      </c>
      <c r="CH94" s="382" t="str">
        <f t="shared" si="133"/>
        <v>n/a</v>
      </c>
      <c r="CI94" s="382" t="str">
        <f t="shared" si="133"/>
        <v>n/a</v>
      </c>
      <c r="CJ94" s="382" t="str">
        <f t="shared" si="133"/>
        <v>n/a</v>
      </c>
      <c r="CK94" s="382" t="str">
        <f t="shared" si="133"/>
        <v>n/a</v>
      </c>
    </row>
    <row r="95" spans="3:91" s="89" customFormat="1" ht="4.5" customHeight="1" x14ac:dyDescent="0.2">
      <c r="C95" s="241"/>
      <c r="D95" s="241"/>
      <c r="E95" s="241"/>
      <c r="F95" s="81"/>
      <c r="G95" s="81"/>
      <c r="H95" s="8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81"/>
      <c r="AV95" s="381"/>
      <c r="AW95" s="381"/>
      <c r="AX95" s="381"/>
      <c r="AY95" s="381"/>
      <c r="AZ95" s="381"/>
      <c r="BA95" s="381"/>
      <c r="BB95" s="381"/>
      <c r="BC95" s="381"/>
      <c r="BD95" s="381"/>
      <c r="BE95" s="381"/>
      <c r="BF95" s="381"/>
      <c r="BG95" s="381"/>
      <c r="BH95" s="381"/>
      <c r="BI95" s="381"/>
      <c r="BJ95" s="381"/>
      <c r="BK95" s="381"/>
      <c r="BL95" s="381"/>
      <c r="BM95" s="381"/>
      <c r="BN95" s="381"/>
      <c r="BO95" s="381"/>
      <c r="BP95" s="381"/>
      <c r="BQ95" s="381"/>
      <c r="BR95" s="381"/>
      <c r="BS95" s="381"/>
      <c r="BT95" s="381"/>
      <c r="BU95" s="381"/>
      <c r="BV95" s="381"/>
      <c r="BW95" s="381"/>
      <c r="BX95" s="381"/>
      <c r="BY95" s="381"/>
      <c r="BZ95" s="381"/>
      <c r="CA95" s="381"/>
      <c r="CB95" s="381"/>
      <c r="CC95" s="381"/>
      <c r="CD95" s="381"/>
      <c r="CE95" s="381"/>
      <c r="CF95" s="381"/>
      <c r="CG95" s="381"/>
      <c r="CH95" s="381"/>
      <c r="CI95" s="381"/>
      <c r="CJ95" s="381"/>
      <c r="CK95" s="381"/>
    </row>
    <row r="96" spans="3:91" s="89" customFormat="1" ht="11.25" customHeight="1" x14ac:dyDescent="0.2">
      <c r="C96" s="76" t="str">
        <f>"Quelle: "&amp;Cockpit!$C$7</f>
        <v>Quelle: Datenraum/ eigene Analysen</v>
      </c>
      <c r="D96" s="76" t="str">
        <f>"Source: "&amp;Cockpit!$C$8</f>
        <v>Source: Virtual Data Room/ Company Information</v>
      </c>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C96" s="76"/>
      <c r="CD96" s="76"/>
      <c r="CE96" s="76"/>
      <c r="CF96" s="76"/>
      <c r="CG96" s="76"/>
      <c r="CH96" s="76"/>
      <c r="CI96" s="76"/>
      <c r="CJ96" s="76"/>
      <c r="CK96" s="76"/>
    </row>
    <row r="97" spans="3:89" ht="11.25" customHeight="1" x14ac:dyDescent="0.2"/>
    <row r="98" spans="3:89" ht="11.25" customHeight="1" x14ac:dyDescent="0.2"/>
    <row r="99" spans="3:89" ht="11.25" customHeight="1" x14ac:dyDescent="0.2">
      <c r="C99" s="72" t="s">
        <v>567</v>
      </c>
      <c r="D99" s="72" t="s">
        <v>566</v>
      </c>
      <c r="E99" s="72"/>
      <c r="Q99" s="71">
        <f>'Lead PL'!F59</f>
        <v>-5778.9981100000023</v>
      </c>
      <c r="AC99" s="71">
        <f>'Lead PL'!G59</f>
        <v>-7243.865539999998</v>
      </c>
      <c r="AO99" s="71">
        <f>'Lead PL'!H59</f>
        <v>-7402.8350900000014</v>
      </c>
      <c r="AT99" s="71">
        <f>'Lead PL'!J59</f>
        <v>0</v>
      </c>
      <c r="BA99" s="383">
        <f>'Lead PL'!I59</f>
        <v>-6652.439789999994</v>
      </c>
      <c r="BM99" s="383">
        <f>'Lead PL'!L59</f>
        <v>0</v>
      </c>
      <c r="BY99" s="383">
        <f>'Lead PL'!M59</f>
        <v>0</v>
      </c>
      <c r="CK99" s="383">
        <f>'Lead PL'!N59</f>
        <v>0</v>
      </c>
    </row>
    <row r="100" spans="3:89" ht="11.25" customHeight="1" x14ac:dyDescent="0.2">
      <c r="C100" s="70" t="s">
        <v>233</v>
      </c>
      <c r="D100" s="310" t="s">
        <v>233</v>
      </c>
      <c r="E100" s="70"/>
      <c r="F100" s="250"/>
      <c r="G100" s="250"/>
      <c r="H100" s="250"/>
      <c r="I100" s="250"/>
      <c r="J100" s="250"/>
      <c r="K100" s="250"/>
      <c r="L100" s="250"/>
      <c r="M100" s="250"/>
      <c r="N100" s="250"/>
      <c r="O100" s="250"/>
      <c r="P100" s="250"/>
      <c r="Q100" s="245">
        <f>Q99-SUM(F50:Q50)</f>
        <v>-5778.9981100000023</v>
      </c>
      <c r="R100" s="250"/>
      <c r="S100" s="250"/>
      <c r="T100" s="250"/>
      <c r="U100" s="250"/>
      <c r="V100" s="250"/>
      <c r="W100" s="250"/>
      <c r="X100" s="250"/>
      <c r="Y100" s="250"/>
      <c r="Z100" s="250"/>
      <c r="AA100" s="250"/>
      <c r="AB100" s="250"/>
      <c r="AC100" s="245">
        <f>AC99-SUM(R50:AC50)</f>
        <v>-8086.5023799999981</v>
      </c>
      <c r="AD100" s="250"/>
      <c r="AE100" s="250"/>
      <c r="AF100" s="250"/>
      <c r="AG100" s="250"/>
      <c r="AH100" s="250"/>
      <c r="AI100" s="250"/>
      <c r="AJ100" s="250"/>
      <c r="AK100" s="250"/>
      <c r="AL100" s="250"/>
      <c r="AM100" s="250"/>
      <c r="AN100" s="250"/>
      <c r="AO100" s="245">
        <f>AO99-SUM(AD50:AO50)</f>
        <v>-8397.8873900000035</v>
      </c>
      <c r="AP100" s="250"/>
      <c r="AQ100" s="250"/>
      <c r="AR100" s="250"/>
      <c r="AS100" s="250"/>
      <c r="AT100" s="245"/>
      <c r="AU100" s="384"/>
      <c r="AV100" s="384"/>
      <c r="AW100" s="384"/>
      <c r="AX100" s="384"/>
      <c r="AY100" s="384"/>
      <c r="AZ100" s="384"/>
      <c r="BA100" s="385">
        <f>BA99-SUM(AP50:BA50)</f>
        <v>-7361.7846899999986</v>
      </c>
      <c r="BB100" s="384"/>
      <c r="BC100" s="384"/>
      <c r="BD100" s="384"/>
      <c r="BE100" s="384"/>
      <c r="BF100" s="384"/>
      <c r="BG100" s="384"/>
      <c r="BH100" s="384"/>
      <c r="BI100" s="384"/>
      <c r="BJ100" s="384"/>
      <c r="BK100" s="384"/>
      <c r="BL100" s="384"/>
      <c r="BM100" s="385">
        <f>BM99-SUM(BB50:BM50)</f>
        <v>0</v>
      </c>
      <c r="BN100" s="384"/>
      <c r="BO100" s="384"/>
      <c r="BP100" s="384"/>
      <c r="BQ100" s="384"/>
      <c r="BR100" s="384"/>
      <c r="BS100" s="384"/>
      <c r="BT100" s="384"/>
      <c r="BU100" s="384"/>
      <c r="BV100" s="384"/>
      <c r="BW100" s="384"/>
      <c r="BX100" s="384"/>
      <c r="BY100" s="385">
        <f>BY99-SUM(BN50:BY50)</f>
        <v>0</v>
      </c>
      <c r="BZ100" s="384"/>
      <c r="CA100" s="384"/>
      <c r="CB100" s="384"/>
      <c r="CC100" s="384"/>
      <c r="CD100" s="384"/>
      <c r="CE100" s="384"/>
      <c r="CF100" s="384"/>
      <c r="CG100" s="384"/>
      <c r="CH100" s="384"/>
      <c r="CI100" s="384"/>
      <c r="CJ100" s="384"/>
      <c r="CK100" s="385">
        <f>CK99-SUM(BZ50:CK50)</f>
        <v>0</v>
      </c>
    </row>
    <row r="101" spans="3:89" ht="11.25" customHeight="1" x14ac:dyDescent="0.2">
      <c r="C101" s="72" t="s">
        <v>565</v>
      </c>
      <c r="D101" s="72" t="s">
        <v>564</v>
      </c>
      <c r="E101" s="72"/>
      <c r="AT101" s="71"/>
    </row>
    <row r="102" spans="3:89" ht="11.25" customHeight="1" x14ac:dyDescent="0.2">
      <c r="C102" s="70" t="s">
        <v>233</v>
      </c>
      <c r="D102" s="310" t="s">
        <v>233</v>
      </c>
      <c r="E102" s="70"/>
      <c r="F102" s="250"/>
      <c r="G102" s="250"/>
      <c r="H102" s="250"/>
      <c r="I102" s="250"/>
      <c r="J102" s="250"/>
      <c r="K102" s="250"/>
      <c r="L102" s="250"/>
      <c r="M102" s="250"/>
      <c r="N102" s="250"/>
      <c r="O102" s="250"/>
      <c r="P102" s="250"/>
      <c r="Q102" s="250"/>
      <c r="R102" s="250"/>
      <c r="S102" s="250"/>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309"/>
    </row>
    <row r="103" spans="3:89" ht="11.25" customHeight="1" x14ac:dyDescent="0.2"/>
    <row r="104" spans="3:89" ht="11.25" customHeight="1" x14ac:dyDescent="0.2"/>
    <row r="105" spans="3:89" ht="11.25" customHeight="1" x14ac:dyDescent="0.2"/>
  </sheetData>
  <conditionalFormatting sqref="A1:XFD1048576">
    <cfRule type="containsText" dxfId="250" priority="1" operator="containsText" text="dummy">
      <formula>NOT(ISERROR(SEARCH("dummy",A1)))</formula>
    </cfRule>
  </conditionalFormatting>
  <conditionalFormatting sqref="Q100">
    <cfRule type="cellIs" dxfId="249" priority="13" operator="between">
      <formula>-1</formula>
      <formula>1</formula>
    </cfRule>
    <cfRule type="cellIs" dxfId="248" priority="14" operator="lessThan">
      <formula>-1</formula>
    </cfRule>
    <cfRule type="cellIs" dxfId="247" priority="15" operator="greaterThan">
      <formula>1</formula>
    </cfRule>
  </conditionalFormatting>
  <conditionalFormatting sqref="AC100">
    <cfRule type="cellIs" dxfId="246" priority="16" operator="between">
      <formula>-1</formula>
      <formula>1</formula>
    </cfRule>
    <cfRule type="cellIs" dxfId="245" priority="17" operator="lessThan">
      <formula>-1</formula>
    </cfRule>
    <cfRule type="cellIs" dxfId="244" priority="18" operator="greaterThan">
      <formula>1</formula>
    </cfRule>
  </conditionalFormatting>
  <conditionalFormatting sqref="AO100">
    <cfRule type="cellIs" dxfId="243" priority="19" operator="between">
      <formula>-1</formula>
      <formula>1</formula>
    </cfRule>
    <cfRule type="cellIs" dxfId="242" priority="20" operator="lessThan">
      <formula>-1</formula>
    </cfRule>
    <cfRule type="cellIs" dxfId="241" priority="21" operator="greaterThan">
      <formula>1</formula>
    </cfRule>
  </conditionalFormatting>
  <conditionalFormatting sqref="AT100">
    <cfRule type="cellIs" dxfId="240" priority="10" operator="between">
      <formula>-1</formula>
      <formula>1</formula>
    </cfRule>
    <cfRule type="cellIs" dxfId="239" priority="11" operator="lessThan">
      <formula>-1</formula>
    </cfRule>
    <cfRule type="cellIs" dxfId="238" priority="12" operator="greaterThan">
      <formula>1</formula>
    </cfRule>
  </conditionalFormatting>
  <conditionalFormatting sqref="AT102">
    <cfRule type="cellIs" dxfId="237" priority="7" operator="between">
      <formula>-1</formula>
      <formula>1</formula>
    </cfRule>
    <cfRule type="cellIs" dxfId="236" priority="8" operator="lessThan">
      <formula>-1</formula>
    </cfRule>
    <cfRule type="cellIs" dxfId="235" priority="9" operator="greaterThan">
      <formula>1</formula>
    </cfRule>
  </conditionalFormatting>
  <conditionalFormatting sqref="BA100">
    <cfRule type="cellIs" dxfId="234" priority="22" operator="between">
      <formula>-1</formula>
      <formula>1</formula>
    </cfRule>
    <cfRule type="cellIs" dxfId="233" priority="23" operator="lessThan">
      <formula>-1</formula>
    </cfRule>
    <cfRule type="cellIs" dxfId="232" priority="24" operator="greaterThan">
      <formula>1</formula>
    </cfRule>
  </conditionalFormatting>
  <conditionalFormatting sqref="BM100">
    <cfRule type="cellIs" dxfId="231" priority="25" operator="between">
      <formula>-1</formula>
      <formula>1</formula>
    </cfRule>
    <cfRule type="cellIs" dxfId="230" priority="26" operator="lessThan">
      <formula>-1</formula>
    </cfRule>
    <cfRule type="cellIs" dxfId="229" priority="27" operator="greaterThan">
      <formula>1</formula>
    </cfRule>
  </conditionalFormatting>
  <conditionalFormatting sqref="BY100">
    <cfRule type="cellIs" dxfId="228" priority="28" operator="between">
      <formula>-1</formula>
      <formula>1</formula>
    </cfRule>
    <cfRule type="cellIs" dxfId="227" priority="29" operator="lessThan">
      <formula>-1</formula>
    </cfRule>
    <cfRule type="cellIs" dxfId="226" priority="30" operator="greaterThan">
      <formula>1</formula>
    </cfRule>
  </conditionalFormatting>
  <conditionalFormatting sqref="CK100">
    <cfRule type="cellIs" dxfId="225" priority="31" operator="between">
      <formula>-1</formula>
      <formula>1</formula>
    </cfRule>
    <cfRule type="cellIs" dxfId="224" priority="32" operator="lessThan">
      <formula>-1</formula>
    </cfRule>
    <cfRule type="cellIs" dxfId="223" priority="33" operator="greaterThan">
      <formula>1</formula>
    </cfRule>
  </conditionalFormatting>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F7A22ED-35F0-422A-A356-775329E75349}">
          <x14:formula1>
            <xm:f>'Trial Balance Dropdown'!$A$2:$A$305</xm:f>
          </x14:formula1>
          <xm:sqref>CN9:CN14 CN16:CN19 CN48:CN49 CN35:CN38 CN21:CN33 CN40:CN45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A6753-530C-4B03-AF8A-E3E1A2B8A6DB}">
  <sheetPr>
    <tabColor theme="1"/>
  </sheetPr>
  <dimension ref="A1"/>
  <sheetViews>
    <sheetView workbookViewId="0"/>
  </sheetViews>
  <sheetFormatPr defaultColWidth="11" defaultRowHeight="12" x14ac:dyDescent="0.2"/>
  <cols>
    <col min="1" max="16384" width="11" style="1"/>
  </cols>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4557-D0FB-4847-8FD0-D9662D064100}">
  <sheetPr>
    <tabColor rgb="FF92D050"/>
  </sheetPr>
  <dimension ref="C1:I36"/>
  <sheetViews>
    <sheetView topLeftCell="A2" workbookViewId="0"/>
  </sheetViews>
  <sheetFormatPr defaultColWidth="11.28515625" defaultRowHeight="12" outlineLevelRow="3" outlineLevelCol="2" x14ac:dyDescent="0.2"/>
  <cols>
    <col min="1" max="1" width="11.28515625" style="1"/>
    <col min="2" max="2" width="0.85546875" style="1" customWidth="1"/>
    <col min="3" max="3" width="35.5703125" style="1" customWidth="1"/>
    <col min="4" max="4" width="35.5703125" style="1" hidden="1" customWidth="1" outlineLevel="1"/>
    <col min="5" max="5" width="10.42578125" style="1" customWidth="1" collapsed="1"/>
    <col min="6" max="7" width="10.42578125" style="1" customWidth="1"/>
    <col min="8" max="8" width="0.85546875" style="1" hidden="1" customWidth="1" outlineLevel="2"/>
    <col min="9" max="9" width="11.28515625" style="1" collapsed="1"/>
    <col min="10" max="16384" width="11.28515625" style="1"/>
  </cols>
  <sheetData>
    <row r="1" spans="3:7" hidden="1" outlineLevel="3" x14ac:dyDescent="0.2"/>
    <row r="2" spans="3:7" collapsed="1" x14ac:dyDescent="0.2"/>
    <row r="4" spans="3:7" ht="11.45" customHeight="1" x14ac:dyDescent="0.2">
      <c r="C4" s="236" t="s">
        <v>2412</v>
      </c>
      <c r="D4" s="230"/>
      <c r="E4" s="230"/>
      <c r="F4" s="234">
        <v>45657</v>
      </c>
      <c r="G4" s="234">
        <v>46022</v>
      </c>
    </row>
    <row r="5" spans="3:7" ht="11.45" customHeight="1" x14ac:dyDescent="0.2">
      <c r="C5" s="236" t="s">
        <v>4469</v>
      </c>
      <c r="D5" s="230"/>
      <c r="E5" s="230"/>
      <c r="F5" s="234" t="s">
        <v>35</v>
      </c>
      <c r="G5" s="234" t="s">
        <v>35</v>
      </c>
    </row>
    <row r="6" spans="3:7" ht="11.45" hidden="1" customHeight="1" outlineLevel="1" x14ac:dyDescent="0.2">
      <c r="C6" s="233"/>
      <c r="D6" s="232" t="s">
        <v>2412</v>
      </c>
      <c r="E6" s="232"/>
      <c r="F6" s="261">
        <v>45657</v>
      </c>
      <c r="G6" s="261">
        <v>45930</v>
      </c>
    </row>
    <row r="7" spans="3:7" ht="11.45" hidden="1" customHeight="1" outlineLevel="1" x14ac:dyDescent="0.2">
      <c r="C7" s="233"/>
      <c r="D7" s="232" t="s">
        <v>4470</v>
      </c>
      <c r="E7" s="232"/>
      <c r="F7" s="261" t="s">
        <v>35</v>
      </c>
      <c r="G7" s="261" t="s">
        <v>35</v>
      </c>
    </row>
    <row r="8" spans="3:7" ht="4.5" customHeight="1" collapsed="1" x14ac:dyDescent="0.2">
      <c r="C8" s="156"/>
      <c r="D8" s="157"/>
      <c r="E8" s="157"/>
      <c r="F8" s="156"/>
      <c r="G8" s="156"/>
    </row>
    <row r="9" spans="3:7" ht="11.45" customHeight="1" x14ac:dyDescent="0.2">
      <c r="C9" s="37" t="s">
        <v>503</v>
      </c>
      <c r="D9" s="37" t="s">
        <v>502</v>
      </c>
      <c r="E9" s="37"/>
      <c r="F9" s="36">
        <f>'2024 Debitoren'!AV4</f>
        <v>1471.1143400000003</v>
      </c>
      <c r="G9" s="129">
        <f>'Dez25 Debitoren'!AT3/1000</f>
        <v>398.23554000000013</v>
      </c>
    </row>
    <row r="10" spans="3:7" ht="11.45" customHeight="1" x14ac:dyDescent="0.2">
      <c r="C10" s="37" t="s">
        <v>501</v>
      </c>
      <c r="D10" s="37" t="s">
        <v>500</v>
      </c>
      <c r="E10" s="37"/>
      <c r="F10" s="36">
        <f>'2024 Debitoren'!AV5</f>
        <v>191.43004999999994</v>
      </c>
      <c r="G10" s="129">
        <f>'Dez25 Debitoren'!AT4/1000</f>
        <v>365.22497000000004</v>
      </c>
    </row>
    <row r="11" spans="3:7" ht="11.45" customHeight="1" x14ac:dyDescent="0.2">
      <c r="C11" s="37" t="s">
        <v>499</v>
      </c>
      <c r="D11" s="37" t="s">
        <v>498</v>
      </c>
      <c r="E11" s="37"/>
      <c r="F11" s="36">
        <f>'2024 Debitoren'!AV6</f>
        <v>13.947750000000001</v>
      </c>
      <c r="G11" s="129">
        <f>'Dez25 Debitoren'!AT5/1000</f>
        <v>172.12172000000001</v>
      </c>
    </row>
    <row r="12" spans="3:7" ht="11.45" customHeight="1" x14ac:dyDescent="0.2">
      <c r="C12" s="37" t="s">
        <v>497</v>
      </c>
      <c r="D12" s="37" t="s">
        <v>496</v>
      </c>
      <c r="E12" s="37"/>
      <c r="F12" s="36">
        <f>'2024 Debitoren'!AV7</f>
        <v>284.07959999999997</v>
      </c>
      <c r="G12" s="129">
        <f>'Dez25 Debitoren'!AT6/1000</f>
        <v>63.454190000000011</v>
      </c>
    </row>
    <row r="13" spans="3:7" ht="11.45" customHeight="1" x14ac:dyDescent="0.2">
      <c r="C13" s="42" t="s">
        <v>495</v>
      </c>
      <c r="D13" s="42" t="s">
        <v>494</v>
      </c>
      <c r="E13" s="42"/>
      <c r="F13" s="127">
        <f>'2024 Debitoren'!AV8</f>
        <v>47.122620000000005</v>
      </c>
      <c r="G13" s="129">
        <f>'Dez25 Debitoren'!AT7/1000</f>
        <v>429.96778999999992</v>
      </c>
    </row>
    <row r="14" spans="3:7" ht="11.45" customHeight="1" x14ac:dyDescent="0.2">
      <c r="C14" s="272" t="s">
        <v>313</v>
      </c>
      <c r="D14" s="272" t="s">
        <v>493</v>
      </c>
      <c r="E14" s="272"/>
      <c r="F14" s="147">
        <f>SUM(F9:F13)</f>
        <v>2007.6943600000004</v>
      </c>
      <c r="G14" s="146">
        <f>SUM(G9:G13)</f>
        <v>1429.0042100000001</v>
      </c>
    </row>
    <row r="15" spans="3:7" ht="4.5" customHeight="1" x14ac:dyDescent="0.2">
      <c r="C15" s="168"/>
      <c r="D15" s="168"/>
      <c r="E15" s="168"/>
      <c r="F15" s="144"/>
      <c r="G15" s="143"/>
    </row>
    <row r="16" spans="3:7" ht="11.45" customHeight="1" x14ac:dyDescent="0.2">
      <c r="C16" s="168" t="s">
        <v>507</v>
      </c>
      <c r="D16" s="168" t="s">
        <v>506</v>
      </c>
      <c r="E16" s="168"/>
      <c r="F16" s="144"/>
      <c r="G16" s="143"/>
    </row>
    <row r="17" spans="3:7" ht="11.45" customHeight="1" x14ac:dyDescent="0.2">
      <c r="C17" s="37" t="s">
        <v>492</v>
      </c>
      <c r="D17" s="37" t="s">
        <v>491</v>
      </c>
      <c r="E17" s="37"/>
      <c r="F17" s="36">
        <f>'Trial Balance (Susa)'!H24/1000</f>
        <v>-18.893000000000001</v>
      </c>
      <c r="G17" s="129">
        <f>'Trial Balance (Susa)'!I24/1000</f>
        <v>-13.35</v>
      </c>
    </row>
    <row r="18" spans="3:7" hidden="1" outlineLevel="1" x14ac:dyDescent="0.2">
      <c r="C18" s="42" t="s">
        <v>490</v>
      </c>
      <c r="D18" s="42" t="s">
        <v>489</v>
      </c>
      <c r="E18" s="42"/>
      <c r="F18" s="127"/>
      <c r="G18" s="135"/>
    </row>
    <row r="19" spans="3:7" collapsed="1" x14ac:dyDescent="0.2">
      <c r="C19" s="271" t="s">
        <v>313</v>
      </c>
      <c r="D19" s="271" t="s">
        <v>312</v>
      </c>
      <c r="E19" s="271"/>
      <c r="F19" s="173">
        <f>SUM(F14:F18)</f>
        <v>1988.8013600000004</v>
      </c>
      <c r="G19" s="270">
        <f>SUM(G14:G18)</f>
        <v>1415.6542100000001</v>
      </c>
    </row>
    <row r="20" spans="3:7" ht="19.5" customHeight="1" x14ac:dyDescent="0.2">
      <c r="C20" s="37"/>
      <c r="D20" s="37"/>
      <c r="E20" s="37"/>
      <c r="F20" s="36"/>
      <c r="G20" s="129"/>
    </row>
    <row r="21" spans="3:7" ht="11.45" customHeight="1" x14ac:dyDescent="0.2">
      <c r="C21" s="155" t="s">
        <v>505</v>
      </c>
      <c r="D21" s="155" t="s">
        <v>504</v>
      </c>
      <c r="E21" s="155"/>
      <c r="F21" s="36"/>
      <c r="G21" s="129"/>
    </row>
    <row r="22" spans="3:7" ht="11.45" customHeight="1" x14ac:dyDescent="0.2">
      <c r="C22" s="37" t="s">
        <v>503</v>
      </c>
      <c r="D22" s="37" t="s">
        <v>502</v>
      </c>
      <c r="E22" s="37"/>
      <c r="F22" s="81">
        <f>IFERROR(F9/F$14,"n/a")</f>
        <v>0.73273819427375386</v>
      </c>
      <c r="G22" s="79">
        <f>IFERROR(G9/G$14,"n/a")</f>
        <v>0.2786804525929284</v>
      </c>
    </row>
    <row r="23" spans="3:7" ht="11.45" customHeight="1" x14ac:dyDescent="0.2">
      <c r="C23" s="37" t="s">
        <v>501</v>
      </c>
      <c r="D23" s="37" t="s">
        <v>500</v>
      </c>
      <c r="E23" s="37"/>
      <c r="F23" s="81">
        <f t="shared" ref="F23:G27" si="0">IFERROR(F10/F$14,"n/a")</f>
        <v>9.5348203299231216E-2</v>
      </c>
      <c r="G23" s="79">
        <f t="shared" si="0"/>
        <v>0.25558005179005039</v>
      </c>
    </row>
    <row r="24" spans="3:7" ht="11.45" customHeight="1" x14ac:dyDescent="0.2">
      <c r="C24" s="37" t="s">
        <v>499</v>
      </c>
      <c r="D24" s="37" t="s">
        <v>498</v>
      </c>
      <c r="E24" s="37"/>
      <c r="F24" s="81">
        <f t="shared" si="0"/>
        <v>6.9471480708846534E-3</v>
      </c>
      <c r="G24" s="79">
        <f t="shared" si="0"/>
        <v>0.12044871442331161</v>
      </c>
    </row>
    <row r="25" spans="3:7" ht="11.45" customHeight="1" x14ac:dyDescent="0.2">
      <c r="C25" s="37" t="s">
        <v>497</v>
      </c>
      <c r="D25" s="37" t="s">
        <v>496</v>
      </c>
      <c r="E25" s="37"/>
      <c r="F25" s="81">
        <f t="shared" si="0"/>
        <v>0.1414954415671118</v>
      </c>
      <c r="G25" s="79">
        <f t="shared" si="0"/>
        <v>4.4404480795756374E-2</v>
      </c>
    </row>
    <row r="26" spans="3:7" ht="11.45" customHeight="1" x14ac:dyDescent="0.2">
      <c r="C26" s="42" t="s">
        <v>495</v>
      </c>
      <c r="D26" s="42" t="s">
        <v>494</v>
      </c>
      <c r="E26" s="42"/>
      <c r="F26" s="41">
        <f t="shared" si="0"/>
        <v>2.3471012789018343E-2</v>
      </c>
      <c r="G26" s="297">
        <f t="shared" si="0"/>
        <v>0.30088630039795328</v>
      </c>
    </row>
    <row r="27" spans="3:7" ht="11.45" customHeight="1" x14ac:dyDescent="0.2">
      <c r="C27" s="168" t="s">
        <v>640</v>
      </c>
      <c r="D27" s="168" t="s">
        <v>493</v>
      </c>
      <c r="E27" s="168"/>
      <c r="F27" s="296">
        <f t="shared" si="0"/>
        <v>1</v>
      </c>
      <c r="G27" s="295">
        <f t="shared" si="0"/>
        <v>1</v>
      </c>
    </row>
    <row r="28" spans="3:7" ht="4.5" customHeight="1" x14ac:dyDescent="0.2">
      <c r="C28" s="37"/>
      <c r="D28" s="37"/>
      <c r="E28" s="37"/>
      <c r="F28" s="36"/>
      <c r="G28" s="36"/>
    </row>
    <row r="29" spans="3:7" ht="11.45" hidden="1" customHeight="1" outlineLevel="1" x14ac:dyDescent="0.2">
      <c r="C29" s="37" t="s">
        <v>492</v>
      </c>
      <c r="D29" s="37" t="s">
        <v>491</v>
      </c>
      <c r="E29" s="37"/>
      <c r="F29" s="81">
        <f>IFERROR(F17/F$19,"n/a")</f>
        <v>-9.4996918143700378E-3</v>
      </c>
      <c r="G29" s="79">
        <f>IFERROR(G17/G$19,"n/a")</f>
        <v>-9.4302689920301927E-3</v>
      </c>
    </row>
    <row r="30" spans="3:7" ht="11.45" hidden="1" customHeight="1" outlineLevel="1" x14ac:dyDescent="0.2">
      <c r="C30" s="37" t="s">
        <v>490</v>
      </c>
      <c r="D30" s="37" t="s">
        <v>489</v>
      </c>
      <c r="E30" s="37"/>
      <c r="F30" s="81">
        <f>IFERROR(F18/F$19,"n/a")</f>
        <v>0</v>
      </c>
      <c r="G30" s="79">
        <f>IFERROR(G18/G$19,"n/a")</f>
        <v>0</v>
      </c>
    </row>
    <row r="31" spans="3:7" ht="4.5" hidden="1" customHeight="1" outlineLevel="1" x14ac:dyDescent="0.2">
      <c r="C31" s="37"/>
      <c r="D31" s="37"/>
      <c r="E31" s="37"/>
      <c r="F31" s="36"/>
      <c r="G31" s="129"/>
    </row>
    <row r="32" spans="3:7" ht="11.45" customHeight="1" collapsed="1" x14ac:dyDescent="0.2">
      <c r="C32" s="42" t="s">
        <v>4471</v>
      </c>
      <c r="D32" s="42" t="s">
        <v>4472</v>
      </c>
      <c r="E32" s="42"/>
      <c r="F32" s="127"/>
      <c r="G32" s="294"/>
    </row>
    <row r="35" spans="3:7" x14ac:dyDescent="0.2">
      <c r="C35" s="72" t="s">
        <v>488</v>
      </c>
      <c r="D35" s="72" t="s">
        <v>487</v>
      </c>
      <c r="E35" s="72"/>
      <c r="F35" s="71">
        <f>'Lead NA'!H17</f>
        <v>1988.8013600000002</v>
      </c>
      <c r="G35" s="71">
        <f>'Lead NA'!I17</f>
        <v>1415.6542099999999</v>
      </c>
    </row>
    <row r="36" spans="3:7" x14ac:dyDescent="0.2">
      <c r="C36" s="70" t="s">
        <v>233</v>
      </c>
      <c r="D36" s="69" t="s">
        <v>233</v>
      </c>
      <c r="E36" s="70"/>
      <c r="F36" s="68">
        <f>F35-F19</f>
        <v>0</v>
      </c>
      <c r="G36" s="68">
        <f>G35-G19</f>
        <v>0</v>
      </c>
    </row>
  </sheetData>
  <conditionalFormatting sqref="A1:XFD1048576">
    <cfRule type="containsText" dxfId="222" priority="1" operator="containsText" text="Dummy">
      <formula>NOT(ISERROR(SEARCH("Dummy",A1)))</formula>
    </cfRule>
    <cfRule type="containsText" priority="2" operator="containsText" text="Dummy">
      <formula>NOT(ISERROR(SEARCH("Dummy",A1)))</formula>
    </cfRule>
  </conditionalFormatting>
  <conditionalFormatting sqref="F36:G36">
    <cfRule type="cellIs" dxfId="221" priority="3" operator="between">
      <formula>-1</formula>
      <formula>1</formula>
    </cfRule>
    <cfRule type="cellIs" dxfId="220" priority="4" operator="lessThan">
      <formula>-1</formula>
    </cfRule>
    <cfRule type="cellIs" dxfId="219" priority="5" operator="greaterThan">
      <formula>1</formula>
    </cfRule>
  </conditionalFormatting>
  <pageMargins left="0.7" right="0.7" top="0.78740157499999996" bottom="0.78740157499999996" header="0.3" footer="0.3"/>
  <pageSetup paperSize="9" scale="62" orientation="portrait" r:id="rId1"/>
  <customProperties>
    <customPr name="AreLinksHighlighted" r:id="rId2"/>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AA7E3-E96D-45F7-8FD0-93249090B56F}">
  <sheetPr>
    <tabColor rgb="FF92D050"/>
  </sheetPr>
  <dimension ref="C1:I35"/>
  <sheetViews>
    <sheetView topLeftCell="A2" workbookViewId="0"/>
  </sheetViews>
  <sheetFormatPr defaultColWidth="11.28515625" defaultRowHeight="12" outlineLevelRow="3" outlineLevelCol="2" x14ac:dyDescent="0.2"/>
  <cols>
    <col min="1" max="1" width="11.28515625" style="1"/>
    <col min="2" max="2" width="0.85546875" style="1" customWidth="1"/>
    <col min="3" max="3" width="35.5703125" style="1" customWidth="1"/>
    <col min="4" max="4" width="35.5703125" style="1" hidden="1" customWidth="1" outlineLevel="1"/>
    <col min="5" max="5" width="10.42578125" style="1" customWidth="1" collapsed="1"/>
    <col min="6" max="7" width="10.42578125" style="1" customWidth="1"/>
    <col min="8" max="8" width="0.85546875" style="1" hidden="1" customWidth="1" outlineLevel="2"/>
    <col min="9" max="9" width="11.28515625" style="1" collapsed="1"/>
    <col min="10" max="16384" width="11.28515625" style="1"/>
  </cols>
  <sheetData>
    <row r="1" spans="3:7" hidden="1" outlineLevel="3" x14ac:dyDescent="0.2"/>
    <row r="2" spans="3:7" collapsed="1" x14ac:dyDescent="0.2"/>
    <row r="4" spans="3:7" ht="11.45" customHeight="1" x14ac:dyDescent="0.2">
      <c r="C4" s="236" t="s">
        <v>2412</v>
      </c>
      <c r="D4" s="230"/>
      <c r="E4" s="230"/>
      <c r="F4" s="234">
        <v>45657</v>
      </c>
      <c r="G4" s="234">
        <v>46022</v>
      </c>
    </row>
    <row r="5" spans="3:7" ht="11.45" customHeight="1" x14ac:dyDescent="0.2">
      <c r="C5" s="236" t="s">
        <v>4469</v>
      </c>
      <c r="D5" s="230"/>
      <c r="E5" s="230"/>
      <c r="F5" s="234" t="s">
        <v>35</v>
      </c>
      <c r="G5" s="234" t="s">
        <v>35</v>
      </c>
    </row>
    <row r="6" spans="3:7" ht="11.45" hidden="1" customHeight="1" outlineLevel="1" x14ac:dyDescent="0.2">
      <c r="C6" s="233"/>
      <c r="D6" s="232" t="s">
        <v>2412</v>
      </c>
      <c r="E6" s="232"/>
      <c r="F6" s="261">
        <v>45657</v>
      </c>
      <c r="G6" s="261">
        <v>45930</v>
      </c>
    </row>
    <row r="7" spans="3:7" ht="11.45" hidden="1" customHeight="1" outlineLevel="1" x14ac:dyDescent="0.2">
      <c r="C7" s="233"/>
      <c r="D7" s="232" t="s">
        <v>4470</v>
      </c>
      <c r="E7" s="232"/>
      <c r="F7" s="261" t="s">
        <v>35</v>
      </c>
      <c r="G7" s="261" t="s">
        <v>35</v>
      </c>
    </row>
    <row r="8" spans="3:7" ht="4.5" customHeight="1" collapsed="1" x14ac:dyDescent="0.2">
      <c r="C8" s="156"/>
      <c r="D8" s="157"/>
      <c r="E8" s="157"/>
      <c r="F8" s="156"/>
      <c r="G8" s="156"/>
    </row>
    <row r="9" spans="3:7" ht="11.45" customHeight="1" x14ac:dyDescent="0.2">
      <c r="C9" s="37" t="s">
        <v>503</v>
      </c>
      <c r="D9" s="37" t="s">
        <v>502</v>
      </c>
      <c r="E9" s="37"/>
      <c r="F9" s="36">
        <f>'2024 Kreditoren'!AV4</f>
        <v>1201.1410499999995</v>
      </c>
      <c r="G9" s="129">
        <f>'Dez25 Kreditoren'!AT3/1000</f>
        <v>242.48651000000001</v>
      </c>
    </row>
    <row r="10" spans="3:7" ht="11.45" customHeight="1" x14ac:dyDescent="0.2">
      <c r="C10" s="37" t="s">
        <v>501</v>
      </c>
      <c r="D10" s="37" t="s">
        <v>500</v>
      </c>
      <c r="E10" s="37"/>
      <c r="F10" s="36">
        <f>'2024 Kreditoren'!AV5</f>
        <v>5.95085</v>
      </c>
      <c r="G10" s="129">
        <f>'Dez25 Kreditoren'!AT4/1000</f>
        <v>1.43425</v>
      </c>
    </row>
    <row r="11" spans="3:7" ht="11.45" customHeight="1" x14ac:dyDescent="0.2">
      <c r="C11" s="37" t="s">
        <v>499</v>
      </c>
      <c r="D11" s="37" t="s">
        <v>498</v>
      </c>
      <c r="E11" s="37"/>
      <c r="F11" s="36">
        <f>'2024 Kreditoren'!AV6</f>
        <v>0</v>
      </c>
      <c r="G11" s="129">
        <f>'Dez25 Kreditoren'!AT5/1000</f>
        <v>2.9023000000000003</v>
      </c>
    </row>
    <row r="12" spans="3:7" ht="11.45" customHeight="1" x14ac:dyDescent="0.2">
      <c r="C12" s="37" t="s">
        <v>497</v>
      </c>
      <c r="D12" s="37" t="s">
        <v>496</v>
      </c>
      <c r="E12" s="37"/>
      <c r="F12" s="36">
        <f>'2024 Kreditoren'!AV7</f>
        <v>0</v>
      </c>
      <c r="G12" s="129">
        <f>'Dez25 Kreditoren'!AT6/1000</f>
        <v>0</v>
      </c>
    </row>
    <row r="13" spans="3:7" ht="11.45" customHeight="1" x14ac:dyDescent="0.2">
      <c r="C13" s="42" t="s">
        <v>495</v>
      </c>
      <c r="D13" s="42" t="s">
        <v>494</v>
      </c>
      <c r="E13" s="42"/>
      <c r="F13" s="127">
        <f>'2024 Kreditoren'!AV8</f>
        <v>14.916219999999999</v>
      </c>
      <c r="G13" s="129">
        <f>'Dez25 Kreditoren'!AT7/1000</f>
        <v>0</v>
      </c>
    </row>
    <row r="14" spans="3:7" ht="11.45" customHeight="1" x14ac:dyDescent="0.2">
      <c r="C14" s="133" t="s">
        <v>311</v>
      </c>
      <c r="D14" s="133" t="s">
        <v>310</v>
      </c>
      <c r="E14" s="133"/>
      <c r="F14" s="132">
        <f>SUM(F9:F13)</f>
        <v>1222.0081199999995</v>
      </c>
      <c r="G14" s="131">
        <f>SUM(G9:G13)</f>
        <v>246.82306</v>
      </c>
    </row>
    <row r="15" spans="3:7" ht="4.5" customHeight="1" x14ac:dyDescent="0.2">
      <c r="C15" s="37"/>
      <c r="D15" s="37"/>
      <c r="E15" s="37"/>
      <c r="F15" s="36"/>
      <c r="G15" s="129"/>
    </row>
    <row r="16" spans="3:7" ht="11.45" customHeight="1" x14ac:dyDescent="0.2">
      <c r="C16" s="155" t="s">
        <v>505</v>
      </c>
      <c r="D16" s="155" t="s">
        <v>504</v>
      </c>
      <c r="E16" s="155"/>
      <c r="F16" s="36"/>
      <c r="G16" s="129"/>
    </row>
    <row r="17" spans="3:7" ht="11.45" customHeight="1" x14ac:dyDescent="0.2">
      <c r="C17" s="37" t="s">
        <v>503</v>
      </c>
      <c r="D17" s="37" t="s">
        <v>502</v>
      </c>
      <c r="E17" s="37"/>
      <c r="F17" s="81">
        <f t="shared" ref="F17:G21" si="0">IFERROR(F9/F$14,"n/a")</f>
        <v>0.98292395143822775</v>
      </c>
      <c r="G17" s="79">
        <f t="shared" si="0"/>
        <v>0.98243053140982861</v>
      </c>
    </row>
    <row r="18" spans="3:7" ht="11.45" customHeight="1" x14ac:dyDescent="0.2">
      <c r="C18" s="37" t="s">
        <v>501</v>
      </c>
      <c r="D18" s="37" t="s">
        <v>500</v>
      </c>
      <c r="E18" s="37"/>
      <c r="F18" s="81">
        <f t="shared" si="0"/>
        <v>4.8697303255235344E-3</v>
      </c>
      <c r="G18" s="79">
        <f t="shared" si="0"/>
        <v>5.8108427956447828E-3</v>
      </c>
    </row>
    <row r="19" spans="3:7" ht="11.45" customHeight="1" x14ac:dyDescent="0.2">
      <c r="C19" s="37" t="s">
        <v>499</v>
      </c>
      <c r="D19" s="37" t="s">
        <v>498</v>
      </c>
      <c r="E19" s="37"/>
      <c r="F19" s="81">
        <f t="shared" si="0"/>
        <v>0</v>
      </c>
      <c r="G19" s="79">
        <f t="shared" si="0"/>
        <v>1.1758625794526656E-2</v>
      </c>
    </row>
    <row r="20" spans="3:7" ht="11.45" customHeight="1" x14ac:dyDescent="0.2">
      <c r="C20" s="37" t="s">
        <v>497</v>
      </c>
      <c r="D20" s="37" t="s">
        <v>496</v>
      </c>
      <c r="E20" s="37"/>
      <c r="F20" s="81">
        <f t="shared" si="0"/>
        <v>0</v>
      </c>
      <c r="G20" s="79">
        <f t="shared" si="0"/>
        <v>0</v>
      </c>
    </row>
    <row r="21" spans="3:7" ht="11.25" customHeight="1" x14ac:dyDescent="0.2">
      <c r="C21" s="37" t="s">
        <v>495</v>
      </c>
      <c r="D21" s="37" t="s">
        <v>494</v>
      </c>
      <c r="E21" s="37"/>
      <c r="F21" s="81">
        <f t="shared" si="0"/>
        <v>1.2206318236248712E-2</v>
      </c>
      <c r="G21" s="79">
        <f t="shared" si="0"/>
        <v>0</v>
      </c>
    </row>
    <row r="22" spans="3:7" ht="4.5" hidden="1" customHeight="1" outlineLevel="1" x14ac:dyDescent="0.2">
      <c r="C22" s="37"/>
      <c r="D22" s="37"/>
      <c r="E22" s="37"/>
      <c r="F22" s="36"/>
      <c r="G22" s="129"/>
    </row>
    <row r="23" spans="3:7" ht="11.45" hidden="1" customHeight="1" outlineLevel="1" x14ac:dyDescent="0.2">
      <c r="C23" s="90" t="s">
        <v>467</v>
      </c>
      <c r="D23" s="90" t="s">
        <v>466</v>
      </c>
      <c r="E23" s="90"/>
      <c r="F23" s="36"/>
      <c r="G23" s="129"/>
    </row>
    <row r="24" spans="3:7" ht="11.45" hidden="1" customHeight="1" outlineLevel="1" x14ac:dyDescent="0.2">
      <c r="C24" s="37" t="s">
        <v>209</v>
      </c>
      <c r="D24" s="37" t="s">
        <v>209</v>
      </c>
      <c r="E24" s="37"/>
      <c r="F24" s="36"/>
      <c r="G24" s="129"/>
    </row>
    <row r="25" spans="3:7" ht="11.45" hidden="1" customHeight="1" outlineLevel="1" x14ac:dyDescent="0.2">
      <c r="C25" s="37" t="s">
        <v>208</v>
      </c>
      <c r="D25" s="37" t="s">
        <v>208</v>
      </c>
      <c r="E25" s="37"/>
      <c r="F25" s="36"/>
      <c r="G25" s="129"/>
    </row>
    <row r="26" spans="3:7" ht="10.5" hidden="1" customHeight="1" outlineLevel="1" x14ac:dyDescent="0.2">
      <c r="C26" s="42" t="s">
        <v>207</v>
      </c>
      <c r="D26" s="42" t="s">
        <v>207</v>
      </c>
      <c r="E26" s="42"/>
      <c r="F26" s="127"/>
      <c r="G26" s="135"/>
    </row>
    <row r="27" spans="3:7" ht="7.5" hidden="1" customHeight="1" outlineLevel="1" x14ac:dyDescent="0.2">
      <c r="C27" s="272" t="str">
        <f>C23</f>
        <v>Normalisierungsanpassungen BT</v>
      </c>
      <c r="D27" s="272" t="str">
        <f>D23</f>
        <v>BT normalization adjustments</v>
      </c>
      <c r="E27" s="272"/>
      <c r="F27" s="147">
        <f>+SUM(F24:F26)</f>
        <v>0</v>
      </c>
      <c r="G27" s="131">
        <f>+SUM(G24:G26)</f>
        <v>0</v>
      </c>
    </row>
    <row r="28" spans="3:7" ht="12" hidden="1" customHeight="1" outlineLevel="1" x14ac:dyDescent="0.2">
      <c r="C28" s="271" t="s">
        <v>633</v>
      </c>
      <c r="D28" s="271" t="s">
        <v>632</v>
      </c>
      <c r="E28" s="271"/>
      <c r="F28" s="173">
        <f>+F27+F14</f>
        <v>1222.0081199999995</v>
      </c>
      <c r="G28" s="270">
        <f>+G27+G14</f>
        <v>246.82306</v>
      </c>
    </row>
    <row r="29" spans="3:7" ht="10.5" customHeight="1" collapsed="1" x14ac:dyDescent="0.2">
      <c r="C29" s="567" t="s">
        <v>640</v>
      </c>
      <c r="D29" s="43"/>
      <c r="E29" s="43"/>
      <c r="F29" s="568">
        <f>SUM(F17:F21)</f>
        <v>1</v>
      </c>
      <c r="G29" s="569">
        <f>SUM(G17:G21)</f>
        <v>1</v>
      </c>
    </row>
    <row r="30" spans="3:7" ht="3.75" customHeight="1" x14ac:dyDescent="0.2">
      <c r="C30" s="155"/>
      <c r="D30" s="37"/>
      <c r="E30" s="37"/>
      <c r="F30" s="570"/>
      <c r="G30" s="570"/>
    </row>
    <row r="31" spans="3:7" ht="11.45" customHeight="1" x14ac:dyDescent="0.2">
      <c r="C31" s="42" t="s">
        <v>4471</v>
      </c>
      <c r="D31" s="42" t="s">
        <v>4472</v>
      </c>
      <c r="E31" s="42"/>
      <c r="F31" s="127"/>
      <c r="G31" s="294"/>
    </row>
    <row r="34" spans="3:7" x14ac:dyDescent="0.2">
      <c r="C34" s="72" t="s">
        <v>631</v>
      </c>
      <c r="D34" s="72" t="s">
        <v>630</v>
      </c>
      <c r="E34" s="72"/>
      <c r="F34" s="71">
        <f>-'Lead NA'!H18</f>
        <v>1220.4380100000001</v>
      </c>
      <c r="G34" s="71">
        <f>-'Lead NA'!I18</f>
        <v>243.48973999999998</v>
      </c>
    </row>
    <row r="35" spans="3:7" x14ac:dyDescent="0.2">
      <c r="C35" s="70" t="s">
        <v>233</v>
      </c>
      <c r="D35" s="69" t="s">
        <v>233</v>
      </c>
      <c r="E35" s="70"/>
      <c r="F35" s="68">
        <f>F34-F14</f>
        <v>-1.5701099999994312</v>
      </c>
      <c r="G35" s="68">
        <f>G34-G14</f>
        <v>-3.3333200000000147</v>
      </c>
    </row>
  </sheetData>
  <conditionalFormatting sqref="F35:G35">
    <cfRule type="cellIs" dxfId="218" priority="1" operator="between">
      <formula>-1</formula>
      <formula>1</formula>
    </cfRule>
    <cfRule type="cellIs" dxfId="217" priority="2" operator="lessThan">
      <formula>-1</formula>
    </cfRule>
    <cfRule type="cellIs" dxfId="216" priority="3" operator="greaterThan">
      <formula>1</formula>
    </cfRule>
  </conditionalFormatting>
  <pageMargins left="0.7" right="0.7" top="0.78740157499999996" bottom="0.78740157499999996" header="0.3" footer="0.3"/>
  <pageSetup paperSize="9" scale="62" orientation="portrait" r:id="rId1"/>
  <colBreaks count="1" manualBreakCount="1">
    <brk id="8" max="1048575" man="1"/>
  </colBreaks>
  <customProperties>
    <customPr name="AreLinksHighlighted" r:id="rId2"/>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94A73-6181-40C7-9812-AB2AB074DE86}">
  <sheetPr>
    <tabColor rgb="FF92D050"/>
  </sheetPr>
  <dimension ref="A1:Y176"/>
  <sheetViews>
    <sheetView topLeftCell="A2" workbookViewId="0"/>
  </sheetViews>
  <sheetFormatPr defaultColWidth="11.28515625" defaultRowHeight="12" outlineLevelRow="4" outlineLevelCol="2" x14ac:dyDescent="0.2"/>
  <cols>
    <col min="1" max="1" width="11.28515625" style="1"/>
    <col min="2" max="2" width="0.85546875" style="1" hidden="1" customWidth="1" outlineLevel="2"/>
    <col min="3" max="3" width="40.5703125" style="1" customWidth="1" collapsed="1"/>
    <col min="4" max="4" width="40.5703125" style="1" hidden="1" customWidth="1" outlineLevel="1"/>
    <col min="5" max="5" width="10.42578125" style="1" customWidth="1" collapsed="1"/>
    <col min="6" max="9" width="10.42578125" style="1" customWidth="1"/>
    <col min="10" max="13" width="10.42578125" style="1" hidden="1" customWidth="1" outlineLevel="1"/>
    <col min="14" max="14" width="0.85546875" style="1" hidden="1" customWidth="1" outlineLevel="2"/>
    <col min="15" max="15" width="11.28515625" style="1" collapsed="1"/>
    <col min="16" max="16" width="38.85546875" style="1" customWidth="1" outlineLevel="1"/>
    <col min="17" max="17" width="11.28515625" style="1"/>
    <col min="18" max="18" width="50.7109375" style="1" customWidth="1" outlineLevel="1"/>
    <col min="19" max="19" width="55.85546875" style="1" bestFit="1" customWidth="1"/>
    <col min="20" max="16384" width="11.28515625" style="1"/>
  </cols>
  <sheetData>
    <row r="1" spans="3:20" hidden="1" outlineLevel="3" x14ac:dyDescent="0.2"/>
    <row r="2" spans="3:20" collapsed="1" x14ac:dyDescent="0.2"/>
    <row r="3" spans="3:20" ht="11.25" customHeight="1" x14ac:dyDescent="0.2">
      <c r="E3" s="953" t="s">
        <v>5434</v>
      </c>
    </row>
    <row r="4" spans="3:20" ht="11.25" customHeight="1" x14ac:dyDescent="0.2">
      <c r="C4" s="236" t="str">
        <f>Cockpit!$C$4</f>
        <v>Projekt Namur</v>
      </c>
      <c r="D4" s="230"/>
      <c r="E4" s="234">
        <f>Cockpit!C39</f>
        <v>44561</v>
      </c>
      <c r="F4" s="234">
        <f>Cockpit!D39</f>
        <v>44926</v>
      </c>
      <c r="G4" s="234">
        <f>Cockpit!E39</f>
        <v>45291</v>
      </c>
      <c r="H4" s="234">
        <f>Cockpit!F39</f>
        <v>45657</v>
      </c>
      <c r="I4" s="234">
        <f>Cockpit!G39</f>
        <v>46022</v>
      </c>
      <c r="J4" s="234">
        <f>Cockpit!H39</f>
        <v>46022</v>
      </c>
      <c r="K4" s="234">
        <f>Cockpit!I39</f>
        <v>46387</v>
      </c>
      <c r="L4" s="234">
        <f>Cockpit!J39</f>
        <v>46752</v>
      </c>
      <c r="M4" s="234">
        <f>Cockpit!K39</f>
        <v>47118</v>
      </c>
      <c r="R4" s="517" t="s">
        <v>2465</v>
      </c>
      <c r="S4" s="517" t="s">
        <v>5431</v>
      </c>
    </row>
    <row r="5" spans="3:20" ht="11.25" customHeight="1" x14ac:dyDescent="0.2">
      <c r="C5" s="236" t="str">
        <f>"in T"&amp;Cockpit!$C$5</f>
        <v>in TEUR</v>
      </c>
      <c r="D5" s="230"/>
      <c r="E5" s="234" t="s">
        <v>35</v>
      </c>
      <c r="F5" s="234" t="s">
        <v>35</v>
      </c>
      <c r="G5" s="234" t="s">
        <v>35</v>
      </c>
      <c r="H5" s="234" t="s">
        <v>35</v>
      </c>
      <c r="I5" s="234" t="s">
        <v>35</v>
      </c>
      <c r="J5" s="234" t="str">
        <f>Cockpit!H40</f>
        <v>Plan</v>
      </c>
      <c r="K5" s="234" t="str">
        <f>Cockpit!I40</f>
        <v>Plan</v>
      </c>
      <c r="L5" s="234" t="str">
        <f>Cockpit!J40</f>
        <v>Plan</v>
      </c>
      <c r="M5" s="234" t="str">
        <f>Cockpit!K40</f>
        <v>Plan</v>
      </c>
    </row>
    <row r="6" spans="3:20" ht="11.25" hidden="1" customHeight="1" x14ac:dyDescent="0.2">
      <c r="C6" s="233"/>
      <c r="D6" s="232" t="str">
        <f>Cockpit!$C$4</f>
        <v>Projekt Namur</v>
      </c>
      <c r="E6" s="261">
        <f>Cockpit!C39</f>
        <v>44561</v>
      </c>
      <c r="F6" s="261">
        <f>Cockpit!D39</f>
        <v>44926</v>
      </c>
      <c r="G6" s="261">
        <f>Cockpit!E39</f>
        <v>45291</v>
      </c>
      <c r="H6" s="261">
        <f>Cockpit!F39</f>
        <v>45657</v>
      </c>
      <c r="I6" s="261">
        <f>Cockpit!G39</f>
        <v>46022</v>
      </c>
      <c r="J6" s="261">
        <f>Cockpit!H39</f>
        <v>46022</v>
      </c>
      <c r="K6" s="261">
        <f>Cockpit!I39</f>
        <v>46387</v>
      </c>
      <c r="L6" s="261">
        <f>Cockpit!J39</f>
        <v>46752</v>
      </c>
      <c r="M6" s="261">
        <f>Cockpit!K39</f>
        <v>47118</v>
      </c>
    </row>
    <row r="7" spans="3:20" ht="11.25" hidden="1" customHeight="1" x14ac:dyDescent="0.2">
      <c r="C7" s="233"/>
      <c r="D7" s="232" t="str">
        <f>"in k"&amp;Cockpit!$C$5</f>
        <v>in kEUR</v>
      </c>
      <c r="E7" s="261" t="str">
        <f>F7</f>
        <v>IST</v>
      </c>
      <c r="F7" s="261" t="str">
        <f>Cockpit!D40</f>
        <v>IST</v>
      </c>
      <c r="G7" s="261" t="str">
        <f>Cockpit!E40</f>
        <v>IST</v>
      </c>
      <c r="H7" s="261" t="str">
        <f>Cockpit!F40</f>
        <v>IST</v>
      </c>
      <c r="I7" s="261" t="str">
        <f>Cockpit!G40</f>
        <v>IST</v>
      </c>
      <c r="J7" s="261" t="str">
        <f>Cockpit!H40</f>
        <v>Plan</v>
      </c>
      <c r="K7" s="261" t="str">
        <f>Cockpit!I40</f>
        <v>Plan</v>
      </c>
      <c r="L7" s="261" t="str">
        <f>Cockpit!J40</f>
        <v>Plan</v>
      </c>
      <c r="M7" s="261" t="str">
        <f>Cockpit!K40</f>
        <v>Plan</v>
      </c>
      <c r="P7" s="419" t="s">
        <v>840</v>
      </c>
    </row>
    <row r="8" spans="3:20" ht="4.5" customHeight="1" x14ac:dyDescent="0.2">
      <c r="C8" s="156"/>
      <c r="D8" s="157"/>
      <c r="E8" s="156"/>
      <c r="F8" s="156"/>
      <c r="G8" s="156"/>
      <c r="H8" s="156"/>
      <c r="I8" s="156"/>
      <c r="J8" s="156"/>
      <c r="K8" s="156"/>
      <c r="L8" s="156"/>
      <c r="M8" s="156"/>
    </row>
    <row r="9" spans="3:20" ht="11.25" customHeight="1" x14ac:dyDescent="0.2">
      <c r="C9" s="37" t="str">
        <f>'Lead NA'!C16</f>
        <v>Vorräte</v>
      </c>
      <c r="D9" s="37" t="str">
        <f>'Lead NA'!D16</f>
        <v>Inventories</v>
      </c>
      <c r="E9" s="284">
        <f>'Equity Bridge SONNTAG'!J133/1000</f>
        <v>1602.81125</v>
      </c>
      <c r="F9" s="284">
        <f>'Lead NA'!F16</f>
        <v>1953.4010800000001</v>
      </c>
      <c r="G9" s="284">
        <f>'Lead NA'!G16</f>
        <v>2652.1086500000001</v>
      </c>
      <c r="H9" s="284">
        <f>'Lead NA'!H16</f>
        <v>3855.88364</v>
      </c>
      <c r="I9" s="284">
        <f>'Lead NA'!I16</f>
        <v>2912.6865600000001</v>
      </c>
      <c r="J9" s="282">
        <f>'Lead NA'!J16</f>
        <v>0</v>
      </c>
      <c r="K9" s="282">
        <f>'Lead NA'!K16</f>
        <v>0</v>
      </c>
      <c r="L9" s="282">
        <f>'Lead NA'!L16</f>
        <v>0</v>
      </c>
      <c r="M9" s="282">
        <f>'Lead NA'!M16</f>
        <v>0</v>
      </c>
    </row>
    <row r="10" spans="3:20" ht="11.25" customHeight="1" x14ac:dyDescent="0.2">
      <c r="C10" s="37" t="str">
        <f>'Lead NA'!C17</f>
        <v>Forderungen aus LuL</v>
      </c>
      <c r="D10" s="37" t="str">
        <f>'Lead NA'!D17</f>
        <v>Trade receivables</v>
      </c>
      <c r="E10" s="284">
        <f>'Equity Bridge SONNTAG'!J134/1000</f>
        <v>1073.0571499999999</v>
      </c>
      <c r="F10" s="284">
        <f>'Lead NA'!F17</f>
        <v>1780.65607</v>
      </c>
      <c r="G10" s="284">
        <f>'Lead NA'!G17</f>
        <v>1586.36779</v>
      </c>
      <c r="H10" s="284">
        <f>'Lead NA'!H17</f>
        <v>1988.8013600000002</v>
      </c>
      <c r="I10" s="284">
        <f>'Lead NA'!I17</f>
        <v>1415.6542099999999</v>
      </c>
      <c r="J10" s="282">
        <f>'Lead NA'!J17</f>
        <v>0</v>
      </c>
      <c r="K10" s="282">
        <f>'Lead NA'!K17</f>
        <v>0</v>
      </c>
      <c r="L10" s="282">
        <f>'Lead NA'!L17</f>
        <v>0</v>
      </c>
      <c r="M10" s="282">
        <f>'Lead NA'!M17</f>
        <v>0</v>
      </c>
    </row>
    <row r="11" spans="3:20" ht="11.25" customHeight="1" x14ac:dyDescent="0.25">
      <c r="C11" s="37" t="str">
        <f>'Lead NA'!C18</f>
        <v>Verbindlichkeiten aus LuL</v>
      </c>
      <c r="D11" s="37" t="str">
        <f>'Lead NA'!D18</f>
        <v>Trade payables</v>
      </c>
      <c r="E11" s="284">
        <f>'Equity Bridge SONNTAG'!J137/1000</f>
        <v>-485.41492</v>
      </c>
      <c r="F11" s="284">
        <f>'Lead NA'!F18</f>
        <v>-752.85966000000008</v>
      </c>
      <c r="G11" s="284">
        <f>'Lead NA'!G18</f>
        <v>-848.28356000000008</v>
      </c>
      <c r="H11" s="284">
        <f>'Lead NA'!H18</f>
        <v>-1220.4380100000001</v>
      </c>
      <c r="I11" s="284">
        <f>'Lead NA'!I18</f>
        <v>-243.48973999999998</v>
      </c>
      <c r="J11" s="282">
        <f>'Lead NA'!J18</f>
        <v>0</v>
      </c>
      <c r="K11" s="282">
        <f>'Lead NA'!K18</f>
        <v>0</v>
      </c>
      <c r="L11" s="282">
        <f>'Lead NA'!L18</f>
        <v>0</v>
      </c>
      <c r="M11" s="282">
        <f>'Lead NA'!M18</f>
        <v>0</v>
      </c>
      <c r="O11" s="306"/>
      <c r="T11" s="91"/>
    </row>
    <row r="12" spans="3:20" ht="11.25" customHeight="1" x14ac:dyDescent="0.2">
      <c r="C12" s="37" t="str">
        <f>'Lead NA'!C19</f>
        <v>Erhaltene Anzahlungen</v>
      </c>
      <c r="D12" s="37" t="str">
        <f>'Lead NA'!D19</f>
        <v>Advance payments received</v>
      </c>
      <c r="E12" s="284">
        <f>'Lead NA'!E19</f>
        <v>0</v>
      </c>
      <c r="F12" s="284">
        <f>'Lead NA'!F19</f>
        <v>-50</v>
      </c>
      <c r="G12" s="284">
        <f>'Lead NA'!G19</f>
        <v>-50</v>
      </c>
      <c r="H12" s="284">
        <f>'Lead NA'!H19</f>
        <v>-50</v>
      </c>
      <c r="I12" s="284">
        <f>'Lead NA'!I19</f>
        <v>0</v>
      </c>
      <c r="J12" s="282">
        <f>'Lead NA'!J19</f>
        <v>0</v>
      </c>
      <c r="K12" s="282">
        <f>'Lead NA'!K19</f>
        <v>0</v>
      </c>
      <c r="L12" s="282">
        <f>'Lead NA'!L19</f>
        <v>0</v>
      </c>
      <c r="M12" s="282">
        <f>'Lead NA'!M19</f>
        <v>0</v>
      </c>
    </row>
    <row r="13" spans="3:20" ht="11.25" hidden="1" customHeight="1" outlineLevel="4" x14ac:dyDescent="0.2">
      <c r="C13" s="37" t="str">
        <f>'Lead NA'!C20</f>
        <v>Dummy 1</v>
      </c>
      <c r="D13" s="37" t="str">
        <f>'Lead NA'!D20</f>
        <v>Dummy 1</v>
      </c>
      <c r="E13" s="284">
        <f>'Lead NA'!E20</f>
        <v>0</v>
      </c>
      <c r="F13" s="284">
        <f>'Lead NA'!F20</f>
        <v>0</v>
      </c>
      <c r="G13" s="284">
        <f>'Lead NA'!G20</f>
        <v>0</v>
      </c>
      <c r="H13" s="284">
        <f>'Lead NA'!H20</f>
        <v>0</v>
      </c>
      <c r="I13" s="284">
        <f>'Lead NA'!I20</f>
        <v>0</v>
      </c>
      <c r="J13" s="282">
        <f>'Lead NA'!J20</f>
        <v>0</v>
      </c>
      <c r="K13" s="282">
        <f>'Lead NA'!K20</f>
        <v>0</v>
      </c>
      <c r="L13" s="282">
        <f>'Lead NA'!L20</f>
        <v>0</v>
      </c>
      <c r="M13" s="282">
        <f>'Lead NA'!M20</f>
        <v>0</v>
      </c>
    </row>
    <row r="14" spans="3:20" ht="11.25" hidden="1" customHeight="1" outlineLevel="4" x14ac:dyDescent="0.2">
      <c r="C14" s="37" t="str">
        <f>'Lead NA'!C21</f>
        <v>Dummy 2</v>
      </c>
      <c r="D14" s="37" t="str">
        <f>'Lead NA'!D21</f>
        <v>Dummy 2</v>
      </c>
      <c r="E14" s="284">
        <f>'Lead NA'!E21</f>
        <v>0</v>
      </c>
      <c r="F14" s="284">
        <f>'Lead NA'!F21</f>
        <v>0</v>
      </c>
      <c r="G14" s="284">
        <f>'Lead NA'!G21</f>
        <v>0</v>
      </c>
      <c r="H14" s="284">
        <f>'Lead NA'!H21</f>
        <v>0</v>
      </c>
      <c r="I14" s="284">
        <f>'Lead NA'!I21</f>
        <v>0</v>
      </c>
      <c r="J14" s="282">
        <f>'Lead NA'!J21</f>
        <v>0</v>
      </c>
      <c r="K14" s="282">
        <f>'Lead NA'!K21</f>
        <v>0</v>
      </c>
      <c r="L14" s="282">
        <f>'Lead NA'!L21</f>
        <v>0</v>
      </c>
      <c r="M14" s="282">
        <f>'Lead NA'!M21</f>
        <v>0</v>
      </c>
    </row>
    <row r="15" spans="3:20" ht="11.25" hidden="1" customHeight="1" outlineLevel="4" x14ac:dyDescent="0.2">
      <c r="C15" s="37" t="str">
        <f>'Lead NA'!C22</f>
        <v>Dummy 3</v>
      </c>
      <c r="D15" s="37" t="str">
        <f>'Lead NA'!D22</f>
        <v>Dummy 3</v>
      </c>
      <c r="E15" s="284">
        <f>'Lead NA'!E22</f>
        <v>0</v>
      </c>
      <c r="F15" s="284">
        <f>'Lead NA'!F22</f>
        <v>0</v>
      </c>
      <c r="G15" s="284">
        <f>'Lead NA'!G22</f>
        <v>0</v>
      </c>
      <c r="H15" s="284">
        <f>'Lead NA'!H22</f>
        <v>0</v>
      </c>
      <c r="I15" s="284">
        <f>'Lead NA'!I22</f>
        <v>0</v>
      </c>
      <c r="J15" s="282">
        <f>'Lead NA'!J22</f>
        <v>0</v>
      </c>
      <c r="K15" s="282">
        <f>'Lead NA'!K22</f>
        <v>0</v>
      </c>
      <c r="L15" s="282">
        <f>'Lead NA'!L22</f>
        <v>0</v>
      </c>
      <c r="M15" s="282">
        <f>'Lead NA'!M22</f>
        <v>0</v>
      </c>
    </row>
    <row r="16" spans="3:20" ht="11.25" customHeight="1" collapsed="1" x14ac:dyDescent="0.2">
      <c r="C16" s="372" t="s">
        <v>774</v>
      </c>
      <c r="D16" s="372" t="s">
        <v>774</v>
      </c>
      <c r="E16" s="446">
        <f>SUM(E9:E15)</f>
        <v>2190.4534799999997</v>
      </c>
      <c r="F16" s="446">
        <f t="shared" ref="F16:M16" si="0">SUM(F9:F15)</f>
        <v>2931.19749</v>
      </c>
      <c r="G16" s="446">
        <f t="shared" si="0"/>
        <v>3340.1928800000005</v>
      </c>
      <c r="H16" s="446">
        <f t="shared" si="0"/>
        <v>4574.2469900000006</v>
      </c>
      <c r="I16" s="446">
        <f t="shared" si="0"/>
        <v>4084.8510299999998</v>
      </c>
      <c r="J16" s="447">
        <f t="shared" si="0"/>
        <v>0</v>
      </c>
      <c r="K16" s="447">
        <f t="shared" si="0"/>
        <v>0</v>
      </c>
      <c r="L16" s="447">
        <f t="shared" si="0"/>
        <v>0</v>
      </c>
      <c r="M16" s="447">
        <f t="shared" si="0"/>
        <v>0</v>
      </c>
    </row>
    <row r="17" spans="3:19" ht="5.0999999999999996" customHeight="1" x14ac:dyDescent="0.2">
      <c r="C17" s="37"/>
      <c r="D17" s="37"/>
      <c r="E17" s="284"/>
      <c r="F17" s="284"/>
      <c r="G17" s="284"/>
      <c r="H17" s="284"/>
      <c r="I17" s="284"/>
      <c r="J17" s="282"/>
      <c r="K17" s="282"/>
      <c r="L17" s="282"/>
      <c r="M17" s="282"/>
    </row>
    <row r="18" spans="3:19" ht="11.25" customHeight="1" x14ac:dyDescent="0.2">
      <c r="C18" s="37" t="str">
        <f>'Lead NA'!C24</f>
        <v>Sonstige Vermögensgegenstände</v>
      </c>
      <c r="D18" s="37" t="str">
        <f>'Lead NA'!D24</f>
        <v>Other assets</v>
      </c>
      <c r="E18" s="284">
        <f>SUM('Equity Bridge SONNTAG'!J39:J46)/1000</f>
        <v>121.77606</v>
      </c>
      <c r="F18" s="36">
        <f>'Lead NA'!F24</f>
        <v>33.1297</v>
      </c>
      <c r="G18" s="36">
        <f>'Lead NA'!G24</f>
        <v>296.51486</v>
      </c>
      <c r="H18" s="36">
        <f>'Lead NA'!H24</f>
        <v>313.58526000000001</v>
      </c>
      <c r="I18" s="36">
        <f>'Lead NA'!I24</f>
        <v>309.09184000000005</v>
      </c>
      <c r="J18" s="128">
        <f>'Lead NA'!J24</f>
        <v>0</v>
      </c>
      <c r="K18" s="128">
        <f>'Lead NA'!K24</f>
        <v>0</v>
      </c>
      <c r="L18" s="128">
        <f>'Lead NA'!L24</f>
        <v>0</v>
      </c>
      <c r="M18" s="128">
        <f>'Lead NA'!M24</f>
        <v>0</v>
      </c>
      <c r="S18" s="1" t="s">
        <v>5432</v>
      </c>
    </row>
    <row r="19" spans="3:19" ht="11.25" customHeight="1" x14ac:dyDescent="0.2">
      <c r="C19" s="37" t="str">
        <f>'Lead NA'!C25</f>
        <v>Aktive Rechnungsabgrenzungsposten</v>
      </c>
      <c r="D19" s="37" t="str">
        <f>'Lead NA'!D25</f>
        <v>Prepaid expenses</v>
      </c>
      <c r="E19" s="36">
        <f>'Equity Bridge SONNTAG'!J59/1000</f>
        <v>18.960319999999999</v>
      </c>
      <c r="F19" s="36">
        <f>'Lead NA'!F25</f>
        <v>30.218209999999999</v>
      </c>
      <c r="G19" s="36">
        <f>'Lead NA'!G25</f>
        <v>65.903960000000012</v>
      </c>
      <c r="H19" s="36">
        <f>'Lead NA'!H25</f>
        <v>62.927860000000003</v>
      </c>
      <c r="I19" s="36">
        <f>'Lead NA'!I25</f>
        <v>51.301449999999996</v>
      </c>
      <c r="J19" s="128">
        <f>'Lead NA'!J25</f>
        <v>0</v>
      </c>
      <c r="K19" s="128">
        <f>'Lead NA'!K25</f>
        <v>0</v>
      </c>
      <c r="L19" s="128">
        <f>'Lead NA'!L25</f>
        <v>0</v>
      </c>
      <c r="M19" s="128">
        <f>'Lead NA'!M25</f>
        <v>0</v>
      </c>
      <c r="S19" s="1" t="s">
        <v>5432</v>
      </c>
    </row>
    <row r="20" spans="3:19" ht="11.25" customHeight="1" x14ac:dyDescent="0.2">
      <c r="C20" s="37" t="str">
        <f>'Lead NA'!C26</f>
        <v>Geleistete Anzahlung</v>
      </c>
      <c r="D20" s="37" t="str">
        <f>'Lead NA'!D26</f>
        <v>Receivables from affiliated/ participating companies</v>
      </c>
      <c r="E20" s="36">
        <f>'Lead NA'!E26</f>
        <v>0</v>
      </c>
      <c r="F20" s="36">
        <f>'Lead NA'!F26</f>
        <v>0</v>
      </c>
      <c r="G20" s="36">
        <f>'Lead NA'!G26</f>
        <v>0</v>
      </c>
      <c r="H20" s="36">
        <f>'Lead NA'!H26</f>
        <v>0</v>
      </c>
      <c r="I20" s="36">
        <f>'Lead NA'!I26</f>
        <v>180.94499999999999</v>
      </c>
      <c r="J20" s="128">
        <f>'Lead NA'!J26</f>
        <v>0</v>
      </c>
      <c r="K20" s="128">
        <f>'Lead NA'!K26</f>
        <v>0</v>
      </c>
      <c r="L20" s="128">
        <f>'Lead NA'!L26</f>
        <v>0</v>
      </c>
      <c r="M20" s="128">
        <f>'Lead NA'!M26</f>
        <v>0</v>
      </c>
    </row>
    <row r="21" spans="3:19" ht="11.25" hidden="1" customHeight="1" outlineLevel="1" x14ac:dyDescent="0.2">
      <c r="C21" s="37"/>
      <c r="D21" s="37"/>
      <c r="E21" s="36"/>
      <c r="F21" s="36"/>
      <c r="G21" s="36"/>
      <c r="H21" s="36"/>
      <c r="I21" s="36"/>
      <c r="J21" s="128" t="e">
        <f>'Lead NA'!#REF!</f>
        <v>#REF!</v>
      </c>
      <c r="K21" s="128" t="e">
        <f>'Lead NA'!#REF!</f>
        <v>#REF!</v>
      </c>
      <c r="L21" s="128" t="e">
        <f>'Lead NA'!#REF!</f>
        <v>#REF!</v>
      </c>
      <c r="M21" s="128" t="e">
        <f>'Lead NA'!#REF!</f>
        <v>#REF!</v>
      </c>
    </row>
    <row r="22" spans="3:19" ht="11.25" hidden="1" customHeight="1" outlineLevel="1" x14ac:dyDescent="0.2">
      <c r="C22" s="37" t="str">
        <f>'Lead NA'!C27</f>
        <v>Dummy 2</v>
      </c>
      <c r="D22" s="37">
        <f>'Lead NA'!D27</f>
        <v>0</v>
      </c>
      <c r="E22" s="36">
        <f>'Lead NA'!E27</f>
        <v>0</v>
      </c>
      <c r="F22" s="36">
        <f>'Lead NA'!F27</f>
        <v>0</v>
      </c>
      <c r="G22" s="36">
        <f>'Lead NA'!G27</f>
        <v>0</v>
      </c>
      <c r="H22" s="36">
        <f>'Lead NA'!H27</f>
        <v>0</v>
      </c>
      <c r="I22" s="36">
        <f>'Lead NA'!I27</f>
        <v>0</v>
      </c>
      <c r="J22" s="128">
        <f>'Lead NA'!J27</f>
        <v>0</v>
      </c>
      <c r="K22" s="128">
        <f>'Lead NA'!K27</f>
        <v>0</v>
      </c>
      <c r="L22" s="128">
        <f>'Lead NA'!L27</f>
        <v>0</v>
      </c>
      <c r="M22" s="128">
        <f>'Lead NA'!M27</f>
        <v>0</v>
      </c>
    </row>
    <row r="23" spans="3:19" ht="11.25" hidden="1" customHeight="1" outlineLevel="1" x14ac:dyDescent="0.2">
      <c r="C23" s="37" t="str">
        <f>'Lead NA'!C28</f>
        <v>Dummy 2</v>
      </c>
      <c r="D23" s="37" t="str">
        <f>'Lead NA'!D28</f>
        <v>Dummy 2</v>
      </c>
      <c r="E23" s="36">
        <f>'Lead NA'!E28</f>
        <v>0</v>
      </c>
      <c r="F23" s="36">
        <f>'Lead NA'!F28</f>
        <v>0</v>
      </c>
      <c r="G23" s="36">
        <f>'Lead NA'!G28</f>
        <v>0</v>
      </c>
      <c r="H23" s="36">
        <f>'Lead NA'!H28</f>
        <v>0</v>
      </c>
      <c r="I23" s="36">
        <f>'Lead NA'!I28</f>
        <v>0</v>
      </c>
      <c r="J23" s="128">
        <f>'Lead NA'!J28</f>
        <v>0</v>
      </c>
      <c r="K23" s="128">
        <f>'Lead NA'!K28</f>
        <v>0</v>
      </c>
      <c r="L23" s="128">
        <f>'Lead NA'!L28</f>
        <v>0</v>
      </c>
      <c r="M23" s="128">
        <f>'Lead NA'!M28</f>
        <v>0</v>
      </c>
    </row>
    <row r="24" spans="3:19" ht="11.25" hidden="1" customHeight="1" outlineLevel="1" x14ac:dyDescent="0.2">
      <c r="C24" s="37" t="str">
        <f>'Lead NA'!C29</f>
        <v>Dummy 3</v>
      </c>
      <c r="D24" s="37" t="str">
        <f>'Lead NA'!D29</f>
        <v>Dummy 3</v>
      </c>
      <c r="E24" s="36">
        <f>'Lead NA'!E29</f>
        <v>0</v>
      </c>
      <c r="F24" s="36">
        <f>'Lead NA'!F29</f>
        <v>0</v>
      </c>
      <c r="G24" s="36">
        <f>'Lead NA'!G29</f>
        <v>0</v>
      </c>
      <c r="H24" s="36">
        <f>'Lead NA'!H29</f>
        <v>0</v>
      </c>
      <c r="I24" s="36">
        <f>'Lead NA'!I29</f>
        <v>0</v>
      </c>
      <c r="J24" s="128">
        <f>'Lead NA'!J29</f>
        <v>0</v>
      </c>
      <c r="K24" s="128">
        <f>'Lead NA'!K29</f>
        <v>0</v>
      </c>
      <c r="L24" s="128">
        <f>'Lead NA'!L29</f>
        <v>0</v>
      </c>
      <c r="M24" s="128">
        <f>'Lead NA'!M29</f>
        <v>0</v>
      </c>
    </row>
    <row r="25" spans="3:19" ht="11.25" customHeight="1" collapsed="1" x14ac:dyDescent="0.2">
      <c r="C25" s="155" t="str">
        <f>'Lead NA'!C30</f>
        <v>Sonstige Aktiva</v>
      </c>
      <c r="D25" s="155" t="str">
        <f>'Lead NA'!D30</f>
        <v>Other assets</v>
      </c>
      <c r="E25" s="154">
        <f t="shared" ref="E25:M25" si="1">SUM(E18:E24)</f>
        <v>140.73638</v>
      </c>
      <c r="F25" s="154">
        <f t="shared" si="1"/>
        <v>63.347909999999999</v>
      </c>
      <c r="G25" s="154">
        <f t="shared" si="1"/>
        <v>362.41881999999998</v>
      </c>
      <c r="H25" s="154">
        <f t="shared" si="1"/>
        <v>376.51312000000001</v>
      </c>
      <c r="I25" s="154">
        <f t="shared" si="1"/>
        <v>541.33829000000003</v>
      </c>
      <c r="J25" s="152" t="e">
        <f t="shared" si="1"/>
        <v>#REF!</v>
      </c>
      <c r="K25" s="152" t="e">
        <f t="shared" si="1"/>
        <v>#REF!</v>
      </c>
      <c r="L25" s="152" t="e">
        <f t="shared" si="1"/>
        <v>#REF!</v>
      </c>
      <c r="M25" s="152" t="e">
        <f t="shared" si="1"/>
        <v>#REF!</v>
      </c>
    </row>
    <row r="26" spans="3:19" ht="11.25" customHeight="1" x14ac:dyDescent="0.2">
      <c r="C26" s="37" t="str">
        <f>'Lead NA'!C31</f>
        <v>Sonstige Rückstellungen</v>
      </c>
      <c r="D26" s="37" t="str">
        <f>'Lead NA'!D31</f>
        <v>Other provisions</v>
      </c>
      <c r="E26" s="36">
        <f>-SUM('Equity Bridge SONNTAG'!J74:J78)/1000</f>
        <v>-258.15699999999998</v>
      </c>
      <c r="F26" s="36">
        <f>'Lead NA'!F31</f>
        <v>-527.64377999999999</v>
      </c>
      <c r="G26" s="36">
        <f>'Lead NA'!G31</f>
        <v>-424.9074</v>
      </c>
      <c r="H26" s="36">
        <f>'Lead NA'!H31</f>
        <v>-228.40294999999998</v>
      </c>
      <c r="I26" s="36">
        <f>'Lead NA'!I31</f>
        <v>-428.27366000000001</v>
      </c>
      <c r="J26" s="128">
        <f>'Lead NA'!J31</f>
        <v>0</v>
      </c>
      <c r="K26" s="128">
        <f>'Lead NA'!K31</f>
        <v>0</v>
      </c>
      <c r="L26" s="128">
        <f>'Lead NA'!L31</f>
        <v>0</v>
      </c>
      <c r="M26" s="128">
        <f>'Lead NA'!M31</f>
        <v>0</v>
      </c>
      <c r="S26" s="1" t="s">
        <v>5430</v>
      </c>
    </row>
    <row r="27" spans="3:19" ht="11.25" customHeight="1" x14ac:dyDescent="0.2">
      <c r="C27" s="37" t="str">
        <f>'Lead NA'!C32</f>
        <v>Sonstige Verbindlichkeiten</v>
      </c>
      <c r="D27" s="37" t="str">
        <f>'Lead NA'!D32</f>
        <v>Other liabilities</v>
      </c>
      <c r="E27" s="36">
        <f>-SUM('Equity Bridge SONNTAG'!J88:J115)/1000</f>
        <v>-438.53050999999971</v>
      </c>
      <c r="F27" s="36">
        <f>'Lead NA'!F32</f>
        <v>-448.46013999999974</v>
      </c>
      <c r="G27" s="36">
        <f>'Lead NA'!G32</f>
        <v>-290.29440999999963</v>
      </c>
      <c r="H27" s="36">
        <f>'Lead NA'!H32</f>
        <v>-429.13633000000038</v>
      </c>
      <c r="I27" s="36">
        <f>'Lead NA'!I32</f>
        <v>-231.74114</v>
      </c>
      <c r="J27" s="128">
        <f>'Lead NA'!J32</f>
        <v>0</v>
      </c>
      <c r="K27" s="128">
        <f>'Lead NA'!K32</f>
        <v>0</v>
      </c>
      <c r="L27" s="128">
        <f>'Lead NA'!L32</f>
        <v>0</v>
      </c>
      <c r="M27" s="128">
        <f>'Lead NA'!M32</f>
        <v>0</v>
      </c>
      <c r="S27" s="1" t="s">
        <v>5433</v>
      </c>
    </row>
    <row r="28" spans="3:19" ht="11.25" hidden="1" customHeight="1" outlineLevel="1" x14ac:dyDescent="0.2">
      <c r="C28" s="37" t="str">
        <f>'Lead NA'!C33</f>
        <v>Dummy 1</v>
      </c>
      <c r="D28" s="37" t="str">
        <f>'Lead NA'!D33</f>
        <v>Tax provisions</v>
      </c>
      <c r="E28" s="36">
        <f>'Lead NA'!E33</f>
        <v>0</v>
      </c>
      <c r="F28" s="36">
        <f>'Lead NA'!F33</f>
        <v>0</v>
      </c>
      <c r="G28" s="36">
        <f>'Lead NA'!G33</f>
        <v>0</v>
      </c>
      <c r="H28" s="36">
        <f>'Lead NA'!H33</f>
        <v>0</v>
      </c>
      <c r="I28" s="36">
        <f>'Lead NA'!I33</f>
        <v>0</v>
      </c>
      <c r="J28" s="128">
        <f>'Lead NA'!J33</f>
        <v>0</v>
      </c>
      <c r="K28" s="128">
        <f>'Lead NA'!K33</f>
        <v>0</v>
      </c>
      <c r="L28" s="128">
        <f>'Lead NA'!L33</f>
        <v>0</v>
      </c>
      <c r="M28" s="128">
        <f>'Lead NA'!M33</f>
        <v>0</v>
      </c>
    </row>
    <row r="29" spans="3:19" ht="11.25" hidden="1" customHeight="1" outlineLevel="1" x14ac:dyDescent="0.2">
      <c r="C29" s="37" t="str">
        <f>'Lead NA'!C34</f>
        <v>Dummy 1</v>
      </c>
      <c r="D29" s="37" t="str">
        <f>'Lead NA'!D34</f>
        <v>Liabilities to affiliated/ participating companies</v>
      </c>
      <c r="E29" s="36">
        <f>'Lead NA'!E34</f>
        <v>0</v>
      </c>
      <c r="F29" s="36">
        <f>'Lead NA'!F34</f>
        <v>0</v>
      </c>
      <c r="G29" s="36">
        <f>'Lead NA'!G34</f>
        <v>0</v>
      </c>
      <c r="H29" s="36">
        <f>'Lead NA'!H34</f>
        <v>0</v>
      </c>
      <c r="I29" s="36">
        <f>'Lead NA'!I34</f>
        <v>0</v>
      </c>
      <c r="J29" s="128">
        <f>'Lead NA'!J34</f>
        <v>0</v>
      </c>
      <c r="K29" s="128">
        <f>'Lead NA'!K34</f>
        <v>0</v>
      </c>
      <c r="L29" s="128">
        <f>'Lead NA'!L34</f>
        <v>0</v>
      </c>
      <c r="M29" s="128">
        <f>'Lead NA'!M34</f>
        <v>0</v>
      </c>
    </row>
    <row r="30" spans="3:19" ht="11.25" hidden="1" customHeight="1" outlineLevel="1" x14ac:dyDescent="0.2">
      <c r="C30" s="37" t="str">
        <f>'Lead NA'!C35</f>
        <v>Dummy 1</v>
      </c>
      <c r="D30" s="37" t="str">
        <f>'Lead NA'!D35</f>
        <v>Liabilities to shareholders</v>
      </c>
      <c r="E30" s="36">
        <f>'Lead NA'!E35</f>
        <v>0</v>
      </c>
      <c r="F30" s="36">
        <f>'Lead NA'!F35</f>
        <v>0</v>
      </c>
      <c r="G30" s="36">
        <f>'Lead NA'!G35</f>
        <v>0</v>
      </c>
      <c r="H30" s="36">
        <f>'Lead NA'!H35</f>
        <v>0</v>
      </c>
      <c r="I30" s="36">
        <f>'Lead NA'!I35</f>
        <v>0</v>
      </c>
      <c r="J30" s="128">
        <f>'Lead NA'!J35</f>
        <v>0</v>
      </c>
      <c r="K30" s="128">
        <f>'Lead NA'!K35</f>
        <v>0</v>
      </c>
      <c r="L30" s="128">
        <f>'Lead NA'!L35</f>
        <v>0</v>
      </c>
      <c r="M30" s="128">
        <f>'Lead NA'!M35</f>
        <v>0</v>
      </c>
    </row>
    <row r="31" spans="3:19" ht="11.25" hidden="1" customHeight="1" outlineLevel="1" x14ac:dyDescent="0.2">
      <c r="C31" s="37" t="str">
        <f>'Lead NA'!C36</f>
        <v>Dummy 1</v>
      </c>
      <c r="D31" s="37" t="str">
        <f>'Lead NA'!D36</f>
        <v>Deferred income</v>
      </c>
      <c r="E31" s="36">
        <f>'Lead NA'!E36</f>
        <v>0</v>
      </c>
      <c r="F31" s="36">
        <f>'Lead NA'!F36</f>
        <v>0</v>
      </c>
      <c r="G31" s="36">
        <f>'Lead NA'!G36</f>
        <v>0</v>
      </c>
      <c r="H31" s="36">
        <f>'Lead NA'!H36</f>
        <v>0</v>
      </c>
      <c r="I31" s="36">
        <f>'Lead NA'!I36</f>
        <v>0</v>
      </c>
      <c r="J31" s="128">
        <f>'Lead NA'!J36</f>
        <v>0</v>
      </c>
      <c r="K31" s="128">
        <f>'Lead NA'!K36</f>
        <v>0</v>
      </c>
      <c r="L31" s="128">
        <f>'Lead NA'!L36</f>
        <v>0</v>
      </c>
      <c r="M31" s="128">
        <f>'Lead NA'!M36</f>
        <v>0</v>
      </c>
    </row>
    <row r="32" spans="3:19" ht="11.25" hidden="1" customHeight="1" collapsed="1" x14ac:dyDescent="0.2">
      <c r="C32" s="37" t="str">
        <f>'Lead NA'!C37</f>
        <v>Dummy 1</v>
      </c>
      <c r="D32" s="37" t="str">
        <f>'Lead NA'!D37</f>
        <v>Dummy 1</v>
      </c>
      <c r="E32" s="36">
        <f>'Lead NA'!E37</f>
        <v>0</v>
      </c>
      <c r="F32" s="36">
        <f>'Lead NA'!F37</f>
        <v>0</v>
      </c>
      <c r="G32" s="36">
        <f>'Lead NA'!G37</f>
        <v>0</v>
      </c>
      <c r="H32" s="36">
        <f>'Lead NA'!H37</f>
        <v>0</v>
      </c>
      <c r="I32" s="36">
        <f>'Lead NA'!I37</f>
        <v>0</v>
      </c>
      <c r="J32" s="128">
        <f>'Lead NA'!J37</f>
        <v>0</v>
      </c>
      <c r="K32" s="128">
        <f>'Lead NA'!K37</f>
        <v>0</v>
      </c>
      <c r="L32" s="128">
        <f>'Lead NA'!L37</f>
        <v>0</v>
      </c>
      <c r="M32" s="128">
        <f>'Lead NA'!M37</f>
        <v>0</v>
      </c>
    </row>
    <row r="33" spans="1:18" ht="11.25" hidden="1" customHeight="1" x14ac:dyDescent="0.2">
      <c r="C33" s="37" t="str">
        <f>'Lead NA'!C38</f>
        <v>Dummy 2</v>
      </c>
      <c r="D33" s="37" t="str">
        <f>'Lead NA'!D38</f>
        <v>Dummy 2</v>
      </c>
      <c r="E33" s="36">
        <f>'Lead NA'!E38</f>
        <v>0</v>
      </c>
      <c r="F33" s="36">
        <f>'Lead NA'!F38</f>
        <v>0</v>
      </c>
      <c r="G33" s="36">
        <f>'Lead NA'!G38</f>
        <v>0</v>
      </c>
      <c r="H33" s="36">
        <f>'Lead NA'!H38</f>
        <v>0</v>
      </c>
      <c r="I33" s="36">
        <f>'Lead NA'!I38</f>
        <v>0</v>
      </c>
      <c r="J33" s="128">
        <f>'Lead NA'!J38</f>
        <v>0</v>
      </c>
      <c r="K33" s="128">
        <f>'Lead NA'!K38</f>
        <v>0</v>
      </c>
      <c r="L33" s="128">
        <f>'Lead NA'!L38</f>
        <v>0</v>
      </c>
      <c r="M33" s="128">
        <f>'Lead NA'!M38</f>
        <v>0</v>
      </c>
    </row>
    <row r="34" spans="1:18" ht="11.25" hidden="1" customHeight="1" x14ac:dyDescent="0.2">
      <c r="C34" s="37" t="str">
        <f>'Lead NA'!C39</f>
        <v>Dummy 3</v>
      </c>
      <c r="D34" s="37" t="str">
        <f>'Lead NA'!D39</f>
        <v>Dummy 3</v>
      </c>
      <c r="E34" s="36">
        <f>'Lead NA'!E39</f>
        <v>0</v>
      </c>
      <c r="F34" s="36">
        <f>'Lead NA'!F39</f>
        <v>0</v>
      </c>
      <c r="G34" s="36">
        <f>'Lead NA'!G39</f>
        <v>0</v>
      </c>
      <c r="H34" s="36">
        <f>'Lead NA'!H39</f>
        <v>0</v>
      </c>
      <c r="I34" s="36">
        <f>'Lead NA'!I39</f>
        <v>0</v>
      </c>
      <c r="J34" s="128">
        <f>'Lead NA'!J39</f>
        <v>0</v>
      </c>
      <c r="K34" s="128">
        <f>'Lead NA'!K39</f>
        <v>0</v>
      </c>
      <c r="L34" s="128">
        <f>'Lead NA'!L39</f>
        <v>0</v>
      </c>
      <c r="M34" s="128">
        <f>'Lead NA'!M39</f>
        <v>0</v>
      </c>
    </row>
    <row r="35" spans="1:18" ht="11.25" customHeight="1" collapsed="1" x14ac:dyDescent="0.2">
      <c r="C35" s="151" t="str">
        <f>'Lead NA'!C40</f>
        <v>Sonstige Passiva</v>
      </c>
      <c r="D35" s="151" t="str">
        <f>'Lead NA'!D40</f>
        <v>Other liabilities</v>
      </c>
      <c r="E35" s="150">
        <f t="shared" ref="E35:M35" si="2">SUM(E26:E34)</f>
        <v>-696.68750999999975</v>
      </c>
      <c r="F35" s="150">
        <f t="shared" si="2"/>
        <v>-976.10391999999979</v>
      </c>
      <c r="G35" s="150">
        <f t="shared" si="2"/>
        <v>-715.20180999999957</v>
      </c>
      <c r="H35" s="150">
        <f t="shared" si="2"/>
        <v>-657.53928000000042</v>
      </c>
      <c r="I35" s="150">
        <f t="shared" si="2"/>
        <v>-660.01480000000004</v>
      </c>
      <c r="J35" s="148">
        <f t="shared" si="2"/>
        <v>0</v>
      </c>
      <c r="K35" s="148">
        <f t="shared" si="2"/>
        <v>0</v>
      </c>
      <c r="L35" s="148">
        <f t="shared" si="2"/>
        <v>0</v>
      </c>
      <c r="M35" s="148">
        <f t="shared" si="2"/>
        <v>0</v>
      </c>
    </row>
    <row r="36" spans="1:18" ht="11.25" customHeight="1" x14ac:dyDescent="0.2">
      <c r="C36" s="147" t="str">
        <f>'Lead NA'!C41 &amp; " - as reported"</f>
        <v>Other Working Capital - as reported</v>
      </c>
      <c r="D36" s="147" t="str">
        <f>'Lead NA'!D41 &amp; " - as reported"</f>
        <v>Other working capital - as reported</v>
      </c>
      <c r="E36" s="147">
        <f t="shared" ref="E36:M36" si="3">E35+E25</f>
        <v>-555.95112999999969</v>
      </c>
      <c r="F36" s="147">
        <f t="shared" si="3"/>
        <v>-912.75600999999983</v>
      </c>
      <c r="G36" s="147">
        <f t="shared" si="3"/>
        <v>-352.78298999999959</v>
      </c>
      <c r="H36" s="147">
        <f t="shared" si="3"/>
        <v>-281.0261600000004</v>
      </c>
      <c r="I36" s="147">
        <f t="shared" si="3"/>
        <v>-118.67651000000001</v>
      </c>
      <c r="J36" s="145" t="e">
        <f t="shared" si="3"/>
        <v>#REF!</v>
      </c>
      <c r="K36" s="145" t="e">
        <f t="shared" si="3"/>
        <v>#REF!</v>
      </c>
      <c r="L36" s="145" t="e">
        <f t="shared" si="3"/>
        <v>#REF!</v>
      </c>
      <c r="M36" s="145" t="e">
        <f t="shared" si="3"/>
        <v>#REF!</v>
      </c>
    </row>
    <row r="37" spans="1:18" ht="11.25" customHeight="1" x14ac:dyDescent="0.2">
      <c r="C37" s="144" t="str">
        <f>'Lead NA'!C42 &amp; " - as reported"</f>
        <v>Net Working Capital - as reported</v>
      </c>
      <c r="D37" s="144" t="str">
        <f>'Lead NA'!D42 &amp; " - as reported"</f>
        <v>Net working capital - as reported</v>
      </c>
      <c r="E37" s="144">
        <f>E36+E16</f>
        <v>1634.50235</v>
      </c>
      <c r="F37" s="144">
        <f t="shared" ref="F37:M37" si="4">F36+F16</f>
        <v>2018.4414800000002</v>
      </c>
      <c r="G37" s="144">
        <f t="shared" si="4"/>
        <v>2987.4098900000008</v>
      </c>
      <c r="H37" s="144">
        <f t="shared" si="4"/>
        <v>4293.2208300000002</v>
      </c>
      <c r="I37" s="144">
        <f t="shared" si="4"/>
        <v>3966.1745199999996</v>
      </c>
      <c r="J37" s="142" t="e">
        <f t="shared" si="4"/>
        <v>#REF!</v>
      </c>
      <c r="K37" s="142" t="e">
        <f t="shared" si="4"/>
        <v>#REF!</v>
      </c>
      <c r="L37" s="142" t="e">
        <f t="shared" si="4"/>
        <v>#REF!</v>
      </c>
      <c r="M37" s="142" t="e">
        <f t="shared" si="4"/>
        <v>#REF!</v>
      </c>
    </row>
    <row r="38" spans="1:18" ht="5.0999999999999996" customHeight="1" x14ac:dyDescent="0.2">
      <c r="C38" s="37"/>
      <c r="D38" s="37"/>
      <c r="E38" s="284"/>
      <c r="F38" s="284"/>
      <c r="G38" s="284"/>
      <c r="H38" s="284"/>
      <c r="I38" s="284"/>
      <c r="J38" s="282"/>
      <c r="K38" s="282"/>
      <c r="L38" s="282"/>
      <c r="M38" s="282"/>
    </row>
    <row r="39" spans="1:18" ht="11.25" customHeight="1" x14ac:dyDescent="0.2">
      <c r="C39" s="155" t="s">
        <v>778</v>
      </c>
      <c r="D39" s="371" t="s">
        <v>777</v>
      </c>
      <c r="E39" s="284"/>
      <c r="F39" s="284"/>
      <c r="G39" s="284"/>
      <c r="H39" s="284"/>
      <c r="I39" s="284"/>
      <c r="J39" s="282"/>
      <c r="K39" s="282"/>
      <c r="L39" s="282"/>
      <c r="M39" s="282"/>
    </row>
    <row r="40" spans="1:18" ht="5.0999999999999996" customHeight="1" x14ac:dyDescent="0.2">
      <c r="C40" s="155"/>
      <c r="D40" s="371"/>
      <c r="E40" s="284"/>
      <c r="F40" s="284"/>
      <c r="G40" s="284"/>
      <c r="H40" s="284"/>
      <c r="I40" s="284"/>
      <c r="J40" s="282"/>
      <c r="K40" s="282"/>
      <c r="L40" s="282"/>
      <c r="M40" s="282"/>
    </row>
    <row r="41" spans="1:18" ht="11.25" customHeight="1" x14ac:dyDescent="0.2">
      <c r="B41" s="1" t="s">
        <v>2413</v>
      </c>
      <c r="C41" s="155" t="s">
        <v>2461</v>
      </c>
      <c r="D41" s="371" t="s">
        <v>844</v>
      </c>
      <c r="E41" s="284"/>
      <c r="F41" s="284"/>
      <c r="G41" s="284"/>
      <c r="H41" s="284"/>
      <c r="I41" s="284"/>
      <c r="J41" s="282"/>
      <c r="K41" s="282"/>
      <c r="L41" s="282"/>
      <c r="M41" s="282"/>
    </row>
    <row r="42" spans="1:18" ht="5.0999999999999996" customHeight="1" outlineLevel="1" x14ac:dyDescent="0.2">
      <c r="C42" s="487"/>
      <c r="D42" s="371"/>
      <c r="E42" s="284"/>
      <c r="F42" s="533"/>
      <c r="G42" s="533"/>
      <c r="H42" s="533"/>
      <c r="I42" s="533"/>
      <c r="J42" s="282"/>
      <c r="K42" s="282"/>
      <c r="L42" s="282"/>
      <c r="M42" s="282"/>
    </row>
    <row r="43" spans="1:18" ht="11.25" customHeight="1" x14ac:dyDescent="0.2">
      <c r="A43" s="1" t="s">
        <v>2463</v>
      </c>
      <c r="C43" s="37" t="s">
        <v>4793</v>
      </c>
      <c r="D43" s="371"/>
      <c r="E43" s="284">
        <f>'Equity Bridge SONNTAG'!J43+'Equity Bridge SONNTAG'!J46</f>
        <v>0</v>
      </c>
      <c r="F43" s="284">
        <f>'Balance Sheet (Annual Report)'!E42+'Balance Sheet (Annual Report)'!E45</f>
        <v>0</v>
      </c>
      <c r="G43" s="284">
        <f>-SUMIF('Trial Balance (Susa)'!$E:$E,"*"&amp;$P43&amp;"*",'Trial Balance (Susa)'!G:G)/1000-93452/1000</f>
        <v>-283.05349000000001</v>
      </c>
      <c r="H43" s="284">
        <f>-SUMIF('Trial Balance (Susa)'!$E:$E,"*"&amp;$P43&amp;"*",'Trial Balance (Susa)'!H:H)/1000</f>
        <v>-279.05914000000001</v>
      </c>
      <c r="I43" s="284">
        <f>-SUMIF('Trial Balance (Susa)'!$E:$E,"*"&amp;$P43&amp;"*",'Trial Balance (Susa)'!I:I)/1000</f>
        <v>-303.35527000000002</v>
      </c>
      <c r="J43" s="282"/>
      <c r="K43" s="282"/>
      <c r="L43" s="282"/>
      <c r="M43" s="282"/>
      <c r="P43" s="370" t="s">
        <v>2458</v>
      </c>
    </row>
    <row r="44" spans="1:18" ht="11.25" customHeight="1" x14ac:dyDescent="0.2">
      <c r="A44" s="1" t="s">
        <v>2464</v>
      </c>
      <c r="C44" s="37" t="s">
        <v>4467</v>
      </c>
      <c r="D44" s="371"/>
      <c r="E44" s="36">
        <f>SUM(E142:E144)/1000</f>
        <v>133.84</v>
      </c>
      <c r="F44" s="36">
        <f>SUM(F142:F144)/1000</f>
        <v>169.84</v>
      </c>
      <c r="G44" s="36">
        <f>SUM(G142:G144)/1000</f>
        <v>103.75</v>
      </c>
      <c r="H44" s="36">
        <f>SUM(H142:H144)/1000</f>
        <v>78.757000000000005</v>
      </c>
      <c r="I44" s="36">
        <f>SUM(I142:I144)/1000</f>
        <v>88.53</v>
      </c>
      <c r="J44" s="282"/>
      <c r="K44" s="282"/>
      <c r="L44" s="282"/>
      <c r="M44" s="282"/>
    </row>
    <row r="45" spans="1:18" ht="11.25" customHeight="1" x14ac:dyDescent="0.2">
      <c r="A45" s="1" t="s">
        <v>4480</v>
      </c>
      <c r="C45" s="365" t="s">
        <v>4468</v>
      </c>
      <c r="D45" s="371"/>
      <c r="E45" s="36" t="s">
        <v>832</v>
      </c>
      <c r="F45" s="36" t="s">
        <v>832</v>
      </c>
      <c r="G45" s="36" t="s">
        <v>832</v>
      </c>
      <c r="H45" s="36">
        <f>SUM('NA_Verb LuL'!F10:F13)</f>
        <v>20.867069999999998</v>
      </c>
      <c r="I45" s="36">
        <f>SUM('NA_Verb LuL'!G10:G13)</f>
        <v>4.3365500000000008</v>
      </c>
      <c r="J45" s="282"/>
      <c r="K45" s="282"/>
      <c r="L45" s="282"/>
      <c r="M45" s="282"/>
      <c r="R45" s="1" t="s">
        <v>4789</v>
      </c>
    </row>
    <row r="46" spans="1:18" ht="11.25" hidden="1" customHeight="1" outlineLevel="1" x14ac:dyDescent="0.2">
      <c r="C46" s="37"/>
      <c r="D46" s="365"/>
      <c r="E46" s="284"/>
      <c r="F46" s="36"/>
      <c r="G46" s="36"/>
      <c r="H46" s="36"/>
      <c r="I46" s="36"/>
      <c r="J46" s="282"/>
      <c r="K46" s="282"/>
      <c r="L46" s="282"/>
      <c r="M46" s="282"/>
    </row>
    <row r="47" spans="1:18" ht="11.25" hidden="1" customHeight="1" outlineLevel="1" x14ac:dyDescent="0.2">
      <c r="C47" s="487" t="s">
        <v>209</v>
      </c>
      <c r="D47" s="365"/>
      <c r="E47" s="284"/>
      <c r="F47" s="533"/>
      <c r="G47" s="533"/>
      <c r="H47" s="533"/>
      <c r="I47" s="533"/>
      <c r="J47" s="282"/>
      <c r="K47" s="282"/>
      <c r="L47" s="282"/>
      <c r="M47" s="282"/>
      <c r="P47" s="370"/>
    </row>
    <row r="48" spans="1:18" ht="11.25" hidden="1" customHeight="1" outlineLevel="1" x14ac:dyDescent="0.2">
      <c r="C48" s="487" t="s">
        <v>209</v>
      </c>
      <c r="D48" s="365"/>
      <c r="E48" s="284"/>
      <c r="F48" s="533"/>
      <c r="G48" s="533"/>
      <c r="H48" s="533"/>
      <c r="I48" s="533"/>
      <c r="J48" s="282"/>
      <c r="K48" s="282"/>
      <c r="L48" s="282"/>
      <c r="M48" s="282"/>
      <c r="P48" s="370"/>
      <c r="R48" s="518"/>
    </row>
    <row r="49" spans="3:18" ht="11.25" hidden="1" customHeight="1" outlineLevel="1" collapsed="1" x14ac:dyDescent="0.2">
      <c r="C49" s="487"/>
      <c r="D49" s="365"/>
      <c r="E49" s="284"/>
      <c r="F49" s="533"/>
      <c r="G49" s="533"/>
      <c r="H49" s="533"/>
      <c r="I49" s="533"/>
      <c r="J49" s="282"/>
      <c r="K49" s="282"/>
      <c r="L49" s="282"/>
      <c r="M49" s="282"/>
      <c r="P49" s="370"/>
    </row>
    <row r="50" spans="3:18" ht="11.25" hidden="1" customHeight="1" outlineLevel="1" x14ac:dyDescent="0.2">
      <c r="C50" s="365" t="s">
        <v>447</v>
      </c>
      <c r="D50" s="365" t="s">
        <v>447</v>
      </c>
      <c r="E50" s="284"/>
      <c r="F50" s="284"/>
      <c r="G50" s="284"/>
      <c r="H50" s="284"/>
      <c r="I50" s="284"/>
      <c r="J50" s="282"/>
      <c r="K50" s="282"/>
      <c r="L50" s="282"/>
      <c r="M50" s="282"/>
      <c r="P50" s="370" t="s">
        <v>858</v>
      </c>
    </row>
    <row r="51" spans="3:18" ht="11.25" customHeight="1" collapsed="1" x14ac:dyDescent="0.2">
      <c r="C51" s="272" t="s">
        <v>845</v>
      </c>
      <c r="D51" s="272" t="str">
        <f>D41 &amp; " - total"</f>
        <v>Reclassification to net debt - total</v>
      </c>
      <c r="E51" s="446">
        <f>SUM(E42:E50)</f>
        <v>133.84</v>
      </c>
      <c r="F51" s="446">
        <f>SUM(F42:F50)</f>
        <v>169.84</v>
      </c>
      <c r="G51" s="446">
        <f>SUM(G42:G50)</f>
        <v>-179.30349000000001</v>
      </c>
      <c r="H51" s="446">
        <f>SUM(H42:H50)</f>
        <v>-179.43507</v>
      </c>
      <c r="I51" s="446">
        <f>SUM(I42:I50)</f>
        <v>-210.48872000000003</v>
      </c>
      <c r="J51" s="447">
        <f>SUM(J46:J50)</f>
        <v>0</v>
      </c>
      <c r="K51" s="447">
        <f>SUM(K46:K50)</f>
        <v>0</v>
      </c>
      <c r="L51" s="447">
        <f>SUM(L46:L50)</f>
        <v>0</v>
      </c>
      <c r="M51" s="447">
        <f>SUM(M46:M50)</f>
        <v>0</v>
      </c>
    </row>
    <row r="52" spans="3:18" ht="5.0999999999999996" customHeight="1" x14ac:dyDescent="0.2">
      <c r="C52" s="155"/>
      <c r="D52" s="371"/>
      <c r="E52" s="284"/>
      <c r="F52" s="284"/>
      <c r="G52" s="284"/>
      <c r="H52" s="284"/>
      <c r="I52" s="284"/>
      <c r="J52" s="282"/>
      <c r="K52" s="282"/>
      <c r="L52" s="282"/>
      <c r="M52" s="282"/>
    </row>
    <row r="53" spans="3:18" ht="11.25" customHeight="1" x14ac:dyDescent="0.2">
      <c r="C53" s="155" t="s">
        <v>2462</v>
      </c>
      <c r="D53" s="371" t="s">
        <v>846</v>
      </c>
      <c r="E53" s="284"/>
      <c r="F53" s="284"/>
      <c r="G53" s="284"/>
      <c r="H53" s="284"/>
      <c r="I53" s="284"/>
      <c r="J53" s="282"/>
      <c r="K53" s="282"/>
      <c r="L53" s="282"/>
      <c r="M53" s="282"/>
    </row>
    <row r="54" spans="3:18" ht="12" customHeight="1" x14ac:dyDescent="0.2">
      <c r="C54" s="365" t="s">
        <v>4788</v>
      </c>
      <c r="D54" s="365" t="s">
        <v>209</v>
      </c>
      <c r="E54" s="284">
        <v>0</v>
      </c>
      <c r="F54" s="36">
        <v>0</v>
      </c>
      <c r="G54" s="36">
        <v>0</v>
      </c>
      <c r="H54" s="36">
        <v>0</v>
      </c>
      <c r="I54" s="36" t="s">
        <v>2429</v>
      </c>
      <c r="J54" s="282"/>
      <c r="K54" s="282"/>
      <c r="L54" s="282"/>
      <c r="M54" s="282"/>
      <c r="R54" s="571" t="s">
        <v>4787</v>
      </c>
    </row>
    <row r="55" spans="3:18" x14ac:dyDescent="0.2">
      <c r="C55" s="365" t="s">
        <v>2530</v>
      </c>
      <c r="D55" s="365"/>
      <c r="E55" s="36" t="s">
        <v>2429</v>
      </c>
      <c r="F55" s="36" t="s">
        <v>2429</v>
      </c>
      <c r="G55" s="36" t="s">
        <v>2429</v>
      </c>
      <c r="H55" s="36">
        <f>-'NA_Ford LuL'!F13</f>
        <v>-47.122620000000005</v>
      </c>
      <c r="I55" s="36">
        <f>-'NA_Ford LuL'!G13</f>
        <v>-429.96778999999992</v>
      </c>
      <c r="J55" s="282"/>
      <c r="K55" s="282"/>
      <c r="L55" s="282"/>
      <c r="M55" s="282"/>
    </row>
    <row r="56" spans="3:18" x14ac:dyDescent="0.2">
      <c r="C56" s="365" t="str">
        <f>C12</f>
        <v>Erhaltene Anzahlungen</v>
      </c>
      <c r="D56" s="365" t="s">
        <v>207</v>
      </c>
      <c r="E56" s="284">
        <v>0</v>
      </c>
      <c r="F56" s="36">
        <f>-F12</f>
        <v>50</v>
      </c>
      <c r="G56" s="36">
        <f>-G12</f>
        <v>50</v>
      </c>
      <c r="H56" s="36">
        <f>-H12</f>
        <v>50</v>
      </c>
      <c r="I56" s="36">
        <f>-I12</f>
        <v>0</v>
      </c>
      <c r="J56" s="282"/>
      <c r="K56" s="282"/>
      <c r="L56" s="282"/>
      <c r="M56" s="282"/>
      <c r="P56" s="370" t="s">
        <v>810</v>
      </c>
    </row>
    <row r="57" spans="3:18" hidden="1" outlineLevel="1" x14ac:dyDescent="0.2">
      <c r="C57" s="365" t="s">
        <v>207</v>
      </c>
      <c r="D57" s="365" t="s">
        <v>207</v>
      </c>
      <c r="E57" s="284"/>
      <c r="F57" s="36"/>
      <c r="G57" s="36"/>
      <c r="H57" s="36"/>
      <c r="I57" s="36"/>
      <c r="J57" s="282"/>
      <c r="K57" s="282"/>
      <c r="L57" s="282"/>
      <c r="M57" s="282"/>
      <c r="P57" s="370" t="s">
        <v>816</v>
      </c>
    </row>
    <row r="58" spans="3:18" hidden="1" outlineLevel="1" x14ac:dyDescent="0.2">
      <c r="C58" s="365" t="s">
        <v>207</v>
      </c>
      <c r="D58" s="365" t="s">
        <v>207</v>
      </c>
      <c r="E58" s="284"/>
      <c r="F58" s="36"/>
      <c r="G58" s="36"/>
      <c r="H58" s="36"/>
      <c r="I58" s="36"/>
      <c r="J58" s="282"/>
      <c r="K58" s="282"/>
      <c r="L58" s="282"/>
      <c r="M58" s="282"/>
      <c r="P58" s="370"/>
    </row>
    <row r="59" spans="3:18" ht="12" hidden="1" customHeight="1" outlineLevel="1" x14ac:dyDescent="0.2">
      <c r="C59" s="365" t="s">
        <v>207</v>
      </c>
      <c r="D59" s="365" t="s">
        <v>207</v>
      </c>
      <c r="E59" s="284"/>
      <c r="F59" s="36"/>
      <c r="G59" s="36"/>
      <c r="H59" s="36"/>
      <c r="I59" s="36"/>
      <c r="J59" s="282"/>
      <c r="K59" s="282"/>
      <c r="L59" s="282"/>
      <c r="M59" s="282"/>
      <c r="P59" s="370"/>
    </row>
    <row r="60" spans="3:18" ht="12" customHeight="1" collapsed="1" x14ac:dyDescent="0.2">
      <c r="C60" s="372" t="str">
        <f>C53 &amp; " - gesamt"</f>
        <v>Sonstige Anpassungen  - gesamt</v>
      </c>
      <c r="D60" s="372" t="str">
        <f>D53 &amp; " - total"</f>
        <v>Reclassification out of NWC - total</v>
      </c>
      <c r="E60" s="446">
        <f t="shared" ref="E60:M60" si="5">SUM(E54:E57)</f>
        <v>0</v>
      </c>
      <c r="F60" s="446">
        <f t="shared" si="5"/>
        <v>50</v>
      </c>
      <c r="G60" s="446">
        <f t="shared" si="5"/>
        <v>50</v>
      </c>
      <c r="H60" s="446">
        <f t="shared" si="5"/>
        <v>2.8773799999999952</v>
      </c>
      <c r="I60" s="446">
        <f t="shared" si="5"/>
        <v>-429.96778999999992</v>
      </c>
      <c r="J60" s="447">
        <f t="shared" si="5"/>
        <v>0</v>
      </c>
      <c r="K60" s="447">
        <f t="shared" si="5"/>
        <v>0</v>
      </c>
      <c r="L60" s="447">
        <f t="shared" si="5"/>
        <v>0</v>
      </c>
      <c r="M60" s="447">
        <f t="shared" si="5"/>
        <v>0</v>
      </c>
    </row>
    <row r="61" spans="3:18" ht="5.0999999999999996" customHeight="1" x14ac:dyDescent="0.2">
      <c r="C61" s="365"/>
      <c r="D61" s="365"/>
      <c r="E61" s="284"/>
      <c r="F61" s="284"/>
      <c r="G61" s="284"/>
      <c r="H61" s="284"/>
      <c r="I61" s="284"/>
      <c r="J61" s="282"/>
      <c r="K61" s="282"/>
      <c r="L61" s="282"/>
      <c r="M61" s="282"/>
    </row>
    <row r="62" spans="3:18" ht="12" customHeight="1" x14ac:dyDescent="0.2">
      <c r="C62" s="372" t="s">
        <v>786</v>
      </c>
      <c r="D62" s="372" t="s">
        <v>787</v>
      </c>
      <c r="E62" s="446">
        <f t="shared" ref="E62:M62" si="6">E51+E60</f>
        <v>133.84</v>
      </c>
      <c r="F62" s="446">
        <f t="shared" si="6"/>
        <v>219.84</v>
      </c>
      <c r="G62" s="446">
        <f t="shared" si="6"/>
        <v>-129.30349000000001</v>
      </c>
      <c r="H62" s="446">
        <f t="shared" si="6"/>
        <v>-176.55769000000001</v>
      </c>
      <c r="I62" s="446">
        <f t="shared" si="6"/>
        <v>-640.45650999999998</v>
      </c>
      <c r="J62" s="374">
        <f t="shared" si="6"/>
        <v>0</v>
      </c>
      <c r="K62" s="374">
        <f t="shared" si="6"/>
        <v>0</v>
      </c>
      <c r="L62" s="374">
        <f t="shared" si="6"/>
        <v>0</v>
      </c>
      <c r="M62" s="374">
        <f t="shared" si="6"/>
        <v>0</v>
      </c>
    </row>
    <row r="63" spans="3:18" ht="12" customHeight="1" x14ac:dyDescent="0.2">
      <c r="C63" s="372" t="s">
        <v>780</v>
      </c>
      <c r="D63" s="372" t="s">
        <v>779</v>
      </c>
      <c r="E63" s="446">
        <f>E37+E62</f>
        <v>1768.3423499999999</v>
      </c>
      <c r="F63" s="446">
        <f>F37+F62</f>
        <v>2238.2814800000001</v>
      </c>
      <c r="G63" s="446">
        <f>G37+G62</f>
        <v>2858.1064000000006</v>
      </c>
      <c r="H63" s="446">
        <f>H37+H62</f>
        <v>4116.6631400000006</v>
      </c>
      <c r="I63" s="446">
        <f>I37+I62</f>
        <v>3325.7180099999996</v>
      </c>
      <c r="J63" s="374">
        <f>J16+J62</f>
        <v>0</v>
      </c>
      <c r="K63" s="374">
        <f>K16+K62</f>
        <v>0</v>
      </c>
      <c r="L63" s="374">
        <f>L16+L62</f>
        <v>0</v>
      </c>
      <c r="M63" s="374">
        <f>M16+M62</f>
        <v>0</v>
      </c>
    </row>
    <row r="64" spans="3:18" ht="5.0999999999999996" customHeight="1" x14ac:dyDescent="0.2">
      <c r="C64" s="155"/>
      <c r="D64" s="371"/>
      <c r="E64" s="284"/>
      <c r="F64" s="284"/>
      <c r="G64" s="284"/>
      <c r="H64" s="284"/>
      <c r="I64" s="284"/>
      <c r="J64" s="282"/>
      <c r="K64" s="282"/>
      <c r="L64" s="282"/>
      <c r="M64" s="282"/>
    </row>
    <row r="65" spans="3:25" ht="12" hidden="1" customHeight="1" outlineLevel="1" x14ac:dyDescent="0.2">
      <c r="C65" s="155" t="s">
        <v>763</v>
      </c>
      <c r="D65" s="155" t="s">
        <v>763</v>
      </c>
      <c r="E65" s="284"/>
      <c r="F65" s="284"/>
      <c r="G65" s="284"/>
      <c r="H65" s="284"/>
      <c r="I65" s="284"/>
      <c r="J65" s="282"/>
      <c r="K65" s="282"/>
      <c r="L65" s="282"/>
      <c r="M65" s="282"/>
    </row>
    <row r="66" spans="3:25" ht="12" hidden="1" customHeight="1" outlineLevel="1" x14ac:dyDescent="0.2">
      <c r="C66" s="365" t="s">
        <v>209</v>
      </c>
      <c r="D66" s="365" t="s">
        <v>209</v>
      </c>
      <c r="E66" s="284"/>
      <c r="F66" s="284"/>
      <c r="G66" s="284"/>
      <c r="H66" s="284"/>
      <c r="I66" s="284"/>
      <c r="J66" s="282"/>
      <c r="K66" s="282"/>
      <c r="L66" s="282"/>
      <c r="M66" s="282"/>
      <c r="P66" s="370" t="s">
        <v>788</v>
      </c>
    </row>
    <row r="67" spans="3:25" ht="12" hidden="1" customHeight="1" outlineLevel="1" x14ac:dyDescent="0.2">
      <c r="C67" s="365" t="s">
        <v>208</v>
      </c>
      <c r="D67" s="365" t="s">
        <v>208</v>
      </c>
      <c r="E67" s="284"/>
      <c r="F67" s="284"/>
      <c r="G67" s="284"/>
      <c r="H67" s="284"/>
      <c r="I67" s="284"/>
      <c r="J67" s="282"/>
      <c r="K67" s="282"/>
      <c r="L67" s="282"/>
      <c r="M67" s="282"/>
      <c r="P67" s="370" t="s">
        <v>789</v>
      </c>
    </row>
    <row r="68" spans="3:25" ht="12" hidden="1" customHeight="1" outlineLevel="1" x14ac:dyDescent="0.2">
      <c r="C68" s="365" t="s">
        <v>207</v>
      </c>
      <c r="D68" s="365" t="s">
        <v>207</v>
      </c>
      <c r="E68" s="284"/>
      <c r="F68" s="284"/>
      <c r="G68" s="284"/>
      <c r="H68" s="284"/>
      <c r="I68" s="284"/>
      <c r="J68" s="282"/>
      <c r="K68" s="282"/>
      <c r="L68" s="282"/>
      <c r="M68" s="282"/>
      <c r="P68" s="370" t="s">
        <v>790</v>
      </c>
    </row>
    <row r="69" spans="3:25" ht="12" hidden="1" customHeight="1" outlineLevel="1" x14ac:dyDescent="0.2">
      <c r="C69" s="272" t="s">
        <v>805</v>
      </c>
      <c r="D69" s="272" t="s">
        <v>805</v>
      </c>
      <c r="E69" s="373">
        <f>SUM(E66:E68)</f>
        <v>0</v>
      </c>
      <c r="F69" s="373">
        <f>SUM(F66:F68)</f>
        <v>0</v>
      </c>
      <c r="G69" s="373">
        <f t="shared" ref="G69:M69" si="7">SUM(G66:G68)</f>
        <v>0</v>
      </c>
      <c r="H69" s="373">
        <f t="shared" si="7"/>
        <v>0</v>
      </c>
      <c r="I69" s="373">
        <f t="shared" si="7"/>
        <v>0</v>
      </c>
      <c r="J69" s="374">
        <f t="shared" si="7"/>
        <v>0</v>
      </c>
      <c r="K69" s="374">
        <f t="shared" si="7"/>
        <v>0</v>
      </c>
      <c r="L69" s="374">
        <f t="shared" si="7"/>
        <v>0</v>
      </c>
      <c r="M69" s="374">
        <f t="shared" si="7"/>
        <v>0</v>
      </c>
    </row>
    <row r="70" spans="3:25" ht="4.5" customHeight="1" collapsed="1" x14ac:dyDescent="0.2">
      <c r="C70" s="37"/>
      <c r="D70" s="37"/>
      <c r="E70" s="284"/>
      <c r="F70" s="284"/>
      <c r="G70" s="284"/>
      <c r="H70" s="284"/>
      <c r="I70" s="284"/>
      <c r="J70" s="282"/>
      <c r="K70" s="282"/>
      <c r="L70" s="282"/>
      <c r="M70" s="282"/>
    </row>
    <row r="71" spans="3:25" outlineLevel="1" x14ac:dyDescent="0.2">
      <c r="C71" s="37" t="s">
        <v>267</v>
      </c>
      <c r="D71" s="37" t="s">
        <v>775</v>
      </c>
      <c r="E71" s="284">
        <f>'Lead PL'!E9</f>
        <v>0</v>
      </c>
      <c r="F71" s="284">
        <f>'Lead PL'!F9</f>
        <v>16709.024729999997</v>
      </c>
      <c r="G71" s="284">
        <f>'Lead PL'!G9</f>
        <v>15316.24358</v>
      </c>
      <c r="H71" s="284">
        <f>'Lead PL'!H9</f>
        <v>16659.963460000003</v>
      </c>
      <c r="I71" s="284">
        <f>'Lead PL'!I9</f>
        <v>15009.728290000003</v>
      </c>
      <c r="J71" s="282">
        <f>'Lead PL'!K9</f>
        <v>0</v>
      </c>
      <c r="K71" s="282">
        <f>'Lead PL'!L9</f>
        <v>0</v>
      </c>
      <c r="L71" s="282">
        <f>'Lead PL'!M9</f>
        <v>0</v>
      </c>
      <c r="M71" s="282">
        <f>'Lead PL'!N9</f>
        <v>0</v>
      </c>
    </row>
    <row r="72" spans="3:25" outlineLevel="1" x14ac:dyDescent="0.2">
      <c r="C72" s="37" t="s">
        <v>264</v>
      </c>
      <c r="D72" s="37" t="s">
        <v>776</v>
      </c>
      <c r="E72" s="284">
        <f>'Lead PL'!E25</f>
        <v>0</v>
      </c>
      <c r="F72" s="284">
        <f>'Lead PL'!F25</f>
        <v>-7633.126189999999</v>
      </c>
      <c r="G72" s="284">
        <f>'Lead PL'!G25</f>
        <v>-8086.502379999999</v>
      </c>
      <c r="H72" s="284">
        <f>'Lead PL'!H25</f>
        <v>-8397.8873899999999</v>
      </c>
      <c r="I72" s="284">
        <f>'Lead PL'!I25</f>
        <v>-7361.7846899999986</v>
      </c>
      <c r="J72" s="282">
        <f>'Lead PL'!K25</f>
        <v>0</v>
      </c>
      <c r="K72" s="282">
        <f>'Lead PL'!L25</f>
        <v>0</v>
      </c>
      <c r="L72" s="282">
        <f>'Lead PL'!M25</f>
        <v>0</v>
      </c>
      <c r="M72" s="282">
        <f>'Lead PL'!N25</f>
        <v>0</v>
      </c>
    </row>
    <row r="73" spans="3:25" outlineLevel="1" x14ac:dyDescent="0.2">
      <c r="C73" s="37" t="s">
        <v>560</v>
      </c>
      <c r="D73" s="37" t="s">
        <v>559</v>
      </c>
      <c r="E73" s="284">
        <v>365</v>
      </c>
      <c r="F73" s="284">
        <v>365</v>
      </c>
      <c r="G73" s="284">
        <v>365</v>
      </c>
      <c r="H73" s="284">
        <v>365</v>
      </c>
      <c r="I73" s="284">
        <v>365</v>
      </c>
      <c r="J73" s="282">
        <v>365</v>
      </c>
      <c r="K73" s="282">
        <v>365</v>
      </c>
      <c r="L73" s="282">
        <v>365</v>
      </c>
      <c r="M73" s="282">
        <v>365</v>
      </c>
    </row>
    <row r="74" spans="3:25" ht="4.5" customHeight="1" outlineLevel="1" x14ac:dyDescent="0.2">
      <c r="C74" s="37"/>
      <c r="D74" s="37"/>
      <c r="E74" s="284"/>
      <c r="F74" s="284"/>
      <c r="G74" s="284"/>
      <c r="H74" s="284"/>
      <c r="I74" s="284"/>
      <c r="J74" s="282"/>
      <c r="K74" s="282"/>
      <c r="L74" s="282"/>
      <c r="M74" s="282"/>
    </row>
    <row r="75" spans="3:25" outlineLevel="1" collapsed="1" x14ac:dyDescent="0.2">
      <c r="C75" s="37" t="s">
        <v>558</v>
      </c>
      <c r="D75" s="37" t="s">
        <v>223</v>
      </c>
      <c r="E75" s="36" t="str">
        <f t="shared" ref="E75:M75" si="8">IFERROR(-AVERAGE(E9:E9)/E72*E73,"n/a")</f>
        <v>n/a</v>
      </c>
      <c r="F75" s="36">
        <f t="shared" si="8"/>
        <v>93.407520909856743</v>
      </c>
      <c r="G75" s="36">
        <f t="shared" si="8"/>
        <v>119.70807795025965</v>
      </c>
      <c r="H75" s="36">
        <f t="shared" si="8"/>
        <v>167.58947378550167</v>
      </c>
      <c r="I75" s="36">
        <f t="shared" si="8"/>
        <v>144.41207386085617</v>
      </c>
      <c r="J75" s="128" t="str">
        <f t="shared" si="8"/>
        <v>n/a</v>
      </c>
      <c r="K75" s="128" t="str">
        <f t="shared" si="8"/>
        <v>n/a</v>
      </c>
      <c r="L75" s="128" t="str">
        <f t="shared" si="8"/>
        <v>n/a</v>
      </c>
      <c r="M75" s="128" t="str">
        <f t="shared" si="8"/>
        <v>n/a</v>
      </c>
    </row>
    <row r="76" spans="3:25" outlineLevel="1" x14ac:dyDescent="0.2">
      <c r="C76" s="37" t="s">
        <v>557</v>
      </c>
      <c r="D76" s="37" t="s">
        <v>222</v>
      </c>
      <c r="E76" s="36" t="str">
        <f>IFERROR(-AVERAGE(E10:E10)/-E71*E73,"n/a")</f>
        <v>n/a</v>
      </c>
      <c r="F76" s="36">
        <f>IFERROR(-AVERAGE(F10:F10)/-F71*F73,"n/a")</f>
        <v>38.897510540102012</v>
      </c>
      <c r="G76" s="36">
        <f t="shared" ref="G76:M76" si="9">IFERROR(-AVERAGE(G10:G10)/-G71*G$73,"n/a")</f>
        <v>37.804585721403107</v>
      </c>
      <c r="H76" s="36">
        <f t="shared" si="9"/>
        <v>43.572274221542614</v>
      </c>
      <c r="I76" s="36">
        <f t="shared" si="9"/>
        <v>34.425259183022817</v>
      </c>
      <c r="J76" s="128" t="str">
        <f t="shared" si="9"/>
        <v>n/a</v>
      </c>
      <c r="K76" s="128" t="str">
        <f t="shared" si="9"/>
        <v>n/a</v>
      </c>
      <c r="L76" s="128" t="str">
        <f t="shared" si="9"/>
        <v>n/a</v>
      </c>
      <c r="M76" s="128" t="str">
        <f t="shared" si="9"/>
        <v>n/a</v>
      </c>
    </row>
    <row r="77" spans="3:25" outlineLevel="1" x14ac:dyDescent="0.2">
      <c r="C77" s="37" t="s">
        <v>556</v>
      </c>
      <c r="D77" s="37" t="s">
        <v>221</v>
      </c>
      <c r="E77" s="36" t="str">
        <f>IFERROR(-AVERAGE(E11:E12)/E72*E73,"n/a")</f>
        <v>n/a</v>
      </c>
      <c r="F77" s="36">
        <f>IFERROR(-SUM(F11:F12)/F72*F73,"n/a")</f>
        <v>-38.391056115895296</v>
      </c>
      <c r="G77" s="36">
        <f>IFERROR(-SUM(G11:G12)/G72*G73,"n/a")</f>
        <v>-40.545774179318315</v>
      </c>
      <c r="H77" s="36">
        <f>IFERROR(-SUM(H11:H12)/H72*H73,"n/a")</f>
        <v>-55.217443639715206</v>
      </c>
      <c r="I77" s="36">
        <f>IFERROR(-SUM(I11:I12)/I72*I73,"n/a")</f>
        <v>-12.072311109658386</v>
      </c>
      <c r="J77" s="128" t="str">
        <f>IFERROR(-AVERAGE(J11:J12)/J72*J73,"n/a")</f>
        <v>n/a</v>
      </c>
      <c r="K77" s="128" t="str">
        <f>IFERROR(-AVERAGE(K11:K12)/K72*K73,"n/a")</f>
        <v>n/a</v>
      </c>
      <c r="L77" s="128" t="str">
        <f>IFERROR(-AVERAGE(L11:L12)/L72*L73,"n/a")</f>
        <v>n/a</v>
      </c>
      <c r="M77" s="128" t="str">
        <f>IFERROR(-AVERAGE(M11:M12)/M72*M73,"n/a")</f>
        <v>n/a</v>
      </c>
    </row>
    <row r="78" spans="3:25" ht="11.25" customHeight="1" outlineLevel="1" x14ac:dyDescent="0.2">
      <c r="C78" s="155" t="s">
        <v>176</v>
      </c>
      <c r="D78" s="155" t="s">
        <v>176</v>
      </c>
      <c r="E78" s="154">
        <f t="shared" ref="E78:M78" si="10">SUM(E75:E77)</f>
        <v>0</v>
      </c>
      <c r="F78" s="154">
        <f t="shared" si="10"/>
        <v>93.913975334063466</v>
      </c>
      <c r="G78" s="154">
        <f t="shared" si="10"/>
        <v>116.96688949234444</v>
      </c>
      <c r="H78" s="154">
        <f t="shared" si="10"/>
        <v>155.94430436732907</v>
      </c>
      <c r="I78" s="154">
        <f t="shared" si="10"/>
        <v>166.76502193422058</v>
      </c>
      <c r="J78" s="152">
        <f t="shared" si="10"/>
        <v>0</v>
      </c>
      <c r="K78" s="152">
        <f t="shared" si="10"/>
        <v>0</v>
      </c>
      <c r="L78" s="152">
        <f t="shared" si="10"/>
        <v>0</v>
      </c>
      <c r="M78" s="152">
        <f t="shared" si="10"/>
        <v>0</v>
      </c>
      <c r="O78" s="368"/>
      <c r="P78" s="368"/>
      <c r="Q78" s="368"/>
      <c r="R78" s="368"/>
      <c r="S78" s="368"/>
      <c r="T78" s="368"/>
      <c r="U78" s="368"/>
      <c r="V78" s="368"/>
      <c r="W78" s="368"/>
      <c r="X78" s="368"/>
      <c r="Y78" s="368"/>
    </row>
    <row r="79" spans="3:25" ht="4.5" customHeight="1" outlineLevel="1" x14ac:dyDescent="0.2">
      <c r="C79" s="37"/>
      <c r="D79" s="37"/>
      <c r="E79" s="284"/>
      <c r="F79" s="284"/>
      <c r="G79" s="284"/>
      <c r="H79" s="284"/>
      <c r="I79" s="284"/>
      <c r="J79" s="282"/>
      <c r="K79" s="282"/>
      <c r="L79" s="282"/>
      <c r="M79" s="282"/>
    </row>
    <row r="80" spans="3:25" ht="11.65" hidden="1" customHeight="1" outlineLevel="2" x14ac:dyDescent="0.2">
      <c r="C80" s="293" t="s">
        <v>847</v>
      </c>
      <c r="D80" s="293" t="s">
        <v>546</v>
      </c>
      <c r="E80" s="284"/>
      <c r="F80" s="284"/>
      <c r="G80" s="284"/>
      <c r="H80" s="284"/>
      <c r="I80" s="284"/>
      <c r="J80" s="282"/>
      <c r="K80" s="282"/>
      <c r="L80" s="282"/>
      <c r="M80" s="282"/>
    </row>
    <row r="81" spans="3:16" ht="5.0999999999999996" hidden="1" customHeight="1" outlineLevel="2" x14ac:dyDescent="0.2">
      <c r="C81" s="37"/>
      <c r="D81" s="37"/>
      <c r="E81" s="37"/>
      <c r="F81" s="37"/>
      <c r="G81" s="37"/>
      <c r="H81" s="37"/>
      <c r="I81" s="37"/>
      <c r="J81" s="37"/>
      <c r="K81" s="37"/>
      <c r="L81" s="37"/>
      <c r="M81" s="37"/>
      <c r="O81" s="91"/>
    </row>
    <row r="82" spans="3:16" ht="11.85" hidden="1" customHeight="1" outlineLevel="2" x14ac:dyDescent="0.2">
      <c r="C82" s="37" t="s">
        <v>848</v>
      </c>
      <c r="D82" s="37" t="s">
        <v>851</v>
      </c>
      <c r="E82" s="36" t="str">
        <f t="shared" ref="E82:M82" si="11">IFERROR(E16/E71,"n/a")</f>
        <v>n/a</v>
      </c>
      <c r="F82" s="484">
        <f t="shared" si="11"/>
        <v>0.17542600704499647</v>
      </c>
      <c r="G82" s="484">
        <f t="shared" si="11"/>
        <v>0.21808172888825267</v>
      </c>
      <c r="H82" s="484">
        <f t="shared" si="11"/>
        <v>0.27456524745583083</v>
      </c>
      <c r="I82" s="484">
        <f t="shared" si="11"/>
        <v>0.27214690040201917</v>
      </c>
      <c r="J82" s="128" t="str">
        <f t="shared" si="11"/>
        <v>n/a</v>
      </c>
      <c r="K82" s="128" t="str">
        <f t="shared" si="11"/>
        <v>n/a</v>
      </c>
      <c r="L82" s="128" t="str">
        <f t="shared" si="11"/>
        <v>n/a</v>
      </c>
      <c r="M82" s="128" t="str">
        <f t="shared" si="11"/>
        <v>n/a</v>
      </c>
      <c r="O82" s="91"/>
    </row>
    <row r="83" spans="3:16" ht="11.85" hidden="1" customHeight="1" outlineLevel="2" x14ac:dyDescent="0.2">
      <c r="C83" s="37" t="s">
        <v>849</v>
      </c>
      <c r="D83" s="37" t="s">
        <v>852</v>
      </c>
      <c r="E83" s="36" t="str">
        <f t="shared" ref="E83:M83" si="12">IFERROR(E37/E71,"n/a")</f>
        <v>n/a</v>
      </c>
      <c r="F83" s="484">
        <f t="shared" si="12"/>
        <v>0.12079947888137457</v>
      </c>
      <c r="G83" s="484">
        <f t="shared" si="12"/>
        <v>0.19504847088622762</v>
      </c>
      <c r="H83" s="484">
        <f t="shared" si="12"/>
        <v>0.25769689353208219</v>
      </c>
      <c r="I83" s="484">
        <f t="shared" si="12"/>
        <v>0.26424026094079273</v>
      </c>
      <c r="J83" s="128" t="str">
        <f t="shared" si="12"/>
        <v>n/a</v>
      </c>
      <c r="K83" s="128" t="str">
        <f t="shared" si="12"/>
        <v>n/a</v>
      </c>
      <c r="L83" s="128" t="str">
        <f t="shared" si="12"/>
        <v>n/a</v>
      </c>
      <c r="M83" s="128" t="str">
        <f t="shared" si="12"/>
        <v>n/a</v>
      </c>
      <c r="O83" s="91"/>
    </row>
    <row r="84" spans="3:16" ht="11.85" hidden="1" customHeight="1" outlineLevel="2" x14ac:dyDescent="0.2">
      <c r="C84" s="37" t="s">
        <v>850</v>
      </c>
      <c r="D84" s="37" t="s">
        <v>853</v>
      </c>
      <c r="E84" s="36" t="str">
        <f t="shared" ref="E84:M84" si="13">IFERROR(E63/E71,"n/a")</f>
        <v>n/a</v>
      </c>
      <c r="F84" s="484">
        <f t="shared" si="13"/>
        <v>0.13395644067611601</v>
      </c>
      <c r="G84" s="484">
        <f t="shared" si="13"/>
        <v>0.18660622528438534</v>
      </c>
      <c r="H84" s="484">
        <f t="shared" si="13"/>
        <v>0.24709916980814314</v>
      </c>
      <c r="I84" s="484">
        <f t="shared" si="13"/>
        <v>0.22157083364498392</v>
      </c>
      <c r="J84" s="128" t="str">
        <f t="shared" si="13"/>
        <v>n/a</v>
      </c>
      <c r="K84" s="128" t="str">
        <f t="shared" si="13"/>
        <v>n/a</v>
      </c>
      <c r="L84" s="128" t="str">
        <f t="shared" si="13"/>
        <v>n/a</v>
      </c>
      <c r="M84" s="128" t="str">
        <f t="shared" si="13"/>
        <v>n/a</v>
      </c>
      <c r="O84" s="91"/>
    </row>
    <row r="85" spans="3:16" ht="5.0999999999999996" customHeight="1" outlineLevel="1" collapsed="1" x14ac:dyDescent="0.2">
      <c r="C85" s="37"/>
      <c r="D85" s="37"/>
      <c r="E85" s="37"/>
      <c r="F85" s="37"/>
      <c r="G85" s="37"/>
      <c r="H85" s="37"/>
      <c r="I85" s="37"/>
      <c r="J85" s="37"/>
      <c r="K85" s="37"/>
      <c r="L85" s="37"/>
      <c r="M85" s="37"/>
    </row>
    <row r="86" spans="3:16" ht="11.25" customHeight="1" outlineLevel="1" x14ac:dyDescent="0.2">
      <c r="C86" s="188" t="str">
        <f>"Quelle: "&amp;Cockpit!$C$7</f>
        <v>Quelle: Datenraum/ eigene Analysen</v>
      </c>
      <c r="D86" s="76" t="str">
        <f>"Source: "&amp;Cockpit!$C$8</f>
        <v>Source: Virtual Data Room/ Company Information</v>
      </c>
      <c r="E86" s="281"/>
      <c r="F86" s="281"/>
      <c r="G86" s="281"/>
      <c r="H86" s="281"/>
      <c r="I86" s="281"/>
      <c r="J86" s="279"/>
      <c r="K86" s="279"/>
      <c r="L86" s="279"/>
      <c r="M86" s="279"/>
      <c r="P86" s="1" t="s">
        <v>5451</v>
      </c>
    </row>
    <row r="87" spans="3:16" ht="11.25" customHeight="1" outlineLevel="1" x14ac:dyDescent="0.2">
      <c r="E87" s="628"/>
      <c r="F87" s="628">
        <f>F10/F71</f>
        <v>0.10656852202767673</v>
      </c>
      <c r="G87" s="628">
        <f>G10/G71</f>
        <v>0.10357420745589892</v>
      </c>
      <c r="H87" s="628">
        <f>H10/H71</f>
        <v>0.119376093757651</v>
      </c>
      <c r="I87" s="628">
        <f>I10/I71</f>
        <v>9.4315778583624152E-2</v>
      </c>
      <c r="O87" s="1048"/>
      <c r="P87" s="1048">
        <f>(I71-H71)*H87</f>
        <v>-196.99862837609314</v>
      </c>
    </row>
    <row r="88" spans="3:16" ht="11.25" customHeight="1" outlineLevel="1" x14ac:dyDescent="0.2">
      <c r="I88" s="1048"/>
      <c r="P88" s="1" t="s">
        <v>5452</v>
      </c>
    </row>
    <row r="89" spans="3:16" outlineLevel="1" x14ac:dyDescent="0.2">
      <c r="C89" s="72" t="s">
        <v>74</v>
      </c>
      <c r="D89" s="72" t="s">
        <v>74</v>
      </c>
      <c r="E89" s="71">
        <f>'Lead NA'!E23</f>
        <v>0</v>
      </c>
      <c r="F89" s="71">
        <f>'Lead NA'!F23</f>
        <v>2931.19749</v>
      </c>
      <c r="G89" s="71">
        <f>'Lead NA'!G23</f>
        <v>3340.1928800000005</v>
      </c>
      <c r="H89" s="71">
        <f>'Lead NA'!H23</f>
        <v>4574.2469900000006</v>
      </c>
      <c r="I89" s="71">
        <f>'Lead NA'!I23</f>
        <v>4084.8510299999998</v>
      </c>
      <c r="J89" s="71">
        <f>'Lead NA'!J23</f>
        <v>0</v>
      </c>
      <c r="K89" s="71">
        <f>'Lead NA'!K23</f>
        <v>0</v>
      </c>
      <c r="L89" s="71">
        <f>'Lead NA'!L23</f>
        <v>0</v>
      </c>
      <c r="M89" s="71">
        <f>'Lead NA'!M23</f>
        <v>0</v>
      </c>
      <c r="P89" s="1048">
        <f>(I87-H87)*(I71-H71)</f>
        <v>41.355413471463777</v>
      </c>
    </row>
    <row r="90" spans="3:16" outlineLevel="1" x14ac:dyDescent="0.2">
      <c r="C90" s="70" t="s">
        <v>233</v>
      </c>
      <c r="D90" s="69" t="s">
        <v>233</v>
      </c>
      <c r="E90" s="68">
        <f t="shared" ref="E90:M90" si="14">E89-E16</f>
        <v>-2190.4534799999997</v>
      </c>
      <c r="F90" s="68">
        <f t="shared" si="14"/>
        <v>0</v>
      </c>
      <c r="G90" s="68">
        <f t="shared" si="14"/>
        <v>0</v>
      </c>
      <c r="H90" s="68">
        <f t="shared" si="14"/>
        <v>0</v>
      </c>
      <c r="I90" s="68">
        <f t="shared" si="14"/>
        <v>0</v>
      </c>
      <c r="J90" s="68">
        <f t="shared" si="14"/>
        <v>0</v>
      </c>
      <c r="K90" s="68">
        <f t="shared" si="14"/>
        <v>0</v>
      </c>
      <c r="L90" s="68">
        <f t="shared" si="14"/>
        <v>0</v>
      </c>
      <c r="M90" s="68">
        <f t="shared" si="14"/>
        <v>0</v>
      </c>
    </row>
    <row r="91" spans="3:16" outlineLevel="1" x14ac:dyDescent="0.2"/>
    <row r="92" spans="3:16" outlineLevel="1" x14ac:dyDescent="0.2">
      <c r="C92" s="72" t="s">
        <v>298</v>
      </c>
      <c r="D92" s="72" t="s">
        <v>74</v>
      </c>
      <c r="E92" s="71">
        <f>'Lead NA'!E26</f>
        <v>0</v>
      </c>
      <c r="F92" s="71">
        <f>'Lead NA'!F41</f>
        <v>-912.75600999999983</v>
      </c>
      <c r="G92" s="71">
        <f>'Lead NA'!G41</f>
        <v>-352.78298999999959</v>
      </c>
      <c r="H92" s="71">
        <f>'Lead NA'!H41</f>
        <v>-281.0261600000004</v>
      </c>
      <c r="I92" s="71">
        <f>'Lead NA'!I41</f>
        <v>-118.67651000000001</v>
      </c>
    </row>
    <row r="93" spans="3:16" outlineLevel="1" x14ac:dyDescent="0.2">
      <c r="C93" s="70" t="s">
        <v>233</v>
      </c>
      <c r="D93" s="69" t="s">
        <v>233</v>
      </c>
      <c r="E93" s="68">
        <f>E92-E19</f>
        <v>-18.960319999999999</v>
      </c>
      <c r="F93" s="68">
        <f>F92-F36</f>
        <v>0</v>
      </c>
      <c r="G93" s="68">
        <f>G92-G36</f>
        <v>0</v>
      </c>
      <c r="H93" s="68">
        <f>H92-H36</f>
        <v>0</v>
      </c>
      <c r="I93" s="68">
        <f>I92-I36</f>
        <v>0</v>
      </c>
    </row>
    <row r="95" spans="3:16" x14ac:dyDescent="0.2">
      <c r="C95" s="957" t="s">
        <v>837</v>
      </c>
      <c r="D95" s="958"/>
      <c r="E95" s="958"/>
      <c r="F95" s="958"/>
      <c r="G95" s="958"/>
      <c r="H95" s="958"/>
      <c r="I95" s="959"/>
    </row>
    <row r="96" spans="3:16" x14ac:dyDescent="0.2">
      <c r="C96" s="960"/>
      <c r="I96" s="961"/>
    </row>
    <row r="97" spans="3:9" x14ac:dyDescent="0.2">
      <c r="C97" s="964" t="s">
        <v>265</v>
      </c>
      <c r="D97" s="34"/>
      <c r="E97" s="977">
        <f>'Equity Bridge SONNTAG'!J129/1000</f>
        <v>14155.949680000002</v>
      </c>
      <c r="F97" s="977">
        <f>'Lead PL'!F24</f>
        <v>16416.744779999997</v>
      </c>
      <c r="G97" s="977">
        <f>'Lead PL'!G24</f>
        <v>15515.82071</v>
      </c>
      <c r="H97" s="977">
        <f>'Lead PL'!H24</f>
        <v>17010.758600000001</v>
      </c>
      <c r="I97" s="978">
        <f>'Lead PL'!I24</f>
        <v>15235.918450000003</v>
      </c>
    </row>
    <row r="98" spans="3:9" x14ac:dyDescent="0.2">
      <c r="C98" s="960"/>
      <c r="F98" s="466"/>
      <c r="G98" s="466"/>
      <c r="H98" s="466"/>
      <c r="I98" s="963"/>
    </row>
    <row r="99" spans="3:9" x14ac:dyDescent="0.2">
      <c r="C99" s="960" t="s">
        <v>5377</v>
      </c>
      <c r="E99" s="481">
        <f>E16</f>
        <v>2190.4534799999997</v>
      </c>
      <c r="F99" s="481">
        <f>F16</f>
        <v>2931.19749</v>
      </c>
      <c r="G99" s="481">
        <f>G16</f>
        <v>3340.1928800000005</v>
      </c>
      <c r="H99" s="481">
        <f>H16</f>
        <v>4574.2469900000006</v>
      </c>
      <c r="I99" s="962">
        <f>I16</f>
        <v>4084.8510299999998</v>
      </c>
    </row>
    <row r="100" spans="3:9" x14ac:dyDescent="0.2">
      <c r="C100" s="960" t="s">
        <v>5378</v>
      </c>
      <c r="E100" s="481">
        <f>E99+E56</f>
        <v>2190.4534799999997</v>
      </c>
      <c r="F100" s="481">
        <f>F99+F56</f>
        <v>2981.19749</v>
      </c>
      <c r="G100" s="481">
        <f>G99+G56</f>
        <v>3390.1928800000005</v>
      </c>
      <c r="H100" s="481">
        <f>H99+H55+H56+H45</f>
        <v>4597.9914400000007</v>
      </c>
      <c r="I100" s="962">
        <f>I99+I55+I56+I45</f>
        <v>3659.2197900000001</v>
      </c>
    </row>
    <row r="101" spans="3:9" x14ac:dyDescent="0.2">
      <c r="C101" s="960"/>
      <c r="F101" s="466"/>
      <c r="G101" s="466"/>
      <c r="H101" s="466"/>
      <c r="I101" s="963"/>
    </row>
    <row r="102" spans="3:9" x14ac:dyDescent="0.2">
      <c r="C102" s="964" t="s">
        <v>5436</v>
      </c>
      <c r="F102" s="466"/>
      <c r="G102" s="466"/>
      <c r="H102" s="466"/>
      <c r="I102" s="963"/>
    </row>
    <row r="103" spans="3:9" x14ac:dyDescent="0.2">
      <c r="C103" s="960" t="s">
        <v>5377</v>
      </c>
      <c r="E103" s="965">
        <f t="shared" ref="E103:I104" si="15">E99/E$97</f>
        <v>0.15473730336119698</v>
      </c>
      <c r="F103" s="965">
        <f t="shared" si="15"/>
        <v>0.17854925134555211</v>
      </c>
      <c r="G103" s="965">
        <f t="shared" si="15"/>
        <v>0.21527658397388122</v>
      </c>
      <c r="H103" s="965">
        <f t="shared" si="15"/>
        <v>0.2689031746062166</v>
      </c>
      <c r="I103" s="966">
        <f t="shared" si="15"/>
        <v>0.2681066483392735</v>
      </c>
    </row>
    <row r="104" spans="3:9" x14ac:dyDescent="0.2">
      <c r="C104" s="960" t="s">
        <v>5378</v>
      </c>
      <c r="E104" s="965">
        <f t="shared" si="15"/>
        <v>0.15473730336119698</v>
      </c>
      <c r="F104" s="965">
        <f t="shared" si="15"/>
        <v>0.18159492213291267</v>
      </c>
      <c r="G104" s="965">
        <f t="shared" si="15"/>
        <v>0.21849910123123617</v>
      </c>
      <c r="H104" s="965">
        <f t="shared" si="15"/>
        <v>0.27029902358381597</v>
      </c>
      <c r="I104" s="966">
        <f t="shared" si="15"/>
        <v>0.24017060750282498</v>
      </c>
    </row>
    <row r="105" spans="3:9" ht="12.75" thickBot="1" x14ac:dyDescent="0.25">
      <c r="C105" s="967"/>
      <c r="D105" s="955"/>
      <c r="E105" s="955"/>
      <c r="F105" s="955"/>
      <c r="G105" s="956"/>
      <c r="H105" s="956"/>
      <c r="I105" s="968"/>
    </row>
    <row r="106" spans="3:9" ht="12.75" thickTop="1" x14ac:dyDescent="0.2">
      <c r="C106" s="960"/>
      <c r="H106" s="466"/>
      <c r="I106" s="963"/>
    </row>
    <row r="107" spans="3:9" x14ac:dyDescent="0.2">
      <c r="C107" s="960" t="s">
        <v>5437</v>
      </c>
      <c r="E107" s="481">
        <f>E37</f>
        <v>1634.50235</v>
      </c>
      <c r="F107" s="481">
        <f>F37</f>
        <v>2018.4414800000002</v>
      </c>
      <c r="G107" s="481">
        <f>G37</f>
        <v>2987.4098900000008</v>
      </c>
      <c r="H107" s="481">
        <f>H37</f>
        <v>4293.2208300000002</v>
      </c>
      <c r="I107" s="962">
        <f>I37</f>
        <v>3966.1745199999996</v>
      </c>
    </row>
    <row r="108" spans="3:9" x14ac:dyDescent="0.2">
      <c r="C108" s="960" t="s">
        <v>5438</v>
      </c>
      <c r="E108" s="481">
        <f>E63</f>
        <v>1768.3423499999999</v>
      </c>
      <c r="F108" s="481">
        <f>F63</f>
        <v>2238.2814800000001</v>
      </c>
      <c r="G108" s="481">
        <f>G63</f>
        <v>2858.1064000000006</v>
      </c>
      <c r="H108" s="481">
        <f>H63</f>
        <v>4116.6631400000006</v>
      </c>
      <c r="I108" s="962">
        <f>I63</f>
        <v>3325.7180099999996</v>
      </c>
    </row>
    <row r="109" spans="3:9" x14ac:dyDescent="0.2">
      <c r="C109" s="960"/>
      <c r="H109" s="466"/>
      <c r="I109" s="963"/>
    </row>
    <row r="110" spans="3:9" x14ac:dyDescent="0.2">
      <c r="C110" s="964" t="s">
        <v>5436</v>
      </c>
      <c r="H110" s="466"/>
      <c r="I110" s="963"/>
    </row>
    <row r="111" spans="3:9" x14ac:dyDescent="0.2">
      <c r="C111" s="960" t="s">
        <v>5437</v>
      </c>
      <c r="E111" s="965">
        <f t="shared" ref="E111:I112" si="16">E107/E$97</f>
        <v>0.1154639841867536</v>
      </c>
      <c r="F111" s="965">
        <f t="shared" si="16"/>
        <v>0.12295016503265641</v>
      </c>
      <c r="G111" s="965">
        <f t="shared" si="16"/>
        <v>0.19253959850635582</v>
      </c>
      <c r="H111" s="965">
        <f t="shared" si="16"/>
        <v>0.25238267915929391</v>
      </c>
      <c r="I111" s="966">
        <f t="shared" si="16"/>
        <v>0.26031738966153356</v>
      </c>
    </row>
    <row r="112" spans="3:9" x14ac:dyDescent="0.2">
      <c r="C112" s="969" t="s">
        <v>5438</v>
      </c>
      <c r="D112" s="492"/>
      <c r="E112" s="970">
        <f t="shared" si="16"/>
        <v>0.12491866600079633</v>
      </c>
      <c r="F112" s="970">
        <f t="shared" si="16"/>
        <v>0.13634137035052332</v>
      </c>
      <c r="G112" s="970">
        <f t="shared" si="16"/>
        <v>0.18420594394713141</v>
      </c>
      <c r="H112" s="970">
        <f t="shared" si="16"/>
        <v>0.24200350124303099</v>
      </c>
      <c r="I112" s="971">
        <f t="shared" si="16"/>
        <v>0.21828142628316569</v>
      </c>
    </row>
    <row r="113" spans="3:18" x14ac:dyDescent="0.2">
      <c r="C113" s="960"/>
      <c r="H113" s="466"/>
      <c r="I113" s="963"/>
    </row>
    <row r="114" spans="3:18" x14ac:dyDescent="0.2">
      <c r="C114" s="957" t="s">
        <v>5439</v>
      </c>
      <c r="D114" s="958"/>
      <c r="E114" s="958"/>
      <c r="F114" s="958"/>
      <c r="G114" s="972" t="s">
        <v>5442</v>
      </c>
      <c r="H114" s="972" t="s">
        <v>5441</v>
      </c>
      <c r="I114" s="973" t="s">
        <v>5440</v>
      </c>
    </row>
    <row r="115" spans="3:18" x14ac:dyDescent="0.2">
      <c r="C115" s="960" t="s">
        <v>5378</v>
      </c>
      <c r="G115" s="481">
        <f>AVERAGE(G100:I100)</f>
        <v>3882.4680366666671</v>
      </c>
      <c r="H115" s="481">
        <f>AVERAGE(F100:I100)</f>
        <v>3657.1504000000004</v>
      </c>
      <c r="I115" s="962">
        <f>AVERAGE(E100:I100)</f>
        <v>3363.8110160000006</v>
      </c>
    </row>
    <row r="116" spans="3:18" x14ac:dyDescent="0.2">
      <c r="C116" s="960" t="s">
        <v>5443</v>
      </c>
      <c r="G116" s="628">
        <f>AVERAGE(G104:I104)</f>
        <v>0.24298957743929236</v>
      </c>
      <c r="H116" s="466">
        <f>AVERAGE(F104:I104)</f>
        <v>0.22764091361269745</v>
      </c>
      <c r="I116" s="963">
        <f>AVERAGE(E104:I104)</f>
        <v>0.21306019156239736</v>
      </c>
    </row>
    <row r="117" spans="3:18" x14ac:dyDescent="0.2">
      <c r="C117" s="960"/>
      <c r="H117" s="466"/>
      <c r="I117" s="963"/>
    </row>
    <row r="118" spans="3:18" x14ac:dyDescent="0.2">
      <c r="C118" s="960" t="s">
        <v>5438</v>
      </c>
      <c r="G118" s="481">
        <f>AVERAGE(G108:I108)</f>
        <v>3433.4958500000007</v>
      </c>
      <c r="H118" s="481">
        <f>AVERAGE(F108:I108)</f>
        <v>3134.6922574999999</v>
      </c>
      <c r="I118" s="962">
        <f>AVERAGE(E108:I108)</f>
        <v>2861.4222760000002</v>
      </c>
    </row>
    <row r="119" spans="3:18" x14ac:dyDescent="0.2">
      <c r="C119" s="969" t="s">
        <v>5444</v>
      </c>
      <c r="D119" s="492"/>
      <c r="E119" s="492"/>
      <c r="F119" s="492"/>
      <c r="G119" s="974">
        <f>AVERAGE(G112:I112)</f>
        <v>0.21483029049110935</v>
      </c>
      <c r="H119" s="975">
        <f>AVERAGE(F112:I112)</f>
        <v>0.19520806045596287</v>
      </c>
      <c r="I119" s="976">
        <f>AVERAGE(E112:I112)</f>
        <v>0.18115018156492957</v>
      </c>
      <c r="P119" s="781"/>
      <c r="Q119" s="781"/>
      <c r="R119" s="781"/>
    </row>
    <row r="120" spans="3:18" x14ac:dyDescent="0.2">
      <c r="C120" s="960"/>
      <c r="H120" s="466"/>
      <c r="I120" s="963"/>
    </row>
    <row r="121" spans="3:18" x14ac:dyDescent="0.2">
      <c r="C121" s="960" t="s">
        <v>5446</v>
      </c>
      <c r="G121" s="481">
        <f>G119*$I$97</f>
        <v>3273.1367865123534</v>
      </c>
      <c r="H121" s="481">
        <f>H119*$I$97</f>
        <v>2974.1740898897206</v>
      </c>
      <c r="I121" s="962">
        <f>I119*$I$97</f>
        <v>2759.9893935259606</v>
      </c>
    </row>
    <row r="122" spans="3:18" x14ac:dyDescent="0.2">
      <c r="C122" s="979" t="s">
        <v>5445</v>
      </c>
      <c r="D122" s="980"/>
      <c r="E122" s="980"/>
      <c r="F122" s="980"/>
      <c r="G122" s="981">
        <f>$I$108-G121</f>
        <v>52.581223487646184</v>
      </c>
      <c r="H122" s="981">
        <f>$I$108-H121</f>
        <v>351.54392011027903</v>
      </c>
      <c r="I122" s="982">
        <f>$I$108-I121</f>
        <v>565.72861647403897</v>
      </c>
    </row>
    <row r="123" spans="3:18" x14ac:dyDescent="0.2">
      <c r="H123" s="466"/>
      <c r="I123" s="466"/>
    </row>
    <row r="124" spans="3:18" x14ac:dyDescent="0.2">
      <c r="H124" s="466"/>
      <c r="I124" s="466"/>
    </row>
    <row r="125" spans="3:18" x14ac:dyDescent="0.2">
      <c r="H125" s="466"/>
      <c r="I125" s="466"/>
    </row>
    <row r="126" spans="3:18" x14ac:dyDescent="0.2">
      <c r="H126" s="466"/>
      <c r="I126" s="466"/>
    </row>
    <row r="127" spans="3:18" x14ac:dyDescent="0.2">
      <c r="C127" s="91" t="s">
        <v>2428</v>
      </c>
      <c r="G127" s="481">
        <f>G36-F36</f>
        <v>559.97302000000025</v>
      </c>
      <c r="H127" s="481">
        <f>H36-G36</f>
        <v>71.756829999999184</v>
      </c>
      <c r="I127" s="481">
        <f>I36-H36</f>
        <v>162.34965000000039</v>
      </c>
    </row>
    <row r="128" spans="3:18" s="492" customFormat="1" x14ac:dyDescent="0.2">
      <c r="C128" s="495"/>
      <c r="G128" s="494"/>
      <c r="H128" s="493"/>
      <c r="I128" s="493"/>
    </row>
    <row r="129" spans="3:9" x14ac:dyDescent="0.2">
      <c r="C129" s="1" t="str">
        <f>C18</f>
        <v>Sonstige Vermögensgegenstände</v>
      </c>
      <c r="G129" s="481">
        <f t="shared" ref="G129:I130" si="17">G18-F18</f>
        <v>263.38515999999998</v>
      </c>
      <c r="H129" s="481">
        <f t="shared" si="17"/>
        <v>17.070400000000006</v>
      </c>
      <c r="I129" s="481">
        <f t="shared" si="17"/>
        <v>-4.4934199999999578</v>
      </c>
    </row>
    <row r="130" spans="3:9" x14ac:dyDescent="0.2">
      <c r="C130" s="1" t="str">
        <f>C19</f>
        <v>Aktive Rechnungsabgrenzungsposten</v>
      </c>
      <c r="G130" s="481">
        <f t="shared" si="17"/>
        <v>35.685750000000013</v>
      </c>
      <c r="H130" s="481">
        <f t="shared" si="17"/>
        <v>-2.9761000000000095</v>
      </c>
      <c r="I130" s="481">
        <f t="shared" si="17"/>
        <v>-11.626410000000007</v>
      </c>
    </row>
    <row r="131" spans="3:9" x14ac:dyDescent="0.2">
      <c r="G131" s="481"/>
      <c r="H131" s="481"/>
      <c r="I131" s="481"/>
    </row>
    <row r="132" spans="3:9" x14ac:dyDescent="0.2">
      <c r="C132" s="1" t="str">
        <f>C26</f>
        <v>Sonstige Rückstellungen</v>
      </c>
      <c r="G132" s="481">
        <f t="shared" ref="G132:I133" si="18">G26-F26</f>
        <v>102.73638</v>
      </c>
      <c r="H132" s="481">
        <f t="shared" si="18"/>
        <v>196.50445000000002</v>
      </c>
      <c r="I132" s="481">
        <f t="shared" si="18"/>
        <v>-199.87071000000003</v>
      </c>
    </row>
    <row r="133" spans="3:9" s="492" customFormat="1" x14ac:dyDescent="0.2">
      <c r="C133" s="492" t="str">
        <f>C27</f>
        <v>Sonstige Verbindlichkeiten</v>
      </c>
      <c r="G133" s="493">
        <f t="shared" si="18"/>
        <v>158.16573000000011</v>
      </c>
      <c r="H133" s="493">
        <f t="shared" si="18"/>
        <v>-138.84192000000075</v>
      </c>
      <c r="I133" s="493">
        <f t="shared" si="18"/>
        <v>197.39519000000038</v>
      </c>
    </row>
    <row r="134" spans="3:9" s="250" customFormat="1" x14ac:dyDescent="0.2"/>
    <row r="135" spans="3:9" x14ac:dyDescent="0.2">
      <c r="C135" s="1" t="str">
        <f>C129</f>
        <v>Sonstige Vermögensgegenstände</v>
      </c>
      <c r="G135" s="485">
        <f t="shared" ref="G135:I136" si="19">G129/G$127</f>
        <v>0.47035330380738677</v>
      </c>
      <c r="H135" s="485">
        <f t="shared" si="19"/>
        <v>0.23789233721724051</v>
      </c>
      <c r="I135" s="485">
        <f t="shared" si="19"/>
        <v>-2.7677423388346983E-2</v>
      </c>
    </row>
    <row r="136" spans="3:9" x14ac:dyDescent="0.2">
      <c r="C136" s="1" t="str">
        <f>C130</f>
        <v>Aktive Rechnungsabgrenzungsposten</v>
      </c>
      <c r="G136" s="485">
        <f t="shared" si="19"/>
        <v>6.3727623877307515E-2</v>
      </c>
      <c r="H136" s="485">
        <f t="shared" si="19"/>
        <v>-4.1474797590696846E-2</v>
      </c>
      <c r="I136" s="485">
        <f t="shared" si="19"/>
        <v>-7.1613397380283716E-2</v>
      </c>
    </row>
    <row r="137" spans="3:9" x14ac:dyDescent="0.2">
      <c r="G137" s="485"/>
      <c r="H137" s="485"/>
      <c r="I137" s="485"/>
    </row>
    <row r="138" spans="3:9" x14ac:dyDescent="0.2">
      <c r="C138" s="1" t="str">
        <f>C132</f>
        <v>Sonstige Rückstellungen</v>
      </c>
      <c r="G138" s="485">
        <f t="shared" ref="G138:I139" si="20">G132/G$127</f>
        <v>0.18346666059018335</v>
      </c>
      <c r="H138" s="485">
        <f t="shared" si="20"/>
        <v>2.7384772989554063</v>
      </c>
      <c r="I138" s="485">
        <f t="shared" si="20"/>
        <v>-1.2311126633164873</v>
      </c>
    </row>
    <row r="139" spans="3:9" s="492" customFormat="1" x14ac:dyDescent="0.2">
      <c r="C139" s="492" t="str">
        <f>C133</f>
        <v>Sonstige Verbindlichkeiten</v>
      </c>
      <c r="G139" s="494">
        <f t="shared" si="20"/>
        <v>0.28245241172512209</v>
      </c>
      <c r="H139" s="494">
        <f t="shared" si="20"/>
        <v>-1.9348948385819487</v>
      </c>
      <c r="I139" s="494">
        <f t="shared" si="20"/>
        <v>1.2158645860955037</v>
      </c>
    </row>
    <row r="141" spans="3:9" x14ac:dyDescent="0.2">
      <c r="E141" s="953" t="s">
        <v>5435</v>
      </c>
    </row>
    <row r="142" spans="3:9" x14ac:dyDescent="0.2">
      <c r="C142" s="1" t="s">
        <v>2537</v>
      </c>
      <c r="E142" s="954">
        <v>76000</v>
      </c>
      <c r="F142" s="71">
        <v>76000</v>
      </c>
      <c r="G142" s="71">
        <v>76000</v>
      </c>
      <c r="H142" s="71">
        <v>76000</v>
      </c>
      <c r="I142" s="71">
        <v>76000</v>
      </c>
    </row>
    <row r="143" spans="3:9" x14ac:dyDescent="0.2">
      <c r="C143" s="1" t="s">
        <v>2538</v>
      </c>
      <c r="E143" s="954">
        <v>57840</v>
      </c>
      <c r="F143" s="71">
        <v>57840</v>
      </c>
      <c r="G143" s="71">
        <v>27750</v>
      </c>
      <c r="H143" s="71">
        <v>0</v>
      </c>
      <c r="I143" s="71">
        <v>0</v>
      </c>
    </row>
    <row r="144" spans="3:9" x14ac:dyDescent="0.2">
      <c r="C144" s="1" t="s">
        <v>2539</v>
      </c>
      <c r="E144" s="2">
        <v>0</v>
      </c>
      <c r="F144" s="71">
        <v>36000</v>
      </c>
      <c r="G144" s="71">
        <v>0</v>
      </c>
      <c r="H144" s="71">
        <v>2757</v>
      </c>
      <c r="I144" s="71">
        <v>12530</v>
      </c>
    </row>
    <row r="171" spans="17:18" x14ac:dyDescent="0.2">
      <c r="Q171" s="91"/>
    </row>
    <row r="173" spans="17:18" x14ac:dyDescent="0.2">
      <c r="R173" s="540"/>
    </row>
    <row r="174" spans="17:18" x14ac:dyDescent="0.2">
      <c r="R174" s="540"/>
    </row>
    <row r="175" spans="17:18" x14ac:dyDescent="0.2">
      <c r="R175" s="540"/>
    </row>
    <row r="176" spans="17:18" x14ac:dyDescent="0.2">
      <c r="R176" s="540"/>
    </row>
  </sheetData>
  <conditionalFormatting sqref="A97:I97">
    <cfRule type="containsText" dxfId="215" priority="5" operator="containsText" text="dummy">
      <formula>NOT(ISERROR(SEARCH("dummy",A97)))</formula>
    </cfRule>
  </conditionalFormatting>
  <conditionalFormatting sqref="A1:XFD57 A98:B100 D98:H100 E99:I99 C99:C100 A101:H110 E103:I104 E107:I108 A111:I112 A113:H118 I116:I117">
    <cfRule type="containsText" dxfId="214" priority="12" operator="containsText" text="dummy">
      <formula>NOT(ISERROR(SEARCH("dummy",A1)))</formula>
    </cfRule>
  </conditionalFormatting>
  <conditionalFormatting sqref="C56:H58 A58:B58 C96:O96">
    <cfRule type="containsText" dxfId="213" priority="14" operator="containsText" text="dummy">
      <formula>NOT(ISERROR(SEARCH("dummy",A56)))</formula>
    </cfRule>
  </conditionalFormatting>
  <conditionalFormatting sqref="E93:I93">
    <cfRule type="cellIs" dxfId="212" priority="23" operator="between">
      <formula>-1</formula>
      <formula>1</formula>
    </cfRule>
    <cfRule type="cellIs" dxfId="211" priority="24" operator="lessThan">
      <formula>-1</formula>
    </cfRule>
    <cfRule type="cellIs" dxfId="210" priority="25" operator="greaterThan">
      <formula>1</formula>
    </cfRule>
  </conditionalFormatting>
  <conditionalFormatting sqref="E90:M90">
    <cfRule type="cellIs" dxfId="209" priority="27" operator="between">
      <formula>-1</formula>
      <formula>1</formula>
    </cfRule>
    <cfRule type="cellIs" dxfId="208" priority="28" operator="lessThan">
      <formula>-1</formula>
    </cfRule>
    <cfRule type="cellIs" dxfId="207" priority="29" operator="greaterThan">
      <formula>1</formula>
    </cfRule>
  </conditionalFormatting>
  <conditionalFormatting sqref="G135:I139">
    <cfRule type="colorScale" priority="22">
      <colorScale>
        <cfvo type="min"/>
        <cfvo type="percentile" val="50"/>
        <cfvo type="max"/>
        <color rgb="FFF8696B"/>
        <color rgb="FFFCFCFF"/>
        <color rgb="FF5A8AC6"/>
      </colorScale>
    </cfRule>
  </conditionalFormatting>
  <conditionalFormatting sqref="I56:I114">
    <cfRule type="containsText" dxfId="206" priority="9" operator="containsText" text="dummy">
      <formula>NOT(ISERROR(SEARCH("dummy",I56)))</formula>
    </cfRule>
  </conditionalFormatting>
  <conditionalFormatting sqref="J58:XFD1048576 A59:H86 A119:I1048576 A88:H96 A87:D87">
    <cfRule type="containsText" dxfId="205" priority="6" operator="containsText" text="dummy">
      <formula>NOT(ISERROR(SEARCH("dummy",A58)))</formula>
    </cfRule>
  </conditionalFormatting>
  <conditionalFormatting sqref="H87">
    <cfRule type="containsText" dxfId="3" priority="4" operator="containsText" text="dummy">
      <formula>NOT(ISERROR(SEARCH("dummy",H87)))</formula>
    </cfRule>
  </conditionalFormatting>
  <conditionalFormatting sqref="G87">
    <cfRule type="containsText" dxfId="2" priority="3" operator="containsText" text="dummy">
      <formula>NOT(ISERROR(SEARCH("dummy",G87)))</formula>
    </cfRule>
  </conditionalFormatting>
  <conditionalFormatting sqref="F87">
    <cfRule type="containsText" dxfId="1" priority="2" operator="containsText" text="dummy">
      <formula>NOT(ISERROR(SEARCH("dummy",F87)))</formula>
    </cfRule>
  </conditionalFormatting>
  <conditionalFormatting sqref="E87">
    <cfRule type="containsText" dxfId="0" priority="1" operator="containsText" text="dummy">
      <formula>NOT(ISERROR(SEARCH("dummy",E87)))</formula>
    </cfRule>
  </conditionalFormatting>
  <pageMargins left="0.7" right="0.7" top="0.78740157499999996" bottom="0.78740157499999996" header="0.3" footer="0.3"/>
  <pageSetup paperSize="9" scale="62" orientation="portrait" r:id="rId1"/>
  <customProperties>
    <customPr name="AreLinksHighlighted" r:id="rId2"/>
  </customPropertie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186BD6E4-838C-4831-A69D-BF56BE5F8C93}">
          <x14:formula1>
            <xm:f>'Trial Balance Dropdown'!$C$2:$C$300</xm:f>
          </x14:formula1>
          <xm:sqref>P66:P68 P54:P59 P46:P50</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901E5-8057-4D7C-9F2A-C8732461BCA0}">
  <sheetPr>
    <tabColor rgb="FF7030A0"/>
  </sheetPr>
  <dimension ref="A1:Q176"/>
  <sheetViews>
    <sheetView workbookViewId="0"/>
  </sheetViews>
  <sheetFormatPr defaultColWidth="11.42578125" defaultRowHeight="12.75" outlineLevelRow="1" x14ac:dyDescent="0.2"/>
  <cols>
    <col min="1" max="1" width="9.5703125" style="813" bestFit="1" customWidth="1"/>
    <col min="2" max="2" width="47.7109375" style="813" customWidth="1"/>
    <col min="3" max="3" width="3.7109375" style="813" customWidth="1"/>
    <col min="4" max="4" width="12.42578125" style="813" customWidth="1"/>
    <col min="5" max="5" width="9.140625" style="813" customWidth="1"/>
    <col min="6" max="6" width="3.85546875" style="813" customWidth="1"/>
    <col min="7" max="7" width="11.42578125" style="815" customWidth="1"/>
    <col min="8" max="8" width="3.7109375" style="813" customWidth="1"/>
    <col min="9" max="10" width="14.28515625" style="813" customWidth="1" collapsed="1"/>
    <col min="11" max="11" width="14.28515625" style="813" customWidth="1"/>
    <col min="12" max="12" width="14.5703125" style="813" customWidth="1" collapsed="1"/>
    <col min="13" max="14" width="14.85546875" style="813" customWidth="1" collapsed="1"/>
    <col min="15" max="15" width="50.7109375" style="816" bestFit="1" customWidth="1"/>
    <col min="16" max="16" width="41.28515625" style="816" customWidth="1"/>
    <col min="17" max="16384" width="11.42578125" style="813"/>
  </cols>
  <sheetData>
    <row r="1" spans="1:16" s="812" customFormat="1" ht="21.75" customHeight="1" x14ac:dyDescent="0.25">
      <c r="A1" s="807"/>
      <c r="B1" s="808" t="s">
        <v>5379</v>
      </c>
      <c r="C1" s="809"/>
      <c r="D1" s="809"/>
      <c r="E1" s="808"/>
      <c r="F1" s="809"/>
      <c r="G1" s="810"/>
      <c r="H1" s="809"/>
      <c r="I1" s="1004" t="s">
        <v>5380</v>
      </c>
      <c r="J1" s="1004"/>
      <c r="K1" s="1004"/>
      <c r="L1" s="1004"/>
      <c r="M1" s="1004"/>
      <c r="N1" s="1005"/>
      <c r="O1" s="811"/>
      <c r="P1" s="811"/>
    </row>
    <row r="2" spans="1:16" x14ac:dyDescent="0.2">
      <c r="B2" s="814" t="s">
        <v>5381</v>
      </c>
    </row>
    <row r="3" spans="1:16" x14ac:dyDescent="0.2">
      <c r="L3" s="817"/>
      <c r="M3" s="818"/>
      <c r="N3" s="818"/>
    </row>
    <row r="4" spans="1:16" ht="12.75" hidden="1" customHeight="1" x14ac:dyDescent="0.2">
      <c r="A4" s="819"/>
      <c r="B4" s="820"/>
      <c r="I4" s="821"/>
      <c r="J4" s="821"/>
      <c r="K4" s="821"/>
      <c r="L4" s="821"/>
      <c r="M4" s="821"/>
      <c r="N4" s="821"/>
    </row>
    <row r="5" spans="1:16" ht="14.45" customHeight="1" x14ac:dyDescent="0.2">
      <c r="A5" s="1006" t="s">
        <v>5382</v>
      </c>
      <c r="B5" s="1008" t="s">
        <v>5383</v>
      </c>
      <c r="C5" s="822"/>
      <c r="D5" s="1010" t="s">
        <v>296</v>
      </c>
      <c r="E5" s="1012" t="s">
        <v>5384</v>
      </c>
      <c r="F5" s="822"/>
      <c r="G5" s="1013" t="s">
        <v>5385</v>
      </c>
      <c r="H5" s="822"/>
      <c r="I5" s="823" t="s">
        <v>5386</v>
      </c>
      <c r="J5" s="824" t="s">
        <v>5386</v>
      </c>
      <c r="K5" s="824" t="s">
        <v>5386</v>
      </c>
      <c r="L5" s="824" t="s">
        <v>5386</v>
      </c>
      <c r="M5" s="824" t="s">
        <v>5386</v>
      </c>
      <c r="N5" s="824" t="s">
        <v>5387</v>
      </c>
    </row>
    <row r="6" spans="1:16" ht="24" customHeight="1" x14ac:dyDescent="0.2">
      <c r="A6" s="1007"/>
      <c r="B6" s="1009"/>
      <c r="C6" s="822"/>
      <c r="D6" s="1011"/>
      <c r="E6" s="1011"/>
      <c r="F6" s="822"/>
      <c r="G6" s="1014"/>
      <c r="H6" s="821"/>
      <c r="I6" s="825">
        <v>44196</v>
      </c>
      <c r="J6" s="825">
        <v>44561</v>
      </c>
      <c r="K6" s="825">
        <v>44926</v>
      </c>
      <c r="L6" s="825">
        <v>45291</v>
      </c>
      <c r="M6" s="825">
        <v>45657</v>
      </c>
      <c r="N6" s="825">
        <v>46022</v>
      </c>
      <c r="O6" s="826"/>
      <c r="P6" s="826"/>
    </row>
    <row r="7" spans="1:16" s="818" customFormat="1" x14ac:dyDescent="0.2">
      <c r="A7" s="827"/>
      <c r="B7" s="828"/>
      <c r="C7" s="829"/>
      <c r="D7" s="830"/>
      <c r="E7" s="831"/>
      <c r="F7" s="829"/>
      <c r="G7" s="827"/>
      <c r="H7" s="829"/>
      <c r="I7" s="832"/>
      <c r="J7" s="832"/>
      <c r="K7" s="832"/>
      <c r="L7" s="832"/>
      <c r="M7" s="832"/>
      <c r="N7" s="832"/>
      <c r="O7" s="826"/>
      <c r="P7" s="826"/>
    </row>
    <row r="8" spans="1:16" s="818" customFormat="1" x14ac:dyDescent="0.2">
      <c r="A8" s="827"/>
      <c r="B8" s="833" t="s">
        <v>323</v>
      </c>
      <c r="C8" s="829"/>
      <c r="D8" s="830"/>
      <c r="E8" s="831"/>
      <c r="F8" s="829"/>
      <c r="G8" s="827"/>
      <c r="H8" s="829"/>
      <c r="I8" s="832">
        <f t="shared" ref="I8:N8" si="0">SUM(I9:I10)</f>
        <v>19168</v>
      </c>
      <c r="J8" s="832">
        <f t="shared" si="0"/>
        <v>12166</v>
      </c>
      <c r="K8" s="832">
        <f t="shared" si="0"/>
        <v>6154</v>
      </c>
      <c r="L8" s="832">
        <f t="shared" si="0"/>
        <v>3606</v>
      </c>
      <c r="M8" s="832">
        <f t="shared" si="0"/>
        <v>204276.17</v>
      </c>
      <c r="N8" s="832">
        <f t="shared" si="0"/>
        <v>666003.27</v>
      </c>
      <c r="O8" s="826"/>
      <c r="P8" s="826"/>
    </row>
    <row r="9" spans="1:16" s="818" customFormat="1" x14ac:dyDescent="0.2">
      <c r="A9" s="827">
        <v>48</v>
      </c>
      <c r="B9" s="834" t="s">
        <v>4491</v>
      </c>
      <c r="C9" s="829"/>
      <c r="D9" s="830"/>
      <c r="E9" s="831"/>
      <c r="F9" s="829"/>
      <c r="G9" s="827"/>
      <c r="H9" s="829"/>
      <c r="I9" s="835"/>
      <c r="J9" s="835"/>
      <c r="K9" s="835"/>
      <c r="L9" s="835"/>
      <c r="M9" s="835">
        <v>203167.17</v>
      </c>
      <c r="N9" s="835">
        <v>665996.27</v>
      </c>
      <c r="O9" s="826"/>
      <c r="P9" s="826"/>
    </row>
    <row r="10" spans="1:16" s="818" customFormat="1" ht="51" outlineLevel="1" x14ac:dyDescent="0.2">
      <c r="A10" s="827">
        <v>27</v>
      </c>
      <c r="B10" s="836" t="s">
        <v>5388</v>
      </c>
      <c r="C10" s="829"/>
      <c r="D10" s="830"/>
      <c r="E10" s="831"/>
      <c r="F10" s="829"/>
      <c r="G10" s="827"/>
      <c r="H10" s="829"/>
      <c r="I10" s="835">
        <v>19168</v>
      </c>
      <c r="J10" s="835">
        <v>12166</v>
      </c>
      <c r="K10" s="835">
        <v>6154</v>
      </c>
      <c r="L10" s="835">
        <v>3606</v>
      </c>
      <c r="M10" s="835">
        <v>1109</v>
      </c>
      <c r="N10" s="835">
        <v>7</v>
      </c>
      <c r="O10" s="826"/>
      <c r="P10" s="826"/>
    </row>
    <row r="11" spans="1:16" s="818" customFormat="1" x14ac:dyDescent="0.2">
      <c r="A11" s="827"/>
      <c r="B11" s="828"/>
      <c r="C11" s="829"/>
      <c r="D11" s="830"/>
      <c r="E11" s="831"/>
      <c r="F11" s="829"/>
      <c r="G11" s="827"/>
      <c r="H11" s="829"/>
      <c r="I11" s="835"/>
      <c r="J11" s="835"/>
      <c r="K11" s="835"/>
      <c r="L11" s="835"/>
      <c r="M11" s="835"/>
      <c r="N11" s="835"/>
      <c r="O11" s="826"/>
      <c r="P11" s="826"/>
    </row>
    <row r="12" spans="1:16" s="838" customFormat="1" x14ac:dyDescent="0.2">
      <c r="A12" s="827"/>
      <c r="B12" s="833" t="s">
        <v>321</v>
      </c>
      <c r="C12" s="829"/>
      <c r="D12" s="830"/>
      <c r="E12" s="831"/>
      <c r="F12" s="829"/>
      <c r="G12" s="837"/>
      <c r="H12" s="829"/>
      <c r="I12" s="832">
        <f t="shared" ref="I12:N12" si="1">SUM(I13:I19)</f>
        <v>766992</v>
      </c>
      <c r="J12" s="832">
        <f t="shared" si="1"/>
        <v>994908</v>
      </c>
      <c r="K12" s="832">
        <f t="shared" si="1"/>
        <v>980837</v>
      </c>
      <c r="L12" s="832">
        <f t="shared" si="1"/>
        <v>715176</v>
      </c>
      <c r="M12" s="832">
        <f t="shared" si="1"/>
        <v>826464</v>
      </c>
      <c r="N12" s="832">
        <f t="shared" si="1"/>
        <v>600385</v>
      </c>
      <c r="O12" s="814"/>
      <c r="P12" s="814"/>
    </row>
    <row r="13" spans="1:16" s="838" customFormat="1" outlineLevel="1" x14ac:dyDescent="0.2">
      <c r="A13" s="827">
        <v>210</v>
      </c>
      <c r="B13" s="828" t="s">
        <v>4492</v>
      </c>
      <c r="C13" s="829"/>
      <c r="D13" s="830"/>
      <c r="E13" s="831"/>
      <c r="F13" s="829"/>
      <c r="G13" s="837"/>
      <c r="H13" s="829"/>
      <c r="I13" s="835">
        <v>2</v>
      </c>
      <c r="J13" s="835">
        <v>1</v>
      </c>
      <c r="K13" s="835">
        <v>1</v>
      </c>
      <c r="L13" s="835">
        <v>1</v>
      </c>
      <c r="M13" s="835">
        <v>1</v>
      </c>
      <c r="N13" s="835">
        <v>1</v>
      </c>
      <c r="O13" s="814"/>
      <c r="P13" s="814"/>
    </row>
    <row r="14" spans="1:16" s="838" customFormat="1" outlineLevel="1" x14ac:dyDescent="0.2">
      <c r="A14" s="827">
        <v>400</v>
      </c>
      <c r="B14" s="828" t="s">
        <v>4493</v>
      </c>
      <c r="C14" s="829"/>
      <c r="D14" s="830"/>
      <c r="E14" s="831"/>
      <c r="F14" s="829"/>
      <c r="G14" s="837"/>
      <c r="H14" s="829"/>
      <c r="I14" s="835">
        <v>165073</v>
      </c>
      <c r="J14" s="835">
        <v>193827</v>
      </c>
      <c r="K14" s="835">
        <v>279546</v>
      </c>
      <c r="L14" s="835">
        <v>243990</v>
      </c>
      <c r="M14" s="835">
        <v>303552</v>
      </c>
      <c r="N14" s="835">
        <v>288717</v>
      </c>
      <c r="O14" s="814"/>
      <c r="P14" s="814"/>
    </row>
    <row r="15" spans="1:16" s="838" customFormat="1" outlineLevel="1" x14ac:dyDescent="0.2">
      <c r="A15" s="827">
        <v>440</v>
      </c>
      <c r="B15" s="828" t="s">
        <v>4494</v>
      </c>
      <c r="C15" s="829"/>
      <c r="D15" s="830"/>
      <c r="E15" s="831"/>
      <c r="F15" s="829"/>
      <c r="G15" s="837"/>
      <c r="H15" s="829"/>
      <c r="I15" s="835">
        <v>88778</v>
      </c>
      <c r="J15" s="835">
        <v>96182</v>
      </c>
      <c r="K15" s="835">
        <v>66023</v>
      </c>
      <c r="L15" s="835">
        <v>45408</v>
      </c>
      <c r="M15" s="835">
        <v>36265</v>
      </c>
      <c r="N15" s="835">
        <v>27327</v>
      </c>
      <c r="O15" s="814"/>
      <c r="P15" s="814"/>
    </row>
    <row r="16" spans="1:16" s="838" customFormat="1" outlineLevel="1" x14ac:dyDescent="0.2">
      <c r="A16" s="827">
        <v>490</v>
      </c>
      <c r="B16" s="828" t="s">
        <v>4496</v>
      </c>
      <c r="C16" s="829"/>
      <c r="D16" s="830"/>
      <c r="E16" s="831"/>
      <c r="F16" s="829"/>
      <c r="G16" s="837"/>
      <c r="H16" s="829"/>
      <c r="I16" s="835">
        <v>443139</v>
      </c>
      <c r="J16" s="835">
        <v>599898</v>
      </c>
      <c r="K16" s="835">
        <v>623267</v>
      </c>
      <c r="L16" s="835">
        <v>425777</v>
      </c>
      <c r="M16" s="835">
        <v>486646</v>
      </c>
      <c r="N16" s="835">
        <v>284340</v>
      </c>
      <c r="O16" s="814"/>
      <c r="P16" s="814"/>
    </row>
    <row r="17" spans="1:16" s="838" customFormat="1" outlineLevel="1" x14ac:dyDescent="0.2">
      <c r="A17" s="827">
        <v>299</v>
      </c>
      <c r="B17" s="828" t="s">
        <v>5389</v>
      </c>
      <c r="C17" s="829"/>
      <c r="D17" s="830"/>
      <c r="E17" s="831"/>
      <c r="F17" s="829"/>
      <c r="G17" s="837"/>
      <c r="H17" s="829"/>
      <c r="I17" s="835">
        <v>70000</v>
      </c>
      <c r="J17" s="835">
        <v>105000</v>
      </c>
      <c r="K17" s="835"/>
      <c r="L17" s="835"/>
      <c r="M17" s="835"/>
      <c r="N17" s="835"/>
      <c r="O17" s="814"/>
      <c r="P17" s="814"/>
    </row>
    <row r="18" spans="1:16" s="838" customFormat="1" outlineLevel="1" x14ac:dyDescent="0.2">
      <c r="A18" s="827">
        <v>499</v>
      </c>
      <c r="B18" s="828" t="s">
        <v>5390</v>
      </c>
      <c r="C18" s="829"/>
      <c r="D18" s="830"/>
      <c r="E18" s="831"/>
      <c r="F18" s="829"/>
      <c r="G18" s="837"/>
      <c r="H18" s="829"/>
      <c r="I18" s="835"/>
      <c r="J18" s="835"/>
      <c r="K18" s="835">
        <v>12000</v>
      </c>
      <c r="L18" s="835">
        <v>0</v>
      </c>
      <c r="M18" s="835">
        <v>0</v>
      </c>
      <c r="N18" s="835">
        <v>0</v>
      </c>
      <c r="O18" s="814"/>
      <c r="P18" s="814"/>
    </row>
    <row r="19" spans="1:16" s="838" customFormat="1" x14ac:dyDescent="0.2">
      <c r="A19" s="827"/>
      <c r="B19" s="828"/>
      <c r="C19" s="829"/>
      <c r="D19" s="830"/>
      <c r="E19" s="831"/>
      <c r="F19" s="829"/>
      <c r="G19" s="837"/>
      <c r="H19" s="829"/>
      <c r="I19" s="835"/>
      <c r="J19" s="835"/>
      <c r="K19" s="835"/>
      <c r="L19" s="835"/>
      <c r="M19" s="835"/>
      <c r="N19" s="835"/>
      <c r="O19" s="814"/>
      <c r="P19" s="814"/>
    </row>
    <row r="20" spans="1:16" s="838" customFormat="1" x14ac:dyDescent="0.2">
      <c r="A20" s="827"/>
      <c r="B20" s="833" t="s">
        <v>319</v>
      </c>
      <c r="C20" s="839"/>
      <c r="D20" s="840"/>
      <c r="E20" s="841"/>
      <c r="F20" s="829"/>
      <c r="G20" s="837"/>
      <c r="H20" s="829"/>
      <c r="I20" s="832">
        <f t="shared" ref="I20:N20" si="2">SUM(I21:I22)</f>
        <v>0</v>
      </c>
      <c r="J20" s="832">
        <f t="shared" si="2"/>
        <v>39920</v>
      </c>
      <c r="K20" s="832">
        <f t="shared" si="2"/>
        <v>206894.12</v>
      </c>
      <c r="L20" s="832">
        <f t="shared" si="2"/>
        <v>182178.91</v>
      </c>
      <c r="M20" s="832">
        <f t="shared" si="2"/>
        <v>75425.62</v>
      </c>
      <c r="N20" s="832">
        <f t="shared" si="2"/>
        <v>121965.62</v>
      </c>
      <c r="O20" s="814"/>
      <c r="P20" s="814"/>
    </row>
    <row r="21" spans="1:16" s="838" customFormat="1" outlineLevel="1" x14ac:dyDescent="0.2">
      <c r="A21" s="827">
        <v>525</v>
      </c>
      <c r="B21" s="842" t="s">
        <v>4497</v>
      </c>
      <c r="C21" s="829"/>
      <c r="D21" s="830"/>
      <c r="E21" s="831">
        <v>1</v>
      </c>
      <c r="F21" s="829"/>
      <c r="G21" s="843" t="s">
        <v>5391</v>
      </c>
      <c r="H21" s="829"/>
      <c r="I21" s="835"/>
      <c r="J21" s="835">
        <v>39920</v>
      </c>
      <c r="K21" s="835">
        <v>206894.12</v>
      </c>
      <c r="L21" s="835">
        <v>181978.91</v>
      </c>
      <c r="M21" s="835">
        <v>75225.62</v>
      </c>
      <c r="N21" s="835">
        <v>121765.62</v>
      </c>
      <c r="O21" s="826"/>
      <c r="P21" s="814"/>
    </row>
    <row r="22" spans="1:16" s="838" customFormat="1" outlineLevel="1" x14ac:dyDescent="0.2">
      <c r="A22" s="827">
        <v>570</v>
      </c>
      <c r="B22" s="844" t="s">
        <v>4498</v>
      </c>
      <c r="C22" s="829"/>
      <c r="D22" s="830"/>
      <c r="E22" s="831">
        <v>1</v>
      </c>
      <c r="F22" s="829"/>
      <c r="G22" s="843" t="s">
        <v>5391</v>
      </c>
      <c r="H22" s="829"/>
      <c r="I22" s="835"/>
      <c r="J22" s="835"/>
      <c r="K22" s="835">
        <v>0</v>
      </c>
      <c r="L22" s="835">
        <v>200</v>
      </c>
      <c r="M22" s="835">
        <v>200</v>
      </c>
      <c r="N22" s="835">
        <v>200</v>
      </c>
      <c r="O22" s="814"/>
      <c r="P22" s="814"/>
    </row>
    <row r="23" spans="1:16" s="838" customFormat="1" x14ac:dyDescent="0.2">
      <c r="A23" s="827"/>
      <c r="B23" s="828"/>
      <c r="C23" s="829"/>
      <c r="D23" s="830"/>
      <c r="E23" s="831"/>
      <c r="F23" s="829"/>
      <c r="G23" s="837"/>
      <c r="H23" s="829"/>
      <c r="I23" s="835"/>
      <c r="J23" s="835"/>
      <c r="K23" s="835"/>
      <c r="L23" s="835"/>
      <c r="M23" s="835"/>
      <c r="N23" s="835"/>
      <c r="O23" s="814"/>
      <c r="P23" s="814"/>
    </row>
    <row r="24" spans="1:16" s="838" customFormat="1" x14ac:dyDescent="0.2">
      <c r="A24" s="827"/>
      <c r="B24" s="833" t="s">
        <v>315</v>
      </c>
      <c r="C24" s="829"/>
      <c r="D24" s="830"/>
      <c r="E24" s="831"/>
      <c r="F24" s="829"/>
      <c r="G24" s="837"/>
      <c r="H24" s="829"/>
      <c r="I24" s="832">
        <f t="shared" ref="I24:N24" si="3">SUM(I25:I32)</f>
        <v>1654030.58</v>
      </c>
      <c r="J24" s="832">
        <f t="shared" si="3"/>
        <v>1602811.25</v>
      </c>
      <c r="K24" s="832">
        <f t="shared" si="3"/>
        <v>1903401.08</v>
      </c>
      <c r="L24" s="832">
        <f t="shared" si="3"/>
        <v>2602108.65</v>
      </c>
      <c r="M24" s="832">
        <f t="shared" si="3"/>
        <v>3805883.64</v>
      </c>
      <c r="N24" s="832">
        <f t="shared" si="3"/>
        <v>2912686.56</v>
      </c>
      <c r="O24" s="826"/>
      <c r="P24" s="826"/>
    </row>
    <row r="25" spans="1:16" s="838" customFormat="1" outlineLevel="1" x14ac:dyDescent="0.2">
      <c r="A25" s="827">
        <v>3970</v>
      </c>
      <c r="B25" s="828" t="s">
        <v>4588</v>
      </c>
      <c r="C25" s="829"/>
      <c r="D25" s="830">
        <v>1</v>
      </c>
      <c r="E25" s="831"/>
      <c r="F25" s="829"/>
      <c r="G25" s="845" t="s">
        <v>5392</v>
      </c>
      <c r="H25" s="829"/>
      <c r="I25" s="835">
        <v>826802.58</v>
      </c>
      <c r="J25" s="835">
        <v>725250.34</v>
      </c>
      <c r="K25" s="835">
        <v>874954.12</v>
      </c>
      <c r="L25" s="835">
        <v>1132347.71</v>
      </c>
      <c r="M25" s="846">
        <v>1243325.5</v>
      </c>
      <c r="N25" s="846">
        <v>955213.3</v>
      </c>
      <c r="O25" s="826"/>
      <c r="P25" s="826"/>
    </row>
    <row r="26" spans="1:16" s="838" customFormat="1" outlineLevel="1" x14ac:dyDescent="0.2">
      <c r="A26" s="827">
        <v>7050</v>
      </c>
      <c r="B26" s="828" t="s">
        <v>4702</v>
      </c>
      <c r="C26" s="829"/>
      <c r="D26" s="830">
        <v>1</v>
      </c>
      <c r="E26" s="831"/>
      <c r="F26" s="829"/>
      <c r="G26" s="845" t="s">
        <v>5392</v>
      </c>
      <c r="H26" s="829"/>
      <c r="I26" s="835">
        <v>626544.54</v>
      </c>
      <c r="J26" s="835">
        <v>15942.3</v>
      </c>
      <c r="K26" s="835">
        <v>31922.95</v>
      </c>
      <c r="L26" s="835">
        <v>143733.26999999999</v>
      </c>
      <c r="M26" s="846">
        <v>36760.67</v>
      </c>
      <c r="N26" s="846">
        <v>69605.570000000007</v>
      </c>
      <c r="O26" s="826"/>
      <c r="P26" s="814"/>
    </row>
    <row r="27" spans="1:16" s="838" customFormat="1" outlineLevel="1" x14ac:dyDescent="0.2">
      <c r="A27" s="827">
        <v>3980</v>
      </c>
      <c r="B27" s="828" t="s">
        <v>4589</v>
      </c>
      <c r="C27" s="829"/>
      <c r="D27" s="830">
        <v>1</v>
      </c>
      <c r="E27" s="831"/>
      <c r="F27" s="829"/>
      <c r="G27" s="845" t="s">
        <v>5392</v>
      </c>
      <c r="H27" s="829"/>
      <c r="I27" s="835">
        <v>200683.46</v>
      </c>
      <c r="J27" s="835">
        <v>307175.65999999997</v>
      </c>
      <c r="K27" s="835">
        <v>490341.66</v>
      </c>
      <c r="L27" s="835">
        <v>732078.51</v>
      </c>
      <c r="M27" s="846">
        <v>1474080.57</v>
      </c>
      <c r="N27" s="846">
        <v>642805.53</v>
      </c>
      <c r="O27" s="826"/>
      <c r="P27" s="814"/>
    </row>
    <row r="28" spans="1:16" s="838" customFormat="1" outlineLevel="1" x14ac:dyDescent="0.2">
      <c r="A28" s="827">
        <v>7100</v>
      </c>
      <c r="B28" s="828" t="s">
        <v>4703</v>
      </c>
      <c r="C28" s="829"/>
      <c r="D28" s="830">
        <v>1</v>
      </c>
      <c r="E28" s="831"/>
      <c r="F28" s="829"/>
      <c r="G28" s="845" t="s">
        <v>5392</v>
      </c>
      <c r="H28" s="829"/>
      <c r="I28" s="835"/>
      <c r="J28" s="835">
        <v>814442.95</v>
      </c>
      <c r="K28" s="835">
        <v>506182.35</v>
      </c>
      <c r="L28" s="835">
        <v>593949.16</v>
      </c>
      <c r="M28" s="846">
        <v>1051716.8999999999</v>
      </c>
      <c r="N28" s="846">
        <v>1245062.1599999999</v>
      </c>
      <c r="O28" s="826"/>
      <c r="P28" s="814"/>
    </row>
    <row r="29" spans="1:16" s="838" customFormat="1" outlineLevel="1" x14ac:dyDescent="0.2">
      <c r="A29" s="827">
        <v>1518</v>
      </c>
      <c r="B29" s="828" t="s">
        <v>4520</v>
      </c>
      <c r="C29" s="829"/>
      <c r="D29" s="830">
        <v>1</v>
      </c>
      <c r="E29" s="831"/>
      <c r="F29" s="829"/>
      <c r="G29" s="845" t="s">
        <v>5392</v>
      </c>
      <c r="H29" s="829"/>
      <c r="I29" s="835"/>
      <c r="J29" s="835">
        <v>0</v>
      </c>
      <c r="K29" s="835">
        <v>50000</v>
      </c>
      <c r="L29" s="835">
        <v>50000</v>
      </c>
      <c r="M29" s="846">
        <v>50000</v>
      </c>
      <c r="N29" s="846">
        <v>0</v>
      </c>
      <c r="O29" s="814"/>
      <c r="P29" s="814"/>
    </row>
    <row r="30" spans="1:16" s="838" customFormat="1" outlineLevel="1" x14ac:dyDescent="0.2">
      <c r="A30" s="827">
        <v>1710</v>
      </c>
      <c r="B30" s="828" t="s">
        <v>5393</v>
      </c>
      <c r="C30" s="829"/>
      <c r="D30" s="830">
        <v>1</v>
      </c>
      <c r="E30" s="831"/>
      <c r="F30" s="829"/>
      <c r="G30" s="845" t="s">
        <v>5392</v>
      </c>
      <c r="H30" s="829"/>
      <c r="I30" s="835"/>
      <c r="J30" s="835">
        <v>-260000</v>
      </c>
      <c r="K30" s="835"/>
      <c r="L30" s="835"/>
      <c r="M30" s="846"/>
      <c r="N30" s="846">
        <v>0</v>
      </c>
      <c r="O30" s="814"/>
      <c r="P30" s="814"/>
    </row>
    <row r="31" spans="1:16" s="838" customFormat="1" outlineLevel="1" x14ac:dyDescent="0.2">
      <c r="A31" s="827">
        <v>1718</v>
      </c>
      <c r="B31" s="828" t="s">
        <v>4534</v>
      </c>
      <c r="C31" s="829"/>
      <c r="D31" s="830">
        <v>1</v>
      </c>
      <c r="E31" s="831"/>
      <c r="F31" s="829"/>
      <c r="G31" s="845" t="s">
        <v>5392</v>
      </c>
      <c r="H31" s="829"/>
      <c r="I31" s="835"/>
      <c r="J31" s="835">
        <v>0</v>
      </c>
      <c r="K31" s="835">
        <v>-50000</v>
      </c>
      <c r="L31" s="835">
        <v>-50000</v>
      </c>
      <c r="M31" s="835">
        <v>-50000</v>
      </c>
      <c r="N31" s="835">
        <v>0</v>
      </c>
      <c r="O31" s="814"/>
      <c r="P31" s="814"/>
    </row>
    <row r="32" spans="1:16" s="838" customFormat="1" x14ac:dyDescent="0.2">
      <c r="A32" s="827"/>
      <c r="B32" s="833"/>
      <c r="C32" s="829"/>
      <c r="D32" s="830"/>
      <c r="E32" s="831"/>
      <c r="F32" s="829"/>
      <c r="G32" s="827"/>
      <c r="H32" s="829"/>
      <c r="I32" s="832"/>
      <c r="J32" s="832"/>
      <c r="K32" s="832"/>
      <c r="L32" s="832"/>
      <c r="M32" s="832"/>
      <c r="N32" s="832"/>
      <c r="O32" s="814"/>
      <c r="P32" s="814"/>
    </row>
    <row r="33" spans="1:16" s="838" customFormat="1" x14ac:dyDescent="0.2">
      <c r="A33" s="827"/>
      <c r="B33" s="833" t="s">
        <v>5394</v>
      </c>
      <c r="C33" s="829"/>
      <c r="D33" s="830"/>
      <c r="E33" s="831"/>
      <c r="F33" s="829"/>
      <c r="G33" s="827"/>
      <c r="H33" s="829"/>
      <c r="I33" s="832">
        <f t="shared" ref="I33:N33" si="4">SUM(I34:I36)</f>
        <v>1403217.26</v>
      </c>
      <c r="J33" s="832">
        <f t="shared" si="4"/>
        <v>1073057.1499999999</v>
      </c>
      <c r="K33" s="832">
        <f t="shared" si="4"/>
        <v>1780656.07</v>
      </c>
      <c r="L33" s="832">
        <f t="shared" si="4"/>
        <v>1600819.99</v>
      </c>
      <c r="M33" s="832">
        <f t="shared" si="4"/>
        <v>2003512.98</v>
      </c>
      <c r="N33" s="832">
        <f t="shared" si="4"/>
        <v>1415654.21</v>
      </c>
      <c r="O33" s="826"/>
      <c r="P33" s="814"/>
    </row>
    <row r="34" spans="1:16" s="838" customFormat="1" outlineLevel="1" x14ac:dyDescent="0.2">
      <c r="A34" s="827">
        <v>996</v>
      </c>
      <c r="B34" s="828" t="s">
        <v>4510</v>
      </c>
      <c r="C34" s="829"/>
      <c r="D34" s="830">
        <v>1</v>
      </c>
      <c r="E34" s="831"/>
      <c r="F34" s="829"/>
      <c r="G34" s="845" t="s">
        <v>5392</v>
      </c>
      <c r="H34" s="829"/>
      <c r="I34" s="835">
        <v>-12302</v>
      </c>
      <c r="J34" s="835">
        <v>-9560</v>
      </c>
      <c r="K34" s="835">
        <v>-16704</v>
      </c>
      <c r="L34" s="835">
        <v>-15012</v>
      </c>
      <c r="M34" s="846">
        <v>-18893</v>
      </c>
      <c r="N34" s="846">
        <v>-13350</v>
      </c>
      <c r="O34" s="814"/>
      <c r="P34" s="814"/>
    </row>
    <row r="35" spans="1:16" s="838" customFormat="1" outlineLevel="1" x14ac:dyDescent="0.2">
      <c r="A35" s="827">
        <v>998</v>
      </c>
      <c r="B35" s="828" t="s">
        <v>4511</v>
      </c>
      <c r="C35" s="829"/>
      <c r="D35" s="830">
        <v>1</v>
      </c>
      <c r="E35" s="831"/>
      <c r="F35" s="829"/>
      <c r="G35" s="845" t="s">
        <v>5392</v>
      </c>
      <c r="H35" s="829"/>
      <c r="I35" s="835">
        <v>-18010</v>
      </c>
      <c r="J35" s="835">
        <v>-4784</v>
      </c>
      <c r="K35" s="835">
        <v>-6300</v>
      </c>
      <c r="L35" s="835">
        <v>-27177</v>
      </c>
      <c r="M35" s="846">
        <v>0</v>
      </c>
      <c r="N35" s="846">
        <v>0</v>
      </c>
      <c r="O35" s="814"/>
      <c r="P35" s="814"/>
    </row>
    <row r="36" spans="1:16" s="838" customFormat="1" outlineLevel="1" x14ac:dyDescent="0.2">
      <c r="A36" s="827">
        <v>1400</v>
      </c>
      <c r="B36" s="828" t="s">
        <v>4518</v>
      </c>
      <c r="C36" s="829"/>
      <c r="D36" s="830">
        <v>1</v>
      </c>
      <c r="E36" s="831"/>
      <c r="F36" s="829"/>
      <c r="G36" s="845" t="s">
        <v>5392</v>
      </c>
      <c r="H36" s="829"/>
      <c r="I36" s="835">
        <v>1433529.26</v>
      </c>
      <c r="J36" s="835">
        <v>1087401.1499999999</v>
      </c>
      <c r="K36" s="835">
        <v>1803660.07</v>
      </c>
      <c r="L36" s="835">
        <v>1643008.99</v>
      </c>
      <c r="M36" s="835">
        <v>2022405.98</v>
      </c>
      <c r="N36" s="835">
        <v>1429004.21</v>
      </c>
      <c r="O36" s="814"/>
      <c r="P36" s="814"/>
    </row>
    <row r="37" spans="1:16" s="838" customFormat="1" x14ac:dyDescent="0.2">
      <c r="A37" s="827"/>
      <c r="B37" s="833"/>
      <c r="C37" s="829"/>
      <c r="D37" s="830"/>
      <c r="E37" s="831"/>
      <c r="F37" s="829"/>
      <c r="G37" s="837"/>
      <c r="H37" s="829"/>
      <c r="I37" s="832"/>
      <c r="J37" s="832"/>
      <c r="K37" s="832"/>
      <c r="L37" s="832"/>
      <c r="M37" s="832"/>
      <c r="N37" s="832"/>
      <c r="O37" s="814"/>
      <c r="P37" s="814"/>
    </row>
    <row r="38" spans="1:16" s="838" customFormat="1" x14ac:dyDescent="0.2">
      <c r="A38" s="827"/>
      <c r="B38" s="833" t="s">
        <v>308</v>
      </c>
      <c r="C38" s="829"/>
      <c r="D38" s="830"/>
      <c r="E38" s="831"/>
      <c r="F38" s="829"/>
      <c r="G38" s="837"/>
      <c r="H38" s="829"/>
      <c r="I38" s="832">
        <f t="shared" ref="I38:N38" si="5">SUM(I39:I50)</f>
        <v>178259.12</v>
      </c>
      <c r="J38" s="832">
        <f t="shared" si="5"/>
        <v>421003.92000000004</v>
      </c>
      <c r="K38" s="832">
        <f t="shared" si="5"/>
        <v>33436.46</v>
      </c>
      <c r="L38" s="832">
        <f t="shared" si="5"/>
        <v>301293.82999999996</v>
      </c>
      <c r="M38" s="832">
        <f t="shared" si="5"/>
        <v>423702.84</v>
      </c>
      <c r="N38" s="832">
        <f t="shared" si="5"/>
        <v>309091.84000000003</v>
      </c>
      <c r="O38" s="814"/>
      <c r="P38" s="814"/>
    </row>
    <row r="39" spans="1:16" s="838" customFormat="1" outlineLevel="1" x14ac:dyDescent="0.2">
      <c r="A39" s="827">
        <v>1500</v>
      </c>
      <c r="B39" s="828" t="s">
        <v>308</v>
      </c>
      <c r="C39" s="829"/>
      <c r="D39" s="830"/>
      <c r="E39" s="831">
        <v>1</v>
      </c>
      <c r="F39" s="829"/>
      <c r="G39" s="843" t="s">
        <v>5391</v>
      </c>
      <c r="H39" s="829"/>
      <c r="I39" s="835">
        <v>1159</v>
      </c>
      <c r="J39" s="835">
        <v>914.03</v>
      </c>
      <c r="K39" s="835">
        <v>22943.43</v>
      </c>
      <c r="L39" s="835">
        <v>94129.08</v>
      </c>
      <c r="M39" s="846">
        <v>0</v>
      </c>
      <c r="N39" s="846">
        <v>0</v>
      </c>
      <c r="O39" s="814"/>
      <c r="P39" s="814"/>
    </row>
    <row r="40" spans="1:16" s="838" customFormat="1" outlineLevel="1" x14ac:dyDescent="0.2">
      <c r="A40" s="827">
        <v>1507</v>
      </c>
      <c r="B40" s="828" t="s">
        <v>5395</v>
      </c>
      <c r="C40" s="829"/>
      <c r="D40" s="830"/>
      <c r="E40" s="831">
        <v>1</v>
      </c>
      <c r="F40" s="829"/>
      <c r="G40" s="843" t="s">
        <v>5391</v>
      </c>
      <c r="H40" s="829"/>
      <c r="I40" s="835">
        <v>100358.71</v>
      </c>
      <c r="J40" s="835">
        <v>100991.85</v>
      </c>
      <c r="K40" s="835">
        <v>0</v>
      </c>
      <c r="L40" s="835"/>
      <c r="M40" s="846"/>
      <c r="N40" s="846">
        <v>0</v>
      </c>
      <c r="O40" s="814"/>
      <c r="P40" s="814"/>
    </row>
    <row r="41" spans="1:16" s="838" customFormat="1" outlineLevel="1" x14ac:dyDescent="0.2">
      <c r="A41" s="827">
        <v>1520</v>
      </c>
      <c r="B41" s="847" t="s">
        <v>4521</v>
      </c>
      <c r="C41" s="829"/>
      <c r="D41" s="830"/>
      <c r="E41" s="831">
        <v>1</v>
      </c>
      <c r="F41" s="829"/>
      <c r="G41" s="843" t="s">
        <v>5391</v>
      </c>
      <c r="H41" s="829"/>
      <c r="I41" s="835">
        <v>696.57</v>
      </c>
      <c r="J41" s="835">
        <v>0</v>
      </c>
      <c r="K41" s="835">
        <v>827.39</v>
      </c>
      <c r="L41" s="846">
        <v>0</v>
      </c>
      <c r="M41" s="846">
        <v>1734.16</v>
      </c>
      <c r="N41" s="846">
        <v>0</v>
      </c>
      <c r="O41" s="814"/>
      <c r="P41" s="814"/>
    </row>
    <row r="42" spans="1:16" s="838" customFormat="1" outlineLevel="1" x14ac:dyDescent="0.2">
      <c r="A42" s="827">
        <v>1525</v>
      </c>
      <c r="B42" s="828" t="s">
        <v>4522</v>
      </c>
      <c r="C42" s="829"/>
      <c r="D42" s="830"/>
      <c r="E42" s="831">
        <v>1</v>
      </c>
      <c r="F42" s="829"/>
      <c r="G42" s="843" t="s">
        <v>5391</v>
      </c>
      <c r="H42" s="829"/>
      <c r="I42" s="835">
        <v>4000</v>
      </c>
      <c r="J42" s="835">
        <v>4000</v>
      </c>
      <c r="K42" s="835">
        <v>1500</v>
      </c>
      <c r="L42" s="835">
        <v>2250</v>
      </c>
      <c r="M42" s="846">
        <v>3550</v>
      </c>
      <c r="N42" s="846">
        <v>3250</v>
      </c>
      <c r="O42" s="814"/>
      <c r="P42" s="814"/>
    </row>
    <row r="43" spans="1:16" s="838" customFormat="1" outlineLevel="1" x14ac:dyDescent="0.2">
      <c r="A43" s="827">
        <v>1540</v>
      </c>
      <c r="B43" s="828" t="s">
        <v>4523</v>
      </c>
      <c r="C43" s="829"/>
      <c r="D43" s="830"/>
      <c r="E43" s="831">
        <v>1</v>
      </c>
      <c r="F43" s="829"/>
      <c r="G43" s="843" t="s">
        <v>5391</v>
      </c>
      <c r="H43" s="829"/>
      <c r="I43" s="835"/>
      <c r="J43" s="835">
        <v>0</v>
      </c>
      <c r="K43" s="835">
        <v>0</v>
      </c>
      <c r="L43" s="835">
        <v>45549</v>
      </c>
      <c r="M43" s="846">
        <v>88619</v>
      </c>
      <c r="N43" s="846">
        <v>195868</v>
      </c>
      <c r="O43" s="814"/>
      <c r="P43" s="814"/>
    </row>
    <row r="44" spans="1:16" s="838" customFormat="1" outlineLevel="1" x14ac:dyDescent="0.2">
      <c r="A44" s="827">
        <v>1544</v>
      </c>
      <c r="B44" s="828" t="s">
        <v>4524</v>
      </c>
      <c r="C44" s="829"/>
      <c r="D44" s="830"/>
      <c r="E44" s="831">
        <v>1</v>
      </c>
      <c r="F44" s="829"/>
      <c r="G44" s="843" t="s">
        <v>5391</v>
      </c>
      <c r="H44" s="829"/>
      <c r="I44" s="835">
        <v>552.13</v>
      </c>
      <c r="J44" s="835">
        <v>1246.48</v>
      </c>
      <c r="K44" s="835">
        <v>7359.94</v>
      </c>
      <c r="L44" s="835">
        <v>4121.79</v>
      </c>
      <c r="M44" s="846">
        <v>0</v>
      </c>
      <c r="N44" s="846">
        <v>0</v>
      </c>
      <c r="O44" s="814"/>
      <c r="P44" s="814"/>
    </row>
    <row r="45" spans="1:16" s="838" customFormat="1" outlineLevel="1" x14ac:dyDescent="0.2">
      <c r="A45" s="827">
        <v>1548</v>
      </c>
      <c r="B45" s="828" t="s">
        <v>4525</v>
      </c>
      <c r="C45" s="829"/>
      <c r="D45" s="830"/>
      <c r="E45" s="831">
        <v>1</v>
      </c>
      <c r="F45" s="829"/>
      <c r="G45" s="843" t="s">
        <v>5391</v>
      </c>
      <c r="H45" s="829"/>
      <c r="I45" s="835">
        <v>9270.01</v>
      </c>
      <c r="J45" s="835">
        <v>14623.7</v>
      </c>
      <c r="K45" s="835">
        <v>498.94</v>
      </c>
      <c r="L45" s="835">
        <v>6412.5</v>
      </c>
      <c r="M45" s="846">
        <v>29241.96</v>
      </c>
      <c r="N45" s="846">
        <v>2486.5700000000002</v>
      </c>
      <c r="O45" s="814"/>
      <c r="P45" s="814"/>
    </row>
    <row r="46" spans="1:16" s="838" customFormat="1" outlineLevel="1" x14ac:dyDescent="0.2">
      <c r="A46" s="827">
        <v>1549</v>
      </c>
      <c r="B46" s="828" t="s">
        <v>4526</v>
      </c>
      <c r="C46" s="829"/>
      <c r="D46" s="830"/>
      <c r="E46" s="831">
        <v>1</v>
      </c>
      <c r="F46" s="829"/>
      <c r="G46" s="843" t="s">
        <v>5391</v>
      </c>
      <c r="H46" s="829"/>
      <c r="I46" s="835"/>
      <c r="J46" s="835">
        <v>0</v>
      </c>
      <c r="K46" s="835">
        <v>0</v>
      </c>
      <c r="L46" s="835">
        <v>144052.49</v>
      </c>
      <c r="M46" s="846">
        <v>190440.14</v>
      </c>
      <c r="N46" s="846">
        <v>107487.27</v>
      </c>
      <c r="O46" s="814"/>
      <c r="P46" s="814"/>
    </row>
    <row r="47" spans="1:16" s="838" customFormat="1" outlineLevel="1" x14ac:dyDescent="0.2">
      <c r="A47" s="827">
        <v>1600</v>
      </c>
      <c r="B47" s="828" t="s">
        <v>4533</v>
      </c>
      <c r="C47" s="829"/>
      <c r="D47" s="831">
        <v>1</v>
      </c>
      <c r="E47" s="831"/>
      <c r="F47" s="829"/>
      <c r="G47" s="845" t="s">
        <v>5392</v>
      </c>
      <c r="H47" s="829"/>
      <c r="I47" s="835">
        <v>1050</v>
      </c>
      <c r="J47" s="835">
        <v>497.65</v>
      </c>
      <c r="K47" s="835">
        <v>0</v>
      </c>
      <c r="L47" s="835">
        <v>4778.97</v>
      </c>
      <c r="M47" s="846">
        <v>325.83</v>
      </c>
      <c r="N47" s="846">
        <v>0</v>
      </c>
      <c r="O47" s="814"/>
      <c r="P47" s="814"/>
    </row>
    <row r="48" spans="1:16" s="838" customFormat="1" outlineLevel="1" x14ac:dyDescent="0.2">
      <c r="A48" s="827">
        <v>1348</v>
      </c>
      <c r="B48" s="828" t="s">
        <v>2387</v>
      </c>
      <c r="C48" s="829"/>
      <c r="D48" s="830"/>
      <c r="E48" s="831">
        <v>1</v>
      </c>
      <c r="F48" s="829"/>
      <c r="G48" s="843" t="s">
        <v>5391</v>
      </c>
      <c r="H48" s="829"/>
      <c r="I48" s="835">
        <v>61172.7</v>
      </c>
      <c r="J48" s="835">
        <v>298730.21000000002</v>
      </c>
      <c r="K48" s="835">
        <v>0</v>
      </c>
      <c r="L48" s="835">
        <v>0</v>
      </c>
      <c r="M48" s="846">
        <v>109791.75</v>
      </c>
      <c r="N48" s="846">
        <v>0</v>
      </c>
      <c r="O48" s="814"/>
      <c r="P48" s="814"/>
    </row>
    <row r="49" spans="1:16" s="838" customFormat="1" outlineLevel="1" x14ac:dyDescent="0.2">
      <c r="A49" s="827">
        <v>1742</v>
      </c>
      <c r="B49" s="828" t="s">
        <v>4537</v>
      </c>
      <c r="C49" s="829"/>
      <c r="D49" s="830"/>
      <c r="E49" s="831">
        <v>1</v>
      </c>
      <c r="F49" s="829"/>
      <c r="G49" s="843" t="s">
        <v>5391</v>
      </c>
      <c r="H49" s="829"/>
      <c r="I49" s="835"/>
      <c r="J49" s="835">
        <v>0</v>
      </c>
      <c r="K49" s="835">
        <v>306.76</v>
      </c>
      <c r="L49" s="835"/>
      <c r="M49" s="846"/>
      <c r="N49" s="846">
        <v>0</v>
      </c>
      <c r="O49" s="814"/>
      <c r="P49" s="814"/>
    </row>
    <row r="50" spans="1:16" s="838" customFormat="1" x14ac:dyDescent="0.2">
      <c r="A50" s="827"/>
      <c r="B50" s="828"/>
      <c r="C50" s="829"/>
      <c r="D50" s="830"/>
      <c r="E50" s="831"/>
      <c r="F50" s="829"/>
      <c r="G50" s="837"/>
      <c r="H50" s="829"/>
      <c r="I50" s="835"/>
      <c r="J50" s="835"/>
      <c r="K50" s="835"/>
      <c r="L50" s="835"/>
      <c r="M50" s="835"/>
      <c r="N50" s="835"/>
      <c r="O50" s="814"/>
      <c r="P50" s="814"/>
    </row>
    <row r="51" spans="1:16" s="838" customFormat="1" x14ac:dyDescent="0.2">
      <c r="A51" s="827"/>
      <c r="B51" s="833" t="s">
        <v>5396</v>
      </c>
      <c r="C51" s="829"/>
      <c r="D51" s="830"/>
      <c r="E51" s="831"/>
      <c r="F51" s="829"/>
      <c r="G51" s="837"/>
      <c r="H51" s="829"/>
      <c r="I51" s="832">
        <f t="shared" ref="I51:N51" si="6">SUM(I52:I56)</f>
        <v>1086175.74</v>
      </c>
      <c r="J51" s="832">
        <f t="shared" si="6"/>
        <v>2438815.4699999997</v>
      </c>
      <c r="K51" s="832">
        <f t="shared" si="6"/>
        <v>3008348.6599999997</v>
      </c>
      <c r="L51" s="832">
        <f t="shared" si="6"/>
        <v>2715567.3000000003</v>
      </c>
      <c r="M51" s="832">
        <f t="shared" si="6"/>
        <v>1004060.84</v>
      </c>
      <c r="N51" s="832">
        <f t="shared" si="6"/>
        <v>2026280.7</v>
      </c>
      <c r="O51" s="814"/>
      <c r="P51" s="814"/>
    </row>
    <row r="52" spans="1:16" s="838" customFormat="1" outlineLevel="1" x14ac:dyDescent="0.2">
      <c r="A52" s="827">
        <v>1000</v>
      </c>
      <c r="B52" s="828" t="s">
        <v>4512</v>
      </c>
      <c r="C52" s="829"/>
      <c r="D52" s="830"/>
      <c r="E52" s="831">
        <v>1</v>
      </c>
      <c r="F52" s="829"/>
      <c r="G52" s="843" t="s">
        <v>5391</v>
      </c>
      <c r="H52" s="829"/>
      <c r="I52" s="835">
        <v>20.22</v>
      </c>
      <c r="J52" s="835">
        <v>370.05</v>
      </c>
      <c r="K52" s="835">
        <v>160.69999999999999</v>
      </c>
      <c r="L52" s="835">
        <v>106.38</v>
      </c>
      <c r="M52" s="846">
        <v>86.17</v>
      </c>
      <c r="N52" s="846">
        <v>99.99</v>
      </c>
      <c r="O52" s="814"/>
      <c r="P52" s="814"/>
    </row>
    <row r="53" spans="1:16" s="838" customFormat="1" outlineLevel="1" x14ac:dyDescent="0.2">
      <c r="A53" s="827">
        <v>1100</v>
      </c>
      <c r="B53" s="828" t="s">
        <v>4513</v>
      </c>
      <c r="C53" s="829"/>
      <c r="D53" s="830"/>
      <c r="E53" s="831">
        <v>1</v>
      </c>
      <c r="F53" s="829"/>
      <c r="G53" s="843" t="s">
        <v>5391</v>
      </c>
      <c r="H53" s="829"/>
      <c r="I53" s="835">
        <v>102699.99</v>
      </c>
      <c r="J53" s="835">
        <v>11824.62</v>
      </c>
      <c r="K53" s="835">
        <v>294074.65999999997</v>
      </c>
      <c r="L53" s="835">
        <v>366738.97</v>
      </c>
      <c r="M53" s="846">
        <v>187954.81</v>
      </c>
      <c r="N53" s="846">
        <v>127605.57</v>
      </c>
      <c r="O53" s="814"/>
      <c r="P53" s="814"/>
    </row>
    <row r="54" spans="1:16" s="838" customFormat="1" outlineLevel="1" x14ac:dyDescent="0.2">
      <c r="A54" s="827">
        <v>1200</v>
      </c>
      <c r="B54" s="828" t="s">
        <v>4514</v>
      </c>
      <c r="C54" s="829"/>
      <c r="D54" s="830"/>
      <c r="E54" s="831">
        <v>1</v>
      </c>
      <c r="F54" s="829"/>
      <c r="G54" s="843" t="s">
        <v>5391</v>
      </c>
      <c r="H54" s="829"/>
      <c r="I54" s="835">
        <v>660553.9</v>
      </c>
      <c r="J54" s="835">
        <v>1969242.37</v>
      </c>
      <c r="K54" s="835">
        <v>2220152.63</v>
      </c>
      <c r="L54" s="835">
        <v>2008282.57</v>
      </c>
      <c r="M54" s="846">
        <v>626775.54</v>
      </c>
      <c r="N54" s="846">
        <v>1637265.27</v>
      </c>
      <c r="O54" s="814"/>
      <c r="P54" s="814"/>
    </row>
    <row r="55" spans="1:16" s="838" customFormat="1" outlineLevel="1" x14ac:dyDescent="0.2">
      <c r="A55" s="827">
        <v>1210</v>
      </c>
      <c r="B55" s="828" t="s">
        <v>4515</v>
      </c>
      <c r="C55" s="829"/>
      <c r="D55" s="830"/>
      <c r="E55" s="831">
        <v>1</v>
      </c>
      <c r="F55" s="829"/>
      <c r="G55" s="843" t="s">
        <v>5391</v>
      </c>
      <c r="H55" s="829"/>
      <c r="I55" s="835">
        <v>113114.9</v>
      </c>
      <c r="J55" s="835">
        <v>426207.9</v>
      </c>
      <c r="K55" s="835">
        <v>260972.94</v>
      </c>
      <c r="L55" s="835">
        <v>69357.97</v>
      </c>
      <c r="M55" s="846">
        <v>113807.93</v>
      </c>
      <c r="N55" s="846">
        <v>98403.72</v>
      </c>
      <c r="O55" s="814"/>
      <c r="P55" s="814"/>
    </row>
    <row r="56" spans="1:16" s="838" customFormat="1" outlineLevel="1" x14ac:dyDescent="0.2">
      <c r="A56" s="827">
        <v>1220</v>
      </c>
      <c r="B56" s="828" t="s">
        <v>4516</v>
      </c>
      <c r="C56" s="829"/>
      <c r="D56" s="830"/>
      <c r="E56" s="831">
        <v>1</v>
      </c>
      <c r="F56" s="829"/>
      <c r="G56" s="843" t="s">
        <v>5391</v>
      </c>
      <c r="H56" s="829"/>
      <c r="I56" s="835">
        <v>209786.73</v>
      </c>
      <c r="J56" s="835">
        <v>31170.53</v>
      </c>
      <c r="K56" s="835">
        <v>232987.73</v>
      </c>
      <c r="L56" s="835">
        <v>271081.40999999997</v>
      </c>
      <c r="M56" s="846">
        <v>75436.39</v>
      </c>
      <c r="N56" s="846">
        <v>162906.15</v>
      </c>
      <c r="O56" s="814"/>
      <c r="P56" s="814"/>
    </row>
    <row r="57" spans="1:16" s="838" customFormat="1" x14ac:dyDescent="0.2">
      <c r="A57" s="827"/>
      <c r="B57" s="833"/>
      <c r="C57" s="829"/>
      <c r="D57" s="830"/>
      <c r="E57" s="831"/>
      <c r="F57" s="829"/>
      <c r="G57" s="837"/>
      <c r="H57" s="829"/>
      <c r="I57" s="835"/>
      <c r="J57" s="835"/>
      <c r="K57" s="835"/>
      <c r="L57" s="835"/>
      <c r="M57" s="835"/>
      <c r="N57" s="835"/>
      <c r="O57" s="814"/>
      <c r="P57" s="814"/>
    </row>
    <row r="58" spans="1:16" s="838" customFormat="1" x14ac:dyDescent="0.2">
      <c r="A58" s="827"/>
      <c r="B58" s="833" t="s">
        <v>5397</v>
      </c>
      <c r="C58" s="829"/>
      <c r="D58" s="830"/>
      <c r="E58" s="831"/>
      <c r="F58" s="829"/>
      <c r="G58" s="837"/>
      <c r="H58" s="829"/>
      <c r="I58" s="832">
        <f t="shared" ref="I58:N58" si="7">SUM(I59:I59)</f>
        <v>12702.11</v>
      </c>
      <c r="J58" s="832">
        <f t="shared" si="7"/>
        <v>18960.32</v>
      </c>
      <c r="K58" s="832">
        <f t="shared" si="7"/>
        <v>30218.21</v>
      </c>
      <c r="L58" s="832">
        <f t="shared" si="7"/>
        <v>65903.960000000006</v>
      </c>
      <c r="M58" s="832">
        <f t="shared" si="7"/>
        <v>62927.86</v>
      </c>
      <c r="N58" s="832">
        <f t="shared" si="7"/>
        <v>51301.45</v>
      </c>
      <c r="O58" s="814"/>
      <c r="P58" s="814"/>
    </row>
    <row r="59" spans="1:16" s="838" customFormat="1" outlineLevel="1" x14ac:dyDescent="0.2">
      <c r="A59" s="827">
        <v>980</v>
      </c>
      <c r="B59" s="828" t="s">
        <v>4509</v>
      </c>
      <c r="C59" s="829"/>
      <c r="D59" s="848"/>
      <c r="E59" s="831">
        <v>1</v>
      </c>
      <c r="F59" s="829"/>
      <c r="G59" s="843" t="s">
        <v>5391</v>
      </c>
      <c r="H59" s="829"/>
      <c r="I59" s="835">
        <v>12702.11</v>
      </c>
      <c r="J59" s="835">
        <v>18960.32</v>
      </c>
      <c r="K59" s="835">
        <v>30218.21</v>
      </c>
      <c r="L59" s="835">
        <v>65903.960000000006</v>
      </c>
      <c r="M59" s="835">
        <v>62927.86</v>
      </c>
      <c r="N59" s="835">
        <v>51301.45</v>
      </c>
      <c r="O59" s="814"/>
      <c r="P59" s="814"/>
    </row>
    <row r="60" spans="1:16" s="838" customFormat="1" x14ac:dyDescent="0.2">
      <c r="A60" s="827"/>
      <c r="B60" s="828"/>
      <c r="C60" s="829"/>
      <c r="D60" s="848"/>
      <c r="E60" s="831"/>
      <c r="F60" s="829"/>
      <c r="G60" s="827"/>
      <c r="H60" s="829"/>
      <c r="I60" s="835"/>
      <c r="J60" s="835"/>
      <c r="K60" s="835"/>
      <c r="L60" s="835"/>
      <c r="M60" s="835"/>
      <c r="N60" s="835"/>
      <c r="O60" s="814"/>
      <c r="P60" s="814"/>
    </row>
    <row r="61" spans="1:16" s="838" customFormat="1" x14ac:dyDescent="0.2">
      <c r="A61" s="827"/>
      <c r="B61" s="833" t="s">
        <v>5398</v>
      </c>
      <c r="C61" s="829"/>
      <c r="D61" s="830"/>
      <c r="E61" s="831"/>
      <c r="F61" s="829"/>
      <c r="G61" s="837"/>
      <c r="H61" s="829"/>
      <c r="I61" s="832">
        <f t="shared" ref="I61:N61" si="8">SUM(I62:I64)</f>
        <v>3334313.66</v>
      </c>
      <c r="J61" s="832">
        <f t="shared" si="8"/>
        <v>4820142.99</v>
      </c>
      <c r="K61" s="832">
        <f t="shared" si="8"/>
        <v>5794271.0700000003</v>
      </c>
      <c r="L61" s="832">
        <f t="shared" si="8"/>
        <v>6186907.9100000001</v>
      </c>
      <c r="M61" s="832">
        <f t="shared" si="8"/>
        <v>6281960.21</v>
      </c>
      <c r="N61" s="832">
        <f t="shared" si="8"/>
        <v>6991305.1100000003</v>
      </c>
      <c r="O61" s="814"/>
      <c r="P61" s="814"/>
    </row>
    <row r="62" spans="1:16" s="818" customFormat="1" outlineLevel="1" x14ac:dyDescent="0.2">
      <c r="A62" s="827">
        <v>800</v>
      </c>
      <c r="B62" s="828" t="s">
        <v>4500</v>
      </c>
      <c r="C62" s="829"/>
      <c r="D62" s="830"/>
      <c r="E62" s="831"/>
      <c r="F62" s="829"/>
      <c r="G62" s="837"/>
      <c r="H62" s="829"/>
      <c r="I62" s="835">
        <v>51129.19</v>
      </c>
      <c r="J62" s="835">
        <v>51129.19</v>
      </c>
      <c r="K62" s="835">
        <v>51129.19</v>
      </c>
      <c r="L62" s="835">
        <v>51129.19</v>
      </c>
      <c r="M62" s="835">
        <v>51129.19</v>
      </c>
      <c r="N62" s="835">
        <v>51129.19</v>
      </c>
      <c r="O62" s="826"/>
      <c r="P62" s="826"/>
    </row>
    <row r="63" spans="1:16" s="838" customFormat="1" outlineLevel="1" x14ac:dyDescent="0.2">
      <c r="A63" s="827">
        <v>860</v>
      </c>
      <c r="B63" s="828" t="s">
        <v>4501</v>
      </c>
      <c r="C63" s="829"/>
      <c r="D63" s="830"/>
      <c r="E63" s="831"/>
      <c r="F63" s="829"/>
      <c r="G63" s="837"/>
      <c r="H63" s="829"/>
      <c r="I63" s="835">
        <v>2276654.4500000002</v>
      </c>
      <c r="J63" s="835">
        <v>3283184.47</v>
      </c>
      <c r="K63" s="835">
        <v>3889013.8</v>
      </c>
      <c r="L63" s="835">
        <v>5293141.88</v>
      </c>
      <c r="M63" s="835">
        <v>5235778.72</v>
      </c>
      <c r="N63" s="835">
        <v>6230831.0199999996</v>
      </c>
      <c r="O63" s="826"/>
      <c r="P63" s="814"/>
    </row>
    <row r="64" spans="1:16" s="818" customFormat="1" outlineLevel="1" x14ac:dyDescent="0.2">
      <c r="A64" s="827"/>
      <c r="B64" s="828" t="s">
        <v>241</v>
      </c>
      <c r="C64" s="829"/>
      <c r="D64" s="830"/>
      <c r="E64" s="831"/>
      <c r="F64" s="829"/>
      <c r="G64" s="827"/>
      <c r="H64" s="829"/>
      <c r="I64" s="835">
        <v>1006530.02</v>
      </c>
      <c r="J64" s="835">
        <v>1485829.33</v>
      </c>
      <c r="K64" s="835">
        <v>1854128.08</v>
      </c>
      <c r="L64" s="835">
        <v>842636.84</v>
      </c>
      <c r="M64" s="835">
        <v>995052.3</v>
      </c>
      <c r="N64" s="835">
        <v>709344.9</v>
      </c>
      <c r="O64" s="826"/>
      <c r="P64" s="826"/>
    </row>
    <row r="65" spans="1:16" s="818" customFormat="1" x14ac:dyDescent="0.2">
      <c r="A65" s="827"/>
      <c r="B65" s="828"/>
      <c r="C65" s="829"/>
      <c r="D65" s="830"/>
      <c r="E65" s="831"/>
      <c r="F65" s="829"/>
      <c r="G65" s="827"/>
      <c r="H65" s="829"/>
      <c r="I65" s="835"/>
      <c r="J65" s="835"/>
      <c r="K65" s="835"/>
      <c r="L65" s="835"/>
      <c r="M65" s="835"/>
      <c r="N65" s="835"/>
      <c r="O65" s="826"/>
      <c r="P65" s="826"/>
    </row>
    <row r="66" spans="1:16" s="838" customFormat="1" x14ac:dyDescent="0.2">
      <c r="A66" s="837"/>
      <c r="B66" s="833" t="s">
        <v>5399</v>
      </c>
      <c r="C66" s="839"/>
      <c r="D66" s="840"/>
      <c r="E66" s="841"/>
      <c r="F66" s="839"/>
      <c r="G66" s="837"/>
      <c r="H66" s="839"/>
      <c r="I66" s="832">
        <f t="shared" ref="I66:N66" si="9">SUM(I67)</f>
        <v>208720</v>
      </c>
      <c r="J66" s="832">
        <f t="shared" si="9"/>
        <v>208694</v>
      </c>
      <c r="K66" s="832">
        <f t="shared" si="9"/>
        <v>201476</v>
      </c>
      <c r="L66" s="832">
        <f t="shared" si="9"/>
        <v>192102</v>
      </c>
      <c r="M66" s="832">
        <f t="shared" si="9"/>
        <v>182403</v>
      </c>
      <c r="N66" s="832">
        <f t="shared" si="9"/>
        <v>171743</v>
      </c>
      <c r="O66" s="814"/>
      <c r="P66" s="814"/>
    </row>
    <row r="67" spans="1:16" s="818" customFormat="1" x14ac:dyDescent="0.2">
      <c r="A67" s="827">
        <v>951</v>
      </c>
      <c r="B67" s="828" t="s">
        <v>4502</v>
      </c>
      <c r="C67" s="829"/>
      <c r="D67" s="830"/>
      <c r="E67" s="831">
        <v>1</v>
      </c>
      <c r="F67" s="829"/>
      <c r="G67" s="849" t="s">
        <v>34</v>
      </c>
      <c r="H67" s="829"/>
      <c r="I67" s="835">
        <v>208720</v>
      </c>
      <c r="J67" s="835">
        <v>208694</v>
      </c>
      <c r="K67" s="835">
        <v>201476</v>
      </c>
      <c r="L67" s="835">
        <v>192102</v>
      </c>
      <c r="M67" s="835">
        <v>182403</v>
      </c>
      <c r="N67" s="835">
        <v>171743</v>
      </c>
      <c r="O67" s="826"/>
      <c r="P67" s="826"/>
    </row>
    <row r="68" spans="1:16" s="818" customFormat="1" x14ac:dyDescent="0.2">
      <c r="A68" s="827"/>
      <c r="B68" s="828"/>
      <c r="C68" s="829"/>
      <c r="D68" s="830"/>
      <c r="E68" s="831"/>
      <c r="F68" s="829"/>
      <c r="G68" s="827"/>
      <c r="H68" s="829"/>
      <c r="I68" s="835"/>
      <c r="J68" s="835"/>
      <c r="K68" s="835"/>
      <c r="L68" s="835"/>
      <c r="M68" s="835"/>
      <c r="N68" s="835"/>
      <c r="O68" s="826"/>
      <c r="P68" s="826"/>
    </row>
    <row r="69" spans="1:16" s="818" customFormat="1" x14ac:dyDescent="0.2">
      <c r="A69" s="827"/>
      <c r="B69" s="833" t="s">
        <v>288</v>
      </c>
      <c r="C69" s="829"/>
      <c r="D69" s="830"/>
      <c r="E69" s="831"/>
      <c r="F69" s="829"/>
      <c r="G69" s="827"/>
      <c r="H69" s="829"/>
      <c r="I69" s="832">
        <f t="shared" ref="I69:N69" si="10">SUM(I70:I71)</f>
        <v>404332.99</v>
      </c>
      <c r="J69" s="832">
        <f t="shared" si="10"/>
        <v>384821.6</v>
      </c>
      <c r="K69" s="832">
        <f t="shared" si="10"/>
        <v>224928.19</v>
      </c>
      <c r="L69" s="832">
        <f t="shared" si="10"/>
        <v>224928.19</v>
      </c>
      <c r="M69" s="832">
        <f t="shared" si="10"/>
        <v>0</v>
      </c>
      <c r="N69" s="832">
        <f t="shared" si="10"/>
        <v>0</v>
      </c>
      <c r="O69" s="826"/>
      <c r="P69" s="826"/>
    </row>
    <row r="70" spans="1:16" s="818" customFormat="1" outlineLevel="1" x14ac:dyDescent="0.2">
      <c r="A70" s="827">
        <v>956</v>
      </c>
      <c r="B70" s="818" t="s">
        <v>4503</v>
      </c>
      <c r="C70" s="829"/>
      <c r="D70" s="830"/>
      <c r="E70" s="831">
        <v>1</v>
      </c>
      <c r="F70" s="829"/>
      <c r="G70" s="849" t="s">
        <v>34</v>
      </c>
      <c r="H70" s="829"/>
      <c r="I70" s="835">
        <v>246261</v>
      </c>
      <c r="J70" s="835">
        <v>275512</v>
      </c>
      <c r="K70" s="835">
        <v>111300</v>
      </c>
      <c r="L70" s="835">
        <v>111300</v>
      </c>
      <c r="M70" s="846">
        <v>0</v>
      </c>
      <c r="N70" s="846">
        <v>0</v>
      </c>
      <c r="O70" s="826"/>
      <c r="P70" s="826"/>
    </row>
    <row r="71" spans="1:16" s="818" customFormat="1" outlineLevel="1" x14ac:dyDescent="0.2">
      <c r="A71" s="827">
        <v>963</v>
      </c>
      <c r="B71" s="828" t="s">
        <v>4504</v>
      </c>
      <c r="C71" s="829"/>
      <c r="D71" s="830"/>
      <c r="E71" s="831">
        <v>1</v>
      </c>
      <c r="F71" s="829"/>
      <c r="G71" s="849" t="s">
        <v>34</v>
      </c>
      <c r="H71" s="829"/>
      <c r="I71" s="835">
        <v>158071.99</v>
      </c>
      <c r="J71" s="835">
        <v>109309.6</v>
      </c>
      <c r="K71" s="835">
        <v>113628.19</v>
      </c>
      <c r="L71" s="835">
        <v>113628.19</v>
      </c>
      <c r="M71" s="846">
        <v>0</v>
      </c>
      <c r="N71" s="846">
        <v>0</v>
      </c>
      <c r="O71" s="826"/>
      <c r="P71" s="826"/>
    </row>
    <row r="72" spans="1:16" s="818" customFormat="1" x14ac:dyDescent="0.2">
      <c r="A72" s="827"/>
      <c r="B72" s="828"/>
      <c r="C72" s="829"/>
      <c r="D72" s="830"/>
      <c r="E72" s="831"/>
      <c r="F72" s="829"/>
      <c r="G72" s="827"/>
      <c r="H72" s="829"/>
      <c r="I72" s="835"/>
      <c r="J72" s="835"/>
      <c r="K72" s="835"/>
      <c r="L72" s="835"/>
      <c r="M72" s="835"/>
      <c r="N72" s="835"/>
      <c r="O72" s="826"/>
      <c r="P72" s="826"/>
    </row>
    <row r="73" spans="1:16" s="818" customFormat="1" x14ac:dyDescent="0.2">
      <c r="A73" s="827"/>
      <c r="B73" s="833" t="s">
        <v>5400</v>
      </c>
      <c r="C73" s="829"/>
      <c r="D73" s="830"/>
      <c r="E73" s="831"/>
      <c r="F73" s="829"/>
      <c r="G73" s="827"/>
      <c r="H73" s="829"/>
      <c r="I73" s="832">
        <f t="shared" ref="I73:N73" si="11">SUM(I74:I78)</f>
        <v>217219.22</v>
      </c>
      <c r="J73" s="832">
        <f t="shared" si="11"/>
        <v>258157</v>
      </c>
      <c r="K73" s="832">
        <f t="shared" si="11"/>
        <v>527643.78</v>
      </c>
      <c r="L73" s="832">
        <f t="shared" si="11"/>
        <v>424907.4</v>
      </c>
      <c r="M73" s="832">
        <f t="shared" si="11"/>
        <v>228402.94999999998</v>
      </c>
      <c r="N73" s="832">
        <f t="shared" si="11"/>
        <v>428273.66000000003</v>
      </c>
      <c r="O73" s="826"/>
      <c r="P73" s="826"/>
    </row>
    <row r="74" spans="1:16" s="818" customFormat="1" outlineLevel="1" x14ac:dyDescent="0.2">
      <c r="A74" s="827">
        <v>965</v>
      </c>
      <c r="B74" s="828" t="s">
        <v>4505</v>
      </c>
      <c r="C74" s="829"/>
      <c r="D74" s="830">
        <v>1</v>
      </c>
      <c r="E74" s="831"/>
      <c r="F74" s="829"/>
      <c r="G74" s="845" t="s">
        <v>5392</v>
      </c>
      <c r="H74" s="829"/>
      <c r="I74" s="835">
        <v>175871.22</v>
      </c>
      <c r="J74" s="835">
        <v>215566</v>
      </c>
      <c r="K74" s="835">
        <v>275934.76</v>
      </c>
      <c r="L74" s="835">
        <v>195556.22</v>
      </c>
      <c r="M74" s="846">
        <v>139441.74</v>
      </c>
      <c r="N74" s="846">
        <v>167931.18</v>
      </c>
      <c r="O74" s="826"/>
      <c r="P74" s="826"/>
    </row>
    <row r="75" spans="1:16" s="818" customFormat="1" outlineLevel="1" x14ac:dyDescent="0.2">
      <c r="A75" s="827">
        <v>966</v>
      </c>
      <c r="B75" s="828" t="s">
        <v>4506</v>
      </c>
      <c r="C75" s="829"/>
      <c r="D75" s="830">
        <v>1</v>
      </c>
      <c r="E75" s="831"/>
      <c r="F75" s="829"/>
      <c r="G75" s="845" t="s">
        <v>5392</v>
      </c>
      <c r="H75" s="829"/>
      <c r="I75" s="835">
        <v>8000</v>
      </c>
      <c r="J75" s="835">
        <v>8000</v>
      </c>
      <c r="K75" s="835">
        <v>8000</v>
      </c>
      <c r="L75" s="835">
        <v>8000</v>
      </c>
      <c r="M75" s="846">
        <v>8000</v>
      </c>
      <c r="N75" s="846">
        <v>8000</v>
      </c>
      <c r="O75" s="826"/>
      <c r="P75" s="826"/>
    </row>
    <row r="76" spans="1:16" s="818" customFormat="1" outlineLevel="1" x14ac:dyDescent="0.2">
      <c r="A76" s="827">
        <v>970</v>
      </c>
      <c r="B76" s="828" t="s">
        <v>303</v>
      </c>
      <c r="C76" s="829"/>
      <c r="D76" s="830">
        <v>1</v>
      </c>
      <c r="E76" s="831"/>
      <c r="F76" s="829"/>
      <c r="G76" s="845" t="s">
        <v>5392</v>
      </c>
      <c r="H76" s="829"/>
      <c r="I76" s="835">
        <v>1500</v>
      </c>
      <c r="J76" s="835">
        <v>1500</v>
      </c>
      <c r="K76" s="835">
        <v>186290.02</v>
      </c>
      <c r="L76" s="835">
        <v>156334.18</v>
      </c>
      <c r="M76" s="846">
        <v>10021.209999999999</v>
      </c>
      <c r="N76" s="846">
        <v>183217.48</v>
      </c>
      <c r="O76" s="826"/>
      <c r="P76" s="826"/>
    </row>
    <row r="77" spans="1:16" s="818" customFormat="1" outlineLevel="1" x14ac:dyDescent="0.2">
      <c r="A77" s="827">
        <v>974</v>
      </c>
      <c r="B77" s="828" t="s">
        <v>4507</v>
      </c>
      <c r="C77" s="829"/>
      <c r="D77" s="831">
        <v>1</v>
      </c>
      <c r="E77" s="831"/>
      <c r="F77" s="829"/>
      <c r="G77" s="845" t="s">
        <v>5392</v>
      </c>
      <c r="H77" s="829"/>
      <c r="I77" s="835">
        <v>22848</v>
      </c>
      <c r="J77" s="835">
        <v>23091</v>
      </c>
      <c r="K77" s="835">
        <v>27419</v>
      </c>
      <c r="L77" s="835">
        <v>27517</v>
      </c>
      <c r="M77" s="846">
        <v>33940</v>
      </c>
      <c r="N77" s="846">
        <v>32125</v>
      </c>
      <c r="O77" s="826"/>
      <c r="P77" s="826"/>
    </row>
    <row r="78" spans="1:16" s="818" customFormat="1" outlineLevel="1" x14ac:dyDescent="0.2">
      <c r="A78" s="827">
        <v>977</v>
      </c>
      <c r="B78" s="828" t="s">
        <v>4508</v>
      </c>
      <c r="C78" s="829"/>
      <c r="D78" s="830"/>
      <c r="E78" s="830">
        <v>1</v>
      </c>
      <c r="F78" s="829"/>
      <c r="G78" s="849" t="s">
        <v>34</v>
      </c>
      <c r="H78" s="829"/>
      <c r="I78" s="835">
        <v>9000</v>
      </c>
      <c r="J78" s="835">
        <v>10000</v>
      </c>
      <c r="K78" s="835">
        <v>30000</v>
      </c>
      <c r="L78" s="835">
        <v>37500</v>
      </c>
      <c r="M78" s="835">
        <v>37000</v>
      </c>
      <c r="N78" s="835">
        <v>37000</v>
      </c>
      <c r="O78" s="826"/>
      <c r="P78" s="826"/>
    </row>
    <row r="79" spans="1:16" s="818" customFormat="1" x14ac:dyDescent="0.2">
      <c r="A79" s="827"/>
      <c r="B79" s="828"/>
      <c r="C79" s="829"/>
      <c r="D79" s="830"/>
      <c r="E79" s="831"/>
      <c r="F79" s="829"/>
      <c r="G79" s="827"/>
      <c r="H79" s="829"/>
      <c r="I79" s="835"/>
      <c r="J79" s="835"/>
      <c r="K79" s="835"/>
      <c r="L79" s="835"/>
      <c r="M79" s="835"/>
      <c r="N79" s="835"/>
      <c r="O79" s="826"/>
      <c r="P79" s="826"/>
    </row>
    <row r="80" spans="1:16" s="818" customFormat="1" x14ac:dyDescent="0.2">
      <c r="A80" s="827"/>
      <c r="B80" s="833" t="s">
        <v>5401</v>
      </c>
      <c r="C80" s="829"/>
      <c r="D80" s="830"/>
      <c r="E80" s="831"/>
      <c r="F80" s="829"/>
      <c r="G80" s="827"/>
      <c r="H80" s="829"/>
      <c r="I80" s="832">
        <f t="shared" ref="I80:N80" si="12">SUM(I81)</f>
        <v>0</v>
      </c>
      <c r="J80" s="832">
        <f t="shared" si="12"/>
        <v>0</v>
      </c>
      <c r="K80" s="832">
        <f t="shared" si="12"/>
        <v>0</v>
      </c>
      <c r="L80" s="832">
        <f t="shared" si="12"/>
        <v>0</v>
      </c>
      <c r="M80" s="832">
        <f t="shared" si="12"/>
        <v>0</v>
      </c>
      <c r="N80" s="832">
        <f t="shared" si="12"/>
        <v>19425</v>
      </c>
      <c r="O80" s="826"/>
      <c r="P80" s="826"/>
    </row>
    <row r="81" spans="1:16" s="818" customFormat="1" x14ac:dyDescent="0.2">
      <c r="A81" s="827">
        <v>650</v>
      </c>
      <c r="B81" s="828" t="s">
        <v>5402</v>
      </c>
      <c r="C81" s="829"/>
      <c r="D81" s="830"/>
      <c r="E81" s="830">
        <v>1</v>
      </c>
      <c r="F81" s="829"/>
      <c r="G81" s="849" t="s">
        <v>34</v>
      </c>
      <c r="H81" s="829"/>
      <c r="I81" s="835"/>
      <c r="J81" s="835"/>
      <c r="K81" s="835"/>
      <c r="L81" s="835"/>
      <c r="M81" s="835">
        <v>0</v>
      </c>
      <c r="N81" s="835">
        <v>19425</v>
      </c>
      <c r="O81" s="826"/>
      <c r="P81" s="826"/>
    </row>
    <row r="82" spans="1:16" s="818" customFormat="1" x14ac:dyDescent="0.2">
      <c r="A82" s="827"/>
      <c r="B82" s="828"/>
      <c r="C82" s="829"/>
      <c r="D82" s="830"/>
      <c r="E82" s="831"/>
      <c r="F82" s="829"/>
      <c r="G82" s="827"/>
      <c r="H82" s="829"/>
      <c r="I82" s="835"/>
      <c r="J82" s="835"/>
      <c r="K82" s="835"/>
      <c r="L82" s="835"/>
      <c r="M82" s="835"/>
      <c r="N82" s="835"/>
      <c r="O82" s="826"/>
      <c r="P82" s="826"/>
    </row>
    <row r="83" spans="1:16" s="818" customFormat="1" x14ac:dyDescent="0.2">
      <c r="A83" s="827"/>
      <c r="B83" s="833" t="s">
        <v>5403</v>
      </c>
      <c r="C83" s="829"/>
      <c r="D83" s="830"/>
      <c r="E83" s="831"/>
      <c r="F83" s="829"/>
      <c r="G83" s="827"/>
      <c r="H83" s="829"/>
      <c r="I83" s="832">
        <f t="shared" ref="I83:N83" si="13">SUM(I84)</f>
        <v>509067.7</v>
      </c>
      <c r="J83" s="832">
        <f t="shared" si="13"/>
        <v>485414.92</v>
      </c>
      <c r="K83" s="832">
        <f t="shared" si="13"/>
        <v>752859.66</v>
      </c>
      <c r="L83" s="832">
        <f t="shared" si="13"/>
        <v>853062.53</v>
      </c>
      <c r="M83" s="832">
        <f t="shared" si="13"/>
        <v>1220763.8400000001</v>
      </c>
      <c r="N83" s="832">
        <f t="shared" si="13"/>
        <v>62544.74</v>
      </c>
      <c r="O83" s="826"/>
      <c r="P83" s="826"/>
    </row>
    <row r="84" spans="1:16" s="818" customFormat="1" outlineLevel="1" x14ac:dyDescent="0.2">
      <c r="A84" s="827">
        <v>1600</v>
      </c>
      <c r="B84" s="828" t="s">
        <v>4533</v>
      </c>
      <c r="C84" s="829"/>
      <c r="D84" s="830">
        <v>1</v>
      </c>
      <c r="E84" s="831"/>
      <c r="F84" s="829"/>
      <c r="G84" s="845" t="s">
        <v>5392</v>
      </c>
      <c r="H84" s="829"/>
      <c r="I84" s="835">
        <v>509067.7</v>
      </c>
      <c r="J84" s="835">
        <v>485414.92</v>
      </c>
      <c r="K84" s="835">
        <v>752859.66</v>
      </c>
      <c r="L84" s="835">
        <v>853062.53</v>
      </c>
      <c r="M84" s="846">
        <v>1220763.8400000001</v>
      </c>
      <c r="N84" s="846">
        <v>62544.74</v>
      </c>
      <c r="O84" s="826"/>
      <c r="P84" s="826"/>
    </row>
    <row r="85" spans="1:16" s="818" customFormat="1" x14ac:dyDescent="0.2">
      <c r="A85" s="827"/>
      <c r="B85" s="828"/>
      <c r="C85" s="829"/>
      <c r="D85" s="830"/>
      <c r="E85" s="831"/>
      <c r="F85" s="829"/>
      <c r="G85" s="827"/>
      <c r="H85" s="829"/>
      <c r="I85" s="835"/>
      <c r="J85" s="835"/>
      <c r="K85" s="835"/>
      <c r="L85" s="835"/>
      <c r="M85" s="835"/>
      <c r="N85" s="835"/>
      <c r="O85" s="826"/>
      <c r="P85" s="826"/>
    </row>
    <row r="86" spans="1:16" s="818" customFormat="1" x14ac:dyDescent="0.2">
      <c r="A86" s="827"/>
      <c r="B86" s="833" t="s">
        <v>301</v>
      </c>
      <c r="C86" s="829"/>
      <c r="D86" s="830"/>
      <c r="E86" s="831"/>
      <c r="F86" s="829"/>
      <c r="G86" s="827"/>
      <c r="H86" s="829"/>
      <c r="I86" s="832">
        <f t="shared" ref="I86:N86" si="14">SUM(I87:I119)</f>
        <v>446891.24</v>
      </c>
      <c r="J86" s="832">
        <f t="shared" si="14"/>
        <v>444411.5999999998</v>
      </c>
      <c r="K86" s="832">
        <f t="shared" si="14"/>
        <v>448766.90000000008</v>
      </c>
      <c r="L86" s="832">
        <f t="shared" si="14"/>
        <v>304746.61000000028</v>
      </c>
      <c r="M86" s="832">
        <f t="shared" si="14"/>
        <v>492723.95000000048</v>
      </c>
      <c r="N86" s="832">
        <f t="shared" si="14"/>
        <v>430077.14000000048</v>
      </c>
      <c r="O86" s="826"/>
      <c r="P86" s="826"/>
    </row>
    <row r="87" spans="1:16" s="818" customFormat="1" ht="13.15" customHeight="1" outlineLevel="1" x14ac:dyDescent="0.2">
      <c r="A87" s="827">
        <v>1400</v>
      </c>
      <c r="B87" s="828" t="s">
        <v>4518</v>
      </c>
      <c r="C87" s="829"/>
      <c r="D87" s="830">
        <v>1</v>
      </c>
      <c r="E87" s="831"/>
      <c r="F87" s="829"/>
      <c r="G87" s="845" t="s">
        <v>5392</v>
      </c>
      <c r="H87" s="829"/>
      <c r="I87" s="835">
        <v>8574.2199999999993</v>
      </c>
      <c r="J87" s="835">
        <v>5881.09</v>
      </c>
      <c r="K87" s="835">
        <v>4604.76</v>
      </c>
      <c r="L87" s="835">
        <v>14452.2</v>
      </c>
      <c r="M87" s="846">
        <v>14711.62</v>
      </c>
      <c r="N87" s="846">
        <v>0</v>
      </c>
      <c r="O87" s="826"/>
      <c r="P87" s="826"/>
    </row>
    <row r="88" spans="1:16" s="818" customFormat="1" ht="13.15" customHeight="1" outlineLevel="1" x14ac:dyDescent="0.2">
      <c r="A88" s="827">
        <v>1700</v>
      </c>
      <c r="B88" s="828" t="s">
        <v>301</v>
      </c>
      <c r="C88" s="829"/>
      <c r="D88" s="830"/>
      <c r="E88" s="831">
        <v>1</v>
      </c>
      <c r="F88" s="829"/>
      <c r="G88" s="837" t="s">
        <v>34</v>
      </c>
      <c r="H88" s="829"/>
      <c r="I88" s="835">
        <v>98588.61</v>
      </c>
      <c r="J88" s="835">
        <v>10044.34</v>
      </c>
      <c r="K88" s="835">
        <v>18773.05</v>
      </c>
      <c r="L88" s="835">
        <v>14237.6</v>
      </c>
      <c r="M88" s="846">
        <v>21211.07</v>
      </c>
      <c r="N88" s="846">
        <v>1584.09</v>
      </c>
      <c r="O88" s="826"/>
      <c r="P88" s="826"/>
    </row>
    <row r="89" spans="1:16" s="818" customFormat="1" ht="13.15" customHeight="1" outlineLevel="1" x14ac:dyDescent="0.2">
      <c r="A89" s="827">
        <v>1740</v>
      </c>
      <c r="B89" s="828" t="s">
        <v>4535</v>
      </c>
      <c r="C89" s="829"/>
      <c r="D89" s="831">
        <v>1</v>
      </c>
      <c r="E89" s="831"/>
      <c r="F89" s="829"/>
      <c r="G89" s="845" t="s">
        <v>5392</v>
      </c>
      <c r="H89" s="829"/>
      <c r="I89" s="835">
        <v>145171.42000000001</v>
      </c>
      <c r="J89" s="835">
        <v>182655.04</v>
      </c>
      <c r="K89" s="835">
        <v>140299.84</v>
      </c>
      <c r="L89" s="835">
        <v>196264.36</v>
      </c>
      <c r="M89" s="846">
        <v>249856.51</v>
      </c>
      <c r="N89" s="846">
        <v>148226.62</v>
      </c>
      <c r="O89" s="826"/>
      <c r="P89" s="826"/>
    </row>
    <row r="90" spans="1:16" s="818" customFormat="1" ht="13.15" customHeight="1" outlineLevel="1" x14ac:dyDescent="0.2">
      <c r="A90" s="827">
        <v>1741</v>
      </c>
      <c r="B90" s="828" t="s">
        <v>4536</v>
      </c>
      <c r="C90" s="829"/>
      <c r="D90" s="831">
        <v>1</v>
      </c>
      <c r="E90" s="831"/>
      <c r="F90" s="829"/>
      <c r="G90" s="845" t="s">
        <v>5392</v>
      </c>
      <c r="H90" s="829"/>
      <c r="I90" s="835">
        <v>30326.81</v>
      </c>
      <c r="J90" s="835">
        <v>38074.47</v>
      </c>
      <c r="K90" s="835">
        <v>40620.300000000003</v>
      </c>
      <c r="L90" s="835">
        <v>70809.820000000007</v>
      </c>
      <c r="M90" s="846">
        <v>89659.33</v>
      </c>
      <c r="N90" s="846">
        <v>45632.73</v>
      </c>
      <c r="O90" s="826"/>
      <c r="P90" s="826"/>
    </row>
    <row r="91" spans="1:16" s="818" customFormat="1" ht="13.15" customHeight="1" outlineLevel="1" x14ac:dyDescent="0.2">
      <c r="A91" s="827">
        <v>1742</v>
      </c>
      <c r="B91" s="828" t="s">
        <v>4537</v>
      </c>
      <c r="C91" s="829"/>
      <c r="D91" s="831">
        <v>1</v>
      </c>
      <c r="E91" s="831"/>
      <c r="F91" s="829"/>
      <c r="G91" s="845" t="s">
        <v>5392</v>
      </c>
      <c r="H91" s="829"/>
      <c r="I91" s="835">
        <v>2813.13</v>
      </c>
      <c r="J91" s="835">
        <v>3314.91</v>
      </c>
      <c r="K91" s="835"/>
      <c r="L91" s="835">
        <v>145.96</v>
      </c>
      <c r="M91" s="846">
        <v>2494.25</v>
      </c>
      <c r="N91" s="846">
        <v>6337.65</v>
      </c>
      <c r="O91" s="826"/>
      <c r="P91" s="826"/>
    </row>
    <row r="92" spans="1:16" s="818" customFormat="1" ht="13.15" customHeight="1" outlineLevel="1" x14ac:dyDescent="0.2">
      <c r="A92" s="827">
        <v>1746</v>
      </c>
      <c r="B92" s="828" t="s">
        <v>5404</v>
      </c>
      <c r="C92" s="829"/>
      <c r="D92" s="830"/>
      <c r="E92" s="831">
        <v>1</v>
      </c>
      <c r="F92" s="829"/>
      <c r="G92" s="849" t="s">
        <v>34</v>
      </c>
      <c r="H92" s="829"/>
      <c r="I92" s="835">
        <v>36925</v>
      </c>
      <c r="J92" s="835"/>
      <c r="K92" s="835"/>
      <c r="L92" s="835"/>
      <c r="M92" s="846"/>
      <c r="N92" s="846"/>
      <c r="O92" s="826"/>
      <c r="P92" s="826"/>
    </row>
    <row r="93" spans="1:16" s="818" customFormat="1" ht="13.15" customHeight="1" outlineLevel="1" x14ac:dyDescent="0.2">
      <c r="A93" s="827">
        <v>1759</v>
      </c>
      <c r="B93" s="828" t="s">
        <v>4539</v>
      </c>
      <c r="C93" s="829"/>
      <c r="D93" s="830"/>
      <c r="E93" s="831">
        <v>1</v>
      </c>
      <c r="F93" s="829"/>
      <c r="G93" s="849" t="s">
        <v>34</v>
      </c>
      <c r="H93" s="829"/>
      <c r="I93" s="835">
        <v>1743.76</v>
      </c>
      <c r="J93" s="835">
        <v>1847.94</v>
      </c>
      <c r="K93" s="835">
        <v>2769.49</v>
      </c>
      <c r="L93" s="835">
        <v>1845.15</v>
      </c>
      <c r="M93" s="846">
        <v>1749.87</v>
      </c>
      <c r="N93" s="846">
        <v>1171.42</v>
      </c>
      <c r="O93" s="826"/>
      <c r="P93" s="826"/>
    </row>
    <row r="94" spans="1:16" s="818" customFormat="1" ht="13.15" customHeight="1" outlineLevel="1" x14ac:dyDescent="0.2">
      <c r="A94" s="827"/>
      <c r="B94" s="828"/>
      <c r="C94" s="829"/>
      <c r="D94" s="830"/>
      <c r="E94" s="831"/>
      <c r="F94" s="829"/>
      <c r="G94" s="837"/>
      <c r="H94" s="829"/>
      <c r="I94" s="835"/>
      <c r="J94" s="835"/>
      <c r="K94" s="835"/>
      <c r="L94" s="835"/>
      <c r="M94" s="846"/>
      <c r="N94" s="846"/>
      <c r="O94" s="826"/>
      <c r="P94" s="826"/>
    </row>
    <row r="95" spans="1:16" s="818" customFormat="1" ht="13.15" customHeight="1" outlineLevel="1" x14ac:dyDescent="0.2">
      <c r="A95" s="827">
        <v>1568</v>
      </c>
      <c r="B95" s="828" t="s">
        <v>5405</v>
      </c>
      <c r="C95" s="829"/>
      <c r="D95" s="830"/>
      <c r="E95" s="831">
        <v>1</v>
      </c>
      <c r="F95" s="829"/>
      <c r="G95" s="849" t="s">
        <v>34</v>
      </c>
      <c r="H95" s="829"/>
      <c r="I95" s="835">
        <v>-479.92</v>
      </c>
      <c r="J95" s="835">
        <v>-9.8699999999999992</v>
      </c>
      <c r="K95" s="835"/>
      <c r="L95" s="835"/>
      <c r="M95" s="846"/>
      <c r="N95" s="846"/>
      <c r="O95" s="826"/>
      <c r="P95" s="826"/>
    </row>
    <row r="96" spans="1:16" s="818" customFormat="1" ht="13.15" customHeight="1" outlineLevel="1" x14ac:dyDescent="0.2">
      <c r="A96" s="827">
        <v>1571</v>
      </c>
      <c r="B96" s="828" t="s">
        <v>4527</v>
      </c>
      <c r="C96" s="829"/>
      <c r="D96" s="830"/>
      <c r="E96" s="831">
        <v>1</v>
      </c>
      <c r="F96" s="829"/>
      <c r="G96" s="849" t="s">
        <v>34</v>
      </c>
      <c r="H96" s="829"/>
      <c r="I96" s="835">
        <v>-608.29</v>
      </c>
      <c r="J96" s="835">
        <v>-1514.57</v>
      </c>
      <c r="K96" s="835">
        <v>-3788.54</v>
      </c>
      <c r="L96" s="835">
        <v>-4167.59</v>
      </c>
      <c r="M96" s="846">
        <v>-7572.79</v>
      </c>
      <c r="N96" s="846">
        <v>-4227.62</v>
      </c>
      <c r="O96" s="850"/>
      <c r="P96" s="826"/>
    </row>
    <row r="97" spans="1:16" s="818" customFormat="1" ht="13.15" customHeight="1" outlineLevel="1" x14ac:dyDescent="0.2">
      <c r="A97" s="827">
        <v>1572</v>
      </c>
      <c r="B97" s="828" t="s">
        <v>5406</v>
      </c>
      <c r="C97" s="829"/>
      <c r="D97" s="830"/>
      <c r="E97" s="831">
        <v>1</v>
      </c>
      <c r="F97" s="829"/>
      <c r="G97" s="849" t="s">
        <v>34</v>
      </c>
      <c r="H97" s="829"/>
      <c r="I97" s="835"/>
      <c r="J97" s="835">
        <v>-11.4</v>
      </c>
      <c r="K97" s="835"/>
      <c r="L97" s="835"/>
      <c r="M97" s="846"/>
      <c r="N97" s="846"/>
      <c r="O97" s="850"/>
      <c r="P97" s="826"/>
    </row>
    <row r="98" spans="1:16" s="818" customFormat="1" ht="13.15" customHeight="1" outlineLevel="1" x14ac:dyDescent="0.2">
      <c r="A98" s="827">
        <v>1574</v>
      </c>
      <c r="B98" s="828" t="s">
        <v>4528</v>
      </c>
      <c r="C98" s="829"/>
      <c r="D98" s="830"/>
      <c r="E98" s="831">
        <v>1</v>
      </c>
      <c r="F98" s="829"/>
      <c r="G98" s="849" t="s">
        <v>34</v>
      </c>
      <c r="H98" s="829"/>
      <c r="I98" s="835">
        <v>-348617.83</v>
      </c>
      <c r="J98" s="835">
        <v>-986721.78</v>
      </c>
      <c r="K98" s="835">
        <v>-1110226.93</v>
      </c>
      <c r="L98" s="835">
        <v>-1072863.54</v>
      </c>
      <c r="M98" s="846">
        <v>-1103485.6399999999</v>
      </c>
      <c r="N98" s="846">
        <v>-647950.12</v>
      </c>
      <c r="O98" s="826"/>
      <c r="P98" s="826"/>
    </row>
    <row r="99" spans="1:16" s="818" customFormat="1" ht="13.15" customHeight="1" outlineLevel="1" x14ac:dyDescent="0.2">
      <c r="A99" s="827">
        <v>1575</v>
      </c>
      <c r="B99" s="828" t="s">
        <v>5407</v>
      </c>
      <c r="C99" s="829"/>
      <c r="D99" s="830"/>
      <c r="E99" s="831">
        <v>1</v>
      </c>
      <c r="F99" s="829"/>
      <c r="G99" s="849" t="s">
        <v>34</v>
      </c>
      <c r="H99" s="829"/>
      <c r="I99" s="835">
        <v>-213804.58</v>
      </c>
      <c r="J99" s="835">
        <v>-8457.2999999999993</v>
      </c>
      <c r="K99" s="835"/>
      <c r="L99" s="835"/>
      <c r="M99" s="846"/>
      <c r="N99" s="846"/>
      <c r="O99" s="826"/>
      <c r="P99" s="826"/>
    </row>
    <row r="100" spans="1:16" s="818" customFormat="1" ht="13.15" customHeight="1" outlineLevel="1" x14ac:dyDescent="0.2">
      <c r="A100" s="827">
        <v>1576</v>
      </c>
      <c r="B100" s="851" t="s">
        <v>4529</v>
      </c>
      <c r="C100" s="829"/>
      <c r="D100" s="830"/>
      <c r="E100" s="831">
        <v>1</v>
      </c>
      <c r="F100" s="829"/>
      <c r="G100" s="849" t="s">
        <v>34</v>
      </c>
      <c r="H100" s="829"/>
      <c r="I100" s="835">
        <v>-319886.73</v>
      </c>
      <c r="J100" s="835">
        <v>-641462.43999999994</v>
      </c>
      <c r="K100" s="835">
        <v>-817219.73</v>
      </c>
      <c r="L100" s="835">
        <v>-941337.09</v>
      </c>
      <c r="M100" s="846">
        <v>-1143096.28</v>
      </c>
      <c r="N100" s="846">
        <v>-1001783.38</v>
      </c>
      <c r="O100" s="826"/>
      <c r="P100" s="826"/>
    </row>
    <row r="101" spans="1:16" s="818" customFormat="1" ht="13.15" customHeight="1" outlineLevel="1" x14ac:dyDescent="0.2">
      <c r="A101" s="827">
        <v>1577</v>
      </c>
      <c r="B101" s="828" t="s">
        <v>4530</v>
      </c>
      <c r="C101" s="829"/>
      <c r="D101" s="830"/>
      <c r="E101" s="831">
        <v>1</v>
      </c>
      <c r="F101" s="829"/>
      <c r="G101" s="849" t="s">
        <v>34</v>
      </c>
      <c r="H101" s="829"/>
      <c r="I101" s="835">
        <v>-1180.01</v>
      </c>
      <c r="J101" s="835">
        <v>-1798.04</v>
      </c>
      <c r="K101" s="835">
        <v>-8915.8700000000008</v>
      </c>
      <c r="L101" s="835">
        <v>-27806.22</v>
      </c>
      <c r="M101" s="846">
        <v>-35210.15</v>
      </c>
      <c r="N101" s="846">
        <v>-44446.17</v>
      </c>
      <c r="O101" s="826"/>
      <c r="P101" s="826"/>
    </row>
    <row r="102" spans="1:16" s="818" customFormat="1" ht="13.15" customHeight="1" outlineLevel="1" x14ac:dyDescent="0.2">
      <c r="A102" s="827">
        <v>1579</v>
      </c>
      <c r="B102" s="828" t="s">
        <v>5408</v>
      </c>
      <c r="C102" s="829"/>
      <c r="D102" s="830"/>
      <c r="E102" s="831">
        <v>1</v>
      </c>
      <c r="F102" s="829"/>
      <c r="G102" s="849" t="s">
        <v>34</v>
      </c>
      <c r="H102" s="829"/>
      <c r="I102" s="835">
        <v>-539.9</v>
      </c>
      <c r="J102" s="835"/>
      <c r="K102" s="835"/>
      <c r="L102" s="835"/>
      <c r="M102" s="846"/>
      <c r="N102" s="846"/>
      <c r="O102" s="826"/>
      <c r="P102" s="826"/>
    </row>
    <row r="103" spans="1:16" s="818" customFormat="1" outlineLevel="1" x14ac:dyDescent="0.2">
      <c r="A103" s="827">
        <v>1588</v>
      </c>
      <c r="B103" s="828" t="s">
        <v>4531</v>
      </c>
      <c r="C103" s="829"/>
      <c r="D103" s="830"/>
      <c r="E103" s="831">
        <v>1</v>
      </c>
      <c r="F103" s="829"/>
      <c r="G103" s="849" t="s">
        <v>34</v>
      </c>
      <c r="H103" s="829"/>
      <c r="I103" s="835">
        <v>-56942.97</v>
      </c>
      <c r="J103" s="835">
        <v>-75064.05</v>
      </c>
      <c r="K103" s="835">
        <v>-45684.41</v>
      </c>
      <c r="L103" s="835">
        <v>-86952.67</v>
      </c>
      <c r="M103" s="846">
        <v>-27757.48</v>
      </c>
      <c r="N103" s="846">
        <v>-8871.14</v>
      </c>
      <c r="O103" s="826"/>
      <c r="P103" s="826"/>
    </row>
    <row r="104" spans="1:16" s="818" customFormat="1" outlineLevel="1" x14ac:dyDescent="0.2">
      <c r="A104" s="827">
        <v>1589</v>
      </c>
      <c r="B104" s="828" t="s">
        <v>5409</v>
      </c>
      <c r="C104" s="829"/>
      <c r="D104" s="830"/>
      <c r="E104" s="831">
        <v>1</v>
      </c>
      <c r="F104" s="829"/>
      <c r="G104" s="849" t="s">
        <v>34</v>
      </c>
      <c r="H104" s="829"/>
      <c r="I104" s="835">
        <v>-302720.76</v>
      </c>
      <c r="J104" s="835"/>
      <c r="K104" s="835"/>
      <c r="L104" s="835"/>
      <c r="M104" s="846"/>
      <c r="N104" s="846"/>
      <c r="O104" s="826"/>
      <c r="P104" s="826"/>
    </row>
    <row r="105" spans="1:16" s="818" customFormat="1" outlineLevel="1" x14ac:dyDescent="0.2">
      <c r="A105" s="827">
        <v>1772</v>
      </c>
      <c r="B105" s="828" t="s">
        <v>5410</v>
      </c>
      <c r="C105" s="829"/>
      <c r="D105" s="830"/>
      <c r="E105" s="831">
        <v>1</v>
      </c>
      <c r="F105" s="829"/>
      <c r="G105" s="849" t="s">
        <v>34</v>
      </c>
      <c r="H105" s="829"/>
      <c r="I105" s="835"/>
      <c r="J105" s="835">
        <v>11.4</v>
      </c>
      <c r="K105" s="835"/>
      <c r="L105" s="835"/>
      <c r="M105" s="846"/>
      <c r="N105" s="846"/>
      <c r="O105" s="826"/>
      <c r="P105" s="826"/>
    </row>
    <row r="106" spans="1:16" s="818" customFormat="1" outlineLevel="1" x14ac:dyDescent="0.2">
      <c r="A106" s="827">
        <v>1774</v>
      </c>
      <c r="B106" s="828" t="s">
        <v>4540</v>
      </c>
      <c r="C106" s="829"/>
      <c r="D106" s="830"/>
      <c r="E106" s="831">
        <v>1</v>
      </c>
      <c r="F106" s="829"/>
      <c r="G106" s="849" t="s">
        <v>34</v>
      </c>
      <c r="H106" s="829"/>
      <c r="I106" s="835">
        <v>348617.83</v>
      </c>
      <c r="J106" s="835">
        <v>986721.78</v>
      </c>
      <c r="K106" s="835">
        <v>1110226.93</v>
      </c>
      <c r="L106" s="835">
        <v>1072863.54</v>
      </c>
      <c r="M106" s="846">
        <v>1103485.6399999999</v>
      </c>
      <c r="N106" s="846">
        <v>647950.12</v>
      </c>
      <c r="O106" s="826"/>
      <c r="P106" s="826"/>
    </row>
    <row r="107" spans="1:16" s="818" customFormat="1" outlineLevel="1" x14ac:dyDescent="0.2">
      <c r="A107" s="827">
        <v>1775</v>
      </c>
      <c r="B107" s="828" t="s">
        <v>5411</v>
      </c>
      <c r="C107" s="829"/>
      <c r="D107" s="830"/>
      <c r="E107" s="831">
        <v>1</v>
      </c>
      <c r="F107" s="829"/>
      <c r="G107" s="849" t="s">
        <v>34</v>
      </c>
      <c r="H107" s="829"/>
      <c r="I107" s="835">
        <v>770495.44</v>
      </c>
      <c r="J107" s="835">
        <v>-5079.07</v>
      </c>
      <c r="K107" s="835"/>
      <c r="L107" s="835"/>
      <c r="M107" s="846"/>
      <c r="N107" s="846"/>
      <c r="O107" s="826"/>
      <c r="P107" s="826"/>
    </row>
    <row r="108" spans="1:16" s="818" customFormat="1" outlineLevel="1" x14ac:dyDescent="0.2">
      <c r="A108" s="827">
        <v>1776</v>
      </c>
      <c r="B108" s="828" t="s">
        <v>4541</v>
      </c>
      <c r="C108" s="829"/>
      <c r="D108" s="830"/>
      <c r="E108" s="831">
        <v>1</v>
      </c>
      <c r="F108" s="829"/>
      <c r="G108" s="849" t="s">
        <v>34</v>
      </c>
      <c r="H108" s="829"/>
      <c r="I108" s="835">
        <v>797237.86</v>
      </c>
      <c r="J108" s="835">
        <v>2094132.2</v>
      </c>
      <c r="K108" s="835">
        <v>2510489.02</v>
      </c>
      <c r="L108" s="835">
        <v>2405171.2000000002</v>
      </c>
      <c r="M108" s="846">
        <v>2389730.2400000002</v>
      </c>
      <c r="N108" s="846">
        <v>1961339.55</v>
      </c>
      <c r="O108" s="826"/>
      <c r="P108" s="826"/>
    </row>
    <row r="109" spans="1:16" s="818" customFormat="1" outlineLevel="1" x14ac:dyDescent="0.2">
      <c r="A109" s="827">
        <v>1780</v>
      </c>
      <c r="B109" s="828" t="s">
        <v>4542</v>
      </c>
      <c r="C109" s="829"/>
      <c r="D109" s="830"/>
      <c r="E109" s="831">
        <v>1</v>
      </c>
      <c r="F109" s="829"/>
      <c r="G109" s="849" t="s">
        <v>34</v>
      </c>
      <c r="H109" s="829"/>
      <c r="I109" s="835">
        <v>-925768.49</v>
      </c>
      <c r="J109" s="835">
        <v>-1274899.6299999999</v>
      </c>
      <c r="K109" s="835">
        <v>-1505895.33</v>
      </c>
      <c r="L109" s="835">
        <v>-1161508.6200000001</v>
      </c>
      <c r="M109" s="846">
        <v>-1086374.69</v>
      </c>
      <c r="N109" s="846">
        <v>-835826.86</v>
      </c>
      <c r="O109" s="826"/>
      <c r="P109" s="826"/>
    </row>
    <row r="110" spans="1:16" s="818" customFormat="1" outlineLevel="1" x14ac:dyDescent="0.2">
      <c r="A110" s="827">
        <v>1781</v>
      </c>
      <c r="B110" s="828" t="s">
        <v>4543</v>
      </c>
      <c r="C110" s="829"/>
      <c r="D110" s="830"/>
      <c r="E110" s="831">
        <v>1</v>
      </c>
      <c r="F110" s="829"/>
      <c r="G110" s="849" t="s">
        <v>34</v>
      </c>
      <c r="H110" s="829"/>
      <c r="I110" s="835">
        <v>-52179</v>
      </c>
      <c r="J110" s="835">
        <v>-88904</v>
      </c>
      <c r="K110" s="835">
        <v>-123982</v>
      </c>
      <c r="L110" s="835">
        <v>-212720</v>
      </c>
      <c r="M110" s="846">
        <v>-124929</v>
      </c>
      <c r="N110" s="846">
        <v>-110118</v>
      </c>
      <c r="O110" s="826"/>
      <c r="P110" s="826"/>
    </row>
    <row r="111" spans="1:16" s="818" customFormat="1" outlineLevel="1" x14ac:dyDescent="0.2">
      <c r="A111" s="827">
        <v>1785</v>
      </c>
      <c r="B111" s="828" t="s">
        <v>5412</v>
      </c>
      <c r="C111" s="829"/>
      <c r="D111" s="830"/>
      <c r="E111" s="831">
        <v>1</v>
      </c>
      <c r="F111" s="829"/>
      <c r="G111" s="849" t="s">
        <v>34</v>
      </c>
      <c r="H111" s="829"/>
      <c r="I111" s="835">
        <v>539.9</v>
      </c>
      <c r="J111" s="835"/>
      <c r="K111" s="835"/>
      <c r="L111" s="835"/>
      <c r="M111" s="846"/>
      <c r="N111" s="846"/>
      <c r="O111" s="826"/>
      <c r="P111" s="826"/>
    </row>
    <row r="112" spans="1:16" s="818" customFormat="1" outlineLevel="1" x14ac:dyDescent="0.2">
      <c r="A112" s="827">
        <v>1786</v>
      </c>
      <c r="B112" s="852" t="s">
        <v>5413</v>
      </c>
      <c r="C112" s="829"/>
      <c r="D112" s="830"/>
      <c r="E112" s="831">
        <v>1</v>
      </c>
      <c r="F112" s="829"/>
      <c r="G112" s="849" t="s">
        <v>34</v>
      </c>
      <c r="H112" s="829"/>
      <c r="I112" s="835">
        <v>302720.76</v>
      </c>
      <c r="J112" s="835"/>
      <c r="K112" s="835"/>
      <c r="L112" s="835"/>
      <c r="M112" s="846"/>
      <c r="N112" s="846"/>
      <c r="O112" s="826"/>
      <c r="P112" s="826"/>
    </row>
    <row r="113" spans="1:17" s="818" customFormat="1" outlineLevel="1" x14ac:dyDescent="0.2">
      <c r="A113" s="827">
        <v>1787</v>
      </c>
      <c r="B113" s="828" t="s">
        <v>4544</v>
      </c>
      <c r="C113" s="829"/>
      <c r="D113" s="830"/>
      <c r="E113" s="831">
        <v>1</v>
      </c>
      <c r="F113" s="829"/>
      <c r="G113" s="849" t="s">
        <v>34</v>
      </c>
      <c r="H113" s="829"/>
      <c r="I113" s="835">
        <v>1180.01</v>
      </c>
      <c r="J113" s="835">
        <v>1798.04</v>
      </c>
      <c r="K113" s="835">
        <v>8915.8700000000008</v>
      </c>
      <c r="L113" s="835">
        <v>27806.22</v>
      </c>
      <c r="M113" s="846">
        <v>35210.15</v>
      </c>
      <c r="N113" s="846">
        <v>44446.17</v>
      </c>
      <c r="O113" s="826"/>
      <c r="P113" s="826"/>
    </row>
    <row r="114" spans="1:17" s="818" customFormat="1" outlineLevel="1" x14ac:dyDescent="0.2">
      <c r="A114" s="827">
        <v>1789</v>
      </c>
      <c r="B114" s="828" t="s">
        <v>4545</v>
      </c>
      <c r="C114" s="829"/>
      <c r="D114" s="830"/>
      <c r="E114" s="831">
        <v>1</v>
      </c>
      <c r="F114" s="829"/>
      <c r="G114" s="849" t="s">
        <v>34</v>
      </c>
      <c r="H114" s="829"/>
      <c r="I114" s="835">
        <v>125928.12</v>
      </c>
      <c r="J114" s="835">
        <v>203852.54</v>
      </c>
      <c r="K114" s="835">
        <v>227780.45</v>
      </c>
      <c r="L114" s="835">
        <v>11198.56</v>
      </c>
      <c r="M114" s="846">
        <v>65679.12</v>
      </c>
      <c r="N114" s="846">
        <v>28276.080000000002</v>
      </c>
      <c r="O114" s="826"/>
      <c r="P114" s="826"/>
    </row>
    <row r="115" spans="1:17" s="818" customFormat="1" outlineLevel="1" x14ac:dyDescent="0.2">
      <c r="A115" s="827">
        <v>1790</v>
      </c>
      <c r="B115" s="828" t="s">
        <v>5414</v>
      </c>
      <c r="C115" s="829"/>
      <c r="D115" s="830"/>
      <c r="E115" s="831">
        <v>1</v>
      </c>
      <c r="F115" s="829"/>
      <c r="G115" s="849" t="s">
        <v>34</v>
      </c>
      <c r="H115" s="829"/>
      <c r="I115" s="835">
        <v>-1243.1500000000001</v>
      </c>
      <c r="J115" s="835"/>
      <c r="K115" s="835"/>
      <c r="L115" s="835">
        <v>-2692.27</v>
      </c>
      <c r="M115" s="846">
        <v>-1513.82</v>
      </c>
      <c r="N115" s="846">
        <v>0</v>
      </c>
      <c r="O115" s="826"/>
      <c r="P115" s="826"/>
    </row>
    <row r="116" spans="1:17" s="818" customFormat="1" outlineLevel="1" x14ac:dyDescent="0.2">
      <c r="A116" s="827">
        <v>1790</v>
      </c>
      <c r="B116" s="828" t="s">
        <v>4547</v>
      </c>
      <c r="C116" s="829"/>
      <c r="D116" s="830"/>
      <c r="E116" s="831">
        <v>1</v>
      </c>
      <c r="F116" s="829"/>
      <c r="G116" s="849" t="s">
        <v>34</v>
      </c>
      <c r="H116" s="829"/>
      <c r="I116" s="835"/>
      <c r="J116" s="835"/>
      <c r="K116" s="835"/>
      <c r="L116" s="835"/>
      <c r="M116" s="846"/>
      <c r="N116" s="846">
        <v>0</v>
      </c>
      <c r="O116" s="826"/>
      <c r="P116" s="826"/>
    </row>
    <row r="117" spans="1:17" s="818" customFormat="1" outlineLevel="1" x14ac:dyDescent="0.2">
      <c r="A117" s="827"/>
      <c r="B117" s="828"/>
      <c r="C117" s="829"/>
      <c r="D117" s="830"/>
      <c r="E117" s="831"/>
      <c r="F117" s="829"/>
      <c r="G117" s="837"/>
      <c r="H117" s="829"/>
      <c r="I117" s="835"/>
      <c r="J117" s="835"/>
      <c r="K117" s="835"/>
      <c r="L117" s="835"/>
      <c r="M117" s="846"/>
      <c r="N117" s="846"/>
      <c r="O117" s="826"/>
      <c r="P117" s="826"/>
    </row>
    <row r="118" spans="1:17" s="818" customFormat="1" outlineLevel="1" x14ac:dyDescent="0.2">
      <c r="A118" s="827">
        <v>968</v>
      </c>
      <c r="B118" s="828" t="s">
        <v>286</v>
      </c>
      <c r="C118" s="829"/>
      <c r="D118" s="830"/>
      <c r="E118" s="831">
        <v>1</v>
      </c>
      <c r="F118" s="829"/>
      <c r="G118" s="849" t="s">
        <v>34</v>
      </c>
      <c r="H118" s="829"/>
      <c r="I118" s="835"/>
      <c r="J118" s="835"/>
      <c r="K118" s="835"/>
      <c r="L118" s="835"/>
      <c r="M118" s="846">
        <v>48876</v>
      </c>
      <c r="N118" s="846">
        <v>198336</v>
      </c>
      <c r="O118" s="826"/>
      <c r="P118" s="826"/>
    </row>
    <row r="119" spans="1:17" outlineLevel="1" x14ac:dyDescent="0.2">
      <c r="A119" s="853"/>
      <c r="B119" s="854"/>
      <c r="C119" s="822"/>
      <c r="D119" s="830"/>
      <c r="E119" s="831"/>
      <c r="F119" s="822"/>
      <c r="G119" s="837"/>
      <c r="H119" s="822"/>
      <c r="I119" s="835"/>
      <c r="J119" s="835"/>
      <c r="K119" s="835"/>
      <c r="L119" s="835"/>
      <c r="M119" s="846"/>
      <c r="N119" s="846"/>
    </row>
    <row r="120" spans="1:17" ht="13.15" customHeight="1" x14ac:dyDescent="0.2">
      <c r="I120" s="855"/>
      <c r="J120" s="855"/>
      <c r="K120" s="855"/>
      <c r="L120" s="855"/>
      <c r="M120" s="856"/>
      <c r="N120" s="856"/>
    </row>
    <row r="121" spans="1:17" ht="13.15" hidden="1" customHeight="1" x14ac:dyDescent="0.2">
      <c r="B121" s="813" t="s">
        <v>4728</v>
      </c>
      <c r="I121" s="855"/>
      <c r="J121" s="855"/>
      <c r="K121" s="855"/>
      <c r="L121" s="855"/>
      <c r="M121" s="856"/>
      <c r="N121" s="856"/>
    </row>
    <row r="122" spans="1:17" ht="13.15" hidden="1" customHeight="1" x14ac:dyDescent="0.2">
      <c r="B122" s="813" t="s">
        <v>4729</v>
      </c>
      <c r="I122" s="855"/>
      <c r="J122" s="855"/>
      <c r="K122" s="855"/>
      <c r="L122" s="855"/>
      <c r="M122" s="856"/>
      <c r="N122" s="856"/>
    </row>
    <row r="123" spans="1:17" ht="13.15" hidden="1" customHeight="1" x14ac:dyDescent="0.2">
      <c r="B123" s="813" t="s">
        <v>4730</v>
      </c>
      <c r="I123" s="855"/>
      <c r="J123" s="855"/>
      <c r="K123" s="855"/>
      <c r="L123" s="855"/>
      <c r="M123" s="856"/>
      <c r="N123" s="856"/>
    </row>
    <row r="124" spans="1:17" ht="13.15" hidden="1" customHeight="1" x14ac:dyDescent="0.2">
      <c r="B124" s="857"/>
      <c r="I124" s="855"/>
      <c r="J124" s="855"/>
      <c r="K124" s="855"/>
      <c r="L124" s="855"/>
      <c r="M124" s="856"/>
      <c r="N124" s="856"/>
    </row>
    <row r="125" spans="1:17" ht="13.15" customHeight="1" x14ac:dyDescent="0.2">
      <c r="B125" s="857"/>
      <c r="G125" s="858" t="s">
        <v>5415</v>
      </c>
      <c r="I125" s="855">
        <f>SUM(I8,I12,I20,I24,I33,I38,I51,I58)-SUM(I61,I66,I69,I73,I83,I86)</f>
        <v>0</v>
      </c>
      <c r="J125" s="855">
        <f>SUM(J8,J12,J20,J24,J33,J38,J51,J58)-SUM(J61,J66,J69,J73,J83,J86)</f>
        <v>0</v>
      </c>
      <c r="K125" s="855">
        <f>SUM(K8,K12,K20,K24,K33,K38,K51,K58)-SUM(K61,K66,K69,K73,K83,K86)</f>
        <v>0</v>
      </c>
      <c r="L125" s="855">
        <f>SUM(L8,L12,L20,L24,L33,L38,L51,L58)-SUM(L61,L66,L69,L73,L83,L86)</f>
        <v>0</v>
      </c>
      <c r="M125" s="855">
        <f>SUM(M8,M12,M20,M24,M33,M38,M51,M58)-SUM(M61,M66,M69,M73,M83,M86)</f>
        <v>0</v>
      </c>
      <c r="N125" s="859">
        <f>SUM(N8,N12,N20,N24,N33,N38,N51,N58)-SUM(N61,N66,N69,N73,N83,N86,N80)-N121-N122+N123</f>
        <v>-9.3132257461547852E-10</v>
      </c>
      <c r="O125" s="860"/>
      <c r="P125" s="860"/>
      <c r="Q125" s="861"/>
    </row>
    <row r="126" spans="1:17" x14ac:dyDescent="0.2">
      <c r="B126" s="862"/>
      <c r="I126" s="856"/>
      <c r="J126" s="856"/>
      <c r="K126" s="856"/>
      <c r="L126" s="856"/>
      <c r="M126" s="856"/>
      <c r="N126" s="856"/>
    </row>
    <row r="127" spans="1:17" s="820" customFormat="1" x14ac:dyDescent="0.2">
      <c r="B127" s="863" t="s">
        <v>5416</v>
      </c>
      <c r="C127" s="864"/>
      <c r="D127" s="864"/>
      <c r="E127" s="864"/>
      <c r="F127" s="864"/>
      <c r="G127" s="865"/>
      <c r="H127" s="866"/>
      <c r="I127" s="867">
        <v>44196</v>
      </c>
      <c r="J127" s="867">
        <v>44561</v>
      </c>
      <c r="K127" s="867">
        <v>44926</v>
      </c>
      <c r="L127" s="868">
        <v>45291</v>
      </c>
      <c r="M127" s="868">
        <v>45657</v>
      </c>
      <c r="N127" s="868">
        <v>46022</v>
      </c>
      <c r="O127" s="869"/>
      <c r="P127" s="869"/>
    </row>
    <row r="128" spans="1:17" ht="14.25" customHeight="1" x14ac:dyDescent="0.2">
      <c r="B128" s="870"/>
      <c r="C128" s="871"/>
      <c r="D128" s="871"/>
      <c r="E128" s="871"/>
      <c r="F128" s="872"/>
      <c r="G128" s="873"/>
      <c r="H128" s="874"/>
      <c r="I128" s="875"/>
      <c r="J128" s="875"/>
      <c r="K128" s="875"/>
      <c r="L128" s="876"/>
      <c r="M128" s="876"/>
      <c r="N128" s="876"/>
    </row>
    <row r="129" spans="2:15" x14ac:dyDescent="0.2">
      <c r="B129" s="877" t="s">
        <v>265</v>
      </c>
      <c r="C129" s="878"/>
      <c r="D129" s="878"/>
      <c r="E129" s="878"/>
      <c r="F129" s="879"/>
      <c r="G129" s="880"/>
      <c r="H129" s="881"/>
      <c r="I129" s="832">
        <v>11158835.33</v>
      </c>
      <c r="J129" s="832">
        <v>14155949.680000002</v>
      </c>
      <c r="K129" s="832">
        <v>16416744.780000001</v>
      </c>
      <c r="L129" s="832">
        <v>15517216.110000001</v>
      </c>
      <c r="M129" s="832">
        <f>16663420.86+350795.14</f>
        <v>17014216</v>
      </c>
      <c r="N129" s="832">
        <v>15235918.449999999</v>
      </c>
      <c r="O129" s="826"/>
    </row>
    <row r="130" spans="2:15" x14ac:dyDescent="0.2">
      <c r="B130" s="882"/>
      <c r="C130" s="883"/>
      <c r="D130" s="883"/>
      <c r="E130" s="883"/>
      <c r="F130" s="817"/>
      <c r="G130" s="884"/>
      <c r="H130" s="883"/>
      <c r="I130" s="885"/>
      <c r="J130" s="885"/>
      <c r="K130" s="885"/>
      <c r="L130" s="885"/>
      <c r="M130" s="885"/>
      <c r="N130" s="885"/>
    </row>
    <row r="131" spans="2:15" x14ac:dyDescent="0.2">
      <c r="B131" s="886" t="s">
        <v>5374</v>
      </c>
      <c r="C131" s="887"/>
      <c r="D131" s="887"/>
      <c r="E131" s="887"/>
      <c r="F131" s="887"/>
      <c r="G131" s="888"/>
      <c r="H131" s="887"/>
      <c r="I131" s="889"/>
      <c r="J131" s="889"/>
      <c r="K131" s="889"/>
      <c r="L131" s="889"/>
      <c r="M131" s="889"/>
      <c r="N131" s="889"/>
    </row>
    <row r="132" spans="2:15" x14ac:dyDescent="0.2">
      <c r="B132" s="890"/>
      <c r="C132" s="891"/>
      <c r="D132" s="891"/>
      <c r="E132" s="891"/>
      <c r="F132" s="872"/>
      <c r="G132" s="873"/>
      <c r="H132" s="891"/>
      <c r="I132" s="892"/>
      <c r="J132" s="892"/>
      <c r="K132" s="892"/>
      <c r="L132" s="892"/>
      <c r="M132" s="892"/>
      <c r="N132" s="892"/>
    </row>
    <row r="133" spans="2:15" x14ac:dyDescent="0.2">
      <c r="B133" s="877" t="s">
        <v>315</v>
      </c>
      <c r="C133" s="893"/>
      <c r="D133" s="893"/>
      <c r="E133" s="893"/>
      <c r="F133" s="894"/>
      <c r="G133" s="895"/>
      <c r="H133" s="893"/>
      <c r="I133" s="896">
        <f t="shared" ref="I133:N133" si="15">SUMPRODUCT($D25:$D31,I25:I31)</f>
        <v>1654030.58</v>
      </c>
      <c r="J133" s="896">
        <f t="shared" si="15"/>
        <v>1602811.25</v>
      </c>
      <c r="K133" s="896">
        <f t="shared" si="15"/>
        <v>1903401.08</v>
      </c>
      <c r="L133" s="896">
        <f t="shared" si="15"/>
        <v>2602108.65</v>
      </c>
      <c r="M133" s="896">
        <f t="shared" si="15"/>
        <v>3805883.64</v>
      </c>
      <c r="N133" s="897">
        <f t="shared" si="15"/>
        <v>2912686.56</v>
      </c>
    </row>
    <row r="134" spans="2:15" x14ac:dyDescent="0.2">
      <c r="B134" s="898" t="s">
        <v>313</v>
      </c>
      <c r="C134" s="663"/>
      <c r="D134" s="893"/>
      <c r="E134" s="663"/>
      <c r="F134" s="820"/>
      <c r="G134" s="899"/>
      <c r="H134" s="663"/>
      <c r="I134" s="900">
        <f t="shared" ref="I134:N134" si="16">SUMPRODUCT($D34:$D36,I34:I36)</f>
        <v>1403217.26</v>
      </c>
      <c r="J134" s="900">
        <f t="shared" si="16"/>
        <v>1073057.1499999999</v>
      </c>
      <c r="K134" s="900">
        <f t="shared" si="16"/>
        <v>1780656.07</v>
      </c>
      <c r="L134" s="900">
        <f t="shared" si="16"/>
        <v>1600819.99</v>
      </c>
      <c r="M134" s="900">
        <f t="shared" si="16"/>
        <v>2003512.98</v>
      </c>
      <c r="N134" s="900">
        <f t="shared" si="16"/>
        <v>1415654.21</v>
      </c>
    </row>
    <row r="135" spans="2:15" x14ac:dyDescent="0.2">
      <c r="B135" s="833" t="s">
        <v>308</v>
      </c>
      <c r="C135" s="893"/>
      <c r="D135" s="893"/>
      <c r="E135" s="893"/>
      <c r="F135" s="894"/>
      <c r="G135" s="895"/>
      <c r="H135" s="901"/>
      <c r="I135" s="896">
        <f t="shared" ref="I135:N135" si="17">SUMPRODUCT($D39:$D49,I39:I49)</f>
        <v>1050</v>
      </c>
      <c r="J135" s="896">
        <f>SUMPRODUCT($D39:$D49,J39:J49)</f>
        <v>497.65</v>
      </c>
      <c r="K135" s="896">
        <f t="shared" si="17"/>
        <v>0</v>
      </c>
      <c r="L135" s="896">
        <f t="shared" si="17"/>
        <v>4778.97</v>
      </c>
      <c r="M135" s="896">
        <f t="shared" si="17"/>
        <v>325.83</v>
      </c>
      <c r="N135" s="896">
        <f t="shared" si="17"/>
        <v>0</v>
      </c>
    </row>
    <row r="136" spans="2:15" x14ac:dyDescent="0.2">
      <c r="B136" s="833" t="s">
        <v>303</v>
      </c>
      <c r="C136" s="893"/>
      <c r="D136" s="893"/>
      <c r="E136" s="893"/>
      <c r="F136" s="894"/>
      <c r="G136" s="895"/>
      <c r="H136" s="893"/>
      <c r="I136" s="896">
        <f t="shared" ref="I136:N136" si="18">-SUMPRODUCT($D74:$D78,I74:I78)</f>
        <v>-208219.22</v>
      </c>
      <c r="J136" s="896">
        <f t="shared" si="18"/>
        <v>-248157</v>
      </c>
      <c r="K136" s="896">
        <f>-SUMPRODUCT($D74:$D78,K74:K78)</f>
        <v>-497643.78</v>
      </c>
      <c r="L136" s="896">
        <f t="shared" si="18"/>
        <v>-387407.4</v>
      </c>
      <c r="M136" s="896">
        <f t="shared" si="18"/>
        <v>-191402.94999999998</v>
      </c>
      <c r="N136" s="896">
        <f t="shared" si="18"/>
        <v>-391273.66000000003</v>
      </c>
    </row>
    <row r="137" spans="2:15" x14ac:dyDescent="0.2">
      <c r="B137" s="877" t="s">
        <v>311</v>
      </c>
      <c r="C137" s="893"/>
      <c r="D137" s="893"/>
      <c r="E137" s="893"/>
      <c r="F137" s="894"/>
      <c r="G137" s="895"/>
      <c r="H137" s="893"/>
      <c r="I137" s="896">
        <f t="shared" ref="I137:N137" si="19">-SUMPRODUCT($D84,I84)</f>
        <v>-509067.7</v>
      </c>
      <c r="J137" s="896">
        <f t="shared" si="19"/>
        <v>-485414.92</v>
      </c>
      <c r="K137" s="896">
        <f t="shared" si="19"/>
        <v>-752859.66</v>
      </c>
      <c r="L137" s="896">
        <f t="shared" si="19"/>
        <v>-853062.53</v>
      </c>
      <c r="M137" s="896">
        <f t="shared" si="19"/>
        <v>-1220763.8400000001</v>
      </c>
      <c r="N137" s="896">
        <f t="shared" si="19"/>
        <v>-62544.74</v>
      </c>
    </row>
    <row r="138" spans="2:15" x14ac:dyDescent="0.2">
      <c r="B138" s="833" t="s">
        <v>301</v>
      </c>
      <c r="C138" s="893"/>
      <c r="D138" s="893"/>
      <c r="E138" s="893"/>
      <c r="F138" s="894"/>
      <c r="G138" s="895"/>
      <c r="H138" s="893"/>
      <c r="I138" s="896">
        <f t="shared" ref="I138:N138" si="20">-SUMPRODUCT($D87:$D119,I87:I119)</f>
        <v>-186885.58000000002</v>
      </c>
      <c r="J138" s="896">
        <f t="shared" si="20"/>
        <v>-229925.51</v>
      </c>
      <c r="K138" s="896">
        <f t="shared" si="20"/>
        <v>-185524.90000000002</v>
      </c>
      <c r="L138" s="896">
        <f t="shared" si="20"/>
        <v>-281672.34000000003</v>
      </c>
      <c r="M138" s="896">
        <f t="shared" si="20"/>
        <v>-356721.71</v>
      </c>
      <c r="N138" s="896">
        <f t="shared" si="20"/>
        <v>-200197</v>
      </c>
    </row>
    <row r="139" spans="2:15" x14ac:dyDescent="0.2">
      <c r="B139" s="877"/>
      <c r="C139" s="893"/>
      <c r="D139" s="893"/>
      <c r="E139" s="893"/>
      <c r="F139" s="894"/>
      <c r="G139" s="895"/>
      <c r="H139" s="893"/>
      <c r="I139" s="896"/>
      <c r="J139" s="896"/>
      <c r="K139" s="896"/>
      <c r="L139" s="896"/>
      <c r="M139" s="896"/>
      <c r="N139" s="896"/>
    </row>
    <row r="140" spans="2:15" x14ac:dyDescent="0.2">
      <c r="B140" s="902" t="s">
        <v>5417</v>
      </c>
      <c r="C140" s="903"/>
      <c r="D140" s="903"/>
      <c r="E140" s="903"/>
      <c r="F140" s="903"/>
      <c r="G140" s="904"/>
      <c r="H140" s="903"/>
      <c r="I140" s="905">
        <f t="shared" ref="I140:N140" si="21">SUM(I133:I138)</f>
        <v>2154125.3399999994</v>
      </c>
      <c r="J140" s="905">
        <f t="shared" si="21"/>
        <v>1712868.6199999999</v>
      </c>
      <c r="K140" s="905">
        <f t="shared" si="21"/>
        <v>2248028.81</v>
      </c>
      <c r="L140" s="905">
        <f t="shared" si="21"/>
        <v>2685565.34</v>
      </c>
      <c r="M140" s="905">
        <f t="shared" si="21"/>
        <v>4040833.95</v>
      </c>
      <c r="N140" s="905">
        <f t="shared" si="21"/>
        <v>3674325.3699999992</v>
      </c>
    </row>
    <row r="141" spans="2:15" x14ac:dyDescent="0.2">
      <c r="B141" s="906" t="s">
        <v>5418</v>
      </c>
      <c r="C141" s="878"/>
      <c r="D141" s="878"/>
      <c r="E141" s="878"/>
      <c r="F141" s="907"/>
      <c r="G141" s="908"/>
      <c r="H141" s="878"/>
      <c r="I141" s="909">
        <f t="shared" ref="I141:N141" si="22">I140/I129</f>
        <v>0.19304212996214179</v>
      </c>
      <c r="J141" s="909">
        <f t="shared" si="22"/>
        <v>0.12099990878181757</v>
      </c>
      <c r="K141" s="909">
        <f t="shared" si="22"/>
        <v>0.13693511351523854</v>
      </c>
      <c r="L141" s="909">
        <f t="shared" si="22"/>
        <v>0.17307004819436</v>
      </c>
      <c r="M141" s="909">
        <f t="shared" si="22"/>
        <v>0.23749751090499852</v>
      </c>
      <c r="N141" s="909">
        <f t="shared" si="22"/>
        <v>0.24116205281999256</v>
      </c>
    </row>
    <row r="142" spans="2:15" x14ac:dyDescent="0.2">
      <c r="B142" s="910"/>
      <c r="C142" s="682"/>
      <c r="D142" s="682"/>
      <c r="E142" s="682"/>
      <c r="H142" s="682"/>
      <c r="I142" s="911"/>
      <c r="J142" s="911"/>
      <c r="K142" s="911"/>
      <c r="L142" s="911"/>
      <c r="M142" s="911"/>
      <c r="N142" s="911"/>
    </row>
    <row r="143" spans="2:15" x14ac:dyDescent="0.2">
      <c r="B143" s="912" t="s">
        <v>5419</v>
      </c>
      <c r="C143" s="913"/>
      <c r="D143" s="913"/>
      <c r="E143" s="887"/>
      <c r="F143" s="887"/>
      <c r="G143" s="888"/>
      <c r="H143" s="887"/>
      <c r="I143" s="914"/>
      <c r="J143" s="914"/>
      <c r="K143" s="914"/>
      <c r="L143" s="914"/>
      <c r="M143" s="914"/>
      <c r="N143" s="914"/>
    </row>
    <row r="144" spans="2:15" x14ac:dyDescent="0.2">
      <c r="B144" s="915"/>
      <c r="C144" s="916"/>
      <c r="D144" s="917" t="s">
        <v>5420</v>
      </c>
      <c r="E144" s="1002" t="s">
        <v>5421</v>
      </c>
      <c r="F144" s="1002"/>
      <c r="G144" s="1002"/>
      <c r="H144" s="1002"/>
      <c r="I144" s="918"/>
      <c r="J144" s="919"/>
      <c r="K144" s="919"/>
      <c r="L144" s="919"/>
      <c r="M144" s="919"/>
      <c r="N144" s="919"/>
    </row>
    <row r="145" spans="2:15" ht="15" customHeight="1" x14ac:dyDescent="0.2">
      <c r="B145" s="854" t="s">
        <v>5422</v>
      </c>
      <c r="C145" s="920"/>
      <c r="D145" s="921">
        <f>AVERAGE(I141:M141)</f>
        <v>0.17230894227171129</v>
      </c>
      <c r="E145" s="1003">
        <f>AVERAGE(J141:N141)</f>
        <v>0.18193292684328144</v>
      </c>
      <c r="F145" s="1003"/>
      <c r="G145" s="1003"/>
      <c r="H145" s="1003"/>
      <c r="I145" s="918"/>
      <c r="J145" s="918"/>
      <c r="K145" s="918"/>
      <c r="L145" s="922"/>
      <c r="M145" s="922">
        <f>$M$129*D145</f>
        <v>2931701.5625424264</v>
      </c>
      <c r="N145" s="922">
        <f>$N$129*E145</f>
        <v>2771915.2367540519</v>
      </c>
      <c r="O145" s="816" t="s">
        <v>5423</v>
      </c>
    </row>
    <row r="146" spans="2:15" x14ac:dyDescent="0.2">
      <c r="B146" s="906"/>
      <c r="C146" s="878"/>
      <c r="D146" s="923"/>
      <c r="E146" s="883"/>
      <c r="F146" s="924"/>
      <c r="G146" s="925"/>
      <c r="H146" s="883"/>
      <c r="I146" s="926"/>
      <c r="J146" s="926"/>
      <c r="K146" s="926"/>
      <c r="L146" s="926"/>
      <c r="M146" s="926"/>
      <c r="N146" s="926"/>
    </row>
    <row r="147" spans="2:15" ht="15" customHeight="1" x14ac:dyDescent="0.2">
      <c r="B147" s="927" t="s">
        <v>5424</v>
      </c>
      <c r="C147" s="928"/>
      <c r="D147" s="928"/>
      <c r="E147" s="928"/>
      <c r="F147" s="928"/>
      <c r="G147" s="929"/>
      <c r="H147" s="928"/>
      <c r="I147" s="930"/>
      <c r="J147" s="930"/>
      <c r="K147" s="930"/>
      <c r="L147" s="931"/>
      <c r="M147" s="931">
        <f>M140-M145</f>
        <v>1109132.3874575738</v>
      </c>
      <c r="N147" s="931">
        <f>N140-N145</f>
        <v>902410.13324594731</v>
      </c>
    </row>
    <row r="148" spans="2:15" x14ac:dyDescent="0.2">
      <c r="I148" s="932"/>
      <c r="J148" s="932"/>
      <c r="K148" s="932"/>
      <c r="L148" s="932"/>
      <c r="M148" s="932"/>
      <c r="N148" s="932"/>
    </row>
    <row r="149" spans="2:15" x14ac:dyDescent="0.2">
      <c r="I149" s="932"/>
      <c r="J149" s="932"/>
      <c r="K149" s="932"/>
      <c r="L149" s="932"/>
      <c r="M149" s="932"/>
      <c r="N149" s="932"/>
    </row>
    <row r="150" spans="2:15" x14ac:dyDescent="0.2">
      <c r="B150" s="933" t="s">
        <v>5425</v>
      </c>
      <c r="C150" s="934"/>
      <c r="D150" s="935"/>
      <c r="E150" s="935"/>
      <c r="F150" s="935"/>
      <c r="G150" s="936"/>
      <c r="H150" s="934"/>
      <c r="I150" s="937"/>
      <c r="J150" s="937"/>
      <c r="K150" s="937"/>
      <c r="L150" s="868"/>
      <c r="M150" s="868">
        <v>45657</v>
      </c>
      <c r="N150" s="868">
        <v>46022</v>
      </c>
    </row>
    <row r="151" spans="2:15" x14ac:dyDescent="0.2">
      <c r="B151" s="877"/>
      <c r="C151" s="907"/>
      <c r="D151" s="907"/>
      <c r="E151" s="907"/>
      <c r="F151" s="894"/>
      <c r="G151" s="895"/>
      <c r="H151" s="938"/>
      <c r="I151" s="939"/>
      <c r="J151" s="939"/>
      <c r="K151" s="939"/>
      <c r="L151" s="939"/>
      <c r="M151" s="939"/>
      <c r="N151" s="939"/>
    </row>
    <row r="152" spans="2:15" x14ac:dyDescent="0.2">
      <c r="B152" s="833" t="s">
        <v>319</v>
      </c>
      <c r="C152" s="907"/>
      <c r="D152" s="907"/>
      <c r="E152" s="907"/>
      <c r="F152" s="894"/>
      <c r="G152" s="895"/>
      <c r="H152" s="938"/>
      <c r="I152" s="939"/>
      <c r="J152" s="939"/>
      <c r="K152" s="939"/>
      <c r="L152" s="940"/>
      <c r="M152" s="940">
        <f>SUMPRODUCT($E$21:$E$22,M21:M22)</f>
        <v>75425.62</v>
      </c>
      <c r="N152" s="940">
        <f>SUMPRODUCT($E$21:$E$22,N21:N22)</f>
        <v>121965.62</v>
      </c>
    </row>
    <row r="153" spans="2:15" x14ac:dyDescent="0.2">
      <c r="B153" s="877" t="s">
        <v>308</v>
      </c>
      <c r="C153" s="894"/>
      <c r="D153" s="907"/>
      <c r="E153" s="894"/>
      <c r="F153" s="894"/>
      <c r="G153" s="895"/>
      <c r="H153" s="941"/>
      <c r="I153" s="942"/>
      <c r="J153" s="942"/>
      <c r="K153" s="942"/>
      <c r="L153" s="940"/>
      <c r="M153" s="940">
        <f>SUMPRODUCT($E$39:$E$49,M39:M49)</f>
        <v>423377.01</v>
      </c>
      <c r="N153" s="940">
        <f>SUMPRODUCT($E$39:$E$49,N39:N49)</f>
        <v>309091.84000000003</v>
      </c>
    </row>
    <row r="154" spans="2:15" x14ac:dyDescent="0.2">
      <c r="B154" s="877" t="s">
        <v>5426</v>
      </c>
      <c r="C154" s="894"/>
      <c r="D154" s="907"/>
      <c r="E154" s="894"/>
      <c r="F154" s="894"/>
      <c r="G154" s="895"/>
      <c r="H154" s="941"/>
      <c r="I154" s="942"/>
      <c r="J154" s="942"/>
      <c r="K154" s="942"/>
      <c r="L154" s="940"/>
      <c r="M154" s="940">
        <f>SUMPRODUCT($E$52:$E$56,M52:M56)</f>
        <v>1004060.84</v>
      </c>
      <c r="N154" s="940">
        <f>SUMPRODUCT($E$52:$E$56,N52:N56)</f>
        <v>2026280.7</v>
      </c>
    </row>
    <row r="155" spans="2:15" x14ac:dyDescent="0.2">
      <c r="B155" s="877" t="s">
        <v>4509</v>
      </c>
      <c r="C155" s="894"/>
      <c r="D155" s="907"/>
      <c r="E155" s="894"/>
      <c r="F155" s="894"/>
      <c r="G155" s="895"/>
      <c r="H155" s="941"/>
      <c r="I155" s="942"/>
      <c r="J155" s="942"/>
      <c r="K155" s="942"/>
      <c r="L155" s="940"/>
      <c r="M155" s="940">
        <f>SUMPRODUCT($E$59:$E$59,M59:M59)</f>
        <v>62927.86</v>
      </c>
      <c r="N155" s="940">
        <f>SUMPRODUCT($E$59:$E$59,N59:N59)</f>
        <v>51301.45</v>
      </c>
    </row>
    <row r="156" spans="2:15" x14ac:dyDescent="0.2">
      <c r="B156" s="877" t="s">
        <v>288</v>
      </c>
      <c r="C156" s="894"/>
      <c r="D156" s="907"/>
      <c r="E156" s="894"/>
      <c r="F156" s="894"/>
      <c r="G156" s="895"/>
      <c r="H156" s="941"/>
      <c r="I156" s="942"/>
      <c r="J156" s="942"/>
      <c r="K156" s="942"/>
      <c r="L156" s="940"/>
      <c r="M156" s="940">
        <f>-SUMPRODUCT($E$70:$E$71,M70:M71)</f>
        <v>0</v>
      </c>
      <c r="N156" s="940">
        <f>-SUMPRODUCT($E$70:$E$71,N70:N71)</f>
        <v>0</v>
      </c>
    </row>
    <row r="157" spans="2:15" x14ac:dyDescent="0.2">
      <c r="B157" s="877" t="s">
        <v>5399</v>
      </c>
      <c r="C157" s="894"/>
      <c r="D157" s="907"/>
      <c r="E157" s="894"/>
      <c r="F157" s="894"/>
      <c r="G157" s="895"/>
      <c r="H157" s="941"/>
      <c r="I157" s="942"/>
      <c r="J157" s="942"/>
      <c r="K157" s="942"/>
      <c r="L157" s="940"/>
      <c r="M157" s="940">
        <f>-SUMPRODUCT($E$67,M67)</f>
        <v>-182403</v>
      </c>
      <c r="N157" s="940">
        <f>-SUMPRODUCT($E$67,N67)</f>
        <v>-171743</v>
      </c>
    </row>
    <row r="158" spans="2:15" x14ac:dyDescent="0.2">
      <c r="B158" s="877" t="s">
        <v>303</v>
      </c>
      <c r="C158" s="894"/>
      <c r="D158" s="907"/>
      <c r="E158" s="894"/>
      <c r="F158" s="894"/>
      <c r="G158" s="895"/>
      <c r="H158" s="941"/>
      <c r="I158" s="942"/>
      <c r="J158" s="942"/>
      <c r="K158" s="942"/>
      <c r="L158" s="940"/>
      <c r="M158" s="940">
        <f>-SUMPRODUCT($E$74:$E$78,M74:M78)</f>
        <v>-37000</v>
      </c>
      <c r="N158" s="940">
        <f>-SUMPRODUCT($E$74:$E$78,N74:N78)</f>
        <v>-37000</v>
      </c>
    </row>
    <row r="159" spans="2:15" x14ac:dyDescent="0.2">
      <c r="B159" s="877" t="s">
        <v>5401</v>
      </c>
      <c r="C159" s="894"/>
      <c r="D159" s="907"/>
      <c r="E159" s="894"/>
      <c r="F159" s="894"/>
      <c r="G159" s="895"/>
      <c r="H159" s="941"/>
      <c r="I159" s="942"/>
      <c r="J159" s="942"/>
      <c r="K159" s="942"/>
      <c r="L159" s="940"/>
      <c r="M159" s="940">
        <f>-SUMPRODUCT($E$81,M81)</f>
        <v>0</v>
      </c>
      <c r="N159" s="940">
        <f>-SUMPRODUCT($E$81,N81)</f>
        <v>-19425</v>
      </c>
    </row>
    <row r="160" spans="2:15" x14ac:dyDescent="0.2">
      <c r="B160" s="877" t="s">
        <v>301</v>
      </c>
      <c r="C160" s="894"/>
      <c r="D160" s="907"/>
      <c r="E160" s="894"/>
      <c r="F160" s="894"/>
      <c r="G160" s="895"/>
      <c r="H160" s="941"/>
      <c r="I160" s="942"/>
      <c r="J160" s="942"/>
      <c r="K160" s="942"/>
      <c r="L160" s="940"/>
      <c r="M160" s="940">
        <f>-SUMPRODUCT($E$87:$E$119,M87:M119)</f>
        <v>-136002.24000000025</v>
      </c>
      <c r="N160" s="940">
        <f>-SUMPRODUCT($E$87:$E$119,N87:N119)</f>
        <v>-229880.14000000025</v>
      </c>
    </row>
    <row r="161" spans="2:14" x14ac:dyDescent="0.2">
      <c r="B161" s="943"/>
      <c r="C161" s="944"/>
      <c r="D161" s="817"/>
      <c r="E161" s="944"/>
      <c r="F161" s="944"/>
      <c r="G161" s="945"/>
      <c r="H161" s="944"/>
      <c r="I161" s="946"/>
      <c r="J161" s="946"/>
      <c r="K161" s="946"/>
      <c r="L161" s="947"/>
      <c r="M161" s="947"/>
      <c r="N161" s="947"/>
    </row>
    <row r="162" spans="2:14" x14ac:dyDescent="0.2">
      <c r="B162" s="927" t="s">
        <v>5427</v>
      </c>
      <c r="C162" s="928"/>
      <c r="D162" s="928"/>
      <c r="E162" s="928"/>
      <c r="F162" s="928"/>
      <c r="G162" s="929"/>
      <c r="H162" s="928"/>
      <c r="I162" s="931"/>
      <c r="J162" s="931"/>
      <c r="K162" s="931"/>
      <c r="L162" s="931"/>
      <c r="M162" s="931">
        <f>SUM(M152:M160)</f>
        <v>1210386.0899999999</v>
      </c>
      <c r="N162" s="931">
        <f>SUM(N152:N160)</f>
        <v>2050591.4700000002</v>
      </c>
    </row>
    <row r="163" spans="2:14" x14ac:dyDescent="0.2">
      <c r="G163" s="813"/>
    </row>
    <row r="164" spans="2:14" x14ac:dyDescent="0.2">
      <c r="G164" s="813"/>
    </row>
    <row r="165" spans="2:14" x14ac:dyDescent="0.2">
      <c r="B165" s="933" t="s">
        <v>5428</v>
      </c>
      <c r="C165" s="934"/>
      <c r="D165" s="935"/>
      <c r="E165" s="935"/>
      <c r="F165" s="935"/>
      <c r="G165" s="936"/>
      <c r="H165" s="934"/>
      <c r="I165" s="937"/>
      <c r="J165" s="937"/>
      <c r="K165" s="937"/>
      <c r="L165" s="868"/>
      <c r="M165" s="868">
        <v>45657</v>
      </c>
      <c r="N165" s="868">
        <v>46022</v>
      </c>
    </row>
    <row r="166" spans="2:14" x14ac:dyDescent="0.2">
      <c r="B166" s="877"/>
      <c r="C166" s="907"/>
      <c r="D166" s="907"/>
      <c r="E166" s="907"/>
      <c r="F166" s="894"/>
      <c r="G166" s="895"/>
      <c r="H166" s="938"/>
      <c r="I166" s="939"/>
      <c r="J166" s="939"/>
      <c r="K166" s="939"/>
      <c r="L166" s="939"/>
      <c r="M166" s="939"/>
      <c r="N166" s="939"/>
    </row>
    <row r="167" spans="2:14" x14ac:dyDescent="0.2">
      <c r="B167" s="927" t="s">
        <v>5424</v>
      </c>
      <c r="C167" s="928"/>
      <c r="D167" s="928"/>
      <c r="E167" s="928"/>
      <c r="F167" s="928"/>
      <c r="G167" s="929"/>
      <c r="H167" s="928"/>
      <c r="I167" s="931"/>
      <c r="J167" s="931"/>
      <c r="K167" s="931"/>
      <c r="L167" s="931"/>
      <c r="M167" s="931">
        <f>M147</f>
        <v>1109132.3874575738</v>
      </c>
      <c r="N167" s="931">
        <f>N147</f>
        <v>902410.13324594731</v>
      </c>
    </row>
    <row r="168" spans="2:14" x14ac:dyDescent="0.2">
      <c r="B168" s="877"/>
      <c r="C168" s="907"/>
      <c r="D168" s="907"/>
      <c r="E168" s="894"/>
      <c r="F168" s="894"/>
      <c r="G168" s="895"/>
      <c r="H168" s="941"/>
      <c r="I168" s="942"/>
      <c r="J168" s="942"/>
      <c r="K168" s="942"/>
      <c r="L168" s="940"/>
      <c r="M168" s="940"/>
      <c r="N168" s="940"/>
    </row>
    <row r="169" spans="2:14" x14ac:dyDescent="0.2">
      <c r="B169" s="927" t="s">
        <v>5427</v>
      </c>
      <c r="C169" s="928"/>
      <c r="D169" s="928"/>
      <c r="E169" s="928"/>
      <c r="F169" s="928"/>
      <c r="G169" s="929"/>
      <c r="H169" s="928"/>
      <c r="I169" s="931"/>
      <c r="J169" s="931"/>
      <c r="K169" s="931"/>
      <c r="L169" s="931"/>
      <c r="M169" s="931">
        <f>M162</f>
        <v>1210386.0899999999</v>
      </c>
      <c r="N169" s="931">
        <f>N162</f>
        <v>2050591.4700000002</v>
      </c>
    </row>
    <row r="170" spans="2:14" x14ac:dyDescent="0.2">
      <c r="B170" s="943"/>
      <c r="C170" s="944"/>
      <c r="D170" s="944"/>
      <c r="E170" s="944"/>
      <c r="F170" s="944"/>
      <c r="G170" s="945"/>
      <c r="H170" s="944"/>
      <c r="I170" s="946"/>
      <c r="J170" s="946"/>
      <c r="K170" s="946"/>
      <c r="L170" s="947"/>
      <c r="M170" s="947"/>
      <c r="N170" s="947"/>
    </row>
    <row r="171" spans="2:14" x14ac:dyDescent="0.2">
      <c r="B171" s="927"/>
      <c r="C171" s="928"/>
      <c r="D171" s="928"/>
      <c r="E171" s="928"/>
      <c r="F171" s="928"/>
      <c r="G171" s="929"/>
      <c r="H171" s="928"/>
      <c r="I171" s="931"/>
      <c r="J171" s="931"/>
      <c r="K171" s="931"/>
      <c r="L171" s="948"/>
      <c r="M171" s="948"/>
      <c r="N171" s="948"/>
    </row>
    <row r="172" spans="2:14" x14ac:dyDescent="0.2">
      <c r="B172" s="854" t="s">
        <v>5429</v>
      </c>
      <c r="C172" s="907"/>
      <c r="D172" s="907"/>
      <c r="E172" s="907"/>
      <c r="F172" s="907"/>
      <c r="G172" s="908"/>
      <c r="H172" s="938"/>
      <c r="I172" s="949"/>
      <c r="J172" s="949"/>
      <c r="K172" s="949"/>
      <c r="L172" s="939"/>
      <c r="M172" s="939">
        <f>M167+M169</f>
        <v>2319518.4774575736</v>
      </c>
      <c r="N172" s="939">
        <f>N167+N169</f>
        <v>2953001.6032459475</v>
      </c>
    </row>
    <row r="173" spans="2:14" ht="21.6" customHeight="1" x14ac:dyDescent="0.2">
      <c r="B173" s="950"/>
      <c r="C173" s="928"/>
      <c r="D173" s="928"/>
      <c r="E173" s="928"/>
      <c r="F173" s="928"/>
      <c r="G173" s="929"/>
      <c r="H173" s="928"/>
      <c r="I173" s="931"/>
      <c r="J173" s="931"/>
      <c r="K173" s="931"/>
      <c r="L173" s="951"/>
      <c r="M173" s="951"/>
      <c r="N173" s="951"/>
    </row>
    <row r="175" spans="2:14" x14ac:dyDescent="0.2">
      <c r="M175" s="952"/>
    </row>
    <row r="176" spans="2:14" x14ac:dyDescent="0.2">
      <c r="M176" s="952"/>
      <c r="N176" s="952"/>
    </row>
  </sheetData>
  <mergeCells count="8">
    <mergeCell ref="E144:H144"/>
    <mergeCell ref="E145:H145"/>
    <mergeCell ref="I1:N1"/>
    <mergeCell ref="A5:A6"/>
    <mergeCell ref="B5:B6"/>
    <mergeCell ref="D5:D6"/>
    <mergeCell ref="E5:E6"/>
    <mergeCell ref="G5:G6"/>
  </mergeCells>
  <conditionalFormatting sqref="A166:A1048576 A120:A162 A1:A6">
    <cfRule type="duplicateValues" dxfId="204" priority="1"/>
  </conditionalFormatting>
  <pageMargins left="0.7" right="0.7" top="0.78740157499999996" bottom="0.78740157499999996" header="0.3" footer="0.3"/>
  <pageSetup paperSize="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FBBFE-BAB0-47E0-8C3C-C79FB0AD93BB}">
  <sheetPr>
    <tabColor rgb="FF92D050"/>
  </sheetPr>
  <dimension ref="A1:Q61"/>
  <sheetViews>
    <sheetView workbookViewId="0"/>
  </sheetViews>
  <sheetFormatPr defaultColWidth="11.28515625" defaultRowHeight="12" outlineLevelRow="3" outlineLevelCol="2" x14ac:dyDescent="0.2"/>
  <cols>
    <col min="1" max="1" width="11.28515625" style="1"/>
    <col min="2" max="2" width="0.85546875" style="1" hidden="1" customWidth="1" outlineLevel="2"/>
    <col min="3" max="3" width="45.5703125" style="1" customWidth="1" collapsed="1"/>
    <col min="4" max="4" width="35.5703125" style="1" hidden="1" customWidth="1" outlineLevel="1"/>
    <col min="5" max="5" width="4" style="1" customWidth="1" collapsed="1"/>
    <col min="6" max="9" width="9.42578125" style="1" customWidth="1"/>
    <col min="10" max="13" width="9.42578125" style="1" hidden="1" customWidth="1" outlineLevel="1"/>
    <col min="14" max="14" width="0.85546875" style="1" hidden="1" customWidth="1" outlineLevel="2"/>
    <col min="15" max="15" width="11.28515625" style="1" collapsed="1"/>
    <col min="16" max="16" width="38.85546875" style="1" bestFit="1" customWidth="1"/>
    <col min="17" max="17" width="53.5703125" style="1" customWidth="1"/>
    <col min="18" max="16384" width="11.28515625" style="1"/>
  </cols>
  <sheetData>
    <row r="1" spans="3:17" outlineLevel="3" x14ac:dyDescent="0.2"/>
    <row r="3" spans="3:17" ht="11.25" customHeight="1" x14ac:dyDescent="0.2"/>
    <row r="4" spans="3:17" ht="11.25" customHeight="1" x14ac:dyDescent="0.2">
      <c r="C4" s="768" t="str">
        <f>Cockpit!$C$4</f>
        <v>Projekt Namur</v>
      </c>
      <c r="D4" s="769"/>
      <c r="E4" s="769"/>
      <c r="F4" s="770">
        <f>Cockpit!D39</f>
        <v>44926</v>
      </c>
      <c r="G4" s="770">
        <f>Cockpit!E39</f>
        <v>45291</v>
      </c>
      <c r="H4" s="770">
        <f>Cockpit!F39</f>
        <v>45657</v>
      </c>
      <c r="I4" s="771">
        <f>Cockpit!G39</f>
        <v>46022</v>
      </c>
      <c r="J4" s="234">
        <f>Cockpit!H39</f>
        <v>46022</v>
      </c>
      <c r="K4" s="234">
        <f>Cockpit!I39</f>
        <v>46387</v>
      </c>
      <c r="L4" s="234">
        <f>Cockpit!J39</f>
        <v>46752</v>
      </c>
      <c r="M4" s="234">
        <f>Cockpit!K39</f>
        <v>47118</v>
      </c>
      <c r="Q4" s="517" t="s">
        <v>2465</v>
      </c>
    </row>
    <row r="5" spans="3:17" ht="11.25" customHeight="1" x14ac:dyDescent="0.2">
      <c r="C5" s="772" t="str">
        <f>"in T"&amp;Cockpit!$C$5</f>
        <v>in TEUR</v>
      </c>
      <c r="D5" s="773"/>
      <c r="E5" s="773" t="s">
        <v>473</v>
      </c>
      <c r="F5" s="774" t="s">
        <v>35</v>
      </c>
      <c r="G5" s="774" t="s">
        <v>35</v>
      </c>
      <c r="H5" s="774" t="s">
        <v>35</v>
      </c>
      <c r="I5" s="775" t="s">
        <v>35</v>
      </c>
      <c r="J5" s="234" t="str">
        <f>Cockpit!H40</f>
        <v>Plan</v>
      </c>
      <c r="K5" s="234" t="str">
        <f>Cockpit!I40</f>
        <v>Plan</v>
      </c>
      <c r="L5" s="234" t="str">
        <f>Cockpit!J40</f>
        <v>Plan</v>
      </c>
      <c r="M5" s="234" t="str">
        <f>Cockpit!K40</f>
        <v>Plan</v>
      </c>
    </row>
    <row r="6" spans="3:17" ht="11.25" hidden="1" customHeight="1" outlineLevel="1" x14ac:dyDescent="0.2">
      <c r="C6" s="233"/>
      <c r="D6" s="232" t="str">
        <f>Cockpit!$C$4</f>
        <v>Projekt Namur</v>
      </c>
      <c r="E6" s="232"/>
      <c r="F6" s="261">
        <f>Cockpit!D39</f>
        <v>44926</v>
      </c>
      <c r="G6" s="261">
        <f>Cockpit!E39</f>
        <v>45291</v>
      </c>
      <c r="H6" s="261">
        <f>Cockpit!F39</f>
        <v>45657</v>
      </c>
      <c r="I6" s="261">
        <f>Cockpit!G39</f>
        <v>46022</v>
      </c>
      <c r="J6" s="261">
        <f>Cockpit!H39</f>
        <v>46022</v>
      </c>
      <c r="K6" s="261">
        <f>Cockpit!I39</f>
        <v>46387</v>
      </c>
      <c r="L6" s="261">
        <f>Cockpit!J39</f>
        <v>46752</v>
      </c>
      <c r="M6" s="261">
        <f>Cockpit!K39</f>
        <v>47118</v>
      </c>
    </row>
    <row r="7" spans="3:17" ht="11.25" hidden="1" customHeight="1" outlineLevel="1" x14ac:dyDescent="0.2">
      <c r="C7" s="233"/>
      <c r="D7" s="232" t="str">
        <f>"in k"&amp;Cockpit!$C$5</f>
        <v>in kEUR</v>
      </c>
      <c r="E7" s="232" t="s">
        <v>473</v>
      </c>
      <c r="F7" s="261" t="str">
        <f>Cockpit!D40</f>
        <v>IST</v>
      </c>
      <c r="G7" s="261" t="str">
        <f>Cockpit!E40</f>
        <v>IST</v>
      </c>
      <c r="H7" s="261" t="str">
        <f>Cockpit!F40</f>
        <v>IST</v>
      </c>
      <c r="I7" s="261" t="str">
        <f>Cockpit!G40</f>
        <v>IST</v>
      </c>
      <c r="J7" s="261" t="str">
        <f>Cockpit!H40</f>
        <v>Plan</v>
      </c>
      <c r="K7" s="261" t="str">
        <f>Cockpit!I40</f>
        <v>Plan</v>
      </c>
      <c r="L7" s="261" t="str">
        <f>Cockpit!J40</f>
        <v>Plan</v>
      </c>
      <c r="M7" s="261" t="str">
        <f>Cockpit!K40</f>
        <v>Plan</v>
      </c>
      <c r="P7" s="419" t="s">
        <v>840</v>
      </c>
    </row>
    <row r="8" spans="3:17" ht="4.5" customHeight="1" collapsed="1" x14ac:dyDescent="0.2">
      <c r="C8" s="308"/>
      <c r="D8" s="157"/>
      <c r="E8" s="157"/>
      <c r="F8" s="156"/>
      <c r="G8" s="156"/>
      <c r="H8" s="156"/>
      <c r="I8" s="156"/>
      <c r="J8" s="156"/>
      <c r="K8" s="156"/>
      <c r="L8" s="156"/>
      <c r="M8" s="156"/>
    </row>
    <row r="9" spans="3:17" ht="11.25" customHeight="1" x14ac:dyDescent="0.2">
      <c r="C9" s="37" t="str">
        <f>'Lead NA'!C43</f>
        <v>Liquide Mittel</v>
      </c>
      <c r="D9" s="37" t="str">
        <f>'Lead NA'!D43</f>
        <v>Cash</v>
      </c>
      <c r="E9" s="532">
        <v>1</v>
      </c>
      <c r="F9" s="284">
        <f>'Lead NA'!F43</f>
        <v>3008.3486599999997</v>
      </c>
      <c r="G9" s="284">
        <f>'Lead NA'!G43</f>
        <v>2715.5673000000002</v>
      </c>
      <c r="H9" s="284">
        <f>'Lead NA'!H43</f>
        <v>1004.06084</v>
      </c>
      <c r="I9" s="284">
        <f>'Lead NA'!I43</f>
        <v>2026.2807</v>
      </c>
      <c r="J9" s="282">
        <f>'Lead NA'!J43</f>
        <v>0</v>
      </c>
      <c r="K9" s="282">
        <f>'Lead NA'!K43</f>
        <v>0</v>
      </c>
      <c r="L9" s="282">
        <f>'Lead NA'!L43</f>
        <v>0</v>
      </c>
      <c r="M9" s="282">
        <f>'Lead NA'!M43</f>
        <v>0</v>
      </c>
    </row>
    <row r="10" spans="3:17" ht="11.25" customHeight="1" x14ac:dyDescent="0.2">
      <c r="C10" s="37" t="str">
        <f>'Lead NA'!C44</f>
        <v>Verbindlichkeiten ggü.Kreditinstituten</v>
      </c>
      <c r="D10" s="37" t="str">
        <f>'Lead NA'!D44</f>
        <v>Liabilities to banks</v>
      </c>
      <c r="E10" s="532">
        <v>2</v>
      </c>
      <c r="F10" s="284">
        <f>'Lead NA'!F44</f>
        <v>0</v>
      </c>
      <c r="G10" s="284">
        <f>'Lead NA'!G44</f>
        <v>0</v>
      </c>
      <c r="H10" s="284">
        <f>'Lead NA'!H44</f>
        <v>0</v>
      </c>
      <c r="I10" s="284">
        <f>'Lead NA'!I44</f>
        <v>-19.425000000000001</v>
      </c>
      <c r="J10" s="282">
        <f>'Lead NA'!J44</f>
        <v>0</v>
      </c>
      <c r="K10" s="282">
        <f>'Lead NA'!K44</f>
        <v>0</v>
      </c>
      <c r="L10" s="282">
        <f>'Lead NA'!L44</f>
        <v>0</v>
      </c>
      <c r="M10" s="282">
        <f>'Lead NA'!M44</f>
        <v>0</v>
      </c>
    </row>
    <row r="11" spans="3:17" ht="11.25" customHeight="1" x14ac:dyDescent="0.2">
      <c r="C11" s="37" t="str">
        <f>'Lead NA'!C45</f>
        <v>Pensionsrückstellungen</v>
      </c>
      <c r="D11" s="37" t="str">
        <f>'Lead NA'!D46</f>
        <v>Tax provisions</v>
      </c>
      <c r="E11" s="532">
        <v>3</v>
      </c>
      <c r="F11" s="284">
        <f>'Lead NA'!F45</f>
        <v>-201.476</v>
      </c>
      <c r="G11" s="284">
        <f>'Lead NA'!G45</f>
        <v>-192.102</v>
      </c>
      <c r="H11" s="284">
        <f>'Lead NA'!H45</f>
        <v>-182.40299999999999</v>
      </c>
      <c r="I11" s="284">
        <f>'Lead NA'!I45</f>
        <v>-171.74299999999999</v>
      </c>
      <c r="J11" s="282">
        <f>'Lead NA'!J46</f>
        <v>0</v>
      </c>
      <c r="K11" s="282">
        <f>'Lead NA'!K46</f>
        <v>0</v>
      </c>
      <c r="L11" s="282">
        <f>'Lead NA'!L46</f>
        <v>0</v>
      </c>
      <c r="M11" s="282">
        <f>'Lead NA'!M46</f>
        <v>0</v>
      </c>
    </row>
    <row r="12" spans="3:17" ht="11.25" customHeight="1" x14ac:dyDescent="0.2">
      <c r="C12" s="37" t="str">
        <f>'Lead NA'!C46</f>
        <v>Steuerrückstellungen</v>
      </c>
      <c r="D12" s="37" t="str">
        <f>'Lead NA'!D47</f>
        <v>Other provisions</v>
      </c>
      <c r="E12" s="532">
        <v>4</v>
      </c>
      <c r="F12" s="284">
        <f>'Lead NA'!F46</f>
        <v>-224.92819</v>
      </c>
      <c r="G12" s="284">
        <f>'Lead NA'!G46</f>
        <v>-224.92819</v>
      </c>
      <c r="H12" s="284">
        <f>'Lead NA'!H46</f>
        <v>0</v>
      </c>
      <c r="I12" s="284">
        <f>'Lead NA'!I46</f>
        <v>0</v>
      </c>
      <c r="J12" s="282">
        <f>'Lead NA'!J47</f>
        <v>0</v>
      </c>
      <c r="K12" s="282">
        <f>'Lead NA'!K47</f>
        <v>0</v>
      </c>
      <c r="L12" s="282">
        <f>'Lead NA'!L47</f>
        <v>0</v>
      </c>
      <c r="M12" s="282">
        <f>'Lead NA'!M47</f>
        <v>0</v>
      </c>
    </row>
    <row r="13" spans="3:17" ht="11.25" customHeight="1" x14ac:dyDescent="0.2">
      <c r="C13" s="37" t="str">
        <f>'Lead NA'!C11</f>
        <v>Finanzanlagen</v>
      </c>
      <c r="D13" s="42" t="str">
        <f>'Lead NA'!D48</f>
        <v>Short-term securities</v>
      </c>
      <c r="E13" s="532">
        <v>5</v>
      </c>
      <c r="F13" s="284">
        <f>'Lead NA'!F11</f>
        <v>206.89411999999999</v>
      </c>
      <c r="G13" s="284">
        <f>'Lead NA'!G11</f>
        <v>182.17891</v>
      </c>
      <c r="H13" s="284">
        <f>'Lead NA'!H11</f>
        <v>75.425619999999995</v>
      </c>
      <c r="I13" s="284">
        <f>'Lead NA'!I11</f>
        <v>121.96562</v>
      </c>
      <c r="J13" s="282">
        <f>'Lead NA'!J48</f>
        <v>0</v>
      </c>
      <c r="K13" s="282">
        <f>'Lead NA'!K48</f>
        <v>0</v>
      </c>
      <c r="L13" s="282">
        <f>'Lead NA'!L48</f>
        <v>0</v>
      </c>
      <c r="M13" s="282">
        <f>'Lead NA'!M48</f>
        <v>0</v>
      </c>
    </row>
    <row r="14" spans="3:17" ht="11.25" customHeight="1" x14ac:dyDescent="0.2">
      <c r="C14" s="37" t="str">
        <f>'Lead NA'!C48</f>
        <v>Sonstige Wertpapiere</v>
      </c>
      <c r="D14" s="42"/>
      <c r="E14" s="532">
        <v>6</v>
      </c>
      <c r="F14" s="284">
        <f>'Lead NA'!F48</f>
        <v>0</v>
      </c>
      <c r="G14" s="284">
        <f>'Lead NA'!G48</f>
        <v>0</v>
      </c>
      <c r="H14" s="284">
        <f>'Lead NA'!H48</f>
        <v>109.79174999999999</v>
      </c>
      <c r="I14" s="284">
        <f>'Lead NA'!I48</f>
        <v>0</v>
      </c>
      <c r="J14" s="282"/>
      <c r="K14" s="282"/>
      <c r="L14" s="282"/>
      <c r="M14" s="282"/>
    </row>
    <row r="15" spans="3:17" ht="11.25" customHeight="1" x14ac:dyDescent="0.2">
      <c r="C15" s="272" t="str">
        <f>'Lead NA'!C49</f>
        <v>Netto-Finanzvermögen / -Verbindlichkeiten</v>
      </c>
      <c r="D15" s="272" t="str">
        <f>'Lead NA'!D49</f>
        <v>Net cash / Net debt</v>
      </c>
      <c r="E15" s="777"/>
      <c r="F15" s="147">
        <f t="shared" ref="F15:M15" si="0">SUM(F9:F14)</f>
        <v>2788.8385899999994</v>
      </c>
      <c r="G15" s="147">
        <f t="shared" si="0"/>
        <v>2480.7160200000003</v>
      </c>
      <c r="H15" s="147">
        <f t="shared" si="0"/>
        <v>1006.8752099999999</v>
      </c>
      <c r="I15" s="147">
        <f t="shared" si="0"/>
        <v>1957.0783200000001</v>
      </c>
      <c r="J15" s="145">
        <f t="shared" si="0"/>
        <v>0</v>
      </c>
      <c r="K15" s="145">
        <f t="shared" si="0"/>
        <v>0</v>
      </c>
      <c r="L15" s="145">
        <f t="shared" si="0"/>
        <v>0</v>
      </c>
      <c r="M15" s="145">
        <f t="shared" si="0"/>
        <v>0</v>
      </c>
    </row>
    <row r="16" spans="3:17" ht="11.25" customHeight="1" x14ac:dyDescent="0.2">
      <c r="C16" s="37"/>
      <c r="D16" s="37"/>
      <c r="E16" s="778"/>
      <c r="F16" s="284"/>
      <c r="G16" s="284"/>
      <c r="H16" s="284"/>
      <c r="I16" s="284"/>
      <c r="J16" s="282"/>
      <c r="K16" s="282"/>
      <c r="L16" s="282"/>
      <c r="M16" s="282"/>
    </row>
    <row r="17" spans="1:16" ht="11.25" customHeight="1" x14ac:dyDescent="0.2">
      <c r="C17" s="155" t="s">
        <v>2461</v>
      </c>
      <c r="D17" s="155" t="s">
        <v>859</v>
      </c>
      <c r="E17" s="778"/>
      <c r="F17" s="284"/>
      <c r="G17" s="284"/>
      <c r="H17" s="284"/>
      <c r="I17" s="284"/>
      <c r="J17" s="282"/>
      <c r="K17" s="282"/>
      <c r="L17" s="282"/>
      <c r="M17" s="282"/>
    </row>
    <row r="18" spans="1:16" ht="11.25" hidden="1" customHeight="1" outlineLevel="1" x14ac:dyDescent="0.2">
      <c r="C18" s="487"/>
      <c r="D18" s="155"/>
      <c r="E18" s="778"/>
      <c r="F18" s="533"/>
      <c r="G18" s="533"/>
      <c r="H18" s="533"/>
      <c r="I18" s="533"/>
      <c r="J18" s="282"/>
      <c r="K18" s="282"/>
      <c r="L18" s="282"/>
      <c r="M18" s="282"/>
    </row>
    <row r="19" spans="1:16" ht="11.25" customHeight="1" collapsed="1" x14ac:dyDescent="0.2">
      <c r="A19" s="1" t="str">
        <f>NA_TWC!A43</f>
        <v>sonst. VG</v>
      </c>
      <c r="C19" s="37" t="str">
        <f>NA_TWC!C43</f>
        <v>Forderung aus GewSteuerüberzahlung/ KSt</v>
      </c>
      <c r="D19" s="37" t="e">
        <f>NA_TWC!#REF!</f>
        <v>#REF!</v>
      </c>
      <c r="E19" s="532">
        <f>E14+1</f>
        <v>7</v>
      </c>
      <c r="F19" s="36">
        <f>NA_TWC!F43</f>
        <v>0</v>
      </c>
      <c r="G19" s="36">
        <f>-NA_TWC!G43</f>
        <v>283.05349000000001</v>
      </c>
      <c r="H19" s="36">
        <f>-NA_TWC!H43</f>
        <v>279.05914000000001</v>
      </c>
      <c r="I19" s="36">
        <f>-NA_TWC!I43</f>
        <v>303.35527000000002</v>
      </c>
      <c r="J19" s="282">
        <f>-NA_TWC!J41</f>
        <v>0</v>
      </c>
      <c r="K19" s="282">
        <f>-NA_TWC!K41</f>
        <v>0</v>
      </c>
      <c r="L19" s="282">
        <f>-NA_TWC!L41</f>
        <v>0</v>
      </c>
      <c r="M19" s="282">
        <f>-NA_TWC!M41</f>
        <v>0</v>
      </c>
      <c r="P19" s="370" t="s">
        <v>2458</v>
      </c>
    </row>
    <row r="20" spans="1:16" ht="11.25" customHeight="1" collapsed="1" x14ac:dyDescent="0.2">
      <c r="A20" s="1" t="str">
        <f>NA_TWC!A44</f>
        <v>sonst. Rst.</v>
      </c>
      <c r="C20" s="37" t="str">
        <f>NA_TWC!C44</f>
        <v>Rückstellung für Tantieme</v>
      </c>
      <c r="D20" s="37"/>
      <c r="E20" s="532">
        <f>E19+1</f>
        <v>8</v>
      </c>
      <c r="F20" s="36">
        <f>-NA_TWC!F44</f>
        <v>-169.84</v>
      </c>
      <c r="G20" s="36">
        <f>-NA_TWC!G44</f>
        <v>-103.75</v>
      </c>
      <c r="H20" s="36">
        <f>-NA_TWC!H44</f>
        <v>-78.757000000000005</v>
      </c>
      <c r="I20" s="36">
        <f>-NA_TWC!I44</f>
        <v>-88.53</v>
      </c>
      <c r="J20" s="282"/>
      <c r="K20" s="282"/>
      <c r="L20" s="282"/>
      <c r="M20" s="282"/>
    </row>
    <row r="21" spans="1:16" ht="11.25" customHeight="1" collapsed="1" x14ac:dyDescent="0.2">
      <c r="A21" s="1" t="str">
        <f>NA_TWC!A45</f>
        <v>Verbl. LuL</v>
      </c>
      <c r="C21" s="37" t="str">
        <f>NA_TWC!C45</f>
        <v>Verbindlichkeiten LuL überfällig</v>
      </c>
      <c r="D21" s="37"/>
      <c r="E21" s="532">
        <f>E20+1</f>
        <v>9</v>
      </c>
      <c r="F21" s="36" t="str">
        <f>NA_TWC!F45</f>
        <v>n.a.</v>
      </c>
      <c r="G21" s="36" t="str">
        <f>NA_TWC!G45</f>
        <v>n.a.</v>
      </c>
      <c r="H21" s="36">
        <f>-NA_TWC!H45</f>
        <v>-20.867069999999998</v>
      </c>
      <c r="I21" s="36">
        <f>-NA_TWC!I45</f>
        <v>-4.3365500000000008</v>
      </c>
      <c r="J21" s="282"/>
      <c r="K21" s="282"/>
      <c r="L21" s="282"/>
      <c r="M21" s="282"/>
    </row>
    <row r="22" spans="1:16" ht="11.25" hidden="1" customHeight="1" outlineLevel="1" x14ac:dyDescent="0.2">
      <c r="C22" s="767"/>
      <c r="D22" s="37"/>
      <c r="E22" s="532"/>
      <c r="F22" s="36"/>
      <c r="G22" s="36"/>
      <c r="H22" s="36"/>
      <c r="I22" s="36"/>
      <c r="J22" s="282" t="e">
        <f>-NA_TWC!#REF!</f>
        <v>#REF!</v>
      </c>
      <c r="K22" s="282" t="e">
        <f>-NA_TWC!#REF!</f>
        <v>#REF!</v>
      </c>
      <c r="L22" s="282" t="e">
        <f>-NA_TWC!#REF!</f>
        <v>#REF!</v>
      </c>
      <c r="M22" s="282" t="e">
        <f>-NA_TWC!#REF!</f>
        <v>#REF!</v>
      </c>
    </row>
    <row r="23" spans="1:16" ht="11.25" hidden="1" customHeight="1" outlineLevel="1" x14ac:dyDescent="0.2">
      <c r="C23" s="487" t="str">
        <f>NA_TWC!C47</f>
        <v>Dummy 1</v>
      </c>
      <c r="D23" s="37">
        <f>NA_TWC!D47</f>
        <v>0</v>
      </c>
      <c r="E23" s="778"/>
      <c r="F23" s="533">
        <f>NA_TWC!F47</f>
        <v>0</v>
      </c>
      <c r="G23" s="533">
        <f>NA_TWC!G47</f>
        <v>0</v>
      </c>
      <c r="H23" s="533">
        <f>NA_TWC!H47</f>
        <v>0</v>
      </c>
      <c r="I23" s="533">
        <f>NA_TWC!I47</f>
        <v>0</v>
      </c>
      <c r="J23" s="282">
        <f>-NA_TWC!J46</f>
        <v>0</v>
      </c>
      <c r="K23" s="282">
        <f>-NA_TWC!K46</f>
        <v>0</v>
      </c>
      <c r="L23" s="282">
        <f>-NA_TWC!L46</f>
        <v>0</v>
      </c>
      <c r="M23" s="282">
        <f>-NA_TWC!M46</f>
        <v>0</v>
      </c>
    </row>
    <row r="24" spans="1:16" ht="11.25" hidden="1" customHeight="1" outlineLevel="1" x14ac:dyDescent="0.2">
      <c r="C24" s="487" t="str">
        <f>NA_TWC!C48</f>
        <v>Dummy 1</v>
      </c>
      <c r="D24" s="37">
        <f>NA_TWC!D48</f>
        <v>0</v>
      </c>
      <c r="E24" s="778"/>
      <c r="F24" s="533">
        <f>NA_TWC!F48</f>
        <v>0</v>
      </c>
      <c r="G24" s="533">
        <f>NA_TWC!G48</f>
        <v>0</v>
      </c>
      <c r="H24" s="533">
        <f>NA_TWC!H48</f>
        <v>0</v>
      </c>
      <c r="I24" s="533">
        <f>NA_TWC!I48</f>
        <v>0</v>
      </c>
      <c r="J24" s="282">
        <f>-NA_TWC!J47</f>
        <v>0</v>
      </c>
      <c r="K24" s="282">
        <f>-NA_TWC!K47</f>
        <v>0</v>
      </c>
      <c r="L24" s="282">
        <f>-NA_TWC!L47</f>
        <v>0</v>
      </c>
      <c r="M24" s="282">
        <f>-NA_TWC!M47</f>
        <v>0</v>
      </c>
    </row>
    <row r="25" spans="1:16" ht="11.25" hidden="1" customHeight="1" outlineLevel="1" collapsed="1" x14ac:dyDescent="0.2">
      <c r="C25" s="487">
        <f>NA_TWC!C49</f>
        <v>0</v>
      </c>
      <c r="D25" s="37">
        <f>NA_TWC!D49</f>
        <v>0</v>
      </c>
      <c r="E25" s="778"/>
      <c r="F25" s="533">
        <f>NA_TWC!F49</f>
        <v>0</v>
      </c>
      <c r="G25" s="533">
        <f>NA_TWC!G49</f>
        <v>0</v>
      </c>
      <c r="H25" s="533">
        <f>NA_TWC!H49</f>
        <v>0</v>
      </c>
      <c r="I25" s="533">
        <f>NA_TWC!I49</f>
        <v>0</v>
      </c>
      <c r="J25" s="282">
        <f>-NA_TWC!J48</f>
        <v>0</v>
      </c>
      <c r="K25" s="282">
        <f>-NA_TWC!K48</f>
        <v>0</v>
      </c>
      <c r="L25" s="282">
        <f>-NA_TWC!L48</f>
        <v>0</v>
      </c>
      <c r="M25" s="282">
        <f>-NA_TWC!M48</f>
        <v>0</v>
      </c>
    </row>
    <row r="26" spans="1:16" ht="11.25" hidden="1" customHeight="1" outlineLevel="2" x14ac:dyDescent="0.2">
      <c r="C26" s="37" t="str">
        <f>NA_TWC!C50</f>
        <v>Dummy 6</v>
      </c>
      <c r="D26" s="37" t="str">
        <f>NA_TWC!D50</f>
        <v>Dummy 6</v>
      </c>
      <c r="E26" s="778"/>
      <c r="F26" s="284">
        <f>-NA_TWC!F49</f>
        <v>0</v>
      </c>
      <c r="G26" s="284">
        <f>-NA_TWC!G49</f>
        <v>0</v>
      </c>
      <c r="H26" s="284">
        <f>-NA_TWC!H49</f>
        <v>0</v>
      </c>
      <c r="I26" s="284">
        <f>-NA_TWC!I49</f>
        <v>0</v>
      </c>
      <c r="J26" s="282">
        <f>-NA_TWC!J49</f>
        <v>0</v>
      </c>
      <c r="K26" s="282">
        <f>-NA_TWC!K49</f>
        <v>0</v>
      </c>
      <c r="L26" s="282">
        <f>-NA_TWC!L49</f>
        <v>0</v>
      </c>
      <c r="M26" s="282">
        <f>-NA_TWC!M49</f>
        <v>0</v>
      </c>
    </row>
    <row r="27" spans="1:16" collapsed="1" x14ac:dyDescent="0.2">
      <c r="C27" s="272" t="str">
        <f>NA_TWC!C51</f>
        <v>Umgliederung - gesamt</v>
      </c>
      <c r="D27" s="272" t="str">
        <f>NA_TWC!D51</f>
        <v>Reclassification to net debt - total</v>
      </c>
      <c r="E27" s="777"/>
      <c r="F27" s="147">
        <f>SUM(F18:F23)</f>
        <v>-169.84</v>
      </c>
      <c r="G27" s="147">
        <f>SUM(G18:G23)</f>
        <v>179.30349000000001</v>
      </c>
      <c r="H27" s="147">
        <f>SUM(H18:H23)</f>
        <v>179.43507</v>
      </c>
      <c r="I27" s="147">
        <f>SUM(I18:I23)</f>
        <v>210.48872000000003</v>
      </c>
      <c r="J27" s="145" t="e">
        <f>SUM(J19:J26)</f>
        <v>#REF!</v>
      </c>
      <c r="K27" s="145" t="e">
        <f>SUM(K19:K26)</f>
        <v>#REF!</v>
      </c>
      <c r="L27" s="145" t="e">
        <f>SUM(L19:L26)</f>
        <v>#REF!</v>
      </c>
      <c r="M27" s="145" t="e">
        <f>SUM(M19:M26)</f>
        <v>#REF!</v>
      </c>
    </row>
    <row r="28" spans="1:16" x14ac:dyDescent="0.2">
      <c r="C28" s="37"/>
      <c r="D28" s="37"/>
      <c r="E28" s="778"/>
      <c r="F28" s="284"/>
      <c r="G28" s="284"/>
      <c r="H28" s="284"/>
      <c r="I28" s="284"/>
      <c r="J28" s="282"/>
      <c r="K28" s="282"/>
      <c r="L28" s="282"/>
      <c r="M28" s="282"/>
    </row>
    <row r="29" spans="1:16" x14ac:dyDescent="0.2">
      <c r="C29" s="90" t="s">
        <v>854</v>
      </c>
      <c r="D29" s="90" t="s">
        <v>855</v>
      </c>
      <c r="E29" s="268"/>
      <c r="F29" s="284"/>
      <c r="G29" s="284"/>
      <c r="H29" s="284"/>
      <c r="I29" s="284"/>
      <c r="J29" s="282"/>
      <c r="K29" s="282"/>
      <c r="L29" s="282"/>
      <c r="M29" s="282"/>
    </row>
    <row r="30" spans="1:16" x14ac:dyDescent="0.2">
      <c r="C30" s="37" t="s">
        <v>5369</v>
      </c>
      <c r="D30" s="37"/>
      <c r="E30" s="776">
        <f>E21+1</f>
        <v>10</v>
      </c>
      <c r="F30" s="36">
        <v>0</v>
      </c>
      <c r="G30" s="36">
        <v>0</v>
      </c>
      <c r="H30" s="36">
        <v>0</v>
      </c>
      <c r="I30" s="36">
        <v>-542</v>
      </c>
      <c r="J30" s="282"/>
      <c r="K30" s="282"/>
      <c r="L30" s="282"/>
      <c r="M30" s="282"/>
    </row>
    <row r="31" spans="1:16" x14ac:dyDescent="0.2">
      <c r="C31" s="37" t="s">
        <v>5447</v>
      </c>
      <c r="D31" s="37"/>
      <c r="E31" s="532">
        <f>E30+1</f>
        <v>11</v>
      </c>
      <c r="F31" s="284">
        <v>0</v>
      </c>
      <c r="G31" s="284">
        <v>0</v>
      </c>
      <c r="H31" s="284">
        <v>0</v>
      </c>
      <c r="I31" s="284">
        <v>-50</v>
      </c>
      <c r="J31" s="282"/>
      <c r="K31" s="282"/>
      <c r="L31" s="282"/>
      <c r="M31" s="282"/>
    </row>
    <row r="32" spans="1:16" hidden="1" outlineLevel="1" x14ac:dyDescent="0.2">
      <c r="C32" s="37"/>
      <c r="D32" s="37"/>
      <c r="E32" s="776"/>
      <c r="F32" s="284"/>
      <c r="G32" s="284"/>
      <c r="H32" s="284"/>
      <c r="I32" s="36"/>
      <c r="J32" s="282"/>
      <c r="K32" s="282"/>
      <c r="L32" s="282"/>
      <c r="M32" s="282"/>
    </row>
    <row r="33" spans="3:17" hidden="1" outlineLevel="2" x14ac:dyDescent="0.2">
      <c r="C33" s="37" t="s">
        <v>206</v>
      </c>
      <c r="D33" s="37" t="s">
        <v>206</v>
      </c>
      <c r="E33" s="532">
        <v>9</v>
      </c>
      <c r="F33" s="284"/>
      <c r="G33" s="284"/>
      <c r="H33" s="284"/>
      <c r="I33" s="284"/>
      <c r="J33" s="282"/>
      <c r="K33" s="282"/>
      <c r="L33" s="282"/>
      <c r="M33" s="282"/>
      <c r="P33" s="370" t="s">
        <v>860</v>
      </c>
    </row>
    <row r="34" spans="3:17" hidden="1" outlineLevel="2" x14ac:dyDescent="0.2">
      <c r="C34" s="37" t="s">
        <v>449</v>
      </c>
      <c r="D34" s="37" t="s">
        <v>449</v>
      </c>
      <c r="E34" s="776">
        <v>10</v>
      </c>
      <c r="F34" s="284"/>
      <c r="G34" s="284"/>
      <c r="H34" s="284"/>
      <c r="I34" s="284"/>
      <c r="J34" s="282"/>
      <c r="K34" s="282"/>
      <c r="L34" s="282"/>
      <c r="M34" s="282"/>
      <c r="P34" s="370" t="s">
        <v>861</v>
      </c>
    </row>
    <row r="35" spans="3:17" hidden="1" outlineLevel="2" x14ac:dyDescent="0.2">
      <c r="C35" s="42" t="s">
        <v>447</v>
      </c>
      <c r="D35" s="42" t="s">
        <v>447</v>
      </c>
      <c r="E35" s="532">
        <v>11</v>
      </c>
      <c r="F35" s="281"/>
      <c r="G35" s="281"/>
      <c r="H35" s="281"/>
      <c r="I35" s="281"/>
      <c r="J35" s="307"/>
      <c r="K35" s="307"/>
      <c r="L35" s="307"/>
      <c r="M35" s="307"/>
      <c r="P35" s="370" t="s">
        <v>862</v>
      </c>
    </row>
    <row r="36" spans="3:17" collapsed="1" x14ac:dyDescent="0.2">
      <c r="C36" s="272" t="str">
        <f>C29</f>
        <v>Sonstige debt like / cash like items</v>
      </c>
      <c r="D36" s="272" t="str">
        <f>D29</f>
        <v>Other debt like / cash like items</v>
      </c>
      <c r="E36" s="777"/>
      <c r="F36" s="147">
        <f>SUM(F30:F35)</f>
        <v>0</v>
      </c>
      <c r="G36" s="147">
        <f t="shared" ref="G36:M36" si="1">SUM(G30:G35)</f>
        <v>0</v>
      </c>
      <c r="H36" s="147">
        <f t="shared" si="1"/>
        <v>0</v>
      </c>
      <c r="I36" s="147">
        <f t="shared" si="1"/>
        <v>-592</v>
      </c>
      <c r="J36" s="145">
        <f t="shared" si="1"/>
        <v>0</v>
      </c>
      <c r="K36" s="145">
        <f t="shared" si="1"/>
        <v>0</v>
      </c>
      <c r="L36" s="145">
        <f t="shared" si="1"/>
        <v>0</v>
      </c>
      <c r="M36" s="145">
        <f t="shared" si="1"/>
        <v>0</v>
      </c>
    </row>
    <row r="37" spans="3:17" x14ac:dyDescent="0.2">
      <c r="C37" s="257"/>
      <c r="D37" s="257"/>
      <c r="E37" s="779"/>
      <c r="F37" s="141"/>
      <c r="G37" s="141"/>
      <c r="H37" s="141"/>
      <c r="I37" s="141"/>
      <c r="J37" s="139"/>
      <c r="K37" s="139"/>
      <c r="L37" s="139"/>
      <c r="M37" s="139"/>
    </row>
    <row r="38" spans="3:17" x14ac:dyDescent="0.2">
      <c r="C38" s="272" t="s">
        <v>786</v>
      </c>
      <c r="D38" s="272" t="s">
        <v>787</v>
      </c>
      <c r="E38" s="777"/>
      <c r="F38" s="147">
        <f>F27+F36</f>
        <v>-169.84</v>
      </c>
      <c r="G38" s="147">
        <f t="shared" ref="G38:M38" si="2">G27+G36</f>
        <v>179.30349000000001</v>
      </c>
      <c r="H38" s="147">
        <f t="shared" si="2"/>
        <v>179.43507</v>
      </c>
      <c r="I38" s="147">
        <f t="shared" si="2"/>
        <v>-381.51127999999994</v>
      </c>
      <c r="J38" s="145" t="e">
        <f t="shared" si="2"/>
        <v>#REF!</v>
      </c>
      <c r="K38" s="145" t="e">
        <f t="shared" si="2"/>
        <v>#REF!</v>
      </c>
      <c r="L38" s="145" t="e">
        <f t="shared" si="2"/>
        <v>#REF!</v>
      </c>
      <c r="M38" s="145" t="e">
        <f t="shared" si="2"/>
        <v>#REF!</v>
      </c>
    </row>
    <row r="39" spans="3:17" collapsed="1" x14ac:dyDescent="0.2">
      <c r="C39" s="174"/>
      <c r="D39" s="174"/>
      <c r="E39" s="780"/>
      <c r="F39" s="172"/>
      <c r="G39" s="172"/>
      <c r="H39" s="172"/>
      <c r="I39" s="172"/>
      <c r="J39" s="242"/>
      <c r="K39" s="242"/>
      <c r="L39" s="242"/>
      <c r="M39" s="242"/>
    </row>
    <row r="40" spans="3:17" x14ac:dyDescent="0.2">
      <c r="C40" s="174" t="s">
        <v>563</v>
      </c>
      <c r="D40" s="174" t="s">
        <v>562</v>
      </c>
      <c r="E40" s="780"/>
      <c r="F40" s="172">
        <f t="shared" ref="F40:M40" si="3">F38+F15</f>
        <v>2618.9985899999992</v>
      </c>
      <c r="G40" s="172">
        <f t="shared" si="3"/>
        <v>2660.0195100000001</v>
      </c>
      <c r="H40" s="172">
        <f t="shared" si="3"/>
        <v>1186.3102799999999</v>
      </c>
      <c r="I40" s="172">
        <f t="shared" si="3"/>
        <v>1575.5670400000001</v>
      </c>
      <c r="J40" s="242" t="e">
        <f t="shared" si="3"/>
        <v>#REF!</v>
      </c>
      <c r="K40" s="242" t="e">
        <f t="shared" si="3"/>
        <v>#REF!</v>
      </c>
      <c r="L40" s="242" t="e">
        <f t="shared" si="3"/>
        <v>#REF!</v>
      </c>
      <c r="M40" s="242" t="e">
        <f t="shared" si="3"/>
        <v>#REF!</v>
      </c>
    </row>
    <row r="41" spans="3:17" ht="4.5" customHeight="1" x14ac:dyDescent="0.2">
      <c r="C41" s="37"/>
      <c r="D41" s="37"/>
      <c r="E41" s="778"/>
      <c r="F41" s="284"/>
      <c r="G41" s="284"/>
      <c r="H41" s="284"/>
      <c r="I41" s="284"/>
      <c r="J41" s="282"/>
      <c r="K41" s="282"/>
      <c r="L41" s="282"/>
      <c r="M41" s="282"/>
    </row>
    <row r="42" spans="3:17" ht="12" customHeight="1" x14ac:dyDescent="0.2">
      <c r="C42" s="155" t="s">
        <v>763</v>
      </c>
      <c r="D42" s="155" t="s">
        <v>763</v>
      </c>
      <c r="E42" s="778"/>
      <c r="F42" s="284"/>
      <c r="G42" s="284"/>
      <c r="H42" s="284"/>
      <c r="I42" s="284"/>
      <c r="J42" s="282"/>
      <c r="K42" s="282"/>
      <c r="L42" s="282"/>
      <c r="M42" s="282"/>
    </row>
    <row r="43" spans="3:17" ht="12" customHeight="1" x14ac:dyDescent="0.2">
      <c r="C43" s="37" t="s">
        <v>2430</v>
      </c>
      <c r="D43" s="37" t="s">
        <v>208</v>
      </c>
      <c r="E43" s="532">
        <f>E31+1</f>
        <v>12</v>
      </c>
      <c r="F43" s="36" t="s">
        <v>2429</v>
      </c>
      <c r="G43" s="36" t="s">
        <v>2429</v>
      </c>
      <c r="H43" s="36" t="s">
        <v>2429</v>
      </c>
      <c r="I43" s="36" t="s">
        <v>2429</v>
      </c>
      <c r="J43" s="282"/>
      <c r="K43" s="282"/>
      <c r="L43" s="282"/>
      <c r="M43" s="282"/>
    </row>
    <row r="44" spans="3:17" ht="12" hidden="1" customHeight="1" outlineLevel="1" x14ac:dyDescent="0.2">
      <c r="C44" s="37" t="s">
        <v>5373</v>
      </c>
      <c r="D44" s="37"/>
      <c r="E44" s="532">
        <f>E43+1</f>
        <v>13</v>
      </c>
      <c r="F44" s="36" t="s">
        <v>2429</v>
      </c>
      <c r="G44" s="36" t="s">
        <v>2429</v>
      </c>
      <c r="H44" s="36" t="s">
        <v>2429</v>
      </c>
      <c r="I44" s="533" t="s">
        <v>4863</v>
      </c>
      <c r="J44" s="282"/>
      <c r="K44" s="282"/>
      <c r="L44" s="282"/>
      <c r="M44" s="282"/>
      <c r="P44" s="370"/>
    </row>
    <row r="45" spans="3:17" ht="12" hidden="1" customHeight="1" outlineLevel="1" collapsed="1" x14ac:dyDescent="0.2">
      <c r="C45" s="37" t="s">
        <v>5375</v>
      </c>
      <c r="D45" s="37" t="s">
        <v>447</v>
      </c>
      <c r="E45" s="532">
        <f>E44+1</f>
        <v>14</v>
      </c>
      <c r="F45" s="533" t="s">
        <v>4863</v>
      </c>
      <c r="G45" s="533" t="s">
        <v>4863</v>
      </c>
      <c r="H45" s="533" t="s">
        <v>4863</v>
      </c>
      <c r="I45" s="533" t="s">
        <v>4863</v>
      </c>
      <c r="J45" s="282"/>
      <c r="K45" s="282"/>
      <c r="L45" s="282"/>
      <c r="M45" s="282"/>
      <c r="P45" s="370" t="s">
        <v>804</v>
      </c>
      <c r="Q45" s="1" t="s">
        <v>5376</v>
      </c>
    </row>
    <row r="46" spans="3:17" ht="12" customHeight="1" collapsed="1" x14ac:dyDescent="0.2">
      <c r="C46" s="272" t="s">
        <v>805</v>
      </c>
      <c r="D46" s="272" t="s">
        <v>805</v>
      </c>
      <c r="E46" s="272"/>
      <c r="F46" s="147">
        <f t="shared" ref="F46:M46" si="4">SUM(F43:F45)</f>
        <v>0</v>
      </c>
      <c r="G46" s="147">
        <f t="shared" si="4"/>
        <v>0</v>
      </c>
      <c r="H46" s="147">
        <f t="shared" si="4"/>
        <v>0</v>
      </c>
      <c r="I46" s="147">
        <f t="shared" si="4"/>
        <v>0</v>
      </c>
      <c r="J46" s="145">
        <f t="shared" si="4"/>
        <v>0</v>
      </c>
      <c r="K46" s="145">
        <f t="shared" si="4"/>
        <v>0</v>
      </c>
      <c r="L46" s="145">
        <f t="shared" si="4"/>
        <v>0</v>
      </c>
      <c r="M46" s="145">
        <f t="shared" si="4"/>
        <v>0</v>
      </c>
    </row>
    <row r="47" spans="3:17" ht="5.0999999999999996" customHeight="1" x14ac:dyDescent="0.2">
      <c r="C47" s="37"/>
      <c r="D47" s="37"/>
      <c r="E47" s="37"/>
      <c r="F47" s="37"/>
      <c r="G47" s="37"/>
      <c r="H47" s="37"/>
      <c r="I47" s="37"/>
      <c r="J47" s="37"/>
      <c r="K47" s="37"/>
      <c r="L47" s="37"/>
      <c r="M47" s="37"/>
    </row>
    <row r="48" spans="3:17" ht="11.25" customHeight="1" x14ac:dyDescent="0.2">
      <c r="C48" s="188" t="str">
        <f>"Quelle: "&amp;Cockpit!$C$7</f>
        <v>Quelle: Datenraum/ eigene Analysen</v>
      </c>
      <c r="D48" s="76" t="str">
        <f>"Source: "&amp;Cockpit!$C$8</f>
        <v>Source: Virtual Data Room/ Company Information</v>
      </c>
      <c r="E48" s="76"/>
      <c r="F48" s="281"/>
      <c r="G48" s="281"/>
      <c r="H48" s="281"/>
      <c r="I48" s="281"/>
      <c r="J48" s="279"/>
      <c r="K48" s="279"/>
      <c r="L48" s="279"/>
      <c r="M48" s="279"/>
    </row>
    <row r="49" spans="3:17" ht="11.25" customHeight="1" x14ac:dyDescent="0.2"/>
    <row r="50" spans="3:17" ht="11.25" customHeight="1" x14ac:dyDescent="0.2"/>
    <row r="51" spans="3:17" x14ac:dyDescent="0.2">
      <c r="C51" s="72" t="s">
        <v>290</v>
      </c>
      <c r="D51" s="72" t="s">
        <v>561</v>
      </c>
      <c r="E51" s="72"/>
      <c r="F51" s="71">
        <f>'Lead NA'!F49</f>
        <v>2581.9444699999995</v>
      </c>
      <c r="G51" s="71">
        <f>'Lead NA'!G49</f>
        <v>2298.5371100000002</v>
      </c>
      <c r="H51" s="71">
        <f>'Lead NA'!H49</f>
        <v>931.44958999999994</v>
      </c>
      <c r="I51" s="71">
        <f>'Lead NA'!I49</f>
        <v>1835.1126999999999</v>
      </c>
      <c r="J51" s="71">
        <f>'Lead NA'!J49</f>
        <v>0</v>
      </c>
      <c r="K51" s="71">
        <f>'Lead NA'!K49</f>
        <v>0</v>
      </c>
      <c r="L51" s="71">
        <f>'Lead NA'!L49</f>
        <v>0</v>
      </c>
      <c r="M51" s="71">
        <f>'Lead NA'!M49</f>
        <v>0</v>
      </c>
    </row>
    <row r="52" spans="3:17" x14ac:dyDescent="0.2">
      <c r="C52" s="70" t="s">
        <v>233</v>
      </c>
      <c r="D52" s="69" t="s">
        <v>233</v>
      </c>
      <c r="E52" s="70"/>
      <c r="F52" s="463">
        <f t="shared" ref="F52:M52" si="5">F51-F15</f>
        <v>-206.89411999999993</v>
      </c>
      <c r="G52" s="463">
        <f t="shared" si="5"/>
        <v>-182.17891000000009</v>
      </c>
      <c r="H52" s="463">
        <f t="shared" si="5"/>
        <v>-75.425619999999981</v>
      </c>
      <c r="I52" s="463">
        <f t="shared" si="5"/>
        <v>-121.96562000000017</v>
      </c>
      <c r="J52" s="158">
        <f t="shared" si="5"/>
        <v>0</v>
      </c>
      <c r="K52" s="158">
        <f t="shared" si="5"/>
        <v>0</v>
      </c>
      <c r="L52" s="158">
        <f t="shared" si="5"/>
        <v>0</v>
      </c>
      <c r="M52" s="158">
        <f t="shared" si="5"/>
        <v>0</v>
      </c>
      <c r="Q52" s="1" t="s">
        <v>2532</v>
      </c>
    </row>
    <row r="54" spans="3:17" x14ac:dyDescent="0.2">
      <c r="C54" s="1" t="s">
        <v>75</v>
      </c>
    </row>
    <row r="55" spans="3:17" x14ac:dyDescent="0.2">
      <c r="C55" s="1" t="s">
        <v>5374</v>
      </c>
    </row>
    <row r="59" spans="3:17" x14ac:dyDescent="0.2">
      <c r="C59" s="1" t="s">
        <v>2537</v>
      </c>
      <c r="F59" s="71">
        <v>76000</v>
      </c>
      <c r="G59" s="71">
        <v>76000</v>
      </c>
      <c r="H59" s="71">
        <v>76000</v>
      </c>
      <c r="I59" s="71"/>
    </row>
    <row r="60" spans="3:17" x14ac:dyDescent="0.2">
      <c r="C60" s="1" t="s">
        <v>2538</v>
      </c>
      <c r="F60" s="71">
        <v>57840</v>
      </c>
      <c r="G60" s="71">
        <v>27750</v>
      </c>
      <c r="H60" s="71">
        <v>0</v>
      </c>
      <c r="I60" s="71"/>
    </row>
    <row r="61" spans="3:17" x14ac:dyDescent="0.2">
      <c r="C61" s="1" t="s">
        <v>2539</v>
      </c>
      <c r="F61" s="71">
        <v>36000</v>
      </c>
      <c r="G61" s="71">
        <v>0</v>
      </c>
      <c r="H61" s="71">
        <v>2757</v>
      </c>
      <c r="I61" s="71"/>
    </row>
  </sheetData>
  <conditionalFormatting sqref="A1:XFD53 C54:C55 A54:B56 D54:XFD56 A57:XFD1048576">
    <cfRule type="containsText" dxfId="203" priority="1" operator="containsText" text="dummy">
      <formula>NOT(ISERROR(SEARCH("dummy",A1)))</formula>
    </cfRule>
  </conditionalFormatting>
  <conditionalFormatting sqref="F52:M52">
    <cfRule type="cellIs" dxfId="202" priority="6" operator="between">
      <formula>-1</formula>
      <formula>1</formula>
    </cfRule>
    <cfRule type="cellIs" dxfId="201" priority="7" operator="lessThan">
      <formula>-1</formula>
    </cfRule>
    <cfRule type="cellIs" dxfId="200" priority="8" operator="greaterThan">
      <formula>1</formula>
    </cfRule>
  </conditionalFormatting>
  <pageMargins left="0.7" right="0.7" top="0.78740157499999996" bottom="0.78740157499999996" header="0.3" footer="0.3"/>
  <pageSetup paperSize="9" scale="62" orientation="portrait" r:id="rId1"/>
  <customProperties>
    <customPr name="AreLinksHighlighted" r:id="rId2"/>
  </customPropertie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68F7B8AD-5DEC-4DB1-8B0E-6D8B7B28411E}">
          <x14:formula1>
            <xm:f>'Trial Balance Dropdown'!$C$2:$C$300</xm:f>
          </x14:formula1>
          <xm:sqref>P30:P35 P43:P45</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8987F-5394-4F6C-B3B7-4D03F5166E7B}">
  <sheetPr>
    <tabColor rgb="FF92D050"/>
    <pageSetUpPr autoPageBreaks="0"/>
  </sheetPr>
  <dimension ref="A1:CU149"/>
  <sheetViews>
    <sheetView topLeftCell="A2" workbookViewId="0"/>
  </sheetViews>
  <sheetFormatPr defaultColWidth="11" defaultRowHeight="11.45" customHeight="1" outlineLevelRow="3" outlineLevelCol="2" x14ac:dyDescent="0.2"/>
  <cols>
    <col min="1" max="1" width="11.28515625" style="30" customWidth="1"/>
    <col min="2" max="2" width="0.85546875" style="30" customWidth="1" outlineLevel="2"/>
    <col min="3" max="3" width="45" style="30" bestFit="1" customWidth="1"/>
    <col min="4" max="4" width="21.85546875" style="30" hidden="1" customWidth="1" outlineLevel="1"/>
    <col min="5" max="6" width="6.5703125" style="30" hidden="1" customWidth="1" outlineLevel="1"/>
    <col min="7" max="16" width="9.42578125" style="30" hidden="1" customWidth="1" outlineLevel="1"/>
    <col min="17" max="17" width="9.42578125" style="30" customWidth="1" collapsed="1"/>
    <col min="18" max="28" width="9.42578125" style="30" customWidth="1" outlineLevel="1"/>
    <col min="29" max="29" width="9.42578125" style="30" customWidth="1"/>
    <col min="30" max="40" width="9.42578125" style="30" customWidth="1" outlineLevel="1"/>
    <col min="41" max="41" width="9.42578125" style="30" customWidth="1"/>
    <col min="42" max="52" width="9.42578125" style="30" customWidth="1" outlineLevel="1"/>
    <col min="53" max="53" width="9.42578125" style="30" customWidth="1"/>
    <col min="54" max="89" width="9.42578125" style="30" hidden="1" customWidth="1" outlineLevel="1"/>
    <col min="90" max="90" width="0.85546875" style="30" hidden="1" customWidth="1" outlineLevel="2"/>
    <col min="91" max="91" width="11" style="30" collapsed="1"/>
    <col min="92" max="92" width="60.7109375" style="30" bestFit="1" customWidth="1"/>
    <col min="93" max="16384" width="11" style="30"/>
  </cols>
  <sheetData>
    <row r="1" spans="1:92" ht="11.45" hidden="1" customHeight="1" outlineLevel="3" x14ac:dyDescent="0.2"/>
    <row r="2" spans="1:92" ht="11.45" customHeight="1" collapsed="1" x14ac:dyDescent="0.2">
      <c r="AO2" s="500">
        <f>AO18-AN18</f>
        <v>-503.42254000000014</v>
      </c>
      <c r="AP2" s="500">
        <f>AO44-AN44</f>
        <v>-293.21284000000026</v>
      </c>
    </row>
    <row r="3" spans="1:92" ht="11.45" customHeight="1" x14ac:dyDescent="0.2">
      <c r="AO3" s="500">
        <f>AO16-AN16</f>
        <v>1256.1831000000002</v>
      </c>
      <c r="CM3" s="500"/>
    </row>
    <row r="4" spans="1:92" ht="11.45" customHeight="1" x14ac:dyDescent="0.2">
      <c r="B4" s="101"/>
      <c r="C4" s="236" t="str">
        <f>Cockpit!$C$4</f>
        <v>Projekt Namur</v>
      </c>
      <c r="D4" s="230"/>
      <c r="E4" s="234">
        <f>Cockpit!C39</f>
        <v>44561</v>
      </c>
      <c r="F4" s="234">
        <f>Cockpit!D45</f>
        <v>44592</v>
      </c>
      <c r="G4" s="234">
        <f>Cockpit!E45</f>
        <v>44620</v>
      </c>
      <c r="H4" s="234">
        <f>Cockpit!F45</f>
        <v>44651</v>
      </c>
      <c r="I4" s="234">
        <f>Cockpit!G45</f>
        <v>44681</v>
      </c>
      <c r="J4" s="234">
        <f>Cockpit!H45</f>
        <v>44712</v>
      </c>
      <c r="K4" s="234">
        <f>Cockpit!I45</f>
        <v>44742</v>
      </c>
      <c r="L4" s="234">
        <f>Cockpit!J45</f>
        <v>44773</v>
      </c>
      <c r="M4" s="234">
        <f>Cockpit!K45</f>
        <v>44804</v>
      </c>
      <c r="N4" s="234">
        <f>Cockpit!L45</f>
        <v>44834</v>
      </c>
      <c r="O4" s="234">
        <f>Cockpit!M45</f>
        <v>44865</v>
      </c>
      <c r="P4" s="234">
        <f>Cockpit!N45</f>
        <v>44895</v>
      </c>
      <c r="Q4" s="498">
        <f>Cockpit!O45</f>
        <v>44926</v>
      </c>
      <c r="R4" s="234">
        <f>Cockpit!P45</f>
        <v>44957</v>
      </c>
      <c r="S4" s="234">
        <f>Cockpit!Q45</f>
        <v>44985</v>
      </c>
      <c r="T4" s="234">
        <f>Cockpit!R45</f>
        <v>45016</v>
      </c>
      <c r="U4" s="234">
        <f>Cockpit!S45</f>
        <v>45046</v>
      </c>
      <c r="V4" s="234">
        <f>Cockpit!T45</f>
        <v>45077</v>
      </c>
      <c r="W4" s="234">
        <f>Cockpit!U45</f>
        <v>45107</v>
      </c>
      <c r="X4" s="234">
        <f>Cockpit!V45</f>
        <v>45138</v>
      </c>
      <c r="Y4" s="234">
        <f>Cockpit!W45</f>
        <v>45169</v>
      </c>
      <c r="Z4" s="234">
        <f>Cockpit!X45</f>
        <v>45199</v>
      </c>
      <c r="AA4" s="234">
        <f>Cockpit!Y45</f>
        <v>45230</v>
      </c>
      <c r="AB4" s="234">
        <f>Cockpit!Z45</f>
        <v>45260</v>
      </c>
      <c r="AC4" s="498">
        <f>Cockpit!AA45</f>
        <v>45291</v>
      </c>
      <c r="AD4" s="234">
        <f>Cockpit!AB45</f>
        <v>45322</v>
      </c>
      <c r="AE4" s="234">
        <f>Cockpit!AC45</f>
        <v>45351</v>
      </c>
      <c r="AF4" s="234">
        <f>Cockpit!AD45</f>
        <v>45382</v>
      </c>
      <c r="AG4" s="234">
        <f>Cockpit!AE45</f>
        <v>45412</v>
      </c>
      <c r="AH4" s="234">
        <f>Cockpit!AF45</f>
        <v>45443</v>
      </c>
      <c r="AI4" s="234">
        <f>Cockpit!AG45</f>
        <v>45473</v>
      </c>
      <c r="AJ4" s="234">
        <f>Cockpit!AH45</f>
        <v>45504</v>
      </c>
      <c r="AK4" s="234">
        <f>Cockpit!AI45</f>
        <v>45535</v>
      </c>
      <c r="AL4" s="234">
        <f>Cockpit!AJ45</f>
        <v>45565</v>
      </c>
      <c r="AM4" s="234">
        <f>Cockpit!AK45</f>
        <v>45596</v>
      </c>
      <c r="AN4" s="234">
        <f>Cockpit!AL45</f>
        <v>45626</v>
      </c>
      <c r="AO4" s="498">
        <f>Cockpit!AM45</f>
        <v>45657</v>
      </c>
      <c r="AP4" s="234">
        <f>Cockpit!AN45</f>
        <v>45688</v>
      </c>
      <c r="AQ4" s="234">
        <f>Cockpit!AO45</f>
        <v>45716</v>
      </c>
      <c r="AR4" s="234">
        <f>Cockpit!AP45</f>
        <v>45747</v>
      </c>
      <c r="AS4" s="234">
        <f>Cockpit!AQ45</f>
        <v>45777</v>
      </c>
      <c r="AT4" s="234">
        <f>Cockpit!AR45</f>
        <v>45808</v>
      </c>
      <c r="AU4" s="234">
        <f>Cockpit!AS45</f>
        <v>45838</v>
      </c>
      <c r="AV4" s="234">
        <f>Cockpit!AT45</f>
        <v>45869</v>
      </c>
      <c r="AW4" s="234">
        <f>Cockpit!AU45</f>
        <v>45900</v>
      </c>
      <c r="AX4" s="234">
        <f>Cockpit!AV45</f>
        <v>45930</v>
      </c>
      <c r="AY4" s="234">
        <f>Cockpit!AW45</f>
        <v>45961</v>
      </c>
      <c r="AZ4" s="234">
        <f>Cockpit!AX45</f>
        <v>45991</v>
      </c>
      <c r="BA4" s="234">
        <f>Cockpit!AY45</f>
        <v>46022</v>
      </c>
      <c r="BB4" s="234">
        <f>Cockpit!AZ45</f>
        <v>46053</v>
      </c>
      <c r="BC4" s="234">
        <f>Cockpit!BA45</f>
        <v>46081</v>
      </c>
      <c r="BD4" s="234">
        <f>Cockpit!BB45</f>
        <v>46112</v>
      </c>
      <c r="BE4" s="234">
        <f>Cockpit!BC45</f>
        <v>46142</v>
      </c>
      <c r="BF4" s="234">
        <f>Cockpit!BD45</f>
        <v>46173</v>
      </c>
      <c r="BG4" s="234">
        <f>Cockpit!BE45</f>
        <v>46203</v>
      </c>
      <c r="BH4" s="234">
        <f>Cockpit!BF45</f>
        <v>46234</v>
      </c>
      <c r="BI4" s="234">
        <f>Cockpit!BG45</f>
        <v>46265</v>
      </c>
      <c r="BJ4" s="234">
        <f>Cockpit!BH45</f>
        <v>46295</v>
      </c>
      <c r="BK4" s="234">
        <f>Cockpit!BI45</f>
        <v>46326</v>
      </c>
      <c r="BL4" s="234">
        <f>Cockpit!BJ45</f>
        <v>46356</v>
      </c>
      <c r="BM4" s="234">
        <f>Cockpit!BK45</f>
        <v>46387</v>
      </c>
      <c r="BN4" s="234">
        <f>Cockpit!BL45</f>
        <v>46418</v>
      </c>
      <c r="BO4" s="234">
        <f>Cockpit!BM45</f>
        <v>46446</v>
      </c>
      <c r="BP4" s="234">
        <f>Cockpit!BN45</f>
        <v>46477</v>
      </c>
      <c r="BQ4" s="234">
        <f>Cockpit!BO45</f>
        <v>46507</v>
      </c>
      <c r="BR4" s="234">
        <f>Cockpit!BP45</f>
        <v>46538</v>
      </c>
      <c r="BS4" s="234">
        <f>Cockpit!BQ45</f>
        <v>46568</v>
      </c>
      <c r="BT4" s="234">
        <f>Cockpit!BR45</f>
        <v>46599</v>
      </c>
      <c r="BU4" s="234">
        <f>Cockpit!BS45</f>
        <v>46630</v>
      </c>
      <c r="BV4" s="234">
        <f>Cockpit!BT45</f>
        <v>46660</v>
      </c>
      <c r="BW4" s="234">
        <f>Cockpit!BU45</f>
        <v>46691</v>
      </c>
      <c r="BX4" s="234">
        <f>Cockpit!BV45</f>
        <v>46721</v>
      </c>
      <c r="BY4" s="234">
        <f>Cockpit!BW45</f>
        <v>46752</v>
      </c>
      <c r="BZ4" s="234">
        <f>Cockpit!BX45</f>
        <v>46783</v>
      </c>
      <c r="CA4" s="234">
        <f>Cockpit!BY45</f>
        <v>46812</v>
      </c>
      <c r="CB4" s="234">
        <f>Cockpit!BZ45</f>
        <v>46843</v>
      </c>
      <c r="CC4" s="234">
        <f>Cockpit!CA45</f>
        <v>46873</v>
      </c>
      <c r="CD4" s="234">
        <f>Cockpit!CB45</f>
        <v>46904</v>
      </c>
      <c r="CE4" s="234">
        <f>Cockpit!CC45</f>
        <v>46934</v>
      </c>
      <c r="CF4" s="234">
        <f>Cockpit!CD45</f>
        <v>46965</v>
      </c>
      <c r="CG4" s="234">
        <f>Cockpit!CE45</f>
        <v>46996</v>
      </c>
      <c r="CH4" s="234">
        <f>Cockpit!CF45</f>
        <v>47026</v>
      </c>
      <c r="CI4" s="234">
        <f>Cockpit!CG45</f>
        <v>47057</v>
      </c>
      <c r="CJ4" s="234">
        <f>Cockpit!CH45</f>
        <v>47087</v>
      </c>
      <c r="CK4" s="234">
        <f>Cockpit!CI45</f>
        <v>47118</v>
      </c>
      <c r="CL4" s="101"/>
    </row>
    <row r="5" spans="1:92" ht="11.45" customHeight="1" x14ac:dyDescent="0.2">
      <c r="B5" s="101"/>
      <c r="C5" s="236" t="str">
        <f>"in T"&amp;Cockpit!$C$5</f>
        <v>in TEUR</v>
      </c>
      <c r="D5" s="230"/>
      <c r="E5" s="230" t="str">
        <f>Cockpit!C46</f>
        <v>IST</v>
      </c>
      <c r="F5" s="230" t="str">
        <f>Cockpit!D46</f>
        <v>IST</v>
      </c>
      <c r="G5" s="230" t="str">
        <f>Cockpit!E46</f>
        <v>IST</v>
      </c>
      <c r="H5" s="230" t="str">
        <f>Cockpit!F46</f>
        <v>IST</v>
      </c>
      <c r="I5" s="230" t="str">
        <f>Cockpit!G46</f>
        <v>IST</v>
      </c>
      <c r="J5" s="230" t="str">
        <f>Cockpit!H46</f>
        <v>IST</v>
      </c>
      <c r="K5" s="230" t="str">
        <f>Cockpit!I46</f>
        <v>IST</v>
      </c>
      <c r="L5" s="230" t="str">
        <f>Cockpit!J46</f>
        <v>IST</v>
      </c>
      <c r="M5" s="230" t="str">
        <f>Cockpit!K46</f>
        <v>IST</v>
      </c>
      <c r="N5" s="230" t="str">
        <f>Cockpit!L46</f>
        <v>IST</v>
      </c>
      <c r="O5" s="230" t="str">
        <f>Cockpit!M46</f>
        <v>IST</v>
      </c>
      <c r="P5" s="230" t="str">
        <f>Cockpit!N46</f>
        <v>IST</v>
      </c>
      <c r="Q5" s="499" t="str">
        <f>Cockpit!O46</f>
        <v>IST</v>
      </c>
      <c r="R5" s="230" t="str">
        <f>Cockpit!P46</f>
        <v>IST</v>
      </c>
      <c r="S5" s="230" t="str">
        <f>Cockpit!Q46</f>
        <v>IST</v>
      </c>
      <c r="T5" s="230" t="str">
        <f>Cockpit!R46</f>
        <v>IST</v>
      </c>
      <c r="U5" s="230" t="str">
        <f>Cockpit!S46</f>
        <v>IST</v>
      </c>
      <c r="V5" s="230" t="str">
        <f>Cockpit!T46</f>
        <v>IST</v>
      </c>
      <c r="W5" s="230" t="str">
        <f>Cockpit!U46</f>
        <v>IST</v>
      </c>
      <c r="X5" s="230" t="str">
        <f>Cockpit!V46</f>
        <v>IST</v>
      </c>
      <c r="Y5" s="230" t="str">
        <f>Cockpit!W46</f>
        <v>IST</v>
      </c>
      <c r="Z5" s="230" t="str">
        <f>Cockpit!X46</f>
        <v>IST</v>
      </c>
      <c r="AA5" s="230" t="str">
        <f>Cockpit!Y46</f>
        <v>IST</v>
      </c>
      <c r="AB5" s="230" t="str">
        <f>Cockpit!Z46</f>
        <v>IST</v>
      </c>
      <c r="AC5" s="499" t="str">
        <f>Cockpit!AA46</f>
        <v>IST</v>
      </c>
      <c r="AD5" s="230" t="str">
        <f>Cockpit!AB46</f>
        <v>IST</v>
      </c>
      <c r="AE5" s="230" t="str">
        <f>Cockpit!AC46</f>
        <v>IST</v>
      </c>
      <c r="AF5" s="230" t="str">
        <f>Cockpit!AD46</f>
        <v>IST</v>
      </c>
      <c r="AG5" s="230" t="str">
        <f>Cockpit!AE46</f>
        <v>IST</v>
      </c>
      <c r="AH5" s="230" t="str">
        <f>Cockpit!AF46</f>
        <v>IST</v>
      </c>
      <c r="AI5" s="230" t="str">
        <f>Cockpit!AG46</f>
        <v>IST</v>
      </c>
      <c r="AJ5" s="230" t="str">
        <f>Cockpit!AH46</f>
        <v>IST</v>
      </c>
      <c r="AK5" s="230" t="str">
        <f>Cockpit!AI46</f>
        <v>IST</v>
      </c>
      <c r="AL5" s="230" t="str">
        <f>Cockpit!AJ46</f>
        <v>IST</v>
      </c>
      <c r="AM5" s="230" t="str">
        <f>Cockpit!AK46</f>
        <v>IST</v>
      </c>
      <c r="AN5" s="230" t="str">
        <f>Cockpit!AL46</f>
        <v>IST</v>
      </c>
      <c r="AO5" s="499" t="str">
        <f>Cockpit!AM46</f>
        <v>IST</v>
      </c>
      <c r="AP5" s="230" t="str">
        <f>Cockpit!AN46</f>
        <v>IST</v>
      </c>
      <c r="AQ5" s="230" t="str">
        <f>Cockpit!AO46</f>
        <v>IST</v>
      </c>
      <c r="AR5" s="230" t="str">
        <f>Cockpit!AP46</f>
        <v>IST</v>
      </c>
      <c r="AS5" s="230" t="str">
        <f>Cockpit!AQ46</f>
        <v>IST</v>
      </c>
      <c r="AT5" s="230" t="str">
        <f>Cockpit!AR46</f>
        <v>IST</v>
      </c>
      <c r="AU5" s="230" t="str">
        <f>Cockpit!AS46</f>
        <v>IST</v>
      </c>
      <c r="AV5" s="230" t="str">
        <f>Cockpit!AT46</f>
        <v>IST</v>
      </c>
      <c r="AW5" s="230" t="str">
        <f>Cockpit!AU46</f>
        <v>IST</v>
      </c>
      <c r="AX5" s="230" t="str">
        <f>Cockpit!AV46</f>
        <v>IST</v>
      </c>
      <c r="AY5" s="230" t="str">
        <f>Cockpit!AW46</f>
        <v>IST</v>
      </c>
      <c r="AZ5" s="230" t="str">
        <f>Cockpit!AX46</f>
        <v>IST</v>
      </c>
      <c r="BA5" s="230" t="str">
        <f>Cockpit!AY46</f>
        <v>IST</v>
      </c>
      <c r="BB5" s="230" t="str">
        <f>Cockpit!AZ46</f>
        <v>Plan</v>
      </c>
      <c r="BC5" s="230" t="str">
        <f>Cockpit!BA46</f>
        <v>Plan</v>
      </c>
      <c r="BD5" s="230" t="str">
        <f>Cockpit!BB46</f>
        <v>Plan</v>
      </c>
      <c r="BE5" s="230" t="str">
        <f>Cockpit!BC46</f>
        <v>Plan</v>
      </c>
      <c r="BF5" s="230" t="str">
        <f>Cockpit!BD46</f>
        <v>Plan</v>
      </c>
      <c r="BG5" s="230" t="str">
        <f>Cockpit!BE46</f>
        <v>Plan</v>
      </c>
      <c r="BH5" s="230" t="str">
        <f>Cockpit!BF46</f>
        <v>Plan</v>
      </c>
      <c r="BI5" s="230" t="str">
        <f>Cockpit!BG46</f>
        <v>Plan</v>
      </c>
      <c r="BJ5" s="230" t="str">
        <f>Cockpit!BH46</f>
        <v>Plan</v>
      </c>
      <c r="BK5" s="230" t="str">
        <f>Cockpit!BI46</f>
        <v>Plan</v>
      </c>
      <c r="BL5" s="230" t="str">
        <f>Cockpit!BJ46</f>
        <v>Plan</v>
      </c>
      <c r="BM5" s="230" t="str">
        <f>Cockpit!BK46</f>
        <v>Plan</v>
      </c>
      <c r="BN5" s="230" t="str">
        <f>Cockpit!BL46</f>
        <v>Plan</v>
      </c>
      <c r="BO5" s="230" t="str">
        <f>Cockpit!BM46</f>
        <v>Plan</v>
      </c>
      <c r="BP5" s="230" t="str">
        <f>Cockpit!BN46</f>
        <v>Plan</v>
      </c>
      <c r="BQ5" s="230" t="str">
        <f>Cockpit!BO46</f>
        <v>Plan</v>
      </c>
      <c r="BR5" s="230" t="str">
        <f>Cockpit!BP46</f>
        <v>Plan</v>
      </c>
      <c r="BS5" s="230" t="str">
        <f>Cockpit!BQ46</f>
        <v>Plan</v>
      </c>
      <c r="BT5" s="230" t="str">
        <f>Cockpit!BR46</f>
        <v>Plan</v>
      </c>
      <c r="BU5" s="230" t="str">
        <f>Cockpit!BS46</f>
        <v>Plan</v>
      </c>
      <c r="BV5" s="230" t="str">
        <f>Cockpit!BT46</f>
        <v>Plan</v>
      </c>
      <c r="BW5" s="230" t="str">
        <f>Cockpit!BU46</f>
        <v>Plan</v>
      </c>
      <c r="BX5" s="230" t="str">
        <f>Cockpit!BV46</f>
        <v>Plan</v>
      </c>
      <c r="BY5" s="230" t="str">
        <f>Cockpit!BW46</f>
        <v>Plan</v>
      </c>
      <c r="BZ5" s="230" t="str">
        <f>Cockpit!BX46</f>
        <v>Plan</v>
      </c>
      <c r="CA5" s="230" t="str">
        <f>Cockpit!BY46</f>
        <v>Plan</v>
      </c>
      <c r="CB5" s="230" t="str">
        <f>Cockpit!BZ46</f>
        <v>Plan</v>
      </c>
      <c r="CC5" s="230" t="str">
        <f>Cockpit!CA46</f>
        <v>Plan</v>
      </c>
      <c r="CD5" s="230" t="str">
        <f>Cockpit!CB46</f>
        <v>Plan</v>
      </c>
      <c r="CE5" s="230" t="str">
        <f>Cockpit!CC46</f>
        <v>Plan</v>
      </c>
      <c r="CF5" s="230" t="str">
        <f>Cockpit!CD46</f>
        <v>Plan</v>
      </c>
      <c r="CG5" s="230" t="str">
        <f>Cockpit!CE46</f>
        <v>Plan</v>
      </c>
      <c r="CH5" s="230" t="str">
        <f>Cockpit!CF46</f>
        <v>Plan</v>
      </c>
      <c r="CI5" s="230" t="str">
        <f>Cockpit!CG46</f>
        <v>Plan</v>
      </c>
      <c r="CJ5" s="230" t="str">
        <f>Cockpit!CH46</f>
        <v>Plan</v>
      </c>
      <c r="CK5" s="230" t="str">
        <f>Cockpit!CI46</f>
        <v>Plan</v>
      </c>
      <c r="CL5" s="101"/>
    </row>
    <row r="6" spans="1:92" ht="11.45" hidden="1" customHeight="1" outlineLevel="1" x14ac:dyDescent="0.2">
      <c r="B6" s="101"/>
      <c r="C6" s="233"/>
      <c r="D6" s="232" t="str">
        <f>Cockpit!$C$4</f>
        <v>Projekt Namur</v>
      </c>
      <c r="E6" s="261">
        <f>Cockpit!C39</f>
        <v>44561</v>
      </c>
      <c r="F6" s="261">
        <f>Cockpit!D45</f>
        <v>44592</v>
      </c>
      <c r="G6" s="261">
        <f>Cockpit!E45</f>
        <v>44620</v>
      </c>
      <c r="H6" s="261">
        <f>Cockpit!F45</f>
        <v>44651</v>
      </c>
      <c r="I6" s="261">
        <f>Cockpit!G45</f>
        <v>44681</v>
      </c>
      <c r="J6" s="261">
        <f>Cockpit!H45</f>
        <v>44712</v>
      </c>
      <c r="K6" s="261">
        <f>Cockpit!I45</f>
        <v>44742</v>
      </c>
      <c r="L6" s="261">
        <f>Cockpit!J45</f>
        <v>44773</v>
      </c>
      <c r="M6" s="261">
        <f>Cockpit!K45</f>
        <v>44804</v>
      </c>
      <c r="N6" s="261">
        <f>Cockpit!L45</f>
        <v>44834</v>
      </c>
      <c r="O6" s="261">
        <f>Cockpit!M45</f>
        <v>44865</v>
      </c>
      <c r="P6" s="261">
        <f>Cockpit!N45</f>
        <v>44895</v>
      </c>
      <c r="Q6" s="261">
        <f>Cockpit!O45</f>
        <v>44926</v>
      </c>
      <c r="R6" s="261">
        <f>Cockpit!P45</f>
        <v>44957</v>
      </c>
      <c r="S6" s="261">
        <f>Cockpit!Q45</f>
        <v>44985</v>
      </c>
      <c r="T6" s="261">
        <f>Cockpit!R45</f>
        <v>45016</v>
      </c>
      <c r="U6" s="261">
        <f>Cockpit!S45</f>
        <v>45046</v>
      </c>
      <c r="V6" s="261">
        <f>Cockpit!T45</f>
        <v>45077</v>
      </c>
      <c r="W6" s="261">
        <f>Cockpit!U45</f>
        <v>45107</v>
      </c>
      <c r="X6" s="261">
        <f>Cockpit!V45</f>
        <v>45138</v>
      </c>
      <c r="Y6" s="261">
        <f>Cockpit!W45</f>
        <v>45169</v>
      </c>
      <c r="Z6" s="261">
        <f>Cockpit!X45</f>
        <v>45199</v>
      </c>
      <c r="AA6" s="261">
        <f>Cockpit!Y45</f>
        <v>45230</v>
      </c>
      <c r="AB6" s="261">
        <f>Cockpit!Z45</f>
        <v>45260</v>
      </c>
      <c r="AC6" s="261">
        <f>Cockpit!AA45</f>
        <v>45291</v>
      </c>
      <c r="AD6" s="261">
        <f>Cockpit!AB45</f>
        <v>45322</v>
      </c>
      <c r="AE6" s="261">
        <f>Cockpit!AC45</f>
        <v>45351</v>
      </c>
      <c r="AF6" s="261">
        <f>Cockpit!AD45</f>
        <v>45382</v>
      </c>
      <c r="AG6" s="261">
        <f>Cockpit!AE45</f>
        <v>45412</v>
      </c>
      <c r="AH6" s="261">
        <f>Cockpit!AF45</f>
        <v>45443</v>
      </c>
      <c r="AI6" s="261">
        <f>Cockpit!AG45</f>
        <v>45473</v>
      </c>
      <c r="AJ6" s="261">
        <f>Cockpit!AH45</f>
        <v>45504</v>
      </c>
      <c r="AK6" s="261">
        <f>Cockpit!AI45</f>
        <v>45535</v>
      </c>
      <c r="AL6" s="261">
        <f>Cockpit!AJ45</f>
        <v>45565</v>
      </c>
      <c r="AM6" s="261">
        <f>Cockpit!AK45</f>
        <v>45596</v>
      </c>
      <c r="AN6" s="261">
        <f>Cockpit!AL45</f>
        <v>45626</v>
      </c>
      <c r="AO6" s="261">
        <f>Cockpit!AM45</f>
        <v>45657</v>
      </c>
      <c r="AP6" s="261">
        <f>Cockpit!AN45</f>
        <v>45688</v>
      </c>
      <c r="AQ6" s="261">
        <f>Cockpit!AO45</f>
        <v>45716</v>
      </c>
      <c r="AR6" s="261">
        <f>Cockpit!AP45</f>
        <v>45747</v>
      </c>
      <c r="AS6" s="261">
        <f>Cockpit!AQ45</f>
        <v>45777</v>
      </c>
      <c r="AT6" s="261">
        <f>Cockpit!AR45</f>
        <v>45808</v>
      </c>
      <c r="AU6" s="261">
        <f>Cockpit!AS45</f>
        <v>45838</v>
      </c>
      <c r="AV6" s="261">
        <f>Cockpit!AT45</f>
        <v>45869</v>
      </c>
      <c r="AW6" s="261">
        <f>Cockpit!AU45</f>
        <v>45900</v>
      </c>
      <c r="AX6" s="261">
        <f>Cockpit!AV45</f>
        <v>45930</v>
      </c>
      <c r="AY6" s="261">
        <f>Cockpit!AW45</f>
        <v>45961</v>
      </c>
      <c r="AZ6" s="261">
        <f>Cockpit!AX45</f>
        <v>45991</v>
      </c>
      <c r="BA6" s="261">
        <f>Cockpit!AY45</f>
        <v>46022</v>
      </c>
      <c r="BB6" s="261">
        <f>Cockpit!AZ45</f>
        <v>46053</v>
      </c>
      <c r="BC6" s="261">
        <f>Cockpit!BA45</f>
        <v>46081</v>
      </c>
      <c r="BD6" s="261">
        <f>Cockpit!BB45</f>
        <v>46112</v>
      </c>
      <c r="BE6" s="261">
        <f>Cockpit!BC45</f>
        <v>46142</v>
      </c>
      <c r="BF6" s="261">
        <f>Cockpit!BD45</f>
        <v>46173</v>
      </c>
      <c r="BG6" s="261">
        <f>Cockpit!BE45</f>
        <v>46203</v>
      </c>
      <c r="BH6" s="261">
        <f>Cockpit!BF45</f>
        <v>46234</v>
      </c>
      <c r="BI6" s="261">
        <f>Cockpit!BG45</f>
        <v>46265</v>
      </c>
      <c r="BJ6" s="261">
        <f>Cockpit!BH45</f>
        <v>46295</v>
      </c>
      <c r="BK6" s="261">
        <f>Cockpit!BI45</f>
        <v>46326</v>
      </c>
      <c r="BL6" s="261">
        <f>Cockpit!BJ45</f>
        <v>46356</v>
      </c>
      <c r="BM6" s="261">
        <f>Cockpit!BK45</f>
        <v>46387</v>
      </c>
      <c r="BN6" s="261">
        <f>Cockpit!BL45</f>
        <v>46418</v>
      </c>
      <c r="BO6" s="261">
        <f>Cockpit!BM45</f>
        <v>46446</v>
      </c>
      <c r="BP6" s="261">
        <f>Cockpit!BN45</f>
        <v>46477</v>
      </c>
      <c r="BQ6" s="261">
        <f>Cockpit!BO45</f>
        <v>46507</v>
      </c>
      <c r="BR6" s="261">
        <f>Cockpit!BP45</f>
        <v>46538</v>
      </c>
      <c r="BS6" s="261">
        <f>Cockpit!BQ45</f>
        <v>46568</v>
      </c>
      <c r="BT6" s="261">
        <f>Cockpit!BR45</f>
        <v>46599</v>
      </c>
      <c r="BU6" s="261">
        <f>Cockpit!BS45</f>
        <v>46630</v>
      </c>
      <c r="BV6" s="261">
        <f>Cockpit!BT45</f>
        <v>46660</v>
      </c>
      <c r="BW6" s="261">
        <f>Cockpit!BU45</f>
        <v>46691</v>
      </c>
      <c r="BX6" s="261">
        <f>Cockpit!BV45</f>
        <v>46721</v>
      </c>
      <c r="BY6" s="261">
        <f>Cockpit!BW45</f>
        <v>46752</v>
      </c>
      <c r="BZ6" s="261">
        <f>Cockpit!BX45</f>
        <v>46783</v>
      </c>
      <c r="CA6" s="261">
        <f>Cockpit!BY45</f>
        <v>46812</v>
      </c>
      <c r="CB6" s="261">
        <f>Cockpit!BZ45</f>
        <v>46843</v>
      </c>
      <c r="CC6" s="261">
        <f>Cockpit!CA45</f>
        <v>46873</v>
      </c>
      <c r="CD6" s="261">
        <f>Cockpit!CB45</f>
        <v>46904</v>
      </c>
      <c r="CE6" s="261">
        <f>Cockpit!CC45</f>
        <v>46934</v>
      </c>
      <c r="CF6" s="261">
        <f>Cockpit!CD45</f>
        <v>46965</v>
      </c>
      <c r="CG6" s="261">
        <f>Cockpit!CE45</f>
        <v>46996</v>
      </c>
      <c r="CH6" s="261">
        <f>Cockpit!CF45</f>
        <v>47026</v>
      </c>
      <c r="CI6" s="261">
        <f>Cockpit!CG45</f>
        <v>47057</v>
      </c>
      <c r="CJ6" s="261">
        <f>Cockpit!CH45</f>
        <v>47087</v>
      </c>
      <c r="CK6" s="261">
        <f>Cockpit!CI45</f>
        <v>47118</v>
      </c>
      <c r="CL6" s="101"/>
    </row>
    <row r="7" spans="1:92" ht="11.45" hidden="1" customHeight="1" outlineLevel="1" x14ac:dyDescent="0.2">
      <c r="B7" s="101"/>
      <c r="C7" s="233"/>
      <c r="D7" s="232" t="str">
        <f>"in k"&amp;Cockpit!$C$5</f>
        <v>in kEUR</v>
      </c>
      <c r="E7" s="261" t="str">
        <f>Cockpit!C46</f>
        <v>IST</v>
      </c>
      <c r="F7" s="261" t="str">
        <f>Cockpit!D46</f>
        <v>IST</v>
      </c>
      <c r="G7" s="261" t="str">
        <f>Cockpit!E46</f>
        <v>IST</v>
      </c>
      <c r="H7" s="261" t="str">
        <f>Cockpit!F46</f>
        <v>IST</v>
      </c>
      <c r="I7" s="261" t="str">
        <f>Cockpit!G46</f>
        <v>IST</v>
      </c>
      <c r="J7" s="261" t="str">
        <f>Cockpit!H46</f>
        <v>IST</v>
      </c>
      <c r="K7" s="261" t="str">
        <f>Cockpit!I46</f>
        <v>IST</v>
      </c>
      <c r="L7" s="261" t="str">
        <f>Cockpit!J46</f>
        <v>IST</v>
      </c>
      <c r="M7" s="261" t="str">
        <f>Cockpit!K46</f>
        <v>IST</v>
      </c>
      <c r="N7" s="261" t="str">
        <f>Cockpit!L46</f>
        <v>IST</v>
      </c>
      <c r="O7" s="261" t="str">
        <f>Cockpit!M46</f>
        <v>IST</v>
      </c>
      <c r="P7" s="261" t="str">
        <f>Cockpit!N46</f>
        <v>IST</v>
      </c>
      <c r="Q7" s="261" t="str">
        <f>Cockpit!O46</f>
        <v>IST</v>
      </c>
      <c r="R7" s="261" t="str">
        <f>Cockpit!P46</f>
        <v>IST</v>
      </c>
      <c r="S7" s="261" t="str">
        <f>Cockpit!Q46</f>
        <v>IST</v>
      </c>
      <c r="T7" s="261" t="str">
        <f>Cockpit!R46</f>
        <v>IST</v>
      </c>
      <c r="U7" s="261" t="str">
        <f>Cockpit!S46</f>
        <v>IST</v>
      </c>
      <c r="V7" s="261" t="str">
        <f>Cockpit!T46</f>
        <v>IST</v>
      </c>
      <c r="W7" s="261" t="str">
        <f>Cockpit!U46</f>
        <v>IST</v>
      </c>
      <c r="X7" s="261" t="str">
        <f>Cockpit!V46</f>
        <v>IST</v>
      </c>
      <c r="Y7" s="261" t="str">
        <f>Cockpit!W46</f>
        <v>IST</v>
      </c>
      <c r="Z7" s="261" t="str">
        <f>Cockpit!X46</f>
        <v>IST</v>
      </c>
      <c r="AA7" s="261" t="str">
        <f>Cockpit!Y46</f>
        <v>IST</v>
      </c>
      <c r="AB7" s="261" t="str">
        <f>Cockpit!Z46</f>
        <v>IST</v>
      </c>
      <c r="AC7" s="261" t="str">
        <f>Cockpit!AA46</f>
        <v>IST</v>
      </c>
      <c r="AD7" s="261" t="str">
        <f>Cockpit!AB46</f>
        <v>IST</v>
      </c>
      <c r="AE7" s="261" t="str">
        <f>Cockpit!AC46</f>
        <v>IST</v>
      </c>
      <c r="AF7" s="261" t="str">
        <f>Cockpit!AD46</f>
        <v>IST</v>
      </c>
      <c r="AG7" s="261" t="str">
        <f>Cockpit!AE46</f>
        <v>IST</v>
      </c>
      <c r="AH7" s="261" t="str">
        <f>Cockpit!AF46</f>
        <v>IST</v>
      </c>
      <c r="AI7" s="261" t="str">
        <f>Cockpit!AG46</f>
        <v>IST</v>
      </c>
      <c r="AJ7" s="261" t="str">
        <f>Cockpit!AH46</f>
        <v>IST</v>
      </c>
      <c r="AK7" s="261" t="str">
        <f>Cockpit!AI46</f>
        <v>IST</v>
      </c>
      <c r="AL7" s="261" t="str">
        <f>Cockpit!AJ46</f>
        <v>IST</v>
      </c>
      <c r="AM7" s="261" t="str">
        <f>Cockpit!AK46</f>
        <v>IST</v>
      </c>
      <c r="AN7" s="261" t="str">
        <f>Cockpit!AL46</f>
        <v>IST</v>
      </c>
      <c r="AO7" s="261" t="str">
        <f>Cockpit!AM46</f>
        <v>IST</v>
      </c>
      <c r="AP7" s="261" t="str">
        <f>Cockpit!AN46</f>
        <v>IST</v>
      </c>
      <c r="AQ7" s="261" t="str">
        <f>Cockpit!AO46</f>
        <v>IST</v>
      </c>
      <c r="AR7" s="261" t="str">
        <f>Cockpit!AP46</f>
        <v>IST</v>
      </c>
      <c r="AS7" s="261" t="str">
        <f>Cockpit!AQ46</f>
        <v>IST</v>
      </c>
      <c r="AT7" s="261" t="str">
        <f>Cockpit!AR46</f>
        <v>IST</v>
      </c>
      <c r="AU7" s="261" t="str">
        <f>Cockpit!AS46</f>
        <v>IST</v>
      </c>
      <c r="AV7" s="261" t="str">
        <f>Cockpit!AT46</f>
        <v>IST</v>
      </c>
      <c r="AW7" s="261" t="str">
        <f>Cockpit!AU46</f>
        <v>IST</v>
      </c>
      <c r="AX7" s="261" t="str">
        <f>Cockpit!AV46</f>
        <v>IST</v>
      </c>
      <c r="AY7" s="261" t="str">
        <f>Cockpit!AW46</f>
        <v>IST</v>
      </c>
      <c r="AZ7" s="261" t="str">
        <f>Cockpit!AX46</f>
        <v>IST</v>
      </c>
      <c r="BA7" s="261" t="str">
        <f>Cockpit!AY46</f>
        <v>IST</v>
      </c>
      <c r="BB7" s="261" t="str">
        <f>Cockpit!AZ46</f>
        <v>Plan</v>
      </c>
      <c r="BC7" s="261" t="str">
        <f>Cockpit!BA46</f>
        <v>Plan</v>
      </c>
      <c r="BD7" s="261" t="str">
        <f>Cockpit!BB46</f>
        <v>Plan</v>
      </c>
      <c r="BE7" s="261" t="str">
        <f>Cockpit!BC46</f>
        <v>Plan</v>
      </c>
      <c r="BF7" s="261" t="str">
        <f>Cockpit!BD46</f>
        <v>Plan</v>
      </c>
      <c r="BG7" s="261" t="str">
        <f>Cockpit!BE46</f>
        <v>Plan</v>
      </c>
      <c r="BH7" s="261" t="str">
        <f>Cockpit!BF46</f>
        <v>Plan</v>
      </c>
      <c r="BI7" s="261" t="str">
        <f>Cockpit!BG46</f>
        <v>Plan</v>
      </c>
      <c r="BJ7" s="261" t="str">
        <f>Cockpit!BH46</f>
        <v>Plan</v>
      </c>
      <c r="BK7" s="261" t="str">
        <f>Cockpit!BI46</f>
        <v>Plan</v>
      </c>
      <c r="BL7" s="261" t="str">
        <f>Cockpit!BJ46</f>
        <v>Plan</v>
      </c>
      <c r="BM7" s="261" t="str">
        <f>Cockpit!BK46</f>
        <v>Plan</v>
      </c>
      <c r="BN7" s="261" t="str">
        <f>Cockpit!BL46</f>
        <v>Plan</v>
      </c>
      <c r="BO7" s="261" t="str">
        <f>Cockpit!BM46</f>
        <v>Plan</v>
      </c>
      <c r="BP7" s="261" t="str">
        <f>Cockpit!BN46</f>
        <v>Plan</v>
      </c>
      <c r="BQ7" s="261" t="str">
        <f>Cockpit!BO46</f>
        <v>Plan</v>
      </c>
      <c r="BR7" s="261" t="str">
        <f>Cockpit!BP46</f>
        <v>Plan</v>
      </c>
      <c r="BS7" s="261" t="str">
        <f>Cockpit!BQ46</f>
        <v>Plan</v>
      </c>
      <c r="BT7" s="261" t="str">
        <f>Cockpit!BR46</f>
        <v>Plan</v>
      </c>
      <c r="BU7" s="261" t="str">
        <f>Cockpit!BS46</f>
        <v>Plan</v>
      </c>
      <c r="BV7" s="261" t="str">
        <f>Cockpit!BT46</f>
        <v>Plan</v>
      </c>
      <c r="BW7" s="261" t="str">
        <f>Cockpit!BU46</f>
        <v>Plan</v>
      </c>
      <c r="BX7" s="261" t="str">
        <f>Cockpit!BV46</f>
        <v>Plan</v>
      </c>
      <c r="BY7" s="261" t="str">
        <f>Cockpit!BW46</f>
        <v>Plan</v>
      </c>
      <c r="BZ7" s="261" t="str">
        <f>Cockpit!BX46</f>
        <v>Plan</v>
      </c>
      <c r="CA7" s="261" t="str">
        <f>Cockpit!BY46</f>
        <v>Plan</v>
      </c>
      <c r="CB7" s="261" t="str">
        <f>Cockpit!BZ46</f>
        <v>Plan</v>
      </c>
      <c r="CC7" s="261" t="str">
        <f>Cockpit!CA46</f>
        <v>Plan</v>
      </c>
      <c r="CD7" s="261" t="str">
        <f>Cockpit!CB46</f>
        <v>Plan</v>
      </c>
      <c r="CE7" s="261" t="str">
        <f>Cockpit!CC46</f>
        <v>Plan</v>
      </c>
      <c r="CF7" s="261" t="str">
        <f>Cockpit!CD46</f>
        <v>Plan</v>
      </c>
      <c r="CG7" s="261" t="str">
        <f>Cockpit!CE46</f>
        <v>Plan</v>
      </c>
      <c r="CH7" s="261" t="str">
        <f>Cockpit!CF46</f>
        <v>Plan</v>
      </c>
      <c r="CI7" s="261" t="str">
        <f>Cockpit!CG46</f>
        <v>Plan</v>
      </c>
      <c r="CJ7" s="261" t="str">
        <f>Cockpit!CH46</f>
        <v>Plan</v>
      </c>
      <c r="CK7" s="261" t="str">
        <f>Cockpit!CI46</f>
        <v>Plan</v>
      </c>
      <c r="CL7" s="101"/>
      <c r="CN7" s="419" t="s">
        <v>840</v>
      </c>
    </row>
    <row r="8" spans="1:92" s="254" customFormat="1" ht="4.5" customHeight="1" collapsed="1" x14ac:dyDescent="0.2">
      <c r="A8" s="30"/>
      <c r="B8" s="101"/>
      <c r="C8" s="37"/>
      <c r="D8" s="37"/>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101"/>
      <c r="CN8" s="251"/>
    </row>
    <row r="9" spans="1:92" s="254" customFormat="1" ht="11.45" customHeight="1" x14ac:dyDescent="0.2">
      <c r="A9" s="30"/>
      <c r="B9" s="101"/>
      <c r="C9" s="37" t="str">
        <f>'Lead NA'!C9</f>
        <v>Immaterielle Vermögensgegenstände</v>
      </c>
      <c r="D9" s="37" t="str">
        <f>'Lead NA'!D9</f>
        <v>Intangible assets</v>
      </c>
      <c r="E9" s="36">
        <f>'Lead NA'!E9</f>
        <v>0</v>
      </c>
      <c r="F9" s="36"/>
      <c r="G9" s="36"/>
      <c r="H9" s="36"/>
      <c r="I9" s="36"/>
      <c r="J9" s="36"/>
      <c r="K9" s="36"/>
      <c r="L9" s="36"/>
      <c r="M9" s="36"/>
      <c r="N9" s="36"/>
      <c r="O9" s="36"/>
      <c r="P9" s="36"/>
      <c r="Q9" s="36">
        <f>'Lead NA'!F9</f>
        <v>6.1539999999999999</v>
      </c>
      <c r="R9" s="36">
        <f>SUMIF('Trial Balance (Susa)'!$D:$D,"*"&amp;$CN9&amp;"*",'Trial Balance (Susa)'!K:K)/1000</f>
        <v>5.9416799999999999</v>
      </c>
      <c r="S9" s="36">
        <f>SUMIF('Trial Balance (Susa)'!$D:$D,"*"&amp;$CN9&amp;"*",'Trial Balance (Susa)'!L:L)/1000</f>
        <v>5.7293400000000005</v>
      </c>
      <c r="T9" s="36">
        <f>SUMIF('Trial Balance (Susa)'!$D:$D,"*"&amp;$CN9&amp;"*",'Trial Balance (Susa)'!M:M)/1000</f>
        <v>5.5170200000000005</v>
      </c>
      <c r="U9" s="36">
        <f>SUMIF('Trial Balance (Susa)'!$D:$D,"*"&amp;$CN9&amp;"*",'Trial Balance (Susa)'!N:N)/1000</f>
        <v>5.3046800000000003</v>
      </c>
      <c r="V9" s="36">
        <f>SUMIF('Trial Balance (Susa)'!$D:$D,"*"&amp;$CN9&amp;"*",'Trial Balance (Susa)'!O:O)/1000</f>
        <v>5.0923400000000001</v>
      </c>
      <c r="W9" s="36">
        <f>SUMIF('Trial Balance (Susa)'!$D:$D,"*"&amp;$CN9&amp;"*",'Trial Balance (Susa)'!P:P)/1000</f>
        <v>4.88002</v>
      </c>
      <c r="X9" s="36">
        <f>SUMIF('Trial Balance (Susa)'!$D:$D,"*"&amp;$CN9&amp;"*",'Trial Balance (Susa)'!Q:Q)/1000</f>
        <v>4.6676800000000007</v>
      </c>
      <c r="Y9" s="36">
        <f>SUMIF('Trial Balance (Susa)'!$D:$D,"*"&amp;$CN9&amp;"*",'Trial Balance (Susa)'!R:R)/1000</f>
        <v>4.4553400000000005</v>
      </c>
      <c r="Z9" s="36">
        <f>SUMIF('Trial Balance (Susa)'!$D:$D,"*"&amp;$CN9&amp;"*",'Trial Balance (Susa)'!S:S)/1000</f>
        <v>4.2430200000000005</v>
      </c>
      <c r="AA9" s="36">
        <f>SUMIF('Trial Balance (Susa)'!$D:$D,"*"&amp;$CN9&amp;"*",'Trial Balance (Susa)'!T:T)/1000</f>
        <v>4.0306800000000003</v>
      </c>
      <c r="AB9" s="36">
        <f>SUMIF('Trial Balance (Susa)'!$D:$D,"*"&amp;$CN9&amp;"*",'Trial Balance (Susa)'!U:U)/1000</f>
        <v>3.8183400000000001</v>
      </c>
      <c r="AC9" s="36">
        <f>SUMIF('Trial Balance (Susa)'!$D:$D,"*"&amp;$CN9&amp;"*",'Trial Balance (Susa)'!V:V)/1000</f>
        <v>3.6059999999999999</v>
      </c>
      <c r="AD9" s="36">
        <f>SUMIF('Trial Balance (Susa)'!$D:$D,"*"&amp;$CN9&amp;"*",'Trial Balance (Susa)'!W:W)/1000</f>
        <v>3.3938200000000003</v>
      </c>
      <c r="AE9" s="36">
        <f>SUMIF('Trial Balance (Susa)'!$D:$D,"*"&amp;$CN9&amp;"*",'Trial Balance (Susa)'!X:X)/1000</f>
        <v>3.1816300000000002</v>
      </c>
      <c r="AF9" s="36">
        <f>SUMIF('Trial Balance (Susa)'!$D:$D,"*"&amp;$CN9&amp;"*",'Trial Balance (Susa)'!Y:Y)/1000</f>
        <v>2.9694499999999997</v>
      </c>
      <c r="AG9" s="36">
        <f>SUMIF('Trial Balance (Susa)'!$D:$D,"*"&amp;$CN9&amp;"*",'Trial Balance (Susa)'!Z:Z)/1000</f>
        <v>2.75725</v>
      </c>
      <c r="AH9" s="36">
        <f>SUMIF('Trial Balance (Susa)'!$D:$D,"*"&amp;$CN9&amp;"*",'Trial Balance (Susa)'!AA:AA)/1000</f>
        <v>2.5450599999999999</v>
      </c>
      <c r="AI9" s="36">
        <f>SUMIF('Trial Balance (Susa)'!$D:$D,"*"&amp;$CN9&amp;"*",'Trial Balance (Susa)'!AB:AB)/1000</f>
        <v>2.3328800000000003</v>
      </c>
      <c r="AJ9" s="36">
        <f>SUMIF('Trial Balance (Susa)'!$D:$D,"*"&amp;$CN9&amp;"*",'Trial Balance (Susa)'!AC:AC)/1000</f>
        <v>2.1206900000000002</v>
      </c>
      <c r="AK9" s="36">
        <f>SUMIF('Trial Balance (Susa)'!$D:$D,"*"&amp;$CN9&amp;"*",'Trial Balance (Susa)'!AD:AD)/1000</f>
        <v>1.90849</v>
      </c>
      <c r="AL9" s="36">
        <f>SUMIF('Trial Balance (Susa)'!$D:$D,"*"&amp;$CN9&amp;"*",'Trial Balance (Susa)'!AE:AE)/1000</f>
        <v>1.69631</v>
      </c>
      <c r="AM9" s="36">
        <f>SUMIF('Trial Balance (Susa)'!$D:$D,"*"&amp;$CN9&amp;"*",'Trial Balance (Susa)'!AF:AF)/1000</f>
        <v>1.4841199999999999</v>
      </c>
      <c r="AN9" s="36">
        <f>SUMIF('Trial Balance (Susa)'!$D:$D,"*"&amp;$CN9&amp;"*",'Trial Balance (Susa)'!AG:AG)/1000</f>
        <v>1.27193</v>
      </c>
      <c r="AO9" s="36">
        <f>SUMIF('Trial Balance (Susa)'!$D:$D,"*"&amp;$CN9&amp;"*",'Trial Balance (Susa)'!AH:AH)/1000</f>
        <v>204.27617000000001</v>
      </c>
      <c r="AP9" s="36">
        <f>SUMIF('Trial Balance (Susa)'!$D:$D,"*"&amp;$CN9&amp;"*",'Trial Balance (Susa)'!AI:AI)/1000</f>
        <v>204.11367000000001</v>
      </c>
      <c r="AQ9" s="36">
        <f>SUMIF('Trial Balance (Susa)'!$D:$D,"*"&amp;$CN9&amp;"*",'Trial Balance (Susa)'!AJ:AJ)/1000</f>
        <v>203.95117000000002</v>
      </c>
      <c r="AR9" s="36">
        <f>SUMIF('Trial Balance (Susa)'!$D:$D,"*"&amp;$CN9&amp;"*",'Trial Balance (Susa)'!AK:AK)/1000</f>
        <v>203.84017</v>
      </c>
      <c r="AS9" s="36">
        <f>SUMIF('Trial Balance (Susa)'!$D:$D,"*"&amp;$CN9&amp;"*",'Trial Balance (Susa)'!AL:AL)/1000</f>
        <v>203.72917000000001</v>
      </c>
      <c r="AT9" s="36">
        <f>SUMIF('Trial Balance (Susa)'!$D:$D,"*"&amp;$CN9&amp;"*",'Trial Balance (Susa)'!AM:AM)/1000</f>
        <v>203.61817000000002</v>
      </c>
      <c r="AU9" s="36">
        <f>SUMIF('Trial Balance (Susa)'!$D:$D,"*"&amp;$CN9&amp;"*",'Trial Balance (Susa)'!AN:AN)/1000</f>
        <v>203.50717</v>
      </c>
      <c r="AV9" s="36">
        <f>SUMIF('Trial Balance (Susa)'!$D:$D,"*"&amp;$CN9&amp;"*",'Trial Balance (Susa)'!AO:AO)/1000</f>
        <v>344.92346999999995</v>
      </c>
      <c r="AW9" s="36">
        <f>SUMIF('Trial Balance (Susa)'!$D:$D,"*"&amp;$CN9&amp;"*",'Trial Balance (Susa)'!AP:AP)/1000</f>
        <v>344.81246999999996</v>
      </c>
      <c r="AX9" s="36">
        <f>SUMIF('Trial Balance (Susa)'!$D:$D,"*"&amp;$CN9&amp;"*",'Trial Balance (Susa)'!AQ:AQ)/1000</f>
        <v>344.70146999999997</v>
      </c>
      <c r="AY9" s="36">
        <f>SUMIF('Trial Balance (Susa)'!$D:$D,"*"&amp;$CN9&amp;"*",'Trial Balance (Susa)'!AR:AR)/1000</f>
        <v>344.70146999999997</v>
      </c>
      <c r="AZ9" s="36">
        <f>SUMIF('Trial Balance (Susa)'!$D:$D,"*"&amp;$CN9&amp;"*",'Trial Balance (Susa)'!AS:AS)/1000</f>
        <v>344.70146999999997</v>
      </c>
      <c r="BA9" s="36">
        <f>SUMIF('Trial Balance (Susa)'!$D:$D,"*"&amp;$CN9&amp;"*",'Trial Balance (Susa)'!AT:AT)/1000</f>
        <v>666.00327000000004</v>
      </c>
      <c r="BB9" s="278"/>
      <c r="BC9" s="278"/>
      <c r="BD9" s="278"/>
      <c r="BE9" s="278"/>
      <c r="BF9" s="278"/>
      <c r="BG9" s="278"/>
      <c r="BH9" s="278"/>
      <c r="BI9" s="278"/>
      <c r="BJ9" s="278"/>
      <c r="BK9" s="278"/>
      <c r="BL9" s="278"/>
      <c r="BM9" s="278"/>
      <c r="BN9" s="278"/>
      <c r="BO9" s="278"/>
      <c r="BP9" s="278"/>
      <c r="BQ9" s="278"/>
      <c r="BR9" s="278"/>
      <c r="BS9" s="278"/>
      <c r="BT9" s="278"/>
      <c r="BU9" s="278"/>
      <c r="BV9" s="278"/>
      <c r="BW9" s="278"/>
      <c r="BX9" s="278"/>
      <c r="BY9" s="278"/>
      <c r="BZ9" s="278"/>
      <c r="CA9" s="278"/>
      <c r="CB9" s="278"/>
      <c r="CC9" s="278"/>
      <c r="CD9" s="278"/>
      <c r="CE9" s="278"/>
      <c r="CF9" s="278"/>
      <c r="CG9" s="278"/>
      <c r="CH9" s="278"/>
      <c r="CI9" s="278"/>
      <c r="CJ9" s="278"/>
      <c r="CK9" s="278"/>
      <c r="CL9" s="101"/>
      <c r="CN9" s="364" t="str">
        <f>'Lead NA'!P9</f>
        <v>/fixed assets/intangible assets</v>
      </c>
    </row>
    <row r="10" spans="1:92" s="254" customFormat="1" ht="11.45" customHeight="1" x14ac:dyDescent="0.2">
      <c r="A10" s="30"/>
      <c r="B10" s="101"/>
      <c r="C10" s="37" t="str">
        <f>'Lead NA'!C10</f>
        <v>Sachanlagen</v>
      </c>
      <c r="D10" s="37" t="str">
        <f>'Lead NA'!D10</f>
        <v>Tangible assets</v>
      </c>
      <c r="E10" s="36">
        <f>'Lead NA'!E10</f>
        <v>0</v>
      </c>
      <c r="F10" s="36"/>
      <c r="G10" s="36"/>
      <c r="H10" s="36"/>
      <c r="I10" s="36"/>
      <c r="J10" s="36"/>
      <c r="K10" s="36"/>
      <c r="L10" s="36"/>
      <c r="M10" s="36"/>
      <c r="N10" s="36"/>
      <c r="O10" s="36"/>
      <c r="P10" s="36"/>
      <c r="Q10" s="36">
        <f>'Lead NA'!F10</f>
        <v>980.83699999999999</v>
      </c>
      <c r="R10" s="36">
        <f>SUMIF('Trial Balance (Susa)'!$D:$D,"*"&amp;$CN10&amp;"*",'Trial Balance (Susa)'!K:K)/1000</f>
        <v>941.13558000000012</v>
      </c>
      <c r="S10" s="36">
        <f>SUMIF('Trial Balance (Susa)'!$D:$D,"*"&amp;$CN10&amp;"*",'Trial Balance (Susa)'!L:L)/1000</f>
        <v>913.67147</v>
      </c>
      <c r="T10" s="36">
        <f>SUMIF('Trial Balance (Susa)'!$D:$D,"*"&amp;$CN10&amp;"*",'Trial Balance (Susa)'!M:M)/1000</f>
        <v>902.84543999999994</v>
      </c>
      <c r="U10" s="36">
        <f>SUMIF('Trial Balance (Susa)'!$D:$D,"*"&amp;$CN10&amp;"*",'Trial Balance (Susa)'!N:N)/1000</f>
        <v>877.49464999999998</v>
      </c>
      <c r="V10" s="36">
        <f>SUMIF('Trial Balance (Susa)'!$D:$D,"*"&amp;$CN10&amp;"*",'Trial Balance (Susa)'!O:O)/1000</f>
        <v>852.20937000000004</v>
      </c>
      <c r="W10" s="36">
        <f>SUMIF('Trial Balance (Susa)'!$D:$D,"*"&amp;$CN10&amp;"*",'Trial Balance (Susa)'!P:P)/1000</f>
        <v>828.48579000000007</v>
      </c>
      <c r="X10" s="36">
        <f>SUMIF('Trial Balance (Susa)'!$D:$D,"*"&amp;$CN10&amp;"*",'Trial Balance (Susa)'!Q:Q)/1000</f>
        <v>809.88846000000001</v>
      </c>
      <c r="Y10" s="36">
        <f>SUMIF('Trial Balance (Susa)'!$D:$D,"*"&amp;$CN10&amp;"*",'Trial Balance (Susa)'!R:R)/1000</f>
        <v>799.62086999999997</v>
      </c>
      <c r="Z10" s="36">
        <f>SUMIF('Trial Balance (Susa)'!$D:$D,"*"&amp;$CN10&amp;"*",'Trial Balance (Susa)'!S:S)/1000</f>
        <v>787.87171000000001</v>
      </c>
      <c r="AA10" s="36">
        <f>SUMIF('Trial Balance (Susa)'!$D:$D,"*"&amp;$CN10&amp;"*",'Trial Balance (Susa)'!T:T)/1000</f>
        <v>781.73506000000009</v>
      </c>
      <c r="AB10" s="36">
        <f>SUMIF('Trial Balance (Susa)'!$D:$D,"*"&amp;$CN10&amp;"*",'Trial Balance (Susa)'!U:U)/1000</f>
        <v>761.0915500000001</v>
      </c>
      <c r="AC10" s="36">
        <f>SUMIF('Trial Balance (Susa)'!$D:$D,"*"&amp;$CN10&amp;"*",'Trial Balance (Susa)'!V:V)/1000</f>
        <v>715.17600000000004</v>
      </c>
      <c r="AD10" s="36">
        <f>SUMIF('Trial Balance (Susa)'!$D:$D,"*"&amp;$CN10&amp;"*",'Trial Balance (Susa)'!W:W)/1000</f>
        <v>690.18885</v>
      </c>
      <c r="AE10" s="36">
        <f>SUMIF('Trial Balance (Susa)'!$D:$D,"*"&amp;$CN10&amp;"*",'Trial Balance (Susa)'!X:X)/1000</f>
        <v>659.2124399999999</v>
      </c>
      <c r="AF10" s="36">
        <f>SUMIF('Trial Balance (Susa)'!$D:$D,"*"&amp;$CN10&amp;"*",'Trial Balance (Susa)'!Y:Y)/1000</f>
        <v>646.68493999999998</v>
      </c>
      <c r="AG10" s="36">
        <f>SUMIF('Trial Balance (Susa)'!$D:$D,"*"&amp;$CN10&amp;"*",'Trial Balance (Susa)'!Z:Z)/1000</f>
        <v>760.36039000000005</v>
      </c>
      <c r="AH10" s="36">
        <f>SUMIF('Trial Balance (Susa)'!$D:$D,"*"&amp;$CN10&amp;"*",'Trial Balance (Susa)'!AA:AA)/1000</f>
        <v>742.82937000000004</v>
      </c>
      <c r="AI10" s="36">
        <f>SUMIF('Trial Balance (Susa)'!$D:$D,"*"&amp;$CN10&amp;"*",'Trial Balance (Susa)'!AB:AB)/1000</f>
        <v>802.57080000000008</v>
      </c>
      <c r="AJ10" s="36">
        <f>SUMIF('Trial Balance (Susa)'!$D:$D,"*"&amp;$CN10&amp;"*",'Trial Balance (Susa)'!AC:AC)/1000</f>
        <v>759.25087999999994</v>
      </c>
      <c r="AK10" s="36">
        <f>SUMIF('Trial Balance (Susa)'!$D:$D,"*"&amp;$CN10&amp;"*",'Trial Balance (Susa)'!AD:AD)/1000</f>
        <v>771.07799999999997</v>
      </c>
      <c r="AL10" s="36">
        <f>SUMIF('Trial Balance (Susa)'!$D:$D,"*"&amp;$CN10&amp;"*",'Trial Balance (Susa)'!AE:AE)/1000</f>
        <v>780.04407000000003</v>
      </c>
      <c r="AM10" s="36">
        <f>SUMIF('Trial Balance (Susa)'!$D:$D,"*"&amp;$CN10&amp;"*",'Trial Balance (Susa)'!AF:AF)/1000</f>
        <v>820.83553000000006</v>
      </c>
      <c r="AN10" s="36">
        <f>SUMIF('Trial Balance (Susa)'!$D:$D,"*"&amp;$CN10&amp;"*",'Trial Balance (Susa)'!AG:AG)/1000</f>
        <v>1016.56424</v>
      </c>
      <c r="AO10" s="36">
        <f>SUMIF('Trial Balance (Susa)'!$D:$D,"*"&amp;$CN10&amp;"*",'Trial Balance (Susa)'!AH:AH)/1000</f>
        <v>826.46400000000006</v>
      </c>
      <c r="AP10" s="36">
        <f>SUMIF('Trial Balance (Susa)'!$D:$D,"*"&amp;$CN10&amp;"*",'Trial Balance (Susa)'!AI:AI)/1000</f>
        <v>797.86382000000003</v>
      </c>
      <c r="AQ10" s="36">
        <f>SUMIF('Trial Balance (Susa)'!$D:$D,"*"&amp;$CN10&amp;"*",'Trial Balance (Susa)'!AJ:AJ)/1000</f>
        <v>774.4706799999999</v>
      </c>
      <c r="AR10" s="36">
        <f>SUMIF('Trial Balance (Susa)'!$D:$D,"*"&amp;$CN10&amp;"*",'Trial Balance (Susa)'!AK:AK)/1000</f>
        <v>738.78616999999997</v>
      </c>
      <c r="AS10" s="36">
        <f>SUMIF('Trial Balance (Susa)'!$D:$D,"*"&amp;$CN10&amp;"*",'Trial Balance (Susa)'!AL:AL)/1000</f>
        <v>720.06061</v>
      </c>
      <c r="AT10" s="36">
        <f>SUMIF('Trial Balance (Susa)'!$D:$D,"*"&amp;$CN10&amp;"*",'Trial Balance (Susa)'!AM:AM)/1000</f>
        <v>697.62738999999988</v>
      </c>
      <c r="AU10" s="36">
        <f>SUMIF('Trial Balance (Susa)'!$D:$D,"*"&amp;$CN10&amp;"*",'Trial Balance (Susa)'!AN:AN)/1000</f>
        <v>675.52383999999995</v>
      </c>
      <c r="AV10" s="36">
        <f>SUMIF('Trial Balance (Susa)'!$D:$D,"*"&amp;$CN10&amp;"*",'Trial Balance (Susa)'!AO:AO)/1000</f>
        <v>654.19985999999994</v>
      </c>
      <c r="AW10" s="36">
        <f>SUMIF('Trial Balance (Susa)'!$D:$D,"*"&amp;$CN10&amp;"*",'Trial Balance (Susa)'!AP:AP)/1000</f>
        <v>633.03485999999998</v>
      </c>
      <c r="AX10" s="36">
        <f>SUMIF('Trial Balance (Susa)'!$D:$D,"*"&amp;$CN10&amp;"*",'Trial Balance (Susa)'!AQ:AQ)/1000</f>
        <v>615.06457999999998</v>
      </c>
      <c r="AY10" s="36">
        <f>SUMIF('Trial Balance (Susa)'!$D:$D,"*"&amp;$CN10&amp;"*",'Trial Balance (Susa)'!AR:AR)/1000</f>
        <v>599.91951000000006</v>
      </c>
      <c r="AZ10" s="36">
        <f>SUMIF('Trial Balance (Susa)'!$D:$D,"*"&amp;$CN10&amp;"*",'Trial Balance (Susa)'!AS:AS)/1000</f>
        <v>601.69553000000008</v>
      </c>
      <c r="BA10" s="36">
        <f>SUMIF('Trial Balance (Susa)'!$D:$D,"*"&amp;$CN10&amp;"*",'Trial Balance (Susa)'!AT:AT)/1000</f>
        <v>600.38499999999999</v>
      </c>
      <c r="BB10" s="278"/>
      <c r="BC10" s="278"/>
      <c r="BD10" s="278"/>
      <c r="BE10" s="278"/>
      <c r="BF10" s="278"/>
      <c r="BG10" s="278"/>
      <c r="BH10" s="278"/>
      <c r="BI10" s="278"/>
      <c r="BJ10" s="278"/>
      <c r="BK10" s="278"/>
      <c r="BL10" s="278"/>
      <c r="BM10" s="278"/>
      <c r="BN10" s="278"/>
      <c r="BO10" s="278"/>
      <c r="BP10" s="278"/>
      <c r="BQ10" s="278"/>
      <c r="BR10" s="278"/>
      <c r="BS10" s="278"/>
      <c r="BT10" s="278"/>
      <c r="BU10" s="278"/>
      <c r="BV10" s="278"/>
      <c r="BW10" s="278"/>
      <c r="BX10" s="278"/>
      <c r="BY10" s="278"/>
      <c r="BZ10" s="278"/>
      <c r="CA10" s="278"/>
      <c r="CB10" s="278"/>
      <c r="CC10" s="278"/>
      <c r="CD10" s="278"/>
      <c r="CE10" s="278"/>
      <c r="CF10" s="278"/>
      <c r="CG10" s="278"/>
      <c r="CH10" s="278"/>
      <c r="CI10" s="278"/>
      <c r="CJ10" s="278"/>
      <c r="CK10" s="278"/>
      <c r="CL10" s="101"/>
      <c r="CN10" s="364" t="str">
        <f>'Lead NA'!P10</f>
        <v>/fixed assets/tangible assets</v>
      </c>
    </row>
    <row r="11" spans="1:92" s="254" customFormat="1" ht="11.45" customHeight="1" x14ac:dyDescent="0.2">
      <c r="A11" s="30"/>
      <c r="B11" s="101"/>
      <c r="C11" s="37" t="str">
        <f>'Lead NA'!C11</f>
        <v>Finanzanlagen</v>
      </c>
      <c r="D11" s="37" t="str">
        <f>'Lead NA'!D11</f>
        <v>Financial assets</v>
      </c>
      <c r="E11" s="36">
        <f>'Lead NA'!E11</f>
        <v>0</v>
      </c>
      <c r="F11" s="36"/>
      <c r="G11" s="36"/>
      <c r="H11" s="36"/>
      <c r="I11" s="36"/>
      <c r="J11" s="36"/>
      <c r="K11" s="36"/>
      <c r="L11" s="36"/>
      <c r="M11" s="36"/>
      <c r="N11" s="36"/>
      <c r="O11" s="36"/>
      <c r="P11" s="36"/>
      <c r="Q11" s="36">
        <f>'Lead NA'!F11</f>
        <v>206.89411999999999</v>
      </c>
      <c r="R11" s="36">
        <f>SUMIF('Trial Balance (Susa)'!$D:$D,"*"&amp;$CN11&amp;"*",'Trial Balance (Susa)'!K:K)/1000</f>
        <v>206.89411999999999</v>
      </c>
      <c r="S11" s="36">
        <f>SUMIF('Trial Balance (Susa)'!$D:$D,"*"&amp;$CN11&amp;"*",'Trial Balance (Susa)'!L:L)/1000</f>
        <v>206.89411999999999</v>
      </c>
      <c r="T11" s="36">
        <f>SUMIF('Trial Balance (Susa)'!$D:$D,"*"&amp;$CN11&amp;"*",'Trial Balance (Susa)'!M:M)/1000</f>
        <v>206.89411999999999</v>
      </c>
      <c r="U11" s="36">
        <f>SUMIF('Trial Balance (Susa)'!$D:$D,"*"&amp;$CN11&amp;"*",'Trial Balance (Susa)'!N:N)/1000</f>
        <v>206.89411999999999</v>
      </c>
      <c r="V11" s="36">
        <f>SUMIF('Trial Balance (Susa)'!$D:$D,"*"&amp;$CN11&amp;"*",'Trial Balance (Susa)'!O:O)/1000</f>
        <v>206.89411999999999</v>
      </c>
      <c r="W11" s="36">
        <f>SUMIF('Trial Balance (Susa)'!$D:$D,"*"&amp;$CN11&amp;"*",'Trial Balance (Susa)'!P:P)/1000</f>
        <v>206.89411999999999</v>
      </c>
      <c r="X11" s="36">
        <f>SUMIF('Trial Balance (Susa)'!$D:$D,"*"&amp;$CN11&amp;"*",'Trial Balance (Susa)'!Q:Q)/1000</f>
        <v>206.89411999999999</v>
      </c>
      <c r="Y11" s="36">
        <f>SUMIF('Trial Balance (Susa)'!$D:$D,"*"&amp;$CN11&amp;"*",'Trial Balance (Susa)'!R:R)/1000</f>
        <v>206.89411999999999</v>
      </c>
      <c r="Z11" s="36">
        <f>SUMIF('Trial Balance (Susa)'!$D:$D,"*"&amp;$CN11&amp;"*",'Trial Balance (Susa)'!S:S)/1000</f>
        <v>203.23750000000001</v>
      </c>
      <c r="AA11" s="36">
        <f>SUMIF('Trial Balance (Susa)'!$D:$D,"*"&amp;$CN11&amp;"*",'Trial Balance (Susa)'!T:T)/1000</f>
        <v>206.89411999999999</v>
      </c>
      <c r="AB11" s="36">
        <f>SUMIF('Trial Balance (Susa)'!$D:$D,"*"&amp;$CN11&amp;"*",'Trial Balance (Susa)'!U:U)/1000</f>
        <v>206.89411999999999</v>
      </c>
      <c r="AC11" s="36">
        <f>SUMIF('Trial Balance (Susa)'!$D:$D,"*"&amp;$CN11&amp;"*",'Trial Balance (Susa)'!V:V)/1000</f>
        <v>182.17891</v>
      </c>
      <c r="AD11" s="36">
        <f>SUMIF('Trial Balance (Susa)'!$D:$D,"*"&amp;$CN11&amp;"*",'Trial Balance (Susa)'!W:W)/1000</f>
        <v>182.17891</v>
      </c>
      <c r="AE11" s="36">
        <f>SUMIF('Trial Balance (Susa)'!$D:$D,"*"&amp;$CN11&amp;"*",'Trial Balance (Susa)'!X:X)/1000</f>
        <v>182.17891</v>
      </c>
      <c r="AF11" s="36">
        <f>SUMIF('Trial Balance (Susa)'!$D:$D,"*"&amp;$CN11&amp;"*",'Trial Balance (Susa)'!Y:Y)/1000</f>
        <v>182.17891</v>
      </c>
      <c r="AG11" s="36">
        <f>SUMIF('Trial Balance (Susa)'!$D:$D,"*"&amp;$CN11&amp;"*",'Trial Balance (Susa)'!Z:Z)/1000</f>
        <v>182.17891</v>
      </c>
      <c r="AH11" s="36">
        <f>SUMIF('Trial Balance (Susa)'!$D:$D,"*"&amp;$CN11&amp;"*",'Trial Balance (Susa)'!AA:AA)/1000</f>
        <v>182.17891</v>
      </c>
      <c r="AI11" s="36">
        <f>SUMIF('Trial Balance (Susa)'!$D:$D,"*"&amp;$CN11&amp;"*",'Trial Balance (Susa)'!AB:AB)/1000</f>
        <v>182.17891</v>
      </c>
      <c r="AJ11" s="36">
        <f>SUMIF('Trial Balance (Susa)'!$D:$D,"*"&amp;$CN11&amp;"*",'Trial Balance (Susa)'!AC:AC)/1000</f>
        <v>182.17891</v>
      </c>
      <c r="AK11" s="36">
        <f>SUMIF('Trial Balance (Susa)'!$D:$D,"*"&amp;$CN11&amp;"*",'Trial Balance (Susa)'!AD:AD)/1000</f>
        <v>182.17891</v>
      </c>
      <c r="AL11" s="36">
        <f>SUMIF('Trial Balance (Susa)'!$D:$D,"*"&amp;$CN11&amp;"*",'Trial Balance (Susa)'!AE:AE)/1000</f>
        <v>182.17891</v>
      </c>
      <c r="AM11" s="36">
        <f>SUMIF('Trial Balance (Susa)'!$D:$D,"*"&amp;$CN11&amp;"*",'Trial Balance (Susa)'!AF:AF)/1000</f>
        <v>79.498910000000009</v>
      </c>
      <c r="AN11" s="36">
        <f>SUMIF('Trial Balance (Susa)'!$D:$D,"*"&amp;$CN11&amp;"*",'Trial Balance (Susa)'!AG:AG)/1000</f>
        <v>79.498910000000009</v>
      </c>
      <c r="AO11" s="36">
        <f>SUMIF('Trial Balance (Susa)'!$D:$D,"*"&amp;$CN11&amp;"*",'Trial Balance (Susa)'!AH:AH)/1000</f>
        <v>75.425619999999995</v>
      </c>
      <c r="AP11" s="36">
        <f>SUMIF('Trial Balance (Susa)'!$D:$D,"*"&amp;$CN11&amp;"*",'Trial Balance (Susa)'!AI:AI)/1000</f>
        <v>75.425619999999995</v>
      </c>
      <c r="AQ11" s="36">
        <f>SUMIF('Trial Balance (Susa)'!$D:$D,"*"&amp;$CN11&amp;"*",'Trial Balance (Susa)'!AJ:AJ)/1000</f>
        <v>75.425619999999995</v>
      </c>
      <c r="AR11" s="36">
        <f>SUMIF('Trial Balance (Susa)'!$D:$D,"*"&amp;$CN11&amp;"*",'Trial Balance (Susa)'!AK:AK)/1000</f>
        <v>44.025620000000004</v>
      </c>
      <c r="AS11" s="36">
        <f>SUMIF('Trial Balance (Susa)'!$D:$D,"*"&amp;$CN11&amp;"*",'Trial Balance (Susa)'!AL:AL)/1000</f>
        <v>44.025620000000004</v>
      </c>
      <c r="AT11" s="36">
        <f>SUMIF('Trial Balance (Susa)'!$D:$D,"*"&amp;$CN11&amp;"*",'Trial Balance (Susa)'!AM:AM)/1000</f>
        <v>44.025620000000004</v>
      </c>
      <c r="AU11" s="36">
        <f>SUMIF('Trial Balance (Susa)'!$D:$D,"*"&amp;$CN11&amp;"*",'Trial Balance (Susa)'!AN:AN)/1000</f>
        <v>44.025620000000004</v>
      </c>
      <c r="AV11" s="36">
        <f>SUMIF('Trial Balance (Susa)'!$D:$D,"*"&amp;$CN11&amp;"*",'Trial Balance (Susa)'!AO:AO)/1000</f>
        <v>44.025620000000004</v>
      </c>
      <c r="AW11" s="36">
        <f>SUMIF('Trial Balance (Susa)'!$D:$D,"*"&amp;$CN11&amp;"*",'Trial Balance (Susa)'!AP:AP)/1000</f>
        <v>44.025620000000004</v>
      </c>
      <c r="AX11" s="36">
        <f>SUMIF('Trial Balance (Susa)'!$D:$D,"*"&amp;$CN11&amp;"*",'Trial Balance (Susa)'!AQ:AQ)/1000</f>
        <v>44.025620000000004</v>
      </c>
      <c r="AY11" s="36">
        <f>SUMIF('Trial Balance (Susa)'!$D:$D,"*"&amp;$CN11&amp;"*",'Trial Balance (Susa)'!AR:AR)/1000</f>
        <v>44.025620000000004</v>
      </c>
      <c r="AZ11" s="36">
        <f>SUMIF('Trial Balance (Susa)'!$D:$D,"*"&amp;$CN11&amp;"*",'Trial Balance (Susa)'!AS:AS)/1000</f>
        <v>44.025620000000004</v>
      </c>
      <c r="BA11" s="36">
        <f>SUMIF('Trial Balance (Susa)'!$D:$D,"*"&amp;$CN11&amp;"*",'Trial Balance (Susa)'!AT:AT)/1000</f>
        <v>121.96562</v>
      </c>
      <c r="BB11" s="278"/>
      <c r="BC11" s="278"/>
      <c r="BD11" s="278"/>
      <c r="BE11" s="278"/>
      <c r="BF11" s="278"/>
      <c r="BG11" s="278"/>
      <c r="BH11" s="278"/>
      <c r="BI11" s="278"/>
      <c r="BJ11" s="278"/>
      <c r="BK11" s="278"/>
      <c r="BL11" s="278"/>
      <c r="BM11" s="278"/>
      <c r="BN11" s="278"/>
      <c r="BO11" s="278"/>
      <c r="BP11" s="278"/>
      <c r="BQ11" s="278"/>
      <c r="BR11" s="278"/>
      <c r="BS11" s="278"/>
      <c r="BT11" s="278"/>
      <c r="BU11" s="278"/>
      <c r="BV11" s="278"/>
      <c r="BW11" s="278"/>
      <c r="BX11" s="278"/>
      <c r="BY11" s="278"/>
      <c r="BZ11" s="278"/>
      <c r="CA11" s="278"/>
      <c r="CB11" s="278"/>
      <c r="CC11" s="278"/>
      <c r="CD11" s="278"/>
      <c r="CE11" s="278"/>
      <c r="CF11" s="278"/>
      <c r="CG11" s="278"/>
      <c r="CH11" s="278"/>
      <c r="CI11" s="278"/>
      <c r="CJ11" s="278"/>
      <c r="CK11" s="278"/>
      <c r="CL11" s="101"/>
      <c r="CN11" s="364" t="str">
        <f>'Lead NA'!P11</f>
        <v>/fixed assets/financial assets</v>
      </c>
    </row>
    <row r="12" spans="1:92" s="254" customFormat="1" ht="11.45" hidden="1" customHeight="1" outlineLevel="2" x14ac:dyDescent="0.2">
      <c r="A12" s="30"/>
      <c r="B12" s="101"/>
      <c r="C12" s="37" t="str">
        <f>'Lead NA'!C12</f>
        <v>Dummy 1</v>
      </c>
      <c r="D12" s="37" t="str">
        <f>'Lead NA'!D12</f>
        <v>Dummy 1</v>
      </c>
      <c r="E12" s="36">
        <f>'Lead NA'!E12</f>
        <v>0</v>
      </c>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278"/>
      <c r="AV12" s="278"/>
      <c r="AW12" s="278"/>
      <c r="AX12" s="278"/>
      <c r="AY12" s="278"/>
      <c r="AZ12" s="278"/>
      <c r="BA12" s="278"/>
      <c r="BB12" s="278"/>
      <c r="BC12" s="278"/>
      <c r="BD12" s="278"/>
      <c r="BE12" s="278"/>
      <c r="BF12" s="278"/>
      <c r="BG12" s="278"/>
      <c r="BH12" s="278"/>
      <c r="BI12" s="278"/>
      <c r="BJ12" s="278"/>
      <c r="BK12" s="278"/>
      <c r="BL12" s="278"/>
      <c r="BM12" s="278"/>
      <c r="BN12" s="278"/>
      <c r="BO12" s="278"/>
      <c r="BP12" s="278"/>
      <c r="BQ12" s="278"/>
      <c r="BR12" s="278"/>
      <c r="BS12" s="278"/>
      <c r="BT12" s="278"/>
      <c r="BU12" s="278"/>
      <c r="BV12" s="278"/>
      <c r="BW12" s="278"/>
      <c r="BX12" s="278"/>
      <c r="BY12" s="278"/>
      <c r="BZ12" s="278"/>
      <c r="CA12" s="278"/>
      <c r="CB12" s="278"/>
      <c r="CC12" s="278"/>
      <c r="CD12" s="278"/>
      <c r="CE12" s="278"/>
      <c r="CF12" s="278"/>
      <c r="CG12" s="278"/>
      <c r="CH12" s="278"/>
      <c r="CI12" s="278"/>
      <c r="CJ12" s="278"/>
      <c r="CK12" s="278"/>
      <c r="CL12" s="101"/>
      <c r="CN12" s="364"/>
    </row>
    <row r="13" spans="1:92" s="254" customFormat="1" ht="11.45" hidden="1" customHeight="1" outlineLevel="2" x14ac:dyDescent="0.2">
      <c r="A13" s="30"/>
      <c r="B13" s="101"/>
      <c r="C13" s="37" t="str">
        <f>'Lead NA'!C13</f>
        <v>Dummy 2</v>
      </c>
      <c r="D13" s="37" t="str">
        <f>'Lead NA'!D13</f>
        <v>Dummy 2</v>
      </c>
      <c r="E13" s="36">
        <f>'Lead NA'!E13</f>
        <v>0</v>
      </c>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278"/>
      <c r="AV13" s="278"/>
      <c r="AW13" s="278"/>
      <c r="AX13" s="278"/>
      <c r="AY13" s="278"/>
      <c r="AZ13" s="278"/>
      <c r="BA13" s="278"/>
      <c r="BB13" s="278"/>
      <c r="BC13" s="278"/>
      <c r="BD13" s="278"/>
      <c r="BE13" s="278"/>
      <c r="BF13" s="278"/>
      <c r="BG13" s="278"/>
      <c r="BH13" s="278"/>
      <c r="BI13" s="278"/>
      <c r="BJ13" s="278"/>
      <c r="BK13" s="278"/>
      <c r="BL13" s="278"/>
      <c r="BM13" s="278"/>
      <c r="BN13" s="278"/>
      <c r="BO13" s="278"/>
      <c r="BP13" s="278"/>
      <c r="BQ13" s="278"/>
      <c r="BR13" s="278"/>
      <c r="BS13" s="278"/>
      <c r="BT13" s="278"/>
      <c r="BU13" s="278"/>
      <c r="BV13" s="278"/>
      <c r="BW13" s="278"/>
      <c r="BX13" s="278"/>
      <c r="BY13" s="278"/>
      <c r="BZ13" s="278"/>
      <c r="CA13" s="278"/>
      <c r="CB13" s="278"/>
      <c r="CC13" s="278"/>
      <c r="CD13" s="278"/>
      <c r="CE13" s="278"/>
      <c r="CF13" s="278"/>
      <c r="CG13" s="278"/>
      <c r="CH13" s="278"/>
      <c r="CI13" s="278"/>
      <c r="CJ13" s="278"/>
      <c r="CK13" s="278"/>
      <c r="CL13" s="101"/>
      <c r="CN13" s="364"/>
    </row>
    <row r="14" spans="1:92" s="254" customFormat="1" ht="11.45" hidden="1" customHeight="1" outlineLevel="2" x14ac:dyDescent="0.2">
      <c r="A14" s="30"/>
      <c r="B14" s="101"/>
      <c r="C14" s="42" t="str">
        <f>'Lead NA'!C14</f>
        <v>Dummy 3</v>
      </c>
      <c r="D14" s="42" t="str">
        <f>'Lead NA'!D14</f>
        <v>Dummy 3</v>
      </c>
      <c r="E14" s="127">
        <f>'Lead NA'!E14</f>
        <v>0</v>
      </c>
      <c r="F14" s="127"/>
      <c r="G14" s="127"/>
      <c r="H14" s="127"/>
      <c r="I14" s="127"/>
      <c r="J14" s="127"/>
      <c r="K14" s="127"/>
      <c r="L14" s="127"/>
      <c r="M14" s="127"/>
      <c r="N14" s="127"/>
      <c r="O14" s="127"/>
      <c r="P14" s="127"/>
      <c r="Q14" s="127"/>
      <c r="R14" s="127"/>
      <c r="S14" s="127"/>
      <c r="T14" s="127"/>
      <c r="U14" s="127"/>
      <c r="V14" s="127"/>
      <c r="W14" s="127"/>
      <c r="X14" s="127"/>
      <c r="Y14" s="127"/>
      <c r="Z14" s="127"/>
      <c r="AA14" s="127"/>
      <c r="AB14" s="127"/>
      <c r="AC14" s="127"/>
      <c r="AD14" s="127"/>
      <c r="AE14" s="127"/>
      <c r="AF14" s="127"/>
      <c r="AG14" s="127"/>
      <c r="AH14" s="127"/>
      <c r="AI14" s="127"/>
      <c r="AJ14" s="127"/>
      <c r="AK14" s="127"/>
      <c r="AL14" s="127"/>
      <c r="AM14" s="127"/>
      <c r="AN14" s="127"/>
      <c r="AO14" s="127"/>
      <c r="AP14" s="127"/>
      <c r="AQ14" s="127"/>
      <c r="AR14" s="127"/>
      <c r="AS14" s="127"/>
      <c r="AT14" s="127"/>
      <c r="AU14" s="125"/>
      <c r="AV14" s="125"/>
      <c r="AW14" s="125"/>
      <c r="AX14" s="125"/>
      <c r="AY14" s="125"/>
      <c r="AZ14" s="125"/>
      <c r="BA14" s="125"/>
      <c r="BB14" s="125"/>
      <c r="BC14" s="125"/>
      <c r="BD14" s="125"/>
      <c r="BE14" s="125"/>
      <c r="BF14" s="125"/>
      <c r="BG14" s="125"/>
      <c r="BH14" s="125"/>
      <c r="BI14" s="125"/>
      <c r="BJ14" s="125"/>
      <c r="BK14" s="125"/>
      <c r="BL14" s="125"/>
      <c r="BM14" s="125"/>
      <c r="BN14" s="125"/>
      <c r="BO14" s="125"/>
      <c r="BP14" s="125"/>
      <c r="BQ14" s="125"/>
      <c r="BR14" s="125"/>
      <c r="BS14" s="125"/>
      <c r="BT14" s="125"/>
      <c r="BU14" s="125"/>
      <c r="BV14" s="125"/>
      <c r="BW14" s="125"/>
      <c r="BX14" s="125"/>
      <c r="BY14" s="125"/>
      <c r="BZ14" s="125"/>
      <c r="CA14" s="125"/>
      <c r="CB14" s="125"/>
      <c r="CC14" s="125"/>
      <c r="CD14" s="125"/>
      <c r="CE14" s="125"/>
      <c r="CF14" s="125"/>
      <c r="CG14" s="125"/>
      <c r="CH14" s="125"/>
      <c r="CI14" s="125"/>
      <c r="CJ14" s="125"/>
      <c r="CK14" s="125"/>
      <c r="CL14" s="101"/>
      <c r="CN14" s="364"/>
    </row>
    <row r="15" spans="1:92" s="254" customFormat="1" ht="11.45" customHeight="1" collapsed="1" x14ac:dyDescent="0.2">
      <c r="A15" s="30"/>
      <c r="B15" s="101"/>
      <c r="C15" s="257" t="str">
        <f>'Lead NA'!C15</f>
        <v>Anlagevermögen</v>
      </c>
      <c r="D15" s="257" t="str">
        <f>'Lead NA'!D15</f>
        <v>Fixed assets</v>
      </c>
      <c r="E15" s="141">
        <f t="shared" ref="E15:AK15" si="0">SUM(E9:E14)</f>
        <v>0</v>
      </c>
      <c r="F15" s="141">
        <f t="shared" si="0"/>
        <v>0</v>
      </c>
      <c r="G15" s="141">
        <f t="shared" si="0"/>
        <v>0</v>
      </c>
      <c r="H15" s="141">
        <f t="shared" si="0"/>
        <v>0</v>
      </c>
      <c r="I15" s="141">
        <f t="shared" si="0"/>
        <v>0</v>
      </c>
      <c r="J15" s="141">
        <f t="shared" si="0"/>
        <v>0</v>
      </c>
      <c r="K15" s="141">
        <f t="shared" si="0"/>
        <v>0</v>
      </c>
      <c r="L15" s="141">
        <f t="shared" si="0"/>
        <v>0</v>
      </c>
      <c r="M15" s="141">
        <f t="shared" si="0"/>
        <v>0</v>
      </c>
      <c r="N15" s="141">
        <f t="shared" si="0"/>
        <v>0</v>
      </c>
      <c r="O15" s="141">
        <f t="shared" si="0"/>
        <v>0</v>
      </c>
      <c r="P15" s="141">
        <f t="shared" si="0"/>
        <v>0</v>
      </c>
      <c r="Q15" s="141">
        <f t="shared" si="0"/>
        <v>1193.8851199999999</v>
      </c>
      <c r="R15" s="141">
        <f t="shared" si="0"/>
        <v>1153.9713800000002</v>
      </c>
      <c r="S15" s="141">
        <f t="shared" si="0"/>
        <v>1126.29493</v>
      </c>
      <c r="T15" s="141">
        <f t="shared" si="0"/>
        <v>1115.25658</v>
      </c>
      <c r="U15" s="141">
        <f t="shared" si="0"/>
        <v>1089.69345</v>
      </c>
      <c r="V15" s="141">
        <f t="shared" si="0"/>
        <v>1064.1958300000001</v>
      </c>
      <c r="W15" s="141">
        <f t="shared" si="0"/>
        <v>1040.2599299999999</v>
      </c>
      <c r="X15" s="141">
        <f t="shared" si="0"/>
        <v>1021.4502600000001</v>
      </c>
      <c r="Y15" s="141">
        <f t="shared" si="0"/>
        <v>1010.9703299999999</v>
      </c>
      <c r="Z15" s="141">
        <f t="shared" si="0"/>
        <v>995.35222999999996</v>
      </c>
      <c r="AA15" s="141">
        <f t="shared" si="0"/>
        <v>992.65985999999998</v>
      </c>
      <c r="AB15" s="141">
        <f t="shared" si="0"/>
        <v>971.80401000000006</v>
      </c>
      <c r="AC15" s="141">
        <f t="shared" si="0"/>
        <v>900.96091000000001</v>
      </c>
      <c r="AD15" s="141">
        <f t="shared" si="0"/>
        <v>875.76157999999998</v>
      </c>
      <c r="AE15" s="141">
        <f t="shared" si="0"/>
        <v>844.57297999999992</v>
      </c>
      <c r="AF15" s="141">
        <f t="shared" si="0"/>
        <v>831.83330000000001</v>
      </c>
      <c r="AG15" s="141">
        <f t="shared" si="0"/>
        <v>945.29655000000002</v>
      </c>
      <c r="AH15" s="141">
        <f t="shared" si="0"/>
        <v>927.55334000000005</v>
      </c>
      <c r="AI15" s="141">
        <f t="shared" si="0"/>
        <v>987.0825900000001</v>
      </c>
      <c r="AJ15" s="141">
        <f t="shared" si="0"/>
        <v>943.55047999999988</v>
      </c>
      <c r="AK15" s="141">
        <f t="shared" si="0"/>
        <v>955.16539999999998</v>
      </c>
      <c r="AL15" s="141">
        <f t="shared" ref="AL15:BQ15" si="1">SUM(AL9:AL14)</f>
        <v>963.91929000000005</v>
      </c>
      <c r="AM15" s="141">
        <f t="shared" si="1"/>
        <v>901.81856000000005</v>
      </c>
      <c r="AN15" s="141">
        <f t="shared" si="1"/>
        <v>1097.3350800000001</v>
      </c>
      <c r="AO15" s="141">
        <f t="shared" si="1"/>
        <v>1106.16579</v>
      </c>
      <c r="AP15" s="141">
        <f t="shared" si="1"/>
        <v>1077.40311</v>
      </c>
      <c r="AQ15" s="141">
        <f t="shared" si="1"/>
        <v>1053.8474699999999</v>
      </c>
      <c r="AR15" s="141">
        <f t="shared" si="1"/>
        <v>986.65196000000003</v>
      </c>
      <c r="AS15" s="141">
        <f t="shared" si="1"/>
        <v>967.81540000000007</v>
      </c>
      <c r="AT15" s="141">
        <f t="shared" si="1"/>
        <v>945.27117999999984</v>
      </c>
      <c r="AU15" s="379">
        <f t="shared" si="1"/>
        <v>923.05662999999993</v>
      </c>
      <c r="AV15" s="379">
        <f t="shared" si="1"/>
        <v>1043.1489499999998</v>
      </c>
      <c r="AW15" s="379">
        <f t="shared" si="1"/>
        <v>1021.8729499999999</v>
      </c>
      <c r="AX15" s="379">
        <f t="shared" si="1"/>
        <v>1003.79167</v>
      </c>
      <c r="AY15" s="379">
        <f t="shared" si="1"/>
        <v>988.64660000000003</v>
      </c>
      <c r="AZ15" s="379">
        <f t="shared" si="1"/>
        <v>990.42262000000005</v>
      </c>
      <c r="BA15" s="379">
        <f t="shared" si="1"/>
        <v>1388.3538899999999</v>
      </c>
      <c r="BB15" s="379">
        <f t="shared" si="1"/>
        <v>0</v>
      </c>
      <c r="BC15" s="379">
        <f t="shared" si="1"/>
        <v>0</v>
      </c>
      <c r="BD15" s="379">
        <f t="shared" si="1"/>
        <v>0</v>
      </c>
      <c r="BE15" s="379">
        <f t="shared" si="1"/>
        <v>0</v>
      </c>
      <c r="BF15" s="379">
        <f t="shared" si="1"/>
        <v>0</v>
      </c>
      <c r="BG15" s="379">
        <f t="shared" si="1"/>
        <v>0</v>
      </c>
      <c r="BH15" s="379">
        <f t="shared" si="1"/>
        <v>0</v>
      </c>
      <c r="BI15" s="379">
        <f t="shared" si="1"/>
        <v>0</v>
      </c>
      <c r="BJ15" s="379">
        <f t="shared" si="1"/>
        <v>0</v>
      </c>
      <c r="BK15" s="379">
        <f t="shared" si="1"/>
        <v>0</v>
      </c>
      <c r="BL15" s="379">
        <f t="shared" si="1"/>
        <v>0</v>
      </c>
      <c r="BM15" s="379">
        <f t="shared" si="1"/>
        <v>0</v>
      </c>
      <c r="BN15" s="379">
        <f t="shared" si="1"/>
        <v>0</v>
      </c>
      <c r="BO15" s="379">
        <f t="shared" si="1"/>
        <v>0</v>
      </c>
      <c r="BP15" s="379">
        <f t="shared" si="1"/>
        <v>0</v>
      </c>
      <c r="BQ15" s="379">
        <f t="shared" si="1"/>
        <v>0</v>
      </c>
      <c r="BR15" s="379">
        <f t="shared" ref="BR15:CK15" si="2">SUM(BR9:BR14)</f>
        <v>0</v>
      </c>
      <c r="BS15" s="379">
        <f t="shared" si="2"/>
        <v>0</v>
      </c>
      <c r="BT15" s="379">
        <f t="shared" si="2"/>
        <v>0</v>
      </c>
      <c r="BU15" s="379">
        <f t="shared" si="2"/>
        <v>0</v>
      </c>
      <c r="BV15" s="379">
        <f t="shared" si="2"/>
        <v>0</v>
      </c>
      <c r="BW15" s="379">
        <f t="shared" si="2"/>
        <v>0</v>
      </c>
      <c r="BX15" s="379">
        <f t="shared" si="2"/>
        <v>0</v>
      </c>
      <c r="BY15" s="379">
        <f t="shared" si="2"/>
        <v>0</v>
      </c>
      <c r="BZ15" s="379">
        <f t="shared" si="2"/>
        <v>0</v>
      </c>
      <c r="CA15" s="379">
        <f t="shared" si="2"/>
        <v>0</v>
      </c>
      <c r="CB15" s="379">
        <f t="shared" si="2"/>
        <v>0</v>
      </c>
      <c r="CC15" s="379">
        <f t="shared" si="2"/>
        <v>0</v>
      </c>
      <c r="CD15" s="379">
        <f t="shared" si="2"/>
        <v>0</v>
      </c>
      <c r="CE15" s="379">
        <f t="shared" si="2"/>
        <v>0</v>
      </c>
      <c r="CF15" s="379">
        <f t="shared" si="2"/>
        <v>0</v>
      </c>
      <c r="CG15" s="379">
        <f t="shared" si="2"/>
        <v>0</v>
      </c>
      <c r="CH15" s="379">
        <f t="shared" si="2"/>
        <v>0</v>
      </c>
      <c r="CI15" s="379">
        <f t="shared" si="2"/>
        <v>0</v>
      </c>
      <c r="CJ15" s="379">
        <f t="shared" si="2"/>
        <v>0</v>
      </c>
      <c r="CK15" s="379">
        <f t="shared" si="2"/>
        <v>0</v>
      </c>
      <c r="CL15" s="101"/>
      <c r="CN15" s="251"/>
    </row>
    <row r="16" spans="1:92" s="254" customFormat="1" ht="11.45" customHeight="1" x14ac:dyDescent="0.2">
      <c r="A16" s="30"/>
      <c r="B16" s="101"/>
      <c r="C16" s="37" t="str">
        <f>'Lead NA'!C16</f>
        <v>Vorräte</v>
      </c>
      <c r="D16" s="37" t="str">
        <f>'Lead NA'!D16</f>
        <v>Inventories</v>
      </c>
      <c r="E16" s="36">
        <f>'Lead NA'!E16</f>
        <v>0</v>
      </c>
      <c r="F16" s="36"/>
      <c r="G16" s="36"/>
      <c r="H16" s="36"/>
      <c r="I16" s="36"/>
      <c r="J16" s="36"/>
      <c r="K16" s="36"/>
      <c r="L16" s="36"/>
      <c r="M16" s="36"/>
      <c r="N16" s="36"/>
      <c r="O16" s="36"/>
      <c r="P16" s="36"/>
      <c r="Q16" s="36">
        <f>'Lead NA'!F16</f>
        <v>1953.4010800000001</v>
      </c>
      <c r="R16" s="36">
        <f>SUMIF('Trial Balance (Susa)'!$D:$D,"*"&amp;$CN16&amp;"*",'Trial Balance (Susa)'!K:K)/1000</f>
        <v>1953.4010800000001</v>
      </c>
      <c r="S16" s="36">
        <f>SUMIF('Trial Balance (Susa)'!$D:$D,"*"&amp;$CN16&amp;"*",'Trial Balance (Susa)'!L:L)/1000</f>
        <v>1953.4010800000001</v>
      </c>
      <c r="T16" s="36">
        <f>SUMIF('Trial Balance (Susa)'!$D:$D,"*"&amp;$CN16&amp;"*",'Trial Balance (Susa)'!M:M)/1000</f>
        <v>1953.4010800000001</v>
      </c>
      <c r="U16" s="36">
        <f>SUMIF('Trial Balance (Susa)'!$D:$D,"*"&amp;$CN16&amp;"*",'Trial Balance (Susa)'!N:N)/1000</f>
        <v>1953.4010800000001</v>
      </c>
      <c r="V16" s="36">
        <f>SUMIF('Trial Balance (Susa)'!$D:$D,"*"&amp;$CN16&amp;"*",'Trial Balance (Susa)'!O:O)/1000</f>
        <v>1953.4010800000001</v>
      </c>
      <c r="W16" s="36">
        <f>SUMIF('Trial Balance (Susa)'!$D:$D,"*"&amp;$CN16&amp;"*",'Trial Balance (Susa)'!P:P)/1000</f>
        <v>2718.3399900000004</v>
      </c>
      <c r="X16" s="36">
        <f>SUMIF('Trial Balance (Susa)'!$D:$D,"*"&amp;$CN16&amp;"*",'Trial Balance (Susa)'!Q:Q)/1000</f>
        <v>2718.3399900000004</v>
      </c>
      <c r="Y16" s="36">
        <f>SUMIF('Trial Balance (Susa)'!$D:$D,"*"&amp;$CN16&amp;"*",'Trial Balance (Susa)'!R:R)/1000</f>
        <v>2718.3399900000004</v>
      </c>
      <c r="Z16" s="36">
        <f>SUMIF('Trial Balance (Susa)'!$D:$D,"*"&amp;$CN16&amp;"*",'Trial Balance (Susa)'!S:S)/1000</f>
        <v>2950.7292699999994</v>
      </c>
      <c r="AA16" s="36">
        <f>SUMIF('Trial Balance (Susa)'!$D:$D,"*"&amp;$CN16&amp;"*",'Trial Balance (Susa)'!T:T)/1000</f>
        <v>2950.7292699999994</v>
      </c>
      <c r="AB16" s="36">
        <f>SUMIF('Trial Balance (Susa)'!$D:$D,"*"&amp;$CN16&amp;"*",'Trial Balance (Susa)'!U:U)/1000</f>
        <v>2950.7292699999994</v>
      </c>
      <c r="AC16" s="36">
        <f>SUMIF('Trial Balance (Susa)'!$D:$D,"*"&amp;$CN16&amp;"*",'Trial Balance (Susa)'!V:V)/1000</f>
        <v>2652.1086500000001</v>
      </c>
      <c r="AD16" s="36">
        <f>SUMIF('Trial Balance (Susa)'!$D:$D,"*"&amp;$CN16&amp;"*",'Trial Balance (Susa)'!W:W)/1000</f>
        <v>2652.1086500000001</v>
      </c>
      <c r="AE16" s="36">
        <f>SUMIF('Trial Balance (Susa)'!$D:$D,"*"&amp;$CN16&amp;"*",'Trial Balance (Susa)'!X:X)/1000</f>
        <v>2652.1086500000001</v>
      </c>
      <c r="AF16" s="36">
        <f>SUMIF('Trial Balance (Susa)'!$D:$D,"*"&amp;$CN16&amp;"*",'Trial Balance (Susa)'!Y:Y)/1000</f>
        <v>2652.1086500000001</v>
      </c>
      <c r="AG16" s="36">
        <f>SUMIF('Trial Balance (Susa)'!$D:$D,"*"&amp;$CN16&amp;"*",'Trial Balance (Susa)'!Z:Z)/1000</f>
        <v>2671.8686499999999</v>
      </c>
      <c r="AH16" s="36">
        <f>SUMIF('Trial Balance (Susa)'!$D:$D,"*"&amp;$CN16&amp;"*",'Trial Balance (Susa)'!AA:AA)/1000</f>
        <v>2671.8686499999999</v>
      </c>
      <c r="AI16" s="36">
        <f>SUMIF('Trial Balance (Susa)'!$D:$D,"*"&amp;$CN16&amp;"*",'Trial Balance (Susa)'!AB:AB)/1000</f>
        <v>2675.5605399999999</v>
      </c>
      <c r="AJ16" s="36">
        <f>SUMIF('Trial Balance (Susa)'!$D:$D,"*"&amp;$CN16&amp;"*",'Trial Balance (Susa)'!AC:AC)/1000</f>
        <v>2675.5605399999999</v>
      </c>
      <c r="AK16" s="36">
        <f>SUMIF('Trial Balance (Susa)'!$D:$D,"*"&amp;$CN16&amp;"*",'Trial Balance (Susa)'!AD:AD)/1000</f>
        <v>2675.5605399999999</v>
      </c>
      <c r="AL16" s="36">
        <f>SUMIF('Trial Balance (Susa)'!$D:$D,"*"&amp;$CN16&amp;"*",'Trial Balance (Susa)'!AE:AE)/1000</f>
        <v>2675.5605399999999</v>
      </c>
      <c r="AM16" s="36">
        <f>SUMIF('Trial Balance (Susa)'!$D:$D,"*"&amp;$CN16&amp;"*",'Trial Balance (Susa)'!AF:AF)/1000</f>
        <v>2655.8005400000002</v>
      </c>
      <c r="AN16" s="36">
        <f>SUMIF('Trial Balance (Susa)'!$D:$D,"*"&amp;$CN16&amp;"*",'Trial Balance (Susa)'!AG:AG)/1000</f>
        <v>2599.7005399999998</v>
      </c>
      <c r="AO16" s="36">
        <f>SUMIF('Trial Balance (Susa)'!$D:$D,"*"&amp;$CN16&amp;"*",'Trial Balance (Susa)'!AH:AH)/1000</f>
        <v>3855.88364</v>
      </c>
      <c r="AP16" s="36">
        <f>SUMIF('Trial Balance (Susa)'!$D:$D,"*"&amp;$CN16&amp;"*",'Trial Balance (Susa)'!AI:AI)/1000</f>
        <v>3855.88364</v>
      </c>
      <c r="AQ16" s="36">
        <f>SUMIF('Trial Balance (Susa)'!$D:$D,"*"&amp;$CN16&amp;"*",'Trial Balance (Susa)'!AJ:AJ)/1000</f>
        <v>3855.88364</v>
      </c>
      <c r="AR16" s="36">
        <f>SUMIF('Trial Balance (Susa)'!$D:$D,"*"&amp;$CN16&amp;"*",'Trial Balance (Susa)'!AK:AK)/1000</f>
        <v>3855.88364</v>
      </c>
      <c r="AS16" s="36">
        <f>SUMIF('Trial Balance (Susa)'!$D:$D,"*"&amp;$CN16&amp;"*",'Trial Balance (Susa)'!AL:AL)/1000</f>
        <v>3855.88364</v>
      </c>
      <c r="AT16" s="36">
        <f>SUMIF('Trial Balance (Susa)'!$D:$D,"*"&amp;$CN16&amp;"*",'Trial Balance (Susa)'!AM:AM)/1000</f>
        <v>3855.88364</v>
      </c>
      <c r="AU16" s="36">
        <f>SUMIF('Trial Balance (Susa)'!$D:$D,"*"&amp;$CN16&amp;"*",'Trial Balance (Susa)'!AN:AN)/1000</f>
        <v>3855.88364</v>
      </c>
      <c r="AV16" s="36">
        <f>SUMIF('Trial Balance (Susa)'!$D:$D,"*"&amp;$CN16&amp;"*",'Trial Balance (Susa)'!AO:AO)/1000</f>
        <v>3855.88364</v>
      </c>
      <c r="AW16" s="36">
        <f>SUMIF('Trial Balance (Susa)'!$D:$D,"*"&amp;$CN16&amp;"*",'Trial Balance (Susa)'!AP:AP)/1000</f>
        <v>3855.88364</v>
      </c>
      <c r="AX16" s="36">
        <f>SUMIF('Trial Balance (Susa)'!$D:$D,"*"&amp;$CN16&amp;"*",'Trial Balance (Susa)'!AQ:AQ)/1000</f>
        <v>3855.88364</v>
      </c>
      <c r="AY16" s="36">
        <f>SUMIF('Trial Balance (Susa)'!$D:$D,"*"&amp;$CN16&amp;"*",'Trial Balance (Susa)'!AR:AR)/1000</f>
        <v>3855.88364</v>
      </c>
      <c r="AZ16" s="36">
        <f>SUMIF('Trial Balance (Susa)'!$D:$D,"*"&amp;$CN16&amp;"*",'Trial Balance (Susa)'!AS:AS)/1000</f>
        <v>3855.88364</v>
      </c>
      <c r="BA16" s="36">
        <f>SUMIF('Trial Balance (Susa)'!$D:$D,"*"&amp;$CN16&amp;"*",'Trial Balance (Susa)'!AT:AT)/1000</f>
        <v>2912.6865600000001</v>
      </c>
      <c r="BB16" s="278"/>
      <c r="BC16" s="278"/>
      <c r="BD16" s="278"/>
      <c r="BE16" s="278"/>
      <c r="BF16" s="278"/>
      <c r="BG16" s="278"/>
      <c r="BH16" s="278"/>
      <c r="BI16" s="278"/>
      <c r="BJ16" s="278"/>
      <c r="BK16" s="278"/>
      <c r="BL16" s="278"/>
      <c r="BM16" s="278"/>
      <c r="BN16" s="278"/>
      <c r="BO16" s="278"/>
      <c r="BP16" s="278"/>
      <c r="BQ16" s="278"/>
      <c r="BR16" s="278"/>
      <c r="BS16" s="278"/>
      <c r="BT16" s="278"/>
      <c r="BU16" s="278"/>
      <c r="BV16" s="278"/>
      <c r="BW16" s="278"/>
      <c r="BX16" s="278"/>
      <c r="BY16" s="278"/>
      <c r="BZ16" s="278"/>
      <c r="CA16" s="278"/>
      <c r="CB16" s="278"/>
      <c r="CC16" s="278"/>
      <c r="CD16" s="278"/>
      <c r="CE16" s="278"/>
      <c r="CF16" s="278"/>
      <c r="CG16" s="278"/>
      <c r="CH16" s="278"/>
      <c r="CI16" s="278"/>
      <c r="CJ16" s="278"/>
      <c r="CK16" s="278"/>
      <c r="CL16" s="101"/>
      <c r="CN16" s="364" t="str">
        <f>'Lead NA'!P16</f>
        <v>/working capital/inventory</v>
      </c>
    </row>
    <row r="17" spans="1:92" s="254" customFormat="1" ht="11.45" customHeight="1" x14ac:dyDescent="0.2">
      <c r="A17" s="30"/>
      <c r="B17" s="101"/>
      <c r="C17" s="37" t="str">
        <f>'Lead NA'!C17</f>
        <v>Forderungen aus LuL</v>
      </c>
      <c r="D17" s="37" t="str">
        <f>'Lead NA'!D17</f>
        <v>Trade receivables</v>
      </c>
      <c r="E17" s="36">
        <f>'Lead NA'!E17</f>
        <v>0</v>
      </c>
      <c r="F17" s="36"/>
      <c r="G17" s="36"/>
      <c r="H17" s="36"/>
      <c r="I17" s="36"/>
      <c r="J17" s="36"/>
      <c r="K17" s="36"/>
      <c r="L17" s="36"/>
      <c r="M17" s="36"/>
      <c r="N17" s="36"/>
      <c r="O17" s="36"/>
      <c r="P17" s="36"/>
      <c r="Q17" s="36">
        <f>'Lead NA'!F17</f>
        <v>1780.65607</v>
      </c>
      <c r="R17" s="36">
        <f>SUMIF('Trial Balance (Susa)'!$D:$D,"*"&amp;$CN17&amp;"*",'Trial Balance (Susa)'!K:K)/1000</f>
        <v>1632.6005600000001</v>
      </c>
      <c r="S17" s="36">
        <f>SUMIF('Trial Balance (Susa)'!$D:$D,"*"&amp;$CN17&amp;"*",'Trial Balance (Susa)'!L:L)/1000</f>
        <v>1793.4025900000001</v>
      </c>
      <c r="T17" s="36">
        <f>SUMIF('Trial Balance (Susa)'!$D:$D,"*"&amp;$CN17&amp;"*",'Trial Balance (Susa)'!M:M)/1000</f>
        <v>1751.10328</v>
      </c>
      <c r="U17" s="36">
        <f>SUMIF('Trial Balance (Susa)'!$D:$D,"*"&amp;$CN17&amp;"*",'Trial Balance (Susa)'!N:N)/1000</f>
        <v>1671.63177</v>
      </c>
      <c r="V17" s="36">
        <f>SUMIF('Trial Balance (Susa)'!$D:$D,"*"&amp;$CN17&amp;"*",'Trial Balance (Susa)'!O:O)/1000</f>
        <v>1639.4459999999999</v>
      </c>
      <c r="W17" s="36">
        <f>SUMIF('Trial Balance (Susa)'!$D:$D,"*"&amp;$CN17&amp;"*",'Trial Balance (Susa)'!P:P)/1000</f>
        <v>1443.8945900000001</v>
      </c>
      <c r="X17" s="36">
        <f>SUMIF('Trial Balance (Susa)'!$D:$D,"*"&amp;$CN17&amp;"*",'Trial Balance (Susa)'!Q:Q)/1000</f>
        <v>1348.43524</v>
      </c>
      <c r="Y17" s="36">
        <f>SUMIF('Trial Balance (Susa)'!$D:$D,"*"&amp;$CN17&amp;"*",'Trial Balance (Susa)'!R:R)/1000</f>
        <v>1745.89879</v>
      </c>
      <c r="Z17" s="36">
        <f>SUMIF('Trial Balance (Susa)'!$D:$D,"*"&amp;$CN17&amp;"*",'Trial Balance (Susa)'!S:S)/1000</f>
        <v>1767.18218</v>
      </c>
      <c r="AA17" s="36">
        <f>SUMIF('Trial Balance (Susa)'!$D:$D,"*"&amp;$CN17&amp;"*",'Trial Balance (Susa)'!T:T)/1000</f>
        <v>1716.31565</v>
      </c>
      <c r="AB17" s="36">
        <f>SUMIF('Trial Balance (Susa)'!$D:$D,"*"&amp;$CN17&amp;"*",'Trial Balance (Susa)'!U:U)/1000</f>
        <v>2131.1523900000002</v>
      </c>
      <c r="AC17" s="36">
        <f>SUMIF('Trial Balance (Susa)'!$D:$D,"*"&amp;$CN17&amp;"*",'Trial Balance (Susa)'!V:V)/1000</f>
        <v>1586.36779</v>
      </c>
      <c r="AD17" s="36">
        <f>SUMIF('Trial Balance (Susa)'!$D:$D,"*"&amp;$CN17&amp;"*",'Trial Balance (Susa)'!W:W)/1000</f>
        <v>1605.97471</v>
      </c>
      <c r="AE17" s="36">
        <f>SUMIF('Trial Balance (Susa)'!$D:$D,"*"&amp;$CN17&amp;"*",'Trial Balance (Susa)'!X:X)/1000</f>
        <v>1674.9479699999999</v>
      </c>
      <c r="AF17" s="36">
        <f>SUMIF('Trial Balance (Susa)'!$D:$D,"*"&amp;$CN17&amp;"*",'Trial Balance (Susa)'!Y:Y)/1000</f>
        <v>1803.8231899999998</v>
      </c>
      <c r="AG17" s="36">
        <f>SUMIF('Trial Balance (Susa)'!$D:$D,"*"&amp;$CN17&amp;"*",'Trial Balance (Susa)'!Z:Z)/1000</f>
        <v>1817.6321200000002</v>
      </c>
      <c r="AH17" s="36">
        <f>SUMIF('Trial Balance (Susa)'!$D:$D,"*"&amp;$CN17&amp;"*",'Trial Balance (Susa)'!AA:AA)/1000</f>
        <v>1638.9565600000001</v>
      </c>
      <c r="AI17" s="36">
        <f>SUMIF('Trial Balance (Susa)'!$D:$D,"*"&amp;$CN17&amp;"*",'Trial Balance (Susa)'!AB:AB)/1000</f>
        <v>1552.90816</v>
      </c>
      <c r="AJ17" s="36">
        <f>SUMIF('Trial Balance (Susa)'!$D:$D,"*"&amp;$CN17&amp;"*",'Trial Balance (Susa)'!AC:AC)/1000</f>
        <v>1338.6239499999999</v>
      </c>
      <c r="AK17" s="36">
        <f>SUMIF('Trial Balance (Susa)'!$D:$D,"*"&amp;$CN17&amp;"*",'Trial Balance (Susa)'!AD:AD)/1000</f>
        <v>1333.7283300000001</v>
      </c>
      <c r="AL17" s="36">
        <f>SUMIF('Trial Balance (Susa)'!$D:$D,"*"&amp;$CN17&amp;"*",'Trial Balance (Susa)'!AE:AE)/1000</f>
        <v>1598.78574</v>
      </c>
      <c r="AM17" s="36">
        <f>SUMIF('Trial Balance (Susa)'!$D:$D,"*"&amp;$CN17&amp;"*",'Trial Balance (Susa)'!AF:AF)/1000</f>
        <v>1531.8539699999999</v>
      </c>
      <c r="AN17" s="36">
        <f>SUMIF('Trial Balance (Susa)'!$D:$D,"*"&amp;$CN17&amp;"*",'Trial Balance (Susa)'!AG:AG)/1000</f>
        <v>1354.8587199999999</v>
      </c>
      <c r="AO17" s="36">
        <f>SUMIF('Trial Balance (Susa)'!$D:$D,"*"&amp;$CN17&amp;"*",'Trial Balance (Susa)'!AH:AH)/1000</f>
        <v>1988.8013600000002</v>
      </c>
      <c r="AP17" s="36">
        <f>SUMIF('Trial Balance (Susa)'!$D:$D,"*"&amp;$CN17&amp;"*",'Trial Balance (Susa)'!AI:AI)/1000</f>
        <v>1577.43236</v>
      </c>
      <c r="AQ17" s="36">
        <f>SUMIF('Trial Balance (Susa)'!$D:$D,"*"&amp;$CN17&amp;"*",'Trial Balance (Susa)'!AJ:AJ)/1000</f>
        <v>1852.36472</v>
      </c>
      <c r="AR17" s="36">
        <f>SUMIF('Trial Balance (Susa)'!$D:$D,"*"&amp;$CN17&amp;"*",'Trial Balance (Susa)'!AK:AK)/1000</f>
        <v>1735.83005</v>
      </c>
      <c r="AS17" s="36">
        <f>SUMIF('Trial Balance (Susa)'!$D:$D,"*"&amp;$CN17&amp;"*",'Trial Balance (Susa)'!AL:AL)/1000</f>
        <v>1754.3786499999999</v>
      </c>
      <c r="AT17" s="36">
        <f>SUMIF('Trial Balance (Susa)'!$D:$D,"*"&amp;$CN17&amp;"*",'Trial Balance (Susa)'!AM:AM)/1000</f>
        <v>2011.44795</v>
      </c>
      <c r="AU17" s="36">
        <f>SUMIF('Trial Balance (Susa)'!$D:$D,"*"&amp;$CN17&amp;"*",'Trial Balance (Susa)'!AN:AN)/1000</f>
        <v>1976.809</v>
      </c>
      <c r="AV17" s="36">
        <f>SUMIF('Trial Balance (Susa)'!$D:$D,"*"&amp;$CN17&amp;"*",'Trial Balance (Susa)'!AO:AO)/1000</f>
        <v>1432.4888100000001</v>
      </c>
      <c r="AW17" s="36">
        <f>SUMIF('Trial Balance (Susa)'!$D:$D,"*"&amp;$CN17&amp;"*",'Trial Balance (Susa)'!AP:AP)/1000</f>
        <v>1896.4532899999999</v>
      </c>
      <c r="AX17" s="36">
        <f>SUMIF('Trial Balance (Susa)'!$D:$D,"*"&amp;$CN17&amp;"*",'Trial Balance (Susa)'!AQ:AQ)/1000</f>
        <v>1659.3406299999999</v>
      </c>
      <c r="AY17" s="36">
        <f>SUMIF('Trial Balance (Susa)'!$D:$D,"*"&amp;$CN17&amp;"*",'Trial Balance (Susa)'!AR:AR)/1000</f>
        <v>1609.32999</v>
      </c>
      <c r="AZ17" s="36">
        <f>SUMIF('Trial Balance (Susa)'!$D:$D,"*"&amp;$CN17&amp;"*",'Trial Balance (Susa)'!AS:AS)/1000</f>
        <v>1582.9748300000001</v>
      </c>
      <c r="BA17" s="36">
        <f>SUMIF('Trial Balance (Susa)'!$D:$D,"*"&amp;$CN17&amp;"*",'Trial Balance (Susa)'!AT:AT)/1000</f>
        <v>1415.6542099999999</v>
      </c>
      <c r="BB17" s="278"/>
      <c r="BC17" s="278"/>
      <c r="BD17" s="278"/>
      <c r="BE17" s="278"/>
      <c r="BF17" s="278"/>
      <c r="BG17" s="278"/>
      <c r="BH17" s="278"/>
      <c r="BI17" s="278"/>
      <c r="BJ17" s="278"/>
      <c r="BK17" s="278"/>
      <c r="BL17" s="278"/>
      <c r="BM17" s="278"/>
      <c r="BN17" s="278"/>
      <c r="BO17" s="278"/>
      <c r="BP17" s="278"/>
      <c r="BQ17" s="278"/>
      <c r="BR17" s="278"/>
      <c r="BS17" s="278"/>
      <c r="BT17" s="278"/>
      <c r="BU17" s="278"/>
      <c r="BV17" s="278"/>
      <c r="BW17" s="278"/>
      <c r="BX17" s="278"/>
      <c r="BY17" s="278"/>
      <c r="BZ17" s="278"/>
      <c r="CA17" s="278"/>
      <c r="CB17" s="278"/>
      <c r="CC17" s="278"/>
      <c r="CD17" s="278"/>
      <c r="CE17" s="278"/>
      <c r="CF17" s="278"/>
      <c r="CG17" s="278"/>
      <c r="CH17" s="278"/>
      <c r="CI17" s="278"/>
      <c r="CJ17" s="278"/>
      <c r="CK17" s="278"/>
      <c r="CL17" s="101"/>
      <c r="CN17" s="364" t="str">
        <f>'Lead NA'!P17</f>
        <v>/working capital/all trade receivables</v>
      </c>
    </row>
    <row r="18" spans="1:92" s="254" customFormat="1" ht="11.45" customHeight="1" x14ac:dyDescent="0.2">
      <c r="A18" s="30"/>
      <c r="B18" s="101"/>
      <c r="C18" s="37" t="str">
        <f>'Lead NA'!C18</f>
        <v>Verbindlichkeiten aus LuL</v>
      </c>
      <c r="D18" s="37" t="str">
        <f>'Lead NA'!D18</f>
        <v>Trade payables</v>
      </c>
      <c r="E18" s="36">
        <f>'Lead NA'!E18</f>
        <v>0</v>
      </c>
      <c r="F18" s="36"/>
      <c r="G18" s="36"/>
      <c r="H18" s="36"/>
      <c r="I18" s="36"/>
      <c r="J18" s="36"/>
      <c r="K18" s="36"/>
      <c r="L18" s="36"/>
      <c r="M18" s="36"/>
      <c r="N18" s="36"/>
      <c r="O18" s="36"/>
      <c r="P18" s="36"/>
      <c r="Q18" s="36">
        <f>'Lead NA'!F18</f>
        <v>-752.85966000000008</v>
      </c>
      <c r="R18" s="36">
        <f>SUMIF('Trial Balance (Susa)'!$D:$D,"*"&amp;$CN18&amp;"*",'Trial Balance (Susa)'!K:K)/1000</f>
        <v>-720.20325000000003</v>
      </c>
      <c r="S18" s="36">
        <f>SUMIF('Trial Balance (Susa)'!$D:$D,"*"&amp;$CN18&amp;"*",'Trial Balance (Susa)'!L:L)/1000</f>
        <v>-918.93565999999998</v>
      </c>
      <c r="T18" s="36">
        <f>SUMIF('Trial Balance (Susa)'!$D:$D,"*"&amp;$CN18&amp;"*",'Trial Balance (Susa)'!M:M)/1000</f>
        <v>-1279.0962500000001</v>
      </c>
      <c r="U18" s="36">
        <f>SUMIF('Trial Balance (Susa)'!$D:$D,"*"&amp;$CN18&amp;"*",'Trial Balance (Susa)'!N:N)/1000</f>
        <v>-902.91686000000004</v>
      </c>
      <c r="V18" s="36">
        <f>SUMIF('Trial Balance (Susa)'!$D:$D,"*"&amp;$CN18&amp;"*",'Trial Balance (Susa)'!O:O)/1000</f>
        <v>-856.02628000000004</v>
      </c>
      <c r="W18" s="36">
        <f>SUMIF('Trial Balance (Susa)'!$D:$D,"*"&amp;$CN18&amp;"*",'Trial Balance (Susa)'!P:P)/1000</f>
        <v>-847.41624999999999</v>
      </c>
      <c r="X18" s="36">
        <f>SUMIF('Trial Balance (Susa)'!$D:$D,"*"&amp;$CN18&amp;"*",'Trial Balance (Susa)'!Q:Q)/1000</f>
        <v>-672.21708000000001</v>
      </c>
      <c r="Y18" s="36">
        <f>SUMIF('Trial Balance (Susa)'!$D:$D,"*"&amp;$CN18&amp;"*",'Trial Balance (Susa)'!R:R)/1000</f>
        <v>-561.68408000000011</v>
      </c>
      <c r="Z18" s="36">
        <f>SUMIF('Trial Balance (Susa)'!$D:$D,"*"&amp;$CN18&amp;"*",'Trial Balance (Susa)'!S:S)/1000</f>
        <v>-854.94693000000007</v>
      </c>
      <c r="AA18" s="36">
        <f>SUMIF('Trial Balance (Susa)'!$D:$D,"*"&amp;$CN18&amp;"*",'Trial Balance (Susa)'!T:T)/1000</f>
        <v>-650.98143999999991</v>
      </c>
      <c r="AB18" s="36">
        <f>SUMIF('Trial Balance (Susa)'!$D:$D,"*"&amp;$CN18&amp;"*",'Trial Balance (Susa)'!U:U)/1000</f>
        <v>-666.47857999999997</v>
      </c>
      <c r="AC18" s="36">
        <f>SUMIF('Trial Balance (Susa)'!$D:$D,"*"&amp;$CN18&amp;"*",'Trial Balance (Susa)'!V:V)/1000</f>
        <v>-898.28356000000008</v>
      </c>
      <c r="AD18" s="36">
        <f>SUMIF('Trial Balance (Susa)'!$D:$D,"*"&amp;$CN18&amp;"*",'Trial Balance (Susa)'!W:W)/1000</f>
        <v>-971.52920999999992</v>
      </c>
      <c r="AE18" s="36">
        <f>SUMIF('Trial Balance (Susa)'!$D:$D,"*"&amp;$CN18&amp;"*",'Trial Balance (Susa)'!X:X)/1000</f>
        <v>-605.96082999999999</v>
      </c>
      <c r="AF18" s="36">
        <f>SUMIF('Trial Balance (Susa)'!$D:$D,"*"&amp;$CN18&amp;"*",'Trial Balance (Susa)'!Y:Y)/1000</f>
        <v>-595.02235999999994</v>
      </c>
      <c r="AG18" s="36">
        <f>SUMIF('Trial Balance (Susa)'!$D:$D,"*"&amp;$CN18&amp;"*",'Trial Balance (Susa)'!Z:Z)/1000</f>
        <v>-797.91459999999995</v>
      </c>
      <c r="AH18" s="36">
        <f>SUMIF('Trial Balance (Susa)'!$D:$D,"*"&amp;$CN18&amp;"*",'Trial Balance (Susa)'!AA:AA)/1000</f>
        <v>-945.44709</v>
      </c>
      <c r="AI18" s="36">
        <f>SUMIF('Trial Balance (Susa)'!$D:$D,"*"&amp;$CN18&amp;"*",'Trial Balance (Susa)'!AB:AB)/1000</f>
        <v>-872.95371999999998</v>
      </c>
      <c r="AJ18" s="36">
        <f>SUMIF('Trial Balance (Susa)'!$D:$D,"*"&amp;$CN18&amp;"*",'Trial Balance (Susa)'!AC:AC)/1000</f>
        <v>-1612.43831</v>
      </c>
      <c r="AK18" s="36">
        <f>SUMIF('Trial Balance (Susa)'!$D:$D,"*"&amp;$CN18&amp;"*",'Trial Balance (Susa)'!AD:AD)/1000</f>
        <v>-1160.36464</v>
      </c>
      <c r="AL18" s="36">
        <f>SUMIF('Trial Balance (Susa)'!$D:$D,"*"&amp;$CN18&amp;"*",'Trial Balance (Susa)'!AE:AE)/1000</f>
        <v>-1327.0726299999999</v>
      </c>
      <c r="AM18" s="36">
        <f>SUMIF('Trial Balance (Susa)'!$D:$D,"*"&amp;$CN18&amp;"*",'Trial Balance (Susa)'!AF:AF)/1000</f>
        <v>-699.23821999999996</v>
      </c>
      <c r="AN18" s="36">
        <f>SUMIF('Trial Balance (Susa)'!$D:$D,"*"&amp;$CN18&amp;"*",'Trial Balance (Susa)'!AG:AG)/1000</f>
        <v>-767.01546999999994</v>
      </c>
      <c r="AO18" s="36">
        <f>SUMIF('Trial Balance (Susa)'!$D:$D,"*"&amp;$CN18&amp;"*",'Trial Balance (Susa)'!AH:AH)/1000</f>
        <v>-1270.4380100000001</v>
      </c>
      <c r="AP18" s="36">
        <f>SUMIF('Trial Balance (Susa)'!$D:$D,"*"&amp;$CN18&amp;"*",'Trial Balance (Susa)'!AI:AI)/1000</f>
        <v>-1120.2880299999999</v>
      </c>
      <c r="AQ18" s="36">
        <f>SUMIF('Trial Balance (Susa)'!$D:$D,"*"&amp;$CN18&amp;"*",'Trial Balance (Susa)'!AJ:AJ)/1000</f>
        <v>-1118.8356999999999</v>
      </c>
      <c r="AR18" s="36">
        <f>SUMIF('Trial Balance (Susa)'!$D:$D,"*"&amp;$CN18&amp;"*",'Trial Balance (Susa)'!AK:AK)/1000</f>
        <v>-838.37626999999998</v>
      </c>
      <c r="AS18" s="36">
        <f>SUMIF('Trial Balance (Susa)'!$D:$D,"*"&amp;$CN18&amp;"*",'Trial Balance (Susa)'!AL:AL)/1000</f>
        <v>-830.92728</v>
      </c>
      <c r="AT18" s="36">
        <f>SUMIF('Trial Balance (Susa)'!$D:$D,"*"&amp;$CN18&amp;"*",'Trial Balance (Susa)'!AM:AM)/1000</f>
        <v>-845.06696999999997</v>
      </c>
      <c r="AU18" s="36">
        <f>SUMIF('Trial Balance (Susa)'!$D:$D,"*"&amp;$CN18&amp;"*",'Trial Balance (Susa)'!AN:AN)/1000</f>
        <v>-425.35079999999999</v>
      </c>
      <c r="AV18" s="36">
        <f>SUMIF('Trial Balance (Susa)'!$D:$D,"*"&amp;$CN18&amp;"*",'Trial Balance (Susa)'!AO:AO)/1000</f>
        <v>-598.66930000000002</v>
      </c>
      <c r="AW18" s="36">
        <f>SUMIF('Trial Balance (Susa)'!$D:$D,"*"&amp;$CN18&amp;"*",'Trial Balance (Susa)'!AP:AP)/1000</f>
        <v>-544.47850000000005</v>
      </c>
      <c r="AX18" s="36">
        <f>SUMIF('Trial Balance (Susa)'!$D:$D,"*"&amp;$CN18&amp;"*",'Trial Balance (Susa)'!AQ:AQ)/1000</f>
        <v>-381.92289</v>
      </c>
      <c r="AY18" s="36">
        <f>SUMIF('Trial Balance (Susa)'!$D:$D,"*"&amp;$CN18&amp;"*",'Trial Balance (Susa)'!AR:AR)/1000</f>
        <v>-261.23649999999998</v>
      </c>
      <c r="AZ18" s="36">
        <f>SUMIF('Trial Balance (Susa)'!$D:$D,"*"&amp;$CN18&amp;"*",'Trial Balance (Susa)'!AS:AS)/1000</f>
        <v>-635.67131000000006</v>
      </c>
      <c r="BA18" s="36">
        <f>SUMIF('Trial Balance (Susa)'!$D:$D,"*"&amp;$CN18&amp;"*",'Trial Balance (Susa)'!AT:AT)/1000</f>
        <v>-62.544739999999997</v>
      </c>
      <c r="BB18" s="278"/>
      <c r="BC18" s="278"/>
      <c r="BD18" s="278"/>
      <c r="BE18" s="278"/>
      <c r="BF18" s="278"/>
      <c r="BG18" s="278"/>
      <c r="BH18" s="278"/>
      <c r="BI18" s="278"/>
      <c r="BJ18" s="278"/>
      <c r="BK18" s="278"/>
      <c r="BL18" s="278"/>
      <c r="BM18" s="278"/>
      <c r="BN18" s="278"/>
      <c r="BO18" s="278"/>
      <c r="BP18" s="278"/>
      <c r="BQ18" s="278"/>
      <c r="BR18" s="278"/>
      <c r="BS18" s="278"/>
      <c r="BT18" s="278"/>
      <c r="BU18" s="278"/>
      <c r="BV18" s="278"/>
      <c r="BW18" s="278"/>
      <c r="BX18" s="278"/>
      <c r="BY18" s="278"/>
      <c r="BZ18" s="278"/>
      <c r="CA18" s="278"/>
      <c r="CB18" s="278"/>
      <c r="CC18" s="278"/>
      <c r="CD18" s="278"/>
      <c r="CE18" s="278"/>
      <c r="CF18" s="278"/>
      <c r="CG18" s="278"/>
      <c r="CH18" s="278"/>
      <c r="CI18" s="278"/>
      <c r="CJ18" s="278"/>
      <c r="CK18" s="278"/>
      <c r="CL18" s="101"/>
      <c r="CN18" s="364" t="str">
        <f>'Lead NA'!P18</f>
        <v>/working capital/all trade payables</v>
      </c>
    </row>
    <row r="19" spans="1:92" s="254" customFormat="1" ht="11.45" customHeight="1" x14ac:dyDescent="0.2">
      <c r="A19" s="30"/>
      <c r="B19" s="101"/>
      <c r="C19" s="37" t="str">
        <f>'Lead NA'!C19</f>
        <v>Erhaltene Anzahlungen</v>
      </c>
      <c r="D19" s="37" t="str">
        <f>'Lead NA'!D19</f>
        <v>Advance payments received</v>
      </c>
      <c r="E19" s="36">
        <f>'Lead NA'!E19</f>
        <v>0</v>
      </c>
      <c r="F19" s="36"/>
      <c r="G19" s="36"/>
      <c r="H19" s="36"/>
      <c r="I19" s="36"/>
      <c r="J19" s="36"/>
      <c r="K19" s="36"/>
      <c r="L19" s="36"/>
      <c r="M19" s="36"/>
      <c r="N19" s="36"/>
      <c r="O19" s="36"/>
      <c r="P19" s="36"/>
      <c r="Q19" s="36">
        <f>'Lead NA'!F19</f>
        <v>-50</v>
      </c>
      <c r="R19" s="36">
        <f>SUMIF('Trial Balance (Susa)'!$D:$D,"*"&amp;$CN19&amp;"*",'Trial Balance (Susa)'!K:K)/1000</f>
        <v>-50</v>
      </c>
      <c r="S19" s="36">
        <f>SUMIF('Trial Balance (Susa)'!$D:$D,"*"&amp;$CN19&amp;"*",'Trial Balance (Susa)'!L:L)/1000</f>
        <v>-50</v>
      </c>
      <c r="T19" s="36">
        <f>SUMIF('Trial Balance (Susa)'!$D:$D,"*"&amp;$CN19&amp;"*",'Trial Balance (Susa)'!M:M)/1000</f>
        <v>-50</v>
      </c>
      <c r="U19" s="36">
        <f>SUMIF('Trial Balance (Susa)'!$D:$D,"*"&amp;$CN19&amp;"*",'Trial Balance (Susa)'!N:N)/1000</f>
        <v>-50</v>
      </c>
      <c r="V19" s="36">
        <f>SUMIF('Trial Balance (Susa)'!$D:$D,"*"&amp;$CN19&amp;"*",'Trial Balance (Susa)'!O:O)/1000</f>
        <v>-50</v>
      </c>
      <c r="W19" s="36">
        <f>SUMIF('Trial Balance (Susa)'!$D:$D,"*"&amp;$CN19&amp;"*",'Trial Balance (Susa)'!P:P)/1000</f>
        <v>-50</v>
      </c>
      <c r="X19" s="36">
        <f>SUMIF('Trial Balance (Susa)'!$D:$D,"*"&amp;$CN19&amp;"*",'Trial Balance (Susa)'!Q:Q)/1000</f>
        <v>-50</v>
      </c>
      <c r="Y19" s="36">
        <f>SUMIF('Trial Balance (Susa)'!$D:$D,"*"&amp;$CN19&amp;"*",'Trial Balance (Susa)'!R:R)/1000</f>
        <v>-50</v>
      </c>
      <c r="Z19" s="36">
        <f>SUMIF('Trial Balance (Susa)'!$D:$D,"*"&amp;$CN19&amp;"*",'Trial Balance (Susa)'!S:S)/1000</f>
        <v>-50</v>
      </c>
      <c r="AA19" s="36">
        <f>SUMIF('Trial Balance (Susa)'!$D:$D,"*"&amp;$CN19&amp;"*",'Trial Balance (Susa)'!T:T)/1000</f>
        <v>-50</v>
      </c>
      <c r="AB19" s="36">
        <f>SUMIF('Trial Balance (Susa)'!$D:$D,"*"&amp;$CN19&amp;"*",'Trial Balance (Susa)'!U:U)/1000</f>
        <v>-50</v>
      </c>
      <c r="AC19" s="36">
        <f>SUMIF('Trial Balance (Susa)'!$D:$D,"*"&amp;$CN19&amp;"*",'Trial Balance (Susa)'!V:V)/1000</f>
        <v>-50</v>
      </c>
      <c r="AD19" s="36">
        <f>SUMIF('Trial Balance (Susa)'!$D:$D,"*"&amp;$CN19&amp;"*",'Trial Balance (Susa)'!W:W)/1000</f>
        <v>-50</v>
      </c>
      <c r="AE19" s="36">
        <f>SUMIF('Trial Balance (Susa)'!$D:$D,"*"&amp;$CN19&amp;"*",'Trial Balance (Susa)'!X:X)/1000</f>
        <v>-50</v>
      </c>
      <c r="AF19" s="36">
        <f>SUMIF('Trial Balance (Susa)'!$D:$D,"*"&amp;$CN19&amp;"*",'Trial Balance (Susa)'!Y:Y)/1000</f>
        <v>-50</v>
      </c>
      <c r="AG19" s="36">
        <f>SUMIF('Trial Balance (Susa)'!$D:$D,"*"&amp;$CN19&amp;"*",'Trial Balance (Susa)'!Z:Z)/1000</f>
        <v>-50</v>
      </c>
      <c r="AH19" s="36">
        <f>SUMIF('Trial Balance (Susa)'!$D:$D,"*"&amp;$CN19&amp;"*",'Trial Balance (Susa)'!AA:AA)/1000</f>
        <v>-50</v>
      </c>
      <c r="AI19" s="36">
        <f>SUMIF('Trial Balance (Susa)'!$D:$D,"*"&amp;$CN19&amp;"*",'Trial Balance (Susa)'!AB:AB)/1000</f>
        <v>-50</v>
      </c>
      <c r="AJ19" s="36">
        <f>SUMIF('Trial Balance (Susa)'!$D:$D,"*"&amp;$CN19&amp;"*",'Trial Balance (Susa)'!AC:AC)/1000</f>
        <v>-50</v>
      </c>
      <c r="AK19" s="36">
        <f>SUMIF('Trial Balance (Susa)'!$D:$D,"*"&amp;$CN19&amp;"*",'Trial Balance (Susa)'!AD:AD)/1000</f>
        <v>-50</v>
      </c>
      <c r="AL19" s="36">
        <f>SUMIF('Trial Balance (Susa)'!$D:$D,"*"&amp;$CN19&amp;"*",'Trial Balance (Susa)'!AE:AE)/1000</f>
        <v>-50</v>
      </c>
      <c r="AM19" s="36">
        <f>SUMIF('Trial Balance (Susa)'!$D:$D,"*"&amp;$CN19&amp;"*",'Trial Balance (Susa)'!AF:AF)/1000</f>
        <v>-50</v>
      </c>
      <c r="AN19" s="36">
        <f>SUMIF('Trial Balance (Susa)'!$D:$D,"*"&amp;$CN19&amp;"*",'Trial Balance (Susa)'!AG:AG)/1000</f>
        <v>-50</v>
      </c>
      <c r="AO19" s="36">
        <f>SUMIF('Trial Balance (Susa)'!$D:$D,"*"&amp;$CN19&amp;"*",'Trial Balance (Susa)'!AH:AH)/1000</f>
        <v>-50</v>
      </c>
      <c r="AP19" s="36">
        <f>SUMIF('Trial Balance (Susa)'!$D:$D,"*"&amp;$CN19&amp;"*",'Trial Balance (Susa)'!AI:AI)/1000</f>
        <v>-50</v>
      </c>
      <c r="AQ19" s="36">
        <f>SUMIF('Trial Balance (Susa)'!$D:$D,"*"&amp;$CN19&amp;"*",'Trial Balance (Susa)'!AJ:AJ)/1000</f>
        <v>-50</v>
      </c>
      <c r="AR19" s="36">
        <f>SUMIF('Trial Balance (Susa)'!$D:$D,"*"&amp;$CN19&amp;"*",'Trial Balance (Susa)'!AK:AK)/1000</f>
        <v>-50</v>
      </c>
      <c r="AS19" s="36">
        <f>SUMIF('Trial Balance (Susa)'!$D:$D,"*"&amp;$CN19&amp;"*",'Trial Balance (Susa)'!AL:AL)/1000</f>
        <v>0</v>
      </c>
      <c r="AT19" s="36">
        <f>SUMIF('Trial Balance (Susa)'!$D:$D,"*"&amp;$CN19&amp;"*",'Trial Balance (Susa)'!AM:AM)/1000</f>
        <v>0</v>
      </c>
      <c r="AU19" s="36">
        <f>SUMIF('Trial Balance (Susa)'!$D:$D,"*"&amp;$CN19&amp;"*",'Trial Balance (Susa)'!AN:AN)/1000</f>
        <v>0</v>
      </c>
      <c r="AV19" s="36">
        <f>SUMIF('Trial Balance (Susa)'!$D:$D,"*"&amp;$CN19&amp;"*",'Trial Balance (Susa)'!AO:AO)/1000</f>
        <v>0</v>
      </c>
      <c r="AW19" s="36">
        <f>SUMIF('Trial Balance (Susa)'!$D:$D,"*"&amp;$CN19&amp;"*",'Trial Balance (Susa)'!AP:AP)/1000</f>
        <v>0</v>
      </c>
      <c r="AX19" s="36">
        <f>SUMIF('Trial Balance (Susa)'!$D:$D,"*"&amp;$CN19&amp;"*",'Trial Balance (Susa)'!AQ:AQ)/1000</f>
        <v>0</v>
      </c>
      <c r="AY19" s="36">
        <f>SUMIF('Trial Balance (Susa)'!$D:$D,"*"&amp;$CN19&amp;"*",'Trial Balance (Susa)'!AR:AR)/1000</f>
        <v>0</v>
      </c>
      <c r="AZ19" s="36">
        <f>SUMIF('Trial Balance (Susa)'!$D:$D,"*"&amp;$CN19&amp;"*",'Trial Balance (Susa)'!AS:AS)/1000</f>
        <v>0</v>
      </c>
      <c r="BA19" s="36">
        <f>SUMIF('Trial Balance (Susa)'!$D:$D,"*"&amp;$CN19&amp;"*",'Trial Balance (Susa)'!AT:AT)/1000</f>
        <v>0</v>
      </c>
      <c r="BB19" s="278"/>
      <c r="BC19" s="278"/>
      <c r="BD19" s="278"/>
      <c r="BE19" s="278"/>
      <c r="BF19" s="278"/>
      <c r="BG19" s="278"/>
      <c r="BH19" s="278"/>
      <c r="BI19" s="278"/>
      <c r="BJ19" s="278"/>
      <c r="BK19" s="278"/>
      <c r="BL19" s="278"/>
      <c r="BM19" s="278"/>
      <c r="BN19" s="278"/>
      <c r="BO19" s="278"/>
      <c r="BP19" s="278"/>
      <c r="BQ19" s="278"/>
      <c r="BR19" s="278"/>
      <c r="BS19" s="278"/>
      <c r="BT19" s="278"/>
      <c r="BU19" s="278"/>
      <c r="BV19" s="278"/>
      <c r="BW19" s="278"/>
      <c r="BX19" s="278"/>
      <c r="BY19" s="278"/>
      <c r="BZ19" s="278"/>
      <c r="CA19" s="278"/>
      <c r="CB19" s="278"/>
      <c r="CC19" s="278"/>
      <c r="CD19" s="278"/>
      <c r="CE19" s="278"/>
      <c r="CF19" s="278"/>
      <c r="CG19" s="278"/>
      <c r="CH19" s="278"/>
      <c r="CI19" s="278"/>
      <c r="CJ19" s="278"/>
      <c r="CK19" s="278"/>
      <c r="CL19" s="101"/>
      <c r="CN19" s="364" t="str">
        <f>'Lead NA'!P19</f>
        <v>/working capital/all trade payables/advances received on orders</v>
      </c>
    </row>
    <row r="20" spans="1:92" s="254" customFormat="1" ht="11.45" hidden="1" customHeight="1" outlineLevel="2" x14ac:dyDescent="0.2">
      <c r="A20" s="30"/>
      <c r="B20" s="101"/>
      <c r="C20" s="37" t="str">
        <f>'Lead NA'!C20</f>
        <v>Dummy 1</v>
      </c>
      <c r="D20" s="37" t="str">
        <f>'Lead NA'!D20</f>
        <v>Dummy 1</v>
      </c>
      <c r="E20" s="36">
        <f>'Lead NA'!E20</f>
        <v>0</v>
      </c>
      <c r="F20" s="36"/>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278"/>
      <c r="AV20" s="278"/>
      <c r="AW20" s="278"/>
      <c r="AX20" s="278"/>
      <c r="AY20" s="278"/>
      <c r="AZ20" s="278"/>
      <c r="BA20" s="278"/>
      <c r="BB20" s="278"/>
      <c r="BC20" s="278"/>
      <c r="BD20" s="278"/>
      <c r="BE20" s="278"/>
      <c r="BF20" s="278"/>
      <c r="BG20" s="278"/>
      <c r="BH20" s="278"/>
      <c r="BI20" s="278"/>
      <c r="BJ20" s="278"/>
      <c r="BK20" s="278"/>
      <c r="BL20" s="278"/>
      <c r="BM20" s="278"/>
      <c r="BN20" s="278"/>
      <c r="BO20" s="278"/>
      <c r="BP20" s="278"/>
      <c r="BQ20" s="278"/>
      <c r="BR20" s="278"/>
      <c r="BS20" s="278"/>
      <c r="BT20" s="278"/>
      <c r="BU20" s="278"/>
      <c r="BV20" s="278"/>
      <c r="BW20" s="278"/>
      <c r="BX20" s="278"/>
      <c r="BY20" s="278"/>
      <c r="BZ20" s="278"/>
      <c r="CA20" s="278"/>
      <c r="CB20" s="278"/>
      <c r="CC20" s="278"/>
      <c r="CD20" s="278"/>
      <c r="CE20" s="278"/>
      <c r="CF20" s="278"/>
      <c r="CG20" s="278"/>
      <c r="CH20" s="278"/>
      <c r="CI20" s="278"/>
      <c r="CJ20" s="278"/>
      <c r="CK20" s="278"/>
      <c r="CL20" s="101"/>
      <c r="CN20" s="364"/>
    </row>
    <row r="21" spans="1:92" s="254" customFormat="1" ht="11.45" hidden="1" customHeight="1" outlineLevel="2" x14ac:dyDescent="0.2">
      <c r="A21" s="30"/>
      <c r="B21" s="101"/>
      <c r="C21" s="37" t="str">
        <f>'Lead NA'!C21</f>
        <v>Dummy 2</v>
      </c>
      <c r="D21" s="37" t="str">
        <f>'Lead NA'!D21</f>
        <v>Dummy 2</v>
      </c>
      <c r="E21" s="36">
        <f>'Lead NA'!E21</f>
        <v>0</v>
      </c>
      <c r="F21" s="36"/>
      <c r="G21" s="36"/>
      <c r="H21" s="36"/>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278"/>
      <c r="AV21" s="278"/>
      <c r="AW21" s="278"/>
      <c r="AX21" s="278"/>
      <c r="AY21" s="278"/>
      <c r="AZ21" s="278"/>
      <c r="BA21" s="278"/>
      <c r="BB21" s="278"/>
      <c r="BC21" s="278"/>
      <c r="BD21" s="278"/>
      <c r="BE21" s="278"/>
      <c r="BF21" s="278"/>
      <c r="BG21" s="278"/>
      <c r="BH21" s="278"/>
      <c r="BI21" s="278"/>
      <c r="BJ21" s="278"/>
      <c r="BK21" s="278"/>
      <c r="BL21" s="278"/>
      <c r="BM21" s="278"/>
      <c r="BN21" s="278"/>
      <c r="BO21" s="278"/>
      <c r="BP21" s="278"/>
      <c r="BQ21" s="278"/>
      <c r="BR21" s="278"/>
      <c r="BS21" s="278"/>
      <c r="BT21" s="278"/>
      <c r="BU21" s="278"/>
      <c r="BV21" s="278"/>
      <c r="BW21" s="278"/>
      <c r="BX21" s="278"/>
      <c r="BY21" s="278"/>
      <c r="BZ21" s="278"/>
      <c r="CA21" s="278"/>
      <c r="CB21" s="278"/>
      <c r="CC21" s="278"/>
      <c r="CD21" s="278"/>
      <c r="CE21" s="278"/>
      <c r="CF21" s="278"/>
      <c r="CG21" s="278"/>
      <c r="CH21" s="278"/>
      <c r="CI21" s="278"/>
      <c r="CJ21" s="278"/>
      <c r="CK21" s="278"/>
      <c r="CL21" s="101"/>
      <c r="CN21" s="364"/>
    </row>
    <row r="22" spans="1:92" s="254" customFormat="1" ht="11.45" hidden="1" customHeight="1" outlineLevel="2" x14ac:dyDescent="0.2">
      <c r="A22" s="30"/>
      <c r="B22" s="101"/>
      <c r="C22" s="42" t="str">
        <f>'Lead NA'!C22</f>
        <v>Dummy 3</v>
      </c>
      <c r="D22" s="42" t="str">
        <f>'Lead NA'!D22</f>
        <v>Dummy 3</v>
      </c>
      <c r="E22" s="127">
        <f>'Lead NA'!E22</f>
        <v>0</v>
      </c>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c r="AG22" s="127"/>
      <c r="AH22" s="127"/>
      <c r="AI22" s="127"/>
      <c r="AJ22" s="127"/>
      <c r="AK22" s="127"/>
      <c r="AL22" s="127"/>
      <c r="AM22" s="127"/>
      <c r="AN22" s="127"/>
      <c r="AO22" s="127"/>
      <c r="AP22" s="127"/>
      <c r="AQ22" s="127"/>
      <c r="AR22" s="127"/>
      <c r="AS22" s="127"/>
      <c r="AT22" s="127"/>
      <c r="AU22" s="125"/>
      <c r="AV22" s="125"/>
      <c r="AW22" s="125"/>
      <c r="AX22" s="125"/>
      <c r="AY22" s="125"/>
      <c r="AZ22" s="125"/>
      <c r="BA22" s="125"/>
      <c r="BB22" s="125"/>
      <c r="BC22" s="125"/>
      <c r="BD22" s="125"/>
      <c r="BE22" s="125"/>
      <c r="BF22" s="125"/>
      <c r="BG22" s="125"/>
      <c r="BH22" s="125"/>
      <c r="BI22" s="125"/>
      <c r="BJ22" s="125"/>
      <c r="BK22" s="125"/>
      <c r="BL22" s="125"/>
      <c r="BM22" s="125"/>
      <c r="BN22" s="125"/>
      <c r="BO22" s="125"/>
      <c r="BP22" s="125"/>
      <c r="BQ22" s="125"/>
      <c r="BR22" s="125"/>
      <c r="BS22" s="125"/>
      <c r="BT22" s="125"/>
      <c r="BU22" s="125"/>
      <c r="BV22" s="125"/>
      <c r="BW22" s="125"/>
      <c r="BX22" s="125"/>
      <c r="BY22" s="125"/>
      <c r="BZ22" s="125"/>
      <c r="CA22" s="125"/>
      <c r="CB22" s="125"/>
      <c r="CC22" s="125"/>
      <c r="CD22" s="125"/>
      <c r="CE22" s="125"/>
      <c r="CF22" s="125"/>
      <c r="CG22" s="125"/>
      <c r="CH22" s="125"/>
      <c r="CI22" s="125"/>
      <c r="CJ22" s="125"/>
      <c r="CK22" s="125"/>
      <c r="CL22" s="101"/>
      <c r="CN22" s="364"/>
    </row>
    <row r="23" spans="1:92" s="254" customFormat="1" ht="11.45" customHeight="1" collapsed="1" x14ac:dyDescent="0.2">
      <c r="A23" s="30"/>
      <c r="B23" s="101"/>
      <c r="C23" s="257" t="str">
        <f>'Lead NA'!C23</f>
        <v>Trade Working Capital</v>
      </c>
      <c r="D23" s="257" t="str">
        <f>'Lead NA'!D23</f>
        <v>Trade working capital</v>
      </c>
      <c r="E23" s="141">
        <f t="shared" ref="E23:AK23" si="3">SUM(E16:E22)</f>
        <v>0</v>
      </c>
      <c r="F23" s="141">
        <f t="shared" si="3"/>
        <v>0</v>
      </c>
      <c r="G23" s="141">
        <f t="shared" si="3"/>
        <v>0</v>
      </c>
      <c r="H23" s="141">
        <f t="shared" si="3"/>
        <v>0</v>
      </c>
      <c r="I23" s="141">
        <f t="shared" si="3"/>
        <v>0</v>
      </c>
      <c r="J23" s="141">
        <f t="shared" si="3"/>
        <v>0</v>
      </c>
      <c r="K23" s="141">
        <f t="shared" si="3"/>
        <v>0</v>
      </c>
      <c r="L23" s="141">
        <f t="shared" si="3"/>
        <v>0</v>
      </c>
      <c r="M23" s="141">
        <f t="shared" si="3"/>
        <v>0</v>
      </c>
      <c r="N23" s="141">
        <f t="shared" si="3"/>
        <v>0</v>
      </c>
      <c r="O23" s="141">
        <f t="shared" si="3"/>
        <v>0</v>
      </c>
      <c r="P23" s="141">
        <f t="shared" si="3"/>
        <v>0</v>
      </c>
      <c r="Q23" s="141">
        <f t="shared" si="3"/>
        <v>2931.19749</v>
      </c>
      <c r="R23" s="141">
        <f t="shared" si="3"/>
        <v>2815.7983900000004</v>
      </c>
      <c r="S23" s="141">
        <f t="shared" si="3"/>
        <v>2777.8680100000001</v>
      </c>
      <c r="T23" s="141">
        <f t="shared" si="3"/>
        <v>2375.4081099999999</v>
      </c>
      <c r="U23" s="141">
        <f t="shared" si="3"/>
        <v>2672.1159900000002</v>
      </c>
      <c r="V23" s="141">
        <f t="shared" si="3"/>
        <v>2686.8208</v>
      </c>
      <c r="W23" s="141">
        <f t="shared" si="3"/>
        <v>3264.8183300000001</v>
      </c>
      <c r="X23" s="141">
        <f t="shared" si="3"/>
        <v>3344.5581500000003</v>
      </c>
      <c r="Y23" s="141">
        <f t="shared" si="3"/>
        <v>3852.5547000000006</v>
      </c>
      <c r="Z23" s="141">
        <f t="shared" si="3"/>
        <v>3812.9645199999995</v>
      </c>
      <c r="AA23" s="141">
        <f t="shared" si="3"/>
        <v>3966.0634799999993</v>
      </c>
      <c r="AB23" s="141">
        <f t="shared" si="3"/>
        <v>4365.4030799999991</v>
      </c>
      <c r="AC23" s="141">
        <f t="shared" si="3"/>
        <v>3290.1928800000005</v>
      </c>
      <c r="AD23" s="141">
        <f t="shared" si="3"/>
        <v>3236.5541500000008</v>
      </c>
      <c r="AE23" s="141">
        <f t="shared" si="3"/>
        <v>3671.0957900000003</v>
      </c>
      <c r="AF23" s="141">
        <f t="shared" si="3"/>
        <v>3810.9094800000003</v>
      </c>
      <c r="AG23" s="141">
        <f t="shared" si="3"/>
        <v>3641.5861700000005</v>
      </c>
      <c r="AH23" s="141">
        <f t="shared" si="3"/>
        <v>3315.3781199999999</v>
      </c>
      <c r="AI23" s="141">
        <f t="shared" si="3"/>
        <v>3305.5149799999995</v>
      </c>
      <c r="AJ23" s="141">
        <f t="shared" si="3"/>
        <v>2351.7461799999996</v>
      </c>
      <c r="AK23" s="141">
        <f t="shared" si="3"/>
        <v>2798.9242300000005</v>
      </c>
      <c r="AL23" s="141">
        <f t="shared" ref="AL23:BQ23" si="4">SUM(AL16:AL22)</f>
        <v>2897.2736500000001</v>
      </c>
      <c r="AM23" s="141">
        <f t="shared" si="4"/>
        <v>3438.4162900000001</v>
      </c>
      <c r="AN23" s="141">
        <f t="shared" si="4"/>
        <v>3137.5437900000002</v>
      </c>
      <c r="AO23" s="141">
        <f t="shared" si="4"/>
        <v>4524.2469900000006</v>
      </c>
      <c r="AP23" s="141">
        <f t="shared" si="4"/>
        <v>4263.0279700000001</v>
      </c>
      <c r="AQ23" s="141">
        <f t="shared" si="4"/>
        <v>4539.41266</v>
      </c>
      <c r="AR23" s="141">
        <f t="shared" si="4"/>
        <v>4703.3374200000007</v>
      </c>
      <c r="AS23" s="141">
        <f t="shared" si="4"/>
        <v>4779.3350099999998</v>
      </c>
      <c r="AT23" s="141">
        <f t="shared" si="4"/>
        <v>5022.2646199999999</v>
      </c>
      <c r="AU23" s="379">
        <f t="shared" si="4"/>
        <v>5407.34184</v>
      </c>
      <c r="AV23" s="379">
        <f t="shared" si="4"/>
        <v>4689.7031499999994</v>
      </c>
      <c r="AW23" s="379">
        <f t="shared" si="4"/>
        <v>5207.8584299999993</v>
      </c>
      <c r="AX23" s="379">
        <f t="shared" si="4"/>
        <v>5133.3013799999999</v>
      </c>
      <c r="AY23" s="379">
        <f t="shared" si="4"/>
        <v>5203.9771300000002</v>
      </c>
      <c r="AZ23" s="379">
        <f t="shared" si="4"/>
        <v>4803.1871600000004</v>
      </c>
      <c r="BA23" s="379">
        <f t="shared" si="4"/>
        <v>4265.7960299999995</v>
      </c>
      <c r="BB23" s="379">
        <f t="shared" si="4"/>
        <v>0</v>
      </c>
      <c r="BC23" s="379">
        <f t="shared" si="4"/>
        <v>0</v>
      </c>
      <c r="BD23" s="379">
        <f t="shared" si="4"/>
        <v>0</v>
      </c>
      <c r="BE23" s="379">
        <f t="shared" si="4"/>
        <v>0</v>
      </c>
      <c r="BF23" s="379">
        <f t="shared" si="4"/>
        <v>0</v>
      </c>
      <c r="BG23" s="379">
        <f t="shared" si="4"/>
        <v>0</v>
      </c>
      <c r="BH23" s="379">
        <f t="shared" si="4"/>
        <v>0</v>
      </c>
      <c r="BI23" s="379">
        <f t="shared" si="4"/>
        <v>0</v>
      </c>
      <c r="BJ23" s="379">
        <f t="shared" si="4"/>
        <v>0</v>
      </c>
      <c r="BK23" s="379">
        <f t="shared" si="4"/>
        <v>0</v>
      </c>
      <c r="BL23" s="379">
        <f t="shared" si="4"/>
        <v>0</v>
      </c>
      <c r="BM23" s="379">
        <f t="shared" si="4"/>
        <v>0</v>
      </c>
      <c r="BN23" s="379">
        <f t="shared" si="4"/>
        <v>0</v>
      </c>
      <c r="BO23" s="379">
        <f t="shared" si="4"/>
        <v>0</v>
      </c>
      <c r="BP23" s="379">
        <f t="shared" si="4"/>
        <v>0</v>
      </c>
      <c r="BQ23" s="379">
        <f t="shared" si="4"/>
        <v>0</v>
      </c>
      <c r="BR23" s="379">
        <f t="shared" ref="BR23:CK23" si="5">SUM(BR16:BR22)</f>
        <v>0</v>
      </c>
      <c r="BS23" s="379">
        <f t="shared" si="5"/>
        <v>0</v>
      </c>
      <c r="BT23" s="379">
        <f t="shared" si="5"/>
        <v>0</v>
      </c>
      <c r="BU23" s="379">
        <f t="shared" si="5"/>
        <v>0</v>
      </c>
      <c r="BV23" s="379">
        <f t="shared" si="5"/>
        <v>0</v>
      </c>
      <c r="BW23" s="379">
        <f t="shared" si="5"/>
        <v>0</v>
      </c>
      <c r="BX23" s="379">
        <f t="shared" si="5"/>
        <v>0</v>
      </c>
      <c r="BY23" s="379">
        <f t="shared" si="5"/>
        <v>0</v>
      </c>
      <c r="BZ23" s="379">
        <f t="shared" si="5"/>
        <v>0</v>
      </c>
      <c r="CA23" s="379">
        <f t="shared" si="5"/>
        <v>0</v>
      </c>
      <c r="CB23" s="379">
        <f t="shared" si="5"/>
        <v>0</v>
      </c>
      <c r="CC23" s="379">
        <f t="shared" si="5"/>
        <v>0</v>
      </c>
      <c r="CD23" s="379">
        <f t="shared" si="5"/>
        <v>0</v>
      </c>
      <c r="CE23" s="379">
        <f t="shared" si="5"/>
        <v>0</v>
      </c>
      <c r="CF23" s="379">
        <f t="shared" si="5"/>
        <v>0</v>
      </c>
      <c r="CG23" s="379">
        <f t="shared" si="5"/>
        <v>0</v>
      </c>
      <c r="CH23" s="379">
        <f t="shared" si="5"/>
        <v>0</v>
      </c>
      <c r="CI23" s="379">
        <f t="shared" si="5"/>
        <v>0</v>
      </c>
      <c r="CJ23" s="379">
        <f t="shared" si="5"/>
        <v>0</v>
      </c>
      <c r="CK23" s="379">
        <f t="shared" si="5"/>
        <v>0</v>
      </c>
      <c r="CL23" s="101"/>
      <c r="CN23" s="251"/>
    </row>
    <row r="24" spans="1:92" s="254" customFormat="1" ht="11.45" customHeight="1" x14ac:dyDescent="0.2">
      <c r="A24" s="30"/>
      <c r="B24" s="101"/>
      <c r="C24" s="37" t="str">
        <f>'Lead NA'!C24</f>
        <v>Sonstige Vermögensgegenstände</v>
      </c>
      <c r="D24" s="37" t="str">
        <f>'Lead NA'!D24</f>
        <v>Other assets</v>
      </c>
      <c r="E24" s="36">
        <f>'Lead NA'!E24</f>
        <v>0</v>
      </c>
      <c r="F24" s="36"/>
      <c r="G24" s="36"/>
      <c r="H24" s="36"/>
      <c r="I24" s="36"/>
      <c r="J24" s="36"/>
      <c r="K24" s="36"/>
      <c r="L24" s="36"/>
      <c r="M24" s="36"/>
      <c r="N24" s="36"/>
      <c r="O24" s="36"/>
      <c r="P24" s="36"/>
      <c r="Q24" s="36">
        <f>'Lead NA'!F24</f>
        <v>33.1297</v>
      </c>
      <c r="R24" s="36">
        <f>SUMIF('Trial Balance (Susa)'!$D:$D,"*"&amp;$CN24&amp;"*",'Trial Balance (Susa)'!K:K)/1000</f>
        <v>177.29720999999998</v>
      </c>
      <c r="S24" s="36">
        <f>SUMIF('Trial Balance (Susa)'!$D:$D,"*"&amp;$CN24&amp;"*",'Trial Balance (Susa)'!L:L)/1000</f>
        <v>25.819389999999999</v>
      </c>
      <c r="T24" s="36">
        <f>SUMIF('Trial Balance (Susa)'!$D:$D,"*"&amp;$CN24&amp;"*",'Trial Balance (Susa)'!M:M)/1000</f>
        <v>28.21698</v>
      </c>
      <c r="U24" s="36">
        <f>SUMIF('Trial Balance (Susa)'!$D:$D,"*"&amp;$CN24&amp;"*",'Trial Balance (Susa)'!N:N)/1000</f>
        <v>0.15914999999999963</v>
      </c>
      <c r="V24" s="36">
        <f>SUMIF('Trial Balance (Susa)'!$D:$D,"*"&amp;$CN24&amp;"*",'Trial Balance (Susa)'!O:O)/1000</f>
        <v>9.9528199999999991</v>
      </c>
      <c r="W24" s="36">
        <f>SUMIF('Trial Balance (Susa)'!$D:$D,"*"&amp;$CN24&amp;"*",'Trial Balance (Susa)'!P:P)/1000</f>
        <v>50.212330000000001</v>
      </c>
      <c r="X24" s="36">
        <f>SUMIF('Trial Balance (Susa)'!$D:$D,"*"&amp;$CN24&amp;"*",'Trial Balance (Susa)'!Q:Q)/1000</f>
        <v>40.589130000000004</v>
      </c>
      <c r="Y24" s="36">
        <f>SUMIF('Trial Balance (Susa)'!$D:$D,"*"&amp;$CN24&amp;"*",'Trial Balance (Susa)'!R:R)/1000</f>
        <v>18.824650000000002</v>
      </c>
      <c r="Z24" s="36">
        <f>SUMIF('Trial Balance (Susa)'!$D:$D,"*"&amp;$CN24&amp;"*",'Trial Balance (Susa)'!S:S)/1000</f>
        <v>23.330449999999995</v>
      </c>
      <c r="AA24" s="36">
        <f>SUMIF('Trial Balance (Susa)'!$D:$D,"*"&amp;$CN24&amp;"*",'Trial Balance (Susa)'!T:T)/1000</f>
        <v>21.077570000000001</v>
      </c>
      <c r="AB24" s="36">
        <f>SUMIF('Trial Balance (Susa)'!$D:$D,"*"&amp;$CN24&amp;"*",'Trial Balance (Susa)'!U:U)/1000</f>
        <v>18.52177</v>
      </c>
      <c r="AC24" s="36">
        <f>SUMIF('Trial Balance (Susa)'!$D:$D,"*"&amp;$CN24&amp;"*",'Trial Balance (Susa)'!V:V)/1000</f>
        <v>296.51486</v>
      </c>
      <c r="AD24" s="36">
        <f>SUMIF('Trial Balance (Susa)'!$D:$D,"*"&amp;$CN24&amp;"*",'Trial Balance (Susa)'!W:W)/1000</f>
        <v>290.90136000000001</v>
      </c>
      <c r="AE24" s="36">
        <f>SUMIF('Trial Balance (Susa)'!$D:$D,"*"&amp;$CN24&amp;"*",'Trial Balance (Susa)'!X:X)/1000</f>
        <v>289.47928000000002</v>
      </c>
      <c r="AF24" s="36">
        <f>SUMIF('Trial Balance (Susa)'!$D:$D,"*"&amp;$CN24&amp;"*",'Trial Balance (Susa)'!Y:Y)/1000</f>
        <v>196.92828</v>
      </c>
      <c r="AG24" s="36">
        <f>SUMIF('Trial Balance (Susa)'!$D:$D,"*"&amp;$CN24&amp;"*",'Trial Balance (Susa)'!Z:Z)/1000</f>
        <v>194.99453</v>
      </c>
      <c r="AH24" s="36">
        <f>SUMIF('Trial Balance (Susa)'!$D:$D,"*"&amp;$CN24&amp;"*",'Trial Balance (Susa)'!AA:AA)/1000</f>
        <v>200.83928</v>
      </c>
      <c r="AI24" s="36">
        <f>SUMIF('Trial Balance (Susa)'!$D:$D,"*"&amp;$CN24&amp;"*",'Trial Balance (Susa)'!AB:AB)/1000</f>
        <v>198.87227999999999</v>
      </c>
      <c r="AJ24" s="36">
        <f>SUMIF('Trial Balance (Susa)'!$D:$D,"*"&amp;$CN24&amp;"*",'Trial Balance (Susa)'!AC:AC)/1000</f>
        <v>201.62727999999998</v>
      </c>
      <c r="AK24" s="36">
        <f>SUMIF('Trial Balance (Susa)'!$D:$D,"*"&amp;$CN24&amp;"*",'Trial Balance (Susa)'!AD:AD)/1000</f>
        <v>201.51027999999999</v>
      </c>
      <c r="AL24" s="36">
        <f>SUMIF('Trial Balance (Susa)'!$D:$D,"*"&amp;$CN24&amp;"*",'Trial Balance (Susa)'!AE:AE)/1000</f>
        <v>203.43875999999997</v>
      </c>
      <c r="AM24" s="36">
        <f>SUMIF('Trial Balance (Susa)'!$D:$D,"*"&amp;$CN24&amp;"*",'Trial Balance (Susa)'!AF:AF)/1000</f>
        <v>204.17195999999998</v>
      </c>
      <c r="AN24" s="36">
        <f>SUMIF('Trial Balance (Susa)'!$D:$D,"*"&amp;$CN24&amp;"*",'Trial Balance (Susa)'!AG:AG)/1000</f>
        <v>201.29232000000002</v>
      </c>
      <c r="AO24" s="36">
        <f>SUMIF('Trial Balance (Susa)'!$D:$D,"*"&amp;$CN24&amp;"*",'Trial Balance (Susa)'!AH:AH)/1000</f>
        <v>313.58526000000001</v>
      </c>
      <c r="AP24" s="36">
        <f>SUMIF('Trial Balance (Susa)'!$D:$D,"*"&amp;$CN24&amp;"*",'Trial Balance (Susa)'!AI:AI)/1000</f>
        <v>165.13976</v>
      </c>
      <c r="AQ24" s="36">
        <f>SUMIF('Trial Balance (Susa)'!$D:$D,"*"&amp;$CN24&amp;"*",'Trial Balance (Susa)'!AJ:AJ)/1000</f>
        <v>89.345130000000012</v>
      </c>
      <c r="AR24" s="36">
        <f>SUMIF('Trial Balance (Susa)'!$D:$D,"*"&amp;$CN24&amp;"*",'Trial Balance (Susa)'!AK:AK)/1000</f>
        <v>91.75788</v>
      </c>
      <c r="AS24" s="36">
        <f>SUMIF('Trial Balance (Susa)'!$D:$D,"*"&amp;$CN24&amp;"*",'Trial Balance (Susa)'!AL:AL)/1000</f>
        <v>152.726</v>
      </c>
      <c r="AT24" s="36">
        <f>SUMIF('Trial Balance (Susa)'!$D:$D,"*"&amp;$CN24&amp;"*",'Trial Balance (Susa)'!AM:AM)/1000</f>
        <v>152.34610999999998</v>
      </c>
      <c r="AU24" s="36">
        <f>SUMIF('Trial Balance (Susa)'!$D:$D,"*"&amp;$CN24&amp;"*",'Trial Balance (Susa)'!AN:AN)/1000</f>
        <v>153.03704999999999</v>
      </c>
      <c r="AV24" s="36">
        <f>SUMIF('Trial Balance (Susa)'!$D:$D,"*"&amp;$CN24&amp;"*",'Trial Balance (Susa)'!AO:AO)/1000</f>
        <v>152.59164999999999</v>
      </c>
      <c r="AW24" s="36">
        <f>SUMIF('Trial Balance (Susa)'!$D:$D,"*"&amp;$CN24&amp;"*",'Trial Balance (Susa)'!AP:AP)/1000</f>
        <v>152.20765</v>
      </c>
      <c r="AX24" s="36">
        <f>SUMIF('Trial Balance (Susa)'!$D:$D,"*"&amp;$CN24&amp;"*",'Trial Balance (Susa)'!AQ:AQ)/1000</f>
        <v>92.707650000000001</v>
      </c>
      <c r="AY24" s="36">
        <f>SUMIF('Trial Balance (Susa)'!$D:$D,"*"&amp;$CN24&amp;"*",'Trial Balance (Susa)'!AR:AR)/1000</f>
        <v>192.70765</v>
      </c>
      <c r="AZ24" s="36">
        <f>SUMIF('Trial Balance (Susa)'!$D:$D,"*"&amp;$CN24&amp;"*",'Trial Balance (Susa)'!AS:AS)/1000</f>
        <v>62.974789999999999</v>
      </c>
      <c r="BA24" s="36">
        <f>SUMIF('Trial Balance (Susa)'!$D:$D,"*"&amp;$CN24&amp;"*",'Trial Balance (Susa)'!AT:AT)/1000</f>
        <v>309.09184000000005</v>
      </c>
      <c r="BB24" s="278"/>
      <c r="BC24" s="278"/>
      <c r="BD24" s="278"/>
      <c r="BE24" s="278"/>
      <c r="BF24" s="278"/>
      <c r="BG24" s="278"/>
      <c r="BH24" s="278"/>
      <c r="BI24" s="278"/>
      <c r="BJ24" s="278"/>
      <c r="BK24" s="278"/>
      <c r="BL24" s="278"/>
      <c r="BM24" s="278"/>
      <c r="BN24" s="278"/>
      <c r="BO24" s="278"/>
      <c r="BP24" s="278"/>
      <c r="BQ24" s="278"/>
      <c r="BR24" s="278"/>
      <c r="BS24" s="278"/>
      <c r="BT24" s="278"/>
      <c r="BU24" s="278"/>
      <c r="BV24" s="278"/>
      <c r="BW24" s="278"/>
      <c r="BX24" s="278"/>
      <c r="BY24" s="278"/>
      <c r="BZ24" s="278"/>
      <c r="CA24" s="278"/>
      <c r="CB24" s="278"/>
      <c r="CC24" s="278"/>
      <c r="CD24" s="278"/>
      <c r="CE24" s="278"/>
      <c r="CF24" s="278"/>
      <c r="CG24" s="278"/>
      <c r="CH24" s="278"/>
      <c r="CI24" s="278"/>
      <c r="CJ24" s="278"/>
      <c r="CK24" s="278"/>
      <c r="CL24" s="101"/>
      <c r="CN24" s="364" t="str">
        <f>'Lead NA'!P24</f>
        <v>/working capital/other working capital/other current assets</v>
      </c>
    </row>
    <row r="25" spans="1:92" s="254" customFormat="1" ht="11.45" customHeight="1" x14ac:dyDescent="0.2">
      <c r="A25" s="30"/>
      <c r="B25" s="101"/>
      <c r="C25" s="37" t="str">
        <f>'Lead NA'!C25</f>
        <v>Aktive Rechnungsabgrenzungsposten</v>
      </c>
      <c r="D25" s="37" t="str">
        <f>'Lead NA'!D25</f>
        <v>Prepaid expenses</v>
      </c>
      <c r="E25" s="36">
        <f>'Lead NA'!E25</f>
        <v>0</v>
      </c>
      <c r="F25" s="36"/>
      <c r="G25" s="36"/>
      <c r="H25" s="36"/>
      <c r="I25" s="36"/>
      <c r="J25" s="36"/>
      <c r="K25" s="36"/>
      <c r="L25" s="36"/>
      <c r="M25" s="36"/>
      <c r="N25" s="36"/>
      <c r="O25" s="36"/>
      <c r="P25" s="36"/>
      <c r="Q25" s="36">
        <f>'Lead NA'!F25</f>
        <v>30.218209999999999</v>
      </c>
      <c r="R25" s="36">
        <f>SUMIF('Trial Balance (Susa)'!$D:$D,"*"&amp;$CN25&amp;"*",'Trial Balance (Susa)'!K:K)/1000</f>
        <v>43.246279999999999</v>
      </c>
      <c r="S25" s="36">
        <f>SUMIF('Trial Balance (Susa)'!$D:$D,"*"&amp;$CN25&amp;"*",'Trial Balance (Susa)'!L:L)/1000</f>
        <v>37.226120000000002</v>
      </c>
      <c r="T25" s="36">
        <f>SUMIF('Trial Balance (Susa)'!$D:$D,"*"&amp;$CN25&amp;"*",'Trial Balance (Susa)'!M:M)/1000</f>
        <v>49.082900000000002</v>
      </c>
      <c r="U25" s="36">
        <f>SUMIF('Trial Balance (Susa)'!$D:$D,"*"&amp;$CN25&amp;"*",'Trial Balance (Susa)'!N:N)/1000</f>
        <v>71.74560000000001</v>
      </c>
      <c r="V25" s="36">
        <f>SUMIF('Trial Balance (Susa)'!$D:$D,"*"&amp;$CN25&amp;"*",'Trial Balance (Susa)'!O:O)/1000</f>
        <v>65.833619999999996</v>
      </c>
      <c r="W25" s="36">
        <f>SUMIF('Trial Balance (Susa)'!$D:$D,"*"&amp;$CN25&amp;"*",'Trial Balance (Susa)'!P:P)/1000</f>
        <v>62.869480000000003</v>
      </c>
      <c r="X25" s="36">
        <f>SUMIF('Trial Balance (Susa)'!$D:$D,"*"&amp;$CN25&amp;"*",'Trial Balance (Susa)'!Q:Q)/1000</f>
        <v>59.56794</v>
      </c>
      <c r="Y25" s="36">
        <f>SUMIF('Trial Balance (Susa)'!$D:$D,"*"&amp;$CN25&amp;"*",'Trial Balance (Susa)'!R:R)/1000</f>
        <v>72.304570000000012</v>
      </c>
      <c r="Z25" s="36">
        <f>SUMIF('Trial Balance (Susa)'!$D:$D,"*"&amp;$CN25&amp;"*",'Trial Balance (Susa)'!S:S)/1000</f>
        <v>62.266300000000001</v>
      </c>
      <c r="AA25" s="36">
        <f>SUMIF('Trial Balance (Susa)'!$D:$D,"*"&amp;$CN25&amp;"*",'Trial Balance (Susa)'!T:T)/1000</f>
        <v>85.911919999999995</v>
      </c>
      <c r="AB25" s="36">
        <f>SUMIF('Trial Balance (Susa)'!$D:$D,"*"&amp;$CN25&amp;"*",'Trial Balance (Susa)'!U:U)/1000</f>
        <v>77.943820000000002</v>
      </c>
      <c r="AC25" s="36">
        <f>SUMIF('Trial Balance (Susa)'!$D:$D,"*"&amp;$CN25&amp;"*",'Trial Balance (Susa)'!V:V)/1000</f>
        <v>65.903960000000012</v>
      </c>
      <c r="AD25" s="36">
        <f>SUMIF('Trial Balance (Susa)'!$D:$D,"*"&amp;$CN25&amp;"*",'Trial Balance (Susa)'!W:W)/1000</f>
        <v>92.195220000000006</v>
      </c>
      <c r="AE25" s="36">
        <f>SUMIF('Trial Balance (Susa)'!$D:$D,"*"&amp;$CN25&amp;"*",'Trial Balance (Susa)'!X:X)/1000</f>
        <v>95.571039999999996</v>
      </c>
      <c r="AF25" s="36">
        <f>SUMIF('Trial Balance (Susa)'!$D:$D,"*"&amp;$CN25&amp;"*",'Trial Balance (Susa)'!Y:Y)/1000</f>
        <v>87.22299000000001</v>
      </c>
      <c r="AG25" s="36">
        <f>SUMIF('Trial Balance (Susa)'!$D:$D,"*"&amp;$CN25&amp;"*",'Trial Balance (Susa)'!Z:Z)/1000</f>
        <v>84.672060000000002</v>
      </c>
      <c r="AH25" s="36">
        <f>SUMIF('Trial Balance (Susa)'!$D:$D,"*"&amp;$CN25&amp;"*",'Trial Balance (Susa)'!AA:AA)/1000</f>
        <v>74.920050000000003</v>
      </c>
      <c r="AI25" s="36">
        <f>SUMIF('Trial Balance (Susa)'!$D:$D,"*"&amp;$CN25&amp;"*",'Trial Balance (Susa)'!AB:AB)/1000</f>
        <v>78.408419999999992</v>
      </c>
      <c r="AJ25" s="36">
        <f>SUMIF('Trial Balance (Susa)'!$D:$D,"*"&amp;$CN25&amp;"*",'Trial Balance (Susa)'!AC:AC)/1000</f>
        <v>75.216160000000002</v>
      </c>
      <c r="AK25" s="36">
        <f>SUMIF('Trial Balance (Susa)'!$D:$D,"*"&amp;$CN25&amp;"*",'Trial Balance (Susa)'!AD:AD)/1000</f>
        <v>66.271919999999994</v>
      </c>
      <c r="AL25" s="36">
        <f>SUMIF('Trial Balance (Susa)'!$D:$D,"*"&amp;$CN25&amp;"*",'Trial Balance (Susa)'!AE:AE)/1000</f>
        <v>56.557029999999997</v>
      </c>
      <c r="AM25" s="36">
        <f>SUMIF('Trial Balance (Susa)'!$D:$D,"*"&amp;$CN25&amp;"*",'Trial Balance (Susa)'!AF:AF)/1000</f>
        <v>80.951070000000001</v>
      </c>
      <c r="AN25" s="36">
        <f>SUMIF('Trial Balance (Susa)'!$D:$D,"*"&amp;$CN25&amp;"*",'Trial Balance (Susa)'!AG:AG)/1000</f>
        <v>71.33189999999999</v>
      </c>
      <c r="AO25" s="36">
        <f>SUMIF('Trial Balance (Susa)'!$D:$D,"*"&amp;$CN25&amp;"*",'Trial Balance (Susa)'!AH:AH)/1000</f>
        <v>62.927860000000003</v>
      </c>
      <c r="AP25" s="36">
        <f>SUMIF('Trial Balance (Susa)'!$D:$D,"*"&amp;$CN25&amp;"*",'Trial Balance (Susa)'!AI:AI)/1000</f>
        <v>132.47048999999998</v>
      </c>
      <c r="AQ25" s="36">
        <f>SUMIF('Trial Balance (Susa)'!$D:$D,"*"&amp;$CN25&amp;"*",'Trial Balance (Susa)'!AJ:AJ)/1000</f>
        <v>122.8878</v>
      </c>
      <c r="AR25" s="36">
        <f>SUMIF('Trial Balance (Susa)'!$D:$D,"*"&amp;$CN25&amp;"*",'Trial Balance (Susa)'!AK:AK)/1000</f>
        <v>111.71541000000001</v>
      </c>
      <c r="AS25" s="36">
        <f>SUMIF('Trial Balance (Susa)'!$D:$D,"*"&amp;$CN25&amp;"*",'Trial Balance (Susa)'!AL:AL)/1000</f>
        <v>110.1069</v>
      </c>
      <c r="AT25" s="36">
        <f>SUMIF('Trial Balance (Susa)'!$D:$D,"*"&amp;$CN25&amp;"*",'Trial Balance (Susa)'!AM:AM)/1000</f>
        <v>100.51752</v>
      </c>
      <c r="AU25" s="36">
        <f>SUMIF('Trial Balance (Susa)'!$D:$D,"*"&amp;$CN25&amp;"*",'Trial Balance (Susa)'!AN:AN)/1000</f>
        <v>93.14182000000001</v>
      </c>
      <c r="AV25" s="36">
        <f>SUMIF('Trial Balance (Susa)'!$D:$D,"*"&amp;$CN25&amp;"*",'Trial Balance (Susa)'!AO:AO)/1000</f>
        <v>83.621369999999999</v>
      </c>
      <c r="AW25" s="36">
        <f>SUMIF('Trial Balance (Susa)'!$D:$D,"*"&amp;$CN25&amp;"*",'Trial Balance (Susa)'!AP:AP)/1000</f>
        <v>78.10284</v>
      </c>
      <c r="AX25" s="36">
        <f>SUMIF('Trial Balance (Susa)'!$D:$D,"*"&amp;$CN25&amp;"*",'Trial Balance (Susa)'!AQ:AQ)/1000</f>
        <v>66.908600000000007</v>
      </c>
      <c r="AY25" s="36">
        <f>SUMIF('Trial Balance (Susa)'!$D:$D,"*"&amp;$CN25&amp;"*",'Trial Balance (Susa)'!AR:AR)/1000</f>
        <v>65.284930000000003</v>
      </c>
      <c r="AZ25" s="36">
        <f>SUMIF('Trial Balance (Susa)'!$D:$D,"*"&amp;$CN25&amp;"*",'Trial Balance (Susa)'!AS:AS)/1000</f>
        <v>57.412239999999997</v>
      </c>
      <c r="BA25" s="36">
        <f>SUMIF('Trial Balance (Susa)'!$D:$D,"*"&amp;$CN25&amp;"*",'Trial Balance (Susa)'!AT:AT)/1000</f>
        <v>51.301449999999996</v>
      </c>
      <c r="BB25" s="278"/>
      <c r="BC25" s="278"/>
      <c r="BD25" s="278"/>
      <c r="BE25" s="278"/>
      <c r="BF25" s="278"/>
      <c r="BG25" s="278"/>
      <c r="BH25" s="278"/>
      <c r="BI25" s="278"/>
      <c r="BJ25" s="278"/>
      <c r="BK25" s="278"/>
      <c r="BL25" s="278"/>
      <c r="BM25" s="278"/>
      <c r="BN25" s="278"/>
      <c r="BO25" s="278"/>
      <c r="BP25" s="278"/>
      <c r="BQ25" s="278"/>
      <c r="BR25" s="278"/>
      <c r="BS25" s="278"/>
      <c r="BT25" s="278"/>
      <c r="BU25" s="278"/>
      <c r="BV25" s="278"/>
      <c r="BW25" s="278"/>
      <c r="BX25" s="278"/>
      <c r="BY25" s="278"/>
      <c r="BZ25" s="278"/>
      <c r="CA25" s="278"/>
      <c r="CB25" s="278"/>
      <c r="CC25" s="278"/>
      <c r="CD25" s="278"/>
      <c r="CE25" s="278"/>
      <c r="CF25" s="278"/>
      <c r="CG25" s="278"/>
      <c r="CH25" s="278"/>
      <c r="CI25" s="278"/>
      <c r="CJ25" s="278"/>
      <c r="CK25" s="278"/>
      <c r="CL25" s="101"/>
      <c r="CN25" s="364" t="str">
        <f>'Lead NA'!P25</f>
        <v>/working capital/other working capital/prepaid expenses</v>
      </c>
    </row>
    <row r="26" spans="1:92" s="254" customFormat="1" ht="11.45" hidden="1" customHeight="1" outlineLevel="1" x14ac:dyDescent="0.2">
      <c r="A26" s="30"/>
      <c r="B26" s="101"/>
      <c r="C26" s="37" t="str">
        <f>'Lead NA'!C26</f>
        <v>Geleistete Anzahlung</v>
      </c>
      <c r="D26" s="37" t="str">
        <f>'Lead NA'!D26</f>
        <v>Receivables from affiliated/ participating companies</v>
      </c>
      <c r="E26" s="36">
        <f>'Lead NA'!E26</f>
        <v>0</v>
      </c>
      <c r="F26" s="36"/>
      <c r="G26" s="36"/>
      <c r="H26" s="36"/>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278"/>
      <c r="AV26" s="278"/>
      <c r="AW26" s="278"/>
      <c r="AX26" s="278"/>
      <c r="AY26" s="278"/>
      <c r="AZ26" s="278"/>
      <c r="BA26" s="278"/>
      <c r="BB26" s="278"/>
      <c r="BC26" s="278"/>
      <c r="BD26" s="278"/>
      <c r="BE26" s="278"/>
      <c r="BF26" s="278"/>
      <c r="BG26" s="278"/>
      <c r="BH26" s="278"/>
      <c r="BI26" s="278"/>
      <c r="BJ26" s="278"/>
      <c r="BK26" s="278"/>
      <c r="BL26" s="278"/>
      <c r="BM26" s="278"/>
      <c r="BN26" s="278"/>
      <c r="BO26" s="278"/>
      <c r="BP26" s="278"/>
      <c r="BQ26" s="278"/>
      <c r="BR26" s="278"/>
      <c r="BS26" s="278"/>
      <c r="BT26" s="278"/>
      <c r="BU26" s="278"/>
      <c r="BV26" s="278"/>
      <c r="BW26" s="278"/>
      <c r="BX26" s="278"/>
      <c r="BY26" s="278"/>
      <c r="BZ26" s="278"/>
      <c r="CA26" s="278"/>
      <c r="CB26" s="278"/>
      <c r="CC26" s="278"/>
      <c r="CD26" s="278"/>
      <c r="CE26" s="278"/>
      <c r="CF26" s="278"/>
      <c r="CG26" s="278"/>
      <c r="CH26" s="278"/>
      <c r="CI26" s="278"/>
      <c r="CJ26" s="278"/>
      <c r="CK26" s="278"/>
      <c r="CL26" s="101"/>
      <c r="CN26" s="364" t="s">
        <v>751</v>
      </c>
    </row>
    <row r="27" spans="1:92" s="254" customFormat="1" ht="11.45" hidden="1" customHeight="1" outlineLevel="1" x14ac:dyDescent="0.2">
      <c r="A27" s="30"/>
      <c r="B27" s="101"/>
      <c r="C27" s="37" t="e">
        <f>'Lead NA'!#REF!</f>
        <v>#REF!</v>
      </c>
      <c r="D27" s="37" t="e">
        <f>'Lead NA'!#REF!</f>
        <v>#REF!</v>
      </c>
      <c r="E27" s="36" t="e">
        <f>'Lead NA'!#REF!</f>
        <v>#REF!</v>
      </c>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278"/>
      <c r="AV27" s="278"/>
      <c r="AW27" s="278"/>
      <c r="AX27" s="278"/>
      <c r="AY27" s="278"/>
      <c r="AZ27" s="278"/>
      <c r="BA27" s="278"/>
      <c r="BB27" s="278"/>
      <c r="BC27" s="278"/>
      <c r="BD27" s="278"/>
      <c r="BE27" s="278"/>
      <c r="BF27" s="278"/>
      <c r="BG27" s="278"/>
      <c r="BH27" s="278"/>
      <c r="BI27" s="278"/>
      <c r="BJ27" s="278"/>
      <c r="BK27" s="278"/>
      <c r="BL27" s="278"/>
      <c r="BM27" s="278"/>
      <c r="BN27" s="278"/>
      <c r="BO27" s="278"/>
      <c r="BP27" s="278"/>
      <c r="BQ27" s="278"/>
      <c r="BR27" s="278"/>
      <c r="BS27" s="278"/>
      <c r="BT27" s="278"/>
      <c r="BU27" s="278"/>
      <c r="BV27" s="278"/>
      <c r="BW27" s="278"/>
      <c r="BX27" s="278"/>
      <c r="BY27" s="278"/>
      <c r="BZ27" s="278"/>
      <c r="CA27" s="278"/>
      <c r="CB27" s="278"/>
      <c r="CC27" s="278"/>
      <c r="CD27" s="278"/>
      <c r="CE27" s="278"/>
      <c r="CF27" s="278"/>
      <c r="CG27" s="278"/>
      <c r="CH27" s="278"/>
      <c r="CI27" s="278"/>
      <c r="CJ27" s="278"/>
      <c r="CK27" s="278"/>
      <c r="CL27" s="101"/>
      <c r="CN27" s="364" t="s">
        <v>752</v>
      </c>
    </row>
    <row r="28" spans="1:92" s="254" customFormat="1" ht="11.45" hidden="1" customHeight="1" outlineLevel="1" x14ac:dyDescent="0.2">
      <c r="A28" s="30"/>
      <c r="B28" s="101"/>
      <c r="C28" s="37" t="str">
        <f>'Lead NA'!C27</f>
        <v>Dummy 2</v>
      </c>
      <c r="D28" s="37">
        <f>'Lead NA'!D27</f>
        <v>0</v>
      </c>
      <c r="E28" s="36">
        <f>'Lead NA'!E27</f>
        <v>0</v>
      </c>
      <c r="F28" s="36"/>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278"/>
      <c r="AV28" s="278"/>
      <c r="AW28" s="278"/>
      <c r="AX28" s="278"/>
      <c r="AY28" s="278"/>
      <c r="AZ28" s="278"/>
      <c r="BA28" s="278"/>
      <c r="BB28" s="278"/>
      <c r="BC28" s="278"/>
      <c r="BD28" s="278"/>
      <c r="BE28" s="278"/>
      <c r="BF28" s="278"/>
      <c r="BG28" s="278"/>
      <c r="BH28" s="278"/>
      <c r="BI28" s="278"/>
      <c r="BJ28" s="278"/>
      <c r="BK28" s="278"/>
      <c r="BL28" s="278"/>
      <c r="BM28" s="278"/>
      <c r="BN28" s="278"/>
      <c r="BO28" s="278"/>
      <c r="BP28" s="278"/>
      <c r="BQ28" s="278"/>
      <c r="BR28" s="278"/>
      <c r="BS28" s="278"/>
      <c r="BT28" s="278"/>
      <c r="BU28" s="278"/>
      <c r="BV28" s="278"/>
      <c r="BW28" s="278"/>
      <c r="BX28" s="278"/>
      <c r="BY28" s="278"/>
      <c r="BZ28" s="278"/>
      <c r="CA28" s="278"/>
      <c r="CB28" s="278"/>
      <c r="CC28" s="278"/>
      <c r="CD28" s="278"/>
      <c r="CE28" s="278"/>
      <c r="CF28" s="278"/>
      <c r="CG28" s="278"/>
      <c r="CH28" s="278"/>
      <c r="CI28" s="278"/>
      <c r="CJ28" s="278"/>
      <c r="CK28" s="278"/>
      <c r="CL28" s="101"/>
      <c r="CN28" s="364"/>
    </row>
    <row r="29" spans="1:92" s="254" customFormat="1" ht="11.45" hidden="1" customHeight="1" outlineLevel="1" x14ac:dyDescent="0.2">
      <c r="A29" s="30"/>
      <c r="B29" s="101"/>
      <c r="C29" s="37" t="str">
        <f>'Lead NA'!C28</f>
        <v>Dummy 2</v>
      </c>
      <c r="D29" s="37" t="str">
        <f>'Lead NA'!D28</f>
        <v>Dummy 2</v>
      </c>
      <c r="E29" s="36">
        <f>'Lead NA'!E28</f>
        <v>0</v>
      </c>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278"/>
      <c r="AV29" s="278"/>
      <c r="AW29" s="278"/>
      <c r="AX29" s="278"/>
      <c r="AY29" s="278"/>
      <c r="AZ29" s="278"/>
      <c r="BA29" s="278"/>
      <c r="BB29" s="278"/>
      <c r="BC29" s="278"/>
      <c r="BD29" s="278"/>
      <c r="BE29" s="278"/>
      <c r="BF29" s="278"/>
      <c r="BG29" s="278"/>
      <c r="BH29" s="278"/>
      <c r="BI29" s="278"/>
      <c r="BJ29" s="278"/>
      <c r="BK29" s="278"/>
      <c r="BL29" s="278"/>
      <c r="BM29" s="278"/>
      <c r="BN29" s="278"/>
      <c r="BO29" s="278"/>
      <c r="BP29" s="278"/>
      <c r="BQ29" s="278"/>
      <c r="BR29" s="278"/>
      <c r="BS29" s="278"/>
      <c r="BT29" s="278"/>
      <c r="BU29" s="278"/>
      <c r="BV29" s="278"/>
      <c r="BW29" s="278"/>
      <c r="BX29" s="278"/>
      <c r="BY29" s="278"/>
      <c r="BZ29" s="278"/>
      <c r="CA29" s="278"/>
      <c r="CB29" s="278"/>
      <c r="CC29" s="278"/>
      <c r="CD29" s="278"/>
      <c r="CE29" s="278"/>
      <c r="CF29" s="278"/>
      <c r="CG29" s="278"/>
      <c r="CH29" s="278"/>
      <c r="CI29" s="278"/>
      <c r="CJ29" s="278"/>
      <c r="CK29" s="278"/>
      <c r="CL29" s="101"/>
      <c r="CN29" s="364"/>
    </row>
    <row r="30" spans="1:92" s="254" customFormat="1" ht="11.45" hidden="1" customHeight="1" outlineLevel="1" x14ac:dyDescent="0.2">
      <c r="A30" s="30"/>
      <c r="B30" s="101"/>
      <c r="C30" s="37" t="str">
        <f>'Lead NA'!C29</f>
        <v>Dummy 3</v>
      </c>
      <c r="D30" s="37" t="str">
        <f>'Lead NA'!D29</f>
        <v>Dummy 3</v>
      </c>
      <c r="E30" s="36">
        <f>'Lead NA'!E29</f>
        <v>0</v>
      </c>
      <c r="F30" s="36"/>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278"/>
      <c r="AV30" s="278"/>
      <c r="AW30" s="278"/>
      <c r="AX30" s="278"/>
      <c r="AY30" s="278"/>
      <c r="AZ30" s="278"/>
      <c r="BA30" s="278"/>
      <c r="BB30" s="278"/>
      <c r="BC30" s="278"/>
      <c r="BD30" s="278"/>
      <c r="BE30" s="278"/>
      <c r="BF30" s="278"/>
      <c r="BG30" s="278"/>
      <c r="BH30" s="278"/>
      <c r="BI30" s="278"/>
      <c r="BJ30" s="278"/>
      <c r="BK30" s="278"/>
      <c r="BL30" s="278"/>
      <c r="BM30" s="278"/>
      <c r="BN30" s="278"/>
      <c r="BO30" s="278"/>
      <c r="BP30" s="278"/>
      <c r="BQ30" s="278"/>
      <c r="BR30" s="278"/>
      <c r="BS30" s="278"/>
      <c r="BT30" s="278"/>
      <c r="BU30" s="278"/>
      <c r="BV30" s="278"/>
      <c r="BW30" s="278"/>
      <c r="BX30" s="278"/>
      <c r="BY30" s="278"/>
      <c r="BZ30" s="278"/>
      <c r="CA30" s="278"/>
      <c r="CB30" s="278"/>
      <c r="CC30" s="278"/>
      <c r="CD30" s="278"/>
      <c r="CE30" s="278"/>
      <c r="CF30" s="278"/>
      <c r="CG30" s="278"/>
      <c r="CH30" s="278"/>
      <c r="CI30" s="278"/>
      <c r="CJ30" s="278"/>
      <c r="CK30" s="278"/>
      <c r="CL30" s="101"/>
      <c r="CN30" s="364"/>
    </row>
    <row r="31" spans="1:92" s="378" customFormat="1" ht="11.45" customHeight="1" collapsed="1" x14ac:dyDescent="0.2">
      <c r="A31" s="375"/>
      <c r="B31" s="101"/>
      <c r="C31" s="155" t="str">
        <f>'Lead NA'!C30</f>
        <v>Sonstige Aktiva</v>
      </c>
      <c r="D31" s="155" t="str">
        <f>'Lead NA'!D30</f>
        <v>Other assets</v>
      </c>
      <c r="E31" s="154" t="e">
        <f t="shared" ref="E31:AK31" si="6">SUM(E24:E30)</f>
        <v>#REF!</v>
      </c>
      <c r="F31" s="154">
        <f t="shared" si="6"/>
        <v>0</v>
      </c>
      <c r="G31" s="154">
        <f t="shared" si="6"/>
        <v>0</v>
      </c>
      <c r="H31" s="154">
        <f t="shared" si="6"/>
        <v>0</v>
      </c>
      <c r="I31" s="154">
        <f t="shared" si="6"/>
        <v>0</v>
      </c>
      <c r="J31" s="154">
        <f t="shared" si="6"/>
        <v>0</v>
      </c>
      <c r="K31" s="154">
        <f t="shared" si="6"/>
        <v>0</v>
      </c>
      <c r="L31" s="154">
        <f t="shared" si="6"/>
        <v>0</v>
      </c>
      <c r="M31" s="154">
        <f t="shared" si="6"/>
        <v>0</v>
      </c>
      <c r="N31" s="154">
        <f t="shared" si="6"/>
        <v>0</v>
      </c>
      <c r="O31" s="154">
        <f t="shared" si="6"/>
        <v>0</v>
      </c>
      <c r="P31" s="154">
        <f t="shared" si="6"/>
        <v>0</v>
      </c>
      <c r="Q31" s="154">
        <f t="shared" si="6"/>
        <v>63.347909999999999</v>
      </c>
      <c r="R31" s="154">
        <f t="shared" si="6"/>
        <v>220.54348999999996</v>
      </c>
      <c r="S31" s="154">
        <f t="shared" si="6"/>
        <v>63.04551</v>
      </c>
      <c r="T31" s="154">
        <f t="shared" si="6"/>
        <v>77.299880000000002</v>
      </c>
      <c r="U31" s="154">
        <f t="shared" si="6"/>
        <v>71.904750000000007</v>
      </c>
      <c r="V31" s="154">
        <f t="shared" si="6"/>
        <v>75.786439999999999</v>
      </c>
      <c r="W31" s="154">
        <f t="shared" si="6"/>
        <v>113.08181</v>
      </c>
      <c r="X31" s="154">
        <f t="shared" si="6"/>
        <v>100.15707</v>
      </c>
      <c r="Y31" s="154">
        <f t="shared" si="6"/>
        <v>91.129220000000018</v>
      </c>
      <c r="Z31" s="154">
        <f t="shared" si="6"/>
        <v>85.59675</v>
      </c>
      <c r="AA31" s="154">
        <f t="shared" si="6"/>
        <v>106.98948999999999</v>
      </c>
      <c r="AB31" s="154">
        <f t="shared" si="6"/>
        <v>96.465590000000006</v>
      </c>
      <c r="AC31" s="154">
        <f t="shared" si="6"/>
        <v>362.41881999999998</v>
      </c>
      <c r="AD31" s="154">
        <f t="shared" si="6"/>
        <v>383.09658000000002</v>
      </c>
      <c r="AE31" s="154">
        <f t="shared" si="6"/>
        <v>385.05032</v>
      </c>
      <c r="AF31" s="154">
        <f t="shared" si="6"/>
        <v>284.15127000000001</v>
      </c>
      <c r="AG31" s="154">
        <f t="shared" si="6"/>
        <v>279.66658999999999</v>
      </c>
      <c r="AH31" s="154">
        <f t="shared" si="6"/>
        <v>275.75932999999998</v>
      </c>
      <c r="AI31" s="154">
        <f t="shared" si="6"/>
        <v>277.28069999999997</v>
      </c>
      <c r="AJ31" s="154">
        <f t="shared" si="6"/>
        <v>276.84343999999999</v>
      </c>
      <c r="AK31" s="154">
        <f t="shared" si="6"/>
        <v>267.78219999999999</v>
      </c>
      <c r="AL31" s="154">
        <f t="shared" ref="AL31:BQ31" si="7">SUM(AL24:AL30)</f>
        <v>259.99578999999994</v>
      </c>
      <c r="AM31" s="154">
        <f t="shared" si="7"/>
        <v>285.12302999999997</v>
      </c>
      <c r="AN31" s="154">
        <f t="shared" si="7"/>
        <v>272.62422000000004</v>
      </c>
      <c r="AO31" s="154">
        <f t="shared" si="7"/>
        <v>376.51312000000001</v>
      </c>
      <c r="AP31" s="154">
        <f t="shared" si="7"/>
        <v>297.61024999999995</v>
      </c>
      <c r="AQ31" s="154">
        <f t="shared" si="7"/>
        <v>212.23293000000001</v>
      </c>
      <c r="AR31" s="154">
        <f t="shared" si="7"/>
        <v>203.47329000000002</v>
      </c>
      <c r="AS31" s="154">
        <f t="shared" si="7"/>
        <v>262.8329</v>
      </c>
      <c r="AT31" s="154">
        <f t="shared" si="7"/>
        <v>252.86363</v>
      </c>
      <c r="AU31" s="386">
        <f t="shared" si="7"/>
        <v>246.17887000000002</v>
      </c>
      <c r="AV31" s="386">
        <f t="shared" si="7"/>
        <v>236.21301999999997</v>
      </c>
      <c r="AW31" s="386">
        <f t="shared" si="7"/>
        <v>230.31049000000002</v>
      </c>
      <c r="AX31" s="386">
        <f t="shared" si="7"/>
        <v>159.61625000000001</v>
      </c>
      <c r="AY31" s="386">
        <f t="shared" si="7"/>
        <v>257.99257999999998</v>
      </c>
      <c r="AZ31" s="386">
        <f t="shared" si="7"/>
        <v>120.38703</v>
      </c>
      <c r="BA31" s="386">
        <f t="shared" si="7"/>
        <v>360.39329000000004</v>
      </c>
      <c r="BB31" s="386">
        <f t="shared" si="7"/>
        <v>0</v>
      </c>
      <c r="BC31" s="386">
        <f t="shared" si="7"/>
        <v>0</v>
      </c>
      <c r="BD31" s="386">
        <f t="shared" si="7"/>
        <v>0</v>
      </c>
      <c r="BE31" s="386">
        <f t="shared" si="7"/>
        <v>0</v>
      </c>
      <c r="BF31" s="386">
        <f t="shared" si="7"/>
        <v>0</v>
      </c>
      <c r="BG31" s="386">
        <f t="shared" si="7"/>
        <v>0</v>
      </c>
      <c r="BH31" s="386">
        <f t="shared" si="7"/>
        <v>0</v>
      </c>
      <c r="BI31" s="386">
        <f t="shared" si="7"/>
        <v>0</v>
      </c>
      <c r="BJ31" s="386">
        <f t="shared" si="7"/>
        <v>0</v>
      </c>
      <c r="BK31" s="386">
        <f t="shared" si="7"/>
        <v>0</v>
      </c>
      <c r="BL31" s="386">
        <f t="shared" si="7"/>
        <v>0</v>
      </c>
      <c r="BM31" s="386">
        <f t="shared" si="7"/>
        <v>0</v>
      </c>
      <c r="BN31" s="386">
        <f t="shared" si="7"/>
        <v>0</v>
      </c>
      <c r="BO31" s="386">
        <f t="shared" si="7"/>
        <v>0</v>
      </c>
      <c r="BP31" s="386">
        <f t="shared" si="7"/>
        <v>0</v>
      </c>
      <c r="BQ31" s="386">
        <f t="shared" si="7"/>
        <v>0</v>
      </c>
      <c r="BR31" s="386">
        <f t="shared" ref="BR31:CK31" si="8">SUM(BR24:BR30)</f>
        <v>0</v>
      </c>
      <c r="BS31" s="386">
        <f t="shared" si="8"/>
        <v>0</v>
      </c>
      <c r="BT31" s="386">
        <f t="shared" si="8"/>
        <v>0</v>
      </c>
      <c r="BU31" s="386">
        <f t="shared" si="8"/>
        <v>0</v>
      </c>
      <c r="BV31" s="386">
        <f t="shared" si="8"/>
        <v>0</v>
      </c>
      <c r="BW31" s="386">
        <f t="shared" si="8"/>
        <v>0</v>
      </c>
      <c r="BX31" s="386">
        <f t="shared" si="8"/>
        <v>0</v>
      </c>
      <c r="BY31" s="386">
        <f t="shared" si="8"/>
        <v>0</v>
      </c>
      <c r="BZ31" s="386">
        <f t="shared" si="8"/>
        <v>0</v>
      </c>
      <c r="CA31" s="386">
        <f t="shared" si="8"/>
        <v>0</v>
      </c>
      <c r="CB31" s="386">
        <f t="shared" si="8"/>
        <v>0</v>
      </c>
      <c r="CC31" s="386">
        <f t="shared" si="8"/>
        <v>0</v>
      </c>
      <c r="CD31" s="386">
        <f t="shared" si="8"/>
        <v>0</v>
      </c>
      <c r="CE31" s="386">
        <f t="shared" si="8"/>
        <v>0</v>
      </c>
      <c r="CF31" s="386">
        <f t="shared" si="8"/>
        <v>0</v>
      </c>
      <c r="CG31" s="386">
        <f t="shared" si="8"/>
        <v>0</v>
      </c>
      <c r="CH31" s="386">
        <f t="shared" si="8"/>
        <v>0</v>
      </c>
      <c r="CI31" s="386">
        <f t="shared" si="8"/>
        <v>0</v>
      </c>
      <c r="CJ31" s="386">
        <f t="shared" si="8"/>
        <v>0</v>
      </c>
      <c r="CK31" s="386">
        <f t="shared" si="8"/>
        <v>0</v>
      </c>
      <c r="CL31" s="101"/>
      <c r="CN31" s="334"/>
    </row>
    <row r="32" spans="1:92" s="254" customFormat="1" ht="11.45" customHeight="1" x14ac:dyDescent="0.2">
      <c r="A32" s="30"/>
      <c r="B32" s="101"/>
      <c r="C32" s="37" t="str">
        <f>'Lead NA'!C31</f>
        <v>Sonstige Rückstellungen</v>
      </c>
      <c r="D32" s="37" t="str">
        <f>'Lead NA'!D31</f>
        <v>Other provisions</v>
      </c>
      <c r="E32" s="36">
        <f>'Lead NA'!E31</f>
        <v>0</v>
      </c>
      <c r="F32" s="36"/>
      <c r="G32" s="36"/>
      <c r="H32" s="36"/>
      <c r="I32" s="36"/>
      <c r="J32" s="36"/>
      <c r="K32" s="36"/>
      <c r="L32" s="36"/>
      <c r="M32" s="36"/>
      <c r="N32" s="36"/>
      <c r="O32" s="36"/>
      <c r="P32" s="36"/>
      <c r="Q32" s="36">
        <f>'Lead NA'!F31</f>
        <v>-527.64377999999999</v>
      </c>
      <c r="R32" s="36">
        <f>SUMIF('Trial Balance (Susa)'!$D:$D,"*"&amp;$CN32&amp;"*",'Trial Balance (Susa)'!K:K)/1000</f>
        <v>-542.37211000000002</v>
      </c>
      <c r="S32" s="36">
        <f>SUMIF('Trial Balance (Susa)'!$D:$D,"*"&amp;$CN32&amp;"*",'Trial Balance (Susa)'!L:L)/1000</f>
        <v>-408.45484000000005</v>
      </c>
      <c r="T32" s="36">
        <f>SUMIF('Trial Balance (Susa)'!$D:$D,"*"&amp;$CN32&amp;"*",'Trial Balance (Susa)'!M:M)/1000</f>
        <v>-419.85484000000002</v>
      </c>
      <c r="U32" s="36">
        <f>SUMIF('Trial Balance (Susa)'!$D:$D,"*"&amp;$CN32&amp;"*",'Trial Balance (Susa)'!N:N)/1000</f>
        <v>-431.25484</v>
      </c>
      <c r="V32" s="36">
        <f>SUMIF('Trial Balance (Susa)'!$D:$D,"*"&amp;$CN32&amp;"*",'Trial Balance (Susa)'!O:O)/1000</f>
        <v>-422.68475999999998</v>
      </c>
      <c r="W32" s="36">
        <f>SUMIF('Trial Balance (Susa)'!$D:$D,"*"&amp;$CN32&amp;"*",'Trial Balance (Susa)'!P:P)/1000</f>
        <v>-485.12271000000004</v>
      </c>
      <c r="X32" s="36">
        <f>SUMIF('Trial Balance (Susa)'!$D:$D,"*"&amp;$CN32&amp;"*",'Trial Balance (Susa)'!Q:Q)/1000</f>
        <v>-496.52271000000002</v>
      </c>
      <c r="Y32" s="36">
        <f>SUMIF('Trial Balance (Susa)'!$D:$D,"*"&amp;$CN32&amp;"*",'Trial Balance (Susa)'!R:R)/1000</f>
        <v>-392.18293</v>
      </c>
      <c r="Z32" s="36">
        <f>SUMIF('Trial Balance (Susa)'!$D:$D,"*"&amp;$CN32&amp;"*",'Trial Balance (Susa)'!S:S)/1000</f>
        <v>-453.96371999999997</v>
      </c>
      <c r="AA32" s="36">
        <f>SUMIF('Trial Balance (Susa)'!$D:$D,"*"&amp;$CN32&amp;"*",'Trial Balance (Susa)'!T:T)/1000</f>
        <v>-419.36371999999994</v>
      </c>
      <c r="AB32" s="36">
        <f>SUMIF('Trial Balance (Susa)'!$D:$D,"*"&amp;$CN32&amp;"*",'Trial Balance (Susa)'!U:U)/1000</f>
        <v>-363.70614</v>
      </c>
      <c r="AC32" s="36">
        <f>SUMIF('Trial Balance (Susa)'!$D:$D,"*"&amp;$CN32&amp;"*",'Trial Balance (Susa)'!V:V)/1000</f>
        <v>-424.9074</v>
      </c>
      <c r="AD32" s="36">
        <f>SUMIF('Trial Balance (Susa)'!$D:$D,"*"&amp;$CN32&amp;"*",'Trial Balance (Susa)'!W:W)/1000</f>
        <v>-408.40987999999999</v>
      </c>
      <c r="AE32" s="36">
        <f>SUMIF('Trial Balance (Susa)'!$D:$D,"*"&amp;$CN32&amp;"*",'Trial Balance (Susa)'!X:X)/1000</f>
        <v>-423.34667999999999</v>
      </c>
      <c r="AF32" s="36">
        <f>SUMIF('Trial Balance (Susa)'!$D:$D,"*"&amp;$CN32&amp;"*",'Trial Balance (Susa)'!Y:Y)/1000</f>
        <v>-433.60103000000004</v>
      </c>
      <c r="AG32" s="36">
        <f>SUMIF('Trial Balance (Susa)'!$D:$D,"*"&amp;$CN32&amp;"*",'Trial Balance (Susa)'!Z:Z)/1000</f>
        <v>-448.80103000000003</v>
      </c>
      <c r="AH32" s="36">
        <f>SUMIF('Trial Balance (Susa)'!$D:$D,"*"&amp;$CN32&amp;"*",'Trial Balance (Susa)'!AA:AA)/1000</f>
        <v>-464.00103000000001</v>
      </c>
      <c r="AI32" s="36">
        <f>SUMIF('Trial Balance (Susa)'!$D:$D,"*"&amp;$CN32&amp;"*",'Trial Balance (Susa)'!AB:AB)/1000</f>
        <v>-415.23829999999998</v>
      </c>
      <c r="AJ32" s="36">
        <f>SUMIF('Trial Balance (Susa)'!$D:$D,"*"&amp;$CN32&amp;"*",'Trial Balance (Susa)'!AC:AC)/1000</f>
        <v>-321.25615000000005</v>
      </c>
      <c r="AK32" s="36">
        <f>SUMIF('Trial Balance (Susa)'!$D:$D,"*"&amp;$CN32&amp;"*",'Trial Balance (Susa)'!AD:AD)/1000</f>
        <v>-332.45615000000004</v>
      </c>
      <c r="AL32" s="36">
        <f>SUMIF('Trial Balance (Susa)'!$D:$D,"*"&amp;$CN32&amp;"*",'Trial Balance (Susa)'!AE:AE)/1000</f>
        <v>-347.65615000000003</v>
      </c>
      <c r="AM32" s="36">
        <f>SUMIF('Trial Balance (Susa)'!$D:$D,"*"&amp;$CN32&amp;"*",'Trial Balance (Susa)'!AF:AF)/1000</f>
        <v>-362.85615000000001</v>
      </c>
      <c r="AN32" s="36">
        <f>SUMIF('Trial Balance (Susa)'!$D:$D,"*"&amp;$CN32&amp;"*",'Trial Balance (Susa)'!AG:AG)/1000</f>
        <v>-299.07915000000003</v>
      </c>
      <c r="AO32" s="36">
        <f>SUMIF('Trial Balance (Susa)'!$D:$D,"*"&amp;$CN32&amp;"*",'Trial Balance (Susa)'!AH:AH)/1000</f>
        <v>-228.40294999999998</v>
      </c>
      <c r="AP32" s="36">
        <f>SUMIF('Trial Balance (Susa)'!$D:$D,"*"&amp;$CN32&amp;"*",'Trial Balance (Susa)'!AI:AI)/1000</f>
        <v>-238.05374</v>
      </c>
      <c r="AQ32" s="36">
        <f>SUMIF('Trial Balance (Susa)'!$D:$D,"*"&amp;$CN32&amp;"*",'Trial Balance (Susa)'!AJ:AJ)/1000</f>
        <v>-255.18173999999999</v>
      </c>
      <c r="AR32" s="36">
        <f>SUMIF('Trial Balance (Susa)'!$D:$D,"*"&amp;$CN32&amp;"*",'Trial Balance (Susa)'!AK:AK)/1000</f>
        <v>-272.58173999999997</v>
      </c>
      <c r="AS32" s="36">
        <f>SUMIF('Trial Balance (Susa)'!$D:$D,"*"&amp;$CN32&amp;"*",'Trial Balance (Susa)'!AL:AL)/1000</f>
        <v>-289.98174</v>
      </c>
      <c r="AT32" s="36">
        <f>SUMIF('Trial Balance (Susa)'!$D:$D,"*"&amp;$CN32&amp;"*",'Trial Balance (Susa)'!AM:AM)/1000</f>
        <v>-307.38173999999998</v>
      </c>
      <c r="AU32" s="36">
        <f>SUMIF('Trial Balance (Susa)'!$D:$D,"*"&amp;$CN32&amp;"*",'Trial Balance (Susa)'!AN:AN)/1000</f>
        <v>-274.36365000000001</v>
      </c>
      <c r="AV32" s="36">
        <f>SUMIF('Trial Balance (Susa)'!$D:$D,"*"&amp;$CN32&amp;"*",'Trial Balance (Susa)'!AO:AO)/1000</f>
        <v>-531.04368999999997</v>
      </c>
      <c r="AW32" s="36">
        <f>SUMIF('Trial Balance (Susa)'!$D:$D,"*"&amp;$CN32&amp;"*",'Trial Balance (Susa)'!AP:AP)/1000</f>
        <v>-548.94369000000006</v>
      </c>
      <c r="AX32" s="36">
        <f>SUMIF('Trial Balance (Susa)'!$D:$D,"*"&amp;$CN32&amp;"*",'Trial Balance (Susa)'!AQ:AQ)/1000</f>
        <v>-419.30204000000003</v>
      </c>
      <c r="AY32" s="36">
        <f>SUMIF('Trial Balance (Susa)'!$D:$D,"*"&amp;$CN32&amp;"*",'Trial Balance (Susa)'!AR:AR)/1000</f>
        <v>-321.44478000000004</v>
      </c>
      <c r="AZ32" s="36">
        <f>SUMIF('Trial Balance (Susa)'!$D:$D,"*"&amp;$CN32&amp;"*",'Trial Balance (Susa)'!AS:AS)/1000</f>
        <v>-222.79347000000001</v>
      </c>
      <c r="BA32" s="36">
        <f>SUMIF('Trial Balance (Susa)'!$D:$D,"*"&amp;$CN32&amp;"*",'Trial Balance (Susa)'!AT:AT)/1000</f>
        <v>-428.27366000000001</v>
      </c>
      <c r="BB32" s="278"/>
      <c r="BC32" s="278"/>
      <c r="BD32" s="278"/>
      <c r="BE32" s="278"/>
      <c r="BF32" s="278"/>
      <c r="BG32" s="278"/>
      <c r="BH32" s="278"/>
      <c r="BI32" s="278"/>
      <c r="BJ32" s="278"/>
      <c r="BK32" s="278"/>
      <c r="BL32" s="278"/>
      <c r="BM32" s="278"/>
      <c r="BN32" s="278"/>
      <c r="BO32" s="278"/>
      <c r="BP32" s="278"/>
      <c r="BQ32" s="278"/>
      <c r="BR32" s="278"/>
      <c r="BS32" s="278"/>
      <c r="BT32" s="278"/>
      <c r="BU32" s="278"/>
      <c r="BV32" s="278"/>
      <c r="BW32" s="278"/>
      <c r="BX32" s="278"/>
      <c r="BY32" s="278"/>
      <c r="BZ32" s="278"/>
      <c r="CA32" s="278"/>
      <c r="CB32" s="278"/>
      <c r="CC32" s="278"/>
      <c r="CD32" s="278"/>
      <c r="CE32" s="278"/>
      <c r="CF32" s="278"/>
      <c r="CG32" s="278"/>
      <c r="CH32" s="278"/>
      <c r="CI32" s="278"/>
      <c r="CJ32" s="278"/>
      <c r="CK32" s="278"/>
      <c r="CL32" s="101"/>
      <c r="CN32" s="364" t="str">
        <f>'Lead NA'!P31</f>
        <v>/working capital/other working capital/other provisions</v>
      </c>
    </row>
    <row r="33" spans="1:92" s="254" customFormat="1" ht="11.45" customHeight="1" x14ac:dyDescent="0.2">
      <c r="A33" s="30"/>
      <c r="B33" s="101"/>
      <c r="C33" s="37" t="str">
        <f>'Lead NA'!C32</f>
        <v>Sonstige Verbindlichkeiten</v>
      </c>
      <c r="D33" s="37" t="str">
        <f>'Lead NA'!D32</f>
        <v>Other liabilities</v>
      </c>
      <c r="E33" s="36">
        <f>'Lead NA'!E32</f>
        <v>0</v>
      </c>
      <c r="F33" s="36"/>
      <c r="G33" s="36"/>
      <c r="H33" s="36"/>
      <c r="I33" s="36"/>
      <c r="J33" s="36"/>
      <c r="K33" s="36"/>
      <c r="L33" s="36"/>
      <c r="M33" s="36"/>
      <c r="N33" s="36"/>
      <c r="O33" s="36"/>
      <c r="P33" s="36"/>
      <c r="Q33" s="36">
        <f>'Lead NA'!F32</f>
        <v>-448.46013999999974</v>
      </c>
      <c r="R33" s="36">
        <f>SUMIF('Trial Balance (Susa)'!$D:$D,"*"&amp;$CN33&amp;"*",'Trial Balance (Susa)'!K:K)/1000</f>
        <v>-553.14384999999993</v>
      </c>
      <c r="S33" s="36">
        <f>SUMIF('Trial Balance (Susa)'!$D:$D,"*"&amp;$CN33&amp;"*",'Trial Balance (Susa)'!L:L)/1000</f>
        <v>-576.46845999999994</v>
      </c>
      <c r="T33" s="36">
        <f>SUMIF('Trial Balance (Susa)'!$D:$D,"*"&amp;$CN33&amp;"*",'Trial Balance (Susa)'!M:M)/1000</f>
        <v>-396.82297</v>
      </c>
      <c r="U33" s="36">
        <f>SUMIF('Trial Balance (Susa)'!$D:$D,"*"&amp;$CN33&amp;"*",'Trial Balance (Susa)'!N:N)/1000</f>
        <v>-436.15542999999991</v>
      </c>
      <c r="V33" s="36">
        <f>SUMIF('Trial Balance (Susa)'!$D:$D,"*"&amp;$CN33&amp;"*",'Trial Balance (Susa)'!O:O)/1000</f>
        <v>-260.82657000000017</v>
      </c>
      <c r="W33" s="36">
        <f>SUMIF('Trial Balance (Susa)'!$D:$D,"*"&amp;$CN33&amp;"*",'Trial Balance (Susa)'!P:P)/1000</f>
        <v>-305.45130999999998</v>
      </c>
      <c r="X33" s="36">
        <f>SUMIF('Trial Balance (Susa)'!$D:$D,"*"&amp;$CN33&amp;"*",'Trial Balance (Susa)'!Q:Q)/1000</f>
        <v>-183.49977000000004</v>
      </c>
      <c r="Y33" s="36">
        <f>SUMIF('Trial Balance (Susa)'!$D:$D,"*"&amp;$CN33&amp;"*",'Trial Balance (Susa)'!R:R)/1000</f>
        <v>-213.47584999999967</v>
      </c>
      <c r="Z33" s="36">
        <f>SUMIF('Trial Balance (Susa)'!$D:$D,"*"&amp;$CN33&amp;"*",'Trial Balance (Susa)'!S:S)/1000</f>
        <v>-319.93158000000034</v>
      </c>
      <c r="AA33" s="36">
        <f>SUMIF('Trial Balance (Susa)'!$D:$D,"*"&amp;$CN33&amp;"*",'Trial Balance (Susa)'!T:T)/1000</f>
        <v>-267.62010000000009</v>
      </c>
      <c r="AB33" s="36">
        <f>SUMIF('Trial Balance (Susa)'!$D:$D,"*"&amp;$CN33&amp;"*",'Trial Balance (Susa)'!U:U)/1000</f>
        <v>-270.47440999999992</v>
      </c>
      <c r="AC33" s="36">
        <f>SUMIF('Trial Balance (Susa)'!$D:$D,"*"&amp;$CN33&amp;"*",'Trial Balance (Susa)'!V:V)/1000</f>
        <v>-290.29440999999963</v>
      </c>
      <c r="AD33" s="36">
        <f>SUMIF('Trial Balance (Susa)'!$D:$D,"*"&amp;$CN33&amp;"*",'Trial Balance (Susa)'!W:W)/1000</f>
        <v>-250.93163999999993</v>
      </c>
      <c r="AE33" s="36">
        <f>SUMIF('Trial Balance (Susa)'!$D:$D,"*"&amp;$CN33&amp;"*",'Trial Balance (Susa)'!X:X)/1000</f>
        <v>-307.13808999999998</v>
      </c>
      <c r="AF33" s="36">
        <f>SUMIF('Trial Balance (Susa)'!$D:$D,"*"&amp;$CN33&amp;"*",'Trial Balance (Susa)'!Y:Y)/1000</f>
        <v>-368.4300199999999</v>
      </c>
      <c r="AG33" s="36">
        <f>SUMIF('Trial Balance (Susa)'!$D:$D,"*"&amp;$CN33&amp;"*",'Trial Balance (Susa)'!Z:Z)/1000</f>
        <v>-378.49574999999993</v>
      </c>
      <c r="AH33" s="36">
        <f>SUMIF('Trial Balance (Susa)'!$D:$D,"*"&amp;$CN33&amp;"*",'Trial Balance (Susa)'!AA:AA)/1000</f>
        <v>-324.57330999999976</v>
      </c>
      <c r="AI33" s="36">
        <f>SUMIF('Trial Balance (Susa)'!$D:$D,"*"&amp;$CN33&amp;"*",'Trial Balance (Susa)'!AB:AB)/1000</f>
        <v>-354.67058000000003</v>
      </c>
      <c r="AJ33" s="36">
        <f>SUMIF('Trial Balance (Susa)'!$D:$D,"*"&amp;$CN33&amp;"*",'Trial Balance (Susa)'!AC:AC)/1000</f>
        <v>-311.85389000000009</v>
      </c>
      <c r="AK33" s="36">
        <f>SUMIF('Trial Balance (Susa)'!$D:$D,"*"&amp;$CN33&amp;"*",'Trial Balance (Susa)'!AD:AD)/1000</f>
        <v>-343.85561999999993</v>
      </c>
      <c r="AL33" s="36">
        <f>SUMIF('Trial Balance (Susa)'!$D:$D,"*"&amp;$CN33&amp;"*",'Trial Balance (Susa)'!AE:AE)/1000</f>
        <v>-342.73462000000018</v>
      </c>
      <c r="AM33" s="36">
        <f>SUMIF('Trial Balance (Susa)'!$D:$D,"*"&amp;$CN33&amp;"*",'Trial Balance (Susa)'!AF:AF)/1000</f>
        <v>-297.43407000000008</v>
      </c>
      <c r="AN33" s="36">
        <f>SUMIF('Trial Balance (Susa)'!$D:$D,"*"&amp;$CN33&amp;"*",'Trial Balance (Susa)'!AG:AG)/1000</f>
        <v>-329.54254000000014</v>
      </c>
      <c r="AO33" s="36">
        <f>SUMIF('Trial Balance (Susa)'!$D:$D,"*"&amp;$CN33&amp;"*",'Trial Balance (Susa)'!AH:AH)/1000</f>
        <v>-429.13633000000038</v>
      </c>
      <c r="AP33" s="36">
        <f>SUMIF('Trial Balance (Susa)'!$D:$D,"*"&amp;$CN33&amp;"*",'Trial Balance (Susa)'!AI:AI)/1000</f>
        <v>-342.50287999999995</v>
      </c>
      <c r="AQ33" s="36">
        <f>SUMIF('Trial Balance (Susa)'!$D:$D,"*"&amp;$CN33&amp;"*",'Trial Balance (Susa)'!AJ:AJ)/1000</f>
        <v>-259.89481000000001</v>
      </c>
      <c r="AR33" s="36">
        <f>SUMIF('Trial Balance (Susa)'!$D:$D,"*"&amp;$CN33&amp;"*",'Trial Balance (Susa)'!AK:AK)/1000</f>
        <v>-268.05142000000006</v>
      </c>
      <c r="AS33" s="36">
        <f>SUMIF('Trial Balance (Susa)'!$D:$D,"*"&amp;$CN33&amp;"*",'Trial Balance (Susa)'!AL:AL)/1000</f>
        <v>-302.36256999999989</v>
      </c>
      <c r="AT33" s="36">
        <f>SUMIF('Trial Balance (Susa)'!$D:$D,"*"&amp;$CN33&amp;"*",'Trial Balance (Susa)'!AM:AM)/1000</f>
        <v>-274.68351999999999</v>
      </c>
      <c r="AU33" s="36">
        <f>SUMIF('Trial Balance (Susa)'!$D:$D,"*"&amp;$CN33&amp;"*",'Trial Balance (Susa)'!AN:AN)/1000</f>
        <v>-323.48727999999994</v>
      </c>
      <c r="AV33" s="36">
        <f>SUMIF('Trial Balance (Susa)'!$D:$D,"*"&amp;$CN33&amp;"*",'Trial Balance (Susa)'!AO:AO)/1000</f>
        <v>-324.97914000000009</v>
      </c>
      <c r="AW33" s="36">
        <f>SUMIF('Trial Balance (Susa)'!$D:$D,"*"&amp;$CN33&amp;"*",'Trial Balance (Susa)'!AP:AP)/1000</f>
        <v>-266.94727000000012</v>
      </c>
      <c r="AX33" s="36">
        <f>SUMIF('Trial Balance (Susa)'!$D:$D,"*"&amp;$CN33&amp;"*",'Trial Balance (Susa)'!AQ:AQ)/1000</f>
        <v>-238.78997000000032</v>
      </c>
      <c r="AY33" s="36">
        <f>SUMIF('Trial Balance (Susa)'!$D:$D,"*"&amp;$CN33&amp;"*",'Trial Balance (Susa)'!AR:AR)/1000</f>
        <v>-287.11678000000006</v>
      </c>
      <c r="AZ33" s="36">
        <f>SUMIF('Trial Balance (Susa)'!$D:$D,"*"&amp;$CN33&amp;"*",'Trial Balance (Susa)'!AS:AS)/1000</f>
        <v>-235.19991000000022</v>
      </c>
      <c r="BA33" s="36">
        <f>SUMIF('Trial Balance (Susa)'!$D:$D,"*"&amp;$CN33&amp;"*",'Trial Balance (Susa)'!AT:AT)/1000</f>
        <v>-231.74114</v>
      </c>
      <c r="BB33" s="278"/>
      <c r="BC33" s="278"/>
      <c r="BD33" s="278"/>
      <c r="BE33" s="278"/>
      <c r="BF33" s="278"/>
      <c r="BG33" s="278"/>
      <c r="BH33" s="278"/>
      <c r="BI33" s="278"/>
      <c r="BJ33" s="278"/>
      <c r="BK33" s="278"/>
      <c r="BL33" s="278"/>
      <c r="BM33" s="278"/>
      <c r="BN33" s="278"/>
      <c r="BO33" s="278"/>
      <c r="BP33" s="278"/>
      <c r="BQ33" s="278"/>
      <c r="BR33" s="278"/>
      <c r="BS33" s="278"/>
      <c r="BT33" s="278"/>
      <c r="BU33" s="278"/>
      <c r="BV33" s="278"/>
      <c r="BW33" s="278"/>
      <c r="BX33" s="278"/>
      <c r="BY33" s="278"/>
      <c r="BZ33" s="278"/>
      <c r="CA33" s="278"/>
      <c r="CB33" s="278"/>
      <c r="CC33" s="278"/>
      <c r="CD33" s="278"/>
      <c r="CE33" s="278"/>
      <c r="CF33" s="278"/>
      <c r="CG33" s="278"/>
      <c r="CH33" s="278"/>
      <c r="CI33" s="278"/>
      <c r="CJ33" s="278"/>
      <c r="CK33" s="278"/>
      <c r="CL33" s="101"/>
      <c r="CN33" s="364" t="str">
        <f>'Lead NA'!P32</f>
        <v>/working capital/other working capital/other current liabilities</v>
      </c>
    </row>
    <row r="34" spans="1:92" s="254" customFormat="1" ht="11.45" hidden="1" customHeight="1" outlineLevel="1" x14ac:dyDescent="0.2">
      <c r="A34" s="30"/>
      <c r="B34" s="101"/>
      <c r="C34" s="37" t="str">
        <f>'Lead NA'!C33</f>
        <v>Dummy 1</v>
      </c>
      <c r="D34" s="37" t="str">
        <f>'Lead NA'!D33</f>
        <v>Tax provisions</v>
      </c>
      <c r="E34" s="36">
        <f>'Lead NA'!E33</f>
        <v>0</v>
      </c>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278"/>
      <c r="AV34" s="278"/>
      <c r="AW34" s="278"/>
      <c r="AX34" s="278"/>
      <c r="AY34" s="278"/>
      <c r="AZ34" s="278"/>
      <c r="BA34" s="278"/>
      <c r="BB34" s="278"/>
      <c r="BC34" s="278"/>
      <c r="BD34" s="278"/>
      <c r="BE34" s="278"/>
      <c r="BF34" s="278"/>
      <c r="BG34" s="278"/>
      <c r="BH34" s="278"/>
      <c r="BI34" s="278"/>
      <c r="BJ34" s="278"/>
      <c r="BK34" s="278"/>
      <c r="BL34" s="278"/>
      <c r="BM34" s="278"/>
      <c r="BN34" s="278"/>
      <c r="BO34" s="278"/>
      <c r="BP34" s="278"/>
      <c r="BQ34" s="278"/>
      <c r="BR34" s="278"/>
      <c r="BS34" s="278"/>
      <c r="BT34" s="278"/>
      <c r="BU34" s="278"/>
      <c r="BV34" s="278"/>
      <c r="BW34" s="278"/>
      <c r="BX34" s="278"/>
      <c r="BY34" s="278"/>
      <c r="BZ34" s="278"/>
      <c r="CA34" s="278"/>
      <c r="CB34" s="278"/>
      <c r="CC34" s="278"/>
      <c r="CD34" s="278"/>
      <c r="CE34" s="278"/>
      <c r="CF34" s="278"/>
      <c r="CG34" s="278"/>
      <c r="CH34" s="278"/>
      <c r="CI34" s="278"/>
      <c r="CJ34" s="278"/>
      <c r="CK34" s="278"/>
      <c r="CL34" s="101"/>
      <c r="CN34" s="364" t="s">
        <v>755</v>
      </c>
    </row>
    <row r="35" spans="1:92" s="254" customFormat="1" ht="11.45" hidden="1" customHeight="1" outlineLevel="1" x14ac:dyDescent="0.2">
      <c r="A35" s="30"/>
      <c r="B35" s="101"/>
      <c r="C35" s="37" t="str">
        <f>'Lead NA'!C34</f>
        <v>Dummy 1</v>
      </c>
      <c r="D35" s="37" t="str">
        <f>'Lead NA'!D34</f>
        <v>Liabilities to affiliated/ participating companies</v>
      </c>
      <c r="E35" s="36">
        <f>'Lead NA'!E34</f>
        <v>0</v>
      </c>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278"/>
      <c r="AV35" s="278"/>
      <c r="AW35" s="278"/>
      <c r="AX35" s="278"/>
      <c r="AY35" s="278"/>
      <c r="AZ35" s="278"/>
      <c r="BA35" s="278"/>
      <c r="BB35" s="278"/>
      <c r="BC35" s="278"/>
      <c r="BD35" s="278"/>
      <c r="BE35" s="278"/>
      <c r="BF35" s="278"/>
      <c r="BG35" s="278"/>
      <c r="BH35" s="278"/>
      <c r="BI35" s="278"/>
      <c r="BJ35" s="278"/>
      <c r="BK35" s="278"/>
      <c r="BL35" s="278"/>
      <c r="BM35" s="278"/>
      <c r="BN35" s="278"/>
      <c r="BO35" s="278"/>
      <c r="BP35" s="278"/>
      <c r="BQ35" s="278"/>
      <c r="BR35" s="278"/>
      <c r="BS35" s="278"/>
      <c r="BT35" s="278"/>
      <c r="BU35" s="278"/>
      <c r="BV35" s="278"/>
      <c r="BW35" s="278"/>
      <c r="BX35" s="278"/>
      <c r="BY35" s="278"/>
      <c r="BZ35" s="278"/>
      <c r="CA35" s="278"/>
      <c r="CB35" s="278"/>
      <c r="CC35" s="278"/>
      <c r="CD35" s="278"/>
      <c r="CE35" s="278"/>
      <c r="CF35" s="278"/>
      <c r="CG35" s="278"/>
      <c r="CH35" s="278"/>
      <c r="CI35" s="278"/>
      <c r="CJ35" s="278"/>
      <c r="CK35" s="278"/>
      <c r="CL35" s="101"/>
      <c r="CN35" s="364" t="s">
        <v>756</v>
      </c>
    </row>
    <row r="36" spans="1:92" s="254" customFormat="1" ht="11.45" hidden="1" customHeight="1" outlineLevel="1" x14ac:dyDescent="0.2">
      <c r="A36" s="30"/>
      <c r="B36" s="101"/>
      <c r="C36" s="37" t="str">
        <f>'Lead NA'!C35</f>
        <v>Dummy 1</v>
      </c>
      <c r="D36" s="37" t="str">
        <f>'Lead NA'!D35</f>
        <v>Liabilities to shareholders</v>
      </c>
      <c r="E36" s="36">
        <f>'Lead NA'!E35</f>
        <v>0</v>
      </c>
      <c r="F36" s="36"/>
      <c r="G36" s="36"/>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278"/>
      <c r="AV36" s="278"/>
      <c r="AW36" s="278"/>
      <c r="AX36" s="278"/>
      <c r="AY36" s="278"/>
      <c r="AZ36" s="278"/>
      <c r="BA36" s="278"/>
      <c r="BB36" s="278"/>
      <c r="BC36" s="278"/>
      <c r="BD36" s="278"/>
      <c r="BE36" s="278"/>
      <c r="BF36" s="278"/>
      <c r="BG36" s="278"/>
      <c r="BH36" s="278"/>
      <c r="BI36" s="278"/>
      <c r="BJ36" s="278"/>
      <c r="BK36" s="278"/>
      <c r="BL36" s="278"/>
      <c r="BM36" s="278"/>
      <c r="BN36" s="278"/>
      <c r="BO36" s="278"/>
      <c r="BP36" s="278"/>
      <c r="BQ36" s="278"/>
      <c r="BR36" s="278"/>
      <c r="BS36" s="278"/>
      <c r="BT36" s="278"/>
      <c r="BU36" s="278"/>
      <c r="BV36" s="278"/>
      <c r="BW36" s="278"/>
      <c r="BX36" s="278"/>
      <c r="BY36" s="278"/>
      <c r="BZ36" s="278"/>
      <c r="CA36" s="278"/>
      <c r="CB36" s="278"/>
      <c r="CC36" s="278"/>
      <c r="CD36" s="278"/>
      <c r="CE36" s="278"/>
      <c r="CF36" s="278"/>
      <c r="CG36" s="278"/>
      <c r="CH36" s="278"/>
      <c r="CI36" s="278"/>
      <c r="CJ36" s="278"/>
      <c r="CK36" s="278"/>
      <c r="CL36" s="101"/>
      <c r="CN36" s="364" t="s">
        <v>757</v>
      </c>
    </row>
    <row r="37" spans="1:92" s="254" customFormat="1" ht="11.45" hidden="1" customHeight="1" outlineLevel="1" x14ac:dyDescent="0.2">
      <c r="A37" s="30"/>
      <c r="B37" s="101"/>
      <c r="C37" s="37" t="str">
        <f>'Lead NA'!C36</f>
        <v>Dummy 1</v>
      </c>
      <c r="D37" s="37" t="str">
        <f>'Lead NA'!D36</f>
        <v>Deferred income</v>
      </c>
      <c r="E37" s="36">
        <f>'Lead NA'!E36</f>
        <v>0</v>
      </c>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278"/>
      <c r="AV37" s="278"/>
      <c r="AW37" s="278"/>
      <c r="AX37" s="278"/>
      <c r="AY37" s="278"/>
      <c r="AZ37" s="278"/>
      <c r="BA37" s="278"/>
      <c r="BB37" s="278"/>
      <c r="BC37" s="278"/>
      <c r="BD37" s="278"/>
      <c r="BE37" s="278"/>
      <c r="BF37" s="278"/>
      <c r="BG37" s="278"/>
      <c r="BH37" s="278"/>
      <c r="BI37" s="278"/>
      <c r="BJ37" s="278"/>
      <c r="BK37" s="278"/>
      <c r="BL37" s="278"/>
      <c r="BM37" s="278"/>
      <c r="BN37" s="278"/>
      <c r="BO37" s="278"/>
      <c r="BP37" s="278"/>
      <c r="BQ37" s="278"/>
      <c r="BR37" s="278"/>
      <c r="BS37" s="278"/>
      <c r="BT37" s="278"/>
      <c r="BU37" s="278"/>
      <c r="BV37" s="278"/>
      <c r="BW37" s="278"/>
      <c r="BX37" s="278"/>
      <c r="BY37" s="278"/>
      <c r="BZ37" s="278"/>
      <c r="CA37" s="278"/>
      <c r="CB37" s="278"/>
      <c r="CC37" s="278"/>
      <c r="CD37" s="278"/>
      <c r="CE37" s="278"/>
      <c r="CF37" s="278"/>
      <c r="CG37" s="278"/>
      <c r="CH37" s="278"/>
      <c r="CI37" s="278"/>
      <c r="CJ37" s="278"/>
      <c r="CK37" s="278"/>
      <c r="CL37" s="101"/>
      <c r="CN37" s="364"/>
    </row>
    <row r="38" spans="1:92" s="254" customFormat="1" ht="11.45" hidden="1" customHeight="1" outlineLevel="1" x14ac:dyDescent="0.2">
      <c r="A38" s="30"/>
      <c r="B38" s="101"/>
      <c r="C38" s="37" t="str">
        <f>'Lead NA'!C37</f>
        <v>Dummy 1</v>
      </c>
      <c r="D38" s="37" t="str">
        <f>'Lead NA'!D37</f>
        <v>Dummy 1</v>
      </c>
      <c r="E38" s="36">
        <f>'Lead NA'!E37</f>
        <v>0</v>
      </c>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278"/>
      <c r="AV38" s="278"/>
      <c r="AW38" s="278"/>
      <c r="AX38" s="278"/>
      <c r="AY38" s="278"/>
      <c r="AZ38" s="278"/>
      <c r="BA38" s="278"/>
      <c r="BB38" s="278"/>
      <c r="BC38" s="278"/>
      <c r="BD38" s="278"/>
      <c r="BE38" s="278"/>
      <c r="BF38" s="278"/>
      <c r="BG38" s="278"/>
      <c r="BH38" s="278"/>
      <c r="BI38" s="278"/>
      <c r="BJ38" s="278"/>
      <c r="BK38" s="278"/>
      <c r="BL38" s="278"/>
      <c r="BM38" s="278"/>
      <c r="BN38" s="278"/>
      <c r="BO38" s="278"/>
      <c r="BP38" s="278"/>
      <c r="BQ38" s="278"/>
      <c r="BR38" s="278"/>
      <c r="BS38" s="278"/>
      <c r="BT38" s="278"/>
      <c r="BU38" s="278"/>
      <c r="BV38" s="278"/>
      <c r="BW38" s="278"/>
      <c r="BX38" s="278"/>
      <c r="BY38" s="278"/>
      <c r="BZ38" s="278"/>
      <c r="CA38" s="278"/>
      <c r="CB38" s="278"/>
      <c r="CC38" s="278"/>
      <c r="CD38" s="278"/>
      <c r="CE38" s="278"/>
      <c r="CF38" s="278"/>
      <c r="CG38" s="278"/>
      <c r="CH38" s="278"/>
      <c r="CI38" s="278"/>
      <c r="CJ38" s="278"/>
      <c r="CK38" s="278"/>
      <c r="CL38" s="101"/>
      <c r="CN38" s="364"/>
    </row>
    <row r="39" spans="1:92" s="254" customFormat="1" ht="11.45" hidden="1" customHeight="1" outlineLevel="1" x14ac:dyDescent="0.2">
      <c r="A39" s="30"/>
      <c r="B39" s="101"/>
      <c r="C39" s="37" t="str">
        <f>'Lead NA'!C38</f>
        <v>Dummy 2</v>
      </c>
      <c r="D39" s="37" t="str">
        <f>'Lead NA'!D38</f>
        <v>Dummy 2</v>
      </c>
      <c r="E39" s="36">
        <f>'Lead NA'!E38</f>
        <v>0</v>
      </c>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278"/>
      <c r="AV39" s="278"/>
      <c r="AW39" s="278"/>
      <c r="AX39" s="278"/>
      <c r="AY39" s="278"/>
      <c r="AZ39" s="278"/>
      <c r="BA39" s="278"/>
      <c r="BB39" s="278"/>
      <c r="BC39" s="278"/>
      <c r="BD39" s="278"/>
      <c r="BE39" s="278"/>
      <c r="BF39" s="278"/>
      <c r="BG39" s="278"/>
      <c r="BH39" s="278"/>
      <c r="BI39" s="278"/>
      <c r="BJ39" s="278"/>
      <c r="BK39" s="278"/>
      <c r="BL39" s="278"/>
      <c r="BM39" s="278"/>
      <c r="BN39" s="278"/>
      <c r="BO39" s="278"/>
      <c r="BP39" s="278"/>
      <c r="BQ39" s="278"/>
      <c r="BR39" s="278"/>
      <c r="BS39" s="278"/>
      <c r="BT39" s="278"/>
      <c r="BU39" s="278"/>
      <c r="BV39" s="278"/>
      <c r="BW39" s="278"/>
      <c r="BX39" s="278"/>
      <c r="BY39" s="278"/>
      <c r="BZ39" s="278"/>
      <c r="CA39" s="278"/>
      <c r="CB39" s="278"/>
      <c r="CC39" s="278"/>
      <c r="CD39" s="278"/>
      <c r="CE39" s="278"/>
      <c r="CF39" s="278"/>
      <c r="CG39" s="278"/>
      <c r="CH39" s="278"/>
      <c r="CI39" s="278"/>
      <c r="CJ39" s="278"/>
      <c r="CK39" s="278"/>
      <c r="CL39" s="101"/>
      <c r="CN39" s="364"/>
    </row>
    <row r="40" spans="1:92" s="254" customFormat="1" ht="11.45" hidden="1" customHeight="1" outlineLevel="1" x14ac:dyDescent="0.2">
      <c r="A40" s="30"/>
      <c r="B40" s="101"/>
      <c r="C40" s="37" t="str">
        <f>'Lead NA'!C39</f>
        <v>Dummy 3</v>
      </c>
      <c r="D40" s="37" t="str">
        <f>'Lead NA'!D39</f>
        <v>Dummy 3</v>
      </c>
      <c r="E40" s="36">
        <f>'Lead NA'!E39</f>
        <v>0</v>
      </c>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278"/>
      <c r="AV40" s="278"/>
      <c r="AW40" s="278"/>
      <c r="AX40" s="278"/>
      <c r="AY40" s="278"/>
      <c r="AZ40" s="278"/>
      <c r="BA40" s="278"/>
      <c r="BB40" s="278"/>
      <c r="BC40" s="278"/>
      <c r="BD40" s="278"/>
      <c r="BE40" s="278"/>
      <c r="BF40" s="278"/>
      <c r="BG40" s="278"/>
      <c r="BH40" s="278"/>
      <c r="BI40" s="278"/>
      <c r="BJ40" s="278"/>
      <c r="BK40" s="278"/>
      <c r="BL40" s="278"/>
      <c r="BM40" s="278"/>
      <c r="BN40" s="278"/>
      <c r="BO40" s="278"/>
      <c r="BP40" s="278"/>
      <c r="BQ40" s="278"/>
      <c r="BR40" s="278"/>
      <c r="BS40" s="278"/>
      <c r="BT40" s="278"/>
      <c r="BU40" s="278"/>
      <c r="BV40" s="278"/>
      <c r="BW40" s="278"/>
      <c r="BX40" s="278"/>
      <c r="BY40" s="278"/>
      <c r="BZ40" s="278"/>
      <c r="CA40" s="278"/>
      <c r="CB40" s="278"/>
      <c r="CC40" s="278"/>
      <c r="CD40" s="278"/>
      <c r="CE40" s="278"/>
      <c r="CF40" s="278"/>
      <c r="CG40" s="278"/>
      <c r="CH40" s="278"/>
      <c r="CI40" s="278"/>
      <c r="CJ40" s="278"/>
      <c r="CK40" s="278"/>
      <c r="CL40" s="101"/>
      <c r="CN40" s="364"/>
    </row>
    <row r="41" spans="1:92" s="378" customFormat="1" ht="11.45" customHeight="1" collapsed="1" x14ac:dyDescent="0.2">
      <c r="A41" s="375"/>
      <c r="B41" s="101"/>
      <c r="C41" s="151" t="str">
        <f>'Lead NA'!C40</f>
        <v>Sonstige Passiva</v>
      </c>
      <c r="D41" s="151" t="str">
        <f>'Lead NA'!D40</f>
        <v>Other liabilities</v>
      </c>
      <c r="E41" s="150">
        <f>SUM(E32:E40)</f>
        <v>0</v>
      </c>
      <c r="F41" s="150">
        <f t="shared" ref="F41:AK41" si="9">SUM(F32:F40)</f>
        <v>0</v>
      </c>
      <c r="G41" s="150">
        <f t="shared" si="9"/>
        <v>0</v>
      </c>
      <c r="H41" s="150">
        <f t="shared" si="9"/>
        <v>0</v>
      </c>
      <c r="I41" s="150">
        <f t="shared" si="9"/>
        <v>0</v>
      </c>
      <c r="J41" s="150">
        <f t="shared" si="9"/>
        <v>0</v>
      </c>
      <c r="K41" s="150">
        <f t="shared" si="9"/>
        <v>0</v>
      </c>
      <c r="L41" s="150">
        <f t="shared" si="9"/>
        <v>0</v>
      </c>
      <c r="M41" s="150">
        <f t="shared" si="9"/>
        <v>0</v>
      </c>
      <c r="N41" s="150">
        <f t="shared" si="9"/>
        <v>0</v>
      </c>
      <c r="O41" s="150">
        <f t="shared" si="9"/>
        <v>0</v>
      </c>
      <c r="P41" s="150">
        <f t="shared" si="9"/>
        <v>0</v>
      </c>
      <c r="Q41" s="150">
        <f t="shared" si="9"/>
        <v>-976.10391999999979</v>
      </c>
      <c r="R41" s="150">
        <f t="shared" si="9"/>
        <v>-1095.51596</v>
      </c>
      <c r="S41" s="150">
        <f t="shared" si="9"/>
        <v>-984.92329999999993</v>
      </c>
      <c r="T41" s="150">
        <f t="shared" si="9"/>
        <v>-816.67781000000002</v>
      </c>
      <c r="U41" s="150">
        <f t="shared" si="9"/>
        <v>-867.41026999999985</v>
      </c>
      <c r="V41" s="150">
        <f t="shared" si="9"/>
        <v>-683.51133000000016</v>
      </c>
      <c r="W41" s="150">
        <f t="shared" si="9"/>
        <v>-790.57402000000002</v>
      </c>
      <c r="X41" s="150">
        <f t="shared" si="9"/>
        <v>-680.02248000000009</v>
      </c>
      <c r="Y41" s="150">
        <f t="shared" si="9"/>
        <v>-605.65877999999964</v>
      </c>
      <c r="Z41" s="150">
        <f t="shared" si="9"/>
        <v>-773.89530000000036</v>
      </c>
      <c r="AA41" s="150">
        <f t="shared" si="9"/>
        <v>-686.98382000000004</v>
      </c>
      <c r="AB41" s="150">
        <f t="shared" si="9"/>
        <v>-634.18054999999993</v>
      </c>
      <c r="AC41" s="150">
        <f t="shared" si="9"/>
        <v>-715.20180999999957</v>
      </c>
      <c r="AD41" s="150">
        <f t="shared" si="9"/>
        <v>-659.34151999999995</v>
      </c>
      <c r="AE41" s="150">
        <f t="shared" si="9"/>
        <v>-730.48477000000003</v>
      </c>
      <c r="AF41" s="150">
        <f t="shared" si="9"/>
        <v>-802.03104999999994</v>
      </c>
      <c r="AG41" s="150">
        <f t="shared" si="9"/>
        <v>-827.2967799999999</v>
      </c>
      <c r="AH41" s="150">
        <f t="shared" si="9"/>
        <v>-788.57433999999978</v>
      </c>
      <c r="AI41" s="150">
        <f t="shared" si="9"/>
        <v>-769.90887999999995</v>
      </c>
      <c r="AJ41" s="150">
        <f t="shared" si="9"/>
        <v>-633.11004000000014</v>
      </c>
      <c r="AK41" s="150">
        <f t="shared" si="9"/>
        <v>-676.31177000000002</v>
      </c>
      <c r="AL41" s="150">
        <f t="shared" ref="AL41:BQ41" si="10">SUM(AL32:AL40)</f>
        <v>-690.3907700000002</v>
      </c>
      <c r="AM41" s="150">
        <f t="shared" si="10"/>
        <v>-660.29022000000009</v>
      </c>
      <c r="AN41" s="150">
        <f t="shared" si="10"/>
        <v>-628.62169000000017</v>
      </c>
      <c r="AO41" s="150">
        <f t="shared" si="10"/>
        <v>-657.53928000000042</v>
      </c>
      <c r="AP41" s="150">
        <f t="shared" si="10"/>
        <v>-580.55661999999995</v>
      </c>
      <c r="AQ41" s="150">
        <f t="shared" si="10"/>
        <v>-515.07655</v>
      </c>
      <c r="AR41" s="150">
        <f t="shared" si="10"/>
        <v>-540.63316000000009</v>
      </c>
      <c r="AS41" s="150">
        <f t="shared" si="10"/>
        <v>-592.34430999999995</v>
      </c>
      <c r="AT41" s="150">
        <f t="shared" si="10"/>
        <v>-582.06525999999997</v>
      </c>
      <c r="AU41" s="387">
        <f t="shared" si="10"/>
        <v>-597.85092999999995</v>
      </c>
      <c r="AV41" s="387">
        <f t="shared" si="10"/>
        <v>-856.02283000000011</v>
      </c>
      <c r="AW41" s="387">
        <f t="shared" si="10"/>
        <v>-815.89096000000018</v>
      </c>
      <c r="AX41" s="387">
        <f t="shared" si="10"/>
        <v>-658.0920100000003</v>
      </c>
      <c r="AY41" s="387">
        <f t="shared" si="10"/>
        <v>-608.5615600000001</v>
      </c>
      <c r="AZ41" s="387">
        <f t="shared" si="10"/>
        <v>-457.99338000000023</v>
      </c>
      <c r="BA41" s="387">
        <f t="shared" si="10"/>
        <v>-660.01480000000004</v>
      </c>
      <c r="BB41" s="387">
        <f t="shared" si="10"/>
        <v>0</v>
      </c>
      <c r="BC41" s="387">
        <f t="shared" si="10"/>
        <v>0</v>
      </c>
      <c r="BD41" s="387">
        <f t="shared" si="10"/>
        <v>0</v>
      </c>
      <c r="BE41" s="387">
        <f t="shared" si="10"/>
        <v>0</v>
      </c>
      <c r="BF41" s="387">
        <f t="shared" si="10"/>
        <v>0</v>
      </c>
      <c r="BG41" s="387">
        <f t="shared" si="10"/>
        <v>0</v>
      </c>
      <c r="BH41" s="387">
        <f t="shared" si="10"/>
        <v>0</v>
      </c>
      <c r="BI41" s="387">
        <f t="shared" si="10"/>
        <v>0</v>
      </c>
      <c r="BJ41" s="387">
        <f t="shared" si="10"/>
        <v>0</v>
      </c>
      <c r="BK41" s="387">
        <f t="shared" si="10"/>
        <v>0</v>
      </c>
      <c r="BL41" s="387">
        <f t="shared" si="10"/>
        <v>0</v>
      </c>
      <c r="BM41" s="387">
        <f t="shared" si="10"/>
        <v>0</v>
      </c>
      <c r="BN41" s="387">
        <f t="shared" si="10"/>
        <v>0</v>
      </c>
      <c r="BO41" s="387">
        <f t="shared" si="10"/>
        <v>0</v>
      </c>
      <c r="BP41" s="387">
        <f t="shared" si="10"/>
        <v>0</v>
      </c>
      <c r="BQ41" s="387">
        <f t="shared" si="10"/>
        <v>0</v>
      </c>
      <c r="BR41" s="387">
        <f t="shared" ref="BR41:CK41" si="11">SUM(BR32:BR40)</f>
        <v>0</v>
      </c>
      <c r="BS41" s="387">
        <f t="shared" si="11"/>
        <v>0</v>
      </c>
      <c r="BT41" s="387">
        <f t="shared" si="11"/>
        <v>0</v>
      </c>
      <c r="BU41" s="387">
        <f t="shared" si="11"/>
        <v>0</v>
      </c>
      <c r="BV41" s="387">
        <f t="shared" si="11"/>
        <v>0</v>
      </c>
      <c r="BW41" s="387">
        <f t="shared" si="11"/>
        <v>0</v>
      </c>
      <c r="BX41" s="387">
        <f t="shared" si="11"/>
        <v>0</v>
      </c>
      <c r="BY41" s="387">
        <f t="shared" si="11"/>
        <v>0</v>
      </c>
      <c r="BZ41" s="387">
        <f t="shared" si="11"/>
        <v>0</v>
      </c>
      <c r="CA41" s="387">
        <f t="shared" si="11"/>
        <v>0</v>
      </c>
      <c r="CB41" s="387">
        <f t="shared" si="11"/>
        <v>0</v>
      </c>
      <c r="CC41" s="387">
        <f t="shared" si="11"/>
        <v>0</v>
      </c>
      <c r="CD41" s="387">
        <f t="shared" si="11"/>
        <v>0</v>
      </c>
      <c r="CE41" s="387">
        <f t="shared" si="11"/>
        <v>0</v>
      </c>
      <c r="CF41" s="387">
        <f t="shared" si="11"/>
        <v>0</v>
      </c>
      <c r="CG41" s="387">
        <f t="shared" si="11"/>
        <v>0</v>
      </c>
      <c r="CH41" s="387">
        <f t="shared" si="11"/>
        <v>0</v>
      </c>
      <c r="CI41" s="387">
        <f t="shared" si="11"/>
        <v>0</v>
      </c>
      <c r="CJ41" s="387">
        <f t="shared" si="11"/>
        <v>0</v>
      </c>
      <c r="CK41" s="387">
        <f t="shared" si="11"/>
        <v>0</v>
      </c>
      <c r="CL41" s="101"/>
    </row>
    <row r="42" spans="1:92" s="254" customFormat="1" ht="11.45" customHeight="1" x14ac:dyDescent="0.2">
      <c r="A42" s="30"/>
      <c r="B42" s="101"/>
      <c r="C42" s="272" t="str">
        <f>'Lead NA'!C41</f>
        <v>Other Working Capital</v>
      </c>
      <c r="D42" s="272" t="str">
        <f>'Lead NA'!D41</f>
        <v>Other working capital</v>
      </c>
      <c r="E42" s="147" t="e">
        <f>E41+E31</f>
        <v>#REF!</v>
      </c>
      <c r="F42" s="147">
        <f t="shared" ref="F42:AK42" si="12">F41+F31</f>
        <v>0</v>
      </c>
      <c r="G42" s="147">
        <f t="shared" si="12"/>
        <v>0</v>
      </c>
      <c r="H42" s="147">
        <f t="shared" si="12"/>
        <v>0</v>
      </c>
      <c r="I42" s="147">
        <f t="shared" si="12"/>
        <v>0</v>
      </c>
      <c r="J42" s="147">
        <f t="shared" si="12"/>
        <v>0</v>
      </c>
      <c r="K42" s="147">
        <f t="shared" si="12"/>
        <v>0</v>
      </c>
      <c r="L42" s="147">
        <f t="shared" si="12"/>
        <v>0</v>
      </c>
      <c r="M42" s="147">
        <f t="shared" si="12"/>
        <v>0</v>
      </c>
      <c r="N42" s="147">
        <f t="shared" si="12"/>
        <v>0</v>
      </c>
      <c r="O42" s="147">
        <f t="shared" si="12"/>
        <v>0</v>
      </c>
      <c r="P42" s="147">
        <f t="shared" si="12"/>
        <v>0</v>
      </c>
      <c r="Q42" s="147">
        <f t="shared" si="12"/>
        <v>-912.75600999999983</v>
      </c>
      <c r="R42" s="147">
        <f t="shared" si="12"/>
        <v>-874.97246999999993</v>
      </c>
      <c r="S42" s="147">
        <f t="shared" si="12"/>
        <v>-921.87778999999989</v>
      </c>
      <c r="T42" s="147">
        <f t="shared" si="12"/>
        <v>-739.37792999999999</v>
      </c>
      <c r="U42" s="147">
        <f t="shared" si="12"/>
        <v>-795.50551999999982</v>
      </c>
      <c r="V42" s="147">
        <f t="shared" si="12"/>
        <v>-607.72489000000019</v>
      </c>
      <c r="W42" s="147">
        <f t="shared" si="12"/>
        <v>-677.49221</v>
      </c>
      <c r="X42" s="147">
        <f t="shared" si="12"/>
        <v>-579.86541000000011</v>
      </c>
      <c r="Y42" s="147">
        <f t="shared" si="12"/>
        <v>-514.52955999999961</v>
      </c>
      <c r="Z42" s="147">
        <f t="shared" si="12"/>
        <v>-688.29855000000032</v>
      </c>
      <c r="AA42" s="147">
        <f t="shared" si="12"/>
        <v>-579.99432999999999</v>
      </c>
      <c r="AB42" s="147">
        <f t="shared" si="12"/>
        <v>-537.71495999999991</v>
      </c>
      <c r="AC42" s="147">
        <f t="shared" si="12"/>
        <v>-352.78298999999959</v>
      </c>
      <c r="AD42" s="147">
        <f t="shared" si="12"/>
        <v>-276.24493999999993</v>
      </c>
      <c r="AE42" s="147">
        <f t="shared" si="12"/>
        <v>-345.43445000000003</v>
      </c>
      <c r="AF42" s="147">
        <f t="shared" si="12"/>
        <v>-517.87977999999998</v>
      </c>
      <c r="AG42" s="147">
        <f t="shared" si="12"/>
        <v>-547.63018999999986</v>
      </c>
      <c r="AH42" s="147">
        <f t="shared" si="12"/>
        <v>-512.8150099999998</v>
      </c>
      <c r="AI42" s="147">
        <f t="shared" si="12"/>
        <v>-492.62817999999999</v>
      </c>
      <c r="AJ42" s="147">
        <f t="shared" si="12"/>
        <v>-356.26660000000015</v>
      </c>
      <c r="AK42" s="147">
        <f t="shared" si="12"/>
        <v>-408.52957000000004</v>
      </c>
      <c r="AL42" s="147">
        <f t="shared" ref="AL42:BQ42" si="13">AL41+AL31</f>
        <v>-430.39498000000026</v>
      </c>
      <c r="AM42" s="147">
        <f t="shared" si="13"/>
        <v>-375.16719000000012</v>
      </c>
      <c r="AN42" s="147">
        <f t="shared" si="13"/>
        <v>-355.99747000000013</v>
      </c>
      <c r="AO42" s="147">
        <f t="shared" si="13"/>
        <v>-281.0261600000004</v>
      </c>
      <c r="AP42" s="147">
        <f t="shared" si="13"/>
        <v>-282.94637</v>
      </c>
      <c r="AQ42" s="147">
        <f t="shared" si="13"/>
        <v>-302.84361999999999</v>
      </c>
      <c r="AR42" s="147">
        <f t="shared" si="13"/>
        <v>-337.15987000000007</v>
      </c>
      <c r="AS42" s="147">
        <f t="shared" si="13"/>
        <v>-329.51140999999996</v>
      </c>
      <c r="AT42" s="147">
        <f t="shared" si="13"/>
        <v>-329.20162999999997</v>
      </c>
      <c r="AU42" s="388">
        <f t="shared" si="13"/>
        <v>-351.67205999999993</v>
      </c>
      <c r="AV42" s="388">
        <f t="shared" si="13"/>
        <v>-619.8098100000002</v>
      </c>
      <c r="AW42" s="388">
        <f t="shared" si="13"/>
        <v>-585.5804700000001</v>
      </c>
      <c r="AX42" s="388">
        <f t="shared" si="13"/>
        <v>-498.47576000000026</v>
      </c>
      <c r="AY42" s="388">
        <f t="shared" si="13"/>
        <v>-350.56898000000012</v>
      </c>
      <c r="AZ42" s="388">
        <f t="shared" si="13"/>
        <v>-337.60635000000025</v>
      </c>
      <c r="BA42" s="388">
        <f t="shared" si="13"/>
        <v>-299.62151</v>
      </c>
      <c r="BB42" s="388">
        <f t="shared" si="13"/>
        <v>0</v>
      </c>
      <c r="BC42" s="388">
        <f t="shared" si="13"/>
        <v>0</v>
      </c>
      <c r="BD42" s="388">
        <f t="shared" si="13"/>
        <v>0</v>
      </c>
      <c r="BE42" s="388">
        <f t="shared" si="13"/>
        <v>0</v>
      </c>
      <c r="BF42" s="388">
        <f t="shared" si="13"/>
        <v>0</v>
      </c>
      <c r="BG42" s="388">
        <f t="shared" si="13"/>
        <v>0</v>
      </c>
      <c r="BH42" s="388">
        <f t="shared" si="13"/>
        <v>0</v>
      </c>
      <c r="BI42" s="388">
        <f t="shared" si="13"/>
        <v>0</v>
      </c>
      <c r="BJ42" s="388">
        <f t="shared" si="13"/>
        <v>0</v>
      </c>
      <c r="BK42" s="388">
        <f t="shared" si="13"/>
        <v>0</v>
      </c>
      <c r="BL42" s="388">
        <f t="shared" si="13"/>
        <v>0</v>
      </c>
      <c r="BM42" s="388">
        <f t="shared" si="13"/>
        <v>0</v>
      </c>
      <c r="BN42" s="388">
        <f t="shared" si="13"/>
        <v>0</v>
      </c>
      <c r="BO42" s="388">
        <f t="shared" si="13"/>
        <v>0</v>
      </c>
      <c r="BP42" s="388">
        <f t="shared" si="13"/>
        <v>0</v>
      </c>
      <c r="BQ42" s="388">
        <f t="shared" si="13"/>
        <v>0</v>
      </c>
      <c r="BR42" s="388">
        <f t="shared" ref="BR42:CK42" si="14">BR41+BR31</f>
        <v>0</v>
      </c>
      <c r="BS42" s="388">
        <f t="shared" si="14"/>
        <v>0</v>
      </c>
      <c r="BT42" s="388">
        <f t="shared" si="14"/>
        <v>0</v>
      </c>
      <c r="BU42" s="388">
        <f t="shared" si="14"/>
        <v>0</v>
      </c>
      <c r="BV42" s="388">
        <f t="shared" si="14"/>
        <v>0</v>
      </c>
      <c r="BW42" s="388">
        <f t="shared" si="14"/>
        <v>0</v>
      </c>
      <c r="BX42" s="388">
        <f t="shared" si="14"/>
        <v>0</v>
      </c>
      <c r="BY42" s="388">
        <f t="shared" si="14"/>
        <v>0</v>
      </c>
      <c r="BZ42" s="388">
        <f t="shared" si="14"/>
        <v>0</v>
      </c>
      <c r="CA42" s="388">
        <f t="shared" si="14"/>
        <v>0</v>
      </c>
      <c r="CB42" s="388">
        <f t="shared" si="14"/>
        <v>0</v>
      </c>
      <c r="CC42" s="388">
        <f t="shared" si="14"/>
        <v>0</v>
      </c>
      <c r="CD42" s="388">
        <f t="shared" si="14"/>
        <v>0</v>
      </c>
      <c r="CE42" s="388">
        <f t="shared" si="14"/>
        <v>0</v>
      </c>
      <c r="CF42" s="388">
        <f t="shared" si="14"/>
        <v>0</v>
      </c>
      <c r="CG42" s="388">
        <f t="shared" si="14"/>
        <v>0</v>
      </c>
      <c r="CH42" s="388">
        <f t="shared" si="14"/>
        <v>0</v>
      </c>
      <c r="CI42" s="388">
        <f t="shared" si="14"/>
        <v>0</v>
      </c>
      <c r="CJ42" s="388">
        <f t="shared" si="14"/>
        <v>0</v>
      </c>
      <c r="CK42" s="388">
        <f t="shared" si="14"/>
        <v>0</v>
      </c>
      <c r="CL42" s="101"/>
    </row>
    <row r="43" spans="1:92" s="254" customFormat="1" ht="11.45" customHeight="1" x14ac:dyDescent="0.2">
      <c r="A43" s="30"/>
      <c r="B43" s="101"/>
      <c r="C43" s="168" t="str">
        <f>'Lead NA'!C42</f>
        <v>Net Working Capital</v>
      </c>
      <c r="D43" s="168" t="str">
        <f>'Lead NA'!D42</f>
        <v>Net working capital</v>
      </c>
      <c r="E43" s="144" t="e">
        <f>E42+E23</f>
        <v>#REF!</v>
      </c>
      <c r="F43" s="144">
        <f t="shared" ref="F43:AK43" si="15">F42+F23</f>
        <v>0</v>
      </c>
      <c r="G43" s="144">
        <f t="shared" si="15"/>
        <v>0</v>
      </c>
      <c r="H43" s="144">
        <f t="shared" si="15"/>
        <v>0</v>
      </c>
      <c r="I43" s="144">
        <f t="shared" si="15"/>
        <v>0</v>
      </c>
      <c r="J43" s="144">
        <f t="shared" si="15"/>
        <v>0</v>
      </c>
      <c r="K43" s="144">
        <f t="shared" si="15"/>
        <v>0</v>
      </c>
      <c r="L43" s="144">
        <f t="shared" si="15"/>
        <v>0</v>
      </c>
      <c r="M43" s="144">
        <f t="shared" si="15"/>
        <v>0</v>
      </c>
      <c r="N43" s="144">
        <f t="shared" si="15"/>
        <v>0</v>
      </c>
      <c r="O43" s="144">
        <f t="shared" si="15"/>
        <v>0</v>
      </c>
      <c r="P43" s="144">
        <f t="shared" si="15"/>
        <v>0</v>
      </c>
      <c r="Q43" s="144">
        <f t="shared" si="15"/>
        <v>2018.4414800000002</v>
      </c>
      <c r="R43" s="144">
        <f t="shared" si="15"/>
        <v>1940.8259200000005</v>
      </c>
      <c r="S43" s="144">
        <f t="shared" si="15"/>
        <v>1855.9902200000001</v>
      </c>
      <c r="T43" s="144">
        <f t="shared" si="15"/>
        <v>1636.0301799999997</v>
      </c>
      <c r="U43" s="144">
        <f t="shared" si="15"/>
        <v>1876.6104700000005</v>
      </c>
      <c r="V43" s="144">
        <f t="shared" si="15"/>
        <v>2079.09591</v>
      </c>
      <c r="W43" s="144">
        <f t="shared" si="15"/>
        <v>2587.3261200000002</v>
      </c>
      <c r="X43" s="144">
        <f t="shared" si="15"/>
        <v>2764.6927400000004</v>
      </c>
      <c r="Y43" s="144">
        <f t="shared" si="15"/>
        <v>3338.0251400000011</v>
      </c>
      <c r="Z43" s="144">
        <f t="shared" si="15"/>
        <v>3124.6659699999991</v>
      </c>
      <c r="AA43" s="144">
        <f t="shared" si="15"/>
        <v>3386.0691499999994</v>
      </c>
      <c r="AB43" s="144">
        <f t="shared" si="15"/>
        <v>3827.6881199999993</v>
      </c>
      <c r="AC43" s="144">
        <f t="shared" si="15"/>
        <v>2937.4098900000008</v>
      </c>
      <c r="AD43" s="144">
        <f t="shared" si="15"/>
        <v>2960.3092100000008</v>
      </c>
      <c r="AE43" s="144">
        <f t="shared" si="15"/>
        <v>3325.6613400000001</v>
      </c>
      <c r="AF43" s="144">
        <f t="shared" si="15"/>
        <v>3293.0297</v>
      </c>
      <c r="AG43" s="144">
        <f t="shared" si="15"/>
        <v>3093.9559800000006</v>
      </c>
      <c r="AH43" s="144">
        <f t="shared" si="15"/>
        <v>2802.5631100000001</v>
      </c>
      <c r="AI43" s="144">
        <f t="shared" si="15"/>
        <v>2812.8867999999993</v>
      </c>
      <c r="AJ43" s="144">
        <f t="shared" si="15"/>
        <v>1995.4795799999995</v>
      </c>
      <c r="AK43" s="144">
        <f t="shared" si="15"/>
        <v>2390.3946600000004</v>
      </c>
      <c r="AL43" s="144">
        <f t="shared" ref="AL43:BQ43" si="16">AL42+AL23</f>
        <v>2466.8786700000001</v>
      </c>
      <c r="AM43" s="144">
        <f t="shared" si="16"/>
        <v>3063.2491</v>
      </c>
      <c r="AN43" s="144">
        <f t="shared" si="16"/>
        <v>2781.5463199999999</v>
      </c>
      <c r="AO43" s="144">
        <f t="shared" si="16"/>
        <v>4243.2208300000002</v>
      </c>
      <c r="AP43" s="144">
        <f t="shared" si="16"/>
        <v>3980.0816</v>
      </c>
      <c r="AQ43" s="144">
        <f t="shared" si="16"/>
        <v>4236.5690400000003</v>
      </c>
      <c r="AR43" s="144">
        <f t="shared" si="16"/>
        <v>4366.1775500000003</v>
      </c>
      <c r="AS43" s="144">
        <f t="shared" si="16"/>
        <v>4449.8235999999997</v>
      </c>
      <c r="AT43" s="144">
        <f t="shared" si="16"/>
        <v>4693.0629900000004</v>
      </c>
      <c r="AU43" s="389">
        <f t="shared" si="16"/>
        <v>5055.6697800000002</v>
      </c>
      <c r="AV43" s="389">
        <f t="shared" si="16"/>
        <v>4069.8933399999992</v>
      </c>
      <c r="AW43" s="389">
        <f t="shared" si="16"/>
        <v>4622.2779599999994</v>
      </c>
      <c r="AX43" s="389">
        <f t="shared" si="16"/>
        <v>4634.8256199999996</v>
      </c>
      <c r="AY43" s="389">
        <f t="shared" si="16"/>
        <v>4853.4081500000002</v>
      </c>
      <c r="AZ43" s="389">
        <f t="shared" si="16"/>
        <v>4465.5808100000004</v>
      </c>
      <c r="BA43" s="389">
        <f t="shared" si="16"/>
        <v>3966.1745199999996</v>
      </c>
      <c r="BB43" s="389">
        <f t="shared" si="16"/>
        <v>0</v>
      </c>
      <c r="BC43" s="389">
        <f t="shared" si="16"/>
        <v>0</v>
      </c>
      <c r="BD43" s="389">
        <f t="shared" si="16"/>
        <v>0</v>
      </c>
      <c r="BE43" s="389">
        <f t="shared" si="16"/>
        <v>0</v>
      </c>
      <c r="BF43" s="389">
        <f t="shared" si="16"/>
        <v>0</v>
      </c>
      <c r="BG43" s="389">
        <f t="shared" si="16"/>
        <v>0</v>
      </c>
      <c r="BH43" s="389">
        <f t="shared" si="16"/>
        <v>0</v>
      </c>
      <c r="BI43" s="389">
        <f t="shared" si="16"/>
        <v>0</v>
      </c>
      <c r="BJ43" s="389">
        <f t="shared" si="16"/>
        <v>0</v>
      </c>
      <c r="BK43" s="389">
        <f t="shared" si="16"/>
        <v>0</v>
      </c>
      <c r="BL43" s="389">
        <f t="shared" si="16"/>
        <v>0</v>
      </c>
      <c r="BM43" s="389">
        <f t="shared" si="16"/>
        <v>0</v>
      </c>
      <c r="BN43" s="389">
        <f t="shared" si="16"/>
        <v>0</v>
      </c>
      <c r="BO43" s="389">
        <f t="shared" si="16"/>
        <v>0</v>
      </c>
      <c r="BP43" s="389">
        <f t="shared" si="16"/>
        <v>0</v>
      </c>
      <c r="BQ43" s="389">
        <f t="shared" si="16"/>
        <v>0</v>
      </c>
      <c r="BR43" s="389">
        <f t="shared" ref="BR43:CK43" si="17">BR42+BR23</f>
        <v>0</v>
      </c>
      <c r="BS43" s="389">
        <f t="shared" si="17"/>
        <v>0</v>
      </c>
      <c r="BT43" s="389">
        <f t="shared" si="17"/>
        <v>0</v>
      </c>
      <c r="BU43" s="389">
        <f t="shared" si="17"/>
        <v>0</v>
      </c>
      <c r="BV43" s="389">
        <f t="shared" si="17"/>
        <v>0</v>
      </c>
      <c r="BW43" s="389">
        <f t="shared" si="17"/>
        <v>0</v>
      </c>
      <c r="BX43" s="389">
        <f t="shared" si="17"/>
        <v>0</v>
      </c>
      <c r="BY43" s="389">
        <f t="shared" si="17"/>
        <v>0</v>
      </c>
      <c r="BZ43" s="389">
        <f t="shared" si="17"/>
        <v>0</v>
      </c>
      <c r="CA43" s="389">
        <f t="shared" si="17"/>
        <v>0</v>
      </c>
      <c r="CB43" s="389">
        <f t="shared" si="17"/>
        <v>0</v>
      </c>
      <c r="CC43" s="389">
        <f t="shared" si="17"/>
        <v>0</v>
      </c>
      <c r="CD43" s="389">
        <f t="shared" si="17"/>
        <v>0</v>
      </c>
      <c r="CE43" s="389">
        <f t="shared" si="17"/>
        <v>0</v>
      </c>
      <c r="CF43" s="389">
        <f t="shared" si="17"/>
        <v>0</v>
      </c>
      <c r="CG43" s="389">
        <f t="shared" si="17"/>
        <v>0</v>
      </c>
      <c r="CH43" s="389">
        <f t="shared" si="17"/>
        <v>0</v>
      </c>
      <c r="CI43" s="389">
        <f t="shared" si="17"/>
        <v>0</v>
      </c>
      <c r="CJ43" s="389">
        <f t="shared" si="17"/>
        <v>0</v>
      </c>
      <c r="CK43" s="389">
        <f t="shared" si="17"/>
        <v>0</v>
      </c>
      <c r="CL43" s="101"/>
    </row>
    <row r="44" spans="1:92" s="254" customFormat="1" ht="11.45" customHeight="1" x14ac:dyDescent="0.2">
      <c r="A44" s="30"/>
      <c r="B44" s="101"/>
      <c r="C44" s="37" t="str">
        <f>'Lead NA'!C43</f>
        <v>Liquide Mittel</v>
      </c>
      <c r="D44" s="37" t="str">
        <f>'Lead NA'!D43</f>
        <v>Cash</v>
      </c>
      <c r="E44" s="36">
        <f>'Lead NA'!E43</f>
        <v>0</v>
      </c>
      <c r="F44" s="36"/>
      <c r="G44" s="36"/>
      <c r="H44" s="36"/>
      <c r="I44" s="36"/>
      <c r="J44" s="36"/>
      <c r="K44" s="36"/>
      <c r="L44" s="36"/>
      <c r="M44" s="36"/>
      <c r="N44" s="36"/>
      <c r="O44" s="36"/>
      <c r="P44" s="36"/>
      <c r="Q44" s="36">
        <f>'Lead NA'!F43</f>
        <v>3008.3486599999997</v>
      </c>
      <c r="R44" s="36">
        <f>SUMIF('Trial Balance (Susa)'!$D:$D,"*"&amp;$CN44&amp;"*",'Trial Balance (Susa)'!K:K)/1000</f>
        <v>3046.80222</v>
      </c>
      <c r="S44" s="36">
        <f>SUMIF('Trial Balance (Susa)'!$D:$D,"*"&amp;$CN44&amp;"*",'Trial Balance (Susa)'!L:L)/1000</f>
        <v>2975.2577299999998</v>
      </c>
      <c r="T44" s="36">
        <f>SUMIF('Trial Balance (Susa)'!$D:$D,"*"&amp;$CN44&amp;"*",'Trial Balance (Susa)'!M:M)/1000</f>
        <v>2636.7213400000001</v>
      </c>
      <c r="U44" s="36">
        <f>SUMIF('Trial Balance (Susa)'!$D:$D,"*"&amp;$CN44&amp;"*",'Trial Balance (Susa)'!N:N)/1000</f>
        <v>2548.45885</v>
      </c>
      <c r="V44" s="36">
        <f>SUMIF('Trial Balance (Susa)'!$D:$D,"*"&amp;$CN44&amp;"*",'Trial Balance (Susa)'!O:O)/1000</f>
        <v>2108.0649899999999</v>
      </c>
      <c r="W44" s="36">
        <f>SUMIF('Trial Balance (Susa)'!$D:$D,"*"&amp;$CN44&amp;"*",'Trial Balance (Susa)'!P:P)/1000</f>
        <v>2384.9018300000002</v>
      </c>
      <c r="X44" s="36">
        <f>SUMIF('Trial Balance (Susa)'!$D:$D,"*"&amp;$CN44&amp;"*",'Trial Balance (Susa)'!Q:Q)/1000</f>
        <v>2234.7416800000001</v>
      </c>
      <c r="Y44" s="36">
        <f>SUMIF('Trial Balance (Susa)'!$D:$D,"*"&amp;$CN44&amp;"*",'Trial Balance (Susa)'!R:R)/1000</f>
        <v>2010.48775</v>
      </c>
      <c r="Z44" s="36">
        <f>SUMIF('Trial Balance (Susa)'!$D:$D,"*"&amp;$CN44&amp;"*",'Trial Balance (Susa)'!S:S)/1000</f>
        <v>2160.8007900000002</v>
      </c>
      <c r="AA44" s="36">
        <f>SUMIF('Trial Balance (Susa)'!$D:$D,"*"&amp;$CN44&amp;"*",'Trial Balance (Susa)'!T:T)/1000</f>
        <v>1925.6364999999998</v>
      </c>
      <c r="AB44" s="36">
        <f>SUMIF('Trial Balance (Susa)'!$D:$D,"*"&amp;$CN44&amp;"*",'Trial Balance (Susa)'!U:U)/1000</f>
        <v>1790.6274699999999</v>
      </c>
      <c r="AC44" s="36">
        <f>SUMIF('Trial Balance (Susa)'!$D:$D,"*"&amp;$CN44&amp;"*",'Trial Balance (Susa)'!V:V)/1000</f>
        <v>2715.5673000000002</v>
      </c>
      <c r="AD44" s="36">
        <f>SUMIF('Trial Balance (Susa)'!$D:$D,"*"&amp;$CN44&amp;"*",'Trial Balance (Susa)'!W:W)/1000</f>
        <v>2891.1325000000002</v>
      </c>
      <c r="AE44" s="36">
        <f>SUMIF('Trial Balance (Susa)'!$D:$D,"*"&amp;$CN44&amp;"*",'Trial Balance (Susa)'!X:X)/1000</f>
        <v>2759.4394899999998</v>
      </c>
      <c r="AF44" s="36">
        <f>SUMIF('Trial Balance (Susa)'!$D:$D,"*"&amp;$CN44&amp;"*",'Trial Balance (Susa)'!Y:Y)/1000</f>
        <v>3123.0123799999997</v>
      </c>
      <c r="AG44" s="36">
        <f>SUMIF('Trial Balance (Susa)'!$D:$D,"*"&amp;$CN44&amp;"*",'Trial Balance (Susa)'!Z:Z)/1000</f>
        <v>2307.3159900000001</v>
      </c>
      <c r="AH44" s="36">
        <f>SUMIF('Trial Balance (Susa)'!$D:$D,"*"&amp;$CN44&amp;"*",'Trial Balance (Susa)'!AA:AA)/1000</f>
        <v>2587.5650000000001</v>
      </c>
      <c r="AI44" s="36">
        <f>SUMIF('Trial Balance (Susa)'!$D:$D,"*"&amp;$CN44&amp;"*",'Trial Balance (Susa)'!AB:AB)/1000</f>
        <v>2246.2207399999998</v>
      </c>
      <c r="AJ44" s="36">
        <f>SUMIF('Trial Balance (Susa)'!$D:$D,"*"&amp;$CN44&amp;"*",'Trial Balance (Susa)'!AC:AC)/1000</f>
        <v>2302.9570899999999</v>
      </c>
      <c r="AK44" s="36">
        <f>SUMIF('Trial Balance (Susa)'!$D:$D,"*"&amp;$CN44&amp;"*",'Trial Balance (Susa)'!AD:AD)/1000</f>
        <v>2055.6295100000002</v>
      </c>
      <c r="AL44" s="36">
        <f>SUMIF('Trial Balance (Susa)'!$D:$D,"*"&amp;$CN44&amp;"*",'Trial Balance (Susa)'!AE:AE)/1000</f>
        <v>1633.0420799999999</v>
      </c>
      <c r="AM44" s="36">
        <f>SUMIF('Trial Balance (Susa)'!$D:$D,"*"&amp;$CN44&amp;"*",'Trial Balance (Susa)'!AF:AF)/1000</f>
        <v>1062.2571400000002</v>
      </c>
      <c r="AN44" s="36">
        <f>SUMIF('Trial Balance (Susa)'!$D:$D,"*"&amp;$CN44&amp;"*",'Trial Balance (Susa)'!AG:AG)/1000</f>
        <v>1297.2736800000002</v>
      </c>
      <c r="AO44" s="36">
        <f>SUMIF('Trial Balance (Susa)'!$D:$D,"*"&amp;$CN44&amp;"*",'Trial Balance (Susa)'!AH:AH)/1000</f>
        <v>1004.06084</v>
      </c>
      <c r="AP44" s="36">
        <f>SUMIF('Trial Balance (Susa)'!$D:$D,"*"&amp;$CN44&amp;"*",'Trial Balance (Susa)'!AI:AI)/1000</f>
        <v>1408.1288499999998</v>
      </c>
      <c r="AQ44" s="36">
        <f>SUMIF('Trial Balance (Susa)'!$D:$D,"*"&amp;$CN44&amp;"*",'Trial Balance (Susa)'!AJ:AJ)/1000</f>
        <v>1218.9062300000003</v>
      </c>
      <c r="AR44" s="36">
        <f>SUMIF('Trial Balance (Susa)'!$D:$D,"*"&amp;$CN44&amp;"*",'Trial Balance (Susa)'!AK:AK)/1000</f>
        <v>1048.9010900000001</v>
      </c>
      <c r="AS44" s="36">
        <f>SUMIF('Trial Balance (Susa)'!$D:$D,"*"&amp;$CN44&amp;"*",'Trial Balance (Susa)'!AL:AL)/1000</f>
        <v>1161.74431</v>
      </c>
      <c r="AT44" s="36">
        <f>SUMIF('Trial Balance (Susa)'!$D:$D,"*"&amp;$CN44&amp;"*",'Trial Balance (Susa)'!AM:AM)/1000</f>
        <v>1027.9527399999999</v>
      </c>
      <c r="AU44" s="36">
        <f>SUMIF('Trial Balance (Susa)'!$D:$D,"*"&amp;$CN44&amp;"*",'Trial Balance (Susa)'!AN:AN)/1000</f>
        <v>874.25879000000009</v>
      </c>
      <c r="AV44" s="36">
        <f>SUMIF('Trial Balance (Susa)'!$D:$D,"*"&amp;$CN44&amp;"*",'Trial Balance (Susa)'!AO:AO)/1000</f>
        <v>1707.7809199999999</v>
      </c>
      <c r="AW44" s="36">
        <f>SUMIF('Trial Balance (Susa)'!$D:$D,"*"&amp;$CN44&amp;"*",'Trial Balance (Susa)'!AP:AP)/1000</f>
        <v>1567.8410899999999</v>
      </c>
      <c r="AX44" s="36">
        <f>SUMIF('Trial Balance (Susa)'!$D:$D,"*"&amp;$CN44&amp;"*",'Trial Balance (Susa)'!AQ:AQ)/1000</f>
        <v>1708.9155900000001</v>
      </c>
      <c r="AY44" s="36">
        <f>SUMIF('Trial Balance (Susa)'!$D:$D,"*"&amp;$CN44&amp;"*",'Trial Balance (Susa)'!AR:AR)/1000</f>
        <v>1706.5359200000005</v>
      </c>
      <c r="AZ44" s="36">
        <f>SUMIF('Trial Balance (Susa)'!$D:$D,"*"&amp;$CN44&amp;"*",'Trial Balance (Susa)'!AS:AS)/1000</f>
        <v>1884.1671399999998</v>
      </c>
      <c r="BA44" s="36">
        <f>SUMIF('Trial Balance (Susa)'!$D:$D,"*"&amp;$CN44&amp;"*",'Trial Balance (Susa)'!AT:AT)/1000</f>
        <v>2026.2807</v>
      </c>
      <c r="BB44" s="278"/>
      <c r="BC44" s="278"/>
      <c r="BD44" s="278"/>
      <c r="BE44" s="278"/>
      <c r="BF44" s="278"/>
      <c r="BG44" s="278"/>
      <c r="BH44" s="278"/>
      <c r="BI44" s="278"/>
      <c r="BJ44" s="278"/>
      <c r="BK44" s="278"/>
      <c r="BL44" s="278"/>
      <c r="BM44" s="278"/>
      <c r="BN44" s="278"/>
      <c r="BO44" s="278"/>
      <c r="BP44" s="278"/>
      <c r="BQ44" s="278"/>
      <c r="BR44" s="278"/>
      <c r="BS44" s="278"/>
      <c r="BT44" s="278"/>
      <c r="BU44" s="278"/>
      <c r="BV44" s="278"/>
      <c r="BW44" s="278"/>
      <c r="BX44" s="278"/>
      <c r="BY44" s="278"/>
      <c r="BZ44" s="278"/>
      <c r="CA44" s="278"/>
      <c r="CB44" s="278"/>
      <c r="CC44" s="278"/>
      <c r="CD44" s="278"/>
      <c r="CE44" s="278"/>
      <c r="CF44" s="278"/>
      <c r="CG44" s="278"/>
      <c r="CH44" s="278"/>
      <c r="CI44" s="278"/>
      <c r="CJ44" s="278"/>
      <c r="CK44" s="278"/>
      <c r="CL44" s="101"/>
      <c r="CN44" s="364" t="str">
        <f>'Lead NA'!P43</f>
        <v>/net debt/cash and cash equivalent</v>
      </c>
    </row>
    <row r="45" spans="1:92" s="254" customFormat="1" ht="11.45" customHeight="1" x14ac:dyDescent="0.2">
      <c r="A45" s="30"/>
      <c r="B45" s="101"/>
      <c r="C45" s="37" t="str">
        <f>'Lead NA'!C44</f>
        <v>Verbindlichkeiten ggü.Kreditinstituten</v>
      </c>
      <c r="D45" s="37" t="str">
        <f>'Lead NA'!D44</f>
        <v>Liabilities to banks</v>
      </c>
      <c r="E45" s="36">
        <f>'Lead NA'!E44</f>
        <v>0</v>
      </c>
      <c r="F45" s="36"/>
      <c r="G45" s="36"/>
      <c r="H45" s="36"/>
      <c r="I45" s="36"/>
      <c r="J45" s="36"/>
      <c r="K45" s="36"/>
      <c r="L45" s="36"/>
      <c r="M45" s="36"/>
      <c r="N45" s="36"/>
      <c r="O45" s="36"/>
      <c r="P45" s="36"/>
      <c r="Q45" s="36">
        <f>'Lead NA'!F44</f>
        <v>0</v>
      </c>
      <c r="R45" s="36">
        <f>SUMIF('Trial Balance (Susa)'!$D:$D,"*"&amp;$CN45&amp;"*",'Trial Balance (Susa)'!K:K)/1000</f>
        <v>0</v>
      </c>
      <c r="S45" s="36">
        <f>SUMIF('Trial Balance (Susa)'!$D:$D,"*"&amp;$CN45&amp;"*",'Trial Balance (Susa)'!L:L)/1000</f>
        <v>0</v>
      </c>
      <c r="T45" s="36">
        <f>SUMIF('Trial Balance (Susa)'!$D:$D,"*"&amp;$CN45&amp;"*",'Trial Balance (Susa)'!M:M)/1000</f>
        <v>0</v>
      </c>
      <c r="U45" s="36">
        <f>SUMIF('Trial Balance (Susa)'!$D:$D,"*"&amp;$CN45&amp;"*",'Trial Balance (Susa)'!N:N)/1000</f>
        <v>0</v>
      </c>
      <c r="V45" s="36">
        <f>SUMIF('Trial Balance (Susa)'!$D:$D,"*"&amp;$CN45&amp;"*",'Trial Balance (Susa)'!O:O)/1000</f>
        <v>0</v>
      </c>
      <c r="W45" s="36">
        <f>SUMIF('Trial Balance (Susa)'!$D:$D,"*"&amp;$CN45&amp;"*",'Trial Balance (Susa)'!P:P)/1000</f>
        <v>0</v>
      </c>
      <c r="X45" s="36">
        <f>SUMIF('Trial Balance (Susa)'!$D:$D,"*"&amp;$CN45&amp;"*",'Trial Balance (Susa)'!Q:Q)/1000</f>
        <v>0</v>
      </c>
      <c r="Y45" s="36">
        <f>SUMIF('Trial Balance (Susa)'!$D:$D,"*"&amp;$CN45&amp;"*",'Trial Balance (Susa)'!R:R)/1000</f>
        <v>0</v>
      </c>
      <c r="Z45" s="36">
        <f>SUMIF('Trial Balance (Susa)'!$D:$D,"*"&amp;$CN45&amp;"*",'Trial Balance (Susa)'!S:S)/1000</f>
        <v>0</v>
      </c>
      <c r="AA45" s="36">
        <f>SUMIF('Trial Balance (Susa)'!$D:$D,"*"&amp;$CN45&amp;"*",'Trial Balance (Susa)'!T:T)/1000</f>
        <v>0</v>
      </c>
      <c r="AB45" s="36">
        <f>SUMIF('Trial Balance (Susa)'!$D:$D,"*"&amp;$CN45&amp;"*",'Trial Balance (Susa)'!U:U)/1000</f>
        <v>0</v>
      </c>
      <c r="AC45" s="36">
        <f>SUMIF('Trial Balance (Susa)'!$D:$D,"*"&amp;$CN45&amp;"*",'Trial Balance (Susa)'!V:V)/1000</f>
        <v>0</v>
      </c>
      <c r="AD45" s="36">
        <f>SUMIF('Trial Balance (Susa)'!$D:$D,"*"&amp;$CN45&amp;"*",'Trial Balance (Susa)'!W:W)/1000</f>
        <v>0</v>
      </c>
      <c r="AE45" s="36">
        <f>SUMIF('Trial Balance (Susa)'!$D:$D,"*"&amp;$CN45&amp;"*",'Trial Balance (Susa)'!X:X)/1000</f>
        <v>0</v>
      </c>
      <c r="AF45" s="36">
        <f>SUMIF('Trial Balance (Susa)'!$D:$D,"*"&amp;$CN45&amp;"*",'Trial Balance (Susa)'!Y:Y)/1000</f>
        <v>0</v>
      </c>
      <c r="AG45" s="36">
        <f>SUMIF('Trial Balance (Susa)'!$D:$D,"*"&amp;$CN45&amp;"*",'Trial Balance (Susa)'!Z:Z)/1000</f>
        <v>0</v>
      </c>
      <c r="AH45" s="36">
        <f>SUMIF('Trial Balance (Susa)'!$D:$D,"*"&amp;$CN45&amp;"*",'Trial Balance (Susa)'!AA:AA)/1000</f>
        <v>0</v>
      </c>
      <c r="AI45" s="36">
        <f>SUMIF('Trial Balance (Susa)'!$D:$D,"*"&amp;$CN45&amp;"*",'Trial Balance (Susa)'!AB:AB)/1000</f>
        <v>0</v>
      </c>
      <c r="AJ45" s="36">
        <f>SUMIF('Trial Balance (Susa)'!$D:$D,"*"&amp;$CN45&amp;"*",'Trial Balance (Susa)'!AC:AC)/1000</f>
        <v>0</v>
      </c>
      <c r="AK45" s="36">
        <f>SUMIF('Trial Balance (Susa)'!$D:$D,"*"&amp;$CN45&amp;"*",'Trial Balance (Susa)'!AD:AD)/1000</f>
        <v>0</v>
      </c>
      <c r="AL45" s="36">
        <f>SUMIF('Trial Balance (Susa)'!$D:$D,"*"&amp;$CN45&amp;"*",'Trial Balance (Susa)'!AE:AE)/1000</f>
        <v>0</v>
      </c>
      <c r="AM45" s="36">
        <f>SUMIF('Trial Balance (Susa)'!$D:$D,"*"&amp;$CN45&amp;"*",'Trial Balance (Susa)'!AF:AF)/1000</f>
        <v>0</v>
      </c>
      <c r="AN45" s="36">
        <f>SUMIF('Trial Balance (Susa)'!$D:$D,"*"&amp;$CN45&amp;"*",'Trial Balance (Susa)'!AG:AG)/1000</f>
        <v>0</v>
      </c>
      <c r="AO45" s="36">
        <f>SUMIF('Trial Balance (Susa)'!$D:$D,"*"&amp;$CN45&amp;"*",'Trial Balance (Susa)'!AH:AH)/1000</f>
        <v>0</v>
      </c>
      <c r="AP45" s="36">
        <f>SUMIF('Trial Balance (Susa)'!$D:$D,"*"&amp;$CN45&amp;"*",'Trial Balance (Susa)'!AI:AI)/1000</f>
        <v>0</v>
      </c>
      <c r="AQ45" s="36">
        <f>SUMIF('Trial Balance (Susa)'!$D:$D,"*"&amp;$CN45&amp;"*",'Trial Balance (Susa)'!AJ:AJ)/1000</f>
        <v>0</v>
      </c>
      <c r="AR45" s="36">
        <f>SUMIF('Trial Balance (Susa)'!$D:$D,"*"&amp;$CN45&amp;"*",'Trial Balance (Susa)'!AK:AK)/1000</f>
        <v>0</v>
      </c>
      <c r="AS45" s="36">
        <f>SUMIF('Trial Balance (Susa)'!$D:$D,"*"&amp;$CN45&amp;"*",'Trial Balance (Susa)'!AL:AL)/1000</f>
        <v>0</v>
      </c>
      <c r="AT45" s="36">
        <f>SUMIF('Trial Balance (Susa)'!$D:$D,"*"&amp;$CN45&amp;"*",'Trial Balance (Susa)'!AM:AM)/1000</f>
        <v>0</v>
      </c>
      <c r="AU45" s="36">
        <f>SUMIF('Trial Balance (Susa)'!$D:$D,"*"&amp;$CN45&amp;"*",'Trial Balance (Susa)'!AN:AN)/1000</f>
        <v>-3.7</v>
      </c>
      <c r="AV45" s="36">
        <f>SUMIF('Trial Balance (Susa)'!$D:$D,"*"&amp;$CN45&amp;"*",'Trial Balance (Susa)'!AO:AO)/1000</f>
        <v>-8.4</v>
      </c>
      <c r="AW45" s="36">
        <f>SUMIF('Trial Balance (Susa)'!$D:$D,"*"&amp;$CN45&amp;"*",'Trial Balance (Susa)'!AP:AP)/1000</f>
        <v>-8.4</v>
      </c>
      <c r="AX45" s="36">
        <f>SUMIF('Trial Balance (Susa)'!$D:$D,"*"&amp;$CN45&amp;"*",'Trial Balance (Susa)'!AQ:AQ)/1000</f>
        <v>-19.425000000000001</v>
      </c>
      <c r="AY45" s="36">
        <f>SUMIF('Trial Balance (Susa)'!$D:$D,"*"&amp;$CN45&amp;"*",'Trial Balance (Susa)'!AR:AR)/1000</f>
        <v>-19.425000000000001</v>
      </c>
      <c r="AZ45" s="36">
        <f>SUMIF('Trial Balance (Susa)'!$D:$D,"*"&amp;$CN45&amp;"*",'Trial Balance (Susa)'!AS:AS)/1000</f>
        <v>-19.425000000000001</v>
      </c>
      <c r="BA45" s="36">
        <f>SUMIF('Trial Balance (Susa)'!$D:$D,"*"&amp;$CN45&amp;"*",'Trial Balance (Susa)'!AT:AT)/1000</f>
        <v>-19.425000000000001</v>
      </c>
      <c r="BB45" s="278"/>
      <c r="BC45" s="278"/>
      <c r="BD45" s="278"/>
      <c r="BE45" s="278"/>
      <c r="BF45" s="278"/>
      <c r="BG45" s="278"/>
      <c r="BH45" s="278"/>
      <c r="BI45" s="278"/>
      <c r="BJ45" s="278"/>
      <c r="BK45" s="278"/>
      <c r="BL45" s="278"/>
      <c r="BM45" s="278"/>
      <c r="BN45" s="278"/>
      <c r="BO45" s="278"/>
      <c r="BP45" s="278"/>
      <c r="BQ45" s="278"/>
      <c r="BR45" s="278"/>
      <c r="BS45" s="278"/>
      <c r="BT45" s="278"/>
      <c r="BU45" s="278"/>
      <c r="BV45" s="278"/>
      <c r="BW45" s="278"/>
      <c r="BX45" s="278"/>
      <c r="BY45" s="278"/>
      <c r="BZ45" s="278"/>
      <c r="CA45" s="278"/>
      <c r="CB45" s="278"/>
      <c r="CC45" s="278"/>
      <c r="CD45" s="278"/>
      <c r="CE45" s="278"/>
      <c r="CF45" s="278"/>
      <c r="CG45" s="278"/>
      <c r="CH45" s="278"/>
      <c r="CI45" s="278"/>
      <c r="CJ45" s="278"/>
      <c r="CK45" s="278"/>
      <c r="CL45" s="101"/>
      <c r="CN45" s="364" t="str">
        <f>'Lead NA'!P44</f>
        <v>/net debt/liabilities to credit institutions</v>
      </c>
    </row>
    <row r="46" spans="1:92" s="254" customFormat="1" ht="11.45" customHeight="1" x14ac:dyDescent="0.2">
      <c r="A46" s="30"/>
      <c r="B46" s="101"/>
      <c r="C46" s="37" t="str">
        <f>'Lead NA'!C45</f>
        <v>Pensionsrückstellungen</v>
      </c>
      <c r="D46" s="37" t="str">
        <f>'Lead NA'!D45</f>
        <v>Pension provisions</v>
      </c>
      <c r="E46" s="36">
        <f>'Lead NA'!E45</f>
        <v>0</v>
      </c>
      <c r="F46" s="36"/>
      <c r="G46" s="36"/>
      <c r="H46" s="36"/>
      <c r="I46" s="36"/>
      <c r="J46" s="36"/>
      <c r="K46" s="36"/>
      <c r="L46" s="36"/>
      <c r="M46" s="36"/>
      <c r="N46" s="36"/>
      <c r="O46" s="36"/>
      <c r="P46" s="36"/>
      <c r="Q46" s="36">
        <f>'Lead NA'!F45</f>
        <v>-201.476</v>
      </c>
      <c r="R46" s="36">
        <f>SUMIF('Trial Balance (Susa)'!$D:$D,"*"&amp;$CN46&amp;"*",'Trial Balance (Susa)'!K:K)/1000</f>
        <v>-201.476</v>
      </c>
      <c r="S46" s="36">
        <f>SUMIF('Trial Balance (Susa)'!$D:$D,"*"&amp;$CN46&amp;"*",'Trial Balance (Susa)'!L:L)/1000</f>
        <v>-201.476</v>
      </c>
      <c r="T46" s="36">
        <f>SUMIF('Trial Balance (Susa)'!$D:$D,"*"&amp;$CN46&amp;"*",'Trial Balance (Susa)'!M:M)/1000</f>
        <v>-201.476</v>
      </c>
      <c r="U46" s="36">
        <f>SUMIF('Trial Balance (Susa)'!$D:$D,"*"&amp;$CN46&amp;"*",'Trial Balance (Susa)'!N:N)/1000</f>
        <v>-201.476</v>
      </c>
      <c r="V46" s="36">
        <f>SUMIF('Trial Balance (Susa)'!$D:$D,"*"&amp;$CN46&amp;"*",'Trial Balance (Susa)'!O:O)/1000</f>
        <v>-201.476</v>
      </c>
      <c r="W46" s="36">
        <f>SUMIF('Trial Balance (Susa)'!$D:$D,"*"&amp;$CN46&amp;"*",'Trial Balance (Susa)'!P:P)/1000</f>
        <v>-201.476</v>
      </c>
      <c r="X46" s="36">
        <f>SUMIF('Trial Balance (Susa)'!$D:$D,"*"&amp;$CN46&amp;"*",'Trial Balance (Susa)'!Q:Q)/1000</f>
        <v>-201.476</v>
      </c>
      <c r="Y46" s="36">
        <f>SUMIF('Trial Balance (Susa)'!$D:$D,"*"&amp;$CN46&amp;"*",'Trial Balance (Susa)'!R:R)/1000</f>
        <v>-201.476</v>
      </c>
      <c r="Z46" s="36">
        <f>SUMIF('Trial Balance (Susa)'!$D:$D,"*"&amp;$CN46&amp;"*",'Trial Balance (Susa)'!S:S)/1000</f>
        <v>-192.102</v>
      </c>
      <c r="AA46" s="36">
        <f>SUMIF('Trial Balance (Susa)'!$D:$D,"*"&amp;$CN46&amp;"*",'Trial Balance (Susa)'!T:T)/1000</f>
        <v>-192.102</v>
      </c>
      <c r="AB46" s="36">
        <f>SUMIF('Trial Balance (Susa)'!$D:$D,"*"&amp;$CN46&amp;"*",'Trial Balance (Susa)'!U:U)/1000</f>
        <v>-192.102</v>
      </c>
      <c r="AC46" s="36">
        <f>SUMIF('Trial Balance (Susa)'!$D:$D,"*"&amp;$CN46&amp;"*",'Trial Balance (Susa)'!V:V)/1000</f>
        <v>-192.102</v>
      </c>
      <c r="AD46" s="36">
        <f>SUMIF('Trial Balance (Susa)'!$D:$D,"*"&amp;$CN46&amp;"*",'Trial Balance (Susa)'!W:W)/1000</f>
        <v>-192.102</v>
      </c>
      <c r="AE46" s="36">
        <f>SUMIF('Trial Balance (Susa)'!$D:$D,"*"&amp;$CN46&amp;"*",'Trial Balance (Susa)'!X:X)/1000</f>
        <v>-192.102</v>
      </c>
      <c r="AF46" s="36">
        <f>SUMIF('Trial Balance (Susa)'!$D:$D,"*"&amp;$CN46&amp;"*",'Trial Balance (Susa)'!Y:Y)/1000</f>
        <v>-192.102</v>
      </c>
      <c r="AG46" s="36">
        <f>SUMIF('Trial Balance (Susa)'!$D:$D,"*"&amp;$CN46&amp;"*",'Trial Balance (Susa)'!Z:Z)/1000</f>
        <v>-192.102</v>
      </c>
      <c r="AH46" s="36">
        <f>SUMIF('Trial Balance (Susa)'!$D:$D,"*"&amp;$CN46&amp;"*",'Trial Balance (Susa)'!AA:AA)/1000</f>
        <v>-192.102</v>
      </c>
      <c r="AI46" s="36">
        <f>SUMIF('Trial Balance (Susa)'!$D:$D,"*"&amp;$CN46&amp;"*",'Trial Balance (Susa)'!AB:AB)/1000</f>
        <v>-192.102</v>
      </c>
      <c r="AJ46" s="36">
        <f>SUMIF('Trial Balance (Susa)'!$D:$D,"*"&amp;$CN46&amp;"*",'Trial Balance (Susa)'!AC:AC)/1000</f>
        <v>-192.102</v>
      </c>
      <c r="AK46" s="36">
        <f>SUMIF('Trial Balance (Susa)'!$D:$D,"*"&amp;$CN46&amp;"*",'Trial Balance (Susa)'!AD:AD)/1000</f>
        <v>-192.102</v>
      </c>
      <c r="AL46" s="36">
        <f>SUMIF('Trial Balance (Susa)'!$D:$D,"*"&amp;$CN46&amp;"*",'Trial Balance (Susa)'!AE:AE)/1000</f>
        <v>-192.102</v>
      </c>
      <c r="AM46" s="36">
        <f>SUMIF('Trial Balance (Susa)'!$D:$D,"*"&amp;$CN46&amp;"*",'Trial Balance (Susa)'!AF:AF)/1000</f>
        <v>-192.102</v>
      </c>
      <c r="AN46" s="36">
        <f>SUMIF('Trial Balance (Susa)'!$D:$D,"*"&amp;$CN46&amp;"*",'Trial Balance (Susa)'!AG:AG)/1000</f>
        <v>-192.102</v>
      </c>
      <c r="AO46" s="36">
        <f>SUMIF('Trial Balance (Susa)'!$D:$D,"*"&amp;$CN46&amp;"*",'Trial Balance (Susa)'!AH:AH)/1000</f>
        <v>-182.40299999999999</v>
      </c>
      <c r="AP46" s="36">
        <f>SUMIF('Trial Balance (Susa)'!$D:$D,"*"&amp;$CN46&amp;"*",'Trial Balance (Susa)'!AI:AI)/1000</f>
        <v>-182.40299999999999</v>
      </c>
      <c r="AQ46" s="36">
        <f>SUMIF('Trial Balance (Susa)'!$D:$D,"*"&amp;$CN46&amp;"*",'Trial Balance (Susa)'!AJ:AJ)/1000</f>
        <v>-182.40299999999999</v>
      </c>
      <c r="AR46" s="36">
        <f>SUMIF('Trial Balance (Susa)'!$D:$D,"*"&amp;$CN46&amp;"*",'Trial Balance (Susa)'!AK:AK)/1000</f>
        <v>-182.40299999999999</v>
      </c>
      <c r="AS46" s="36">
        <f>SUMIF('Trial Balance (Susa)'!$D:$D,"*"&amp;$CN46&amp;"*",'Trial Balance (Susa)'!AL:AL)/1000</f>
        <v>-182.40299999999999</v>
      </c>
      <c r="AT46" s="36">
        <f>SUMIF('Trial Balance (Susa)'!$D:$D,"*"&amp;$CN46&amp;"*",'Trial Balance (Susa)'!AM:AM)/1000</f>
        <v>-182.40299999999999</v>
      </c>
      <c r="AU46" s="36">
        <f>SUMIF('Trial Balance (Susa)'!$D:$D,"*"&amp;$CN46&amp;"*",'Trial Balance (Susa)'!AN:AN)/1000</f>
        <v>-182.40299999999999</v>
      </c>
      <c r="AV46" s="36">
        <f>SUMIF('Trial Balance (Susa)'!$D:$D,"*"&amp;$CN46&amp;"*",'Trial Balance (Susa)'!AO:AO)/1000</f>
        <v>-182.40299999999999</v>
      </c>
      <c r="AW46" s="36">
        <f>SUMIF('Trial Balance (Susa)'!$D:$D,"*"&amp;$CN46&amp;"*",'Trial Balance (Susa)'!AP:AP)/1000</f>
        <v>-182.40299999999999</v>
      </c>
      <c r="AX46" s="36">
        <f>SUMIF('Trial Balance (Susa)'!$D:$D,"*"&amp;$CN46&amp;"*",'Trial Balance (Susa)'!AQ:AQ)/1000</f>
        <v>-182.40299999999999</v>
      </c>
      <c r="AY46" s="36">
        <f>SUMIF('Trial Balance (Susa)'!$D:$D,"*"&amp;$CN46&amp;"*",'Trial Balance (Susa)'!AR:AR)/1000</f>
        <v>-182.40299999999999</v>
      </c>
      <c r="AZ46" s="36">
        <f>SUMIF('Trial Balance (Susa)'!$D:$D,"*"&amp;$CN46&amp;"*",'Trial Balance (Susa)'!AS:AS)/1000</f>
        <v>-182.40299999999999</v>
      </c>
      <c r="BA46" s="36">
        <f>SUMIF('Trial Balance (Susa)'!$D:$D,"*"&amp;$CN46&amp;"*",'Trial Balance (Susa)'!AT:AT)/1000</f>
        <v>-171.74299999999999</v>
      </c>
      <c r="BB46" s="278"/>
      <c r="BC46" s="278"/>
      <c r="BD46" s="278"/>
      <c r="BE46" s="278"/>
      <c r="BF46" s="278"/>
      <c r="BG46" s="278"/>
      <c r="BH46" s="278"/>
      <c r="BI46" s="278"/>
      <c r="BJ46" s="278"/>
      <c r="BK46" s="278"/>
      <c r="BL46" s="278"/>
      <c r="BM46" s="278"/>
      <c r="BN46" s="278"/>
      <c r="BO46" s="278"/>
      <c r="BP46" s="278"/>
      <c r="BQ46" s="278"/>
      <c r="BR46" s="278"/>
      <c r="BS46" s="278"/>
      <c r="BT46" s="278"/>
      <c r="BU46" s="278"/>
      <c r="BV46" s="278"/>
      <c r="BW46" s="278"/>
      <c r="BX46" s="278"/>
      <c r="BY46" s="278"/>
      <c r="BZ46" s="278"/>
      <c r="CA46" s="278"/>
      <c r="CB46" s="278"/>
      <c r="CC46" s="278"/>
      <c r="CD46" s="278"/>
      <c r="CE46" s="278"/>
      <c r="CF46" s="278"/>
      <c r="CG46" s="278"/>
      <c r="CH46" s="278"/>
      <c r="CI46" s="278"/>
      <c r="CJ46" s="278"/>
      <c r="CK46" s="278"/>
      <c r="CL46" s="101"/>
      <c r="CN46" s="364" t="str">
        <f>'Lead NA'!P45</f>
        <v>/net debt/provisions for pensions and similar obligations</v>
      </c>
    </row>
    <row r="47" spans="1:92" s="254" customFormat="1" ht="11.45" customHeight="1" x14ac:dyDescent="0.2">
      <c r="A47" s="30"/>
      <c r="B47" s="101"/>
      <c r="C47" s="37" t="str">
        <f>'Lead NA'!C46</f>
        <v>Steuerrückstellungen</v>
      </c>
      <c r="D47" s="37" t="str">
        <f>'Lead NA'!D46</f>
        <v>Tax provisions</v>
      </c>
      <c r="E47" s="36">
        <f>'Lead NA'!E46</f>
        <v>0</v>
      </c>
      <c r="F47" s="36"/>
      <c r="G47" s="36"/>
      <c r="H47" s="36"/>
      <c r="I47" s="36"/>
      <c r="J47" s="36"/>
      <c r="K47" s="36"/>
      <c r="L47" s="36"/>
      <c r="M47" s="36"/>
      <c r="N47" s="36"/>
      <c r="O47" s="36"/>
      <c r="P47" s="36"/>
      <c r="Q47" s="36">
        <f>'Lead NA'!F46</f>
        <v>-224.92819</v>
      </c>
      <c r="R47" s="36">
        <f>SUMIF('Trial Balance (Susa)'!$D:$D,"*"&amp;$CN47&amp;"*",'Trial Balance (Susa)'!K:K)/1000</f>
        <v>-224.92819</v>
      </c>
      <c r="S47" s="36">
        <f>SUMIF('Trial Balance (Susa)'!$D:$D,"*"&amp;$CN47&amp;"*",'Trial Balance (Susa)'!L:L)/1000</f>
        <v>-224.92819</v>
      </c>
      <c r="T47" s="36">
        <f>SUMIF('Trial Balance (Susa)'!$D:$D,"*"&amp;$CN47&amp;"*",'Trial Balance (Susa)'!M:M)/1000</f>
        <v>-224.92819</v>
      </c>
      <c r="U47" s="36">
        <f>SUMIF('Trial Balance (Susa)'!$D:$D,"*"&amp;$CN47&amp;"*",'Trial Balance (Susa)'!N:N)/1000</f>
        <v>-224.92819</v>
      </c>
      <c r="V47" s="36">
        <f>SUMIF('Trial Balance (Susa)'!$D:$D,"*"&amp;$CN47&amp;"*",'Trial Balance (Susa)'!O:O)/1000</f>
        <v>-224.92819</v>
      </c>
      <c r="W47" s="36">
        <f>SUMIF('Trial Balance (Susa)'!$D:$D,"*"&amp;$CN47&amp;"*",'Trial Balance (Susa)'!P:P)/1000</f>
        <v>-224.92819</v>
      </c>
      <c r="X47" s="36">
        <f>SUMIF('Trial Balance (Susa)'!$D:$D,"*"&amp;$CN47&amp;"*",'Trial Balance (Susa)'!Q:Q)/1000</f>
        <v>-224.92819</v>
      </c>
      <c r="Y47" s="36">
        <f>SUMIF('Trial Balance (Susa)'!$D:$D,"*"&amp;$CN47&amp;"*",'Trial Balance (Susa)'!R:R)/1000</f>
        <v>-224.92819</v>
      </c>
      <c r="Z47" s="36">
        <f>SUMIF('Trial Balance (Susa)'!$D:$D,"*"&amp;$CN47&amp;"*",'Trial Balance (Susa)'!S:S)/1000</f>
        <v>-224.92819</v>
      </c>
      <c r="AA47" s="36">
        <f>SUMIF('Trial Balance (Susa)'!$D:$D,"*"&amp;$CN47&amp;"*",'Trial Balance (Susa)'!T:T)/1000</f>
        <v>-224.92819</v>
      </c>
      <c r="AB47" s="36">
        <f>SUMIF('Trial Balance (Susa)'!$D:$D,"*"&amp;$CN47&amp;"*",'Trial Balance (Susa)'!U:U)/1000</f>
        <v>-224.92819</v>
      </c>
      <c r="AC47" s="36">
        <f>SUMIF('Trial Balance (Susa)'!$D:$D,"*"&amp;$CN47&amp;"*",'Trial Balance (Susa)'!V:V)/1000</f>
        <v>-224.92819</v>
      </c>
      <c r="AD47" s="36">
        <f>SUMIF('Trial Balance (Susa)'!$D:$D,"*"&amp;$CN47&amp;"*",'Trial Balance (Susa)'!W:W)/1000</f>
        <v>-224.92819</v>
      </c>
      <c r="AE47" s="36">
        <f>SUMIF('Trial Balance (Susa)'!$D:$D,"*"&amp;$CN47&amp;"*",'Trial Balance (Susa)'!X:X)/1000</f>
        <v>-224.92819</v>
      </c>
      <c r="AF47" s="36">
        <f>SUMIF('Trial Balance (Susa)'!$D:$D,"*"&amp;$CN47&amp;"*",'Trial Balance (Susa)'!Y:Y)/1000</f>
        <v>-111.3</v>
      </c>
      <c r="AG47" s="36">
        <f>SUMIF('Trial Balance (Susa)'!$D:$D,"*"&amp;$CN47&amp;"*",'Trial Balance (Susa)'!Z:Z)/1000</f>
        <v>0</v>
      </c>
      <c r="AH47" s="36">
        <f>SUMIF('Trial Balance (Susa)'!$D:$D,"*"&amp;$CN47&amp;"*",'Trial Balance (Susa)'!AA:AA)/1000</f>
        <v>0</v>
      </c>
      <c r="AI47" s="36">
        <f>SUMIF('Trial Balance (Susa)'!$D:$D,"*"&amp;$CN47&amp;"*",'Trial Balance (Susa)'!AB:AB)/1000</f>
        <v>-15.44608</v>
      </c>
      <c r="AJ47" s="36">
        <f>SUMIF('Trial Balance (Susa)'!$D:$D,"*"&amp;$CN47&amp;"*",'Trial Balance (Susa)'!AC:AC)/1000</f>
        <v>-15.44608</v>
      </c>
      <c r="AK47" s="36">
        <f>SUMIF('Trial Balance (Susa)'!$D:$D,"*"&amp;$CN47&amp;"*",'Trial Balance (Susa)'!AD:AD)/1000</f>
        <v>-15.44608</v>
      </c>
      <c r="AL47" s="36">
        <f>SUMIF('Trial Balance (Susa)'!$D:$D,"*"&amp;$CN47&amp;"*",'Trial Balance (Susa)'!AE:AE)/1000</f>
        <v>-15.44608</v>
      </c>
      <c r="AM47" s="36">
        <f>SUMIF('Trial Balance (Susa)'!$D:$D,"*"&amp;$CN47&amp;"*",'Trial Balance (Susa)'!AF:AF)/1000</f>
        <v>-15.44608</v>
      </c>
      <c r="AN47" s="36">
        <f>SUMIF('Trial Balance (Susa)'!$D:$D,"*"&amp;$CN47&amp;"*",'Trial Balance (Susa)'!AG:AG)/1000</f>
        <v>-15.44608</v>
      </c>
      <c r="AO47" s="36">
        <f>SUMIF('Trial Balance (Susa)'!$D:$D,"*"&amp;$CN47&amp;"*",'Trial Balance (Susa)'!AH:AH)/1000</f>
        <v>0</v>
      </c>
      <c r="AP47" s="36">
        <f>SUMIF('Trial Balance (Susa)'!$D:$D,"*"&amp;$CN47&amp;"*",'Trial Balance (Susa)'!AI:AI)/1000</f>
        <v>0</v>
      </c>
      <c r="AQ47" s="36">
        <f>SUMIF('Trial Balance (Susa)'!$D:$D,"*"&amp;$CN47&amp;"*",'Trial Balance (Susa)'!AJ:AJ)/1000</f>
        <v>0</v>
      </c>
      <c r="AR47" s="36">
        <f>SUMIF('Trial Balance (Susa)'!$D:$D,"*"&amp;$CN47&amp;"*",'Trial Balance (Susa)'!AK:AK)/1000</f>
        <v>0</v>
      </c>
      <c r="AS47" s="36">
        <f>SUMIF('Trial Balance (Susa)'!$D:$D,"*"&amp;$CN47&amp;"*",'Trial Balance (Susa)'!AL:AL)/1000</f>
        <v>0</v>
      </c>
      <c r="AT47" s="36">
        <f>SUMIF('Trial Balance (Susa)'!$D:$D,"*"&amp;$CN47&amp;"*",'Trial Balance (Susa)'!AM:AM)/1000</f>
        <v>0</v>
      </c>
      <c r="AU47" s="36">
        <f>SUMIF('Trial Balance (Susa)'!$D:$D,"*"&amp;$CN47&amp;"*",'Trial Balance (Susa)'!AN:AN)/1000</f>
        <v>0</v>
      </c>
      <c r="AV47" s="36">
        <f>SUMIF('Trial Balance (Susa)'!$D:$D,"*"&amp;$CN47&amp;"*",'Trial Balance (Susa)'!AO:AO)/1000</f>
        <v>0</v>
      </c>
      <c r="AW47" s="36">
        <f>SUMIF('Trial Balance (Susa)'!$D:$D,"*"&amp;$CN47&amp;"*",'Trial Balance (Susa)'!AP:AP)/1000</f>
        <v>0</v>
      </c>
      <c r="AX47" s="36">
        <f>SUMIF('Trial Balance (Susa)'!$D:$D,"*"&amp;$CN47&amp;"*",'Trial Balance (Susa)'!AQ:AQ)/1000</f>
        <v>0</v>
      </c>
      <c r="AY47" s="36">
        <f>SUMIF('Trial Balance (Susa)'!$D:$D,"*"&amp;$CN47&amp;"*",'Trial Balance (Susa)'!AR:AR)/1000</f>
        <v>0</v>
      </c>
      <c r="AZ47" s="36">
        <f>SUMIF('Trial Balance (Susa)'!$D:$D,"*"&amp;$CN47&amp;"*",'Trial Balance (Susa)'!AS:AS)/1000</f>
        <v>0</v>
      </c>
      <c r="BA47" s="36">
        <f>SUMIF('Trial Balance (Susa)'!$D:$D,"*"&amp;$CN47&amp;"*",'Trial Balance (Susa)'!AT:AT)/1000</f>
        <v>0</v>
      </c>
      <c r="BB47" s="278"/>
      <c r="BC47" s="278"/>
      <c r="BD47" s="278"/>
      <c r="BE47" s="278"/>
      <c r="BF47" s="278"/>
      <c r="BG47" s="278"/>
      <c r="BH47" s="278"/>
      <c r="BI47" s="278"/>
      <c r="BJ47" s="278"/>
      <c r="BK47" s="278"/>
      <c r="BL47" s="278"/>
      <c r="BM47" s="278"/>
      <c r="BN47" s="278"/>
      <c r="BO47" s="278"/>
      <c r="BP47" s="278"/>
      <c r="BQ47" s="278"/>
      <c r="BR47" s="278"/>
      <c r="BS47" s="278"/>
      <c r="BT47" s="278"/>
      <c r="BU47" s="278"/>
      <c r="BV47" s="278"/>
      <c r="BW47" s="278"/>
      <c r="BX47" s="278"/>
      <c r="BY47" s="278"/>
      <c r="BZ47" s="278"/>
      <c r="CA47" s="278"/>
      <c r="CB47" s="278"/>
      <c r="CC47" s="278"/>
      <c r="CD47" s="278"/>
      <c r="CE47" s="278"/>
      <c r="CF47" s="278"/>
      <c r="CG47" s="278"/>
      <c r="CH47" s="278"/>
      <c r="CI47" s="278"/>
      <c r="CJ47" s="278"/>
      <c r="CK47" s="278"/>
      <c r="CL47" s="101"/>
      <c r="CN47" s="364" t="str">
        <f>'Lead NA'!P46</f>
        <v>/net debt/tax provisions</v>
      </c>
    </row>
    <row r="48" spans="1:92" s="254" customFormat="1" ht="11.45" hidden="1" customHeight="1" outlineLevel="1" x14ac:dyDescent="0.2">
      <c r="A48" s="30"/>
      <c r="B48" s="101"/>
      <c r="C48" s="37" t="str">
        <f>'Lead NA'!C47</f>
        <v>Dummy 1</v>
      </c>
      <c r="D48" s="37" t="str">
        <f>'Lead NA'!D47</f>
        <v>Other provisions</v>
      </c>
      <c r="E48" s="36">
        <f>'Lead NA'!E47</f>
        <v>0</v>
      </c>
      <c r="F48" s="3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278"/>
      <c r="AV48" s="278"/>
      <c r="AW48" s="278"/>
      <c r="AX48" s="278"/>
      <c r="AY48" s="278"/>
      <c r="AZ48" s="278"/>
      <c r="BA48" s="278"/>
      <c r="BB48" s="278"/>
      <c r="BC48" s="278"/>
      <c r="BD48" s="278"/>
      <c r="BE48" s="278"/>
      <c r="BF48" s="278"/>
      <c r="BG48" s="278"/>
      <c r="BH48" s="278"/>
      <c r="BI48" s="278"/>
      <c r="BJ48" s="278"/>
      <c r="BK48" s="278"/>
      <c r="BL48" s="278"/>
      <c r="BM48" s="278"/>
      <c r="BN48" s="278"/>
      <c r="BO48" s="278"/>
      <c r="BP48" s="278"/>
      <c r="BQ48" s="278"/>
      <c r="BR48" s="278"/>
      <c r="BS48" s="278"/>
      <c r="BT48" s="278"/>
      <c r="BU48" s="278"/>
      <c r="BV48" s="278"/>
      <c r="BW48" s="278"/>
      <c r="BX48" s="278"/>
      <c r="BY48" s="278"/>
      <c r="BZ48" s="278"/>
      <c r="CA48" s="278"/>
      <c r="CB48" s="278"/>
      <c r="CC48" s="278"/>
      <c r="CD48" s="278"/>
      <c r="CE48" s="278"/>
      <c r="CF48" s="278"/>
      <c r="CG48" s="278"/>
      <c r="CH48" s="278"/>
      <c r="CI48" s="278"/>
      <c r="CJ48" s="278"/>
      <c r="CK48" s="278"/>
      <c r="CL48" s="101"/>
      <c r="CN48" s="364">
        <f>'Lead NA'!P47</f>
        <v>0</v>
      </c>
    </row>
    <row r="49" spans="1:99" s="254" customFormat="1" ht="11.45" customHeight="1" collapsed="1" x14ac:dyDescent="0.2">
      <c r="A49" s="30"/>
      <c r="B49" s="101"/>
      <c r="C49" s="42" t="str">
        <f>'Lead NA'!C48</f>
        <v>Sonstige Wertpapiere</v>
      </c>
      <c r="D49" s="42" t="str">
        <f>'Lead NA'!D48</f>
        <v>Short-term securities</v>
      </c>
      <c r="E49" s="127">
        <f>'Lead NA'!E48</f>
        <v>0</v>
      </c>
      <c r="F49" s="127"/>
      <c r="G49" s="127"/>
      <c r="H49" s="127"/>
      <c r="I49" s="127"/>
      <c r="J49" s="127"/>
      <c r="K49" s="127"/>
      <c r="L49" s="127"/>
      <c r="M49" s="127"/>
      <c r="N49" s="127"/>
      <c r="O49" s="127"/>
      <c r="P49" s="127"/>
      <c r="Q49" s="36">
        <f>'Lead NA'!F48</f>
        <v>0</v>
      </c>
      <c r="R49" s="36">
        <f>SUMIF('Trial Balance (Susa)'!$D:$D,"*"&amp;$CN49&amp;"*",'Trial Balance (Susa)'!K:K)/1000</f>
        <v>0</v>
      </c>
      <c r="S49" s="36">
        <f>SUMIF('Trial Balance (Susa)'!$D:$D,"*"&amp;$CN49&amp;"*",'Trial Balance (Susa)'!L:L)/1000</f>
        <v>0</v>
      </c>
      <c r="T49" s="36">
        <f>SUMIF('Trial Balance (Susa)'!$D:$D,"*"&amp;$CN49&amp;"*",'Trial Balance (Susa)'!M:M)/1000</f>
        <v>0</v>
      </c>
      <c r="U49" s="36">
        <f>SUMIF('Trial Balance (Susa)'!$D:$D,"*"&amp;$CN49&amp;"*",'Trial Balance (Susa)'!N:N)/1000</f>
        <v>0</v>
      </c>
      <c r="V49" s="36">
        <f>SUMIF('Trial Balance (Susa)'!$D:$D,"*"&amp;$CN49&amp;"*",'Trial Balance (Susa)'!O:O)/1000</f>
        <v>0</v>
      </c>
      <c r="W49" s="36">
        <f>SUMIF('Trial Balance (Susa)'!$D:$D,"*"&amp;$CN49&amp;"*",'Trial Balance (Susa)'!P:P)/1000</f>
        <v>0</v>
      </c>
      <c r="X49" s="36">
        <f>SUMIF('Trial Balance (Susa)'!$D:$D,"*"&amp;$CN49&amp;"*",'Trial Balance (Susa)'!Q:Q)/1000</f>
        <v>0</v>
      </c>
      <c r="Y49" s="36">
        <f>SUMIF('Trial Balance (Susa)'!$D:$D,"*"&amp;$CN49&amp;"*",'Trial Balance (Susa)'!R:R)/1000</f>
        <v>0</v>
      </c>
      <c r="Z49" s="36">
        <f>SUMIF('Trial Balance (Susa)'!$D:$D,"*"&amp;$CN49&amp;"*",'Trial Balance (Susa)'!S:S)/1000</f>
        <v>0</v>
      </c>
      <c r="AA49" s="36">
        <f>SUMIF('Trial Balance (Susa)'!$D:$D,"*"&amp;$CN49&amp;"*",'Trial Balance (Susa)'!T:T)/1000</f>
        <v>0</v>
      </c>
      <c r="AB49" s="36">
        <f>SUMIF('Trial Balance (Susa)'!$D:$D,"*"&amp;$CN49&amp;"*",'Trial Balance (Susa)'!U:U)/1000</f>
        <v>0</v>
      </c>
      <c r="AC49" s="36">
        <f>SUMIF('Trial Balance (Susa)'!$D:$D,"*"&amp;$CN49&amp;"*",'Trial Balance (Susa)'!V:V)/1000</f>
        <v>0</v>
      </c>
      <c r="AD49" s="36">
        <f>SUMIF('Trial Balance (Susa)'!$D:$D,"*"&amp;$CN49&amp;"*",'Trial Balance (Susa)'!W:W)/1000</f>
        <v>0</v>
      </c>
      <c r="AE49" s="36">
        <f>SUMIF('Trial Balance (Susa)'!$D:$D,"*"&amp;$CN49&amp;"*",'Trial Balance (Susa)'!X:X)/1000</f>
        <v>0</v>
      </c>
      <c r="AF49" s="36">
        <f>SUMIF('Trial Balance (Susa)'!$D:$D,"*"&amp;$CN49&amp;"*",'Trial Balance (Susa)'!Y:Y)/1000</f>
        <v>0</v>
      </c>
      <c r="AG49" s="36">
        <f>SUMIF('Trial Balance (Susa)'!$D:$D,"*"&amp;$CN49&amp;"*",'Trial Balance (Susa)'!Z:Z)/1000</f>
        <v>0</v>
      </c>
      <c r="AH49" s="36">
        <f>SUMIF('Trial Balance (Susa)'!$D:$D,"*"&amp;$CN49&amp;"*",'Trial Balance (Susa)'!AA:AA)/1000</f>
        <v>0</v>
      </c>
      <c r="AI49" s="36">
        <f>SUMIF('Trial Balance (Susa)'!$D:$D,"*"&amp;$CN49&amp;"*",'Trial Balance (Susa)'!AB:AB)/1000</f>
        <v>0</v>
      </c>
      <c r="AJ49" s="36">
        <f>SUMIF('Trial Balance (Susa)'!$D:$D,"*"&amp;$CN49&amp;"*",'Trial Balance (Susa)'!AC:AC)/1000</f>
        <v>0</v>
      </c>
      <c r="AK49" s="36">
        <f>SUMIF('Trial Balance (Susa)'!$D:$D,"*"&amp;$CN49&amp;"*",'Trial Balance (Susa)'!AD:AD)/1000</f>
        <v>0</v>
      </c>
      <c r="AL49" s="36">
        <f>SUMIF('Trial Balance (Susa)'!$D:$D,"*"&amp;$CN49&amp;"*",'Trial Balance (Susa)'!AE:AE)/1000</f>
        <v>0</v>
      </c>
      <c r="AM49" s="36">
        <f>SUMIF('Trial Balance (Susa)'!$D:$D,"*"&amp;$CN49&amp;"*",'Trial Balance (Susa)'!AF:AF)/1000</f>
        <v>109.884</v>
      </c>
      <c r="AN49" s="36">
        <f>SUMIF('Trial Balance (Susa)'!$D:$D,"*"&amp;$CN49&amp;"*",'Trial Balance (Susa)'!AG:AG)/1000</f>
        <v>109.884</v>
      </c>
      <c r="AO49" s="36">
        <f>SUMIF('Trial Balance (Susa)'!$D:$D,"*"&amp;$CN49&amp;"*",'Trial Balance (Susa)'!AH:AH)/1000</f>
        <v>109.79174999999999</v>
      </c>
      <c r="AP49" s="36">
        <f>SUMIF('Trial Balance (Susa)'!$D:$D,"*"&amp;$CN49&amp;"*",'Trial Balance (Susa)'!AI:AI)/1000</f>
        <v>109.79174999999999</v>
      </c>
      <c r="AQ49" s="36">
        <f>SUMIF('Trial Balance (Susa)'!$D:$D,"*"&amp;$CN49&amp;"*",'Trial Balance (Susa)'!AJ:AJ)/1000</f>
        <v>109.79174999999999</v>
      </c>
      <c r="AR49" s="36">
        <f>SUMIF('Trial Balance (Susa)'!$D:$D,"*"&amp;$CN49&amp;"*",'Trial Balance (Susa)'!AK:AK)/1000</f>
        <v>78.557749999999999</v>
      </c>
      <c r="AS49" s="36">
        <f>SUMIF('Trial Balance (Susa)'!$D:$D,"*"&amp;$CN49&amp;"*",'Trial Balance (Susa)'!AL:AL)/1000</f>
        <v>78.557749999999999</v>
      </c>
      <c r="AT49" s="36">
        <f>SUMIF('Trial Balance (Susa)'!$D:$D,"*"&amp;$CN49&amp;"*",'Trial Balance (Susa)'!AM:AM)/1000</f>
        <v>78.557749999999999</v>
      </c>
      <c r="AU49" s="36">
        <f>SUMIF('Trial Balance (Susa)'!$D:$D,"*"&amp;$CN49&amp;"*",'Trial Balance (Susa)'!AN:AN)/1000</f>
        <v>78.650000000000006</v>
      </c>
      <c r="AV49" s="36">
        <f>SUMIF('Trial Balance (Susa)'!$D:$D,"*"&amp;$CN49&amp;"*",'Trial Balance (Susa)'!AO:AO)/1000</f>
        <v>78.650000000000006</v>
      </c>
      <c r="AW49" s="36">
        <f>SUMIF('Trial Balance (Susa)'!$D:$D,"*"&amp;$CN49&amp;"*",'Trial Balance (Susa)'!AP:AP)/1000</f>
        <v>78.650000000000006</v>
      </c>
      <c r="AX49" s="36">
        <f>SUMIF('Trial Balance (Susa)'!$D:$D,"*"&amp;$CN49&amp;"*",'Trial Balance (Susa)'!AQ:AQ)/1000</f>
        <v>78.650000000000006</v>
      </c>
      <c r="AY49" s="36">
        <f>SUMIF('Trial Balance (Susa)'!$D:$D,"*"&amp;$CN49&amp;"*",'Trial Balance (Susa)'!AR:AR)/1000</f>
        <v>78.650000000000006</v>
      </c>
      <c r="AZ49" s="36">
        <f>SUMIF('Trial Balance (Susa)'!$D:$D,"*"&amp;$CN49&amp;"*",'Trial Balance (Susa)'!AS:AS)/1000</f>
        <v>78.650000000000006</v>
      </c>
      <c r="BA49" s="36">
        <f>SUMIF('Trial Balance (Susa)'!$D:$D,"*"&amp;$CN49&amp;"*",'Trial Balance (Susa)'!AT:AT)/1000</f>
        <v>0</v>
      </c>
      <c r="BB49" s="125"/>
      <c r="BC49" s="125"/>
      <c r="BD49" s="125"/>
      <c r="BE49" s="125"/>
      <c r="BF49" s="125"/>
      <c r="BG49" s="125"/>
      <c r="BH49" s="125"/>
      <c r="BI49" s="125"/>
      <c r="BJ49" s="125"/>
      <c r="BK49" s="125"/>
      <c r="BL49" s="125"/>
      <c r="BM49" s="125"/>
      <c r="BN49" s="125"/>
      <c r="BO49" s="125"/>
      <c r="BP49" s="125"/>
      <c r="BQ49" s="125"/>
      <c r="BR49" s="125"/>
      <c r="BS49" s="125"/>
      <c r="BT49" s="125"/>
      <c r="BU49" s="125"/>
      <c r="BV49" s="125"/>
      <c r="BW49" s="125"/>
      <c r="BX49" s="125"/>
      <c r="BY49" s="125"/>
      <c r="BZ49" s="125"/>
      <c r="CA49" s="125"/>
      <c r="CB49" s="125"/>
      <c r="CC49" s="125"/>
      <c r="CD49" s="125"/>
      <c r="CE49" s="125"/>
      <c r="CF49" s="125"/>
      <c r="CG49" s="125"/>
      <c r="CH49" s="125"/>
      <c r="CI49" s="125"/>
      <c r="CJ49" s="125"/>
      <c r="CK49" s="125"/>
      <c r="CL49" s="101"/>
      <c r="CN49" s="364" t="str">
        <f>'Lead NA'!P48</f>
        <v>/net debt/securities</v>
      </c>
    </row>
    <row r="50" spans="1:99" s="254" customFormat="1" ht="11.45" customHeight="1" x14ac:dyDescent="0.2">
      <c r="A50" s="30"/>
      <c r="B50" s="101"/>
      <c r="C50" s="257" t="str">
        <f>'Lead NA'!C49</f>
        <v>Netto-Finanzvermögen / -Verbindlichkeiten</v>
      </c>
      <c r="D50" s="257" t="str">
        <f>'Lead NA'!D49</f>
        <v>Net cash / Net debt</v>
      </c>
      <c r="E50" s="141">
        <f t="shared" ref="E50:AK50" si="18">SUM(E44:E49)</f>
        <v>0</v>
      </c>
      <c r="F50" s="141">
        <f t="shared" si="18"/>
        <v>0</v>
      </c>
      <c r="G50" s="141">
        <f t="shared" si="18"/>
        <v>0</v>
      </c>
      <c r="H50" s="141">
        <f t="shared" si="18"/>
        <v>0</v>
      </c>
      <c r="I50" s="141">
        <f t="shared" si="18"/>
        <v>0</v>
      </c>
      <c r="J50" s="141">
        <f t="shared" si="18"/>
        <v>0</v>
      </c>
      <c r="K50" s="141">
        <f t="shared" si="18"/>
        <v>0</v>
      </c>
      <c r="L50" s="141">
        <f t="shared" si="18"/>
        <v>0</v>
      </c>
      <c r="M50" s="141">
        <f t="shared" si="18"/>
        <v>0</v>
      </c>
      <c r="N50" s="141">
        <f t="shared" si="18"/>
        <v>0</v>
      </c>
      <c r="O50" s="141">
        <f t="shared" si="18"/>
        <v>0</v>
      </c>
      <c r="P50" s="141">
        <f t="shared" si="18"/>
        <v>0</v>
      </c>
      <c r="Q50" s="141">
        <f t="shared" si="18"/>
        <v>2581.9444699999995</v>
      </c>
      <c r="R50" s="141">
        <f t="shared" si="18"/>
        <v>2620.3980299999998</v>
      </c>
      <c r="S50" s="141">
        <f t="shared" si="18"/>
        <v>2548.8535399999996</v>
      </c>
      <c r="T50" s="141">
        <f t="shared" si="18"/>
        <v>2210.3171499999999</v>
      </c>
      <c r="U50" s="141">
        <f t="shared" si="18"/>
        <v>2122.0546599999998</v>
      </c>
      <c r="V50" s="141">
        <f t="shared" si="18"/>
        <v>1681.6607999999997</v>
      </c>
      <c r="W50" s="141">
        <f t="shared" si="18"/>
        <v>1958.49764</v>
      </c>
      <c r="X50" s="141">
        <f t="shared" si="18"/>
        <v>1808.3374899999999</v>
      </c>
      <c r="Y50" s="141">
        <f t="shared" si="18"/>
        <v>1584.08356</v>
      </c>
      <c r="Z50" s="141">
        <f t="shared" si="18"/>
        <v>1743.7706000000001</v>
      </c>
      <c r="AA50" s="141">
        <f t="shared" si="18"/>
        <v>1508.6063099999997</v>
      </c>
      <c r="AB50" s="141">
        <f t="shared" si="18"/>
        <v>1373.5972799999997</v>
      </c>
      <c r="AC50" s="141">
        <f t="shared" si="18"/>
        <v>2298.5371100000002</v>
      </c>
      <c r="AD50" s="141">
        <f t="shared" si="18"/>
        <v>2474.1023100000002</v>
      </c>
      <c r="AE50" s="141">
        <f t="shared" si="18"/>
        <v>2342.4092999999998</v>
      </c>
      <c r="AF50" s="141">
        <f t="shared" si="18"/>
        <v>2819.6103799999996</v>
      </c>
      <c r="AG50" s="141">
        <f t="shared" si="18"/>
        <v>2115.2139900000002</v>
      </c>
      <c r="AH50" s="141">
        <f t="shared" si="18"/>
        <v>2395.4630000000002</v>
      </c>
      <c r="AI50" s="141">
        <f t="shared" si="18"/>
        <v>2038.67266</v>
      </c>
      <c r="AJ50" s="141">
        <f t="shared" si="18"/>
        <v>2095.4090099999999</v>
      </c>
      <c r="AK50" s="141">
        <f t="shared" si="18"/>
        <v>1848.0814300000002</v>
      </c>
      <c r="AL50" s="141">
        <f t="shared" ref="AL50:BQ50" si="19">SUM(AL44:AL49)</f>
        <v>1425.4939999999999</v>
      </c>
      <c r="AM50" s="141">
        <f t="shared" si="19"/>
        <v>964.59306000000015</v>
      </c>
      <c r="AN50" s="141">
        <f t="shared" si="19"/>
        <v>1199.6096000000002</v>
      </c>
      <c r="AO50" s="141">
        <f t="shared" si="19"/>
        <v>931.44958999999994</v>
      </c>
      <c r="AP50" s="141">
        <f t="shared" si="19"/>
        <v>1335.5175999999999</v>
      </c>
      <c r="AQ50" s="141">
        <f t="shared" si="19"/>
        <v>1146.2949800000004</v>
      </c>
      <c r="AR50" s="141">
        <f t="shared" si="19"/>
        <v>945.05583999999999</v>
      </c>
      <c r="AS50" s="141">
        <f t="shared" si="19"/>
        <v>1057.89906</v>
      </c>
      <c r="AT50" s="141">
        <f t="shared" si="19"/>
        <v>924.10748999999987</v>
      </c>
      <c r="AU50" s="379">
        <f t="shared" si="19"/>
        <v>766.80579</v>
      </c>
      <c r="AV50" s="379">
        <f t="shared" si="19"/>
        <v>1595.6279199999999</v>
      </c>
      <c r="AW50" s="379">
        <f t="shared" si="19"/>
        <v>1455.6880899999999</v>
      </c>
      <c r="AX50" s="379">
        <f t="shared" si="19"/>
        <v>1585.7375900000002</v>
      </c>
      <c r="AY50" s="379">
        <f t="shared" si="19"/>
        <v>1583.3579200000006</v>
      </c>
      <c r="AZ50" s="379">
        <f t="shared" si="19"/>
        <v>1760.9891399999999</v>
      </c>
      <c r="BA50" s="379">
        <f t="shared" si="19"/>
        <v>1835.1127000000001</v>
      </c>
      <c r="BB50" s="379">
        <f t="shared" si="19"/>
        <v>0</v>
      </c>
      <c r="BC50" s="379">
        <f t="shared" si="19"/>
        <v>0</v>
      </c>
      <c r="BD50" s="379">
        <f t="shared" si="19"/>
        <v>0</v>
      </c>
      <c r="BE50" s="379">
        <f t="shared" si="19"/>
        <v>0</v>
      </c>
      <c r="BF50" s="379">
        <f t="shared" si="19"/>
        <v>0</v>
      </c>
      <c r="BG50" s="379">
        <f t="shared" si="19"/>
        <v>0</v>
      </c>
      <c r="BH50" s="379">
        <f t="shared" si="19"/>
        <v>0</v>
      </c>
      <c r="BI50" s="379">
        <f t="shared" si="19"/>
        <v>0</v>
      </c>
      <c r="BJ50" s="379">
        <f t="shared" si="19"/>
        <v>0</v>
      </c>
      <c r="BK50" s="379">
        <f t="shared" si="19"/>
        <v>0</v>
      </c>
      <c r="BL50" s="379">
        <f t="shared" si="19"/>
        <v>0</v>
      </c>
      <c r="BM50" s="379">
        <f t="shared" si="19"/>
        <v>0</v>
      </c>
      <c r="BN50" s="379">
        <f t="shared" si="19"/>
        <v>0</v>
      </c>
      <c r="BO50" s="379">
        <f t="shared" si="19"/>
        <v>0</v>
      </c>
      <c r="BP50" s="379">
        <f t="shared" si="19"/>
        <v>0</v>
      </c>
      <c r="BQ50" s="379">
        <f t="shared" si="19"/>
        <v>0</v>
      </c>
      <c r="BR50" s="379">
        <f t="shared" ref="BR50:CK50" si="20">SUM(BR44:BR49)</f>
        <v>0</v>
      </c>
      <c r="BS50" s="379">
        <f t="shared" si="20"/>
        <v>0</v>
      </c>
      <c r="BT50" s="379">
        <f t="shared" si="20"/>
        <v>0</v>
      </c>
      <c r="BU50" s="379">
        <f t="shared" si="20"/>
        <v>0</v>
      </c>
      <c r="BV50" s="379">
        <f t="shared" si="20"/>
        <v>0</v>
      </c>
      <c r="BW50" s="379">
        <f t="shared" si="20"/>
        <v>0</v>
      </c>
      <c r="BX50" s="379">
        <f t="shared" si="20"/>
        <v>0</v>
      </c>
      <c r="BY50" s="379">
        <f t="shared" si="20"/>
        <v>0</v>
      </c>
      <c r="BZ50" s="379">
        <f t="shared" si="20"/>
        <v>0</v>
      </c>
      <c r="CA50" s="379">
        <f t="shared" si="20"/>
        <v>0</v>
      </c>
      <c r="CB50" s="379">
        <f t="shared" si="20"/>
        <v>0</v>
      </c>
      <c r="CC50" s="379">
        <f t="shared" si="20"/>
        <v>0</v>
      </c>
      <c r="CD50" s="379">
        <f t="shared" si="20"/>
        <v>0</v>
      </c>
      <c r="CE50" s="379">
        <f t="shared" si="20"/>
        <v>0</v>
      </c>
      <c r="CF50" s="379">
        <f t="shared" si="20"/>
        <v>0</v>
      </c>
      <c r="CG50" s="379">
        <f t="shared" si="20"/>
        <v>0</v>
      </c>
      <c r="CH50" s="379">
        <f t="shared" si="20"/>
        <v>0</v>
      </c>
      <c r="CI50" s="379">
        <f t="shared" si="20"/>
        <v>0</v>
      </c>
      <c r="CJ50" s="379">
        <f t="shared" si="20"/>
        <v>0</v>
      </c>
      <c r="CK50" s="379">
        <f t="shared" si="20"/>
        <v>0</v>
      </c>
      <c r="CL50" s="101"/>
      <c r="CN50" s="251"/>
    </row>
    <row r="51" spans="1:99" s="254" customFormat="1" ht="11.45" customHeight="1" x14ac:dyDescent="0.2">
      <c r="A51" s="30"/>
      <c r="B51" s="77"/>
      <c r="C51" s="37" t="str">
        <f>'Lead NA'!C50</f>
        <v>Passive latente Steuern</v>
      </c>
      <c r="D51" s="37" t="str">
        <f>'Lead NA'!D50</f>
        <v>Deferred tax liabilities</v>
      </c>
      <c r="E51" s="36">
        <f>'Lead NA'!E50</f>
        <v>0</v>
      </c>
      <c r="F51" s="36"/>
      <c r="G51" s="36"/>
      <c r="H51" s="36"/>
      <c r="I51" s="36"/>
      <c r="J51" s="36"/>
      <c r="K51" s="36"/>
      <c r="L51" s="36"/>
      <c r="M51" s="36"/>
      <c r="N51" s="36"/>
      <c r="O51" s="36"/>
      <c r="P51" s="36"/>
      <c r="Q51" s="36">
        <f>'Lead NA'!F50</f>
        <v>0</v>
      </c>
      <c r="R51" s="36">
        <f>SUMIF('Trial Balance (Susa)'!$D:$D,"*"&amp;$CN51&amp;"*",'Trial Balance (Susa)'!K:K)/1000</f>
        <v>0</v>
      </c>
      <c r="S51" s="36">
        <f>SUMIF('Trial Balance (Susa)'!$D:$D,"*"&amp;$CN51&amp;"*",'Trial Balance (Susa)'!L:L)/1000</f>
        <v>0</v>
      </c>
      <c r="T51" s="36">
        <f>SUMIF('Trial Balance (Susa)'!$D:$D,"*"&amp;$CN51&amp;"*",'Trial Balance (Susa)'!M:M)/1000</f>
        <v>0</v>
      </c>
      <c r="U51" s="36">
        <f>SUMIF('Trial Balance (Susa)'!$D:$D,"*"&amp;$CN51&amp;"*",'Trial Balance (Susa)'!N:N)/1000</f>
        <v>0</v>
      </c>
      <c r="V51" s="36">
        <f>SUMIF('Trial Balance (Susa)'!$D:$D,"*"&amp;$CN51&amp;"*",'Trial Balance (Susa)'!O:O)/1000</f>
        <v>0</v>
      </c>
      <c r="W51" s="36">
        <f>SUMIF('Trial Balance (Susa)'!$D:$D,"*"&amp;$CN51&amp;"*",'Trial Balance (Susa)'!P:P)/1000</f>
        <v>0</v>
      </c>
      <c r="X51" s="36">
        <f>SUMIF('Trial Balance (Susa)'!$D:$D,"*"&amp;$CN51&amp;"*",'Trial Balance (Susa)'!Q:Q)/1000</f>
        <v>0</v>
      </c>
      <c r="Y51" s="36">
        <f>SUMIF('Trial Balance (Susa)'!$D:$D,"*"&amp;$CN51&amp;"*",'Trial Balance (Susa)'!R:R)/1000</f>
        <v>0</v>
      </c>
      <c r="Z51" s="36">
        <f>SUMIF('Trial Balance (Susa)'!$D:$D,"*"&amp;$CN51&amp;"*",'Trial Balance (Susa)'!S:S)/1000</f>
        <v>0</v>
      </c>
      <c r="AA51" s="36">
        <f>SUMIF('Trial Balance (Susa)'!$D:$D,"*"&amp;$CN51&amp;"*",'Trial Balance (Susa)'!T:T)/1000</f>
        <v>0</v>
      </c>
      <c r="AB51" s="36">
        <f>SUMIF('Trial Balance (Susa)'!$D:$D,"*"&amp;$CN51&amp;"*",'Trial Balance (Susa)'!U:U)/1000</f>
        <v>0</v>
      </c>
      <c r="AC51" s="36">
        <f>SUMIF('Trial Balance (Susa)'!$D:$D,"*"&amp;$CN51&amp;"*",'Trial Balance (Susa)'!V:V)/1000</f>
        <v>0</v>
      </c>
      <c r="AD51" s="36">
        <f>SUMIF('Trial Balance (Susa)'!$D:$D,"*"&amp;$CN51&amp;"*",'Trial Balance (Susa)'!W:W)/1000</f>
        <v>0</v>
      </c>
      <c r="AE51" s="36">
        <f>SUMIF('Trial Balance (Susa)'!$D:$D,"*"&amp;$CN51&amp;"*",'Trial Balance (Susa)'!X:X)/1000</f>
        <v>0</v>
      </c>
      <c r="AF51" s="36">
        <f>SUMIF('Trial Balance (Susa)'!$D:$D,"*"&amp;$CN51&amp;"*",'Trial Balance (Susa)'!Y:Y)/1000</f>
        <v>0</v>
      </c>
      <c r="AG51" s="36">
        <f>SUMIF('Trial Balance (Susa)'!$D:$D,"*"&amp;$CN51&amp;"*",'Trial Balance (Susa)'!Z:Z)/1000</f>
        <v>0</v>
      </c>
      <c r="AH51" s="36">
        <f>SUMIF('Trial Balance (Susa)'!$D:$D,"*"&amp;$CN51&amp;"*",'Trial Balance (Susa)'!AA:AA)/1000</f>
        <v>0</v>
      </c>
      <c r="AI51" s="36">
        <f>SUMIF('Trial Balance (Susa)'!$D:$D,"*"&amp;$CN51&amp;"*",'Trial Balance (Susa)'!AB:AB)/1000</f>
        <v>0</v>
      </c>
      <c r="AJ51" s="36">
        <f>SUMIF('Trial Balance (Susa)'!$D:$D,"*"&amp;$CN51&amp;"*",'Trial Balance (Susa)'!AC:AC)/1000</f>
        <v>0</v>
      </c>
      <c r="AK51" s="36">
        <f>SUMIF('Trial Balance (Susa)'!$D:$D,"*"&amp;$CN51&amp;"*",'Trial Balance (Susa)'!AD:AD)/1000</f>
        <v>0</v>
      </c>
      <c r="AL51" s="36">
        <f>SUMIF('Trial Balance (Susa)'!$D:$D,"*"&amp;$CN51&amp;"*",'Trial Balance (Susa)'!AE:AE)/1000</f>
        <v>0</v>
      </c>
      <c r="AM51" s="36">
        <f>SUMIF('Trial Balance (Susa)'!$D:$D,"*"&amp;$CN51&amp;"*",'Trial Balance (Susa)'!AF:AF)/1000</f>
        <v>0</v>
      </c>
      <c r="AN51" s="36">
        <f>SUMIF('Trial Balance (Susa)'!$D:$D,"*"&amp;$CN51&amp;"*",'Trial Balance (Susa)'!AG:AG)/1000</f>
        <v>0</v>
      </c>
      <c r="AO51" s="36">
        <f>SUMIF('Trial Balance (Susa)'!$D:$D,"*"&amp;$CN51&amp;"*",'Trial Balance (Susa)'!AH:AH)/1000</f>
        <v>-48.875999999999998</v>
      </c>
      <c r="AP51" s="36">
        <f>SUMIF('Trial Balance (Susa)'!$D:$D,"*"&amp;$CN51&amp;"*",'Trial Balance (Susa)'!AI:AI)/1000</f>
        <v>-48.875999999999998</v>
      </c>
      <c r="AQ51" s="36">
        <f>SUMIF('Trial Balance (Susa)'!$D:$D,"*"&amp;$CN51&amp;"*",'Trial Balance (Susa)'!AJ:AJ)/1000</f>
        <v>-48.875999999999998</v>
      </c>
      <c r="AR51" s="36">
        <f>SUMIF('Trial Balance (Susa)'!$D:$D,"*"&amp;$CN51&amp;"*",'Trial Balance (Susa)'!AK:AK)/1000</f>
        <v>-48.875999999999998</v>
      </c>
      <c r="AS51" s="36">
        <f>SUMIF('Trial Balance (Susa)'!$D:$D,"*"&amp;$CN51&amp;"*",'Trial Balance (Susa)'!AL:AL)/1000</f>
        <v>-48.875999999999998</v>
      </c>
      <c r="AT51" s="36">
        <f>SUMIF('Trial Balance (Susa)'!$D:$D,"*"&amp;$CN51&amp;"*",'Trial Balance (Susa)'!AM:AM)/1000</f>
        <v>-48.875999999999998</v>
      </c>
      <c r="AU51" s="36">
        <f>SUMIF('Trial Balance (Susa)'!$D:$D,"*"&amp;$CN51&amp;"*",'Trial Balance (Susa)'!AN:AN)/1000</f>
        <v>-48.875999999999998</v>
      </c>
      <c r="AV51" s="36">
        <f>SUMIF('Trial Balance (Susa)'!$D:$D,"*"&amp;$CN51&amp;"*",'Trial Balance (Susa)'!AO:AO)/1000</f>
        <v>-48.875999999999998</v>
      </c>
      <c r="AW51" s="36">
        <f>SUMIF('Trial Balance (Susa)'!$D:$D,"*"&amp;$CN51&amp;"*",'Trial Balance (Susa)'!AP:AP)/1000</f>
        <v>-48.875999999999998</v>
      </c>
      <c r="AX51" s="36">
        <f>SUMIF('Trial Balance (Susa)'!$D:$D,"*"&amp;$CN51&amp;"*",'Trial Balance (Susa)'!AQ:AQ)/1000</f>
        <v>-48.875999999999998</v>
      </c>
      <c r="AY51" s="36">
        <f>SUMIF('Trial Balance (Susa)'!$D:$D,"*"&amp;$CN51&amp;"*",'Trial Balance (Susa)'!AR:AR)/1000</f>
        <v>-48.875999999999998</v>
      </c>
      <c r="AZ51" s="36">
        <f>SUMIF('Trial Balance (Susa)'!$D:$D,"*"&amp;$CN51&amp;"*",'Trial Balance (Susa)'!AS:AS)/1000</f>
        <v>-48.875999999999998</v>
      </c>
      <c r="BA51" s="36">
        <f>SUMIF('Trial Balance (Susa)'!$D:$D,"*"&amp;$CN51&amp;"*",'Trial Balance (Susa)'!AT:AT)/1000</f>
        <v>-198.33600000000001</v>
      </c>
      <c r="BB51" s="278"/>
      <c r="BC51" s="278"/>
      <c r="BD51" s="278"/>
      <c r="BE51" s="278"/>
      <c r="BF51" s="278"/>
      <c r="BG51" s="278"/>
      <c r="BH51" s="278"/>
      <c r="BI51" s="278"/>
      <c r="BJ51" s="278"/>
      <c r="BK51" s="278"/>
      <c r="BL51" s="278"/>
      <c r="BM51" s="278"/>
      <c r="BN51" s="278"/>
      <c r="BO51" s="278"/>
      <c r="BP51" s="278"/>
      <c r="BQ51" s="278"/>
      <c r="BR51" s="278"/>
      <c r="BS51" s="278"/>
      <c r="BT51" s="278"/>
      <c r="BU51" s="278"/>
      <c r="BV51" s="278"/>
      <c r="BW51" s="278"/>
      <c r="BX51" s="278"/>
      <c r="BY51" s="278"/>
      <c r="BZ51" s="278"/>
      <c r="CA51" s="278"/>
      <c r="CB51" s="278"/>
      <c r="CC51" s="278"/>
      <c r="CD51" s="278"/>
      <c r="CE51" s="278"/>
      <c r="CF51" s="278"/>
      <c r="CG51" s="278"/>
      <c r="CH51" s="278"/>
      <c r="CI51" s="278"/>
      <c r="CJ51" s="278"/>
      <c r="CK51" s="278"/>
      <c r="CL51" s="77"/>
      <c r="CN51" s="364" t="str">
        <f>'Lead NA'!P50</f>
        <v>/other/deferred tax liabilities</v>
      </c>
    </row>
    <row r="52" spans="1:99" s="254" customFormat="1" ht="11.45" hidden="1" customHeight="1" outlineLevel="2" x14ac:dyDescent="0.2">
      <c r="A52" s="30"/>
      <c r="B52" s="77"/>
      <c r="C52" s="37" t="str">
        <f>'Lead NA'!C51</f>
        <v>Dummy 1</v>
      </c>
      <c r="D52" s="37" t="str">
        <f>'Lead NA'!D51</f>
        <v>Dummy 1</v>
      </c>
      <c r="E52" s="36">
        <f>'Lead NA'!E51</f>
        <v>0</v>
      </c>
      <c r="F52" s="36"/>
      <c r="G52" s="36"/>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278"/>
      <c r="AV52" s="278"/>
      <c r="AW52" s="278"/>
      <c r="AX52" s="278"/>
      <c r="AY52" s="278"/>
      <c r="AZ52" s="278"/>
      <c r="BA52" s="278"/>
      <c r="BB52" s="278"/>
      <c r="BC52" s="278"/>
      <c r="BD52" s="278"/>
      <c r="BE52" s="278"/>
      <c r="BF52" s="278"/>
      <c r="BG52" s="278"/>
      <c r="BH52" s="278"/>
      <c r="BI52" s="278"/>
      <c r="BJ52" s="278"/>
      <c r="BK52" s="278"/>
      <c r="BL52" s="278"/>
      <c r="BM52" s="278"/>
      <c r="BN52" s="278"/>
      <c r="BO52" s="278"/>
      <c r="BP52" s="278"/>
      <c r="BQ52" s="278"/>
      <c r="BR52" s="278"/>
      <c r="BS52" s="278"/>
      <c r="BT52" s="278"/>
      <c r="BU52" s="278"/>
      <c r="BV52" s="278"/>
      <c r="BW52" s="278"/>
      <c r="BX52" s="278"/>
      <c r="BY52" s="278"/>
      <c r="BZ52" s="278"/>
      <c r="CA52" s="278"/>
      <c r="CB52" s="278"/>
      <c r="CC52" s="278"/>
      <c r="CD52" s="278"/>
      <c r="CE52" s="278"/>
      <c r="CF52" s="278"/>
      <c r="CG52" s="278"/>
      <c r="CH52" s="278"/>
      <c r="CI52" s="278"/>
      <c r="CJ52" s="278"/>
      <c r="CK52" s="278"/>
      <c r="CL52" s="77"/>
      <c r="CN52" s="364"/>
    </row>
    <row r="53" spans="1:99" s="254" customFormat="1" ht="11.45" hidden="1" customHeight="1" outlineLevel="2" x14ac:dyDescent="0.2">
      <c r="A53" s="30"/>
      <c r="B53" s="77"/>
      <c r="C53" s="37" t="str">
        <f>'Lead NA'!C52</f>
        <v>Dummy 2</v>
      </c>
      <c r="D53" s="37" t="str">
        <f>'Lead NA'!D52</f>
        <v>Dummy 2</v>
      </c>
      <c r="E53" s="36">
        <f>'Lead NA'!E52</f>
        <v>0</v>
      </c>
      <c r="F53" s="36"/>
      <c r="G53" s="36"/>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278"/>
      <c r="AV53" s="278"/>
      <c r="AW53" s="278"/>
      <c r="AX53" s="278"/>
      <c r="AY53" s="278"/>
      <c r="AZ53" s="278"/>
      <c r="BA53" s="278"/>
      <c r="BB53" s="278"/>
      <c r="BC53" s="278"/>
      <c r="BD53" s="278"/>
      <c r="BE53" s="278"/>
      <c r="BF53" s="278"/>
      <c r="BG53" s="278"/>
      <c r="BH53" s="278"/>
      <c r="BI53" s="278"/>
      <c r="BJ53" s="278"/>
      <c r="BK53" s="278"/>
      <c r="BL53" s="278"/>
      <c r="BM53" s="278"/>
      <c r="BN53" s="278"/>
      <c r="BO53" s="278"/>
      <c r="BP53" s="278"/>
      <c r="BQ53" s="278"/>
      <c r="BR53" s="278"/>
      <c r="BS53" s="278"/>
      <c r="BT53" s="278"/>
      <c r="BU53" s="278"/>
      <c r="BV53" s="278"/>
      <c r="BW53" s="278"/>
      <c r="BX53" s="278"/>
      <c r="BY53" s="278"/>
      <c r="BZ53" s="278"/>
      <c r="CA53" s="278"/>
      <c r="CB53" s="278"/>
      <c r="CC53" s="278"/>
      <c r="CD53" s="278"/>
      <c r="CE53" s="278"/>
      <c r="CF53" s="278"/>
      <c r="CG53" s="278"/>
      <c r="CH53" s="278"/>
      <c r="CI53" s="278"/>
      <c r="CJ53" s="278"/>
      <c r="CK53" s="278"/>
      <c r="CL53" s="77"/>
      <c r="CN53" s="364"/>
    </row>
    <row r="54" spans="1:99" s="254" customFormat="1" ht="11.45" hidden="1" customHeight="1" outlineLevel="2" x14ac:dyDescent="0.2">
      <c r="A54" s="30"/>
      <c r="B54" s="77"/>
      <c r="C54" s="37" t="str">
        <f>'Lead NA'!C53</f>
        <v>Dummy 3</v>
      </c>
      <c r="D54" s="37" t="str">
        <f>'Lead NA'!D53</f>
        <v>Dummy 3</v>
      </c>
      <c r="E54" s="36">
        <f>'Lead NA'!E53</f>
        <v>0</v>
      </c>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278"/>
      <c r="AV54" s="278"/>
      <c r="AW54" s="278"/>
      <c r="AX54" s="278"/>
      <c r="AY54" s="278"/>
      <c r="AZ54" s="278"/>
      <c r="BA54" s="278"/>
      <c r="BB54" s="278"/>
      <c r="BC54" s="278"/>
      <c r="BD54" s="278"/>
      <c r="BE54" s="278"/>
      <c r="BF54" s="278"/>
      <c r="BG54" s="278"/>
      <c r="BH54" s="278"/>
      <c r="BI54" s="278"/>
      <c r="BJ54" s="278"/>
      <c r="BK54" s="278"/>
      <c r="BL54" s="278"/>
      <c r="BM54" s="278"/>
      <c r="BN54" s="278"/>
      <c r="BO54" s="278"/>
      <c r="BP54" s="278"/>
      <c r="BQ54" s="278"/>
      <c r="BR54" s="278"/>
      <c r="BS54" s="278"/>
      <c r="BT54" s="278"/>
      <c r="BU54" s="278"/>
      <c r="BV54" s="278"/>
      <c r="BW54" s="278"/>
      <c r="BX54" s="278"/>
      <c r="BY54" s="278"/>
      <c r="BZ54" s="278"/>
      <c r="CA54" s="278"/>
      <c r="CB54" s="278"/>
      <c r="CC54" s="278"/>
      <c r="CD54" s="278"/>
      <c r="CE54" s="278"/>
      <c r="CF54" s="278"/>
      <c r="CG54" s="278"/>
      <c r="CH54" s="278"/>
      <c r="CI54" s="278"/>
      <c r="CJ54" s="278"/>
      <c r="CK54" s="278"/>
      <c r="CL54" s="77"/>
      <c r="CN54" s="364"/>
    </row>
    <row r="55" spans="1:99" s="254" customFormat="1" ht="11.45" customHeight="1" collapsed="1" x14ac:dyDescent="0.2">
      <c r="A55" s="30"/>
      <c r="B55" s="77"/>
      <c r="C55" s="133" t="str">
        <f>'Lead NA'!C54</f>
        <v>Nettovermögen (Eigenkapital)</v>
      </c>
      <c r="D55" s="133" t="str">
        <f>'Lead NA'!D54</f>
        <v>Net assets (Equity)</v>
      </c>
      <c r="E55" s="132" t="e">
        <f t="shared" ref="E55:AK55" si="21">E50+E43+E15+SUM(E51:E54)</f>
        <v>#REF!</v>
      </c>
      <c r="F55" s="132">
        <f t="shared" si="21"/>
        <v>0</v>
      </c>
      <c r="G55" s="132">
        <f t="shared" si="21"/>
        <v>0</v>
      </c>
      <c r="H55" s="132">
        <f t="shared" si="21"/>
        <v>0</v>
      </c>
      <c r="I55" s="132">
        <f t="shared" si="21"/>
        <v>0</v>
      </c>
      <c r="J55" s="132">
        <f t="shared" si="21"/>
        <v>0</v>
      </c>
      <c r="K55" s="132">
        <f t="shared" si="21"/>
        <v>0</v>
      </c>
      <c r="L55" s="132">
        <f t="shared" si="21"/>
        <v>0</v>
      </c>
      <c r="M55" s="132">
        <f t="shared" si="21"/>
        <v>0</v>
      </c>
      <c r="N55" s="132">
        <f t="shared" si="21"/>
        <v>0</v>
      </c>
      <c r="O55" s="132">
        <f t="shared" si="21"/>
        <v>0</v>
      </c>
      <c r="P55" s="132">
        <f t="shared" si="21"/>
        <v>0</v>
      </c>
      <c r="Q55" s="132">
        <f t="shared" si="21"/>
        <v>5794.2710699999998</v>
      </c>
      <c r="R55" s="132">
        <f t="shared" si="21"/>
        <v>5715.1953300000005</v>
      </c>
      <c r="S55" s="132">
        <f t="shared" si="21"/>
        <v>5531.1386899999998</v>
      </c>
      <c r="T55" s="132">
        <f t="shared" si="21"/>
        <v>4961.6039099999998</v>
      </c>
      <c r="U55" s="132">
        <f t="shared" si="21"/>
        <v>5088.3585800000001</v>
      </c>
      <c r="V55" s="132">
        <f t="shared" si="21"/>
        <v>4824.9525400000002</v>
      </c>
      <c r="W55" s="132">
        <f t="shared" si="21"/>
        <v>5586.0836900000004</v>
      </c>
      <c r="X55" s="132">
        <f t="shared" si="21"/>
        <v>5594.4804899999999</v>
      </c>
      <c r="Y55" s="132">
        <f t="shared" si="21"/>
        <v>5933.0790300000008</v>
      </c>
      <c r="Z55" s="132">
        <f t="shared" si="21"/>
        <v>5863.7887999999984</v>
      </c>
      <c r="AA55" s="132">
        <f t="shared" si="21"/>
        <v>5887.3353199999983</v>
      </c>
      <c r="AB55" s="132">
        <f t="shared" si="21"/>
        <v>6173.0894099999987</v>
      </c>
      <c r="AC55" s="132">
        <f t="shared" si="21"/>
        <v>6136.9079100000008</v>
      </c>
      <c r="AD55" s="132">
        <f t="shared" si="21"/>
        <v>6310.1731000000018</v>
      </c>
      <c r="AE55" s="132">
        <f t="shared" si="21"/>
        <v>6512.6436199999998</v>
      </c>
      <c r="AF55" s="132">
        <f t="shared" si="21"/>
        <v>6944.4733799999995</v>
      </c>
      <c r="AG55" s="132">
        <f t="shared" si="21"/>
        <v>6154.4665200000009</v>
      </c>
      <c r="AH55" s="132">
        <f t="shared" si="21"/>
        <v>6125.5794500000011</v>
      </c>
      <c r="AI55" s="132">
        <f t="shared" si="21"/>
        <v>5838.6420499999995</v>
      </c>
      <c r="AJ55" s="132">
        <f t="shared" si="21"/>
        <v>5034.4390699999994</v>
      </c>
      <c r="AK55" s="132">
        <f t="shared" si="21"/>
        <v>5193.64149</v>
      </c>
      <c r="AL55" s="132">
        <f t="shared" ref="AL55:BQ55" si="22">AL50+AL43+AL15+SUM(AL51:AL54)</f>
        <v>4856.2919599999996</v>
      </c>
      <c r="AM55" s="132">
        <f t="shared" si="22"/>
        <v>4929.6607199999999</v>
      </c>
      <c r="AN55" s="132">
        <f t="shared" si="22"/>
        <v>5078.491</v>
      </c>
      <c r="AO55" s="132">
        <f t="shared" si="22"/>
        <v>6231.9602100000002</v>
      </c>
      <c r="AP55" s="132">
        <f t="shared" si="22"/>
        <v>6344.1263099999996</v>
      </c>
      <c r="AQ55" s="132">
        <f t="shared" si="22"/>
        <v>6387.8354900000004</v>
      </c>
      <c r="AR55" s="132">
        <f t="shared" si="22"/>
        <v>6249.0093500000003</v>
      </c>
      <c r="AS55" s="132">
        <f t="shared" si="22"/>
        <v>6426.6620599999997</v>
      </c>
      <c r="AT55" s="132">
        <f t="shared" si="22"/>
        <v>6513.5656600000002</v>
      </c>
      <c r="AU55" s="390">
        <f t="shared" si="22"/>
        <v>6696.6562000000004</v>
      </c>
      <c r="AV55" s="390">
        <f t="shared" si="22"/>
        <v>6659.7942099999991</v>
      </c>
      <c r="AW55" s="390">
        <f t="shared" si="22"/>
        <v>7050.9629999999988</v>
      </c>
      <c r="AX55" s="390">
        <f t="shared" si="22"/>
        <v>7175.4788799999997</v>
      </c>
      <c r="AY55" s="390">
        <f t="shared" si="22"/>
        <v>7376.5366700000004</v>
      </c>
      <c r="AZ55" s="390">
        <f t="shared" si="22"/>
        <v>7168.1165700000001</v>
      </c>
      <c r="BA55" s="390">
        <f t="shared" si="22"/>
        <v>6991.3051100000002</v>
      </c>
      <c r="BB55" s="390">
        <f t="shared" si="22"/>
        <v>0</v>
      </c>
      <c r="BC55" s="390">
        <f t="shared" si="22"/>
        <v>0</v>
      </c>
      <c r="BD55" s="390">
        <f t="shared" si="22"/>
        <v>0</v>
      </c>
      <c r="BE55" s="390">
        <f t="shared" si="22"/>
        <v>0</v>
      </c>
      <c r="BF55" s="390">
        <f t="shared" si="22"/>
        <v>0</v>
      </c>
      <c r="BG55" s="390">
        <f t="shared" si="22"/>
        <v>0</v>
      </c>
      <c r="BH55" s="390">
        <f t="shared" si="22"/>
        <v>0</v>
      </c>
      <c r="BI55" s="390">
        <f t="shared" si="22"/>
        <v>0</v>
      </c>
      <c r="BJ55" s="390">
        <f t="shared" si="22"/>
        <v>0</v>
      </c>
      <c r="BK55" s="390">
        <f t="shared" si="22"/>
        <v>0</v>
      </c>
      <c r="BL55" s="390">
        <f t="shared" si="22"/>
        <v>0</v>
      </c>
      <c r="BM55" s="390">
        <f t="shared" si="22"/>
        <v>0</v>
      </c>
      <c r="BN55" s="390">
        <f t="shared" si="22"/>
        <v>0</v>
      </c>
      <c r="BO55" s="390">
        <f t="shared" si="22"/>
        <v>0</v>
      </c>
      <c r="BP55" s="390">
        <f t="shared" si="22"/>
        <v>0</v>
      </c>
      <c r="BQ55" s="390">
        <f t="shared" si="22"/>
        <v>0</v>
      </c>
      <c r="BR55" s="390">
        <f t="shared" ref="BR55:CK55" si="23">BR50+BR43+BR15+SUM(BR51:BR54)</f>
        <v>0</v>
      </c>
      <c r="BS55" s="390">
        <f t="shared" si="23"/>
        <v>0</v>
      </c>
      <c r="BT55" s="390">
        <f t="shared" si="23"/>
        <v>0</v>
      </c>
      <c r="BU55" s="390">
        <f t="shared" si="23"/>
        <v>0</v>
      </c>
      <c r="BV55" s="390">
        <f t="shared" si="23"/>
        <v>0</v>
      </c>
      <c r="BW55" s="390">
        <f t="shared" si="23"/>
        <v>0</v>
      </c>
      <c r="BX55" s="390">
        <f t="shared" si="23"/>
        <v>0</v>
      </c>
      <c r="BY55" s="390">
        <f t="shared" si="23"/>
        <v>0</v>
      </c>
      <c r="BZ55" s="390">
        <f t="shared" si="23"/>
        <v>0</v>
      </c>
      <c r="CA55" s="390">
        <f t="shared" si="23"/>
        <v>0</v>
      </c>
      <c r="CB55" s="390">
        <f t="shared" si="23"/>
        <v>0</v>
      </c>
      <c r="CC55" s="390">
        <f t="shared" si="23"/>
        <v>0</v>
      </c>
      <c r="CD55" s="390">
        <f t="shared" si="23"/>
        <v>0</v>
      </c>
      <c r="CE55" s="390">
        <f t="shared" si="23"/>
        <v>0</v>
      </c>
      <c r="CF55" s="390">
        <f t="shared" si="23"/>
        <v>0</v>
      </c>
      <c r="CG55" s="390">
        <f t="shared" si="23"/>
        <v>0</v>
      </c>
      <c r="CH55" s="390">
        <f t="shared" si="23"/>
        <v>0</v>
      </c>
      <c r="CI55" s="390">
        <f t="shared" si="23"/>
        <v>0</v>
      </c>
      <c r="CJ55" s="390">
        <f t="shared" si="23"/>
        <v>0</v>
      </c>
      <c r="CK55" s="390">
        <f t="shared" si="23"/>
        <v>0</v>
      </c>
      <c r="CL55" s="77"/>
    </row>
    <row r="56" spans="1:99" s="254" customFormat="1" ht="4.5" customHeight="1" x14ac:dyDescent="0.2">
      <c r="A56" s="30"/>
      <c r="B56" s="77"/>
      <c r="C56" s="37"/>
      <c r="D56" s="37"/>
      <c r="E56" s="36"/>
      <c r="F56" s="36"/>
      <c r="G56" s="36"/>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278"/>
      <c r="AV56" s="278"/>
      <c r="AW56" s="278"/>
      <c r="AX56" s="278"/>
      <c r="AY56" s="278"/>
      <c r="AZ56" s="278"/>
      <c r="BA56" s="278"/>
      <c r="BB56" s="278"/>
      <c r="BC56" s="278"/>
      <c r="BD56" s="278"/>
      <c r="BE56" s="278"/>
      <c r="BF56" s="278"/>
      <c r="BG56" s="278"/>
      <c r="BH56" s="278"/>
      <c r="BI56" s="278"/>
      <c r="BJ56" s="278"/>
      <c r="BK56" s="278"/>
      <c r="BL56" s="278"/>
      <c r="BM56" s="278"/>
      <c r="BN56" s="278"/>
      <c r="BO56" s="278"/>
      <c r="BP56" s="278"/>
      <c r="BQ56" s="278"/>
      <c r="BR56" s="278"/>
      <c r="BS56" s="278"/>
      <c r="BT56" s="278"/>
      <c r="BU56" s="278"/>
      <c r="BV56" s="278"/>
      <c r="BW56" s="278"/>
      <c r="BX56" s="278"/>
      <c r="BY56" s="278"/>
      <c r="BZ56" s="278"/>
      <c r="CA56" s="278"/>
      <c r="CB56" s="278"/>
      <c r="CC56" s="278"/>
      <c r="CD56" s="278"/>
      <c r="CE56" s="278"/>
      <c r="CF56" s="278"/>
      <c r="CG56" s="278"/>
      <c r="CH56" s="278"/>
      <c r="CI56" s="278"/>
      <c r="CJ56" s="278"/>
      <c r="CK56" s="278"/>
      <c r="CL56" s="77"/>
    </row>
    <row r="57" spans="1:99" s="254" customFormat="1" ht="11.45" hidden="1" customHeight="1" outlineLevel="1" x14ac:dyDescent="0.2">
      <c r="A57" s="30"/>
      <c r="B57" s="77"/>
      <c r="C57" s="90" t="s">
        <v>282</v>
      </c>
      <c r="D57" s="90" t="s">
        <v>269</v>
      </c>
      <c r="E57" s="36"/>
      <c r="F57" s="36"/>
      <c r="G57" s="36"/>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278"/>
      <c r="AV57" s="278"/>
      <c r="AW57" s="278"/>
      <c r="AX57" s="278"/>
      <c r="AY57" s="278"/>
      <c r="AZ57" s="278"/>
      <c r="BA57" s="278"/>
      <c r="BB57" s="278"/>
      <c r="BC57" s="278"/>
      <c r="BD57" s="278"/>
      <c r="BE57" s="278"/>
      <c r="BF57" s="278"/>
      <c r="BG57" s="278"/>
      <c r="BH57" s="278"/>
      <c r="BI57" s="278"/>
      <c r="BJ57" s="278"/>
      <c r="BK57" s="278"/>
      <c r="BL57" s="278"/>
      <c r="BM57" s="278"/>
      <c r="BN57" s="278"/>
      <c r="BO57" s="278"/>
      <c r="BP57" s="278"/>
      <c r="BQ57" s="278"/>
      <c r="BR57" s="278"/>
      <c r="BS57" s="278"/>
      <c r="BT57" s="278"/>
      <c r="BU57" s="278"/>
      <c r="BV57" s="278"/>
      <c r="BW57" s="278"/>
      <c r="BX57" s="278"/>
      <c r="BY57" s="278"/>
      <c r="BZ57" s="278"/>
      <c r="CA57" s="278"/>
      <c r="CB57" s="278"/>
      <c r="CC57" s="278"/>
      <c r="CD57" s="278"/>
      <c r="CE57" s="278"/>
      <c r="CF57" s="278"/>
      <c r="CG57" s="278"/>
      <c r="CH57" s="278"/>
      <c r="CI57" s="278"/>
      <c r="CJ57" s="278"/>
      <c r="CK57" s="278"/>
      <c r="CL57" s="77"/>
    </row>
    <row r="58" spans="1:99" s="254" customFormat="1" ht="11.45" hidden="1" customHeight="1" outlineLevel="1" x14ac:dyDescent="0.2">
      <c r="A58" s="30"/>
      <c r="B58" s="77"/>
      <c r="C58" s="37" t="s">
        <v>281</v>
      </c>
      <c r="D58" s="37" t="s">
        <v>280</v>
      </c>
      <c r="E58" s="36">
        <f>'Lead NA'!E57</f>
        <v>0</v>
      </c>
      <c r="F58" s="36">
        <f t="shared" ref="F58:AK58" si="24">E63</f>
        <v>0</v>
      </c>
      <c r="G58" s="36">
        <f t="shared" si="24"/>
        <v>0</v>
      </c>
      <c r="H58" s="36">
        <f t="shared" si="24"/>
        <v>0</v>
      </c>
      <c r="I58" s="36">
        <f t="shared" si="24"/>
        <v>0</v>
      </c>
      <c r="J58" s="36">
        <f t="shared" si="24"/>
        <v>0</v>
      </c>
      <c r="K58" s="36">
        <f t="shared" si="24"/>
        <v>0</v>
      </c>
      <c r="L58" s="36">
        <f t="shared" si="24"/>
        <v>0</v>
      </c>
      <c r="M58" s="36">
        <f t="shared" si="24"/>
        <v>0</v>
      </c>
      <c r="N58" s="36">
        <f t="shared" si="24"/>
        <v>0</v>
      </c>
      <c r="O58" s="36">
        <f t="shared" si="24"/>
        <v>0</v>
      </c>
      <c r="P58" s="36">
        <f t="shared" si="24"/>
        <v>0</v>
      </c>
      <c r="Q58" s="36">
        <f t="shared" si="24"/>
        <v>0</v>
      </c>
      <c r="R58" s="36">
        <f t="shared" si="24"/>
        <v>0</v>
      </c>
      <c r="S58" s="36">
        <f t="shared" si="24"/>
        <v>0</v>
      </c>
      <c r="T58" s="36">
        <f t="shared" si="24"/>
        <v>0</v>
      </c>
      <c r="U58" s="36">
        <f t="shared" si="24"/>
        <v>0</v>
      </c>
      <c r="V58" s="36">
        <f t="shared" si="24"/>
        <v>0</v>
      </c>
      <c r="W58" s="36">
        <f t="shared" si="24"/>
        <v>0</v>
      </c>
      <c r="X58" s="36">
        <f t="shared" si="24"/>
        <v>0</v>
      </c>
      <c r="Y58" s="36">
        <f t="shared" si="24"/>
        <v>0</v>
      </c>
      <c r="Z58" s="36">
        <f t="shared" si="24"/>
        <v>0</v>
      </c>
      <c r="AA58" s="36">
        <f t="shared" si="24"/>
        <v>0</v>
      </c>
      <c r="AB58" s="36">
        <f t="shared" si="24"/>
        <v>0</v>
      </c>
      <c r="AC58" s="36">
        <f t="shared" si="24"/>
        <v>0</v>
      </c>
      <c r="AD58" s="36">
        <f t="shared" si="24"/>
        <v>0</v>
      </c>
      <c r="AE58" s="36">
        <f t="shared" si="24"/>
        <v>0</v>
      </c>
      <c r="AF58" s="36">
        <f t="shared" si="24"/>
        <v>0</v>
      </c>
      <c r="AG58" s="36">
        <f t="shared" si="24"/>
        <v>0</v>
      </c>
      <c r="AH58" s="36">
        <f t="shared" si="24"/>
        <v>0</v>
      </c>
      <c r="AI58" s="36">
        <f t="shared" si="24"/>
        <v>0</v>
      </c>
      <c r="AJ58" s="36">
        <f t="shared" si="24"/>
        <v>0</v>
      </c>
      <c r="AK58" s="36">
        <f t="shared" si="24"/>
        <v>0</v>
      </c>
      <c r="AL58" s="36">
        <f t="shared" ref="AL58:BQ58" si="25">AK63</f>
        <v>0</v>
      </c>
      <c r="AM58" s="36">
        <f t="shared" si="25"/>
        <v>0</v>
      </c>
      <c r="AN58" s="36">
        <f t="shared" si="25"/>
        <v>0</v>
      </c>
      <c r="AO58" s="36">
        <f t="shared" si="25"/>
        <v>0</v>
      </c>
      <c r="AP58" s="36">
        <f t="shared" si="25"/>
        <v>0</v>
      </c>
      <c r="AQ58" s="36">
        <f t="shared" si="25"/>
        <v>0</v>
      </c>
      <c r="AR58" s="36">
        <f t="shared" si="25"/>
        <v>0</v>
      </c>
      <c r="AS58" s="36">
        <f t="shared" si="25"/>
        <v>0</v>
      </c>
      <c r="AT58" s="36">
        <f t="shared" si="25"/>
        <v>0</v>
      </c>
      <c r="AU58" s="278">
        <f t="shared" si="25"/>
        <v>0</v>
      </c>
      <c r="AV58" s="278">
        <f t="shared" si="25"/>
        <v>0</v>
      </c>
      <c r="AW58" s="278">
        <f t="shared" si="25"/>
        <v>0</v>
      </c>
      <c r="AX58" s="278">
        <f t="shared" si="25"/>
        <v>0</v>
      </c>
      <c r="AY58" s="278">
        <f t="shared" si="25"/>
        <v>0</v>
      </c>
      <c r="AZ58" s="278">
        <f t="shared" si="25"/>
        <v>0</v>
      </c>
      <c r="BA58" s="278">
        <f t="shared" si="25"/>
        <v>0</v>
      </c>
      <c r="BB58" s="278">
        <f t="shared" si="25"/>
        <v>0</v>
      </c>
      <c r="BC58" s="278">
        <f t="shared" si="25"/>
        <v>0</v>
      </c>
      <c r="BD58" s="278">
        <f t="shared" si="25"/>
        <v>0</v>
      </c>
      <c r="BE58" s="278">
        <f t="shared" si="25"/>
        <v>0</v>
      </c>
      <c r="BF58" s="278">
        <f t="shared" si="25"/>
        <v>0</v>
      </c>
      <c r="BG58" s="278">
        <f t="shared" si="25"/>
        <v>0</v>
      </c>
      <c r="BH58" s="278">
        <f t="shared" si="25"/>
        <v>0</v>
      </c>
      <c r="BI58" s="278">
        <f t="shared" si="25"/>
        <v>0</v>
      </c>
      <c r="BJ58" s="278">
        <f t="shared" si="25"/>
        <v>0</v>
      </c>
      <c r="BK58" s="278">
        <f t="shared" si="25"/>
        <v>0</v>
      </c>
      <c r="BL58" s="278">
        <f t="shared" si="25"/>
        <v>0</v>
      </c>
      <c r="BM58" s="278">
        <f t="shared" si="25"/>
        <v>0</v>
      </c>
      <c r="BN58" s="278">
        <f t="shared" si="25"/>
        <v>0</v>
      </c>
      <c r="BO58" s="278">
        <f t="shared" si="25"/>
        <v>0</v>
      </c>
      <c r="BP58" s="278">
        <f t="shared" si="25"/>
        <v>0</v>
      </c>
      <c r="BQ58" s="278">
        <f t="shared" si="25"/>
        <v>0</v>
      </c>
      <c r="BR58" s="278">
        <f t="shared" ref="BR58:CK58" si="26">BQ63</f>
        <v>0</v>
      </c>
      <c r="BS58" s="278">
        <f t="shared" si="26"/>
        <v>0</v>
      </c>
      <c r="BT58" s="278">
        <f t="shared" si="26"/>
        <v>0</v>
      </c>
      <c r="BU58" s="278">
        <f t="shared" si="26"/>
        <v>0</v>
      </c>
      <c r="BV58" s="278">
        <f t="shared" si="26"/>
        <v>0</v>
      </c>
      <c r="BW58" s="278">
        <f t="shared" si="26"/>
        <v>0</v>
      </c>
      <c r="BX58" s="278">
        <f t="shared" si="26"/>
        <v>0</v>
      </c>
      <c r="BY58" s="278">
        <f t="shared" si="26"/>
        <v>0</v>
      </c>
      <c r="BZ58" s="278">
        <f t="shared" si="26"/>
        <v>0</v>
      </c>
      <c r="CA58" s="278">
        <f t="shared" si="26"/>
        <v>0</v>
      </c>
      <c r="CB58" s="278">
        <f t="shared" si="26"/>
        <v>0</v>
      </c>
      <c r="CC58" s="278">
        <f t="shared" si="26"/>
        <v>0</v>
      </c>
      <c r="CD58" s="278">
        <f t="shared" si="26"/>
        <v>0</v>
      </c>
      <c r="CE58" s="278">
        <f t="shared" si="26"/>
        <v>0</v>
      </c>
      <c r="CF58" s="278">
        <f t="shared" si="26"/>
        <v>0</v>
      </c>
      <c r="CG58" s="278">
        <f t="shared" si="26"/>
        <v>0</v>
      </c>
      <c r="CH58" s="278">
        <f t="shared" si="26"/>
        <v>0</v>
      </c>
      <c r="CI58" s="278">
        <f t="shared" si="26"/>
        <v>0</v>
      </c>
      <c r="CJ58" s="278">
        <f t="shared" si="26"/>
        <v>0</v>
      </c>
      <c r="CK58" s="278">
        <f t="shared" si="26"/>
        <v>0</v>
      </c>
      <c r="CL58" s="77"/>
    </row>
    <row r="59" spans="1:99" s="254" customFormat="1" ht="11.45" hidden="1" customHeight="1" outlineLevel="1" x14ac:dyDescent="0.2">
      <c r="A59" s="30"/>
      <c r="B59" s="77"/>
      <c r="C59" s="138" t="s">
        <v>279</v>
      </c>
      <c r="D59" s="138" t="s">
        <v>278</v>
      </c>
      <c r="E59" s="36">
        <f>'Lead NA'!E58</f>
        <v>0</v>
      </c>
      <c r="F59" s="36"/>
      <c r="G59" s="36"/>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278"/>
      <c r="AV59" s="278"/>
      <c r="AW59" s="278"/>
      <c r="AX59" s="278"/>
      <c r="AY59" s="278"/>
      <c r="AZ59" s="278"/>
      <c r="BA59" s="278"/>
      <c r="BB59" s="278"/>
      <c r="BC59" s="278"/>
      <c r="BD59" s="278"/>
      <c r="BE59" s="278"/>
      <c r="BF59" s="278"/>
      <c r="BG59" s="278"/>
      <c r="BH59" s="278"/>
      <c r="BI59" s="278"/>
      <c r="BJ59" s="278"/>
      <c r="BK59" s="278"/>
      <c r="BL59" s="278"/>
      <c r="BM59" s="278"/>
      <c r="BN59" s="278"/>
      <c r="BO59" s="278"/>
      <c r="BP59" s="278"/>
      <c r="BQ59" s="278"/>
      <c r="BR59" s="278"/>
      <c r="BS59" s="278"/>
      <c r="BT59" s="278"/>
      <c r="BU59" s="278"/>
      <c r="BV59" s="278"/>
      <c r="BW59" s="278"/>
      <c r="BX59" s="278"/>
      <c r="BY59" s="278"/>
      <c r="BZ59" s="278"/>
      <c r="CA59" s="278"/>
      <c r="CB59" s="278"/>
      <c r="CC59" s="278"/>
      <c r="CD59" s="278"/>
      <c r="CE59" s="278"/>
      <c r="CF59" s="278"/>
      <c r="CG59" s="278"/>
      <c r="CH59" s="278"/>
      <c r="CI59" s="278"/>
      <c r="CJ59" s="278"/>
      <c r="CK59" s="278"/>
      <c r="CL59" s="77"/>
      <c r="CN59" s="367" t="s">
        <v>759</v>
      </c>
    </row>
    <row r="60" spans="1:99" s="254" customFormat="1" ht="11.45" hidden="1" customHeight="1" outlineLevel="1" x14ac:dyDescent="0.2">
      <c r="A60" s="30"/>
      <c r="B60" s="77"/>
      <c r="C60" s="138" t="s">
        <v>277</v>
      </c>
      <c r="D60" s="138" t="s">
        <v>276</v>
      </c>
      <c r="E60" s="36">
        <f>'Lead NA'!E59</f>
        <v>0</v>
      </c>
      <c r="F60" s="36"/>
      <c r="G60" s="36"/>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278"/>
      <c r="AV60" s="278"/>
      <c r="AW60" s="278"/>
      <c r="AX60" s="278"/>
      <c r="AY60" s="278"/>
      <c r="AZ60" s="278"/>
      <c r="BA60" s="278"/>
      <c r="BB60" s="278"/>
      <c r="BC60" s="278"/>
      <c r="BD60" s="278"/>
      <c r="BE60" s="278"/>
      <c r="BF60" s="278"/>
      <c r="BG60" s="278"/>
      <c r="BH60" s="278"/>
      <c r="BI60" s="278"/>
      <c r="BJ60" s="278"/>
      <c r="BK60" s="278"/>
      <c r="BL60" s="278"/>
      <c r="BM60" s="278"/>
      <c r="BN60" s="278"/>
      <c r="BO60" s="278"/>
      <c r="BP60" s="278"/>
      <c r="BQ60" s="278"/>
      <c r="BR60" s="278"/>
      <c r="BS60" s="278"/>
      <c r="BT60" s="278"/>
      <c r="BU60" s="278"/>
      <c r="BV60" s="278"/>
      <c r="BW60" s="278"/>
      <c r="BX60" s="278"/>
      <c r="BY60" s="278"/>
      <c r="BZ60" s="278"/>
      <c r="CA60" s="278"/>
      <c r="CB60" s="278"/>
      <c r="CC60" s="278"/>
      <c r="CD60" s="278"/>
      <c r="CE60" s="278"/>
      <c r="CF60" s="278"/>
      <c r="CG60" s="278"/>
      <c r="CH60" s="278"/>
      <c r="CI60" s="278"/>
      <c r="CJ60" s="278"/>
      <c r="CK60" s="278"/>
      <c r="CL60" s="77"/>
      <c r="CN60" s="367" t="s">
        <v>759</v>
      </c>
    </row>
    <row r="61" spans="1:99" s="254" customFormat="1" ht="11.45" hidden="1" customHeight="1" outlineLevel="1" x14ac:dyDescent="0.2">
      <c r="A61" s="30"/>
      <c r="B61" s="77"/>
      <c r="C61" s="138" t="s">
        <v>275</v>
      </c>
      <c r="D61" s="138" t="s">
        <v>274</v>
      </c>
      <c r="E61" s="36">
        <f>'Lead NA'!E60</f>
        <v>0</v>
      </c>
      <c r="F61" s="3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278"/>
      <c r="AV61" s="278"/>
      <c r="AW61" s="278"/>
      <c r="AX61" s="278"/>
      <c r="AY61" s="278"/>
      <c r="AZ61" s="278"/>
      <c r="BA61" s="278"/>
      <c r="BB61" s="278"/>
      <c r="BC61" s="278"/>
      <c r="BD61" s="278"/>
      <c r="BE61" s="278"/>
      <c r="BF61" s="278"/>
      <c r="BG61" s="278"/>
      <c r="BH61" s="278"/>
      <c r="BI61" s="278"/>
      <c r="BJ61" s="278"/>
      <c r="BK61" s="278"/>
      <c r="BL61" s="278"/>
      <c r="BM61" s="278"/>
      <c r="BN61" s="278"/>
      <c r="BO61" s="278"/>
      <c r="BP61" s="278"/>
      <c r="BQ61" s="278"/>
      <c r="BR61" s="278"/>
      <c r="BS61" s="278"/>
      <c r="BT61" s="278"/>
      <c r="BU61" s="278"/>
      <c r="BV61" s="278"/>
      <c r="BW61" s="278"/>
      <c r="BX61" s="278"/>
      <c r="BY61" s="278"/>
      <c r="BZ61" s="278"/>
      <c r="CA61" s="278"/>
      <c r="CB61" s="278"/>
      <c r="CC61" s="278"/>
      <c r="CD61" s="278"/>
      <c r="CE61" s="278"/>
      <c r="CF61" s="278"/>
      <c r="CG61" s="278"/>
      <c r="CH61" s="278"/>
      <c r="CI61" s="278"/>
      <c r="CJ61" s="278"/>
      <c r="CK61" s="278"/>
      <c r="CL61" s="77"/>
      <c r="CN61" s="367" t="s">
        <v>759</v>
      </c>
    </row>
    <row r="62" spans="1:99" s="254" customFormat="1" ht="11.45" hidden="1" customHeight="1" outlineLevel="1" x14ac:dyDescent="0.2">
      <c r="A62" s="30"/>
      <c r="B62" s="77"/>
      <c r="C62" s="137" t="s">
        <v>273</v>
      </c>
      <c r="D62" s="137" t="s">
        <v>272</v>
      </c>
      <c r="E62" s="36">
        <f>'Lead NA'!E61</f>
        <v>0</v>
      </c>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278"/>
      <c r="AV62" s="278"/>
      <c r="AW62" s="278"/>
      <c r="AX62" s="278"/>
      <c r="AY62" s="278"/>
      <c r="AZ62" s="278"/>
      <c r="BA62" s="278"/>
      <c r="BB62" s="278"/>
      <c r="BC62" s="278"/>
      <c r="BD62" s="278"/>
      <c r="BE62" s="278"/>
      <c r="BF62" s="278"/>
      <c r="BG62" s="278"/>
      <c r="BH62" s="278"/>
      <c r="BI62" s="278"/>
      <c r="BJ62" s="278"/>
      <c r="BK62" s="278"/>
      <c r="BL62" s="278"/>
      <c r="BM62" s="278"/>
      <c r="BN62" s="278"/>
      <c r="BO62" s="278"/>
      <c r="BP62" s="278"/>
      <c r="BQ62" s="278"/>
      <c r="BR62" s="278"/>
      <c r="BS62" s="278"/>
      <c r="BT62" s="278"/>
      <c r="BU62" s="278"/>
      <c r="BV62" s="278"/>
      <c r="BW62" s="278"/>
      <c r="BX62" s="278"/>
      <c r="BY62" s="278"/>
      <c r="BZ62" s="278"/>
      <c r="CA62" s="278"/>
      <c r="CB62" s="278"/>
      <c r="CC62" s="278"/>
      <c r="CD62" s="278"/>
      <c r="CE62" s="278"/>
      <c r="CF62" s="278"/>
      <c r="CG62" s="278"/>
      <c r="CH62" s="278"/>
      <c r="CI62" s="278"/>
      <c r="CJ62" s="278"/>
      <c r="CK62" s="278"/>
      <c r="CL62" s="77"/>
    </row>
    <row r="63" spans="1:99" s="254" customFormat="1" ht="11.45" hidden="1" customHeight="1" outlineLevel="1" x14ac:dyDescent="0.2">
      <c r="A63" s="30"/>
      <c r="B63" s="77"/>
      <c r="C63" s="133" t="s">
        <v>271</v>
      </c>
      <c r="D63" s="133" t="s">
        <v>270</v>
      </c>
      <c r="E63" s="132">
        <f t="shared" ref="E63:BR63" si="27">SUM(E58:E62)</f>
        <v>0</v>
      </c>
      <c r="F63" s="132">
        <f t="shared" si="27"/>
        <v>0</v>
      </c>
      <c r="G63" s="132">
        <f t="shared" si="27"/>
        <v>0</v>
      </c>
      <c r="H63" s="132">
        <f t="shared" si="27"/>
        <v>0</v>
      </c>
      <c r="I63" s="132">
        <f t="shared" si="27"/>
        <v>0</v>
      </c>
      <c r="J63" s="255">
        <f t="shared" si="27"/>
        <v>0</v>
      </c>
      <c r="K63" s="255">
        <f t="shared" si="27"/>
        <v>0</v>
      </c>
      <c r="L63" s="255">
        <f t="shared" si="27"/>
        <v>0</v>
      </c>
      <c r="M63" s="255">
        <f t="shared" si="27"/>
        <v>0</v>
      </c>
      <c r="N63" s="255">
        <f t="shared" si="27"/>
        <v>0</v>
      </c>
      <c r="O63" s="255">
        <f t="shared" si="27"/>
        <v>0</v>
      </c>
      <c r="P63" s="255">
        <f t="shared" si="27"/>
        <v>0</v>
      </c>
      <c r="Q63" s="255">
        <f t="shared" si="27"/>
        <v>0</v>
      </c>
      <c r="R63" s="255">
        <f t="shared" si="27"/>
        <v>0</v>
      </c>
      <c r="S63" s="255">
        <f t="shared" si="27"/>
        <v>0</v>
      </c>
      <c r="T63" s="255">
        <f t="shared" si="27"/>
        <v>0</v>
      </c>
      <c r="U63" s="255">
        <f t="shared" si="27"/>
        <v>0</v>
      </c>
      <c r="V63" s="255">
        <f t="shared" si="27"/>
        <v>0</v>
      </c>
      <c r="W63" s="255">
        <f t="shared" si="27"/>
        <v>0</v>
      </c>
      <c r="X63" s="255">
        <f t="shared" si="27"/>
        <v>0</v>
      </c>
      <c r="Y63" s="255">
        <f t="shared" si="27"/>
        <v>0</v>
      </c>
      <c r="Z63" s="255">
        <f t="shared" si="27"/>
        <v>0</v>
      </c>
      <c r="AA63" s="255">
        <f t="shared" si="27"/>
        <v>0</v>
      </c>
      <c r="AB63" s="255">
        <f t="shared" si="27"/>
        <v>0</v>
      </c>
      <c r="AC63" s="255">
        <f t="shared" si="27"/>
        <v>0</v>
      </c>
      <c r="AD63" s="255">
        <f t="shared" si="27"/>
        <v>0</v>
      </c>
      <c r="AE63" s="255">
        <f t="shared" si="27"/>
        <v>0</v>
      </c>
      <c r="AF63" s="255">
        <f t="shared" si="27"/>
        <v>0</v>
      </c>
      <c r="AG63" s="255">
        <f t="shared" si="27"/>
        <v>0</v>
      </c>
      <c r="AH63" s="255">
        <f t="shared" si="27"/>
        <v>0</v>
      </c>
      <c r="AI63" s="255">
        <f t="shared" si="27"/>
        <v>0</v>
      </c>
      <c r="AJ63" s="255">
        <f t="shared" si="27"/>
        <v>0</v>
      </c>
      <c r="AK63" s="255">
        <f t="shared" si="27"/>
        <v>0</v>
      </c>
      <c r="AL63" s="255">
        <f t="shared" si="27"/>
        <v>0</v>
      </c>
      <c r="AM63" s="255">
        <f t="shared" si="27"/>
        <v>0</v>
      </c>
      <c r="AN63" s="255">
        <f t="shared" si="27"/>
        <v>0</v>
      </c>
      <c r="AO63" s="255">
        <f t="shared" si="27"/>
        <v>0</v>
      </c>
      <c r="AP63" s="255">
        <f t="shared" si="27"/>
        <v>0</v>
      </c>
      <c r="AQ63" s="255">
        <f t="shared" si="27"/>
        <v>0</v>
      </c>
      <c r="AR63" s="255">
        <f t="shared" si="27"/>
        <v>0</v>
      </c>
      <c r="AS63" s="255">
        <f t="shared" si="27"/>
        <v>0</v>
      </c>
      <c r="AT63" s="255">
        <f t="shared" si="27"/>
        <v>0</v>
      </c>
      <c r="AU63" s="391">
        <f t="shared" si="27"/>
        <v>0</v>
      </c>
      <c r="AV63" s="391">
        <f t="shared" si="27"/>
        <v>0</v>
      </c>
      <c r="AW63" s="391">
        <f t="shared" si="27"/>
        <v>0</v>
      </c>
      <c r="AX63" s="391">
        <f t="shared" si="27"/>
        <v>0</v>
      </c>
      <c r="AY63" s="391">
        <f t="shared" si="27"/>
        <v>0</v>
      </c>
      <c r="AZ63" s="391">
        <f t="shared" si="27"/>
        <v>0</v>
      </c>
      <c r="BA63" s="391">
        <f t="shared" si="27"/>
        <v>0</v>
      </c>
      <c r="BB63" s="391">
        <f t="shared" si="27"/>
        <v>0</v>
      </c>
      <c r="BC63" s="391">
        <f t="shared" si="27"/>
        <v>0</v>
      </c>
      <c r="BD63" s="391">
        <f t="shared" si="27"/>
        <v>0</v>
      </c>
      <c r="BE63" s="391">
        <f t="shared" si="27"/>
        <v>0</v>
      </c>
      <c r="BF63" s="391">
        <f t="shared" si="27"/>
        <v>0</v>
      </c>
      <c r="BG63" s="391">
        <f t="shared" si="27"/>
        <v>0</v>
      </c>
      <c r="BH63" s="391">
        <f t="shared" si="27"/>
        <v>0</v>
      </c>
      <c r="BI63" s="391">
        <f t="shared" si="27"/>
        <v>0</v>
      </c>
      <c r="BJ63" s="391">
        <f t="shared" si="27"/>
        <v>0</v>
      </c>
      <c r="BK63" s="391">
        <f t="shared" si="27"/>
        <v>0</v>
      </c>
      <c r="BL63" s="391">
        <f t="shared" si="27"/>
        <v>0</v>
      </c>
      <c r="BM63" s="391">
        <f t="shared" si="27"/>
        <v>0</v>
      </c>
      <c r="BN63" s="391">
        <f t="shared" si="27"/>
        <v>0</v>
      </c>
      <c r="BO63" s="391">
        <f t="shared" si="27"/>
        <v>0</v>
      </c>
      <c r="BP63" s="391">
        <f t="shared" si="27"/>
        <v>0</v>
      </c>
      <c r="BQ63" s="391">
        <f t="shared" si="27"/>
        <v>0</v>
      </c>
      <c r="BR63" s="391">
        <f t="shared" si="27"/>
        <v>0</v>
      </c>
      <c r="BS63" s="391">
        <f t="shared" ref="BS63:CK63" si="28">SUM(BS58:BS62)</f>
        <v>0</v>
      </c>
      <c r="BT63" s="391">
        <f t="shared" si="28"/>
        <v>0</v>
      </c>
      <c r="BU63" s="391">
        <f t="shared" si="28"/>
        <v>0</v>
      </c>
      <c r="BV63" s="391">
        <f t="shared" si="28"/>
        <v>0</v>
      </c>
      <c r="BW63" s="391">
        <f t="shared" si="28"/>
        <v>0</v>
      </c>
      <c r="BX63" s="391">
        <f t="shared" si="28"/>
        <v>0</v>
      </c>
      <c r="BY63" s="391">
        <f t="shared" si="28"/>
        <v>0</v>
      </c>
      <c r="BZ63" s="391">
        <f t="shared" si="28"/>
        <v>0</v>
      </c>
      <c r="CA63" s="391">
        <f t="shared" si="28"/>
        <v>0</v>
      </c>
      <c r="CB63" s="391">
        <f t="shared" si="28"/>
        <v>0</v>
      </c>
      <c r="CC63" s="391">
        <f t="shared" si="28"/>
        <v>0</v>
      </c>
      <c r="CD63" s="391">
        <f t="shared" si="28"/>
        <v>0</v>
      </c>
      <c r="CE63" s="391">
        <f t="shared" si="28"/>
        <v>0</v>
      </c>
      <c r="CF63" s="391">
        <f t="shared" si="28"/>
        <v>0</v>
      </c>
      <c r="CG63" s="391">
        <f t="shared" si="28"/>
        <v>0</v>
      </c>
      <c r="CH63" s="391">
        <f t="shared" si="28"/>
        <v>0</v>
      </c>
      <c r="CI63" s="391">
        <f t="shared" si="28"/>
        <v>0</v>
      </c>
      <c r="CJ63" s="391">
        <f t="shared" si="28"/>
        <v>0</v>
      </c>
      <c r="CK63" s="391">
        <f t="shared" si="28"/>
        <v>0</v>
      </c>
      <c r="CL63" s="77"/>
      <c r="CN63" s="251"/>
    </row>
    <row r="64" spans="1:99" s="254" customFormat="1" ht="4.5" hidden="1" customHeight="1" outlineLevel="1" x14ac:dyDescent="0.2">
      <c r="A64" s="30"/>
      <c r="B64" s="77"/>
      <c r="C64" s="37"/>
      <c r="D64" s="37"/>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c r="AY64" s="36"/>
      <c r="AZ64" s="36"/>
      <c r="BA64" s="36"/>
      <c r="BB64" s="36"/>
      <c r="BC64" s="36"/>
      <c r="BD64" s="36"/>
      <c r="BE64" s="36"/>
      <c r="BF64" s="36"/>
      <c r="BG64" s="36"/>
      <c r="BH64" s="36"/>
      <c r="BI64" s="36"/>
      <c r="BJ64" s="36"/>
      <c r="BK64" s="36"/>
      <c r="BL64" s="36"/>
      <c r="BM64" s="36"/>
      <c r="BN64" s="36"/>
      <c r="BO64" s="36"/>
      <c r="BP64" s="36"/>
      <c r="BQ64" s="36"/>
      <c r="BR64" s="36"/>
      <c r="BS64" s="36"/>
      <c r="BT64" s="36"/>
      <c r="BU64" s="36"/>
      <c r="BV64" s="36"/>
      <c r="BW64" s="36"/>
      <c r="BX64" s="36"/>
      <c r="BY64" s="36"/>
      <c r="BZ64" s="36"/>
      <c r="CA64" s="36"/>
      <c r="CB64" s="36"/>
      <c r="CC64" s="36"/>
      <c r="CD64" s="36"/>
      <c r="CE64" s="36"/>
      <c r="CF64" s="36"/>
      <c r="CG64" s="36"/>
      <c r="CH64" s="36"/>
      <c r="CI64" s="36"/>
      <c r="CJ64" s="36"/>
      <c r="CK64" s="36"/>
      <c r="CL64" s="36"/>
      <c r="CM64" s="36"/>
      <c r="CN64" s="36"/>
      <c r="CO64" s="36"/>
      <c r="CP64" s="36"/>
      <c r="CQ64" s="36"/>
      <c r="CR64" s="36"/>
      <c r="CS64" s="36"/>
      <c r="CT64" s="36"/>
      <c r="CU64" s="36"/>
    </row>
    <row r="65" spans="1:92" s="254" customFormat="1" ht="11.45" customHeight="1" collapsed="1" x14ac:dyDescent="0.2">
      <c r="A65" s="30"/>
      <c r="B65" s="77"/>
      <c r="C65" s="42" t="str">
        <f>"Quelle: "&amp;Cockpit!$C$7</f>
        <v>Quelle: Datenraum/ eigene Analysen</v>
      </c>
      <c r="D65" s="42" t="str">
        <f>"Source: "&amp;Cockpit!$C$7</f>
        <v>Source: Datenraum/ eigene Analysen</v>
      </c>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41"/>
      <c r="CC65" s="41"/>
      <c r="CD65" s="41"/>
      <c r="CE65" s="41"/>
      <c r="CF65" s="41"/>
      <c r="CG65" s="41"/>
      <c r="CH65" s="41"/>
      <c r="CI65" s="41"/>
      <c r="CJ65" s="41"/>
      <c r="CK65" s="41"/>
      <c r="CL65" s="77"/>
      <c r="CN65" s="251"/>
    </row>
    <row r="66" spans="1:92" ht="11.45" hidden="1" customHeight="1" outlineLevel="1" x14ac:dyDescent="0.2">
      <c r="B66" s="77"/>
      <c r="CL66" s="77"/>
    </row>
    <row r="67" spans="1:92" ht="11.45" hidden="1" customHeight="1" outlineLevel="1" x14ac:dyDescent="0.2">
      <c r="B67" s="77"/>
      <c r="C67" s="155" t="s">
        <v>819</v>
      </c>
      <c r="D67" s="371" t="s">
        <v>820</v>
      </c>
      <c r="CL67" s="77"/>
    </row>
    <row r="68" spans="1:92" ht="11.45" hidden="1" customHeight="1" outlineLevel="1" x14ac:dyDescent="0.2">
      <c r="B68" s="77"/>
      <c r="C68" s="365" t="str">
        <f>C19</f>
        <v>Erhaltene Anzahlungen</v>
      </c>
      <c r="D68" s="365" t="s">
        <v>209</v>
      </c>
      <c r="Q68" s="500">
        <f>-Q19</f>
        <v>50</v>
      </c>
      <c r="R68" s="500">
        <f t="shared" ref="R68:BA68" si="29">-R19</f>
        <v>50</v>
      </c>
      <c r="S68" s="500">
        <f t="shared" si="29"/>
        <v>50</v>
      </c>
      <c r="T68" s="500">
        <f t="shared" si="29"/>
        <v>50</v>
      </c>
      <c r="U68" s="500">
        <f t="shared" si="29"/>
        <v>50</v>
      </c>
      <c r="V68" s="500">
        <f t="shared" si="29"/>
        <v>50</v>
      </c>
      <c r="W68" s="500">
        <f t="shared" si="29"/>
        <v>50</v>
      </c>
      <c r="X68" s="500">
        <f t="shared" si="29"/>
        <v>50</v>
      </c>
      <c r="Y68" s="500">
        <f t="shared" si="29"/>
        <v>50</v>
      </c>
      <c r="Z68" s="500">
        <f t="shared" si="29"/>
        <v>50</v>
      </c>
      <c r="AA68" s="500">
        <f t="shared" si="29"/>
        <v>50</v>
      </c>
      <c r="AB68" s="500">
        <f t="shared" si="29"/>
        <v>50</v>
      </c>
      <c r="AC68" s="500">
        <f t="shared" si="29"/>
        <v>50</v>
      </c>
      <c r="AD68" s="500">
        <f t="shared" si="29"/>
        <v>50</v>
      </c>
      <c r="AE68" s="500">
        <f t="shared" si="29"/>
        <v>50</v>
      </c>
      <c r="AF68" s="500">
        <f t="shared" si="29"/>
        <v>50</v>
      </c>
      <c r="AG68" s="500">
        <f t="shared" si="29"/>
        <v>50</v>
      </c>
      <c r="AH68" s="500">
        <f t="shared" si="29"/>
        <v>50</v>
      </c>
      <c r="AI68" s="500">
        <f t="shared" si="29"/>
        <v>50</v>
      </c>
      <c r="AJ68" s="500">
        <f t="shared" si="29"/>
        <v>50</v>
      </c>
      <c r="AK68" s="500">
        <f t="shared" si="29"/>
        <v>50</v>
      </c>
      <c r="AL68" s="500">
        <f t="shared" si="29"/>
        <v>50</v>
      </c>
      <c r="AM68" s="500">
        <f t="shared" si="29"/>
        <v>50</v>
      </c>
      <c r="AN68" s="500">
        <f t="shared" si="29"/>
        <v>50</v>
      </c>
      <c r="AO68" s="500">
        <f t="shared" si="29"/>
        <v>50</v>
      </c>
      <c r="AP68" s="500">
        <f t="shared" si="29"/>
        <v>50</v>
      </c>
      <c r="AQ68" s="500">
        <f t="shared" si="29"/>
        <v>50</v>
      </c>
      <c r="AR68" s="500">
        <f t="shared" si="29"/>
        <v>50</v>
      </c>
      <c r="AS68" s="500">
        <f t="shared" si="29"/>
        <v>0</v>
      </c>
      <c r="AT68" s="500">
        <f t="shared" si="29"/>
        <v>0</v>
      </c>
      <c r="AU68" s="500">
        <f t="shared" si="29"/>
        <v>0</v>
      </c>
      <c r="AV68" s="500">
        <f t="shared" si="29"/>
        <v>0</v>
      </c>
      <c r="AW68" s="500">
        <f t="shared" si="29"/>
        <v>0</v>
      </c>
      <c r="AX68" s="500">
        <f t="shared" si="29"/>
        <v>0</v>
      </c>
      <c r="AY68" s="500">
        <f t="shared" si="29"/>
        <v>0</v>
      </c>
      <c r="AZ68" s="500">
        <f t="shared" si="29"/>
        <v>0</v>
      </c>
      <c r="BA68" s="500">
        <f t="shared" si="29"/>
        <v>0</v>
      </c>
      <c r="CL68" s="77"/>
      <c r="CN68" s="370" t="s">
        <v>808</v>
      </c>
    </row>
    <row r="69" spans="1:92" ht="11.45" hidden="1" customHeight="1" outlineLevel="1" x14ac:dyDescent="0.2">
      <c r="B69" s="77"/>
      <c r="C69" s="365" t="s">
        <v>208</v>
      </c>
      <c r="D69" s="365" t="s">
        <v>208</v>
      </c>
      <c r="CL69" s="77"/>
      <c r="CN69" s="370" t="s">
        <v>809</v>
      </c>
    </row>
    <row r="70" spans="1:92" ht="11.45" hidden="1" customHeight="1" outlineLevel="1" x14ac:dyDescent="0.2">
      <c r="B70" s="77"/>
      <c r="C70" s="365" t="s">
        <v>207</v>
      </c>
      <c r="D70" s="365" t="s">
        <v>207</v>
      </c>
      <c r="CL70" s="77"/>
      <c r="CN70" s="370" t="s">
        <v>810</v>
      </c>
    </row>
    <row r="71" spans="1:92" ht="11.45" hidden="1" customHeight="1" outlineLevel="1" x14ac:dyDescent="0.2">
      <c r="B71" s="77"/>
      <c r="C71" s="365" t="s">
        <v>206</v>
      </c>
      <c r="D71" s="365" t="s">
        <v>206</v>
      </c>
      <c r="CL71" s="77"/>
      <c r="CN71" s="370" t="s">
        <v>811</v>
      </c>
    </row>
    <row r="72" spans="1:92" ht="11.45" hidden="1" customHeight="1" outlineLevel="1" x14ac:dyDescent="0.2">
      <c r="B72" s="77"/>
      <c r="C72" s="365" t="s">
        <v>449</v>
      </c>
      <c r="D72" s="365" t="s">
        <v>449</v>
      </c>
      <c r="CL72" s="77"/>
      <c r="CN72" s="370" t="s">
        <v>812</v>
      </c>
    </row>
    <row r="73" spans="1:92" ht="11.45" hidden="1" customHeight="1" outlineLevel="1" x14ac:dyDescent="0.2">
      <c r="B73" s="77"/>
      <c r="C73" s="365" t="s">
        <v>447</v>
      </c>
      <c r="D73" s="365" t="s">
        <v>447</v>
      </c>
      <c r="CL73" s="77"/>
      <c r="CN73" s="370" t="s">
        <v>813</v>
      </c>
    </row>
    <row r="74" spans="1:92" ht="11.45" hidden="1" customHeight="1" outlineLevel="1" x14ac:dyDescent="0.2">
      <c r="B74" s="77"/>
      <c r="C74" s="372" t="s">
        <v>821</v>
      </c>
      <c r="D74" s="372" t="s">
        <v>822</v>
      </c>
      <c r="E74" s="132">
        <f>SUM(E68:E73)</f>
        <v>0</v>
      </c>
      <c r="F74" s="132">
        <f t="shared" ref="F74:BQ74" si="30">SUM(F68:F73)</f>
        <v>0</v>
      </c>
      <c r="G74" s="132">
        <f t="shared" si="30"/>
        <v>0</v>
      </c>
      <c r="H74" s="132">
        <f t="shared" si="30"/>
        <v>0</v>
      </c>
      <c r="I74" s="132">
        <f t="shared" si="30"/>
        <v>0</v>
      </c>
      <c r="J74" s="255">
        <f t="shared" si="30"/>
        <v>0</v>
      </c>
      <c r="K74" s="255">
        <f t="shared" si="30"/>
        <v>0</v>
      </c>
      <c r="L74" s="255">
        <f t="shared" si="30"/>
        <v>0</v>
      </c>
      <c r="M74" s="255">
        <f t="shared" si="30"/>
        <v>0</v>
      </c>
      <c r="N74" s="255">
        <f t="shared" si="30"/>
        <v>0</v>
      </c>
      <c r="O74" s="255">
        <f t="shared" si="30"/>
        <v>0</v>
      </c>
      <c r="P74" s="255">
        <f t="shared" si="30"/>
        <v>0</v>
      </c>
      <c r="Q74" s="255">
        <f t="shared" si="30"/>
        <v>50</v>
      </c>
      <c r="R74" s="255">
        <f t="shared" si="30"/>
        <v>50</v>
      </c>
      <c r="S74" s="255">
        <f t="shared" si="30"/>
        <v>50</v>
      </c>
      <c r="T74" s="255">
        <f t="shared" si="30"/>
        <v>50</v>
      </c>
      <c r="U74" s="255">
        <f t="shared" si="30"/>
        <v>50</v>
      </c>
      <c r="V74" s="255">
        <f t="shared" si="30"/>
        <v>50</v>
      </c>
      <c r="W74" s="255">
        <f t="shared" si="30"/>
        <v>50</v>
      </c>
      <c r="X74" s="255">
        <f t="shared" si="30"/>
        <v>50</v>
      </c>
      <c r="Y74" s="255">
        <f t="shared" si="30"/>
        <v>50</v>
      </c>
      <c r="Z74" s="255">
        <f t="shared" si="30"/>
        <v>50</v>
      </c>
      <c r="AA74" s="255">
        <f t="shared" si="30"/>
        <v>50</v>
      </c>
      <c r="AB74" s="255">
        <f t="shared" si="30"/>
        <v>50</v>
      </c>
      <c r="AC74" s="255">
        <f t="shared" si="30"/>
        <v>50</v>
      </c>
      <c r="AD74" s="255">
        <f t="shared" si="30"/>
        <v>50</v>
      </c>
      <c r="AE74" s="255">
        <f t="shared" si="30"/>
        <v>50</v>
      </c>
      <c r="AF74" s="255">
        <f t="shared" si="30"/>
        <v>50</v>
      </c>
      <c r="AG74" s="255">
        <f t="shared" si="30"/>
        <v>50</v>
      </c>
      <c r="AH74" s="255">
        <f t="shared" si="30"/>
        <v>50</v>
      </c>
      <c r="AI74" s="255">
        <f t="shared" si="30"/>
        <v>50</v>
      </c>
      <c r="AJ74" s="255">
        <f t="shared" si="30"/>
        <v>50</v>
      </c>
      <c r="AK74" s="255">
        <f t="shared" si="30"/>
        <v>50</v>
      </c>
      <c r="AL74" s="255">
        <f t="shared" si="30"/>
        <v>50</v>
      </c>
      <c r="AM74" s="255">
        <f t="shared" si="30"/>
        <v>50</v>
      </c>
      <c r="AN74" s="255">
        <f t="shared" si="30"/>
        <v>50</v>
      </c>
      <c r="AO74" s="255">
        <f t="shared" si="30"/>
        <v>50</v>
      </c>
      <c r="AP74" s="255">
        <f t="shared" si="30"/>
        <v>50</v>
      </c>
      <c r="AQ74" s="255">
        <f t="shared" si="30"/>
        <v>50</v>
      </c>
      <c r="AR74" s="255">
        <f t="shared" si="30"/>
        <v>50</v>
      </c>
      <c r="AS74" s="255">
        <f t="shared" si="30"/>
        <v>0</v>
      </c>
      <c r="AT74" s="255">
        <f t="shared" si="30"/>
        <v>0</v>
      </c>
      <c r="AU74" s="391">
        <f t="shared" si="30"/>
        <v>0</v>
      </c>
      <c r="AV74" s="391">
        <f t="shared" si="30"/>
        <v>0</v>
      </c>
      <c r="AW74" s="391">
        <f t="shared" si="30"/>
        <v>0</v>
      </c>
      <c r="AX74" s="391">
        <f t="shared" si="30"/>
        <v>0</v>
      </c>
      <c r="AY74" s="391">
        <f t="shared" si="30"/>
        <v>0</v>
      </c>
      <c r="AZ74" s="391">
        <f t="shared" si="30"/>
        <v>0</v>
      </c>
      <c r="BA74" s="391">
        <f t="shared" si="30"/>
        <v>0</v>
      </c>
      <c r="BB74" s="391">
        <f t="shared" si="30"/>
        <v>0</v>
      </c>
      <c r="BC74" s="391">
        <f t="shared" si="30"/>
        <v>0</v>
      </c>
      <c r="BD74" s="391">
        <f t="shared" si="30"/>
        <v>0</v>
      </c>
      <c r="BE74" s="391">
        <f t="shared" si="30"/>
        <v>0</v>
      </c>
      <c r="BF74" s="391">
        <f t="shared" si="30"/>
        <v>0</v>
      </c>
      <c r="BG74" s="391">
        <f t="shared" si="30"/>
        <v>0</v>
      </c>
      <c r="BH74" s="391">
        <f t="shared" si="30"/>
        <v>0</v>
      </c>
      <c r="BI74" s="391">
        <f t="shared" si="30"/>
        <v>0</v>
      </c>
      <c r="BJ74" s="391">
        <f t="shared" si="30"/>
        <v>0</v>
      </c>
      <c r="BK74" s="391">
        <f t="shared" si="30"/>
        <v>0</v>
      </c>
      <c r="BL74" s="391">
        <f t="shared" si="30"/>
        <v>0</v>
      </c>
      <c r="BM74" s="391">
        <f t="shared" si="30"/>
        <v>0</v>
      </c>
      <c r="BN74" s="391">
        <f t="shared" si="30"/>
        <v>0</v>
      </c>
      <c r="BO74" s="391">
        <f t="shared" si="30"/>
        <v>0</v>
      </c>
      <c r="BP74" s="391">
        <f t="shared" si="30"/>
        <v>0</v>
      </c>
      <c r="BQ74" s="391">
        <f t="shared" si="30"/>
        <v>0</v>
      </c>
      <c r="BR74" s="391">
        <f t="shared" ref="BR74:CK74" si="31">SUM(BR68:BR73)</f>
        <v>0</v>
      </c>
      <c r="BS74" s="391">
        <f t="shared" si="31"/>
        <v>0</v>
      </c>
      <c r="BT74" s="391">
        <f t="shared" si="31"/>
        <v>0</v>
      </c>
      <c r="BU74" s="391">
        <f t="shared" si="31"/>
        <v>0</v>
      </c>
      <c r="BV74" s="391">
        <f t="shared" si="31"/>
        <v>0</v>
      </c>
      <c r="BW74" s="391">
        <f t="shared" si="31"/>
        <v>0</v>
      </c>
      <c r="BX74" s="391">
        <f t="shared" si="31"/>
        <v>0</v>
      </c>
      <c r="BY74" s="391">
        <f t="shared" si="31"/>
        <v>0</v>
      </c>
      <c r="BZ74" s="391">
        <f t="shared" si="31"/>
        <v>0</v>
      </c>
      <c r="CA74" s="391">
        <f t="shared" si="31"/>
        <v>0</v>
      </c>
      <c r="CB74" s="391">
        <f t="shared" si="31"/>
        <v>0</v>
      </c>
      <c r="CC74" s="391">
        <f t="shared" si="31"/>
        <v>0</v>
      </c>
      <c r="CD74" s="391">
        <f t="shared" si="31"/>
        <v>0</v>
      </c>
      <c r="CE74" s="391">
        <f t="shared" si="31"/>
        <v>0</v>
      </c>
      <c r="CF74" s="391">
        <f t="shared" si="31"/>
        <v>0</v>
      </c>
      <c r="CG74" s="391">
        <f t="shared" si="31"/>
        <v>0</v>
      </c>
      <c r="CH74" s="391">
        <f t="shared" si="31"/>
        <v>0</v>
      </c>
      <c r="CI74" s="391">
        <f t="shared" si="31"/>
        <v>0</v>
      </c>
      <c r="CJ74" s="391">
        <f t="shared" si="31"/>
        <v>0</v>
      </c>
      <c r="CK74" s="391">
        <f t="shared" si="31"/>
        <v>0</v>
      </c>
      <c r="CL74" s="77"/>
    </row>
    <row r="75" spans="1:92" ht="11.45" customHeight="1" collapsed="1" x14ac:dyDescent="0.2">
      <c r="B75" s="77"/>
      <c r="CL75" s="77"/>
    </row>
    <row r="76" spans="1:92" ht="11.45" hidden="1" customHeight="1" outlineLevel="1" x14ac:dyDescent="0.2">
      <c r="B76" s="77"/>
      <c r="C76" s="155" t="s">
        <v>823</v>
      </c>
      <c r="D76" s="371" t="s">
        <v>824</v>
      </c>
      <c r="CL76" s="77"/>
    </row>
    <row r="77" spans="1:92" ht="11.45" hidden="1" customHeight="1" outlineLevel="1" x14ac:dyDescent="0.2">
      <c r="B77" s="77"/>
      <c r="C77" s="365" t="s">
        <v>209</v>
      </c>
      <c r="D77" s="365" t="s">
        <v>209</v>
      </c>
      <c r="CL77" s="77"/>
      <c r="CN77" s="370" t="s">
        <v>807</v>
      </c>
    </row>
    <row r="78" spans="1:92" ht="11.45" hidden="1" customHeight="1" outlineLevel="1" x14ac:dyDescent="0.2">
      <c r="B78" s="77"/>
      <c r="C78" s="365" t="s">
        <v>208</v>
      </c>
      <c r="D78" s="365" t="s">
        <v>208</v>
      </c>
      <c r="CL78" s="77"/>
      <c r="CN78" s="370" t="s">
        <v>814</v>
      </c>
    </row>
    <row r="79" spans="1:92" ht="11.45" hidden="1" customHeight="1" outlineLevel="1" x14ac:dyDescent="0.2">
      <c r="B79" s="77"/>
      <c r="C79" s="365" t="s">
        <v>207</v>
      </c>
      <c r="D79" s="365" t="s">
        <v>207</v>
      </c>
      <c r="CL79" s="77"/>
      <c r="CN79" s="370" t="s">
        <v>815</v>
      </c>
    </row>
    <row r="80" spans="1:92" ht="11.45" hidden="1" customHeight="1" outlineLevel="1" x14ac:dyDescent="0.2">
      <c r="B80" s="77"/>
      <c r="C80" s="365" t="s">
        <v>206</v>
      </c>
      <c r="D80" s="365" t="s">
        <v>206</v>
      </c>
      <c r="CL80" s="77"/>
      <c r="CN80" s="370" t="s">
        <v>816</v>
      </c>
    </row>
    <row r="81" spans="1:99" ht="11.45" hidden="1" customHeight="1" outlineLevel="1" x14ac:dyDescent="0.2">
      <c r="B81" s="77"/>
      <c r="C81" s="365" t="s">
        <v>449</v>
      </c>
      <c r="D81" s="365" t="s">
        <v>449</v>
      </c>
      <c r="CL81" s="77"/>
      <c r="CN81" s="370" t="s">
        <v>817</v>
      </c>
    </row>
    <row r="82" spans="1:99" ht="11.45" hidden="1" customHeight="1" outlineLevel="1" x14ac:dyDescent="0.2">
      <c r="B82" s="77"/>
      <c r="C82" s="365" t="s">
        <v>447</v>
      </c>
      <c r="D82" s="365" t="s">
        <v>447</v>
      </c>
      <c r="CL82" s="77"/>
      <c r="CN82" s="370" t="s">
        <v>818</v>
      </c>
    </row>
    <row r="83" spans="1:99" ht="11.45" hidden="1" customHeight="1" outlineLevel="1" x14ac:dyDescent="0.2">
      <c r="B83" s="77"/>
      <c r="C83" s="372" t="s">
        <v>825</v>
      </c>
      <c r="D83" s="372" t="s">
        <v>826</v>
      </c>
      <c r="E83" s="132">
        <f>SUM(E77:E82)</f>
        <v>0</v>
      </c>
      <c r="F83" s="132">
        <f t="shared" ref="F83:BQ83" si="32">SUM(F77:F82)</f>
        <v>0</v>
      </c>
      <c r="G83" s="132">
        <f t="shared" si="32"/>
        <v>0</v>
      </c>
      <c r="H83" s="132">
        <f t="shared" si="32"/>
        <v>0</v>
      </c>
      <c r="I83" s="132">
        <f t="shared" si="32"/>
        <v>0</v>
      </c>
      <c r="J83" s="255">
        <f t="shared" si="32"/>
        <v>0</v>
      </c>
      <c r="K83" s="255">
        <f t="shared" si="32"/>
        <v>0</v>
      </c>
      <c r="L83" s="255">
        <f t="shared" si="32"/>
        <v>0</v>
      </c>
      <c r="M83" s="255">
        <f t="shared" si="32"/>
        <v>0</v>
      </c>
      <c r="N83" s="255">
        <f t="shared" si="32"/>
        <v>0</v>
      </c>
      <c r="O83" s="255">
        <f t="shared" si="32"/>
        <v>0</v>
      </c>
      <c r="P83" s="255">
        <f t="shared" si="32"/>
        <v>0</v>
      </c>
      <c r="Q83" s="255">
        <f t="shared" si="32"/>
        <v>0</v>
      </c>
      <c r="R83" s="255">
        <f t="shared" si="32"/>
        <v>0</v>
      </c>
      <c r="S83" s="255">
        <f t="shared" si="32"/>
        <v>0</v>
      </c>
      <c r="T83" s="255">
        <f t="shared" si="32"/>
        <v>0</v>
      </c>
      <c r="U83" s="255">
        <f t="shared" si="32"/>
        <v>0</v>
      </c>
      <c r="V83" s="255">
        <f t="shared" si="32"/>
        <v>0</v>
      </c>
      <c r="W83" s="255">
        <f t="shared" si="32"/>
        <v>0</v>
      </c>
      <c r="X83" s="255">
        <f t="shared" si="32"/>
        <v>0</v>
      </c>
      <c r="Y83" s="255">
        <f t="shared" si="32"/>
        <v>0</v>
      </c>
      <c r="Z83" s="255">
        <f t="shared" si="32"/>
        <v>0</v>
      </c>
      <c r="AA83" s="255">
        <f t="shared" si="32"/>
        <v>0</v>
      </c>
      <c r="AB83" s="255">
        <f t="shared" si="32"/>
        <v>0</v>
      </c>
      <c r="AC83" s="255">
        <f t="shared" si="32"/>
        <v>0</v>
      </c>
      <c r="AD83" s="255">
        <f t="shared" si="32"/>
        <v>0</v>
      </c>
      <c r="AE83" s="255">
        <f t="shared" si="32"/>
        <v>0</v>
      </c>
      <c r="AF83" s="255">
        <f t="shared" si="32"/>
        <v>0</v>
      </c>
      <c r="AG83" s="255">
        <f t="shared" si="32"/>
        <v>0</v>
      </c>
      <c r="AH83" s="255">
        <f t="shared" si="32"/>
        <v>0</v>
      </c>
      <c r="AI83" s="255">
        <f t="shared" si="32"/>
        <v>0</v>
      </c>
      <c r="AJ83" s="255">
        <f t="shared" si="32"/>
        <v>0</v>
      </c>
      <c r="AK83" s="255">
        <f t="shared" si="32"/>
        <v>0</v>
      </c>
      <c r="AL83" s="255">
        <f t="shared" si="32"/>
        <v>0</v>
      </c>
      <c r="AM83" s="255">
        <f t="shared" si="32"/>
        <v>0</v>
      </c>
      <c r="AN83" s="255">
        <f t="shared" si="32"/>
        <v>0</v>
      </c>
      <c r="AO83" s="255">
        <f t="shared" si="32"/>
        <v>0</v>
      </c>
      <c r="AP83" s="255">
        <f t="shared" si="32"/>
        <v>0</v>
      </c>
      <c r="AQ83" s="255">
        <f t="shared" si="32"/>
        <v>0</v>
      </c>
      <c r="AR83" s="255">
        <f t="shared" si="32"/>
        <v>0</v>
      </c>
      <c r="AS83" s="255">
        <f t="shared" si="32"/>
        <v>0</v>
      </c>
      <c r="AT83" s="255">
        <f t="shared" si="32"/>
        <v>0</v>
      </c>
      <c r="AU83" s="391">
        <f t="shared" si="32"/>
        <v>0</v>
      </c>
      <c r="AV83" s="391">
        <f t="shared" si="32"/>
        <v>0</v>
      </c>
      <c r="AW83" s="391">
        <f t="shared" si="32"/>
        <v>0</v>
      </c>
      <c r="AX83" s="391">
        <f t="shared" si="32"/>
        <v>0</v>
      </c>
      <c r="AY83" s="391">
        <f t="shared" si="32"/>
        <v>0</v>
      </c>
      <c r="AZ83" s="391">
        <f t="shared" si="32"/>
        <v>0</v>
      </c>
      <c r="BA83" s="391">
        <f t="shared" si="32"/>
        <v>0</v>
      </c>
      <c r="BB83" s="391">
        <f t="shared" si="32"/>
        <v>0</v>
      </c>
      <c r="BC83" s="391">
        <f t="shared" si="32"/>
        <v>0</v>
      </c>
      <c r="BD83" s="391">
        <f t="shared" si="32"/>
        <v>0</v>
      </c>
      <c r="BE83" s="391">
        <f t="shared" si="32"/>
        <v>0</v>
      </c>
      <c r="BF83" s="391">
        <f t="shared" si="32"/>
        <v>0</v>
      </c>
      <c r="BG83" s="391">
        <f t="shared" si="32"/>
        <v>0</v>
      </c>
      <c r="BH83" s="391">
        <f t="shared" si="32"/>
        <v>0</v>
      </c>
      <c r="BI83" s="391">
        <f t="shared" si="32"/>
        <v>0</v>
      </c>
      <c r="BJ83" s="391">
        <f t="shared" si="32"/>
        <v>0</v>
      </c>
      <c r="BK83" s="391">
        <f t="shared" si="32"/>
        <v>0</v>
      </c>
      <c r="BL83" s="391">
        <f t="shared" si="32"/>
        <v>0</v>
      </c>
      <c r="BM83" s="391">
        <f t="shared" si="32"/>
        <v>0</v>
      </c>
      <c r="BN83" s="391">
        <f t="shared" si="32"/>
        <v>0</v>
      </c>
      <c r="BO83" s="391">
        <f t="shared" si="32"/>
        <v>0</v>
      </c>
      <c r="BP83" s="391">
        <f t="shared" si="32"/>
        <v>0</v>
      </c>
      <c r="BQ83" s="391">
        <f t="shared" si="32"/>
        <v>0</v>
      </c>
      <c r="BR83" s="391">
        <f t="shared" ref="BR83:CK83" si="33">SUM(BR77:BR82)</f>
        <v>0</v>
      </c>
      <c r="BS83" s="391">
        <f t="shared" si="33"/>
        <v>0</v>
      </c>
      <c r="BT83" s="391">
        <f t="shared" si="33"/>
        <v>0</v>
      </c>
      <c r="BU83" s="391">
        <f t="shared" si="33"/>
        <v>0</v>
      </c>
      <c r="BV83" s="391">
        <f t="shared" si="33"/>
        <v>0</v>
      </c>
      <c r="BW83" s="391">
        <f t="shared" si="33"/>
        <v>0</v>
      </c>
      <c r="BX83" s="391">
        <f t="shared" si="33"/>
        <v>0</v>
      </c>
      <c r="BY83" s="391">
        <f t="shared" si="33"/>
        <v>0</v>
      </c>
      <c r="BZ83" s="391">
        <f t="shared" si="33"/>
        <v>0</v>
      </c>
      <c r="CA83" s="391">
        <f t="shared" si="33"/>
        <v>0</v>
      </c>
      <c r="CB83" s="391">
        <f t="shared" si="33"/>
        <v>0</v>
      </c>
      <c r="CC83" s="391">
        <f t="shared" si="33"/>
        <v>0</v>
      </c>
      <c r="CD83" s="391">
        <f t="shared" si="33"/>
        <v>0</v>
      </c>
      <c r="CE83" s="391">
        <f t="shared" si="33"/>
        <v>0</v>
      </c>
      <c r="CF83" s="391">
        <f t="shared" si="33"/>
        <v>0</v>
      </c>
      <c r="CG83" s="391">
        <f t="shared" si="33"/>
        <v>0</v>
      </c>
      <c r="CH83" s="391">
        <f t="shared" si="33"/>
        <v>0</v>
      </c>
      <c r="CI83" s="391">
        <f t="shared" si="33"/>
        <v>0</v>
      </c>
      <c r="CJ83" s="391">
        <f t="shared" si="33"/>
        <v>0</v>
      </c>
      <c r="CK83" s="391">
        <f t="shared" si="33"/>
        <v>0</v>
      </c>
      <c r="CL83" s="77"/>
    </row>
    <row r="84" spans="1:99" ht="11.45" customHeight="1" collapsed="1" x14ac:dyDescent="0.2">
      <c r="B84" s="77"/>
      <c r="CL84" s="77"/>
    </row>
    <row r="85" spans="1:99" ht="11.45" customHeight="1" x14ac:dyDescent="0.2">
      <c r="B85" s="77"/>
      <c r="CL85" s="77"/>
    </row>
    <row r="86" spans="1:99" s="254" customFormat="1" ht="11.45" customHeight="1" x14ac:dyDescent="0.2">
      <c r="A86" s="30"/>
      <c r="B86" s="101"/>
      <c r="C86" s="272" t="str">
        <f>C23 &amp; " - normalisiert"</f>
        <v>Trade Working Capital - normalisiert</v>
      </c>
      <c r="D86" s="272" t="str">
        <f>D23 &amp; " - adjusted"</f>
        <v>Trade working capital - adjusted</v>
      </c>
      <c r="E86" s="147">
        <f>E23+E74</f>
        <v>0</v>
      </c>
      <c r="F86" s="147">
        <f t="shared" ref="F86:BQ86" si="34">F23+F74</f>
        <v>0</v>
      </c>
      <c r="G86" s="147">
        <f t="shared" si="34"/>
        <v>0</v>
      </c>
      <c r="H86" s="147">
        <f t="shared" si="34"/>
        <v>0</v>
      </c>
      <c r="I86" s="147">
        <f t="shared" si="34"/>
        <v>0</v>
      </c>
      <c r="J86" s="147">
        <f t="shared" si="34"/>
        <v>0</v>
      </c>
      <c r="K86" s="147">
        <f t="shared" si="34"/>
        <v>0</v>
      </c>
      <c r="L86" s="147">
        <f t="shared" si="34"/>
        <v>0</v>
      </c>
      <c r="M86" s="147">
        <f t="shared" si="34"/>
        <v>0</v>
      </c>
      <c r="N86" s="147">
        <f t="shared" si="34"/>
        <v>0</v>
      </c>
      <c r="O86" s="147">
        <f t="shared" si="34"/>
        <v>0</v>
      </c>
      <c r="P86" s="147">
        <f t="shared" si="34"/>
        <v>0</v>
      </c>
      <c r="Q86" s="147">
        <f t="shared" si="34"/>
        <v>2981.19749</v>
      </c>
      <c r="R86" s="147">
        <f t="shared" si="34"/>
        <v>2865.7983900000004</v>
      </c>
      <c r="S86" s="147">
        <f t="shared" si="34"/>
        <v>2827.8680100000001</v>
      </c>
      <c r="T86" s="147">
        <f t="shared" si="34"/>
        <v>2425.4081099999999</v>
      </c>
      <c r="U86" s="147">
        <f t="shared" si="34"/>
        <v>2722.1159900000002</v>
      </c>
      <c r="V86" s="147">
        <f t="shared" si="34"/>
        <v>2736.8208</v>
      </c>
      <c r="W86" s="147">
        <f t="shared" si="34"/>
        <v>3314.8183300000001</v>
      </c>
      <c r="X86" s="147">
        <f t="shared" si="34"/>
        <v>3394.5581500000003</v>
      </c>
      <c r="Y86" s="147">
        <f t="shared" si="34"/>
        <v>3902.5547000000006</v>
      </c>
      <c r="Z86" s="147">
        <f t="shared" si="34"/>
        <v>3862.9645199999995</v>
      </c>
      <c r="AA86" s="147">
        <f t="shared" si="34"/>
        <v>4016.0634799999993</v>
      </c>
      <c r="AB86" s="147">
        <f t="shared" si="34"/>
        <v>4415.4030799999991</v>
      </c>
      <c r="AC86" s="147">
        <f t="shared" si="34"/>
        <v>3340.1928800000005</v>
      </c>
      <c r="AD86" s="147">
        <f t="shared" si="34"/>
        <v>3286.5541500000008</v>
      </c>
      <c r="AE86" s="147">
        <f t="shared" si="34"/>
        <v>3721.0957900000003</v>
      </c>
      <c r="AF86" s="147">
        <f t="shared" si="34"/>
        <v>3860.9094800000003</v>
      </c>
      <c r="AG86" s="147">
        <f t="shared" si="34"/>
        <v>3691.5861700000005</v>
      </c>
      <c r="AH86" s="147">
        <f t="shared" si="34"/>
        <v>3365.3781199999999</v>
      </c>
      <c r="AI86" s="147">
        <f t="shared" si="34"/>
        <v>3355.5149799999995</v>
      </c>
      <c r="AJ86" s="147">
        <f t="shared" si="34"/>
        <v>2401.7461799999996</v>
      </c>
      <c r="AK86" s="147">
        <f t="shared" si="34"/>
        <v>2848.9242300000005</v>
      </c>
      <c r="AL86" s="147">
        <f t="shared" si="34"/>
        <v>2947.2736500000001</v>
      </c>
      <c r="AM86" s="147">
        <f t="shared" si="34"/>
        <v>3488.4162900000001</v>
      </c>
      <c r="AN86" s="147">
        <f t="shared" si="34"/>
        <v>3187.5437900000002</v>
      </c>
      <c r="AO86" s="147">
        <f t="shared" si="34"/>
        <v>4574.2469900000006</v>
      </c>
      <c r="AP86" s="147">
        <f t="shared" si="34"/>
        <v>4313.0279700000001</v>
      </c>
      <c r="AQ86" s="147">
        <f t="shared" si="34"/>
        <v>4589.41266</v>
      </c>
      <c r="AR86" s="147">
        <f t="shared" si="34"/>
        <v>4753.3374200000007</v>
      </c>
      <c r="AS86" s="147">
        <f t="shared" si="34"/>
        <v>4779.3350099999998</v>
      </c>
      <c r="AT86" s="147">
        <f t="shared" si="34"/>
        <v>5022.2646199999999</v>
      </c>
      <c r="AU86" s="388">
        <f t="shared" si="34"/>
        <v>5407.34184</v>
      </c>
      <c r="AV86" s="388">
        <f t="shared" si="34"/>
        <v>4689.7031499999994</v>
      </c>
      <c r="AW86" s="388">
        <f t="shared" si="34"/>
        <v>5207.8584299999993</v>
      </c>
      <c r="AX86" s="388">
        <f t="shared" si="34"/>
        <v>5133.3013799999999</v>
      </c>
      <c r="AY86" s="388">
        <f t="shared" si="34"/>
        <v>5203.9771300000002</v>
      </c>
      <c r="AZ86" s="388">
        <f t="shared" si="34"/>
        <v>4803.1871600000004</v>
      </c>
      <c r="BA86" s="388">
        <f t="shared" si="34"/>
        <v>4265.7960299999995</v>
      </c>
      <c r="BB86" s="388">
        <f t="shared" si="34"/>
        <v>0</v>
      </c>
      <c r="BC86" s="388">
        <f t="shared" si="34"/>
        <v>0</v>
      </c>
      <c r="BD86" s="388">
        <f t="shared" si="34"/>
        <v>0</v>
      </c>
      <c r="BE86" s="388">
        <f t="shared" si="34"/>
        <v>0</v>
      </c>
      <c r="BF86" s="388">
        <f t="shared" si="34"/>
        <v>0</v>
      </c>
      <c r="BG86" s="388">
        <f t="shared" si="34"/>
        <v>0</v>
      </c>
      <c r="BH86" s="388">
        <f t="shared" si="34"/>
        <v>0</v>
      </c>
      <c r="BI86" s="388">
        <f t="shared" si="34"/>
        <v>0</v>
      </c>
      <c r="BJ86" s="388">
        <f t="shared" si="34"/>
        <v>0</v>
      </c>
      <c r="BK86" s="388">
        <f t="shared" si="34"/>
        <v>0</v>
      </c>
      <c r="BL86" s="388">
        <f t="shared" si="34"/>
        <v>0</v>
      </c>
      <c r="BM86" s="388">
        <f t="shared" si="34"/>
        <v>0</v>
      </c>
      <c r="BN86" s="388">
        <f t="shared" si="34"/>
        <v>0</v>
      </c>
      <c r="BO86" s="388">
        <f t="shared" si="34"/>
        <v>0</v>
      </c>
      <c r="BP86" s="388">
        <f t="shared" si="34"/>
        <v>0</v>
      </c>
      <c r="BQ86" s="388">
        <f t="shared" si="34"/>
        <v>0</v>
      </c>
      <c r="BR86" s="388">
        <f t="shared" ref="BR86:CK86" si="35">BR23+BR74</f>
        <v>0</v>
      </c>
      <c r="BS86" s="388">
        <f t="shared" si="35"/>
        <v>0</v>
      </c>
      <c r="BT86" s="388">
        <f t="shared" si="35"/>
        <v>0</v>
      </c>
      <c r="BU86" s="388">
        <f t="shared" si="35"/>
        <v>0</v>
      </c>
      <c r="BV86" s="388">
        <f t="shared" si="35"/>
        <v>0</v>
      </c>
      <c r="BW86" s="388">
        <f t="shared" si="35"/>
        <v>0</v>
      </c>
      <c r="BX86" s="388">
        <f t="shared" si="35"/>
        <v>0</v>
      </c>
      <c r="BY86" s="388">
        <f t="shared" si="35"/>
        <v>0</v>
      </c>
      <c r="BZ86" s="388">
        <f t="shared" si="35"/>
        <v>0</v>
      </c>
      <c r="CA86" s="388">
        <f t="shared" si="35"/>
        <v>0</v>
      </c>
      <c r="CB86" s="388">
        <f t="shared" si="35"/>
        <v>0</v>
      </c>
      <c r="CC86" s="388">
        <f t="shared" si="35"/>
        <v>0</v>
      </c>
      <c r="CD86" s="388">
        <f t="shared" si="35"/>
        <v>0</v>
      </c>
      <c r="CE86" s="388">
        <f t="shared" si="35"/>
        <v>0</v>
      </c>
      <c r="CF86" s="388">
        <f t="shared" si="35"/>
        <v>0</v>
      </c>
      <c r="CG86" s="388">
        <f t="shared" si="35"/>
        <v>0</v>
      </c>
      <c r="CH86" s="388">
        <f t="shared" si="35"/>
        <v>0</v>
      </c>
      <c r="CI86" s="388">
        <f t="shared" si="35"/>
        <v>0</v>
      </c>
      <c r="CJ86" s="388">
        <f t="shared" si="35"/>
        <v>0</v>
      </c>
      <c r="CK86" s="388">
        <f t="shared" si="35"/>
        <v>0</v>
      </c>
      <c r="CL86" s="101"/>
      <c r="CN86" s="251"/>
    </row>
    <row r="87" spans="1:99" ht="11.45" customHeight="1" x14ac:dyDescent="0.2">
      <c r="B87" s="77"/>
      <c r="CL87" s="77"/>
      <c r="CN87" s="500">
        <f>-NA_monthly!AX16+NA_monthly!AL16</f>
        <v>-1180.3231000000001</v>
      </c>
    </row>
    <row r="88" spans="1:99" s="254" customFormat="1" ht="11.45" customHeight="1" x14ac:dyDescent="0.2">
      <c r="A88" s="30"/>
      <c r="B88" s="101"/>
      <c r="C88" s="272" t="str">
        <f>C43 &amp; " - normalisiert"</f>
        <v>Net Working Capital - normalisiert</v>
      </c>
      <c r="D88" s="272" t="str">
        <f>D43 &amp; " - adjusted"</f>
        <v>Net working capital - adjusted</v>
      </c>
      <c r="E88" s="147" t="e">
        <f>E43+E74+E83</f>
        <v>#REF!</v>
      </c>
      <c r="F88" s="147">
        <f t="shared" ref="F88:BQ88" si="36">F43+F74+F83</f>
        <v>0</v>
      </c>
      <c r="G88" s="147">
        <f t="shared" si="36"/>
        <v>0</v>
      </c>
      <c r="H88" s="147">
        <f t="shared" si="36"/>
        <v>0</v>
      </c>
      <c r="I88" s="147">
        <f t="shared" si="36"/>
        <v>0</v>
      </c>
      <c r="J88" s="147">
        <f t="shared" si="36"/>
        <v>0</v>
      </c>
      <c r="K88" s="147">
        <f t="shared" si="36"/>
        <v>0</v>
      </c>
      <c r="L88" s="147">
        <f t="shared" si="36"/>
        <v>0</v>
      </c>
      <c r="M88" s="147">
        <f t="shared" si="36"/>
        <v>0</v>
      </c>
      <c r="N88" s="147">
        <f t="shared" si="36"/>
        <v>0</v>
      </c>
      <c r="O88" s="147">
        <f t="shared" si="36"/>
        <v>0</v>
      </c>
      <c r="P88" s="147">
        <f t="shared" si="36"/>
        <v>0</v>
      </c>
      <c r="Q88" s="147">
        <f t="shared" si="36"/>
        <v>2068.4414800000004</v>
      </c>
      <c r="R88" s="147">
        <f t="shared" si="36"/>
        <v>1990.8259200000005</v>
      </c>
      <c r="S88" s="147">
        <f t="shared" si="36"/>
        <v>1905.9902200000001</v>
      </c>
      <c r="T88" s="147">
        <f t="shared" si="36"/>
        <v>1686.0301799999997</v>
      </c>
      <c r="U88" s="147">
        <f t="shared" si="36"/>
        <v>1926.6104700000005</v>
      </c>
      <c r="V88" s="147">
        <f t="shared" si="36"/>
        <v>2129.09591</v>
      </c>
      <c r="W88" s="147">
        <f t="shared" si="36"/>
        <v>2637.3261200000002</v>
      </c>
      <c r="X88" s="147">
        <f t="shared" si="36"/>
        <v>2814.6927400000004</v>
      </c>
      <c r="Y88" s="147">
        <f t="shared" si="36"/>
        <v>3388.0251400000011</v>
      </c>
      <c r="Z88" s="147">
        <f t="shared" si="36"/>
        <v>3174.6659699999991</v>
      </c>
      <c r="AA88" s="147">
        <f t="shared" si="36"/>
        <v>3436.0691499999994</v>
      </c>
      <c r="AB88" s="147">
        <f t="shared" si="36"/>
        <v>3877.6881199999993</v>
      </c>
      <c r="AC88" s="147">
        <f t="shared" si="36"/>
        <v>2987.4098900000008</v>
      </c>
      <c r="AD88" s="147">
        <f t="shared" si="36"/>
        <v>3010.3092100000008</v>
      </c>
      <c r="AE88" s="147">
        <f t="shared" si="36"/>
        <v>3375.6613400000001</v>
      </c>
      <c r="AF88" s="147">
        <f t="shared" si="36"/>
        <v>3343.0297</v>
      </c>
      <c r="AG88" s="147">
        <f t="shared" si="36"/>
        <v>3143.9559800000006</v>
      </c>
      <c r="AH88" s="147">
        <f t="shared" si="36"/>
        <v>2852.5631100000001</v>
      </c>
      <c r="AI88" s="147">
        <f t="shared" si="36"/>
        <v>2862.8867999999993</v>
      </c>
      <c r="AJ88" s="147">
        <f t="shared" si="36"/>
        <v>2045.4795799999995</v>
      </c>
      <c r="AK88" s="147">
        <f t="shared" si="36"/>
        <v>2440.3946600000004</v>
      </c>
      <c r="AL88" s="147">
        <f t="shared" si="36"/>
        <v>2516.8786700000001</v>
      </c>
      <c r="AM88" s="147">
        <f t="shared" si="36"/>
        <v>3113.2491</v>
      </c>
      <c r="AN88" s="147">
        <f t="shared" si="36"/>
        <v>2831.5463199999999</v>
      </c>
      <c r="AO88" s="147">
        <f t="shared" si="36"/>
        <v>4293.2208300000002</v>
      </c>
      <c r="AP88" s="147">
        <f t="shared" si="36"/>
        <v>4030.0816</v>
      </c>
      <c r="AQ88" s="147">
        <f t="shared" si="36"/>
        <v>4286.5690400000003</v>
      </c>
      <c r="AR88" s="147">
        <f t="shared" si="36"/>
        <v>4416.1775500000003</v>
      </c>
      <c r="AS88" s="147">
        <f t="shared" si="36"/>
        <v>4449.8235999999997</v>
      </c>
      <c r="AT88" s="147">
        <f t="shared" si="36"/>
        <v>4693.0629900000004</v>
      </c>
      <c r="AU88" s="388">
        <f t="shared" si="36"/>
        <v>5055.6697800000002</v>
      </c>
      <c r="AV88" s="388">
        <f t="shared" si="36"/>
        <v>4069.8933399999992</v>
      </c>
      <c r="AW88" s="388">
        <f t="shared" si="36"/>
        <v>4622.2779599999994</v>
      </c>
      <c r="AX88" s="388">
        <f t="shared" si="36"/>
        <v>4634.8256199999996</v>
      </c>
      <c r="AY88" s="388">
        <f t="shared" si="36"/>
        <v>4853.4081500000002</v>
      </c>
      <c r="AZ88" s="388">
        <f t="shared" si="36"/>
        <v>4465.5808100000004</v>
      </c>
      <c r="BA88" s="388">
        <f t="shared" si="36"/>
        <v>3966.1745199999996</v>
      </c>
      <c r="BB88" s="388">
        <f t="shared" si="36"/>
        <v>0</v>
      </c>
      <c r="BC88" s="388">
        <f t="shared" si="36"/>
        <v>0</v>
      </c>
      <c r="BD88" s="388">
        <f t="shared" si="36"/>
        <v>0</v>
      </c>
      <c r="BE88" s="388">
        <f t="shared" si="36"/>
        <v>0</v>
      </c>
      <c r="BF88" s="388">
        <f t="shared" si="36"/>
        <v>0</v>
      </c>
      <c r="BG88" s="388">
        <f t="shared" si="36"/>
        <v>0</v>
      </c>
      <c r="BH88" s="388">
        <f t="shared" si="36"/>
        <v>0</v>
      </c>
      <c r="BI88" s="388">
        <f t="shared" si="36"/>
        <v>0</v>
      </c>
      <c r="BJ88" s="388">
        <f t="shared" si="36"/>
        <v>0</v>
      </c>
      <c r="BK88" s="388">
        <f t="shared" si="36"/>
        <v>0</v>
      </c>
      <c r="BL88" s="388">
        <f t="shared" si="36"/>
        <v>0</v>
      </c>
      <c r="BM88" s="388">
        <f t="shared" si="36"/>
        <v>0</v>
      </c>
      <c r="BN88" s="388">
        <f t="shared" si="36"/>
        <v>0</v>
      </c>
      <c r="BO88" s="388">
        <f t="shared" si="36"/>
        <v>0</v>
      </c>
      <c r="BP88" s="388">
        <f t="shared" si="36"/>
        <v>0</v>
      </c>
      <c r="BQ88" s="388">
        <f t="shared" si="36"/>
        <v>0</v>
      </c>
      <c r="BR88" s="388">
        <f t="shared" ref="BR88:CK88" si="37">BR43+BR74+BR83</f>
        <v>0</v>
      </c>
      <c r="BS88" s="388">
        <f t="shared" si="37"/>
        <v>0</v>
      </c>
      <c r="BT88" s="388">
        <f t="shared" si="37"/>
        <v>0</v>
      </c>
      <c r="BU88" s="388">
        <f t="shared" si="37"/>
        <v>0</v>
      </c>
      <c r="BV88" s="388">
        <f t="shared" si="37"/>
        <v>0</v>
      </c>
      <c r="BW88" s="388">
        <f t="shared" si="37"/>
        <v>0</v>
      </c>
      <c r="BX88" s="388">
        <f t="shared" si="37"/>
        <v>0</v>
      </c>
      <c r="BY88" s="388">
        <f t="shared" si="37"/>
        <v>0</v>
      </c>
      <c r="BZ88" s="388">
        <f t="shared" si="37"/>
        <v>0</v>
      </c>
      <c r="CA88" s="388">
        <f t="shared" si="37"/>
        <v>0</v>
      </c>
      <c r="CB88" s="388">
        <f t="shared" si="37"/>
        <v>0</v>
      </c>
      <c r="CC88" s="388">
        <f t="shared" si="37"/>
        <v>0</v>
      </c>
      <c r="CD88" s="388">
        <f t="shared" si="37"/>
        <v>0</v>
      </c>
      <c r="CE88" s="388">
        <f t="shared" si="37"/>
        <v>0</v>
      </c>
      <c r="CF88" s="388">
        <f t="shared" si="37"/>
        <v>0</v>
      </c>
      <c r="CG88" s="388">
        <f t="shared" si="37"/>
        <v>0</v>
      </c>
      <c r="CH88" s="388">
        <f t="shared" si="37"/>
        <v>0</v>
      </c>
      <c r="CI88" s="388">
        <f t="shared" si="37"/>
        <v>0</v>
      </c>
      <c r="CJ88" s="388">
        <f t="shared" si="37"/>
        <v>0</v>
      </c>
      <c r="CK88" s="388">
        <f t="shared" si="37"/>
        <v>0</v>
      </c>
      <c r="CL88" s="101"/>
      <c r="CN88" s="251"/>
    </row>
    <row r="89" spans="1:99" s="254" customFormat="1" ht="11.45" customHeight="1" x14ac:dyDescent="0.2">
      <c r="A89" s="30"/>
      <c r="B89" s="101"/>
      <c r="C89" s="168" t="s">
        <v>233</v>
      </c>
      <c r="D89" s="168"/>
      <c r="E89" s="144" t="e">
        <f>E88-NA_TWC!E63</f>
        <v>#REF!</v>
      </c>
      <c r="F89" s="144"/>
      <c r="G89" s="144"/>
      <c r="H89" s="144"/>
      <c r="I89" s="144"/>
      <c r="J89" s="144"/>
      <c r="K89" s="144"/>
      <c r="L89" s="144"/>
      <c r="M89" s="144"/>
      <c r="N89" s="144"/>
      <c r="O89" s="144"/>
      <c r="P89" s="144"/>
      <c r="Q89" s="405">
        <f>Q88-NA_TWC!F63</f>
        <v>-169.83999999999969</v>
      </c>
      <c r="R89" s="144"/>
      <c r="S89" s="144"/>
      <c r="T89" s="144"/>
      <c r="U89" s="144"/>
      <c r="V89" s="144"/>
      <c r="W89" s="144"/>
      <c r="X89" s="144"/>
      <c r="Y89" s="144"/>
      <c r="Z89" s="144"/>
      <c r="AA89" s="144"/>
      <c r="AB89" s="144"/>
      <c r="AC89" s="405">
        <f>AC88-NA_TWC!G63</f>
        <v>129.30349000000024</v>
      </c>
      <c r="AD89" s="144"/>
      <c r="AE89" s="144"/>
      <c r="AF89" s="144"/>
      <c r="AG89" s="144"/>
      <c r="AH89" s="144"/>
      <c r="AI89" s="144"/>
      <c r="AJ89" s="144"/>
      <c r="AK89" s="144"/>
      <c r="AL89" s="144"/>
      <c r="AM89" s="144"/>
      <c r="AN89" s="144"/>
      <c r="AO89" s="405">
        <f>AO88-NA_TWC!H63</f>
        <v>176.55768999999964</v>
      </c>
      <c r="AP89" s="144"/>
      <c r="AQ89" s="144"/>
      <c r="AR89" s="144"/>
      <c r="AS89" s="144"/>
      <c r="AT89" s="144"/>
      <c r="AU89" s="144"/>
      <c r="AV89" s="144"/>
      <c r="AW89" s="144"/>
      <c r="AX89" s="144"/>
      <c r="AY89" s="144"/>
      <c r="AZ89" s="144"/>
      <c r="BA89" s="144">
        <f>BA88-NA_TWC!I63</f>
        <v>640.45650999999998</v>
      </c>
      <c r="BB89" s="144"/>
      <c r="BC89" s="144"/>
      <c r="BD89" s="144"/>
      <c r="BE89" s="144"/>
      <c r="BF89" s="144"/>
      <c r="BG89" s="144"/>
      <c r="BH89" s="144"/>
      <c r="BI89" s="144"/>
      <c r="BJ89" s="144"/>
      <c r="BK89" s="144"/>
      <c r="BL89" s="144"/>
      <c r="BM89" s="144"/>
      <c r="BN89" s="144"/>
      <c r="BO89" s="144"/>
      <c r="BP89" s="144"/>
      <c r="BQ89" s="144"/>
      <c r="BR89" s="144"/>
      <c r="BS89" s="144"/>
      <c r="BT89" s="144"/>
      <c r="BU89" s="144"/>
      <c r="BV89" s="144"/>
      <c r="BW89" s="144"/>
      <c r="BX89" s="144"/>
      <c r="BY89" s="144"/>
      <c r="BZ89" s="144"/>
      <c r="CA89" s="144"/>
      <c r="CB89" s="144"/>
      <c r="CC89" s="144"/>
      <c r="CD89" s="144"/>
      <c r="CE89" s="144"/>
      <c r="CF89" s="144"/>
      <c r="CG89" s="144"/>
      <c r="CH89" s="144"/>
      <c r="CI89" s="144"/>
      <c r="CJ89" s="144"/>
      <c r="CK89" s="144"/>
      <c r="CL89" s="144"/>
      <c r="CM89" s="144"/>
      <c r="CN89" s="144"/>
      <c r="CO89" s="144"/>
      <c r="CP89" s="144"/>
      <c r="CQ89" s="144"/>
      <c r="CR89" s="144"/>
      <c r="CS89" s="144"/>
      <c r="CT89" s="144"/>
      <c r="CU89" s="144"/>
    </row>
    <row r="90" spans="1:99" s="254" customFormat="1" ht="11.45" customHeight="1" x14ac:dyDescent="0.2">
      <c r="A90" s="30"/>
      <c r="B90" s="101"/>
      <c r="C90" s="168"/>
      <c r="D90" s="168"/>
      <c r="E90" s="168"/>
      <c r="F90" s="168"/>
      <c r="G90" s="168"/>
      <c r="H90" s="168"/>
      <c r="I90" s="168"/>
      <c r="J90" s="168"/>
      <c r="K90" s="168"/>
      <c r="L90" s="168"/>
      <c r="M90" s="168"/>
      <c r="N90" s="168"/>
      <c r="O90" s="168"/>
      <c r="P90" s="168"/>
      <c r="Q90" s="168"/>
      <c r="R90" s="168"/>
      <c r="S90" s="168"/>
      <c r="T90" s="168"/>
      <c r="U90" s="168"/>
      <c r="V90" s="168"/>
      <c r="W90" s="168"/>
      <c r="X90" s="168"/>
      <c r="Y90" s="168"/>
      <c r="Z90" s="168"/>
      <c r="AA90" s="168"/>
      <c r="AB90" s="168"/>
      <c r="AC90" s="168"/>
      <c r="AD90" s="168"/>
      <c r="AE90" s="168"/>
      <c r="AF90" s="168"/>
      <c r="AG90" s="168"/>
      <c r="AH90" s="168"/>
      <c r="AI90" s="168"/>
      <c r="AJ90" s="168"/>
      <c r="AK90" s="168"/>
      <c r="AL90" s="168"/>
      <c r="AM90" s="168"/>
      <c r="AN90" s="168"/>
      <c r="AO90" s="168"/>
      <c r="AP90" s="168"/>
      <c r="AQ90" s="168"/>
      <c r="AR90" s="168"/>
      <c r="AS90" s="168"/>
      <c r="AT90" s="168"/>
      <c r="AU90" s="168"/>
      <c r="AV90" s="168"/>
      <c r="AW90" s="168"/>
      <c r="AX90" s="168"/>
      <c r="AY90" s="168"/>
      <c r="AZ90" s="168"/>
      <c r="BA90" s="168"/>
      <c r="BB90" s="168"/>
      <c r="BC90" s="168"/>
      <c r="BD90" s="168"/>
      <c r="BE90" s="168"/>
      <c r="BF90" s="168"/>
      <c r="BG90" s="168"/>
      <c r="BH90" s="144"/>
      <c r="BI90" s="144"/>
      <c r="BJ90" s="144"/>
      <c r="BK90" s="144"/>
      <c r="BL90" s="144"/>
      <c r="BM90" s="144"/>
      <c r="BN90" s="144"/>
      <c r="BO90" s="144"/>
      <c r="BP90" s="144"/>
      <c r="BQ90" s="144"/>
      <c r="BR90" s="144"/>
      <c r="BS90" s="144"/>
      <c r="BT90" s="144"/>
      <c r="BU90" s="144"/>
      <c r="BV90" s="144"/>
      <c r="BW90" s="144"/>
      <c r="BX90" s="144"/>
      <c r="BY90" s="144"/>
      <c r="BZ90" s="144"/>
      <c r="CA90" s="144"/>
      <c r="CB90" s="144"/>
      <c r="CC90" s="144"/>
      <c r="CD90" s="144"/>
      <c r="CE90" s="144"/>
      <c r="CF90" s="144"/>
      <c r="CG90" s="144"/>
      <c r="CH90" s="144"/>
      <c r="CI90" s="144"/>
      <c r="CJ90" s="144"/>
      <c r="CK90" s="144"/>
      <c r="CL90" s="144"/>
      <c r="CM90" s="144"/>
      <c r="CN90" s="144"/>
      <c r="CO90" s="144"/>
      <c r="CP90" s="144"/>
      <c r="CQ90" s="144"/>
      <c r="CR90" s="144"/>
      <c r="CS90" s="144"/>
      <c r="CT90" s="144"/>
      <c r="CU90" s="144"/>
    </row>
    <row r="91" spans="1:99" s="254" customFormat="1" ht="11.45" customHeight="1" x14ac:dyDescent="0.2">
      <c r="A91" s="30"/>
      <c r="B91" s="101"/>
      <c r="C91" s="407" t="s">
        <v>267</v>
      </c>
      <c r="D91" s="43" t="s">
        <v>775</v>
      </c>
      <c r="E91" s="406">
        <f>'Lead PL'!E9</f>
        <v>0</v>
      </c>
      <c r="F91" s="406" t="s">
        <v>832</v>
      </c>
      <c r="G91" s="406" t="s">
        <v>832</v>
      </c>
      <c r="H91" s="406" t="s">
        <v>832</v>
      </c>
      <c r="I91" s="406" t="s">
        <v>832</v>
      </c>
      <c r="J91" s="406" t="s">
        <v>832</v>
      </c>
      <c r="K91" s="406" t="s">
        <v>832</v>
      </c>
      <c r="L91" s="406" t="s">
        <v>832</v>
      </c>
      <c r="M91" s="406" t="s">
        <v>832</v>
      </c>
      <c r="N91" s="406" t="s">
        <v>832</v>
      </c>
      <c r="O91" s="406" t="s">
        <v>832</v>
      </c>
      <c r="P91" s="406" t="s">
        <v>832</v>
      </c>
      <c r="Q91" s="624">
        <f>SUM(PL_monthly!F9:Q9)</f>
        <v>0</v>
      </c>
      <c r="R91" s="624">
        <f>SUM(PL_monthly!G9:R9)</f>
        <v>1087.9522199999999</v>
      </c>
      <c r="S91" s="624">
        <f>SUM(PL_monthly!H9:S9)</f>
        <v>2303.6029699999999</v>
      </c>
      <c r="T91" s="624">
        <f>SUM(PL_monthly!I9:T9)</f>
        <v>3749.5038199999999</v>
      </c>
      <c r="U91" s="624">
        <f>SUM(PL_monthly!J9:U9)</f>
        <v>5075.788700000001</v>
      </c>
      <c r="V91" s="624">
        <f>SUM(PL_monthly!K9:V9)</f>
        <v>6275.9180100000003</v>
      </c>
      <c r="W91" s="624">
        <f>SUM(PL_monthly!L9:W9)</f>
        <v>7505.4496599999993</v>
      </c>
      <c r="X91" s="624">
        <f>SUM(PL_monthly!M9:X9)</f>
        <v>8723.4927300000018</v>
      </c>
      <c r="Y91" s="624">
        <f>SUM(PL_monthly!N9:Y9)</f>
        <v>10081.416420000001</v>
      </c>
      <c r="Z91" s="624">
        <f>SUM(PL_monthly!O9:Z9)</f>
        <v>11380.18873</v>
      </c>
      <c r="AA91" s="624">
        <f>SUM(PL_monthly!P9:AA9)</f>
        <v>12463.826580000003</v>
      </c>
      <c r="AB91" s="624">
        <f>SUM(PL_monthly!Q9:AB9)</f>
        <v>13787.375760000001</v>
      </c>
      <c r="AC91" s="624">
        <f>SUM(PL_monthly!R9:AC9)</f>
        <v>15316.24358</v>
      </c>
      <c r="AD91" s="624">
        <f>SUM(PL_monthly!S9:AD9)</f>
        <v>15569.19519</v>
      </c>
      <c r="AE91" s="624">
        <f>SUM(PL_monthly!T9:AE9)</f>
        <v>15729.22991</v>
      </c>
      <c r="AF91" s="624">
        <f>SUM(PL_monthly!U9:AF9)</f>
        <v>15942.85081</v>
      </c>
      <c r="AG91" s="624">
        <f>SUM(PL_monthly!V9:AG9)</f>
        <v>15949.25</v>
      </c>
      <c r="AH91" s="624">
        <f>SUM(PL_monthly!W9:AH9)</f>
        <v>16494.326249999998</v>
      </c>
      <c r="AI91" s="624">
        <f>SUM(PL_monthly!X9:AI9)</f>
        <v>16362.959390000004</v>
      </c>
      <c r="AJ91" s="624">
        <f>SUM(PL_monthly!Y9:AJ9)</f>
        <v>16633.088660000001</v>
      </c>
      <c r="AK91" s="624">
        <f>SUM(PL_monthly!Z9:AK9)</f>
        <v>16539.626690000005</v>
      </c>
      <c r="AL91" s="624">
        <f>SUM(PL_monthly!AA9:AL9)</f>
        <v>16663.412179999999</v>
      </c>
      <c r="AM91" s="624">
        <f>SUM(PL_monthly!AB9:AM9)</f>
        <v>16914.496500000001</v>
      </c>
      <c r="AN91" s="624">
        <f>SUM(PL_monthly!AC9:AN9)</f>
        <v>16913.402739999998</v>
      </c>
      <c r="AO91" s="624">
        <f>SUM(PL_monthly!AD9:AO9)</f>
        <v>16659.963460000003</v>
      </c>
      <c r="AP91" s="624">
        <f>SUM(PL_monthly!AE9:AP9)</f>
        <v>16673.994630000001</v>
      </c>
      <c r="AQ91" s="624">
        <f>SUM(PL_monthly!AF9:AQ9)</f>
        <v>16770.649020000004</v>
      </c>
      <c r="AR91" s="624">
        <f>SUM(PL_monthly!AG9:AR9)</f>
        <v>16229.24156</v>
      </c>
      <c r="AS91" s="624">
        <f>SUM(PL_monthly!AH9:AS9)</f>
        <v>16259.464980000001</v>
      </c>
      <c r="AT91" s="624">
        <f>SUM(PL_monthly!AI9:AT9)</f>
        <v>16028.231390000001</v>
      </c>
      <c r="AU91" s="624">
        <f>SUM(PL_monthly!AJ9:AU9)</f>
        <v>15986.434360000003</v>
      </c>
      <c r="AV91" s="624">
        <f>SUM(PL_monthly!AK9:AV9)</f>
        <v>15609.579179999997</v>
      </c>
      <c r="AW91" s="624">
        <f>SUM(PL_monthly!AL9:AW9)</f>
        <v>15724.053769999999</v>
      </c>
      <c r="AX91" s="624">
        <f>SUM(PL_monthly!AM9:AX9)</f>
        <v>15425.716930000001</v>
      </c>
      <c r="AY91" s="624">
        <f>SUM(PL_monthly!AN9:AY9)</f>
        <v>15303.322300000003</v>
      </c>
      <c r="AZ91" s="624">
        <f>SUM(PL_monthly!AO9:AZ9)</f>
        <v>15174.359690000001</v>
      </c>
      <c r="BA91" s="624">
        <f>SUM(PL_monthly!AP9:BA9)</f>
        <v>15009.728290000003</v>
      </c>
      <c r="BB91" s="408">
        <f>SUM(PL_monthly!AQ9:BB9)</f>
        <v>13654.793290000003</v>
      </c>
      <c r="BC91" s="408">
        <f>SUM(PL_monthly!AR9:BC9)</f>
        <v>12182.453430000003</v>
      </c>
      <c r="BD91" s="408">
        <f>SUM(PL_monthly!AS9:BD9)</f>
        <v>11064.339140000004</v>
      </c>
      <c r="BE91" s="408">
        <f>SUM(PL_monthly!AT9:BE9)</f>
        <v>9701.4316500000023</v>
      </c>
      <c r="BF91" s="408">
        <f>SUM(PL_monthly!AU9:BF9)</f>
        <v>8187.4596800000036</v>
      </c>
      <c r="BG91" s="408">
        <f>SUM(PL_monthly!AV9:BG9)</f>
        <v>7131.0919200000035</v>
      </c>
      <c r="BH91" s="408">
        <f>SUM(PL_monthly!AW9:BH9)</f>
        <v>6019.7747600000039</v>
      </c>
      <c r="BI91" s="408">
        <f>SUM(PL_monthly!AX9:BI9)</f>
        <v>4640.8384500000029</v>
      </c>
      <c r="BJ91" s="408">
        <f>SUM(PL_monthly!AY9:BJ9)</f>
        <v>3516.6174900000024</v>
      </c>
      <c r="BK91" s="408">
        <f>SUM(PL_monthly!AZ9:BK9)</f>
        <v>2304.2899499999985</v>
      </c>
      <c r="BL91" s="408">
        <f>SUM(PL_monthly!BA9:BL9)</f>
        <v>1110.7971400000024</v>
      </c>
      <c r="BM91" s="408">
        <f>SUM(PL_monthly!BB9:BM9)</f>
        <v>0</v>
      </c>
      <c r="BN91" s="408">
        <f>SUM(PL_monthly!BC9:BN9)</f>
        <v>0</v>
      </c>
      <c r="BO91" s="408">
        <f>SUM(PL_monthly!BD9:BO9)</f>
        <v>0</v>
      </c>
      <c r="BP91" s="408">
        <f>SUM(PL_monthly!BE9:BP9)</f>
        <v>0</v>
      </c>
      <c r="BQ91" s="408">
        <f>SUM(PL_monthly!BF9:BQ9)</f>
        <v>0</v>
      </c>
      <c r="BR91" s="408">
        <f>SUM(PL_monthly!BG9:BR9)</f>
        <v>0</v>
      </c>
      <c r="BS91" s="408">
        <f>SUM(PL_monthly!BH9:BS9)</f>
        <v>0</v>
      </c>
      <c r="BT91" s="408">
        <f>SUM(PL_monthly!BI9:BT9)</f>
        <v>0</v>
      </c>
      <c r="BU91" s="408">
        <f>SUM(PL_monthly!BJ9:BU9)</f>
        <v>0</v>
      </c>
      <c r="BV91" s="408">
        <f>SUM(PL_monthly!BK9:BV9)</f>
        <v>0</v>
      </c>
      <c r="BW91" s="408">
        <f>SUM(PL_monthly!BL9:BW9)</f>
        <v>0</v>
      </c>
      <c r="BX91" s="408">
        <f>SUM(PL_monthly!BM9:BX9)</f>
        <v>0</v>
      </c>
      <c r="BY91" s="408">
        <f>SUM(PL_monthly!BN9:BY9)</f>
        <v>0</v>
      </c>
      <c r="BZ91" s="408">
        <f>SUM(PL_monthly!BO9:BZ9)</f>
        <v>0</v>
      </c>
      <c r="CA91" s="408">
        <f>SUM(PL_monthly!BP9:CA9)</f>
        <v>0</v>
      </c>
      <c r="CB91" s="408">
        <f>SUM(PL_monthly!BQ9:CB9)</f>
        <v>0</v>
      </c>
      <c r="CC91" s="408">
        <f>SUM(PL_monthly!BR9:CC9)</f>
        <v>0</v>
      </c>
      <c r="CD91" s="408">
        <f>SUM(PL_monthly!BS9:CD9)</f>
        <v>0</v>
      </c>
      <c r="CE91" s="408">
        <f>SUM(PL_monthly!BT9:CE9)</f>
        <v>0</v>
      </c>
      <c r="CF91" s="408">
        <f>SUM(PL_monthly!BU9:CF9)</f>
        <v>0</v>
      </c>
      <c r="CG91" s="408">
        <f>SUM(PL_monthly!BV9:CG9)</f>
        <v>0</v>
      </c>
      <c r="CH91" s="408">
        <f>SUM(PL_monthly!BW9:CH9)</f>
        <v>0</v>
      </c>
      <c r="CI91" s="408">
        <f>SUM(PL_monthly!BX9:CI9)</f>
        <v>0</v>
      </c>
      <c r="CJ91" s="408">
        <f>SUM(PL_monthly!BY9:CJ9)</f>
        <v>0</v>
      </c>
      <c r="CK91" s="409">
        <f>SUM(PL_monthly!BZ9:CK9)</f>
        <v>0</v>
      </c>
      <c r="CL91" s="144"/>
      <c r="CM91" s="144"/>
      <c r="CN91" s="144"/>
      <c r="CO91" s="144"/>
      <c r="CP91" s="144"/>
      <c r="CQ91" s="144"/>
      <c r="CR91" s="144"/>
      <c r="CS91" s="144"/>
      <c r="CT91" s="144"/>
      <c r="CU91" s="144"/>
    </row>
    <row r="92" spans="1:99" s="254" customFormat="1" ht="11.45" customHeight="1" x14ac:dyDescent="0.2">
      <c r="A92" s="30"/>
      <c r="B92" s="101"/>
      <c r="C92" s="410" t="s">
        <v>264</v>
      </c>
      <c r="D92" s="37" t="s">
        <v>776</v>
      </c>
      <c r="E92" s="411">
        <f>'Lead PL'!E25</f>
        <v>0</v>
      </c>
      <c r="F92" s="411" t="s">
        <v>832</v>
      </c>
      <c r="G92" s="411" t="s">
        <v>832</v>
      </c>
      <c r="H92" s="411" t="s">
        <v>832</v>
      </c>
      <c r="I92" s="411" t="s">
        <v>832</v>
      </c>
      <c r="J92" s="411" t="s">
        <v>832</v>
      </c>
      <c r="K92" s="411" t="s">
        <v>832</v>
      </c>
      <c r="L92" s="411" t="s">
        <v>832</v>
      </c>
      <c r="M92" s="411" t="s">
        <v>832</v>
      </c>
      <c r="N92" s="411" t="s">
        <v>832</v>
      </c>
      <c r="O92" s="411" t="s">
        <v>832</v>
      </c>
      <c r="P92" s="411" t="s">
        <v>832</v>
      </c>
      <c r="Q92" s="625">
        <f>SUM(PL_monthly!F16:Q16)</f>
        <v>0</v>
      </c>
      <c r="R92" s="625">
        <f>SUM(PL_monthly!G16:R16)</f>
        <v>-694.43766000000005</v>
      </c>
      <c r="S92" s="625">
        <f>SUM(PL_monthly!H16:S16)</f>
        <v>-1612.7023499999998</v>
      </c>
      <c r="T92" s="625">
        <f>SUM(PL_monthly!I16:T16)</f>
        <v>-2598.9291699999999</v>
      </c>
      <c r="U92" s="625">
        <f>SUM(PL_monthly!J16:U16)</f>
        <v>-3257.4605299999998</v>
      </c>
      <c r="V92" s="625">
        <f>SUM(PL_monthly!K16:V16)</f>
        <v>-4202.4292000000005</v>
      </c>
      <c r="W92" s="625">
        <f>SUM(PL_monthly!L16:W16)</f>
        <v>-4141.4462600000006</v>
      </c>
      <c r="X92" s="625">
        <f>SUM(PL_monthly!M16:X16)</f>
        <v>-4863.3364300000003</v>
      </c>
      <c r="Y92" s="625">
        <f>SUM(PL_monthly!N16:Y16)</f>
        <v>-5365.4543899999999</v>
      </c>
      <c r="Z92" s="625">
        <f>SUM(PL_monthly!O16:Z16)</f>
        <v>-6072.4336300000004</v>
      </c>
      <c r="AA92" s="625">
        <f>SUM(PL_monthly!P16:AA16)</f>
        <v>-6583.3257699999995</v>
      </c>
      <c r="AB92" s="625">
        <f>SUM(PL_monthly!Q16:AB16)</f>
        <v>-7010.4279999999999</v>
      </c>
      <c r="AC92" s="625">
        <f>SUM(PL_monthly!R16:AC16)</f>
        <v>-8086.502379999999</v>
      </c>
      <c r="AD92" s="625">
        <f>SUM(PL_monthly!S16:AD16)</f>
        <v>-8094.7773999999981</v>
      </c>
      <c r="AE92" s="625">
        <f>SUM(PL_monthly!T16:AE16)</f>
        <v>-7689.9475999999986</v>
      </c>
      <c r="AF92" s="625">
        <f>SUM(PL_monthly!U16:AF16)</f>
        <v>-7327.5609999999988</v>
      </c>
      <c r="AG92" s="625">
        <f>SUM(PL_monthly!V16:AG16)</f>
        <v>-7317.2865599999986</v>
      </c>
      <c r="AH92" s="625">
        <f>SUM(PL_monthly!W16:AH16)</f>
        <v>-7440.2932199999977</v>
      </c>
      <c r="AI92" s="625">
        <f>SUM(PL_monthly!X16:AI16)</f>
        <v>-8330.4080899999972</v>
      </c>
      <c r="AJ92" s="625">
        <f>SUM(PL_monthly!Y16:AJ16)</f>
        <v>-9277.7935799999977</v>
      </c>
      <c r="AK92" s="625">
        <f>SUM(PL_monthly!Z16:AK16)</f>
        <v>-9270.5912599999974</v>
      </c>
      <c r="AL92" s="625">
        <f>SUM(PL_monthly!AA16:AL16)</f>
        <v>-9730.5260199999975</v>
      </c>
      <c r="AM92" s="625">
        <f>SUM(PL_monthly!AB16:AM16)</f>
        <v>-9573.0922299999984</v>
      </c>
      <c r="AN92" s="625">
        <f>SUM(PL_monthly!AC16:AN16)</f>
        <v>-9735.5262799999982</v>
      </c>
      <c r="AO92" s="625">
        <f>SUM(PL_monthly!AD16:AO16)</f>
        <v>-8397.8873899999999</v>
      </c>
      <c r="AP92" s="625">
        <f>SUM(PL_monthly!AE16:AP16)</f>
        <v>-8361.5327799999995</v>
      </c>
      <c r="AQ92" s="625">
        <f>SUM(PL_monthly!AF16:AQ16)</f>
        <v>-8701.9842300000018</v>
      </c>
      <c r="AR92" s="625">
        <f>SUM(PL_monthly!AG16:AR16)</f>
        <v>-8742.9187199999997</v>
      </c>
      <c r="AS92" s="625">
        <f>SUM(PL_monthly!AH16:AS16)</f>
        <v>-8798.1219400000009</v>
      </c>
      <c r="AT92" s="625">
        <f>SUM(PL_monthly!AI16:AT16)</f>
        <v>-8431.3738400000002</v>
      </c>
      <c r="AU92" s="625">
        <f>SUM(PL_monthly!AJ16:AU16)</f>
        <v>-7893.3472900000015</v>
      </c>
      <c r="AV92" s="625">
        <f>SUM(PL_monthly!AK16:AV16)</f>
        <v>-6730.3112899999996</v>
      </c>
      <c r="AW92" s="625">
        <f>SUM(PL_monthly!AL16:AW16)</f>
        <v>-6681.9142000000011</v>
      </c>
      <c r="AX92" s="625">
        <f>SUM(PL_monthly!AM16:AX16)</f>
        <v>-5937.8979099999997</v>
      </c>
      <c r="AY92" s="625">
        <f>SUM(PL_monthly!AN16:AY16)</f>
        <v>-5962.9451000000008</v>
      </c>
      <c r="AZ92" s="625">
        <f>SUM(PL_monthly!AO16:AZ16)</f>
        <v>-6109.6200100000005</v>
      </c>
      <c r="BA92" s="625">
        <f>SUM(PL_monthly!AP16:BA16)</f>
        <v>-7361.7846899999986</v>
      </c>
      <c r="BB92" s="164">
        <f>SUM(PL_monthly!AQ16:BB16)</f>
        <v>-6695.4266199999984</v>
      </c>
      <c r="BC92" s="164">
        <f>SUM(PL_monthly!AR16:BC16)</f>
        <v>-5841.5402799999983</v>
      </c>
      <c r="BD92" s="164">
        <f>SUM(PL_monthly!AS16:BD16)</f>
        <v>-5176.7655699999987</v>
      </c>
      <c r="BE92" s="164">
        <f>SUM(PL_monthly!AT16:BE16)</f>
        <v>-4473.3054299999985</v>
      </c>
      <c r="BF92" s="164">
        <f>SUM(PL_monthly!AU16:BF16)</f>
        <v>-3772.078199999999</v>
      </c>
      <c r="BG92" s="164">
        <f>SUM(PL_monthly!AV16:BG16)</f>
        <v>-3480.9728199999986</v>
      </c>
      <c r="BH92" s="164">
        <f>SUM(PL_monthly!AW16:BH16)</f>
        <v>-2974.7331599999989</v>
      </c>
      <c r="BI92" s="164">
        <f>SUM(PL_monthly!AX16:BI16)</f>
        <v>-2528.2146099999982</v>
      </c>
      <c r="BJ92" s="164">
        <f>SUM(PL_monthly!AY16:BJ16)</f>
        <v>-2105.3168999999989</v>
      </c>
      <c r="BK92" s="164">
        <f>SUM(PL_monthly!AZ16:BK16)</f>
        <v>-1726.8113599999988</v>
      </c>
      <c r="BL92" s="164">
        <f>SUM(PL_monthly!BA16:BL16)</f>
        <v>-990.60016999999789</v>
      </c>
      <c r="BM92" s="164">
        <f>SUM(PL_monthly!BB16:BM16)</f>
        <v>0</v>
      </c>
      <c r="BN92" s="164">
        <f>SUM(PL_monthly!BC16:BN16)</f>
        <v>0</v>
      </c>
      <c r="BO92" s="164">
        <f>SUM(PL_monthly!BD16:BO16)</f>
        <v>0</v>
      </c>
      <c r="BP92" s="164">
        <f>SUM(PL_monthly!BE16:BP16)</f>
        <v>0</v>
      </c>
      <c r="BQ92" s="164">
        <f>SUM(PL_monthly!BF16:BQ16)</f>
        <v>0</v>
      </c>
      <c r="BR92" s="164">
        <f>SUM(PL_monthly!BG16:BR16)</f>
        <v>0</v>
      </c>
      <c r="BS92" s="164">
        <f>SUM(PL_monthly!BH16:BS16)</f>
        <v>0</v>
      </c>
      <c r="BT92" s="164">
        <f>SUM(PL_monthly!BI16:BT16)</f>
        <v>0</v>
      </c>
      <c r="BU92" s="164">
        <f>SUM(PL_monthly!BJ16:BU16)</f>
        <v>0</v>
      </c>
      <c r="BV92" s="164">
        <f>SUM(PL_monthly!BK16:BV16)</f>
        <v>0</v>
      </c>
      <c r="BW92" s="164">
        <f>SUM(PL_monthly!BL16:BW16)</f>
        <v>0</v>
      </c>
      <c r="BX92" s="164">
        <f>SUM(PL_monthly!BM16:BX16)</f>
        <v>0</v>
      </c>
      <c r="BY92" s="164">
        <f>SUM(PL_monthly!BN16:BY16)</f>
        <v>0</v>
      </c>
      <c r="BZ92" s="164">
        <f>SUM(PL_monthly!BO16:BZ16)</f>
        <v>0</v>
      </c>
      <c r="CA92" s="164">
        <f>SUM(PL_monthly!BP16:CA16)</f>
        <v>0</v>
      </c>
      <c r="CB92" s="164">
        <f>SUM(PL_monthly!BQ16:CB16)</f>
        <v>0</v>
      </c>
      <c r="CC92" s="164">
        <f>SUM(PL_monthly!BR16:CC16)</f>
        <v>0</v>
      </c>
      <c r="CD92" s="164">
        <f>SUM(PL_monthly!BS16:CD16)</f>
        <v>0</v>
      </c>
      <c r="CE92" s="164">
        <f>SUM(PL_monthly!BT16:CE16)</f>
        <v>0</v>
      </c>
      <c r="CF92" s="164">
        <f>SUM(PL_monthly!BU16:CF16)</f>
        <v>0</v>
      </c>
      <c r="CG92" s="164">
        <f>SUM(PL_monthly!BV16:CG16)</f>
        <v>0</v>
      </c>
      <c r="CH92" s="164">
        <f>SUM(PL_monthly!BW16:CH16)</f>
        <v>0</v>
      </c>
      <c r="CI92" s="164">
        <f>SUM(PL_monthly!BX16:CI16)</f>
        <v>0</v>
      </c>
      <c r="CJ92" s="164">
        <f>SUM(PL_monthly!BY16:CJ16)</f>
        <v>0</v>
      </c>
      <c r="CK92" s="412">
        <f>SUM(PL_monthly!BZ16:CK16)</f>
        <v>0</v>
      </c>
      <c r="CL92" s="144"/>
      <c r="CM92" s="144"/>
      <c r="CN92" s="144"/>
      <c r="CO92" s="144"/>
      <c r="CP92" s="144"/>
      <c r="CQ92" s="144"/>
      <c r="CR92" s="144"/>
      <c r="CS92" s="144"/>
      <c r="CT92" s="144"/>
      <c r="CU92" s="144"/>
    </row>
    <row r="93" spans="1:99" s="254" customFormat="1" ht="11.45" customHeight="1" x14ac:dyDescent="0.2">
      <c r="A93" s="30"/>
      <c r="B93" s="101"/>
      <c r="C93" s="413" t="s">
        <v>560</v>
      </c>
      <c r="D93" s="42" t="s">
        <v>559</v>
      </c>
      <c r="E93" s="414">
        <v>365</v>
      </c>
      <c r="F93" s="414">
        <f>F6-E6</f>
        <v>31</v>
      </c>
      <c r="G93" s="414">
        <f t="shared" ref="G93:N93" si="38">G6-F6</f>
        <v>28</v>
      </c>
      <c r="H93" s="414">
        <f t="shared" si="38"/>
        <v>31</v>
      </c>
      <c r="I93" s="414">
        <f t="shared" si="38"/>
        <v>30</v>
      </c>
      <c r="J93" s="414">
        <f t="shared" si="38"/>
        <v>31</v>
      </c>
      <c r="K93" s="414">
        <f t="shared" si="38"/>
        <v>30</v>
      </c>
      <c r="L93" s="414">
        <f t="shared" si="38"/>
        <v>31</v>
      </c>
      <c r="M93" s="414">
        <f t="shared" si="38"/>
        <v>31</v>
      </c>
      <c r="N93" s="414">
        <f t="shared" si="38"/>
        <v>30</v>
      </c>
      <c r="O93" s="414">
        <f t="shared" ref="O93:BZ93" si="39">O6-N6</f>
        <v>31</v>
      </c>
      <c r="P93" s="414">
        <f t="shared" si="39"/>
        <v>30</v>
      </c>
      <c r="Q93" s="626">
        <f t="shared" si="39"/>
        <v>31</v>
      </c>
      <c r="R93" s="626">
        <f t="shared" si="39"/>
        <v>31</v>
      </c>
      <c r="S93" s="626">
        <f t="shared" si="39"/>
        <v>28</v>
      </c>
      <c r="T93" s="626">
        <f t="shared" si="39"/>
        <v>31</v>
      </c>
      <c r="U93" s="626">
        <f t="shared" si="39"/>
        <v>30</v>
      </c>
      <c r="V93" s="626">
        <f t="shared" si="39"/>
        <v>31</v>
      </c>
      <c r="W93" s="626">
        <f t="shared" si="39"/>
        <v>30</v>
      </c>
      <c r="X93" s="626">
        <f t="shared" si="39"/>
        <v>31</v>
      </c>
      <c r="Y93" s="626">
        <f t="shared" si="39"/>
        <v>31</v>
      </c>
      <c r="Z93" s="626">
        <f t="shared" si="39"/>
        <v>30</v>
      </c>
      <c r="AA93" s="626">
        <f t="shared" si="39"/>
        <v>31</v>
      </c>
      <c r="AB93" s="626">
        <f t="shared" si="39"/>
        <v>30</v>
      </c>
      <c r="AC93" s="626">
        <f t="shared" si="39"/>
        <v>31</v>
      </c>
      <c r="AD93" s="626">
        <f t="shared" si="39"/>
        <v>31</v>
      </c>
      <c r="AE93" s="626">
        <f t="shared" si="39"/>
        <v>29</v>
      </c>
      <c r="AF93" s="626">
        <f t="shared" si="39"/>
        <v>31</v>
      </c>
      <c r="AG93" s="626">
        <f t="shared" si="39"/>
        <v>30</v>
      </c>
      <c r="AH93" s="626">
        <f t="shared" si="39"/>
        <v>31</v>
      </c>
      <c r="AI93" s="626">
        <f t="shared" si="39"/>
        <v>30</v>
      </c>
      <c r="AJ93" s="626">
        <f t="shared" si="39"/>
        <v>31</v>
      </c>
      <c r="AK93" s="626">
        <f t="shared" si="39"/>
        <v>31</v>
      </c>
      <c r="AL93" s="626">
        <f t="shared" si="39"/>
        <v>30</v>
      </c>
      <c r="AM93" s="626">
        <f t="shared" si="39"/>
        <v>31</v>
      </c>
      <c r="AN93" s="626">
        <f t="shared" si="39"/>
        <v>30</v>
      </c>
      <c r="AO93" s="626">
        <f t="shared" si="39"/>
        <v>31</v>
      </c>
      <c r="AP93" s="626">
        <f t="shared" si="39"/>
        <v>31</v>
      </c>
      <c r="AQ93" s="626">
        <f t="shared" si="39"/>
        <v>28</v>
      </c>
      <c r="AR93" s="626">
        <f t="shared" si="39"/>
        <v>31</v>
      </c>
      <c r="AS93" s="626">
        <f t="shared" si="39"/>
        <v>30</v>
      </c>
      <c r="AT93" s="626">
        <f t="shared" si="39"/>
        <v>31</v>
      </c>
      <c r="AU93" s="626">
        <f t="shared" si="39"/>
        <v>30</v>
      </c>
      <c r="AV93" s="626">
        <f t="shared" si="39"/>
        <v>31</v>
      </c>
      <c r="AW93" s="626">
        <f t="shared" si="39"/>
        <v>31</v>
      </c>
      <c r="AX93" s="626">
        <f t="shared" si="39"/>
        <v>30</v>
      </c>
      <c r="AY93" s="626">
        <f t="shared" si="39"/>
        <v>31</v>
      </c>
      <c r="AZ93" s="626">
        <f t="shared" si="39"/>
        <v>30</v>
      </c>
      <c r="BA93" s="626">
        <f t="shared" si="39"/>
        <v>31</v>
      </c>
      <c r="BB93" s="414">
        <f t="shared" si="39"/>
        <v>31</v>
      </c>
      <c r="BC93" s="414">
        <f t="shared" si="39"/>
        <v>28</v>
      </c>
      <c r="BD93" s="414">
        <f t="shared" si="39"/>
        <v>31</v>
      </c>
      <c r="BE93" s="414">
        <f t="shared" si="39"/>
        <v>30</v>
      </c>
      <c r="BF93" s="414">
        <f t="shared" si="39"/>
        <v>31</v>
      </c>
      <c r="BG93" s="414">
        <f t="shared" si="39"/>
        <v>30</v>
      </c>
      <c r="BH93" s="414">
        <f t="shared" si="39"/>
        <v>31</v>
      </c>
      <c r="BI93" s="414">
        <f t="shared" si="39"/>
        <v>31</v>
      </c>
      <c r="BJ93" s="414">
        <f t="shared" si="39"/>
        <v>30</v>
      </c>
      <c r="BK93" s="414">
        <f t="shared" si="39"/>
        <v>31</v>
      </c>
      <c r="BL93" s="414">
        <f t="shared" si="39"/>
        <v>30</v>
      </c>
      <c r="BM93" s="414">
        <f t="shared" si="39"/>
        <v>31</v>
      </c>
      <c r="BN93" s="414">
        <f t="shared" si="39"/>
        <v>31</v>
      </c>
      <c r="BO93" s="414">
        <f t="shared" si="39"/>
        <v>28</v>
      </c>
      <c r="BP93" s="414">
        <f t="shared" si="39"/>
        <v>31</v>
      </c>
      <c r="BQ93" s="414">
        <f t="shared" si="39"/>
        <v>30</v>
      </c>
      <c r="BR93" s="414">
        <f t="shared" si="39"/>
        <v>31</v>
      </c>
      <c r="BS93" s="414">
        <f t="shared" si="39"/>
        <v>30</v>
      </c>
      <c r="BT93" s="414">
        <f t="shared" si="39"/>
        <v>31</v>
      </c>
      <c r="BU93" s="414">
        <f t="shared" si="39"/>
        <v>31</v>
      </c>
      <c r="BV93" s="414">
        <f t="shared" si="39"/>
        <v>30</v>
      </c>
      <c r="BW93" s="414">
        <f t="shared" si="39"/>
        <v>31</v>
      </c>
      <c r="BX93" s="414">
        <f t="shared" si="39"/>
        <v>30</v>
      </c>
      <c r="BY93" s="414">
        <f t="shared" si="39"/>
        <v>31</v>
      </c>
      <c r="BZ93" s="414">
        <f t="shared" si="39"/>
        <v>31</v>
      </c>
      <c r="CA93" s="414">
        <f t="shared" ref="CA93:CL93" si="40">CA6-BZ6</f>
        <v>29</v>
      </c>
      <c r="CB93" s="414">
        <f t="shared" si="40"/>
        <v>31</v>
      </c>
      <c r="CC93" s="414">
        <f t="shared" si="40"/>
        <v>30</v>
      </c>
      <c r="CD93" s="414">
        <f t="shared" si="40"/>
        <v>31</v>
      </c>
      <c r="CE93" s="414">
        <f t="shared" si="40"/>
        <v>30</v>
      </c>
      <c r="CF93" s="414">
        <f t="shared" si="40"/>
        <v>31</v>
      </c>
      <c r="CG93" s="414">
        <f t="shared" si="40"/>
        <v>31</v>
      </c>
      <c r="CH93" s="414">
        <f t="shared" si="40"/>
        <v>30</v>
      </c>
      <c r="CI93" s="414">
        <f t="shared" si="40"/>
        <v>31</v>
      </c>
      <c r="CJ93" s="414">
        <f t="shared" si="40"/>
        <v>30</v>
      </c>
      <c r="CK93" s="415">
        <f t="shared" si="40"/>
        <v>31</v>
      </c>
      <c r="CL93" s="168">
        <f t="shared" si="40"/>
        <v>-47118</v>
      </c>
      <c r="CM93" s="144"/>
      <c r="CN93" s="144"/>
      <c r="CO93" s="144"/>
      <c r="CP93" s="144"/>
      <c r="CQ93" s="144"/>
      <c r="CR93" s="144"/>
      <c r="CS93" s="144"/>
      <c r="CT93" s="144"/>
      <c r="CU93" s="144"/>
    </row>
    <row r="94" spans="1:99" s="254" customFormat="1" ht="11.45" customHeight="1" x14ac:dyDescent="0.2">
      <c r="A94" s="30"/>
      <c r="B94" s="101"/>
      <c r="C94" s="168"/>
      <c r="D94" s="168"/>
      <c r="E94" s="168"/>
      <c r="F94" s="168"/>
      <c r="G94" s="168"/>
      <c r="H94" s="168"/>
      <c r="I94" s="168"/>
      <c r="J94" s="168"/>
      <c r="K94" s="168"/>
      <c r="L94" s="168"/>
      <c r="M94" s="168"/>
      <c r="N94" s="168"/>
      <c r="O94" s="168"/>
      <c r="P94" s="168"/>
      <c r="Q94" s="168"/>
      <c r="R94" s="168"/>
      <c r="S94" s="168"/>
      <c r="T94" s="168"/>
      <c r="U94" s="168"/>
      <c r="V94" s="168"/>
      <c r="W94" s="168"/>
      <c r="X94" s="168"/>
      <c r="Y94" s="168"/>
      <c r="Z94" s="168"/>
      <c r="AA94" s="168"/>
      <c r="AB94" s="168"/>
      <c r="AC94" s="168"/>
      <c r="AD94" s="168"/>
      <c r="AE94" s="168"/>
      <c r="AF94" s="168"/>
      <c r="AG94" s="168"/>
      <c r="AH94" s="168"/>
      <c r="AI94" s="168"/>
      <c r="AJ94" s="168"/>
      <c r="AK94" s="168"/>
      <c r="AL94" s="168"/>
      <c r="AM94" s="168"/>
      <c r="AN94" s="168"/>
      <c r="AO94" s="168"/>
      <c r="AP94" s="168"/>
      <c r="AQ94" s="168"/>
      <c r="AR94" s="168"/>
      <c r="AS94" s="168"/>
      <c r="AT94" s="168"/>
      <c r="AU94" s="168"/>
      <c r="AV94" s="168"/>
      <c r="AW94" s="168"/>
      <c r="AX94" s="168"/>
      <c r="AY94" s="168"/>
      <c r="AZ94" s="168"/>
      <c r="BA94" s="168"/>
      <c r="BB94" s="168"/>
      <c r="BC94" s="168"/>
      <c r="BD94" s="168"/>
      <c r="BE94" s="168"/>
      <c r="BF94" s="168"/>
      <c r="BG94" s="168"/>
      <c r="BH94" s="144"/>
      <c r="BI94" s="144"/>
      <c r="BJ94" s="144"/>
      <c r="BK94" s="144"/>
      <c r="BL94" s="144"/>
      <c r="BM94" s="144"/>
      <c r="BN94" s="144"/>
      <c r="BO94" s="144"/>
      <c r="BP94" s="144"/>
      <c r="BQ94" s="144"/>
      <c r="BR94" s="144"/>
      <c r="BS94" s="144"/>
      <c r="BT94" s="144"/>
      <c r="BU94" s="144"/>
      <c r="BV94" s="144"/>
      <c r="BW94" s="144"/>
      <c r="BX94" s="144"/>
      <c r="BY94" s="144"/>
      <c r="BZ94" s="144"/>
      <c r="CA94" s="144"/>
      <c r="CB94" s="144"/>
      <c r="CC94" s="144"/>
      <c r="CD94" s="144"/>
      <c r="CE94" s="144"/>
      <c r="CF94" s="144"/>
      <c r="CG94" s="144"/>
      <c r="CH94" s="144"/>
      <c r="CI94" s="144"/>
      <c r="CJ94" s="144"/>
      <c r="CK94" s="144"/>
      <c r="CL94" s="144"/>
      <c r="CM94" s="144"/>
      <c r="CN94" s="144"/>
      <c r="CO94" s="144"/>
      <c r="CP94" s="144"/>
      <c r="CQ94" s="144"/>
      <c r="CR94" s="144"/>
      <c r="CS94" s="144"/>
      <c r="CT94" s="144"/>
      <c r="CU94" s="144"/>
    </row>
    <row r="95" spans="1:99" s="254" customFormat="1" ht="11.45" customHeight="1" x14ac:dyDescent="0.2">
      <c r="A95" s="30"/>
      <c r="B95" s="101"/>
      <c r="C95" s="37" t="s">
        <v>558</v>
      </c>
      <c r="D95" s="37" t="s">
        <v>223</v>
      </c>
      <c r="E95" s="36" t="str">
        <f>IFERROR(-AVERAGE(E16:E16)/E92*E93,"n/a")</f>
        <v>n/a</v>
      </c>
      <c r="F95" s="36" t="str">
        <f>IFERROR(-AVERAGE(F16:F16)/F92*F93*12,"n/a")</f>
        <v>n/a</v>
      </c>
      <c r="G95" s="36" t="str">
        <f t="shared" ref="G95:BR95" si="41">IFERROR(-AVERAGE(G16:G16)/G92*G93*12,"n/a")</f>
        <v>n/a</v>
      </c>
      <c r="H95" s="36" t="str">
        <f t="shared" si="41"/>
        <v>n/a</v>
      </c>
      <c r="I95" s="36" t="str">
        <f t="shared" si="41"/>
        <v>n/a</v>
      </c>
      <c r="J95" s="36" t="str">
        <f t="shared" si="41"/>
        <v>n/a</v>
      </c>
      <c r="K95" s="36" t="str">
        <f t="shared" si="41"/>
        <v>n/a</v>
      </c>
      <c r="L95" s="36" t="str">
        <f t="shared" si="41"/>
        <v>n/a</v>
      </c>
      <c r="M95" s="36" t="str">
        <f t="shared" si="41"/>
        <v>n/a</v>
      </c>
      <c r="N95" s="36" t="str">
        <f t="shared" si="41"/>
        <v>n/a</v>
      </c>
      <c r="O95" s="36" t="str">
        <f t="shared" si="41"/>
        <v>n/a</v>
      </c>
      <c r="P95" s="36" t="str">
        <f t="shared" si="41"/>
        <v>n/a</v>
      </c>
      <c r="Q95" s="36" t="str">
        <f t="shared" si="41"/>
        <v>n/a</v>
      </c>
      <c r="R95" s="36">
        <f t="shared" si="41"/>
        <v>1046.4081135231058</v>
      </c>
      <c r="S95" s="36">
        <f t="shared" si="41"/>
        <v>406.98319989426454</v>
      </c>
      <c r="T95" s="36">
        <f t="shared" si="41"/>
        <v>279.60177220220282</v>
      </c>
      <c r="U95" s="36">
        <f t="shared" si="41"/>
        <v>215.88116949493786</v>
      </c>
      <c r="V95" s="36">
        <f t="shared" si="41"/>
        <v>172.9155131893715</v>
      </c>
      <c r="W95" s="36">
        <f t="shared" si="41"/>
        <v>236.29484362788759</v>
      </c>
      <c r="X95" s="36">
        <f t="shared" si="41"/>
        <v>207.92772427631536</v>
      </c>
      <c r="Y95" s="36">
        <f t="shared" si="41"/>
        <v>188.46912167675703</v>
      </c>
      <c r="Z95" s="36">
        <f t="shared" si="41"/>
        <v>174.93193041288123</v>
      </c>
      <c r="AA95" s="36">
        <f t="shared" si="41"/>
        <v>166.73507081208894</v>
      </c>
      <c r="AB95" s="36">
        <f t="shared" si="41"/>
        <v>151.52606049159908</v>
      </c>
      <c r="AC95" s="36">
        <f t="shared" si="41"/>
        <v>122.00384930820984</v>
      </c>
      <c r="AD95" s="36">
        <f t="shared" si="41"/>
        <v>121.87912885658849</v>
      </c>
      <c r="AE95" s="36">
        <f t="shared" si="41"/>
        <v>120.01821835561014</v>
      </c>
      <c r="AF95" s="36">
        <f t="shared" si="41"/>
        <v>134.64021900329459</v>
      </c>
      <c r="AG95" s="36">
        <f t="shared" si="41"/>
        <v>131.45210401600019</v>
      </c>
      <c r="AH95" s="36">
        <f t="shared" si="41"/>
        <v>133.58816761794236</v>
      </c>
      <c r="AI95" s="36">
        <f t="shared" si="41"/>
        <v>115.62480301010083</v>
      </c>
      <c r="AJ95" s="36">
        <f t="shared" si="41"/>
        <v>107.27858000910604</v>
      </c>
      <c r="AK95" s="36">
        <f t="shared" si="41"/>
        <v>107.36192471072231</v>
      </c>
      <c r="AL95" s="36">
        <f t="shared" si="41"/>
        <v>98.987638738157358</v>
      </c>
      <c r="AM95" s="36">
        <f t="shared" si="41"/>
        <v>103.20153375144076</v>
      </c>
      <c r="AN95" s="36">
        <f t="shared" si="41"/>
        <v>96.131648919959588</v>
      </c>
      <c r="AO95" s="36">
        <f t="shared" si="41"/>
        <v>170.8035184882373</v>
      </c>
      <c r="AP95" s="36">
        <f t="shared" si="41"/>
        <v>171.54614492583499</v>
      </c>
      <c r="AQ95" s="36">
        <f t="shared" si="41"/>
        <v>148.88292931783442</v>
      </c>
      <c r="AR95" s="36">
        <f t="shared" si="41"/>
        <v>164.06291308630628</v>
      </c>
      <c r="AS95" s="36">
        <f t="shared" si="41"/>
        <v>157.77436592337114</v>
      </c>
      <c r="AT95" s="36">
        <f t="shared" si="41"/>
        <v>170.12514701637284</v>
      </c>
      <c r="AU95" s="36">
        <f t="shared" si="41"/>
        <v>175.85924695833313</v>
      </c>
      <c r="AV95" s="36">
        <f t="shared" si="41"/>
        <v>213.123680655193</v>
      </c>
      <c r="AW95" s="36">
        <f t="shared" si="41"/>
        <v>214.66733501007835</v>
      </c>
      <c r="AX95" s="36">
        <f t="shared" si="41"/>
        <v>233.77264672440288</v>
      </c>
      <c r="AY95" s="36">
        <f t="shared" si="41"/>
        <v>240.55038073048834</v>
      </c>
      <c r="AZ95" s="36">
        <f t="shared" si="41"/>
        <v>227.20203680883253</v>
      </c>
      <c r="BA95" s="36">
        <f t="shared" si="41"/>
        <v>147.1816204828452</v>
      </c>
      <c r="BB95" s="36" t="str">
        <f t="shared" si="41"/>
        <v>n/a</v>
      </c>
      <c r="BC95" s="36" t="str">
        <f t="shared" si="41"/>
        <v>n/a</v>
      </c>
      <c r="BD95" s="36" t="str">
        <f t="shared" si="41"/>
        <v>n/a</v>
      </c>
      <c r="BE95" s="36" t="str">
        <f t="shared" si="41"/>
        <v>n/a</v>
      </c>
      <c r="BF95" s="36" t="str">
        <f t="shared" si="41"/>
        <v>n/a</v>
      </c>
      <c r="BG95" s="36" t="str">
        <f t="shared" si="41"/>
        <v>n/a</v>
      </c>
      <c r="BH95" s="36" t="str">
        <f t="shared" si="41"/>
        <v>n/a</v>
      </c>
      <c r="BI95" s="36" t="str">
        <f t="shared" si="41"/>
        <v>n/a</v>
      </c>
      <c r="BJ95" s="36" t="str">
        <f t="shared" si="41"/>
        <v>n/a</v>
      </c>
      <c r="BK95" s="36" t="str">
        <f t="shared" si="41"/>
        <v>n/a</v>
      </c>
      <c r="BL95" s="36" t="str">
        <f t="shared" si="41"/>
        <v>n/a</v>
      </c>
      <c r="BM95" s="36" t="str">
        <f t="shared" si="41"/>
        <v>n/a</v>
      </c>
      <c r="BN95" s="36" t="str">
        <f t="shared" si="41"/>
        <v>n/a</v>
      </c>
      <c r="BO95" s="36" t="str">
        <f t="shared" si="41"/>
        <v>n/a</v>
      </c>
      <c r="BP95" s="36" t="str">
        <f t="shared" si="41"/>
        <v>n/a</v>
      </c>
      <c r="BQ95" s="36" t="str">
        <f t="shared" si="41"/>
        <v>n/a</v>
      </c>
      <c r="BR95" s="36" t="str">
        <f t="shared" si="41"/>
        <v>n/a</v>
      </c>
      <c r="BS95" s="36" t="str">
        <f t="shared" ref="BS95:CK95" si="42">IFERROR(-AVERAGE(BS16:BS16)/BS92*BS93*12,"n/a")</f>
        <v>n/a</v>
      </c>
      <c r="BT95" s="36" t="str">
        <f t="shared" si="42"/>
        <v>n/a</v>
      </c>
      <c r="BU95" s="36" t="str">
        <f t="shared" si="42"/>
        <v>n/a</v>
      </c>
      <c r="BV95" s="36" t="str">
        <f t="shared" si="42"/>
        <v>n/a</v>
      </c>
      <c r="BW95" s="36" t="str">
        <f t="shared" si="42"/>
        <v>n/a</v>
      </c>
      <c r="BX95" s="36" t="str">
        <f t="shared" si="42"/>
        <v>n/a</v>
      </c>
      <c r="BY95" s="36" t="str">
        <f t="shared" si="42"/>
        <v>n/a</v>
      </c>
      <c r="BZ95" s="36" t="str">
        <f t="shared" si="42"/>
        <v>n/a</v>
      </c>
      <c r="CA95" s="36" t="str">
        <f t="shared" si="42"/>
        <v>n/a</v>
      </c>
      <c r="CB95" s="36" t="str">
        <f t="shared" si="42"/>
        <v>n/a</v>
      </c>
      <c r="CC95" s="36" t="str">
        <f t="shared" si="42"/>
        <v>n/a</v>
      </c>
      <c r="CD95" s="36" t="str">
        <f t="shared" si="42"/>
        <v>n/a</v>
      </c>
      <c r="CE95" s="36" t="str">
        <f t="shared" si="42"/>
        <v>n/a</v>
      </c>
      <c r="CF95" s="36" t="str">
        <f t="shared" si="42"/>
        <v>n/a</v>
      </c>
      <c r="CG95" s="36" t="str">
        <f t="shared" si="42"/>
        <v>n/a</v>
      </c>
      <c r="CH95" s="36" t="str">
        <f t="shared" si="42"/>
        <v>n/a</v>
      </c>
      <c r="CI95" s="36" t="str">
        <f t="shared" si="42"/>
        <v>n/a</v>
      </c>
      <c r="CJ95" s="36" t="str">
        <f t="shared" si="42"/>
        <v>n/a</v>
      </c>
      <c r="CK95" s="36" t="str">
        <f t="shared" si="42"/>
        <v>n/a</v>
      </c>
      <c r="CL95" s="144"/>
      <c r="CM95" s="144"/>
      <c r="CN95" s="144"/>
      <c r="CO95" s="144"/>
      <c r="CP95" s="144"/>
      <c r="CQ95" s="144"/>
      <c r="CR95" s="144"/>
      <c r="CS95" s="144"/>
      <c r="CT95" s="144"/>
      <c r="CU95" s="144"/>
    </row>
    <row r="96" spans="1:99" s="254" customFormat="1" ht="11.45" customHeight="1" x14ac:dyDescent="0.2">
      <c r="A96" s="30"/>
      <c r="B96" s="101"/>
      <c r="C96" s="37" t="s">
        <v>557</v>
      </c>
      <c r="D96" s="37" t="s">
        <v>222</v>
      </c>
      <c r="E96" s="36" t="str">
        <f>IFERROR(-AVERAGE(E17:E17)/-E91*E93,"n/a")</f>
        <v>n/a</v>
      </c>
      <c r="F96" s="36" t="str">
        <f>IFERROR(-AVERAGE(F17:F17)/-F91*F93*12,"n/a")</f>
        <v>n/a</v>
      </c>
      <c r="G96" s="36" t="str">
        <f t="shared" ref="G96:BR96" si="43">IFERROR(-AVERAGE(G17:G17)/-G91*G93*12,"n/a")</f>
        <v>n/a</v>
      </c>
      <c r="H96" s="36" t="str">
        <f t="shared" si="43"/>
        <v>n/a</v>
      </c>
      <c r="I96" s="36" t="str">
        <f t="shared" si="43"/>
        <v>n/a</v>
      </c>
      <c r="J96" s="36" t="str">
        <f t="shared" si="43"/>
        <v>n/a</v>
      </c>
      <c r="K96" s="36" t="str">
        <f t="shared" si="43"/>
        <v>n/a</v>
      </c>
      <c r="L96" s="36" t="str">
        <f t="shared" si="43"/>
        <v>n/a</v>
      </c>
      <c r="M96" s="36" t="str">
        <f t="shared" si="43"/>
        <v>n/a</v>
      </c>
      <c r="N96" s="36" t="str">
        <f t="shared" si="43"/>
        <v>n/a</v>
      </c>
      <c r="O96" s="36" t="str">
        <f t="shared" si="43"/>
        <v>n/a</v>
      </c>
      <c r="P96" s="36" t="str">
        <f t="shared" si="43"/>
        <v>n/a</v>
      </c>
      <c r="Q96" s="36" t="str">
        <f t="shared" si="43"/>
        <v>n/a</v>
      </c>
      <c r="R96" s="36">
        <f t="shared" si="43"/>
        <v>558.22985343970356</v>
      </c>
      <c r="S96" s="36">
        <f t="shared" si="43"/>
        <v>261.58295421888613</v>
      </c>
      <c r="T96" s="36">
        <f t="shared" si="43"/>
        <v>173.73243272492519</v>
      </c>
      <c r="U96" s="36">
        <f t="shared" si="43"/>
        <v>118.56038002527566</v>
      </c>
      <c r="V96" s="36">
        <f t="shared" si="43"/>
        <v>97.176845049318914</v>
      </c>
      <c r="W96" s="36">
        <f t="shared" si="43"/>
        <v>69.256616984624486</v>
      </c>
      <c r="X96" s="36">
        <f t="shared" si="43"/>
        <v>57.501957622425842</v>
      </c>
      <c r="Y96" s="36">
        <f t="shared" si="43"/>
        <v>64.422926583167552</v>
      </c>
      <c r="Z96" s="36">
        <f t="shared" si="43"/>
        <v>55.90290283349281</v>
      </c>
      <c r="AA96" s="36">
        <f t="shared" si="43"/>
        <v>51.22579471897626</v>
      </c>
      <c r="AB96" s="36">
        <f t="shared" si="43"/>
        <v>55.646184869048639</v>
      </c>
      <c r="AC96" s="36">
        <f t="shared" si="43"/>
        <v>38.529605173594398</v>
      </c>
      <c r="AD96" s="36">
        <f t="shared" si="43"/>
        <v>38.372092123536412</v>
      </c>
      <c r="AE96" s="36">
        <f t="shared" si="43"/>
        <v>37.057242909866019</v>
      </c>
      <c r="AF96" s="36">
        <f t="shared" si="43"/>
        <v>42.089224485441946</v>
      </c>
      <c r="AG96" s="36">
        <f t="shared" si="43"/>
        <v>41.026854754925786</v>
      </c>
      <c r="AH96" s="36">
        <f t="shared" si="43"/>
        <v>36.963731108447071</v>
      </c>
      <c r="AI96" s="36">
        <f t="shared" si="43"/>
        <v>34.165392963185724</v>
      </c>
      <c r="AJ96" s="36">
        <f t="shared" si="43"/>
        <v>29.938402877484567</v>
      </c>
      <c r="AK96" s="36">
        <f t="shared" si="43"/>
        <v>29.997468991242382</v>
      </c>
      <c r="AL96" s="36">
        <f t="shared" si="43"/>
        <v>34.540516683060289</v>
      </c>
      <c r="AM96" s="36">
        <f t="shared" si="43"/>
        <v>33.690017130571988</v>
      </c>
      <c r="AN96" s="36">
        <f t="shared" si="43"/>
        <v>28.838025481796105</v>
      </c>
      <c r="AO96" s="36">
        <f t="shared" si="43"/>
        <v>44.407906877846173</v>
      </c>
      <c r="AP96" s="36">
        <f t="shared" si="43"/>
        <v>35.192816774944589</v>
      </c>
      <c r="AQ96" s="36">
        <f t="shared" si="43"/>
        <v>37.11213234370102</v>
      </c>
      <c r="AR96" s="36">
        <f t="shared" si="43"/>
        <v>39.787982464412835</v>
      </c>
      <c r="AS96" s="36">
        <f t="shared" si="43"/>
        <v>38.843609846749089</v>
      </c>
      <c r="AT96" s="36">
        <f t="shared" si="43"/>
        <v>46.683793064457369</v>
      </c>
      <c r="AU96" s="36">
        <f t="shared" si="43"/>
        <v>44.515945455644427</v>
      </c>
      <c r="AV96" s="36">
        <f t="shared" si="43"/>
        <v>34.138385870310188</v>
      </c>
      <c r="AW96" s="36">
        <f t="shared" si="43"/>
        <v>44.866332448314949</v>
      </c>
      <c r="AX96" s="36">
        <f t="shared" si="43"/>
        <v>38.725112713448446</v>
      </c>
      <c r="AY96" s="36">
        <f t="shared" si="43"/>
        <v>39.120312866964838</v>
      </c>
      <c r="AZ96" s="36">
        <f t="shared" si="43"/>
        <v>37.554859014944043</v>
      </c>
      <c r="BA96" s="36">
        <f t="shared" si="43"/>
        <v>35.085469633108183</v>
      </c>
      <c r="BB96" s="36" t="str">
        <f t="shared" si="43"/>
        <v>n/a</v>
      </c>
      <c r="BC96" s="36" t="str">
        <f t="shared" si="43"/>
        <v>n/a</v>
      </c>
      <c r="BD96" s="36" t="str">
        <f t="shared" si="43"/>
        <v>n/a</v>
      </c>
      <c r="BE96" s="36" t="str">
        <f t="shared" si="43"/>
        <v>n/a</v>
      </c>
      <c r="BF96" s="36" t="str">
        <f t="shared" si="43"/>
        <v>n/a</v>
      </c>
      <c r="BG96" s="36" t="str">
        <f t="shared" si="43"/>
        <v>n/a</v>
      </c>
      <c r="BH96" s="36" t="str">
        <f t="shared" si="43"/>
        <v>n/a</v>
      </c>
      <c r="BI96" s="36" t="str">
        <f t="shared" si="43"/>
        <v>n/a</v>
      </c>
      <c r="BJ96" s="36" t="str">
        <f t="shared" si="43"/>
        <v>n/a</v>
      </c>
      <c r="BK96" s="36" t="str">
        <f t="shared" si="43"/>
        <v>n/a</v>
      </c>
      <c r="BL96" s="36" t="str">
        <f t="shared" si="43"/>
        <v>n/a</v>
      </c>
      <c r="BM96" s="36" t="str">
        <f t="shared" si="43"/>
        <v>n/a</v>
      </c>
      <c r="BN96" s="36" t="str">
        <f t="shared" si="43"/>
        <v>n/a</v>
      </c>
      <c r="BO96" s="36" t="str">
        <f t="shared" si="43"/>
        <v>n/a</v>
      </c>
      <c r="BP96" s="36" t="str">
        <f t="shared" si="43"/>
        <v>n/a</v>
      </c>
      <c r="BQ96" s="36" t="str">
        <f t="shared" si="43"/>
        <v>n/a</v>
      </c>
      <c r="BR96" s="36" t="str">
        <f t="shared" si="43"/>
        <v>n/a</v>
      </c>
      <c r="BS96" s="36" t="str">
        <f t="shared" ref="BS96:CK96" si="44">IFERROR(-AVERAGE(BS17:BS17)/-BS91*BS93*12,"n/a")</f>
        <v>n/a</v>
      </c>
      <c r="BT96" s="36" t="str">
        <f t="shared" si="44"/>
        <v>n/a</v>
      </c>
      <c r="BU96" s="36" t="str">
        <f t="shared" si="44"/>
        <v>n/a</v>
      </c>
      <c r="BV96" s="36" t="str">
        <f t="shared" si="44"/>
        <v>n/a</v>
      </c>
      <c r="BW96" s="36" t="str">
        <f t="shared" si="44"/>
        <v>n/a</v>
      </c>
      <c r="BX96" s="36" t="str">
        <f t="shared" si="44"/>
        <v>n/a</v>
      </c>
      <c r="BY96" s="36" t="str">
        <f t="shared" si="44"/>
        <v>n/a</v>
      </c>
      <c r="BZ96" s="36" t="str">
        <f t="shared" si="44"/>
        <v>n/a</v>
      </c>
      <c r="CA96" s="36" t="str">
        <f t="shared" si="44"/>
        <v>n/a</v>
      </c>
      <c r="CB96" s="36" t="str">
        <f t="shared" si="44"/>
        <v>n/a</v>
      </c>
      <c r="CC96" s="36" t="str">
        <f t="shared" si="44"/>
        <v>n/a</v>
      </c>
      <c r="CD96" s="36" t="str">
        <f t="shared" si="44"/>
        <v>n/a</v>
      </c>
      <c r="CE96" s="36" t="str">
        <f t="shared" si="44"/>
        <v>n/a</v>
      </c>
      <c r="CF96" s="36" t="str">
        <f t="shared" si="44"/>
        <v>n/a</v>
      </c>
      <c r="CG96" s="36" t="str">
        <f t="shared" si="44"/>
        <v>n/a</v>
      </c>
      <c r="CH96" s="36" t="str">
        <f t="shared" si="44"/>
        <v>n/a</v>
      </c>
      <c r="CI96" s="36" t="str">
        <f t="shared" si="44"/>
        <v>n/a</v>
      </c>
      <c r="CJ96" s="36" t="str">
        <f t="shared" si="44"/>
        <v>n/a</v>
      </c>
      <c r="CK96" s="36" t="str">
        <f t="shared" si="44"/>
        <v>n/a</v>
      </c>
      <c r="CL96" s="144"/>
      <c r="CM96" s="144"/>
      <c r="CN96" s="144"/>
      <c r="CO96" s="144"/>
      <c r="CP96" s="144"/>
      <c r="CQ96" s="144"/>
      <c r="CR96" s="144"/>
      <c r="CS96" s="144"/>
      <c r="CT96" s="144"/>
      <c r="CU96" s="144"/>
    </row>
    <row r="97" spans="1:99" s="254" customFormat="1" ht="11.45" customHeight="1" x14ac:dyDescent="0.2">
      <c r="A97" s="30"/>
      <c r="B97" s="101"/>
      <c r="C97" s="37" t="s">
        <v>556</v>
      </c>
      <c r="D97" s="37" t="s">
        <v>221</v>
      </c>
      <c r="E97" s="36" t="str">
        <f>IFERROR(-AVERAGE(E18:E18)/E92*E93,"n/a")</f>
        <v>n/a</v>
      </c>
      <c r="F97" s="36" t="str">
        <f>IFERROR(-AVERAGE(F18:F18)/F92*F93*12,"n/a")</f>
        <v>n/a</v>
      </c>
      <c r="G97" s="36" t="str">
        <f t="shared" ref="G97:BR97" si="45">IFERROR(-AVERAGE(G18:G18)/G92*G93*12,"n/a")</f>
        <v>n/a</v>
      </c>
      <c r="H97" s="36" t="str">
        <f t="shared" si="45"/>
        <v>n/a</v>
      </c>
      <c r="I97" s="36" t="str">
        <f t="shared" si="45"/>
        <v>n/a</v>
      </c>
      <c r="J97" s="36" t="str">
        <f t="shared" si="45"/>
        <v>n/a</v>
      </c>
      <c r="K97" s="36" t="str">
        <f t="shared" si="45"/>
        <v>n/a</v>
      </c>
      <c r="L97" s="36" t="str">
        <f t="shared" si="45"/>
        <v>n/a</v>
      </c>
      <c r="M97" s="36" t="str">
        <f t="shared" si="45"/>
        <v>n/a</v>
      </c>
      <c r="N97" s="36" t="str">
        <f t="shared" si="45"/>
        <v>n/a</v>
      </c>
      <c r="O97" s="36" t="str">
        <f t="shared" si="45"/>
        <v>n/a</v>
      </c>
      <c r="P97" s="36" t="str">
        <f t="shared" si="45"/>
        <v>n/a</v>
      </c>
      <c r="Q97" s="36" t="str">
        <f t="shared" si="45"/>
        <v>n/a</v>
      </c>
      <c r="R97" s="36">
        <f t="shared" si="45"/>
        <v>-385.80224609362347</v>
      </c>
      <c r="S97" s="36">
        <f t="shared" si="45"/>
        <v>-191.45652126072738</v>
      </c>
      <c r="T97" s="36">
        <f t="shared" si="45"/>
        <v>-183.08456055383766</v>
      </c>
      <c r="U97" s="36">
        <f t="shared" si="45"/>
        <v>-99.7863417243002</v>
      </c>
      <c r="V97" s="36">
        <f t="shared" si="45"/>
        <v>-75.775643325531803</v>
      </c>
      <c r="W97" s="36">
        <f t="shared" si="45"/>
        <v>-73.66263639504524</v>
      </c>
      <c r="X97" s="36">
        <f t="shared" si="45"/>
        <v>-51.418353913878818</v>
      </c>
      <c r="Y97" s="36">
        <f t="shared" si="45"/>
        <v>-38.94292311000337</v>
      </c>
      <c r="Z97" s="36">
        <f t="shared" si="45"/>
        <v>-50.684933513221452</v>
      </c>
      <c r="AA97" s="36">
        <f t="shared" si="45"/>
        <v>-36.784613756095496</v>
      </c>
      <c r="AB97" s="36">
        <f t="shared" si="45"/>
        <v>-34.225055702733123</v>
      </c>
      <c r="AC97" s="36">
        <f t="shared" si="45"/>
        <v>-41.323364369058666</v>
      </c>
      <c r="AD97" s="36">
        <f t="shared" si="45"/>
        <v>-44.647165482277501</v>
      </c>
      <c r="AE97" s="36">
        <f t="shared" si="45"/>
        <v>-27.422081372830171</v>
      </c>
      <c r="AF97" s="36">
        <f t="shared" si="45"/>
        <v>-30.207639065713678</v>
      </c>
      <c r="AG97" s="36">
        <f t="shared" si="45"/>
        <v>-39.256253482028455</v>
      </c>
      <c r="AH97" s="36">
        <f t="shared" si="45"/>
        <v>-47.270491508935464</v>
      </c>
      <c r="AI97" s="36">
        <f t="shared" si="45"/>
        <v>-37.724843225537597</v>
      </c>
      <c r="AJ97" s="36">
        <f t="shared" si="45"/>
        <v>-64.651907390248297</v>
      </c>
      <c r="AK97" s="36">
        <f t="shared" si="45"/>
        <v>-46.561824804257434</v>
      </c>
      <c r="AL97" s="36">
        <f t="shared" si="45"/>
        <v>-49.097669110389994</v>
      </c>
      <c r="AM97" s="36">
        <f t="shared" si="45"/>
        <v>-27.171640217238355</v>
      </c>
      <c r="AN97" s="36">
        <f t="shared" si="45"/>
        <v>-28.362675140352042</v>
      </c>
      <c r="AO97" s="36">
        <f t="shared" si="45"/>
        <v>-56.276408312257686</v>
      </c>
      <c r="AP97" s="36">
        <f t="shared" si="45"/>
        <v>-49.840999027931815</v>
      </c>
      <c r="AQ97" s="36">
        <f t="shared" si="45"/>
        <v>-43.200353535919916</v>
      </c>
      <c r="AR97" s="36">
        <f t="shared" si="45"/>
        <v>-35.671837109335499</v>
      </c>
      <c r="AS97" s="36">
        <f t="shared" si="45"/>
        <v>-33.99973572087135</v>
      </c>
      <c r="AT97" s="36">
        <f t="shared" si="45"/>
        <v>-37.285135116248142</v>
      </c>
      <c r="AU97" s="36">
        <f t="shared" si="45"/>
        <v>-19.399410969031361</v>
      </c>
      <c r="AV97" s="36">
        <f t="shared" si="45"/>
        <v>-33.089848300315396</v>
      </c>
      <c r="AW97" s="36">
        <f t="shared" si="45"/>
        <v>-30.312571508326158</v>
      </c>
      <c r="AX97" s="36">
        <f t="shared" si="45"/>
        <v>-23.155036089194063</v>
      </c>
      <c r="AY97" s="36">
        <f t="shared" si="45"/>
        <v>-16.297312212383101</v>
      </c>
      <c r="AZ97" s="36">
        <f t="shared" si="45"/>
        <v>-37.455958181595648</v>
      </c>
      <c r="BA97" s="36">
        <f t="shared" si="45"/>
        <v>-3.1604623416390636</v>
      </c>
      <c r="BB97" s="36" t="str">
        <f t="shared" si="45"/>
        <v>n/a</v>
      </c>
      <c r="BC97" s="36" t="str">
        <f t="shared" si="45"/>
        <v>n/a</v>
      </c>
      <c r="BD97" s="36" t="str">
        <f t="shared" si="45"/>
        <v>n/a</v>
      </c>
      <c r="BE97" s="36" t="str">
        <f t="shared" si="45"/>
        <v>n/a</v>
      </c>
      <c r="BF97" s="36" t="str">
        <f t="shared" si="45"/>
        <v>n/a</v>
      </c>
      <c r="BG97" s="36" t="str">
        <f t="shared" si="45"/>
        <v>n/a</v>
      </c>
      <c r="BH97" s="36" t="str">
        <f t="shared" si="45"/>
        <v>n/a</v>
      </c>
      <c r="BI97" s="36" t="str">
        <f t="shared" si="45"/>
        <v>n/a</v>
      </c>
      <c r="BJ97" s="36" t="str">
        <f t="shared" si="45"/>
        <v>n/a</v>
      </c>
      <c r="BK97" s="36" t="str">
        <f t="shared" si="45"/>
        <v>n/a</v>
      </c>
      <c r="BL97" s="36" t="str">
        <f t="shared" si="45"/>
        <v>n/a</v>
      </c>
      <c r="BM97" s="36" t="str">
        <f t="shared" si="45"/>
        <v>n/a</v>
      </c>
      <c r="BN97" s="36" t="str">
        <f t="shared" si="45"/>
        <v>n/a</v>
      </c>
      <c r="BO97" s="36" t="str">
        <f t="shared" si="45"/>
        <v>n/a</v>
      </c>
      <c r="BP97" s="36" t="str">
        <f t="shared" si="45"/>
        <v>n/a</v>
      </c>
      <c r="BQ97" s="36" t="str">
        <f t="shared" si="45"/>
        <v>n/a</v>
      </c>
      <c r="BR97" s="36" t="str">
        <f t="shared" si="45"/>
        <v>n/a</v>
      </c>
      <c r="BS97" s="36" t="str">
        <f t="shared" ref="BS97:CK97" si="46">IFERROR(-AVERAGE(BS18:BS18)/BS92*BS93*12,"n/a")</f>
        <v>n/a</v>
      </c>
      <c r="BT97" s="36" t="str">
        <f t="shared" si="46"/>
        <v>n/a</v>
      </c>
      <c r="BU97" s="36" t="str">
        <f t="shared" si="46"/>
        <v>n/a</v>
      </c>
      <c r="BV97" s="36" t="str">
        <f t="shared" si="46"/>
        <v>n/a</v>
      </c>
      <c r="BW97" s="36" t="str">
        <f t="shared" si="46"/>
        <v>n/a</v>
      </c>
      <c r="BX97" s="36" t="str">
        <f t="shared" si="46"/>
        <v>n/a</v>
      </c>
      <c r="BY97" s="36" t="str">
        <f t="shared" si="46"/>
        <v>n/a</v>
      </c>
      <c r="BZ97" s="36" t="str">
        <f t="shared" si="46"/>
        <v>n/a</v>
      </c>
      <c r="CA97" s="36" t="str">
        <f t="shared" si="46"/>
        <v>n/a</v>
      </c>
      <c r="CB97" s="36" t="str">
        <f t="shared" si="46"/>
        <v>n/a</v>
      </c>
      <c r="CC97" s="36" t="str">
        <f t="shared" si="46"/>
        <v>n/a</v>
      </c>
      <c r="CD97" s="36" t="str">
        <f t="shared" si="46"/>
        <v>n/a</v>
      </c>
      <c r="CE97" s="36" t="str">
        <f t="shared" si="46"/>
        <v>n/a</v>
      </c>
      <c r="CF97" s="36" t="str">
        <f t="shared" si="46"/>
        <v>n/a</v>
      </c>
      <c r="CG97" s="36" t="str">
        <f t="shared" si="46"/>
        <v>n/a</v>
      </c>
      <c r="CH97" s="36" t="str">
        <f t="shared" si="46"/>
        <v>n/a</v>
      </c>
      <c r="CI97" s="36" t="str">
        <f t="shared" si="46"/>
        <v>n/a</v>
      </c>
      <c r="CJ97" s="36" t="str">
        <f t="shared" si="46"/>
        <v>n/a</v>
      </c>
      <c r="CK97" s="36" t="str">
        <f t="shared" si="46"/>
        <v>n/a</v>
      </c>
      <c r="CL97" s="144"/>
      <c r="CM97" s="144"/>
      <c r="CN97" s="144"/>
      <c r="CO97" s="144"/>
      <c r="CP97" s="144"/>
      <c r="CQ97" s="144"/>
      <c r="CR97" s="144"/>
      <c r="CS97" s="144"/>
      <c r="CT97" s="144"/>
      <c r="CU97" s="144"/>
    </row>
    <row r="98" spans="1:99" s="254" customFormat="1" ht="11.45" customHeight="1" x14ac:dyDescent="0.2">
      <c r="A98" s="30"/>
      <c r="B98" s="101"/>
      <c r="C98" s="155" t="s">
        <v>555</v>
      </c>
      <c r="D98" s="155" t="s">
        <v>176</v>
      </c>
      <c r="E98" s="154">
        <f t="shared" ref="E98:BP98" si="47">SUM(E95:E97)</f>
        <v>0</v>
      </c>
      <c r="F98" s="154">
        <f t="shared" si="47"/>
        <v>0</v>
      </c>
      <c r="G98" s="154">
        <f t="shared" si="47"/>
        <v>0</v>
      </c>
      <c r="H98" s="154">
        <f t="shared" si="47"/>
        <v>0</v>
      </c>
      <c r="I98" s="154">
        <f t="shared" si="47"/>
        <v>0</v>
      </c>
      <c r="J98" s="154">
        <f t="shared" si="47"/>
        <v>0</v>
      </c>
      <c r="K98" s="154">
        <f t="shared" si="47"/>
        <v>0</v>
      </c>
      <c r="L98" s="154">
        <f t="shared" si="47"/>
        <v>0</v>
      </c>
      <c r="M98" s="154">
        <f t="shared" si="47"/>
        <v>0</v>
      </c>
      <c r="N98" s="154">
        <f t="shared" si="47"/>
        <v>0</v>
      </c>
      <c r="O98" s="154">
        <f t="shared" si="47"/>
        <v>0</v>
      </c>
      <c r="P98" s="154">
        <f t="shared" si="47"/>
        <v>0</v>
      </c>
      <c r="Q98" s="154">
        <f t="shared" si="47"/>
        <v>0</v>
      </c>
      <c r="R98" s="154">
        <f t="shared" si="47"/>
        <v>1218.8357208691859</v>
      </c>
      <c r="S98" s="154">
        <f t="shared" si="47"/>
        <v>477.10963285242326</v>
      </c>
      <c r="T98" s="154">
        <f t="shared" si="47"/>
        <v>270.24964437329032</v>
      </c>
      <c r="U98" s="154">
        <f t="shared" si="47"/>
        <v>234.65520779591333</v>
      </c>
      <c r="V98" s="154">
        <f t="shared" si="47"/>
        <v>194.31671491315859</v>
      </c>
      <c r="W98" s="154">
        <f t="shared" si="47"/>
        <v>231.88882421746683</v>
      </c>
      <c r="X98" s="154">
        <f t="shared" si="47"/>
        <v>214.01132798486236</v>
      </c>
      <c r="Y98" s="154">
        <f t="shared" si="47"/>
        <v>213.94912514992123</v>
      </c>
      <c r="Z98" s="154">
        <f t="shared" si="47"/>
        <v>180.14989973315261</v>
      </c>
      <c r="AA98" s="154">
        <f t="shared" si="47"/>
        <v>181.1762517749697</v>
      </c>
      <c r="AB98" s="154">
        <f t="shared" si="47"/>
        <v>172.94718965791458</v>
      </c>
      <c r="AC98" s="154">
        <f t="shared" si="47"/>
        <v>119.21009011274556</v>
      </c>
      <c r="AD98" s="154">
        <f t="shared" si="47"/>
        <v>115.60405549784741</v>
      </c>
      <c r="AE98" s="154">
        <f t="shared" si="47"/>
        <v>129.653379892646</v>
      </c>
      <c r="AF98" s="154">
        <f t="shared" si="47"/>
        <v>146.52180442302284</v>
      </c>
      <c r="AG98" s="154">
        <f t="shared" si="47"/>
        <v>133.22270528889752</v>
      </c>
      <c r="AH98" s="154">
        <f t="shared" si="47"/>
        <v>123.28140721745396</v>
      </c>
      <c r="AI98" s="154">
        <f t="shared" si="47"/>
        <v>112.06535274774896</v>
      </c>
      <c r="AJ98" s="154">
        <f t="shared" si="47"/>
        <v>72.565075496342317</v>
      </c>
      <c r="AK98" s="154">
        <f t="shared" si="47"/>
        <v>90.797568897707237</v>
      </c>
      <c r="AL98" s="154">
        <f t="shared" si="47"/>
        <v>84.430486310827661</v>
      </c>
      <c r="AM98" s="154">
        <f t="shared" si="47"/>
        <v>109.7199106647744</v>
      </c>
      <c r="AN98" s="154">
        <f t="shared" si="47"/>
        <v>96.606999261403658</v>
      </c>
      <c r="AO98" s="154">
        <f t="shared" si="47"/>
        <v>158.93501705382579</v>
      </c>
      <c r="AP98" s="154">
        <f t="shared" si="47"/>
        <v>156.89796267284777</v>
      </c>
      <c r="AQ98" s="154">
        <f t="shared" si="47"/>
        <v>142.7947081256155</v>
      </c>
      <c r="AR98" s="154">
        <f t="shared" si="47"/>
        <v>168.17905844138363</v>
      </c>
      <c r="AS98" s="154">
        <f t="shared" si="47"/>
        <v>162.61824004924887</v>
      </c>
      <c r="AT98" s="154">
        <f t="shared" si="47"/>
        <v>179.52380496458207</v>
      </c>
      <c r="AU98" s="154">
        <f t="shared" si="47"/>
        <v>200.97578144494622</v>
      </c>
      <c r="AV98" s="154">
        <f t="shared" si="47"/>
        <v>214.17221822518781</v>
      </c>
      <c r="AW98" s="154">
        <f t="shared" si="47"/>
        <v>229.22109595006717</v>
      </c>
      <c r="AX98" s="154">
        <f t="shared" si="47"/>
        <v>249.34272334865724</v>
      </c>
      <c r="AY98" s="154">
        <f t="shared" si="47"/>
        <v>263.3733813850701</v>
      </c>
      <c r="AZ98" s="154">
        <f t="shared" si="47"/>
        <v>227.30093764218094</v>
      </c>
      <c r="BA98" s="154">
        <f t="shared" si="47"/>
        <v>179.10662777431432</v>
      </c>
      <c r="BB98" s="154">
        <f t="shared" si="47"/>
        <v>0</v>
      </c>
      <c r="BC98" s="154">
        <f t="shared" si="47"/>
        <v>0</v>
      </c>
      <c r="BD98" s="154">
        <f t="shared" si="47"/>
        <v>0</v>
      </c>
      <c r="BE98" s="154">
        <f t="shared" si="47"/>
        <v>0</v>
      </c>
      <c r="BF98" s="154">
        <f t="shared" si="47"/>
        <v>0</v>
      </c>
      <c r="BG98" s="154">
        <f t="shared" si="47"/>
        <v>0</v>
      </c>
      <c r="BH98" s="154">
        <f t="shared" si="47"/>
        <v>0</v>
      </c>
      <c r="BI98" s="154">
        <f t="shared" si="47"/>
        <v>0</v>
      </c>
      <c r="BJ98" s="154">
        <f t="shared" si="47"/>
        <v>0</v>
      </c>
      <c r="BK98" s="154">
        <f t="shared" si="47"/>
        <v>0</v>
      </c>
      <c r="BL98" s="154">
        <f t="shared" si="47"/>
        <v>0</v>
      </c>
      <c r="BM98" s="154">
        <f t="shared" si="47"/>
        <v>0</v>
      </c>
      <c r="BN98" s="154">
        <f t="shared" si="47"/>
        <v>0</v>
      </c>
      <c r="BO98" s="154">
        <f t="shared" si="47"/>
        <v>0</v>
      </c>
      <c r="BP98" s="154">
        <f t="shared" si="47"/>
        <v>0</v>
      </c>
      <c r="BQ98" s="154">
        <f t="shared" ref="BQ98:CK98" si="48">SUM(BQ95:BQ97)</f>
        <v>0</v>
      </c>
      <c r="BR98" s="154">
        <f t="shared" si="48"/>
        <v>0</v>
      </c>
      <c r="BS98" s="154">
        <f t="shared" si="48"/>
        <v>0</v>
      </c>
      <c r="BT98" s="154">
        <f t="shared" si="48"/>
        <v>0</v>
      </c>
      <c r="BU98" s="154">
        <f t="shared" si="48"/>
        <v>0</v>
      </c>
      <c r="BV98" s="154">
        <f t="shared" si="48"/>
        <v>0</v>
      </c>
      <c r="BW98" s="154">
        <f t="shared" si="48"/>
        <v>0</v>
      </c>
      <c r="BX98" s="154">
        <f t="shared" si="48"/>
        <v>0</v>
      </c>
      <c r="BY98" s="154">
        <f t="shared" si="48"/>
        <v>0</v>
      </c>
      <c r="BZ98" s="154">
        <f t="shared" si="48"/>
        <v>0</v>
      </c>
      <c r="CA98" s="154">
        <f t="shared" si="48"/>
        <v>0</v>
      </c>
      <c r="CB98" s="154">
        <f t="shared" si="48"/>
        <v>0</v>
      </c>
      <c r="CC98" s="154">
        <f t="shared" si="48"/>
        <v>0</v>
      </c>
      <c r="CD98" s="154">
        <f t="shared" si="48"/>
        <v>0</v>
      </c>
      <c r="CE98" s="154">
        <f t="shared" si="48"/>
        <v>0</v>
      </c>
      <c r="CF98" s="154">
        <f t="shared" si="48"/>
        <v>0</v>
      </c>
      <c r="CG98" s="154">
        <f t="shared" si="48"/>
        <v>0</v>
      </c>
      <c r="CH98" s="154">
        <f t="shared" si="48"/>
        <v>0</v>
      </c>
      <c r="CI98" s="154">
        <f t="shared" si="48"/>
        <v>0</v>
      </c>
      <c r="CJ98" s="154">
        <f t="shared" si="48"/>
        <v>0</v>
      </c>
      <c r="CK98" s="154">
        <f t="shared" si="48"/>
        <v>0</v>
      </c>
      <c r="CL98" s="144"/>
      <c r="CM98" s="144"/>
      <c r="CN98" s="144"/>
      <c r="CO98" s="144"/>
      <c r="CP98" s="144"/>
      <c r="CQ98" s="144"/>
      <c r="CR98" s="144"/>
      <c r="CS98" s="144"/>
      <c r="CT98" s="144"/>
      <c r="CU98" s="144"/>
    </row>
    <row r="99" spans="1:99" s="254" customFormat="1" ht="11.45" customHeight="1" x14ac:dyDescent="0.2">
      <c r="A99" s="30"/>
      <c r="B99" s="101"/>
      <c r="C99" s="155"/>
      <c r="D99" s="90"/>
      <c r="E99" s="168"/>
      <c r="F99" s="168"/>
      <c r="G99" s="168"/>
      <c r="H99" s="168"/>
      <c r="I99" s="168"/>
      <c r="J99" s="168"/>
      <c r="K99" s="168"/>
      <c r="L99" s="168"/>
      <c r="M99" s="168"/>
      <c r="N99" s="168"/>
      <c r="O99" s="168"/>
      <c r="P99" s="168"/>
      <c r="Q99" s="168"/>
      <c r="R99" s="168"/>
      <c r="S99" s="168"/>
      <c r="T99" s="168"/>
      <c r="U99" s="168"/>
      <c r="V99" s="168"/>
      <c r="W99" s="168"/>
      <c r="X99" s="168"/>
      <c r="Y99" s="168"/>
      <c r="Z99" s="168"/>
      <c r="AA99" s="168"/>
      <c r="AB99" s="168"/>
      <c r="AC99" s="168"/>
      <c r="AD99" s="168"/>
      <c r="AE99" s="168"/>
      <c r="AF99" s="168"/>
      <c r="AG99" s="168"/>
      <c r="AH99" s="168"/>
      <c r="AI99" s="168"/>
      <c r="AJ99" s="168"/>
      <c r="AK99" s="168"/>
      <c r="AL99" s="168"/>
      <c r="AM99" s="168"/>
      <c r="AN99" s="168"/>
      <c r="AO99" s="168"/>
      <c r="AP99" s="168"/>
      <c r="AQ99" s="168"/>
      <c r="AR99" s="168"/>
      <c r="AS99" s="168"/>
      <c r="AT99" s="168"/>
      <c r="AU99" s="168"/>
      <c r="AV99" s="168"/>
      <c r="AW99" s="168"/>
      <c r="AX99" s="168"/>
      <c r="AY99" s="168"/>
      <c r="AZ99" s="168"/>
      <c r="BA99" s="168"/>
      <c r="BB99" s="168"/>
      <c r="BC99" s="168"/>
      <c r="BD99" s="168"/>
      <c r="BE99" s="168"/>
      <c r="BF99" s="168"/>
      <c r="BG99" s="168"/>
      <c r="BH99" s="168"/>
      <c r="BI99" s="168"/>
      <c r="BJ99" s="168"/>
      <c r="BK99" s="168"/>
      <c r="BL99" s="168"/>
      <c r="BM99" s="168"/>
      <c r="BN99" s="168"/>
      <c r="BO99" s="168"/>
      <c r="BP99" s="168"/>
      <c r="BQ99" s="168"/>
      <c r="BR99" s="168"/>
      <c r="BS99" s="168"/>
      <c r="BT99" s="168"/>
      <c r="BU99" s="168"/>
      <c r="BV99" s="168"/>
      <c r="BW99" s="168"/>
      <c r="BX99" s="168"/>
      <c r="BY99" s="168"/>
      <c r="BZ99" s="168"/>
      <c r="CA99" s="168"/>
      <c r="CB99" s="168"/>
      <c r="CC99" s="168"/>
      <c r="CD99" s="168"/>
      <c r="CE99" s="168"/>
      <c r="CF99" s="168"/>
      <c r="CG99" s="168"/>
      <c r="CH99" s="168"/>
      <c r="CI99" s="168"/>
      <c r="CJ99" s="168"/>
      <c r="CK99" s="168"/>
      <c r="CL99" s="144"/>
      <c r="CM99" s="144"/>
      <c r="CN99" s="144"/>
      <c r="CO99" s="144"/>
      <c r="CP99" s="144"/>
      <c r="CQ99" s="144"/>
      <c r="CR99" s="144"/>
      <c r="CS99" s="144"/>
      <c r="CT99" s="144"/>
      <c r="CU99" s="144"/>
    </row>
    <row r="100" spans="1:99" s="254" customFormat="1" ht="11.45" hidden="1" customHeight="1" outlineLevel="1" x14ac:dyDescent="0.2">
      <c r="A100" s="30"/>
      <c r="B100" s="101"/>
      <c r="C100" s="37" t="s">
        <v>554</v>
      </c>
      <c r="D100" s="37" t="s">
        <v>553</v>
      </c>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c r="AB100" s="168"/>
      <c r="AC100" s="168"/>
      <c r="AD100" s="168"/>
      <c r="AE100" s="168"/>
      <c r="AF100" s="168"/>
      <c r="AG100" s="168"/>
      <c r="AH100" s="168"/>
      <c r="AI100" s="168"/>
      <c r="AJ100" s="168"/>
      <c r="AK100" s="168"/>
      <c r="AL100" s="168"/>
      <c r="AM100" s="168"/>
      <c r="AN100" s="168"/>
      <c r="AO100" s="168"/>
      <c r="AP100" s="168"/>
      <c r="AQ100" s="168"/>
      <c r="AR100" s="168"/>
      <c r="AS100" s="168"/>
      <c r="AT100" s="168"/>
      <c r="AU100" s="168"/>
      <c r="AV100" s="168"/>
      <c r="AW100" s="168"/>
      <c r="AX100" s="168"/>
      <c r="AY100" s="168"/>
      <c r="AZ100" s="168"/>
      <c r="BA100" s="168"/>
      <c r="BB100" s="168"/>
      <c r="BC100" s="168"/>
      <c r="BD100" s="168"/>
      <c r="BE100" s="168"/>
      <c r="BF100" s="168"/>
      <c r="BG100" s="168"/>
      <c r="BH100" s="168"/>
      <c r="BI100" s="168"/>
      <c r="BJ100" s="168"/>
      <c r="BK100" s="168"/>
      <c r="BL100" s="168"/>
      <c r="BM100" s="168"/>
      <c r="BN100" s="168"/>
      <c r="BO100" s="168"/>
      <c r="BP100" s="168"/>
      <c r="BQ100" s="168"/>
      <c r="BR100" s="168"/>
      <c r="BS100" s="168"/>
      <c r="BT100" s="168"/>
      <c r="BU100" s="168"/>
      <c r="BV100" s="168"/>
      <c r="BW100" s="168"/>
      <c r="BX100" s="168"/>
      <c r="BY100" s="168"/>
      <c r="BZ100" s="168"/>
      <c r="CA100" s="168"/>
      <c r="CB100" s="168"/>
      <c r="CC100" s="168"/>
      <c r="CD100" s="168"/>
      <c r="CE100" s="168"/>
      <c r="CF100" s="168"/>
      <c r="CG100" s="168"/>
      <c r="CH100" s="168"/>
      <c r="CI100" s="168"/>
      <c r="CJ100" s="168"/>
      <c r="CK100" s="168"/>
      <c r="CL100" s="144"/>
      <c r="CM100" s="144"/>
      <c r="CN100" s="144"/>
      <c r="CO100" s="144"/>
      <c r="CP100" s="144"/>
      <c r="CQ100" s="144"/>
      <c r="CR100" s="144"/>
      <c r="CS100" s="144"/>
      <c r="CT100" s="144"/>
      <c r="CU100" s="144"/>
    </row>
    <row r="101" spans="1:99" s="254" customFormat="1" ht="11.45" hidden="1" customHeight="1" outlineLevel="1" x14ac:dyDescent="0.2">
      <c r="A101" s="30"/>
      <c r="B101" s="101"/>
      <c r="C101" s="37" t="s">
        <v>552</v>
      </c>
      <c r="D101" s="37" t="s">
        <v>551</v>
      </c>
      <c r="E101" s="168"/>
      <c r="F101" s="168"/>
      <c r="G101" s="168"/>
      <c r="H101" s="168"/>
      <c r="I101" s="168"/>
      <c r="J101" s="168"/>
      <c r="K101" s="168"/>
      <c r="L101" s="168"/>
      <c r="M101" s="168"/>
      <c r="N101" s="168"/>
      <c r="O101" s="168"/>
      <c r="P101" s="168"/>
      <c r="Q101" s="168"/>
      <c r="R101" s="168"/>
      <c r="S101" s="168"/>
      <c r="T101" s="168"/>
      <c r="U101" s="168"/>
      <c r="V101" s="168"/>
      <c r="W101" s="168"/>
      <c r="X101" s="168"/>
      <c r="Y101" s="168"/>
      <c r="Z101" s="168"/>
      <c r="AA101" s="168"/>
      <c r="AB101" s="168"/>
      <c r="AC101" s="168"/>
      <c r="AD101" s="168"/>
      <c r="AE101" s="168"/>
      <c r="AF101" s="168"/>
      <c r="AG101" s="168"/>
      <c r="AH101" s="168"/>
      <c r="AI101" s="168"/>
      <c r="AJ101" s="168"/>
      <c r="AK101" s="168"/>
      <c r="AL101" s="168"/>
      <c r="AM101" s="168"/>
      <c r="AN101" s="168"/>
      <c r="AO101" s="168"/>
      <c r="AP101" s="168"/>
      <c r="AQ101" s="168"/>
      <c r="AR101" s="168"/>
      <c r="AS101" s="168"/>
      <c r="AT101" s="168"/>
      <c r="AU101" s="168"/>
      <c r="AV101" s="168"/>
      <c r="AW101" s="168"/>
      <c r="AX101" s="168"/>
      <c r="AY101" s="168"/>
      <c r="AZ101" s="168"/>
      <c r="BA101" s="168"/>
      <c r="BB101" s="168"/>
      <c r="BC101" s="168"/>
      <c r="BD101" s="168"/>
      <c r="BE101" s="168"/>
      <c r="BF101" s="168"/>
      <c r="BG101" s="168"/>
      <c r="BH101" s="168"/>
      <c r="BI101" s="168"/>
      <c r="BJ101" s="168"/>
      <c r="BK101" s="168"/>
      <c r="BL101" s="168"/>
      <c r="BM101" s="168"/>
      <c r="BN101" s="168"/>
      <c r="BO101" s="168"/>
      <c r="BP101" s="168"/>
      <c r="BQ101" s="168"/>
      <c r="BR101" s="168"/>
      <c r="BS101" s="168"/>
      <c r="BT101" s="168"/>
      <c r="BU101" s="168"/>
      <c r="BV101" s="168"/>
      <c r="BW101" s="168"/>
      <c r="BX101" s="168"/>
      <c r="BY101" s="168"/>
      <c r="BZ101" s="168"/>
      <c r="CA101" s="168"/>
      <c r="CB101" s="168"/>
      <c r="CC101" s="168"/>
      <c r="CD101" s="168"/>
      <c r="CE101" s="168"/>
      <c r="CF101" s="168"/>
      <c r="CG101" s="168"/>
      <c r="CH101" s="168"/>
      <c r="CI101" s="168"/>
      <c r="CJ101" s="168"/>
      <c r="CK101" s="168"/>
      <c r="CL101" s="144"/>
      <c r="CM101" s="144"/>
      <c r="CN101" s="144"/>
      <c r="CO101" s="144"/>
      <c r="CP101" s="144"/>
      <c r="CQ101" s="144"/>
      <c r="CR101" s="144"/>
      <c r="CS101" s="144"/>
      <c r="CT101" s="144"/>
      <c r="CU101" s="144"/>
    </row>
    <row r="102" spans="1:99" s="254" customFormat="1" ht="11.45" hidden="1" customHeight="1" outlineLevel="1" x14ac:dyDescent="0.2">
      <c r="A102" s="30"/>
      <c r="B102" s="101"/>
      <c r="C102" s="37" t="s">
        <v>550</v>
      </c>
      <c r="D102" s="37" t="s">
        <v>549</v>
      </c>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68"/>
      <c r="AE102" s="168"/>
      <c r="AF102" s="168"/>
      <c r="AG102" s="168"/>
      <c r="AH102" s="168"/>
      <c r="AI102" s="168"/>
      <c r="AJ102" s="168"/>
      <c r="AK102" s="168"/>
      <c r="AL102" s="168"/>
      <c r="AM102" s="168"/>
      <c r="AN102" s="168"/>
      <c r="AO102" s="168"/>
      <c r="AP102" s="168"/>
      <c r="AQ102" s="168"/>
      <c r="AR102" s="168"/>
      <c r="AS102" s="168"/>
      <c r="AT102" s="168"/>
      <c r="AU102" s="168"/>
      <c r="AV102" s="168"/>
      <c r="AW102" s="168"/>
      <c r="AX102" s="168"/>
      <c r="AY102" s="168"/>
      <c r="AZ102" s="168"/>
      <c r="BA102" s="168"/>
      <c r="BB102" s="168"/>
      <c r="BC102" s="168"/>
      <c r="BD102" s="168"/>
      <c r="BE102" s="168"/>
      <c r="BF102" s="168"/>
      <c r="BG102" s="168"/>
      <c r="BH102" s="168"/>
      <c r="BI102" s="168"/>
      <c r="BJ102" s="168"/>
      <c r="BK102" s="168"/>
      <c r="BL102" s="168"/>
      <c r="BM102" s="168"/>
      <c r="BN102" s="168"/>
      <c r="BO102" s="168"/>
      <c r="BP102" s="168"/>
      <c r="BQ102" s="168"/>
      <c r="BR102" s="168"/>
      <c r="BS102" s="168"/>
      <c r="BT102" s="168"/>
      <c r="BU102" s="168"/>
      <c r="BV102" s="168"/>
      <c r="BW102" s="168"/>
      <c r="BX102" s="168"/>
      <c r="BY102" s="168"/>
      <c r="BZ102" s="168"/>
      <c r="CA102" s="168"/>
      <c r="CB102" s="168"/>
      <c r="CC102" s="168"/>
      <c r="CD102" s="168"/>
      <c r="CE102" s="168"/>
      <c r="CF102" s="168"/>
      <c r="CG102" s="168"/>
      <c r="CH102" s="168"/>
      <c r="CI102" s="168"/>
      <c r="CJ102" s="168"/>
      <c r="CK102" s="168"/>
      <c r="CL102" s="144"/>
      <c r="CM102" s="144"/>
      <c r="CN102" s="144"/>
      <c r="CO102" s="144"/>
      <c r="CP102" s="144"/>
      <c r="CQ102" s="144"/>
      <c r="CR102" s="144"/>
      <c r="CS102" s="144"/>
      <c r="CT102" s="144"/>
      <c r="CU102" s="144"/>
    </row>
    <row r="103" spans="1:99" s="254" customFormat="1" ht="11.45" hidden="1" customHeight="1" outlineLevel="1" x14ac:dyDescent="0.2">
      <c r="A103" s="30"/>
      <c r="B103" s="101"/>
      <c r="C103" s="155" t="s">
        <v>548</v>
      </c>
      <c r="D103" s="155" t="s">
        <v>547</v>
      </c>
      <c r="E103" s="154">
        <f t="shared" ref="E103:BP103" si="49">SUM(E100:E102)</f>
        <v>0</v>
      </c>
      <c r="F103" s="154">
        <f t="shared" si="49"/>
        <v>0</v>
      </c>
      <c r="G103" s="154">
        <f t="shared" si="49"/>
        <v>0</v>
      </c>
      <c r="H103" s="154">
        <f t="shared" si="49"/>
        <v>0</v>
      </c>
      <c r="I103" s="154">
        <f t="shared" si="49"/>
        <v>0</v>
      </c>
      <c r="J103" s="154">
        <f t="shared" si="49"/>
        <v>0</v>
      </c>
      <c r="K103" s="154">
        <f t="shared" si="49"/>
        <v>0</v>
      </c>
      <c r="L103" s="154">
        <f t="shared" si="49"/>
        <v>0</v>
      </c>
      <c r="M103" s="154">
        <f t="shared" si="49"/>
        <v>0</v>
      </c>
      <c r="N103" s="154">
        <f t="shared" si="49"/>
        <v>0</v>
      </c>
      <c r="O103" s="154">
        <f t="shared" si="49"/>
        <v>0</v>
      </c>
      <c r="P103" s="154">
        <f t="shared" si="49"/>
        <v>0</v>
      </c>
      <c r="Q103" s="154">
        <f t="shared" si="49"/>
        <v>0</v>
      </c>
      <c r="R103" s="154">
        <f t="shared" si="49"/>
        <v>0</v>
      </c>
      <c r="S103" s="154">
        <f t="shared" si="49"/>
        <v>0</v>
      </c>
      <c r="T103" s="154">
        <f t="shared" si="49"/>
        <v>0</v>
      </c>
      <c r="U103" s="154">
        <f t="shared" si="49"/>
        <v>0</v>
      </c>
      <c r="V103" s="154">
        <f t="shared" si="49"/>
        <v>0</v>
      </c>
      <c r="W103" s="154">
        <f t="shared" si="49"/>
        <v>0</v>
      </c>
      <c r="X103" s="154">
        <f t="shared" si="49"/>
        <v>0</v>
      </c>
      <c r="Y103" s="154">
        <f t="shared" si="49"/>
        <v>0</v>
      </c>
      <c r="Z103" s="154">
        <f t="shared" si="49"/>
        <v>0</v>
      </c>
      <c r="AA103" s="154">
        <f t="shared" si="49"/>
        <v>0</v>
      </c>
      <c r="AB103" s="154">
        <f t="shared" si="49"/>
        <v>0</v>
      </c>
      <c r="AC103" s="154">
        <f t="shared" si="49"/>
        <v>0</v>
      </c>
      <c r="AD103" s="154">
        <f t="shared" si="49"/>
        <v>0</v>
      </c>
      <c r="AE103" s="154">
        <f t="shared" si="49"/>
        <v>0</v>
      </c>
      <c r="AF103" s="154">
        <f t="shared" si="49"/>
        <v>0</v>
      </c>
      <c r="AG103" s="154">
        <f t="shared" si="49"/>
        <v>0</v>
      </c>
      <c r="AH103" s="154">
        <f t="shared" si="49"/>
        <v>0</v>
      </c>
      <c r="AI103" s="154">
        <f t="shared" si="49"/>
        <v>0</v>
      </c>
      <c r="AJ103" s="154">
        <f t="shared" si="49"/>
        <v>0</v>
      </c>
      <c r="AK103" s="154">
        <f t="shared" si="49"/>
        <v>0</v>
      </c>
      <c r="AL103" s="154">
        <f t="shared" si="49"/>
        <v>0</v>
      </c>
      <c r="AM103" s="154">
        <f t="shared" si="49"/>
        <v>0</v>
      </c>
      <c r="AN103" s="154">
        <f t="shared" si="49"/>
        <v>0</v>
      </c>
      <c r="AO103" s="154">
        <f t="shared" si="49"/>
        <v>0</v>
      </c>
      <c r="AP103" s="154">
        <f t="shared" si="49"/>
        <v>0</v>
      </c>
      <c r="AQ103" s="154">
        <f t="shared" si="49"/>
        <v>0</v>
      </c>
      <c r="AR103" s="154">
        <f t="shared" si="49"/>
        <v>0</v>
      </c>
      <c r="AS103" s="154">
        <f t="shared" si="49"/>
        <v>0</v>
      </c>
      <c r="AT103" s="154">
        <f t="shared" si="49"/>
        <v>0</v>
      </c>
      <c r="AU103" s="154">
        <f t="shared" si="49"/>
        <v>0</v>
      </c>
      <c r="AV103" s="154">
        <f t="shared" si="49"/>
        <v>0</v>
      </c>
      <c r="AW103" s="154">
        <f t="shared" si="49"/>
        <v>0</v>
      </c>
      <c r="AX103" s="154">
        <f t="shared" si="49"/>
        <v>0</v>
      </c>
      <c r="AY103" s="154">
        <f t="shared" si="49"/>
        <v>0</v>
      </c>
      <c r="AZ103" s="154">
        <f t="shared" si="49"/>
        <v>0</v>
      </c>
      <c r="BA103" s="154">
        <f t="shared" si="49"/>
        <v>0</v>
      </c>
      <c r="BB103" s="154">
        <f t="shared" si="49"/>
        <v>0</v>
      </c>
      <c r="BC103" s="154">
        <f t="shared" si="49"/>
        <v>0</v>
      </c>
      <c r="BD103" s="154">
        <f t="shared" si="49"/>
        <v>0</v>
      </c>
      <c r="BE103" s="154">
        <f t="shared" si="49"/>
        <v>0</v>
      </c>
      <c r="BF103" s="154">
        <f t="shared" si="49"/>
        <v>0</v>
      </c>
      <c r="BG103" s="154">
        <f t="shared" si="49"/>
        <v>0</v>
      </c>
      <c r="BH103" s="154">
        <f t="shared" si="49"/>
        <v>0</v>
      </c>
      <c r="BI103" s="154">
        <f t="shared" si="49"/>
        <v>0</v>
      </c>
      <c r="BJ103" s="154">
        <f t="shared" si="49"/>
        <v>0</v>
      </c>
      <c r="BK103" s="154">
        <f t="shared" si="49"/>
        <v>0</v>
      </c>
      <c r="BL103" s="154">
        <f t="shared" si="49"/>
        <v>0</v>
      </c>
      <c r="BM103" s="154">
        <f t="shared" si="49"/>
        <v>0</v>
      </c>
      <c r="BN103" s="154">
        <f t="shared" si="49"/>
        <v>0</v>
      </c>
      <c r="BO103" s="154">
        <f t="shared" si="49"/>
        <v>0</v>
      </c>
      <c r="BP103" s="154">
        <f t="shared" si="49"/>
        <v>0</v>
      </c>
      <c r="BQ103" s="154">
        <f t="shared" ref="BQ103:CK103" si="50">SUM(BQ100:BQ102)</f>
        <v>0</v>
      </c>
      <c r="BR103" s="154">
        <f t="shared" si="50"/>
        <v>0</v>
      </c>
      <c r="BS103" s="154">
        <f t="shared" si="50"/>
        <v>0</v>
      </c>
      <c r="BT103" s="154">
        <f t="shared" si="50"/>
        <v>0</v>
      </c>
      <c r="BU103" s="154">
        <f t="shared" si="50"/>
        <v>0</v>
      </c>
      <c r="BV103" s="154">
        <f t="shared" si="50"/>
        <v>0</v>
      </c>
      <c r="BW103" s="154">
        <f t="shared" si="50"/>
        <v>0</v>
      </c>
      <c r="BX103" s="154">
        <f t="shared" si="50"/>
        <v>0</v>
      </c>
      <c r="BY103" s="154">
        <f t="shared" si="50"/>
        <v>0</v>
      </c>
      <c r="BZ103" s="154">
        <f t="shared" si="50"/>
        <v>0</v>
      </c>
      <c r="CA103" s="154">
        <f t="shared" si="50"/>
        <v>0</v>
      </c>
      <c r="CB103" s="154">
        <f t="shared" si="50"/>
        <v>0</v>
      </c>
      <c r="CC103" s="154">
        <f t="shared" si="50"/>
        <v>0</v>
      </c>
      <c r="CD103" s="154">
        <f t="shared" si="50"/>
        <v>0</v>
      </c>
      <c r="CE103" s="154">
        <f t="shared" si="50"/>
        <v>0</v>
      </c>
      <c r="CF103" s="154">
        <f t="shared" si="50"/>
        <v>0</v>
      </c>
      <c r="CG103" s="154">
        <f t="shared" si="50"/>
        <v>0</v>
      </c>
      <c r="CH103" s="154">
        <f t="shared" si="50"/>
        <v>0</v>
      </c>
      <c r="CI103" s="154">
        <f t="shared" si="50"/>
        <v>0</v>
      </c>
      <c r="CJ103" s="154">
        <f t="shared" si="50"/>
        <v>0</v>
      </c>
      <c r="CK103" s="154">
        <f t="shared" si="50"/>
        <v>0</v>
      </c>
      <c r="CL103" s="144"/>
      <c r="CM103" s="144"/>
      <c r="CN103" s="144"/>
      <c r="CO103" s="144"/>
      <c r="CP103" s="144"/>
      <c r="CQ103" s="144"/>
      <c r="CR103" s="144"/>
      <c r="CS103" s="144"/>
      <c r="CT103" s="144"/>
      <c r="CU103" s="144"/>
    </row>
    <row r="104" spans="1:99" s="254" customFormat="1" ht="11.45" customHeight="1" collapsed="1" x14ac:dyDescent="0.2">
      <c r="A104" s="30"/>
      <c r="B104" s="101"/>
      <c r="C104" s="168"/>
      <c r="D104" s="168"/>
      <c r="E104" s="168"/>
      <c r="F104" s="168"/>
      <c r="G104" s="168"/>
      <c r="H104" s="168"/>
      <c r="I104" s="168"/>
      <c r="J104" s="168"/>
      <c r="K104" s="168"/>
      <c r="L104" s="168"/>
      <c r="M104" s="168"/>
      <c r="N104" s="168"/>
      <c r="O104" s="168"/>
      <c r="P104" s="168"/>
      <c r="Q104" s="168"/>
      <c r="R104" s="168"/>
      <c r="S104" s="168"/>
      <c r="T104" s="168"/>
      <c r="U104" s="168"/>
      <c r="V104" s="168"/>
      <c r="W104" s="168"/>
      <c r="X104" s="168"/>
      <c r="Y104" s="168"/>
      <c r="Z104" s="168"/>
      <c r="AA104" s="168"/>
      <c r="AB104" s="168"/>
      <c r="AC104" s="168"/>
      <c r="AD104" s="168"/>
      <c r="AE104" s="168"/>
      <c r="AF104" s="168"/>
      <c r="AG104" s="168"/>
      <c r="AH104" s="168"/>
      <c r="AI104" s="168"/>
      <c r="AJ104" s="168"/>
      <c r="AK104" s="168"/>
      <c r="AL104" s="168"/>
      <c r="AM104" s="168"/>
      <c r="AN104" s="168"/>
      <c r="AO104" s="168"/>
      <c r="AP104" s="168"/>
      <c r="AQ104" s="168"/>
      <c r="AR104" s="168"/>
      <c r="AS104" s="168"/>
      <c r="AT104" s="168"/>
      <c r="AU104" s="168"/>
      <c r="AV104" s="168"/>
      <c r="AW104" s="168"/>
      <c r="AX104" s="168"/>
      <c r="AY104" s="168"/>
      <c r="AZ104" s="168"/>
      <c r="BA104" s="168"/>
      <c r="BB104" s="168"/>
      <c r="BC104" s="168"/>
      <c r="BD104" s="168"/>
      <c r="BE104" s="168"/>
      <c r="BF104" s="168"/>
      <c r="BG104" s="168"/>
      <c r="BH104" s="144"/>
      <c r="BI104" s="144"/>
      <c r="BJ104" s="144"/>
      <c r="BK104" s="144"/>
      <c r="BL104" s="144"/>
      <c r="BM104" s="144"/>
      <c r="BN104" s="144"/>
      <c r="BO104" s="144"/>
      <c r="BP104" s="144"/>
      <c r="BQ104" s="144"/>
      <c r="BR104" s="144"/>
      <c r="BS104" s="144"/>
      <c r="BT104" s="144"/>
      <c r="BU104" s="144"/>
      <c r="BV104" s="144"/>
      <c r="BW104" s="144"/>
      <c r="BX104" s="144"/>
      <c r="BY104" s="144"/>
      <c r="BZ104" s="144"/>
      <c r="CA104" s="144"/>
      <c r="CB104" s="144"/>
      <c r="CC104" s="144"/>
      <c r="CD104" s="144"/>
      <c r="CE104" s="144"/>
      <c r="CF104" s="144"/>
      <c r="CG104" s="144"/>
      <c r="CH104" s="144"/>
      <c r="CI104" s="144"/>
      <c r="CJ104" s="144"/>
      <c r="CK104" s="144"/>
      <c r="CL104" s="144"/>
      <c r="CM104" s="144"/>
      <c r="CN104" s="144"/>
      <c r="CO104" s="144"/>
      <c r="CP104" s="144"/>
      <c r="CQ104" s="144"/>
      <c r="CR104" s="144"/>
      <c r="CS104" s="144"/>
      <c r="CT104" s="144"/>
      <c r="CU104" s="144"/>
    </row>
    <row r="105" spans="1:99" s="254" customFormat="1" ht="23.25" customHeight="1" x14ac:dyDescent="0.2">
      <c r="A105" s="30"/>
      <c r="B105" s="101"/>
      <c r="C105" s="420" t="s">
        <v>837</v>
      </c>
      <c r="D105" s="420" t="s">
        <v>836</v>
      </c>
      <c r="E105" s="416"/>
      <c r="F105" s="416"/>
      <c r="G105" s="416"/>
      <c r="H105" s="416"/>
      <c r="I105" s="416"/>
      <c r="J105" s="416"/>
      <c r="K105" s="416"/>
      <c r="L105" s="416"/>
      <c r="M105" s="416"/>
      <c r="N105" s="416"/>
      <c r="O105" s="416"/>
      <c r="P105" s="416"/>
      <c r="Q105" s="416"/>
      <c r="R105" s="416"/>
      <c r="S105" s="416"/>
      <c r="T105" s="416"/>
      <c r="U105" s="416"/>
      <c r="V105" s="416"/>
      <c r="W105" s="416"/>
      <c r="X105" s="416"/>
      <c r="Y105" s="416"/>
      <c r="Z105" s="416"/>
      <c r="AA105" s="416"/>
      <c r="AB105" s="416"/>
      <c r="AC105" s="416"/>
      <c r="AD105" s="416"/>
      <c r="AE105" s="416"/>
      <c r="AF105" s="416"/>
      <c r="AG105" s="416"/>
      <c r="AH105" s="416"/>
      <c r="AI105" s="416"/>
      <c r="AJ105" s="416"/>
      <c r="AK105" s="416"/>
      <c r="AL105" s="416"/>
      <c r="AM105" s="416"/>
      <c r="AN105" s="416"/>
      <c r="AO105" s="416"/>
      <c r="AP105" s="416"/>
      <c r="AQ105" s="416"/>
      <c r="AR105" s="416"/>
      <c r="AS105" s="416"/>
      <c r="AT105" s="416"/>
      <c r="AU105" s="416"/>
      <c r="AV105" s="416"/>
      <c r="AW105" s="416"/>
      <c r="AX105" s="416"/>
      <c r="AY105" s="416"/>
      <c r="AZ105" s="416"/>
      <c r="BA105" s="416"/>
      <c r="BB105" s="416"/>
      <c r="BC105" s="416"/>
      <c r="BD105" s="416"/>
      <c r="BE105" s="416"/>
      <c r="BF105" s="416"/>
      <c r="BG105" s="416"/>
      <c r="BH105" s="417"/>
      <c r="BI105" s="417"/>
      <c r="BJ105" s="417"/>
      <c r="BK105" s="417"/>
      <c r="BL105" s="417"/>
      <c r="BM105" s="417"/>
      <c r="BN105" s="417"/>
      <c r="BO105" s="417"/>
      <c r="BP105" s="417"/>
      <c r="BQ105" s="417"/>
      <c r="BR105" s="417"/>
      <c r="BS105" s="417"/>
      <c r="BT105" s="417"/>
      <c r="BU105" s="417"/>
      <c r="BV105" s="417"/>
      <c r="BW105" s="417"/>
      <c r="BX105" s="417"/>
      <c r="BY105" s="417"/>
      <c r="BZ105" s="417"/>
      <c r="CA105" s="417"/>
      <c r="CB105" s="417"/>
      <c r="CC105" s="417"/>
      <c r="CD105" s="417"/>
      <c r="CE105" s="417"/>
      <c r="CF105" s="417"/>
      <c r="CG105" s="417"/>
      <c r="CH105" s="417"/>
      <c r="CI105" s="417"/>
      <c r="CJ105" s="417"/>
      <c r="CK105" s="417"/>
      <c r="CL105" s="144"/>
      <c r="CM105" s="144"/>
      <c r="CN105" s="144"/>
      <c r="CO105" s="144"/>
      <c r="CP105" s="144"/>
      <c r="CQ105" s="144"/>
      <c r="CR105" s="144"/>
      <c r="CS105" s="144"/>
      <c r="CT105" s="144"/>
      <c r="CU105" s="144"/>
    </row>
    <row r="106" spans="1:99" ht="11.45" customHeight="1" x14ac:dyDescent="0.2">
      <c r="B106" s="77"/>
      <c r="CL106" s="77"/>
    </row>
    <row r="107" spans="1:99" ht="11.45" customHeight="1" x14ac:dyDescent="0.2">
      <c r="B107" s="77"/>
      <c r="C107" s="421" t="s">
        <v>829</v>
      </c>
      <c r="D107" s="422" t="s">
        <v>829</v>
      </c>
      <c r="E107" s="423"/>
      <c r="F107" s="423" t="s">
        <v>832</v>
      </c>
      <c r="G107" s="423" t="s">
        <v>832</v>
      </c>
      <c r="H107" s="423" t="s">
        <v>832</v>
      </c>
      <c r="I107" s="423" t="s">
        <v>832</v>
      </c>
      <c r="J107" s="423" t="s">
        <v>832</v>
      </c>
      <c r="K107" s="423" t="s">
        <v>832</v>
      </c>
      <c r="L107" s="423" t="s">
        <v>832</v>
      </c>
      <c r="M107" s="423" t="s">
        <v>832</v>
      </c>
      <c r="N107" s="423" t="s">
        <v>832</v>
      </c>
      <c r="O107" s="423" t="s">
        <v>832</v>
      </c>
      <c r="P107" s="423" t="s">
        <v>832</v>
      </c>
      <c r="Q107" s="424">
        <f>'Lead PL'!F9</f>
        <v>16709.024729999997</v>
      </c>
      <c r="R107" s="424"/>
      <c r="S107" s="424"/>
      <c r="T107" s="424"/>
      <c r="U107" s="424"/>
      <c r="V107" s="424"/>
      <c r="W107" s="424"/>
      <c r="X107" s="424"/>
      <c r="Y107" s="424"/>
      <c r="Z107" s="424"/>
      <c r="AA107" s="424"/>
      <c r="AB107" s="424"/>
      <c r="AC107" s="424">
        <f>SUM(PL_monthly!R9:AC9)</f>
        <v>15316.24358</v>
      </c>
      <c r="AD107" s="424">
        <f>SUM(PL_monthly!S9:AD9)</f>
        <v>15569.19519</v>
      </c>
      <c r="AE107" s="424">
        <f>SUM(PL_monthly!T9:AE9)</f>
        <v>15729.22991</v>
      </c>
      <c r="AF107" s="424">
        <f>SUM(PL_monthly!U9:AF9)</f>
        <v>15942.85081</v>
      </c>
      <c r="AG107" s="424">
        <f>SUM(PL_monthly!V9:AG9)</f>
        <v>15949.25</v>
      </c>
      <c r="AH107" s="424">
        <f>SUM(PL_monthly!W9:AH9)</f>
        <v>16494.326249999998</v>
      </c>
      <c r="AI107" s="424">
        <f>SUM(PL_monthly!X9:AI9)</f>
        <v>16362.959390000004</v>
      </c>
      <c r="AJ107" s="424">
        <f>SUM(PL_monthly!Y9:AJ9)</f>
        <v>16633.088660000001</v>
      </c>
      <c r="AK107" s="424">
        <f>SUM(PL_monthly!Z9:AK9)</f>
        <v>16539.626690000005</v>
      </c>
      <c r="AL107" s="424">
        <f>SUM(PL_monthly!AA9:AL9)</f>
        <v>16663.412179999999</v>
      </c>
      <c r="AM107" s="424">
        <f>SUM(PL_monthly!AB9:AM9)</f>
        <v>16914.496500000001</v>
      </c>
      <c r="AN107" s="424">
        <f>SUM(PL_monthly!AC9:AN9)</f>
        <v>16913.402739999998</v>
      </c>
      <c r="AO107" s="424">
        <f>SUM(PL_monthly!AD9:AO9)</f>
        <v>16659.963460000003</v>
      </c>
      <c r="AP107" s="424">
        <f>SUM(PL_monthly!AE9:AP9)</f>
        <v>16673.994630000001</v>
      </c>
      <c r="AQ107" s="424">
        <f>SUM(PL_monthly!AF9:AQ9)</f>
        <v>16770.649020000004</v>
      </c>
      <c r="AR107" s="424">
        <f>SUM(PL_monthly!AG9:AR9)</f>
        <v>16229.24156</v>
      </c>
      <c r="AS107" s="424">
        <f>SUM(PL_monthly!AH9:AS9)</f>
        <v>16259.464980000001</v>
      </c>
      <c r="AT107" s="424">
        <f>SUM(PL_monthly!AI9:AT9)</f>
        <v>16028.231390000001</v>
      </c>
      <c r="AU107" s="424">
        <f>SUM(PL_monthly!AJ9:AU9)</f>
        <v>15986.434360000003</v>
      </c>
      <c r="AV107" s="424">
        <f>SUM(PL_monthly!AK9:AV9)</f>
        <v>15609.579179999997</v>
      </c>
      <c r="AW107" s="424">
        <f>SUM(PL_monthly!AL9:AW9)</f>
        <v>15724.053769999999</v>
      </c>
      <c r="AX107" s="424">
        <f>SUM(PL_monthly!AM9:AX9)</f>
        <v>15425.716930000001</v>
      </c>
      <c r="AY107" s="424">
        <f>SUM(PL_monthly!AN9:AY9)</f>
        <v>15303.322300000003</v>
      </c>
      <c r="AZ107" s="424">
        <f>SUM(PL_monthly!AO9:AZ9)</f>
        <v>15174.359690000001</v>
      </c>
      <c r="BA107" s="424">
        <f>SUM(PL_monthly!AP9:BA9)</f>
        <v>15009.728290000003</v>
      </c>
      <c r="BB107" s="424">
        <f>SUM(PL_monthly!AQ9:BB9)</f>
        <v>13654.793290000003</v>
      </c>
      <c r="BC107" s="424">
        <f>SUM(PL_monthly!AR9:BC9)</f>
        <v>12182.453430000003</v>
      </c>
      <c r="BD107" s="424">
        <f>SUM(PL_monthly!AS9:BD9)</f>
        <v>11064.339140000004</v>
      </c>
      <c r="BE107" s="424">
        <f>SUM(PL_monthly!AT9:BE9)</f>
        <v>9701.4316500000023</v>
      </c>
      <c r="BF107" s="424">
        <f>SUM(PL_monthly!AU9:BF9)</f>
        <v>8187.4596800000036</v>
      </c>
      <c r="BG107" s="424">
        <f>SUM(PL_monthly!AV9:BG9)</f>
        <v>7131.0919200000035</v>
      </c>
      <c r="BH107" s="424">
        <f>SUM(PL_monthly!AW9:BH9)</f>
        <v>6019.7747600000039</v>
      </c>
      <c r="BI107" s="424">
        <f>SUM(PL_monthly!AX9:BI9)</f>
        <v>4640.8384500000029</v>
      </c>
      <c r="BJ107" s="424">
        <f>SUM(PL_monthly!AY9:BJ9)</f>
        <v>3516.6174900000024</v>
      </c>
      <c r="BK107" s="424">
        <f>SUM(PL_monthly!AZ9:BK9)</f>
        <v>2304.2899499999985</v>
      </c>
      <c r="BL107" s="424">
        <f>SUM(PL_monthly!BA9:BL9)</f>
        <v>1110.7971400000024</v>
      </c>
      <c r="BM107" s="424">
        <f>SUM(PL_monthly!BB9:BM9)</f>
        <v>0</v>
      </c>
      <c r="BN107" s="424">
        <f>SUM(PL_monthly!BC9:BN9)</f>
        <v>0</v>
      </c>
      <c r="BO107" s="424">
        <f>SUM(PL_monthly!BD9:BO9)</f>
        <v>0</v>
      </c>
      <c r="BP107" s="424">
        <f>SUM(PL_monthly!BE9:BP9)</f>
        <v>0</v>
      </c>
      <c r="BQ107" s="424">
        <f>SUM(PL_monthly!BF9:BQ9)</f>
        <v>0</v>
      </c>
      <c r="BR107" s="424">
        <f>SUM(PL_monthly!BG9:BR9)</f>
        <v>0</v>
      </c>
      <c r="BS107" s="424">
        <f>SUM(PL_monthly!BH9:BS9)</f>
        <v>0</v>
      </c>
      <c r="BT107" s="424">
        <f>SUM(PL_monthly!BI9:BT9)</f>
        <v>0</v>
      </c>
      <c r="BU107" s="424">
        <f>SUM(PL_monthly!BJ9:BU9)</f>
        <v>0</v>
      </c>
      <c r="BV107" s="424">
        <f>SUM(PL_monthly!BK9:BV9)</f>
        <v>0</v>
      </c>
      <c r="BW107" s="424">
        <f>SUM(PL_monthly!BL9:BW9)</f>
        <v>0</v>
      </c>
      <c r="BX107" s="424">
        <f>SUM(PL_monthly!BM9:BX9)</f>
        <v>0</v>
      </c>
      <c r="BY107" s="424">
        <f>SUM(PL_monthly!BN9:BY9)</f>
        <v>0</v>
      </c>
      <c r="BZ107" s="424">
        <f>SUM(PL_monthly!BO9:BZ9)</f>
        <v>0</v>
      </c>
      <c r="CA107" s="424">
        <f>SUM(PL_monthly!BP9:CA9)</f>
        <v>0</v>
      </c>
      <c r="CB107" s="424">
        <f>SUM(PL_monthly!BQ9:CB9)</f>
        <v>0</v>
      </c>
      <c r="CC107" s="424">
        <f>SUM(PL_monthly!BR9:CC9)</f>
        <v>0</v>
      </c>
      <c r="CD107" s="424">
        <f>SUM(PL_monthly!BS9:CD9)</f>
        <v>0</v>
      </c>
      <c r="CE107" s="424">
        <f>SUM(PL_monthly!BT9:CE9)</f>
        <v>0</v>
      </c>
      <c r="CF107" s="424">
        <f>SUM(PL_monthly!BU9:CF9)</f>
        <v>0</v>
      </c>
      <c r="CG107" s="424">
        <f>SUM(PL_monthly!BV9:CG9)</f>
        <v>0</v>
      </c>
      <c r="CH107" s="424">
        <f>SUM(PL_monthly!BW9:CH9)</f>
        <v>0</v>
      </c>
      <c r="CI107" s="424">
        <f>SUM(PL_monthly!BX9:CI9)</f>
        <v>0</v>
      </c>
      <c r="CJ107" s="424">
        <f>SUM(PL_monthly!BY9:CJ9)</f>
        <v>0</v>
      </c>
      <c r="CK107" s="425">
        <f>SUM(PL_monthly!BZ9:CK9)</f>
        <v>0</v>
      </c>
      <c r="CL107" s="77"/>
    </row>
    <row r="108" spans="1:99" ht="11.45" customHeight="1" x14ac:dyDescent="0.2">
      <c r="B108" s="77"/>
      <c r="C108" s="426" t="s">
        <v>830</v>
      </c>
      <c r="D108" s="427" t="s">
        <v>834</v>
      </c>
      <c r="E108" s="428"/>
      <c r="F108" s="428" t="str">
        <f t="shared" ref="F108:P108" si="51">IFERROR(F86/F$107,"n.a.")</f>
        <v>n.a.</v>
      </c>
      <c r="G108" s="428" t="str">
        <f t="shared" si="51"/>
        <v>n.a.</v>
      </c>
      <c r="H108" s="428" t="str">
        <f t="shared" si="51"/>
        <v>n.a.</v>
      </c>
      <c r="I108" s="428" t="str">
        <f t="shared" si="51"/>
        <v>n.a.</v>
      </c>
      <c r="J108" s="428" t="str">
        <f t="shared" si="51"/>
        <v>n.a.</v>
      </c>
      <c r="K108" s="428" t="str">
        <f t="shared" si="51"/>
        <v>n.a.</v>
      </c>
      <c r="L108" s="428" t="str">
        <f t="shared" si="51"/>
        <v>n.a.</v>
      </c>
      <c r="M108" s="428" t="str">
        <f t="shared" si="51"/>
        <v>n.a.</v>
      </c>
      <c r="N108" s="428" t="str">
        <f t="shared" si="51"/>
        <v>n.a.</v>
      </c>
      <c r="O108" s="428" t="str">
        <f t="shared" si="51"/>
        <v>n.a.</v>
      </c>
      <c r="P108" s="428" t="str">
        <f t="shared" si="51"/>
        <v>n.a.</v>
      </c>
      <c r="Q108" s="496">
        <f>IFERROR(Q86/Q$107,"n.a.")</f>
        <v>0.17841840192189365</v>
      </c>
      <c r="R108" s="496" t="str">
        <f t="shared" ref="R108:CC108" si="52">IFERROR(R86/R$107,"n.a.")</f>
        <v>n.a.</v>
      </c>
      <c r="S108" s="496" t="str">
        <f t="shared" si="52"/>
        <v>n.a.</v>
      </c>
      <c r="T108" s="496" t="str">
        <f t="shared" si="52"/>
        <v>n.a.</v>
      </c>
      <c r="U108" s="496" t="str">
        <f t="shared" si="52"/>
        <v>n.a.</v>
      </c>
      <c r="V108" s="496" t="str">
        <f t="shared" si="52"/>
        <v>n.a.</v>
      </c>
      <c r="W108" s="496" t="str">
        <f t="shared" si="52"/>
        <v>n.a.</v>
      </c>
      <c r="X108" s="496" t="str">
        <f t="shared" si="52"/>
        <v>n.a.</v>
      </c>
      <c r="Y108" s="496" t="str">
        <f t="shared" si="52"/>
        <v>n.a.</v>
      </c>
      <c r="Z108" s="496" t="str">
        <f t="shared" si="52"/>
        <v>n.a.</v>
      </c>
      <c r="AA108" s="496" t="str">
        <f t="shared" si="52"/>
        <v>n.a.</v>
      </c>
      <c r="AB108" s="496" t="str">
        <f t="shared" si="52"/>
        <v>n.a.</v>
      </c>
      <c r="AC108" s="496">
        <f t="shared" si="52"/>
        <v>0.21808172888825267</v>
      </c>
      <c r="AD108" s="496">
        <f t="shared" ref="AD108:AT108" si="53">IFERROR(AD86/AD$107,"n.a.")</f>
        <v>0.21109338728767013</v>
      </c>
      <c r="AE108" s="496">
        <f t="shared" si="53"/>
        <v>0.23657202617620079</v>
      </c>
      <c r="AF108" s="496">
        <f t="shared" si="53"/>
        <v>0.2421718377730965</v>
      </c>
      <c r="AG108" s="496">
        <f t="shared" si="53"/>
        <v>0.2314582923961942</v>
      </c>
      <c r="AH108" s="496">
        <f t="shared" si="53"/>
        <v>0.20403246964998042</v>
      </c>
      <c r="AI108" s="496">
        <f t="shared" si="53"/>
        <v>0.20506773255519267</v>
      </c>
      <c r="AJ108" s="496">
        <f t="shared" si="53"/>
        <v>0.14439568195026981</v>
      </c>
      <c r="AK108" s="496">
        <f t="shared" si="53"/>
        <v>0.17224839976119194</v>
      </c>
      <c r="AL108" s="496">
        <f t="shared" si="53"/>
        <v>0.17687095645016926</v>
      </c>
      <c r="AM108" s="496">
        <f t="shared" si="53"/>
        <v>0.20623825781630567</v>
      </c>
      <c r="AN108" s="496">
        <f t="shared" si="53"/>
        <v>0.18846259614344171</v>
      </c>
      <c r="AO108" s="496">
        <f t="shared" si="53"/>
        <v>0.27456524745583083</v>
      </c>
      <c r="AP108" s="496">
        <f t="shared" si="53"/>
        <v>0.25866794764584855</v>
      </c>
      <c r="AQ108" s="496">
        <f t="shared" si="53"/>
        <v>0.27365742700397883</v>
      </c>
      <c r="AR108" s="496">
        <f t="shared" si="53"/>
        <v>0.29288721856944255</v>
      </c>
      <c r="AS108" s="496">
        <f t="shared" si="53"/>
        <v>0.29394171431094651</v>
      </c>
      <c r="AT108" s="496">
        <f t="shared" si="53"/>
        <v>0.31333866462231053</v>
      </c>
      <c r="AU108" s="496">
        <f t="shared" si="52"/>
        <v>0.33824564741777724</v>
      </c>
      <c r="AV108" s="496">
        <f t="shared" si="52"/>
        <v>0.30043751313992823</v>
      </c>
      <c r="AW108" s="496">
        <f t="shared" si="52"/>
        <v>0.33120329567532381</v>
      </c>
      <c r="AX108" s="496">
        <f t="shared" si="52"/>
        <v>0.33277554640048745</v>
      </c>
      <c r="AY108" s="496">
        <f t="shared" si="52"/>
        <v>0.34005538326798485</v>
      </c>
      <c r="AZ108" s="496">
        <f t="shared" si="52"/>
        <v>0.31653310308476024</v>
      </c>
      <c r="BA108" s="496">
        <f t="shared" si="52"/>
        <v>0.28420208198185837</v>
      </c>
      <c r="BB108" s="428">
        <f t="shared" si="52"/>
        <v>0</v>
      </c>
      <c r="BC108" s="428">
        <f t="shared" si="52"/>
        <v>0</v>
      </c>
      <c r="BD108" s="428">
        <f t="shared" si="52"/>
        <v>0</v>
      </c>
      <c r="BE108" s="428">
        <f t="shared" si="52"/>
        <v>0</v>
      </c>
      <c r="BF108" s="428">
        <f t="shared" si="52"/>
        <v>0</v>
      </c>
      <c r="BG108" s="428">
        <f t="shared" si="52"/>
        <v>0</v>
      </c>
      <c r="BH108" s="428">
        <f t="shared" si="52"/>
        <v>0</v>
      </c>
      <c r="BI108" s="428">
        <f t="shared" si="52"/>
        <v>0</v>
      </c>
      <c r="BJ108" s="428">
        <f t="shared" si="52"/>
        <v>0</v>
      </c>
      <c r="BK108" s="428">
        <f t="shared" si="52"/>
        <v>0</v>
      </c>
      <c r="BL108" s="428">
        <f t="shared" si="52"/>
        <v>0</v>
      </c>
      <c r="BM108" s="428" t="str">
        <f t="shared" si="52"/>
        <v>n.a.</v>
      </c>
      <c r="BN108" s="428" t="str">
        <f t="shared" si="52"/>
        <v>n.a.</v>
      </c>
      <c r="BO108" s="428" t="str">
        <f t="shared" si="52"/>
        <v>n.a.</v>
      </c>
      <c r="BP108" s="428" t="str">
        <f t="shared" si="52"/>
        <v>n.a.</v>
      </c>
      <c r="BQ108" s="428" t="str">
        <f t="shared" si="52"/>
        <v>n.a.</v>
      </c>
      <c r="BR108" s="428" t="str">
        <f t="shared" si="52"/>
        <v>n.a.</v>
      </c>
      <c r="BS108" s="428" t="str">
        <f t="shared" si="52"/>
        <v>n.a.</v>
      </c>
      <c r="BT108" s="428" t="str">
        <f t="shared" si="52"/>
        <v>n.a.</v>
      </c>
      <c r="BU108" s="428" t="str">
        <f t="shared" si="52"/>
        <v>n.a.</v>
      </c>
      <c r="BV108" s="428" t="str">
        <f t="shared" si="52"/>
        <v>n.a.</v>
      </c>
      <c r="BW108" s="428" t="str">
        <f t="shared" si="52"/>
        <v>n.a.</v>
      </c>
      <c r="BX108" s="428" t="str">
        <f t="shared" si="52"/>
        <v>n.a.</v>
      </c>
      <c r="BY108" s="428" t="str">
        <f t="shared" si="52"/>
        <v>n.a.</v>
      </c>
      <c r="BZ108" s="428" t="str">
        <f t="shared" si="52"/>
        <v>n.a.</v>
      </c>
      <c r="CA108" s="428" t="str">
        <f t="shared" si="52"/>
        <v>n.a.</v>
      </c>
      <c r="CB108" s="428" t="str">
        <f t="shared" si="52"/>
        <v>n.a.</v>
      </c>
      <c r="CC108" s="428" t="str">
        <f t="shared" si="52"/>
        <v>n.a.</v>
      </c>
      <c r="CD108" s="428" t="str">
        <f t="shared" ref="CD108:CK108" si="54">IFERROR(CD86/CD$107,"n.a.")</f>
        <v>n.a.</v>
      </c>
      <c r="CE108" s="428" t="str">
        <f t="shared" si="54"/>
        <v>n.a.</v>
      </c>
      <c r="CF108" s="428" t="str">
        <f t="shared" si="54"/>
        <v>n.a.</v>
      </c>
      <c r="CG108" s="428" t="str">
        <f t="shared" si="54"/>
        <v>n.a.</v>
      </c>
      <c r="CH108" s="428" t="str">
        <f t="shared" si="54"/>
        <v>n.a.</v>
      </c>
      <c r="CI108" s="428" t="str">
        <f t="shared" si="54"/>
        <v>n.a.</v>
      </c>
      <c r="CJ108" s="428" t="str">
        <f t="shared" si="54"/>
        <v>n.a.</v>
      </c>
      <c r="CK108" s="429" t="str">
        <f t="shared" si="54"/>
        <v>n.a.</v>
      </c>
      <c r="CL108" s="77"/>
    </row>
    <row r="109" spans="1:99" ht="11.45" customHeight="1" x14ac:dyDescent="0.2">
      <c r="B109" s="77"/>
      <c r="C109" s="430" t="s">
        <v>831</v>
      </c>
      <c r="D109" s="431" t="s">
        <v>835</v>
      </c>
      <c r="E109" s="432"/>
      <c r="F109" s="432" t="str">
        <f t="shared" ref="F109:P109" si="55">IFERROR(F88/F$107,"n.a.")</f>
        <v>n.a.</v>
      </c>
      <c r="G109" s="432" t="str">
        <f t="shared" si="55"/>
        <v>n.a.</v>
      </c>
      <c r="H109" s="432" t="str">
        <f t="shared" si="55"/>
        <v>n.a.</v>
      </c>
      <c r="I109" s="432" t="str">
        <f t="shared" si="55"/>
        <v>n.a.</v>
      </c>
      <c r="J109" s="432" t="str">
        <f t="shared" si="55"/>
        <v>n.a.</v>
      </c>
      <c r="K109" s="432" t="str">
        <f t="shared" si="55"/>
        <v>n.a.</v>
      </c>
      <c r="L109" s="432" t="str">
        <f t="shared" si="55"/>
        <v>n.a.</v>
      </c>
      <c r="M109" s="432" t="str">
        <f t="shared" si="55"/>
        <v>n.a.</v>
      </c>
      <c r="N109" s="432" t="str">
        <f t="shared" si="55"/>
        <v>n.a.</v>
      </c>
      <c r="O109" s="432" t="str">
        <f t="shared" si="55"/>
        <v>n.a.</v>
      </c>
      <c r="P109" s="432" t="str">
        <f t="shared" si="55"/>
        <v>n.a.</v>
      </c>
      <c r="Q109" s="497">
        <f>IFERROR(Q88/Q$107,"n.a.")</f>
        <v>0.12379187375827175</v>
      </c>
      <c r="R109" s="497" t="str">
        <f t="shared" ref="R109:CC109" si="56">IFERROR(R88/R$107,"n.a.")</f>
        <v>n.a.</v>
      </c>
      <c r="S109" s="497" t="str">
        <f t="shared" si="56"/>
        <v>n.a.</v>
      </c>
      <c r="T109" s="497" t="str">
        <f t="shared" si="56"/>
        <v>n.a.</v>
      </c>
      <c r="U109" s="497" t="str">
        <f t="shared" si="56"/>
        <v>n.a.</v>
      </c>
      <c r="V109" s="497" t="str">
        <f t="shared" si="56"/>
        <v>n.a.</v>
      </c>
      <c r="W109" s="497" t="str">
        <f t="shared" si="56"/>
        <v>n.a.</v>
      </c>
      <c r="X109" s="497" t="str">
        <f t="shared" si="56"/>
        <v>n.a.</v>
      </c>
      <c r="Y109" s="497" t="str">
        <f t="shared" si="56"/>
        <v>n.a.</v>
      </c>
      <c r="Z109" s="497" t="str">
        <f t="shared" si="56"/>
        <v>n.a.</v>
      </c>
      <c r="AA109" s="497" t="str">
        <f t="shared" si="56"/>
        <v>n.a.</v>
      </c>
      <c r="AB109" s="497" t="str">
        <f t="shared" si="56"/>
        <v>n.a.</v>
      </c>
      <c r="AC109" s="497">
        <f t="shared" si="56"/>
        <v>0.19504847088622762</v>
      </c>
      <c r="AD109" s="497">
        <f t="shared" ref="AD109:AT109" si="57">IFERROR(AD88/AD$107,"n.a.")</f>
        <v>0.19335034170125276</v>
      </c>
      <c r="AE109" s="497">
        <f t="shared" si="57"/>
        <v>0.21461071898083789</v>
      </c>
      <c r="AF109" s="497">
        <f t="shared" si="57"/>
        <v>0.20968832612440411</v>
      </c>
      <c r="AG109" s="497">
        <f t="shared" si="57"/>
        <v>0.1971224966691224</v>
      </c>
      <c r="AH109" s="497">
        <f t="shared" si="57"/>
        <v>0.17294208122020141</v>
      </c>
      <c r="AI109" s="497">
        <f t="shared" si="57"/>
        <v>0.1749614315946792</v>
      </c>
      <c r="AJ109" s="497">
        <f t="shared" si="57"/>
        <v>0.12297653321112036</v>
      </c>
      <c r="AK109" s="497">
        <f t="shared" si="57"/>
        <v>0.14754835195134622</v>
      </c>
      <c r="AL109" s="497">
        <f t="shared" si="57"/>
        <v>0.15104221409231205</v>
      </c>
      <c r="AM109" s="497">
        <f t="shared" si="57"/>
        <v>0.18405804157398359</v>
      </c>
      <c r="AN109" s="497">
        <f t="shared" si="57"/>
        <v>0.16741434964493729</v>
      </c>
      <c r="AO109" s="497">
        <f t="shared" si="57"/>
        <v>0.25769689353208219</v>
      </c>
      <c r="AP109" s="497">
        <f t="shared" si="57"/>
        <v>0.24169862647964638</v>
      </c>
      <c r="AQ109" s="497">
        <f t="shared" si="57"/>
        <v>0.25559947232143548</v>
      </c>
      <c r="AR109" s="497">
        <f t="shared" si="57"/>
        <v>0.27211238021649115</v>
      </c>
      <c r="AS109" s="497">
        <f t="shared" si="57"/>
        <v>0.27367589311662577</v>
      </c>
      <c r="AT109" s="497">
        <f t="shared" si="57"/>
        <v>0.29279980278597662</v>
      </c>
      <c r="AU109" s="497">
        <f t="shared" si="56"/>
        <v>0.31624749247711542</v>
      </c>
      <c r="AV109" s="497">
        <f t="shared" si="56"/>
        <v>0.26073049715616997</v>
      </c>
      <c r="AW109" s="497">
        <f t="shared" si="56"/>
        <v>0.29396223312456909</v>
      </c>
      <c r="AX109" s="497">
        <f t="shared" si="56"/>
        <v>0.30046095368093856</v>
      </c>
      <c r="AY109" s="497">
        <f t="shared" si="56"/>
        <v>0.31714735237589547</v>
      </c>
      <c r="AZ109" s="497">
        <f t="shared" si="56"/>
        <v>0.2942846288890098</v>
      </c>
      <c r="BA109" s="497">
        <f t="shared" si="56"/>
        <v>0.26424026094079273</v>
      </c>
      <c r="BB109" s="432">
        <f t="shared" si="56"/>
        <v>0</v>
      </c>
      <c r="BC109" s="432">
        <f t="shared" si="56"/>
        <v>0</v>
      </c>
      <c r="BD109" s="432">
        <f t="shared" si="56"/>
        <v>0</v>
      </c>
      <c r="BE109" s="432">
        <f t="shared" si="56"/>
        <v>0</v>
      </c>
      <c r="BF109" s="432">
        <f t="shared" si="56"/>
        <v>0</v>
      </c>
      <c r="BG109" s="432">
        <f t="shared" si="56"/>
        <v>0</v>
      </c>
      <c r="BH109" s="432">
        <f t="shared" si="56"/>
        <v>0</v>
      </c>
      <c r="BI109" s="432">
        <f t="shared" si="56"/>
        <v>0</v>
      </c>
      <c r="BJ109" s="432">
        <f t="shared" si="56"/>
        <v>0</v>
      </c>
      <c r="BK109" s="432">
        <f t="shared" si="56"/>
        <v>0</v>
      </c>
      <c r="BL109" s="432">
        <f t="shared" si="56"/>
        <v>0</v>
      </c>
      <c r="BM109" s="432" t="str">
        <f t="shared" si="56"/>
        <v>n.a.</v>
      </c>
      <c r="BN109" s="432" t="str">
        <f t="shared" si="56"/>
        <v>n.a.</v>
      </c>
      <c r="BO109" s="432" t="str">
        <f t="shared" si="56"/>
        <v>n.a.</v>
      </c>
      <c r="BP109" s="432" t="str">
        <f t="shared" si="56"/>
        <v>n.a.</v>
      </c>
      <c r="BQ109" s="432" t="str">
        <f t="shared" si="56"/>
        <v>n.a.</v>
      </c>
      <c r="BR109" s="432" t="str">
        <f t="shared" si="56"/>
        <v>n.a.</v>
      </c>
      <c r="BS109" s="432" t="str">
        <f t="shared" si="56"/>
        <v>n.a.</v>
      </c>
      <c r="BT109" s="432" t="str">
        <f t="shared" si="56"/>
        <v>n.a.</v>
      </c>
      <c r="BU109" s="432" t="str">
        <f t="shared" si="56"/>
        <v>n.a.</v>
      </c>
      <c r="BV109" s="432" t="str">
        <f t="shared" si="56"/>
        <v>n.a.</v>
      </c>
      <c r="BW109" s="432" t="str">
        <f t="shared" si="56"/>
        <v>n.a.</v>
      </c>
      <c r="BX109" s="432" t="str">
        <f t="shared" si="56"/>
        <v>n.a.</v>
      </c>
      <c r="BY109" s="432" t="str">
        <f t="shared" si="56"/>
        <v>n.a.</v>
      </c>
      <c r="BZ109" s="432" t="str">
        <f t="shared" si="56"/>
        <v>n.a.</v>
      </c>
      <c r="CA109" s="432" t="str">
        <f t="shared" si="56"/>
        <v>n.a.</v>
      </c>
      <c r="CB109" s="432" t="str">
        <f t="shared" si="56"/>
        <v>n.a.</v>
      </c>
      <c r="CC109" s="432" t="str">
        <f t="shared" si="56"/>
        <v>n.a.</v>
      </c>
      <c r="CD109" s="432" t="str">
        <f t="shared" ref="CD109:CK109" si="58">IFERROR(CD88/CD$107,"n.a.")</f>
        <v>n.a.</v>
      </c>
      <c r="CE109" s="432" t="str">
        <f t="shared" si="58"/>
        <v>n.a.</v>
      </c>
      <c r="CF109" s="432" t="str">
        <f t="shared" si="58"/>
        <v>n.a.</v>
      </c>
      <c r="CG109" s="432" t="str">
        <f t="shared" si="58"/>
        <v>n.a.</v>
      </c>
      <c r="CH109" s="432" t="str">
        <f t="shared" si="58"/>
        <v>n.a.</v>
      </c>
      <c r="CI109" s="432" t="str">
        <f t="shared" si="58"/>
        <v>n.a.</v>
      </c>
      <c r="CJ109" s="432" t="str">
        <f t="shared" si="58"/>
        <v>n.a.</v>
      </c>
      <c r="CK109" s="433" t="str">
        <f t="shared" si="58"/>
        <v>n.a.</v>
      </c>
      <c r="CL109" s="77"/>
    </row>
    <row r="110" spans="1:99" ht="11.45" customHeight="1" x14ac:dyDescent="0.2">
      <c r="B110" s="77"/>
      <c r="CL110" s="77"/>
    </row>
    <row r="111" spans="1:99" ht="11.45" customHeight="1" x14ac:dyDescent="0.2">
      <c r="B111" s="77"/>
      <c r="I111" s="392">
        <f>Cockpit!C22</f>
        <v>46022</v>
      </c>
      <c r="J111" s="392">
        <f>Cockpit!C22</f>
        <v>46022</v>
      </c>
      <c r="K111" s="392">
        <f>Cockpit!C22</f>
        <v>46022</v>
      </c>
      <c r="L111" s="392">
        <f>Cockpit!C22</f>
        <v>46022</v>
      </c>
      <c r="M111" s="392">
        <f>Cockpit!C22</f>
        <v>46022</v>
      </c>
      <c r="CL111" s="77"/>
    </row>
    <row r="112" spans="1:99" ht="11.45" hidden="1" customHeight="1" outlineLevel="1" x14ac:dyDescent="0.2">
      <c r="B112" s="77"/>
      <c r="C112" s="236" t="str">
        <f>Cockpit!$C$4</f>
        <v>Projekt Namur</v>
      </c>
      <c r="D112" s="230"/>
      <c r="E112" s="230"/>
      <c r="F112" s="230">
        <f>Cockpit!D33</f>
        <v>44926</v>
      </c>
      <c r="G112" s="230">
        <f>Cockpit!E33</f>
        <v>45291</v>
      </c>
      <c r="H112" s="230">
        <f>Cockpit!F33</f>
        <v>45657</v>
      </c>
      <c r="I112" s="333" t="s">
        <v>608</v>
      </c>
      <c r="J112" s="333" t="s">
        <v>607</v>
      </c>
      <c r="K112" s="333" t="s">
        <v>606</v>
      </c>
      <c r="L112" s="333" t="s">
        <v>605</v>
      </c>
      <c r="M112" s="333" t="s">
        <v>604</v>
      </c>
      <c r="O112" s="236" t="str">
        <f>Cockpit!$C$4</f>
        <v>Projekt Namur</v>
      </c>
      <c r="P112" s="230"/>
      <c r="Q112" s="230"/>
      <c r="R112" s="230">
        <f t="shared" ref="R112:Y115" si="59">F112</f>
        <v>44926</v>
      </c>
      <c r="S112" s="230">
        <f t="shared" si="59"/>
        <v>45291</v>
      </c>
      <c r="T112" s="230">
        <f t="shared" si="59"/>
        <v>45657</v>
      </c>
      <c r="U112" s="333" t="str">
        <f t="shared" si="59"/>
        <v>Letzte 12</v>
      </c>
      <c r="V112" s="333" t="str">
        <f t="shared" si="59"/>
        <v>Letzte 9</v>
      </c>
      <c r="W112" s="333" t="str">
        <f t="shared" si="59"/>
        <v>Letzte 6</v>
      </c>
      <c r="X112" s="333" t="str">
        <f t="shared" si="59"/>
        <v>Letzte 3</v>
      </c>
      <c r="Y112" s="333" t="str">
        <f t="shared" si="59"/>
        <v>Letzter</v>
      </c>
      <c r="CL112" s="77"/>
    </row>
    <row r="113" spans="2:90" ht="11.45" hidden="1" customHeight="1" outlineLevel="1" x14ac:dyDescent="0.2">
      <c r="B113" s="77"/>
      <c r="C113" s="236" t="str">
        <f>"in T"&amp;Cockpit!$C$5</f>
        <v>in TEUR</v>
      </c>
      <c r="D113" s="230"/>
      <c r="E113" s="230"/>
      <c r="F113" s="230" t="str">
        <f>Cockpit!D34</f>
        <v>IST</v>
      </c>
      <c r="G113" s="230" t="str">
        <f>Cockpit!E34</f>
        <v>IST</v>
      </c>
      <c r="H113" s="230" t="str">
        <f>Cockpit!F34</f>
        <v>IST</v>
      </c>
      <c r="I113" s="333" t="s">
        <v>603</v>
      </c>
      <c r="J113" s="333" t="s">
        <v>603</v>
      </c>
      <c r="K113" s="333" t="s">
        <v>603</v>
      </c>
      <c r="L113" s="333" t="s">
        <v>603</v>
      </c>
      <c r="M113" s="333" t="s">
        <v>602</v>
      </c>
      <c r="O113" s="236" t="str">
        <f>"in T"&amp;Cockpit!$C$5</f>
        <v>in TEUR</v>
      </c>
      <c r="P113" s="230"/>
      <c r="Q113" s="230"/>
      <c r="R113" s="230" t="str">
        <f t="shared" si="59"/>
        <v>IST</v>
      </c>
      <c r="S113" s="230" t="str">
        <f t="shared" si="59"/>
        <v>IST</v>
      </c>
      <c r="T113" s="230" t="str">
        <f t="shared" si="59"/>
        <v>IST</v>
      </c>
      <c r="U113" s="333" t="str">
        <f t="shared" si="59"/>
        <v>Monate</v>
      </c>
      <c r="V113" s="333" t="str">
        <f t="shared" si="59"/>
        <v>Monate</v>
      </c>
      <c r="W113" s="333" t="str">
        <f t="shared" si="59"/>
        <v>Monate</v>
      </c>
      <c r="X113" s="333" t="str">
        <f t="shared" si="59"/>
        <v>Monate</v>
      </c>
      <c r="Y113" s="333" t="str">
        <f t="shared" si="59"/>
        <v>Monat</v>
      </c>
      <c r="CL113" s="77"/>
    </row>
    <row r="114" spans="2:90" ht="11.45" customHeight="1" collapsed="1" x14ac:dyDescent="0.2">
      <c r="B114" s="77"/>
      <c r="C114" s="233"/>
      <c r="D114" s="232" t="str">
        <f>Cockpit!$C$4</f>
        <v>Projekt Namur</v>
      </c>
      <c r="E114" s="233"/>
      <c r="F114" s="233">
        <f>Cockpit!D33</f>
        <v>44926</v>
      </c>
      <c r="G114" s="233">
        <f>Cockpit!E33</f>
        <v>45291</v>
      </c>
      <c r="H114" s="233">
        <f>Cockpit!F33</f>
        <v>45657</v>
      </c>
      <c r="I114" s="333" t="s">
        <v>601</v>
      </c>
      <c r="J114" s="333" t="s">
        <v>600</v>
      </c>
      <c r="K114" s="333" t="s">
        <v>599</v>
      </c>
      <c r="L114" s="333" t="s">
        <v>598</v>
      </c>
      <c r="M114" s="333" t="s">
        <v>597</v>
      </c>
      <c r="O114" s="233"/>
      <c r="P114" s="232" t="str">
        <f>Cockpit!$C$4</f>
        <v>Projekt Namur</v>
      </c>
      <c r="Q114" s="232"/>
      <c r="R114" s="233">
        <f t="shared" si="59"/>
        <v>44926</v>
      </c>
      <c r="S114" s="233">
        <f t="shared" si="59"/>
        <v>45291</v>
      </c>
      <c r="T114" s="233">
        <f t="shared" si="59"/>
        <v>45657</v>
      </c>
      <c r="U114" s="333" t="str">
        <f t="shared" si="59"/>
        <v>Last 12</v>
      </c>
      <c r="V114" s="333" t="str">
        <f t="shared" si="59"/>
        <v>Last 9</v>
      </c>
      <c r="W114" s="333" t="str">
        <f t="shared" si="59"/>
        <v>Last 6</v>
      </c>
      <c r="X114" s="333" t="str">
        <f t="shared" si="59"/>
        <v>Last 3</v>
      </c>
      <c r="Y114" s="333" t="str">
        <f t="shared" si="59"/>
        <v>Last</v>
      </c>
      <c r="CL114" s="77"/>
    </row>
    <row r="115" spans="2:90" ht="11.45" customHeight="1" x14ac:dyDescent="0.2">
      <c r="B115" s="77"/>
      <c r="C115" s="233"/>
      <c r="D115" s="232" t="str">
        <f>"in k"&amp;Cockpit!$C$5</f>
        <v>in kEUR</v>
      </c>
      <c r="E115" s="233"/>
      <c r="F115" s="233" t="str">
        <f>Cockpit!D34</f>
        <v>IST</v>
      </c>
      <c r="G115" s="233" t="str">
        <f>Cockpit!E34</f>
        <v>IST</v>
      </c>
      <c r="H115" s="233" t="str">
        <f>Cockpit!F34</f>
        <v>IST</v>
      </c>
      <c r="I115" s="333" t="s">
        <v>596</v>
      </c>
      <c r="J115" s="333" t="s">
        <v>596</v>
      </c>
      <c r="K115" s="333" t="s">
        <v>596</v>
      </c>
      <c r="L115" s="333" t="s">
        <v>596</v>
      </c>
      <c r="M115" s="333" t="s">
        <v>595</v>
      </c>
      <c r="O115" s="233"/>
      <c r="P115" s="232" t="str">
        <f>"in k"&amp;Cockpit!$C$5</f>
        <v>in kEUR</v>
      </c>
      <c r="Q115" s="232"/>
      <c r="R115" s="233" t="str">
        <f t="shared" si="59"/>
        <v>IST</v>
      </c>
      <c r="S115" s="233" t="str">
        <f t="shared" si="59"/>
        <v>IST</v>
      </c>
      <c r="T115" s="233" t="str">
        <f t="shared" si="59"/>
        <v>IST</v>
      </c>
      <c r="U115" s="333" t="str">
        <f t="shared" si="59"/>
        <v>months</v>
      </c>
      <c r="V115" s="333" t="str">
        <f t="shared" si="59"/>
        <v>months</v>
      </c>
      <c r="W115" s="333" t="str">
        <f t="shared" si="59"/>
        <v>months</v>
      </c>
      <c r="X115" s="333" t="str">
        <f t="shared" si="59"/>
        <v>months</v>
      </c>
      <c r="Y115" s="333" t="str">
        <f t="shared" si="59"/>
        <v>month</v>
      </c>
      <c r="CL115" s="77"/>
    </row>
    <row r="116" spans="2:90" ht="4.5" customHeight="1" x14ac:dyDescent="0.2">
      <c r="B116" s="77"/>
      <c r="C116" s="332"/>
      <c r="D116" s="332"/>
      <c r="E116" s="77"/>
      <c r="F116" s="77"/>
      <c r="G116" s="77"/>
      <c r="H116" s="77"/>
      <c r="I116" s="77"/>
      <c r="J116" s="77"/>
      <c r="K116" s="77"/>
      <c r="L116" s="77"/>
      <c r="M116" s="77"/>
      <c r="O116" s="332"/>
      <c r="P116" s="332"/>
      <c r="Q116" s="332"/>
      <c r="R116" s="77"/>
      <c r="S116" s="77"/>
      <c r="T116" s="77"/>
      <c r="U116" s="77"/>
      <c r="V116" s="77"/>
      <c r="W116" s="77"/>
      <c r="X116" s="77"/>
      <c r="Y116" s="77"/>
      <c r="CL116" s="77"/>
    </row>
    <row r="117" spans="2:90" ht="11.45" customHeight="1" x14ac:dyDescent="0.2">
      <c r="B117" s="77"/>
      <c r="C117" s="228" t="s">
        <v>594</v>
      </c>
      <c r="D117" s="228" t="s">
        <v>593</v>
      </c>
      <c r="E117" s="77"/>
      <c r="F117" s="77"/>
      <c r="G117" s="77"/>
      <c r="H117" s="77"/>
      <c r="I117" s="77"/>
      <c r="J117" s="77"/>
      <c r="K117" s="77"/>
      <c r="L117" s="77"/>
      <c r="M117" s="77"/>
      <c r="O117" s="228" t="s">
        <v>833</v>
      </c>
      <c r="P117" s="228"/>
      <c r="Q117" s="228"/>
      <c r="R117" s="77"/>
      <c r="S117" s="77"/>
      <c r="T117" s="77"/>
      <c r="U117" s="77"/>
      <c r="V117" s="77"/>
      <c r="W117" s="77"/>
      <c r="X117" s="77"/>
      <c r="Y117" s="77"/>
      <c r="CL117" s="77"/>
    </row>
    <row r="118" spans="2:90" ht="4.5" customHeight="1" x14ac:dyDescent="0.2">
      <c r="B118" s="77"/>
      <c r="C118" s="228"/>
      <c r="D118" s="228"/>
      <c r="E118" s="77"/>
      <c r="F118" s="77"/>
      <c r="G118" s="77"/>
      <c r="H118" s="77"/>
      <c r="I118" s="77"/>
      <c r="J118" s="77"/>
      <c r="K118" s="77"/>
      <c r="L118" s="77"/>
      <c r="M118" s="77"/>
      <c r="O118" s="228"/>
      <c r="P118" s="228"/>
      <c r="Q118" s="228"/>
      <c r="R118" s="77"/>
      <c r="S118" s="77"/>
      <c r="T118" s="77"/>
      <c r="U118" s="77"/>
      <c r="V118" s="77"/>
      <c r="W118" s="77"/>
      <c r="X118" s="77"/>
      <c r="Y118" s="77"/>
      <c r="CL118" s="77"/>
    </row>
    <row r="119" spans="2:90" ht="11.45" customHeight="1" x14ac:dyDescent="0.2">
      <c r="B119" s="77"/>
      <c r="C119" s="303" t="s">
        <v>544</v>
      </c>
      <c r="D119" s="303" t="s">
        <v>592</v>
      </c>
      <c r="E119" s="376"/>
      <c r="F119" s="376" cm="1">
        <f t="array" ref="F119">MAX(INDEX($108:$108,_xlfn.SEQUENCE(1,12,MATCH($F$114,$6:$6,0)-11)))</f>
        <v>0.17841840192189365</v>
      </c>
      <c r="G119" s="376" cm="1">
        <f t="array" ref="G119">MAX(INDEX($108:$108,_xlfn.SEQUENCE(1,12,MATCH($G$114,$6:$6,0)-11)))</f>
        <v>0.21808172888825267</v>
      </c>
      <c r="H119" s="376" cm="1">
        <f t="array" ref="H119">MAX(INDEX($108:$108,_xlfn.SEQUENCE(1,12,MATCH($H$114,$6:$6,0)-11)))</f>
        <v>0.27456524745583083</v>
      </c>
      <c r="I119" s="376" cm="1">
        <f t="array" ref="I119">MAX(INDEX($108:$108,_xlfn.SEQUENCE(1,12,MATCH($I$111,$6:$6,0)-11)))</f>
        <v>0.34005538326798485</v>
      </c>
      <c r="J119" s="376" cm="1">
        <f t="array" ref="J119">MAX(INDEX($108:$108,_xlfn.SEQUENCE(1,9,MATCH($J$111,$6:$6,0)-8)))</f>
        <v>0.34005538326798485</v>
      </c>
      <c r="K119" s="376" cm="1">
        <f t="array" ref="K119">MAX(INDEX($108:$108,_xlfn.SEQUENCE(1,6,MATCH($K$111,$6:$6,0)-5)))</f>
        <v>0.34005538326798485</v>
      </c>
      <c r="L119" s="376" cm="1">
        <f t="array" ref="L119">MAX(INDEX($108:$108,_xlfn.SEQUENCE(1,3,MATCH($L$111,$6:$6,0)-2)))</f>
        <v>0.34005538326798485</v>
      </c>
      <c r="M119" s="376">
        <f>IF(INDEX($108:$108,MATCH($M$111,$6:$6,0))="n.a.",,INDEX($108:$108,MATCH($M$111,$6:$6,0)))</f>
        <v>0.28420208198185837</v>
      </c>
      <c r="O119" s="303" t="str">
        <f>C119</f>
        <v>Max</v>
      </c>
      <c r="P119" s="303" t="str">
        <f>D119</f>
        <v>High</v>
      </c>
      <c r="Q119" s="303"/>
      <c r="R119" s="377">
        <f t="shared" ref="R119:Y119" si="60">IF(INDEX($107:$107,MATCH($M$111,$6:$6,0))="n.a.",,INDEX($107:$107,MATCH($M$111,$6:$6,0)))*F119</f>
        <v>2678.0117347836381</v>
      </c>
      <c r="S119" s="377">
        <f t="shared" si="60"/>
        <v>3273.3474956261171</v>
      </c>
      <c r="T119" s="377">
        <f t="shared" si="60"/>
        <v>4121.1497621886356</v>
      </c>
      <c r="U119" s="377">
        <f t="shared" si="60"/>
        <v>5104.138906404266</v>
      </c>
      <c r="V119" s="377">
        <f t="shared" si="60"/>
        <v>5104.138906404266</v>
      </c>
      <c r="W119" s="377">
        <f t="shared" si="60"/>
        <v>5104.138906404266</v>
      </c>
      <c r="X119" s="377">
        <f t="shared" si="60"/>
        <v>5104.138906404266</v>
      </c>
      <c r="Y119" s="377">
        <f t="shared" si="60"/>
        <v>4265.7960299999995</v>
      </c>
      <c r="CL119" s="77"/>
    </row>
    <row r="120" spans="2:90" ht="11.45" customHeight="1" x14ac:dyDescent="0.2">
      <c r="B120" s="77"/>
      <c r="C120" s="303"/>
      <c r="D120" s="303"/>
      <c r="E120" s="305"/>
      <c r="F120" s="305" t="s">
        <v>543</v>
      </c>
      <c r="G120" s="305" t="s">
        <v>543</v>
      </c>
      <c r="H120" s="305" t="s">
        <v>543</v>
      </c>
      <c r="I120" s="305" t="s">
        <v>543</v>
      </c>
      <c r="J120" s="305" t="s">
        <v>543</v>
      </c>
      <c r="K120" s="305" t="s">
        <v>543</v>
      </c>
      <c r="L120" s="305" t="s">
        <v>543</v>
      </c>
      <c r="M120" s="305" t="s">
        <v>543</v>
      </c>
      <c r="O120" s="303"/>
      <c r="P120" s="303"/>
      <c r="Q120" s="303"/>
      <c r="R120" s="305"/>
      <c r="S120" s="305"/>
      <c r="T120" s="305"/>
      <c r="U120" s="305"/>
      <c r="V120" s="305"/>
      <c r="W120" s="305"/>
      <c r="X120" s="305"/>
      <c r="Y120" s="305"/>
      <c r="CL120" s="77"/>
    </row>
    <row r="121" spans="2:90" ht="4.5" customHeight="1" x14ac:dyDescent="0.2">
      <c r="B121" s="77"/>
      <c r="C121" s="37"/>
      <c r="D121" s="37"/>
      <c r="E121" s="304"/>
      <c r="F121" s="304"/>
      <c r="G121" s="304"/>
      <c r="H121" s="304"/>
      <c r="I121" s="304"/>
      <c r="J121" s="304"/>
      <c r="K121" s="304"/>
      <c r="L121" s="304"/>
      <c r="M121" s="304"/>
      <c r="O121" s="37"/>
      <c r="P121" s="37"/>
      <c r="Q121" s="37"/>
      <c r="R121" s="304"/>
      <c r="S121" s="304"/>
      <c r="T121" s="304"/>
      <c r="U121" s="304"/>
      <c r="V121" s="304"/>
      <c r="W121" s="304"/>
      <c r="X121" s="304"/>
      <c r="Y121" s="304"/>
      <c r="CL121" s="77"/>
    </row>
    <row r="122" spans="2:90" ht="11.45" customHeight="1" x14ac:dyDescent="0.2">
      <c r="B122" s="77"/>
      <c r="C122" s="303" t="s">
        <v>545</v>
      </c>
      <c r="D122" s="303" t="s">
        <v>591</v>
      </c>
      <c r="E122" s="376"/>
      <c r="F122" s="376" cm="1">
        <f t="array" ref="F122">MIN(INDEX($108:$108,_xlfn.SEQUENCE(1,12,MATCH($F$114,$6:$6,0)-11)))</f>
        <v>0.17841840192189365</v>
      </c>
      <c r="G122" s="376" cm="1">
        <f t="array" ref="G122">MIN(INDEX($108:$108,_xlfn.SEQUENCE(1,12,MATCH($G$114,$6:$6,0)-11)))</f>
        <v>0.21808172888825267</v>
      </c>
      <c r="H122" s="376" cm="1">
        <f t="array" ref="H122">MIN(INDEX($108:$108,_xlfn.SEQUENCE(1,12,MATCH($H$114,$6:$6,0)-11)))</f>
        <v>0.14439568195026981</v>
      </c>
      <c r="I122" s="376" cm="1">
        <f t="array" ref="I122">MIN(INDEX($108:$108,_xlfn.SEQUENCE(1,12,MATCH($I$111,$6:$6,0)-11)))</f>
        <v>0.25866794764584855</v>
      </c>
      <c r="J122" s="376" cm="1">
        <f t="array" ref="J122">MIN(INDEX($108:$108,_xlfn.SEQUENCE(1,9,MATCH($J$111,$6:$6,0)-8)))</f>
        <v>0.28420208198185837</v>
      </c>
      <c r="K122" s="376" cm="1">
        <f t="array" ref="K122">MIN(INDEX($108:$108,_xlfn.SEQUENCE(1,6,MATCH($K$111,$6:$6,0)-5)))</f>
        <v>0.28420208198185837</v>
      </c>
      <c r="L122" s="376" cm="1">
        <f t="array" ref="L122">MIN(INDEX($108:$108,_xlfn.SEQUENCE(1,3,MATCH($L$111,$6:$6,0)-2)))</f>
        <v>0.28420208198185837</v>
      </c>
      <c r="M122" s="376">
        <f>IF(INDEX($108:$108,MATCH($M$111,$6:$6,0))="n.a.",,INDEX($108:$108,MATCH($M$111,$6:$6,0)))</f>
        <v>0.28420208198185837</v>
      </c>
      <c r="O122" s="303" t="str">
        <f>C122</f>
        <v>Min</v>
      </c>
      <c r="P122" s="303" t="str">
        <f>D122</f>
        <v>Low</v>
      </c>
      <c r="Q122" s="303"/>
      <c r="R122" s="377">
        <f t="shared" ref="R122:Y122" si="61">IF(INDEX($107:$107,MATCH($M$111,$6:$6,0))="n.a.",,INDEX($107:$107,MATCH($M$111,$6:$6,0)))*F122</f>
        <v>2678.0117347836381</v>
      </c>
      <c r="S122" s="377">
        <f t="shared" si="61"/>
        <v>3273.3474956261171</v>
      </c>
      <c r="T122" s="377">
        <f t="shared" si="61"/>
        <v>2167.3399523228077</v>
      </c>
      <c r="U122" s="377">
        <f t="shared" si="61"/>
        <v>3882.5356114961328</v>
      </c>
      <c r="V122" s="377">
        <f t="shared" si="61"/>
        <v>4265.7960299999995</v>
      </c>
      <c r="W122" s="377">
        <f t="shared" si="61"/>
        <v>4265.7960299999995</v>
      </c>
      <c r="X122" s="377">
        <f t="shared" si="61"/>
        <v>4265.7960299999995</v>
      </c>
      <c r="Y122" s="377">
        <f t="shared" si="61"/>
        <v>4265.7960299999995</v>
      </c>
      <c r="CL122" s="77"/>
    </row>
    <row r="123" spans="2:90" ht="11.45" customHeight="1" x14ac:dyDescent="0.2">
      <c r="B123" s="77"/>
      <c r="C123" s="303"/>
      <c r="D123" s="303"/>
      <c r="E123" s="305"/>
      <c r="F123" s="305" t="s">
        <v>543</v>
      </c>
      <c r="G123" s="305" t="s">
        <v>543</v>
      </c>
      <c r="H123" s="305" t="s">
        <v>543</v>
      </c>
      <c r="I123" s="305" t="s">
        <v>543</v>
      </c>
      <c r="J123" s="305" t="s">
        <v>543</v>
      </c>
      <c r="K123" s="305" t="s">
        <v>543</v>
      </c>
      <c r="L123" s="305" t="s">
        <v>543</v>
      </c>
      <c r="M123" s="305" t="s">
        <v>543</v>
      </c>
      <c r="O123" s="303"/>
      <c r="P123" s="303"/>
      <c r="Q123" s="303"/>
      <c r="R123" s="305"/>
      <c r="S123" s="305"/>
      <c r="T123" s="305"/>
      <c r="U123" s="305"/>
      <c r="V123" s="305"/>
      <c r="W123" s="305"/>
      <c r="X123" s="305"/>
      <c r="Y123" s="305"/>
      <c r="CL123" s="77"/>
    </row>
    <row r="124" spans="2:90" ht="4.5" customHeight="1" x14ac:dyDescent="0.2">
      <c r="B124" s="77"/>
      <c r="C124" s="37"/>
      <c r="D124" s="37"/>
      <c r="E124" s="304"/>
      <c r="F124" s="304"/>
      <c r="G124" s="304"/>
      <c r="H124" s="304"/>
      <c r="I124" s="304"/>
      <c r="J124" s="304"/>
      <c r="K124" s="304"/>
      <c r="L124" s="304"/>
      <c r="M124" s="304"/>
      <c r="O124" s="37"/>
      <c r="P124" s="37"/>
      <c r="Q124" s="37"/>
      <c r="R124" s="304"/>
      <c r="S124" s="304"/>
      <c r="T124" s="304"/>
      <c r="U124" s="304"/>
      <c r="V124" s="304"/>
      <c r="W124" s="304"/>
      <c r="X124" s="304"/>
      <c r="Y124" s="304"/>
      <c r="CL124" s="77"/>
    </row>
    <row r="125" spans="2:90" ht="11.45" customHeight="1" x14ac:dyDescent="0.2">
      <c r="B125" s="77"/>
      <c r="C125" s="303" t="s">
        <v>590</v>
      </c>
      <c r="D125" s="303" t="s">
        <v>542</v>
      </c>
      <c r="E125" s="376"/>
      <c r="F125" s="376">
        <f t="shared" ref="F125:M125" si="62">F119-F122</f>
        <v>0</v>
      </c>
      <c r="G125" s="376">
        <f t="shared" si="62"/>
        <v>0</v>
      </c>
      <c r="H125" s="376">
        <f t="shared" si="62"/>
        <v>0.13016956550556102</v>
      </c>
      <c r="I125" s="376">
        <f t="shared" si="62"/>
        <v>8.1387435622136295E-2</v>
      </c>
      <c r="J125" s="376">
        <f t="shared" si="62"/>
        <v>5.5853301286126478E-2</v>
      </c>
      <c r="K125" s="376">
        <f t="shared" si="62"/>
        <v>5.5853301286126478E-2</v>
      </c>
      <c r="L125" s="376">
        <f t="shared" si="62"/>
        <v>5.5853301286126478E-2</v>
      </c>
      <c r="M125" s="376">
        <f t="shared" si="62"/>
        <v>0</v>
      </c>
      <c r="O125" s="303" t="str">
        <f>C125</f>
        <v>Bandbreite</v>
      </c>
      <c r="P125" s="303" t="str">
        <f>D125</f>
        <v>Swing</v>
      </c>
      <c r="Q125" s="303"/>
      <c r="R125" s="377">
        <f t="shared" ref="R125:Y125" si="63">IF(INDEX($107:$107,MATCH($M$111,$6:$6,0))="n.a.",,INDEX($107:$107,MATCH($M$111,$6:$6,0)))*F125</f>
        <v>0</v>
      </c>
      <c r="S125" s="377">
        <f t="shared" si="63"/>
        <v>0</v>
      </c>
      <c r="T125" s="377">
        <f t="shared" si="63"/>
        <v>1953.8098098658279</v>
      </c>
      <c r="U125" s="377">
        <f t="shared" si="63"/>
        <v>1221.6032949081332</v>
      </c>
      <c r="V125" s="377">
        <f t="shared" si="63"/>
        <v>838.34287640426612</v>
      </c>
      <c r="W125" s="377">
        <f t="shared" si="63"/>
        <v>838.34287640426612</v>
      </c>
      <c r="X125" s="377">
        <f t="shared" si="63"/>
        <v>838.34287640426612</v>
      </c>
      <c r="Y125" s="377">
        <f t="shared" si="63"/>
        <v>0</v>
      </c>
      <c r="CL125" s="77"/>
    </row>
    <row r="126" spans="2:90" ht="4.5" customHeight="1" x14ac:dyDescent="0.2">
      <c r="B126" s="77"/>
      <c r="C126" s="37"/>
      <c r="D126" s="37"/>
      <c r="E126" s="304"/>
      <c r="F126" s="304"/>
      <c r="G126" s="304"/>
      <c r="H126" s="304"/>
      <c r="I126" s="304"/>
      <c r="J126" s="304"/>
      <c r="K126" s="304"/>
      <c r="L126" s="304"/>
      <c r="M126" s="304"/>
      <c r="O126" s="37"/>
      <c r="P126" s="37"/>
      <c r="Q126" s="37"/>
      <c r="R126" s="304"/>
      <c r="S126" s="304"/>
      <c r="T126" s="304"/>
      <c r="U126" s="304"/>
      <c r="V126" s="304"/>
      <c r="W126" s="304"/>
      <c r="X126" s="304"/>
      <c r="Y126" s="304"/>
      <c r="CL126" s="77"/>
    </row>
    <row r="127" spans="2:90" ht="11.45" customHeight="1" x14ac:dyDescent="0.2">
      <c r="B127" s="77"/>
      <c r="C127" s="303" t="s">
        <v>541</v>
      </c>
      <c r="D127" s="303" t="s">
        <v>540</v>
      </c>
      <c r="E127" s="376"/>
      <c r="F127" s="376" cm="1">
        <f t="array" ref="F127">AVERAGE(INDEX($108:$108,_xlfn.SEQUENCE(1,12,MATCH($F$114,$6:$6,0)-11)))</f>
        <v>0.17841840192189365</v>
      </c>
      <c r="G127" s="376" cm="1">
        <f t="array" ref="G127">AVERAGE(INDEX($108:$108,_xlfn.SEQUENCE(1,12,MATCH($G$114,$6:$6,0)-11)))</f>
        <v>0.21808172888825267</v>
      </c>
      <c r="H127" s="376" cm="1">
        <f t="array" ref="H127">AVERAGE(INDEX($108:$108,_xlfn.SEQUENCE(1,12,MATCH($H$114,$6:$6,0)-11)))</f>
        <v>0.20776474045129531</v>
      </c>
      <c r="I127" s="376" cm="1">
        <f t="array" ref="I127">AVERAGE(INDEX($108:$108,_xlfn.SEQUENCE(1,12,MATCH($I$111,$6:$6,0)-11)))</f>
        <v>0.30632879526005391</v>
      </c>
      <c r="J127" s="376" cm="1">
        <f t="array" ref="J127">AVERAGE(INDEX($108:$108,_xlfn.SEQUENCE(1,9,MATCH($J$111,$6:$6,0)-8)))</f>
        <v>0.31674810554459742</v>
      </c>
      <c r="K127" s="376" cm="1">
        <f t="array" ref="K127">AVERAGE(INDEX($108:$108,_xlfn.SEQUENCE(1,6,MATCH($K$111,$6:$6,0)-5)))</f>
        <v>0.31753448725839051</v>
      </c>
      <c r="L127" s="376" cm="1">
        <f t="array" ref="L127">AVERAGE(INDEX($108:$108,_xlfn.SEQUENCE(1,3,MATCH($L$111,$6:$6,0)-2)))</f>
        <v>0.31359685611153448</v>
      </c>
      <c r="M127" s="376">
        <f>IF(INDEX($108:$108,MATCH($M$111,$6:$6,0))="n.a.",,INDEX($108:$108,MATCH($M$111,$6:$6,0)))</f>
        <v>0.28420208198185837</v>
      </c>
      <c r="O127" s="303" t="str">
        <f>C127</f>
        <v>Mittelwert</v>
      </c>
      <c r="P127" s="303" t="str">
        <f>D127</f>
        <v>Average</v>
      </c>
      <c r="Q127" s="303"/>
      <c r="R127" s="377">
        <f t="shared" ref="R127:Y127" si="64">IF(INDEX($107:$107,MATCH($M$111,$6:$6,0))="n.a.",,INDEX($107:$107,MATCH($M$111,$6:$6,0)))*F127</f>
        <v>2678.0117347836381</v>
      </c>
      <c r="S127" s="377">
        <f t="shared" si="64"/>
        <v>3273.3474956261171</v>
      </c>
      <c r="T127" s="377">
        <f t="shared" si="64"/>
        <v>3118.4923024163149</v>
      </c>
      <c r="U127" s="377">
        <f t="shared" si="64"/>
        <v>4597.9119842564496</v>
      </c>
      <c r="V127" s="377">
        <f t="shared" si="64"/>
        <v>4754.3030005966511</v>
      </c>
      <c r="W127" s="377">
        <f t="shared" si="64"/>
        <v>4766.106376452909</v>
      </c>
      <c r="X127" s="377">
        <f t="shared" si="64"/>
        <v>4707.0036028323593</v>
      </c>
      <c r="Y127" s="377">
        <f t="shared" si="64"/>
        <v>4265.7960299999995</v>
      </c>
      <c r="CL127" s="77"/>
    </row>
    <row r="128" spans="2:90" ht="4.5" customHeight="1" x14ac:dyDescent="0.2">
      <c r="B128" s="77"/>
      <c r="C128" s="332"/>
      <c r="D128" s="332"/>
      <c r="E128" s="77"/>
      <c r="F128" s="77"/>
      <c r="G128" s="77"/>
      <c r="H128" s="77"/>
      <c r="I128" s="77"/>
      <c r="J128" s="77"/>
      <c r="K128" s="77"/>
      <c r="L128" s="77"/>
      <c r="M128" s="77"/>
      <c r="O128" s="332"/>
      <c r="P128" s="332"/>
      <c r="Q128" s="332"/>
      <c r="R128" s="77"/>
      <c r="S128" s="77"/>
      <c r="T128" s="77"/>
      <c r="U128" s="77"/>
      <c r="V128" s="77"/>
      <c r="W128" s="77"/>
      <c r="X128" s="77"/>
      <c r="Y128" s="77"/>
      <c r="CL128" s="77"/>
    </row>
    <row r="129" spans="2:90" ht="11.45" customHeight="1" x14ac:dyDescent="0.2">
      <c r="B129" s="77"/>
      <c r="C129" s="42" t="str">
        <f>"Quelle: "&amp;Cockpit!$C$7</f>
        <v>Quelle: Datenraum/ eigene Analysen</v>
      </c>
      <c r="D129" s="42" t="str">
        <f>"Source: "&amp;Cockpit!$C$8</f>
        <v>Source: Virtual Data Room/ Company Information</v>
      </c>
      <c r="E129" s="73"/>
      <c r="F129" s="73"/>
      <c r="G129" s="73"/>
      <c r="H129" s="73"/>
      <c r="I129" s="73"/>
      <c r="J129" s="73"/>
      <c r="K129" s="73"/>
      <c r="L129" s="73"/>
      <c r="M129" s="73"/>
      <c r="O129" s="42" t="str">
        <f>"Quelle: "&amp;Cockpit!$C$7</f>
        <v>Quelle: Datenraum/ eigene Analysen</v>
      </c>
      <c r="P129" s="42" t="str">
        <f>"Source: "&amp;Cockpit!$C$7</f>
        <v>Source: Datenraum/ eigene Analysen</v>
      </c>
      <c r="Q129" s="42"/>
      <c r="R129" s="73"/>
      <c r="S129" s="73"/>
      <c r="T129" s="73"/>
      <c r="U129" s="73"/>
      <c r="V129" s="73"/>
      <c r="W129" s="73"/>
      <c r="X129" s="73"/>
      <c r="Y129" s="73"/>
      <c r="CL129" s="77"/>
    </row>
    <row r="130" spans="2:90" ht="11.45" customHeight="1" x14ac:dyDescent="0.2">
      <c r="B130" s="77"/>
      <c r="CL130" s="77"/>
    </row>
    <row r="131" spans="2:90" ht="11.45" customHeight="1" x14ac:dyDescent="0.2">
      <c r="B131" s="77"/>
      <c r="CL131" s="77"/>
    </row>
    <row r="132" spans="2:90" ht="11.45" hidden="1" customHeight="1" outlineLevel="1" x14ac:dyDescent="0.2">
      <c r="B132" s="77"/>
      <c r="C132" s="236" t="str">
        <f>Cockpit!$C$4</f>
        <v>Projekt Namur</v>
      </c>
      <c r="D132" s="230"/>
      <c r="E132" s="230"/>
      <c r="F132" s="230">
        <f>Cockpit!D33</f>
        <v>44926</v>
      </c>
      <c r="G132" s="230">
        <f>Cockpit!E33</f>
        <v>45291</v>
      </c>
      <c r="H132" s="230">
        <f>Cockpit!F33</f>
        <v>45657</v>
      </c>
      <c r="I132" s="333" t="s">
        <v>608</v>
      </c>
      <c r="J132" s="333" t="s">
        <v>607</v>
      </c>
      <c r="K132" s="333" t="s">
        <v>606</v>
      </c>
      <c r="L132" s="333" t="s">
        <v>605</v>
      </c>
      <c r="M132" s="333" t="s">
        <v>604</v>
      </c>
      <c r="O132" s="236" t="str">
        <f>C132</f>
        <v>Projekt Namur</v>
      </c>
      <c r="P132" s="236"/>
      <c r="Q132" s="230"/>
      <c r="R132" s="230">
        <f t="shared" ref="R132:Y135" si="65">F132</f>
        <v>44926</v>
      </c>
      <c r="S132" s="230">
        <f t="shared" si="65"/>
        <v>45291</v>
      </c>
      <c r="T132" s="230">
        <f t="shared" si="65"/>
        <v>45657</v>
      </c>
      <c r="U132" s="333" t="str">
        <f t="shared" si="65"/>
        <v>Letzte 12</v>
      </c>
      <c r="V132" s="333" t="str">
        <f t="shared" si="65"/>
        <v>Letzte 9</v>
      </c>
      <c r="W132" s="333" t="str">
        <f t="shared" si="65"/>
        <v>Letzte 6</v>
      </c>
      <c r="X132" s="333" t="str">
        <f t="shared" si="65"/>
        <v>Letzte 3</v>
      </c>
      <c r="Y132" s="333" t="str">
        <f t="shared" si="65"/>
        <v>Letzter</v>
      </c>
      <c r="CL132" s="77"/>
    </row>
    <row r="133" spans="2:90" ht="11.45" hidden="1" customHeight="1" outlineLevel="1" x14ac:dyDescent="0.2">
      <c r="B133" s="77"/>
      <c r="C133" s="236" t="str">
        <f>"in T"&amp;Cockpit!$C$5</f>
        <v>in TEUR</v>
      </c>
      <c r="D133" s="230"/>
      <c r="E133" s="230"/>
      <c r="F133" s="230" t="str">
        <f>Cockpit!D34</f>
        <v>IST</v>
      </c>
      <c r="G133" s="230" t="str">
        <f>Cockpit!E34</f>
        <v>IST</v>
      </c>
      <c r="H133" s="230" t="str">
        <f>Cockpit!F34</f>
        <v>IST</v>
      </c>
      <c r="I133" s="333" t="s">
        <v>603</v>
      </c>
      <c r="J133" s="333" t="s">
        <v>603</v>
      </c>
      <c r="K133" s="333" t="s">
        <v>603</v>
      </c>
      <c r="L133" s="333" t="s">
        <v>603</v>
      </c>
      <c r="M133" s="333" t="s">
        <v>602</v>
      </c>
      <c r="O133" s="236" t="str">
        <f>C133</f>
        <v>in TEUR</v>
      </c>
      <c r="P133" s="236"/>
      <c r="Q133" s="230"/>
      <c r="R133" s="230" t="str">
        <f t="shared" si="65"/>
        <v>IST</v>
      </c>
      <c r="S133" s="230" t="str">
        <f t="shared" si="65"/>
        <v>IST</v>
      </c>
      <c r="T133" s="230" t="str">
        <f t="shared" si="65"/>
        <v>IST</v>
      </c>
      <c r="U133" s="333" t="str">
        <f t="shared" si="65"/>
        <v>Monate</v>
      </c>
      <c r="V133" s="333" t="str">
        <f t="shared" si="65"/>
        <v>Monate</v>
      </c>
      <c r="W133" s="333" t="str">
        <f t="shared" si="65"/>
        <v>Monate</v>
      </c>
      <c r="X133" s="333" t="str">
        <f t="shared" si="65"/>
        <v>Monate</v>
      </c>
      <c r="Y133" s="333" t="str">
        <f t="shared" si="65"/>
        <v>Monat</v>
      </c>
      <c r="CL133" s="77"/>
    </row>
    <row r="134" spans="2:90" ht="11.45" customHeight="1" collapsed="1" x14ac:dyDescent="0.2">
      <c r="B134" s="77"/>
      <c r="C134" s="233"/>
      <c r="D134" s="232" t="str">
        <f>Cockpit!$C$4</f>
        <v>Projekt Namur</v>
      </c>
      <c r="E134" s="233"/>
      <c r="F134" s="233">
        <f>Cockpit!D33</f>
        <v>44926</v>
      </c>
      <c r="G134" s="233">
        <f>Cockpit!E33</f>
        <v>45291</v>
      </c>
      <c r="H134" s="233">
        <f>Cockpit!F33</f>
        <v>45657</v>
      </c>
      <c r="I134" s="333" t="s">
        <v>601</v>
      </c>
      <c r="J134" s="333" t="s">
        <v>600</v>
      </c>
      <c r="K134" s="333" t="s">
        <v>599</v>
      </c>
      <c r="L134" s="333" t="s">
        <v>598</v>
      </c>
      <c r="M134" s="333" t="s">
        <v>597</v>
      </c>
      <c r="O134" s="236"/>
      <c r="P134" s="236" t="str">
        <f>D134</f>
        <v>Projekt Namur</v>
      </c>
      <c r="Q134" s="232"/>
      <c r="R134" s="233">
        <f t="shared" si="65"/>
        <v>44926</v>
      </c>
      <c r="S134" s="233">
        <f t="shared" si="65"/>
        <v>45291</v>
      </c>
      <c r="T134" s="233">
        <f t="shared" si="65"/>
        <v>45657</v>
      </c>
      <c r="U134" s="333" t="str">
        <f t="shared" si="65"/>
        <v>Last 12</v>
      </c>
      <c r="V134" s="333" t="str">
        <f t="shared" si="65"/>
        <v>Last 9</v>
      </c>
      <c r="W134" s="333" t="str">
        <f t="shared" si="65"/>
        <v>Last 6</v>
      </c>
      <c r="X134" s="333" t="str">
        <f t="shared" si="65"/>
        <v>Last 3</v>
      </c>
      <c r="Y134" s="333" t="str">
        <f t="shared" si="65"/>
        <v>Last</v>
      </c>
      <c r="CL134" s="77"/>
    </row>
    <row r="135" spans="2:90" ht="11.45" customHeight="1" x14ac:dyDescent="0.2">
      <c r="B135" s="77"/>
      <c r="C135" s="233"/>
      <c r="D135" s="232" t="str">
        <f>"in k"&amp;Cockpit!$C$5</f>
        <v>in kEUR</v>
      </c>
      <c r="E135" s="233"/>
      <c r="F135" s="233" t="str">
        <f>Cockpit!D34</f>
        <v>IST</v>
      </c>
      <c r="G135" s="233" t="str">
        <f>Cockpit!E34</f>
        <v>IST</v>
      </c>
      <c r="H135" s="233" t="str">
        <f>Cockpit!F34</f>
        <v>IST</v>
      </c>
      <c r="I135" s="333" t="s">
        <v>596</v>
      </c>
      <c r="J135" s="333" t="s">
        <v>596</v>
      </c>
      <c r="K135" s="333" t="s">
        <v>596</v>
      </c>
      <c r="L135" s="333" t="s">
        <v>596</v>
      </c>
      <c r="M135" s="333" t="s">
        <v>595</v>
      </c>
      <c r="O135" s="236"/>
      <c r="P135" s="236" t="str">
        <f>D135</f>
        <v>in kEUR</v>
      </c>
      <c r="Q135" s="232"/>
      <c r="R135" s="233" t="str">
        <f t="shared" si="65"/>
        <v>IST</v>
      </c>
      <c r="S135" s="233" t="str">
        <f t="shared" si="65"/>
        <v>IST</v>
      </c>
      <c r="T135" s="233" t="str">
        <f t="shared" si="65"/>
        <v>IST</v>
      </c>
      <c r="U135" s="333" t="str">
        <f t="shared" si="65"/>
        <v>months</v>
      </c>
      <c r="V135" s="333" t="str">
        <f t="shared" si="65"/>
        <v>months</v>
      </c>
      <c r="W135" s="333" t="str">
        <f t="shared" si="65"/>
        <v>months</v>
      </c>
      <c r="X135" s="333" t="str">
        <f t="shared" si="65"/>
        <v>months</v>
      </c>
      <c r="Y135" s="333" t="str">
        <f t="shared" si="65"/>
        <v>month</v>
      </c>
      <c r="CL135" s="77"/>
    </row>
    <row r="136" spans="2:90" ht="4.5" customHeight="1" x14ac:dyDescent="0.2">
      <c r="B136" s="77"/>
      <c r="C136" s="332"/>
      <c r="D136" s="332"/>
      <c r="E136" s="77"/>
      <c r="F136" s="77"/>
      <c r="G136" s="77"/>
      <c r="H136" s="77"/>
      <c r="I136" s="77"/>
      <c r="J136" s="77"/>
      <c r="K136" s="77"/>
      <c r="L136" s="77"/>
      <c r="M136" s="77"/>
      <c r="CL136" s="77"/>
    </row>
    <row r="137" spans="2:90" ht="11.45" customHeight="1" x14ac:dyDescent="0.2">
      <c r="B137" s="77"/>
      <c r="C137" s="228" t="s">
        <v>827</v>
      </c>
      <c r="D137" s="228" t="s">
        <v>828</v>
      </c>
      <c r="E137" s="77"/>
      <c r="F137" s="77"/>
      <c r="G137" s="77"/>
      <c r="H137" s="77"/>
      <c r="I137" s="77"/>
      <c r="J137" s="77"/>
      <c r="K137" s="77"/>
      <c r="L137" s="77"/>
      <c r="M137" s="77"/>
      <c r="O137" s="228" t="s">
        <v>827</v>
      </c>
      <c r="R137" s="228"/>
      <c r="CL137" s="77"/>
    </row>
    <row r="138" spans="2:90" ht="4.5" customHeight="1" x14ac:dyDescent="0.2">
      <c r="B138" s="77"/>
      <c r="C138" s="228"/>
      <c r="D138" s="228"/>
      <c r="E138" s="77"/>
      <c r="F138" s="77"/>
      <c r="G138" s="77"/>
      <c r="H138" s="77"/>
      <c r="I138" s="77"/>
      <c r="J138" s="77"/>
      <c r="K138" s="77"/>
      <c r="L138" s="77"/>
      <c r="M138" s="77"/>
      <c r="CL138" s="77"/>
    </row>
    <row r="139" spans="2:90" ht="11.45" customHeight="1" x14ac:dyDescent="0.2">
      <c r="B139" s="77"/>
      <c r="C139" s="303" t="s">
        <v>544</v>
      </c>
      <c r="D139" s="303" t="s">
        <v>592</v>
      </c>
      <c r="E139" s="376"/>
      <c r="F139" s="376" cm="1">
        <f t="array" ref="F139">MAX(INDEX($109:$109,_xlfn.SEQUENCE(1,12,MATCH($F$114,$6:$6,0)-11)))</f>
        <v>0.12379187375827175</v>
      </c>
      <c r="G139" s="376" cm="1">
        <f t="array" ref="G139">MAX(INDEX($109:$109,_xlfn.SEQUENCE(1,12,MATCH($G$114,$6:$6,0)-11)))</f>
        <v>0.19504847088622762</v>
      </c>
      <c r="H139" s="376" cm="1">
        <f t="array" ref="H139">MAX(INDEX($109:$109,_xlfn.SEQUENCE(1,12,MATCH($H$114,$6:$6,0)-11)))</f>
        <v>0.25769689353208219</v>
      </c>
      <c r="I139" s="376" cm="1">
        <f t="array" ref="I139">MAX(INDEX($109:$109,_xlfn.SEQUENCE(1,12,MATCH($I$111,$6:$6,0)-11)))</f>
        <v>0.31714735237589547</v>
      </c>
      <c r="J139" s="376" cm="1">
        <f t="array" ref="J139">MAX(INDEX($109:$109,_xlfn.SEQUENCE(1,9,MATCH($J$111,$6:$6,0)-8)))</f>
        <v>0.31714735237589547</v>
      </c>
      <c r="K139" s="376" cm="1">
        <f t="array" ref="K139">MAX(INDEX($109:$109,_xlfn.SEQUENCE(1,6,MATCH($K$111,$6:$6,0)-5)))</f>
        <v>0.31714735237589547</v>
      </c>
      <c r="L139" s="376" cm="1">
        <f t="array" ref="L139">MAX(INDEX($109:$109,_xlfn.SEQUENCE(1,3,MATCH($L$111,$6:$6,0)-2)))</f>
        <v>0.31714735237589547</v>
      </c>
      <c r="M139" s="376">
        <f>IF(INDEX($109:$109,MATCH($M$111,$6:$6,0))="n.a.",,INDEX($109:$109,MATCH($M$111,$6:$6,0)))</f>
        <v>0.26424026094079273</v>
      </c>
      <c r="O139" s="303" t="str">
        <f>C139</f>
        <v>Max</v>
      </c>
      <c r="P139" s="303" t="str">
        <f>D139</f>
        <v>High</v>
      </c>
      <c r="Q139" s="303"/>
      <c r="R139" s="377">
        <f t="shared" ref="R139:Y139" si="66">IF(INDEX($107:$107,MATCH($M$111,$6:$6,0))="n.a.",,INDEX($107:$107,MATCH($M$111,$6:$6,0)))*F139</f>
        <v>1858.0823896216405</v>
      </c>
      <c r="S139" s="377">
        <f t="shared" si="66"/>
        <v>2927.6245513822528</v>
      </c>
      <c r="T139" s="377">
        <f t="shared" si="66"/>
        <v>3867.9603530936129</v>
      </c>
      <c r="U139" s="377">
        <f t="shared" si="66"/>
        <v>4760.2955870550777</v>
      </c>
      <c r="V139" s="377">
        <f t="shared" si="66"/>
        <v>4760.2955870550777</v>
      </c>
      <c r="W139" s="377">
        <f t="shared" si="66"/>
        <v>4760.2955870550777</v>
      </c>
      <c r="X139" s="377">
        <f t="shared" si="66"/>
        <v>4760.2955870550777</v>
      </c>
      <c r="Y139" s="377">
        <f t="shared" si="66"/>
        <v>3966.1745199999991</v>
      </c>
      <c r="CL139" s="77"/>
    </row>
    <row r="140" spans="2:90" ht="11.45" customHeight="1" x14ac:dyDescent="0.2">
      <c r="B140" s="77"/>
      <c r="C140" s="303"/>
      <c r="D140" s="303"/>
      <c r="E140" s="305"/>
      <c r="F140" s="305" t="s">
        <v>543</v>
      </c>
      <c r="G140" s="305" t="s">
        <v>543</v>
      </c>
      <c r="H140" s="305" t="s">
        <v>543</v>
      </c>
      <c r="I140" s="305" t="s">
        <v>543</v>
      </c>
      <c r="J140" s="305" t="s">
        <v>543</v>
      </c>
      <c r="K140" s="305" t="s">
        <v>543</v>
      </c>
      <c r="L140" s="305" t="s">
        <v>543</v>
      </c>
      <c r="M140" s="305" t="s">
        <v>543</v>
      </c>
      <c r="O140" s="303"/>
      <c r="P140" s="303"/>
      <c r="Q140" s="303"/>
      <c r="R140" s="305"/>
      <c r="S140" s="305"/>
      <c r="T140" s="305"/>
      <c r="U140" s="305"/>
      <c r="V140" s="305"/>
      <c r="W140" s="305"/>
      <c r="X140" s="305"/>
      <c r="Y140" s="305"/>
      <c r="Z140" s="30" t="s">
        <v>806</v>
      </c>
      <c r="CL140" s="77"/>
    </row>
    <row r="141" spans="2:90" ht="4.5" customHeight="1" x14ac:dyDescent="0.2">
      <c r="B141" s="77"/>
      <c r="C141" s="37"/>
      <c r="D141" s="37"/>
      <c r="E141" s="304"/>
      <c r="F141" s="304"/>
      <c r="G141" s="304"/>
      <c r="H141" s="304"/>
      <c r="I141" s="304"/>
      <c r="J141" s="304"/>
      <c r="K141" s="304"/>
      <c r="L141" s="304"/>
      <c r="M141" s="304"/>
      <c r="O141" s="37"/>
      <c r="P141" s="37"/>
      <c r="Q141" s="37"/>
      <c r="R141" s="304"/>
      <c r="S141" s="304"/>
      <c r="T141" s="304"/>
      <c r="U141" s="304"/>
      <c r="V141" s="304"/>
      <c r="W141" s="304"/>
      <c r="X141" s="304"/>
      <c r="Y141" s="304"/>
      <c r="CL141" s="77"/>
    </row>
    <row r="142" spans="2:90" ht="11.45" customHeight="1" x14ac:dyDescent="0.2">
      <c r="B142" s="77"/>
      <c r="C142" s="303" t="s">
        <v>545</v>
      </c>
      <c r="D142" s="303" t="s">
        <v>591</v>
      </c>
      <c r="E142" s="376"/>
      <c r="F142" s="376" cm="1">
        <f t="array" ref="F142">MIN(INDEX($109:$109,_xlfn.SEQUENCE(1,12,MATCH($F$114,$6:$6,0)-11)))</f>
        <v>0.12379187375827175</v>
      </c>
      <c r="G142" s="376" cm="1">
        <f t="array" ref="G142">MIN(INDEX($109:$109,_xlfn.SEQUENCE(1,12,MATCH($G$114,$6:$6,0)-11)))</f>
        <v>0.19504847088622762</v>
      </c>
      <c r="H142" s="376" cm="1">
        <f t="array" ref="H142">MIN(INDEX($109:$109,_xlfn.SEQUENCE(1,12,MATCH($H$114,$6:$6,0)-11)))</f>
        <v>0.12297653321112036</v>
      </c>
      <c r="I142" s="376" cm="1">
        <f t="array" ref="I142">MIN(INDEX($109:$109,_xlfn.SEQUENCE(1,12,MATCH($I$111,$6:$6,0)-11)))</f>
        <v>0.24169862647964638</v>
      </c>
      <c r="J142" s="376" cm="1">
        <f t="array" ref="J142">MIN(INDEX($109:$109,_xlfn.SEQUENCE(1,9,MATCH($J$111,$6:$6,0)-8)))</f>
        <v>0.26073049715616997</v>
      </c>
      <c r="K142" s="376" cm="1">
        <f t="array" ref="K142">MIN(INDEX($109:$109,_xlfn.SEQUENCE(1,6,MATCH($K$111,$6:$6,0)-5)))</f>
        <v>0.26073049715616997</v>
      </c>
      <c r="L142" s="376" cm="1">
        <f t="array" ref="L142">MIN(INDEX($109:$109,_xlfn.SEQUENCE(1,3,MATCH($L$111,$6:$6,0)-2)))</f>
        <v>0.26424026094079273</v>
      </c>
      <c r="M142" s="376">
        <f>IF(INDEX($109:$109,MATCH($M$111,$6:$6,0))="n.a.",,INDEX($109:$109,MATCH($M$111,$6:$6,0)))</f>
        <v>0.26424026094079273</v>
      </c>
      <c r="O142" s="303" t="str">
        <f>C142</f>
        <v>Min</v>
      </c>
      <c r="P142" s="303" t="str">
        <f>D142</f>
        <v>Low</v>
      </c>
      <c r="Q142" s="303"/>
      <c r="R142" s="377">
        <f t="shared" ref="R142:Y142" si="67">IF(INDEX($107:$107,MATCH($M$111,$6:$6,0))="n.a.",,INDEX($107:$107,MATCH($M$111,$6:$6,0)))*F142</f>
        <v>1858.0823896216405</v>
      </c>
      <c r="S142" s="377">
        <f t="shared" si="67"/>
        <v>2927.6245513822528</v>
      </c>
      <c r="T142" s="377">
        <f t="shared" si="67"/>
        <v>1845.8443495450781</v>
      </c>
      <c r="U142" s="377">
        <f t="shared" si="67"/>
        <v>3627.8307115256921</v>
      </c>
      <c r="V142" s="377">
        <f t="shared" si="67"/>
        <v>3913.4939192307297</v>
      </c>
      <c r="W142" s="377">
        <f t="shared" si="67"/>
        <v>3913.4939192307297</v>
      </c>
      <c r="X142" s="377">
        <f t="shared" si="67"/>
        <v>3966.1745199999991</v>
      </c>
      <c r="Y142" s="377">
        <f t="shared" si="67"/>
        <v>3966.1745199999991</v>
      </c>
      <c r="CL142" s="77"/>
    </row>
    <row r="143" spans="2:90" ht="11.45" customHeight="1" x14ac:dyDescent="0.2">
      <c r="B143" s="77"/>
      <c r="C143" s="303"/>
      <c r="D143" s="303"/>
      <c r="E143" s="305"/>
      <c r="F143" s="305" t="s">
        <v>543</v>
      </c>
      <c r="G143" s="305" t="s">
        <v>543</v>
      </c>
      <c r="H143" s="305" t="s">
        <v>543</v>
      </c>
      <c r="I143" s="305" t="s">
        <v>543</v>
      </c>
      <c r="J143" s="305" t="s">
        <v>543</v>
      </c>
      <c r="K143" s="305" t="s">
        <v>543</v>
      </c>
      <c r="L143" s="305" t="s">
        <v>543</v>
      </c>
      <c r="M143" s="305" t="s">
        <v>543</v>
      </c>
      <c r="O143" s="303"/>
      <c r="P143" s="303"/>
      <c r="Q143" s="303"/>
      <c r="R143" s="305"/>
      <c r="S143" s="305"/>
      <c r="T143" s="305"/>
      <c r="U143" s="305"/>
      <c r="V143" s="305"/>
      <c r="W143" s="305"/>
      <c r="X143" s="305"/>
      <c r="Y143" s="305"/>
      <c r="CL143" s="77"/>
    </row>
    <row r="144" spans="2:90" ht="4.5" customHeight="1" x14ac:dyDescent="0.2">
      <c r="B144" s="74"/>
      <c r="C144" s="37"/>
      <c r="D144" s="37"/>
      <c r="E144" s="304"/>
      <c r="F144" s="304"/>
      <c r="G144" s="304"/>
      <c r="H144" s="304"/>
      <c r="I144" s="304"/>
      <c r="J144" s="304"/>
      <c r="K144" s="304"/>
      <c r="L144" s="304"/>
      <c r="M144" s="304"/>
      <c r="O144" s="37"/>
      <c r="P144" s="37"/>
      <c r="Q144" s="37"/>
      <c r="R144" s="304"/>
      <c r="S144" s="304"/>
      <c r="T144" s="304"/>
      <c r="U144" s="304"/>
      <c r="V144" s="304"/>
      <c r="W144" s="304"/>
      <c r="X144" s="304"/>
      <c r="Y144" s="304"/>
      <c r="CL144" s="74"/>
    </row>
    <row r="145" spans="3:25" ht="11.45" customHeight="1" x14ac:dyDescent="0.2">
      <c r="C145" s="303" t="s">
        <v>590</v>
      </c>
      <c r="D145" s="303" t="s">
        <v>542</v>
      </c>
      <c r="E145" s="376"/>
      <c r="F145" s="376">
        <f t="shared" ref="F145:M145" si="68">F139-F142</f>
        <v>0</v>
      </c>
      <c r="G145" s="376">
        <f t="shared" si="68"/>
        <v>0</v>
      </c>
      <c r="H145" s="376">
        <f t="shared" si="68"/>
        <v>0.13472036032096185</v>
      </c>
      <c r="I145" s="376">
        <f t="shared" si="68"/>
        <v>7.5448725896249097E-2</v>
      </c>
      <c r="J145" s="376">
        <f t="shared" si="68"/>
        <v>5.6416855219725504E-2</v>
      </c>
      <c r="K145" s="376">
        <f t="shared" si="68"/>
        <v>5.6416855219725504E-2</v>
      </c>
      <c r="L145" s="376">
        <f t="shared" si="68"/>
        <v>5.2907091435102749E-2</v>
      </c>
      <c r="M145" s="376">
        <f t="shared" si="68"/>
        <v>0</v>
      </c>
      <c r="O145" s="303" t="str">
        <f>C145</f>
        <v>Bandbreite</v>
      </c>
      <c r="P145" s="303" t="str">
        <f>D145</f>
        <v>Swing</v>
      </c>
      <c r="Q145" s="303"/>
      <c r="R145" s="377">
        <f t="shared" ref="R145:Y145" si="69">IF(INDEX($107:$107,MATCH($M$111,$6:$6,0))="n.a.",,INDEX($107:$107,MATCH($M$111,$6:$6,0)))*F145</f>
        <v>0</v>
      </c>
      <c r="S145" s="377">
        <f t="shared" si="69"/>
        <v>0</v>
      </c>
      <c r="T145" s="377">
        <f t="shared" si="69"/>
        <v>2022.116003548535</v>
      </c>
      <c r="U145" s="377">
        <f t="shared" si="69"/>
        <v>1132.4648755293858</v>
      </c>
      <c r="V145" s="377">
        <f t="shared" si="69"/>
        <v>846.80166782434821</v>
      </c>
      <c r="W145" s="377">
        <f t="shared" si="69"/>
        <v>846.80166782434821</v>
      </c>
      <c r="X145" s="377">
        <f t="shared" si="69"/>
        <v>794.12106705507858</v>
      </c>
      <c r="Y145" s="377">
        <f t="shared" si="69"/>
        <v>0</v>
      </c>
    </row>
    <row r="146" spans="3:25" ht="4.5" customHeight="1" x14ac:dyDescent="0.2">
      <c r="C146" s="37"/>
      <c r="D146" s="37"/>
      <c r="E146" s="304"/>
      <c r="F146" s="304"/>
      <c r="G146" s="304"/>
      <c r="H146" s="304"/>
      <c r="I146" s="304"/>
      <c r="J146" s="304"/>
      <c r="K146" s="304"/>
      <c r="L146" s="304"/>
      <c r="M146" s="304"/>
      <c r="O146" s="37"/>
      <c r="P146" s="37"/>
      <c r="Q146" s="37"/>
      <c r="R146" s="304"/>
      <c r="S146" s="304"/>
      <c r="T146" s="304"/>
      <c r="U146" s="304"/>
      <c r="V146" s="304"/>
      <c r="W146" s="304"/>
      <c r="X146" s="304"/>
      <c r="Y146" s="304"/>
    </row>
    <row r="147" spans="3:25" ht="11.45" customHeight="1" x14ac:dyDescent="0.2">
      <c r="C147" s="303" t="s">
        <v>541</v>
      </c>
      <c r="D147" s="303" t="s">
        <v>540</v>
      </c>
      <c r="E147" s="376"/>
      <c r="F147" s="376" cm="1">
        <f t="array" ref="F147">AVERAGE(INDEX($109:$109,_xlfn.SEQUENCE(1,12,MATCH($F$114,$6:$6,0)-11)))</f>
        <v>0.12379187375827175</v>
      </c>
      <c r="G147" s="376" cm="1">
        <f t="array" ref="G147">AVERAGE(INDEX($109:$109,_xlfn.SEQUENCE(1,12,MATCH($G$114,$6:$6,0)-11)))</f>
        <v>0.19504847088622762</v>
      </c>
      <c r="H147" s="376" cm="1">
        <f t="array" ref="H147">AVERAGE(INDEX($109:$109,_xlfn.SEQUENCE(1,12,MATCH($H$114,$6:$6,0)-11)))</f>
        <v>0.18278431502468995</v>
      </c>
      <c r="I147" s="376" cm="1">
        <f t="array" ref="I147">AVERAGE(INDEX($109:$109,_xlfn.SEQUENCE(1,12,MATCH($I$111,$6:$6,0)-11)))</f>
        <v>0.28191329946372218</v>
      </c>
      <c r="J147" s="376" cm="1">
        <f t="array" ref="J147">AVERAGE(INDEX($109:$109,_xlfn.SEQUENCE(1,9,MATCH($J$111,$6:$6,0)-8)))</f>
        <v>0.29039434606078818</v>
      </c>
      <c r="K147" s="376" cm="1">
        <f t="array" ref="K147">AVERAGE(INDEX($109:$109,_xlfn.SEQUENCE(1,6,MATCH($K$111,$6:$6,0)-5)))</f>
        <v>0.28847098769456259</v>
      </c>
      <c r="L147" s="376" cm="1">
        <f t="array" ref="L147">AVERAGE(INDEX($109:$109,_xlfn.SEQUENCE(1,3,MATCH($L$111,$6:$6,0)-2)))</f>
        <v>0.2918907474018993</v>
      </c>
      <c r="M147" s="376">
        <f>IF(INDEX($109:$109,MATCH($M$111,$6:$6,0))="n.a.",,INDEX($109:$109,MATCH($M$111,$6:$6,0)))</f>
        <v>0.26424026094079273</v>
      </c>
      <c r="O147" s="303" t="str">
        <f>C147</f>
        <v>Mittelwert</v>
      </c>
      <c r="P147" s="303" t="str">
        <f>D147</f>
        <v>Average</v>
      </c>
      <c r="Q147" s="303"/>
      <c r="R147" s="377">
        <f t="shared" ref="R147:Y147" si="70">IF(INDEX($107:$107,MATCH($M$111,$6:$6,0))="n.a.",,INDEX($107:$107,MATCH($M$111,$6:$6,0)))*F147</f>
        <v>1858.0823896216405</v>
      </c>
      <c r="S147" s="377">
        <f t="shared" si="70"/>
        <v>2927.6245513822528</v>
      </c>
      <c r="T147" s="377">
        <f t="shared" si="70"/>
        <v>2743.5429041943612</v>
      </c>
      <c r="U147" s="377">
        <f t="shared" si="70"/>
        <v>4231.442026287873</v>
      </c>
      <c r="V147" s="377">
        <f t="shared" si="70"/>
        <v>4358.740231324663</v>
      </c>
      <c r="W147" s="377">
        <f t="shared" si="70"/>
        <v>4329.8711448433187</v>
      </c>
      <c r="X147" s="377">
        <f t="shared" si="70"/>
        <v>4381.2008088675329</v>
      </c>
      <c r="Y147" s="377">
        <f t="shared" si="70"/>
        <v>3966.1745199999991</v>
      </c>
    </row>
    <row r="148" spans="3:25" ht="4.5" customHeight="1" x14ac:dyDescent="0.2">
      <c r="C148" s="332"/>
      <c r="D148" s="332"/>
      <c r="E148" s="77"/>
      <c r="F148" s="77"/>
      <c r="G148" s="77"/>
      <c r="H148" s="77"/>
      <c r="I148" s="77"/>
      <c r="J148" s="77"/>
      <c r="K148" s="77"/>
      <c r="L148" s="77"/>
      <c r="M148" s="77"/>
      <c r="O148" s="332"/>
      <c r="P148" s="332"/>
      <c r="Q148" s="332"/>
      <c r="R148" s="77"/>
      <c r="S148" s="77"/>
      <c r="T148" s="77"/>
      <c r="U148" s="77"/>
      <c r="V148" s="77"/>
      <c r="W148" s="77"/>
      <c r="X148" s="77"/>
      <c r="Y148" s="77"/>
    </row>
    <row r="149" spans="3:25" ht="11.45" customHeight="1" x14ac:dyDescent="0.2">
      <c r="C149" s="42" t="str">
        <f>"Quelle: "&amp;Cockpit!$C$7</f>
        <v>Quelle: Datenraum/ eigene Analysen</v>
      </c>
      <c r="D149" s="42" t="str">
        <f>"Source: "&amp;Cockpit!$C$8</f>
        <v>Source: Virtual Data Room/ Company Information</v>
      </c>
      <c r="E149" s="73"/>
      <c r="F149" s="73"/>
      <c r="G149" s="73"/>
      <c r="H149" s="73"/>
      <c r="I149" s="73"/>
      <c r="J149" s="73"/>
      <c r="K149" s="73"/>
      <c r="L149" s="73"/>
      <c r="M149" s="73"/>
      <c r="O149" s="42" t="str">
        <f>"Quelle: "&amp;Cockpit!$C$7</f>
        <v>Quelle: Datenraum/ eigene Analysen</v>
      </c>
      <c r="P149" s="42" t="str">
        <f>"Source: "&amp;Cockpit!$C$7</f>
        <v>Source: Datenraum/ eigene Analysen</v>
      </c>
      <c r="Q149" s="42"/>
      <c r="R149" s="73"/>
      <c r="S149" s="73"/>
      <c r="T149" s="73"/>
      <c r="U149" s="73"/>
      <c r="V149" s="73"/>
      <c r="W149" s="73"/>
      <c r="X149" s="73"/>
      <c r="Y149" s="73"/>
    </row>
  </sheetData>
  <conditionalFormatting sqref="A1:XFD1048576">
    <cfRule type="containsText" dxfId="199" priority="11" operator="containsText" text="DUmmy">
      <formula>NOT(ISERROR(SEARCH("DUmmy",A1)))</formula>
    </cfRule>
  </conditionalFormatting>
  <conditionalFormatting sqref="Q89">
    <cfRule type="cellIs" dxfId="198" priority="18" operator="between">
      <formula>-1</formula>
      <formula>1</formula>
    </cfRule>
    <cfRule type="cellIs" dxfId="197" priority="19" operator="lessThan">
      <formula>-1</formula>
    </cfRule>
    <cfRule type="cellIs" dxfId="196" priority="20" operator="greaterThan">
      <formula>1</formula>
    </cfRule>
  </conditionalFormatting>
  <conditionalFormatting sqref="Q16:BA16">
    <cfRule type="colorScale" priority="6">
      <colorScale>
        <cfvo type="min"/>
        <cfvo type="percentile" val="50"/>
        <cfvo type="max"/>
        <color rgb="FF63BE7B"/>
        <color rgb="FFFFEB84"/>
        <color rgb="FFF8696B"/>
      </colorScale>
    </cfRule>
  </conditionalFormatting>
  <conditionalFormatting sqref="Q17:BA17">
    <cfRule type="colorScale" priority="5">
      <colorScale>
        <cfvo type="min"/>
        <cfvo type="percentile" val="50"/>
        <cfvo type="max"/>
        <color rgb="FF63BE7B"/>
        <color rgb="FFFFEB84"/>
        <color rgb="FFF8696B"/>
      </colorScale>
    </cfRule>
  </conditionalFormatting>
  <conditionalFormatting sqref="Q18:BA18">
    <cfRule type="colorScale" priority="3">
      <colorScale>
        <cfvo type="min"/>
        <cfvo type="percentile" val="50"/>
        <cfvo type="max"/>
        <color rgb="FF63BE7B"/>
        <color rgb="FFFFEB84"/>
        <color rgb="FFF8696B"/>
      </colorScale>
    </cfRule>
  </conditionalFormatting>
  <conditionalFormatting sqref="Q23:BA23">
    <cfRule type="colorScale" priority="7">
      <colorScale>
        <cfvo type="min"/>
        <cfvo type="percentile" val="50"/>
        <cfvo type="max"/>
        <color rgb="FF63BE7B"/>
        <color rgb="FFFFEB84"/>
        <color rgb="FFF8696B"/>
      </colorScale>
    </cfRule>
  </conditionalFormatting>
  <conditionalFormatting sqref="T19">
    <cfRule type="colorScale" priority="1">
      <colorScale>
        <cfvo type="min"/>
        <cfvo type="percentile" val="50"/>
        <cfvo type="max"/>
        <color rgb="FF63BE7B"/>
        <color rgb="FFFFEB84"/>
        <color rgb="FFF8696B"/>
      </colorScale>
    </cfRule>
  </conditionalFormatting>
  <conditionalFormatting sqref="AC89">
    <cfRule type="cellIs" dxfId="195" priority="15" operator="between">
      <formula>-1</formula>
      <formula>1</formula>
    </cfRule>
    <cfRule type="cellIs" dxfId="194" priority="16" operator="lessThan">
      <formula>-1</formula>
    </cfRule>
    <cfRule type="cellIs" dxfId="193" priority="17" operator="greaterThan">
      <formula>1</formula>
    </cfRule>
  </conditionalFormatting>
  <conditionalFormatting sqref="AO89">
    <cfRule type="cellIs" dxfId="192" priority="12" operator="between">
      <formula>-1</formula>
      <formula>1</formula>
    </cfRule>
    <cfRule type="cellIs" dxfId="191" priority="13" operator="lessThan">
      <formula>-1</formula>
    </cfRule>
    <cfRule type="cellIs" dxfId="190" priority="14" operator="greaterThan">
      <formula>1</formula>
    </cfRule>
  </conditionalFormatting>
  <conditionalFormatting sqref="AP19:BA19">
    <cfRule type="colorScale" priority="2">
      <colorScale>
        <cfvo type="min"/>
        <cfvo type="percentile" val="50"/>
        <cfvo type="max"/>
        <color rgb="FF63BE7B"/>
        <color rgb="FFFFEB84"/>
        <color rgb="FFF8696B"/>
      </colorScale>
    </cfRule>
  </conditionalFormatting>
  <conditionalFormatting sqref="AX89">
    <cfRule type="cellIs" dxfId="189" priority="8" operator="between">
      <formula>-1</formula>
      <formula>1</formula>
    </cfRule>
    <cfRule type="cellIs" dxfId="188" priority="9" operator="lessThan">
      <formula>-1</formula>
    </cfRule>
    <cfRule type="cellIs" dxfId="187" priority="10" operator="greaterThan">
      <formula>1</formula>
    </cfRule>
  </conditionalFormatting>
  <pageMargins left="0.7" right="0.7" top="0.78740157499999996" bottom="0.78740157499999996" header="0.3" footer="0.3"/>
  <pageSetup paperSize="9" orientation="portrait" r:id="rId1"/>
  <customProperties>
    <customPr name="AreLinksHighlighted" r:id="rId2"/>
  </customProperties>
  <drawing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C16469A7-6FE5-46A6-BBBB-7E03F022FD63}">
          <x14:formula1>
            <xm:f>'Trial Balance Dropdown'!$C$2:$C$300</xm:f>
          </x14:formula1>
          <xm:sqref>CN68:CN73 CN77:CN82</xm:sqref>
        </x14:dataValidation>
        <x14:dataValidation type="list" allowBlank="1" showInputMessage="1" showErrorMessage="1" xr:uid="{4D3882CF-85C6-4741-A92C-F9116ACB05C0}">
          <x14:formula1>
            <xm:f>'Trial Balance Dropdown'!$A$2:$A$305</xm:f>
          </x14:formula1>
          <xm:sqref>CN44:CN49 CN9:CN14 CN16:CN22 CN24:CN30 CN32:CN40 CN51:CN54</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6FCC4-9E95-4ED4-BB28-8A6DFE237356}">
  <sheetPr>
    <tabColor theme="0" tint="-4.9989318521683403E-2"/>
  </sheetPr>
  <dimension ref="B1:P28"/>
  <sheetViews>
    <sheetView topLeftCell="A2" workbookViewId="0"/>
  </sheetViews>
  <sheetFormatPr defaultColWidth="11.28515625" defaultRowHeight="12" outlineLevelRow="3" outlineLevelCol="2" x14ac:dyDescent="0.2"/>
  <cols>
    <col min="1" max="1" width="11.28515625" style="1"/>
    <col min="2" max="2" width="0.85546875" style="1" hidden="1" customWidth="1" outlineLevel="2"/>
    <col min="3" max="3" width="35.5703125" style="1" hidden="1" customWidth="1" outlineLevel="2"/>
    <col min="4" max="4" width="35.5703125" style="1" customWidth="1" collapsed="1"/>
    <col min="5" max="5" width="10.42578125" style="1" hidden="1" customWidth="1" outlineLevel="1"/>
    <col min="6" max="6" width="10.42578125" style="1" customWidth="1" collapsed="1"/>
    <col min="7" max="8" width="10.42578125" style="1" customWidth="1"/>
    <col min="9" max="12" width="10.42578125" style="1" hidden="1" customWidth="1" outlineLevel="1"/>
    <col min="13" max="13" width="0.85546875" style="1" hidden="1" customWidth="1" outlineLevel="2"/>
    <col min="14" max="14" width="11.28515625" style="1" collapsed="1"/>
    <col min="15" max="16384" width="11.28515625" style="1"/>
  </cols>
  <sheetData>
    <row r="1" spans="3:16" hidden="1" outlineLevel="3" x14ac:dyDescent="0.2"/>
    <row r="2" spans="3:16" collapsed="1" x14ac:dyDescent="0.2"/>
    <row r="3" spans="3:16" ht="11.25" customHeight="1" x14ac:dyDescent="0.2"/>
    <row r="4" spans="3:16" ht="11.25" hidden="1" customHeight="1" outlineLevel="3" x14ac:dyDescent="0.2">
      <c r="C4" s="236" t="str">
        <f>Cockpit!$C$4</f>
        <v>Projekt Namur</v>
      </c>
      <c r="D4" s="230"/>
      <c r="E4" s="234">
        <f>Cockpit!D39</f>
        <v>44926</v>
      </c>
      <c r="F4" s="234">
        <f>Cockpit!E39</f>
        <v>45291</v>
      </c>
      <c r="G4" s="234">
        <f>Cockpit!F39</f>
        <v>45657</v>
      </c>
      <c r="H4" s="234">
        <f>Cockpit!G39</f>
        <v>46022</v>
      </c>
      <c r="I4" s="234">
        <f>Cockpit!H39</f>
        <v>46022</v>
      </c>
      <c r="J4" s="234">
        <f>Cockpit!I39</f>
        <v>46387</v>
      </c>
      <c r="K4" s="234">
        <f>Cockpit!J39</f>
        <v>46752</v>
      </c>
      <c r="L4" s="234">
        <f>Cockpit!K39</f>
        <v>47118</v>
      </c>
    </row>
    <row r="5" spans="3:16" ht="11.25" hidden="1" customHeight="1" outlineLevel="3" x14ac:dyDescent="0.2">
      <c r="C5" s="236" t="str">
        <f>"in T"&amp;Cockpit!$C$5</f>
        <v>in TEUR</v>
      </c>
      <c r="D5" s="230"/>
      <c r="E5" s="234" t="s">
        <v>35</v>
      </c>
      <c r="F5" s="234" t="s">
        <v>35</v>
      </c>
      <c r="G5" s="234" t="s">
        <v>35</v>
      </c>
      <c r="H5" s="234" t="s">
        <v>35</v>
      </c>
      <c r="I5" s="234" t="str">
        <f>Cockpit!H40</f>
        <v>Plan</v>
      </c>
      <c r="J5" s="234" t="str">
        <f>Cockpit!I40</f>
        <v>Plan</v>
      </c>
      <c r="K5" s="234" t="str">
        <f>Cockpit!J40</f>
        <v>Plan</v>
      </c>
      <c r="L5" s="234" t="str">
        <f>Cockpit!K40</f>
        <v>Plan</v>
      </c>
    </row>
    <row r="6" spans="3:16" ht="11.25" customHeight="1" collapsed="1" x14ac:dyDescent="0.2">
      <c r="C6" s="233"/>
      <c r="D6" s="232" t="str">
        <f>Cockpit!$C$4</f>
        <v>Projekt Namur</v>
      </c>
      <c r="E6" s="261">
        <f>Cockpit!D39</f>
        <v>44926</v>
      </c>
      <c r="F6" s="261">
        <f>Cockpit!E39</f>
        <v>45291</v>
      </c>
      <c r="G6" s="261">
        <f>Cockpit!F39</f>
        <v>45657</v>
      </c>
      <c r="H6" s="261">
        <f>Cockpit!G39</f>
        <v>46022</v>
      </c>
      <c r="I6" s="261">
        <f>Cockpit!H39</f>
        <v>46022</v>
      </c>
      <c r="J6" s="261">
        <f>Cockpit!I39</f>
        <v>46387</v>
      </c>
      <c r="K6" s="261">
        <f>Cockpit!J39</f>
        <v>46752</v>
      </c>
      <c r="L6" s="261">
        <f>Cockpit!K39</f>
        <v>47118</v>
      </c>
    </row>
    <row r="7" spans="3:16" ht="11.25" customHeight="1" x14ac:dyDescent="0.2">
      <c r="C7" s="233"/>
      <c r="D7" s="232" t="str">
        <f>"in k"&amp;Cockpit!$C$5</f>
        <v>in kEUR</v>
      </c>
      <c r="E7" s="261" t="str">
        <f>Cockpit!D40</f>
        <v>IST</v>
      </c>
      <c r="F7" s="261" t="str">
        <f>Cockpit!E40</f>
        <v>IST</v>
      </c>
      <c r="G7" s="261" t="str">
        <f>Cockpit!F40</f>
        <v>IST</v>
      </c>
      <c r="H7" s="261" t="str">
        <f>Cockpit!G40</f>
        <v>IST</v>
      </c>
      <c r="I7" s="261" t="str">
        <f>Cockpit!H40</f>
        <v>Plan</v>
      </c>
      <c r="J7" s="261" t="str">
        <f>Cockpit!I40</f>
        <v>Plan</v>
      </c>
      <c r="K7" s="261" t="str">
        <f>Cockpit!J40</f>
        <v>Plan</v>
      </c>
      <c r="L7" s="261" t="str">
        <f>Cockpit!K40</f>
        <v>Plan</v>
      </c>
    </row>
    <row r="8" spans="3:16" ht="4.5" customHeight="1" x14ac:dyDescent="0.2">
      <c r="C8" s="156"/>
      <c r="D8" s="157"/>
      <c r="E8" s="156"/>
      <c r="F8" s="156"/>
      <c r="G8" s="156"/>
      <c r="H8" s="156"/>
      <c r="I8" s="156"/>
      <c r="J8" s="156"/>
      <c r="K8" s="156"/>
      <c r="L8" s="156"/>
    </row>
    <row r="9" spans="3:16" ht="11.25" customHeight="1" x14ac:dyDescent="0.2">
      <c r="C9" s="293" t="s">
        <v>486</v>
      </c>
      <c r="D9" s="293" t="s">
        <v>485</v>
      </c>
      <c r="E9" s="284"/>
      <c r="F9" s="284"/>
      <c r="G9" s="284"/>
      <c r="H9" s="283"/>
      <c r="I9" s="282"/>
      <c r="J9" s="282"/>
      <c r="K9" s="282"/>
      <c r="L9" s="282"/>
      <c r="N9" s="49" t="s">
        <v>484</v>
      </c>
      <c r="O9" s="49"/>
      <c r="P9" s="49"/>
    </row>
    <row r="10" spans="3:16" ht="11.25" customHeight="1" x14ac:dyDescent="0.2">
      <c r="C10" s="37" t="s">
        <v>209</v>
      </c>
      <c r="D10" s="37" t="s">
        <v>209</v>
      </c>
      <c r="E10" s="292"/>
      <c r="F10" s="284"/>
      <c r="G10" s="284"/>
      <c r="H10" s="283"/>
      <c r="I10" s="282"/>
      <c r="J10" s="282"/>
      <c r="K10" s="282"/>
      <c r="L10" s="282"/>
    </row>
    <row r="11" spans="3:16" ht="11.25" customHeight="1" x14ac:dyDescent="0.2">
      <c r="C11" s="37" t="s">
        <v>208</v>
      </c>
      <c r="D11" s="37" t="s">
        <v>208</v>
      </c>
      <c r="E11" s="292"/>
      <c r="F11" s="284"/>
      <c r="G11" s="284"/>
      <c r="H11" s="283"/>
      <c r="I11" s="282"/>
      <c r="J11" s="282"/>
      <c r="K11" s="282"/>
      <c r="L11" s="282"/>
    </row>
    <row r="12" spans="3:16" ht="11.25" customHeight="1" x14ac:dyDescent="0.2">
      <c r="C12" s="37" t="s">
        <v>207</v>
      </c>
      <c r="D12" s="37" t="s">
        <v>207</v>
      </c>
      <c r="E12" s="292"/>
      <c r="F12" s="284"/>
      <c r="G12" s="284"/>
      <c r="H12" s="283"/>
      <c r="I12" s="282"/>
      <c r="J12" s="282"/>
      <c r="K12" s="282"/>
      <c r="L12" s="282"/>
    </row>
    <row r="13" spans="3:16" ht="11.25" hidden="1" customHeight="1" outlineLevel="1" x14ac:dyDescent="0.2">
      <c r="C13" s="37" t="s">
        <v>206</v>
      </c>
      <c r="D13" s="37" t="s">
        <v>206</v>
      </c>
      <c r="E13" s="292"/>
      <c r="F13" s="284"/>
      <c r="G13" s="284"/>
      <c r="H13" s="283"/>
      <c r="I13" s="282"/>
      <c r="J13" s="282"/>
      <c r="K13" s="282"/>
      <c r="L13" s="282"/>
    </row>
    <row r="14" spans="3:16" ht="11.25" hidden="1" customHeight="1" outlineLevel="1" x14ac:dyDescent="0.2">
      <c r="C14" s="37" t="s">
        <v>449</v>
      </c>
      <c r="D14" s="37" t="s">
        <v>449</v>
      </c>
      <c r="E14" s="292"/>
      <c r="F14" s="284"/>
      <c r="G14" s="284"/>
      <c r="H14" s="283"/>
      <c r="I14" s="282"/>
      <c r="J14" s="282"/>
      <c r="K14" s="282"/>
      <c r="L14" s="282"/>
    </row>
    <row r="15" spans="3:16" ht="11.25" hidden="1" customHeight="1" outlineLevel="1" x14ac:dyDescent="0.2">
      <c r="C15" s="37" t="s">
        <v>447</v>
      </c>
      <c r="D15" s="37" t="s">
        <v>447</v>
      </c>
      <c r="E15" s="292"/>
      <c r="F15" s="284"/>
      <c r="G15" s="284"/>
      <c r="H15" s="283"/>
      <c r="I15" s="282"/>
      <c r="J15" s="282"/>
      <c r="K15" s="282"/>
      <c r="L15" s="282"/>
    </row>
    <row r="16" spans="3:16" ht="4.5" customHeight="1" collapsed="1" x14ac:dyDescent="0.2">
      <c r="C16" s="37"/>
      <c r="D16" s="37"/>
      <c r="E16" s="284"/>
      <c r="F16" s="284"/>
      <c r="G16" s="284"/>
      <c r="H16" s="283"/>
      <c r="I16" s="282"/>
      <c r="J16" s="282"/>
      <c r="K16" s="282"/>
      <c r="L16" s="282"/>
    </row>
    <row r="17" spans="3:15" ht="11.25" customHeight="1" x14ac:dyDescent="0.2">
      <c r="C17" s="155" t="s">
        <v>483</v>
      </c>
      <c r="D17" s="155" t="s">
        <v>482</v>
      </c>
      <c r="E17" s="291">
        <f t="shared" ref="E17:L17" si="0">E19-SUM(E10:E15)</f>
        <v>0</v>
      </c>
      <c r="F17" s="291">
        <f t="shared" si="0"/>
        <v>-31.715710000000058</v>
      </c>
      <c r="G17" s="291">
        <f t="shared" si="0"/>
        <v>-520.92459000000008</v>
      </c>
      <c r="H17" s="290">
        <f t="shared" si="0"/>
        <v>-334.70817999999986</v>
      </c>
      <c r="I17" s="289">
        <f t="shared" si="0"/>
        <v>-550.97059999999988</v>
      </c>
      <c r="J17" s="289">
        <f t="shared" si="0"/>
        <v>0</v>
      </c>
      <c r="K17" s="289">
        <f t="shared" si="0"/>
        <v>0</v>
      </c>
      <c r="L17" s="289">
        <f t="shared" si="0"/>
        <v>0</v>
      </c>
    </row>
    <row r="18" spans="3:15" ht="4.5" customHeight="1" x14ac:dyDescent="0.2">
      <c r="C18" s="37"/>
      <c r="D18" s="37"/>
      <c r="E18" s="284"/>
      <c r="F18" s="284"/>
      <c r="G18" s="284"/>
      <c r="H18" s="283"/>
      <c r="I18" s="282"/>
      <c r="J18" s="282"/>
      <c r="K18" s="282"/>
      <c r="L18" s="282"/>
    </row>
    <row r="19" spans="3:15" ht="11.25" customHeight="1" x14ac:dyDescent="0.2">
      <c r="C19" s="272" t="s">
        <v>481</v>
      </c>
      <c r="D19" s="272" t="s">
        <v>480</v>
      </c>
      <c r="E19" s="288"/>
      <c r="F19" s="147">
        <f>'Lead CF'!G47</f>
        <v>-31.715710000000058</v>
      </c>
      <c r="G19" s="147">
        <f>'Lead CF'!H47</f>
        <v>-520.92459000000008</v>
      </c>
      <c r="H19" s="146">
        <f>'Lead CF'!I47</f>
        <v>-334.70817999999986</v>
      </c>
      <c r="I19" s="145">
        <f>'Lead CF'!J47</f>
        <v>-550.97059999999988</v>
      </c>
      <c r="J19" s="145">
        <f>'Lead CF'!K47</f>
        <v>0</v>
      </c>
      <c r="K19" s="145">
        <f>'Lead CF'!L47</f>
        <v>0</v>
      </c>
      <c r="L19" s="145">
        <f>'Lead CF'!M47</f>
        <v>0</v>
      </c>
    </row>
    <row r="20" spans="3:15" ht="4.5" customHeight="1" x14ac:dyDescent="0.2">
      <c r="C20" s="37"/>
      <c r="D20" s="37"/>
      <c r="E20" s="284"/>
      <c r="F20" s="284"/>
      <c r="G20" s="284"/>
      <c r="H20" s="283"/>
      <c r="I20" s="282"/>
      <c r="J20" s="282"/>
      <c r="K20" s="282"/>
      <c r="L20" s="282"/>
    </row>
    <row r="21" spans="3:15" ht="11.65" customHeight="1" x14ac:dyDescent="0.2">
      <c r="C21" s="287" t="s">
        <v>479</v>
      </c>
      <c r="D21" s="287" t="s">
        <v>478</v>
      </c>
      <c r="E21" s="286"/>
      <c r="F21" s="286"/>
      <c r="G21" s="286"/>
      <c r="H21" s="285"/>
      <c r="I21" s="282"/>
      <c r="J21" s="282"/>
      <c r="K21" s="282"/>
      <c r="L21" s="282"/>
      <c r="N21" s="49" t="s">
        <v>477</v>
      </c>
      <c r="O21" s="49"/>
    </row>
    <row r="22" spans="3:15" ht="11.65" customHeight="1" x14ac:dyDescent="0.2">
      <c r="C22" s="287" t="s">
        <v>476</v>
      </c>
      <c r="D22" s="287" t="s">
        <v>475</v>
      </c>
      <c r="E22" s="286"/>
      <c r="F22" s="286"/>
      <c r="G22" s="286"/>
      <c r="H22" s="285"/>
      <c r="I22" s="282"/>
      <c r="J22" s="282"/>
      <c r="K22" s="282"/>
      <c r="L22" s="282"/>
    </row>
    <row r="23" spans="3:15" ht="4.5" customHeight="1" x14ac:dyDescent="0.2">
      <c r="C23" s="37"/>
      <c r="D23" s="37"/>
      <c r="E23" s="284"/>
      <c r="F23" s="284"/>
      <c r="G23" s="284"/>
      <c r="H23" s="283"/>
      <c r="I23" s="282"/>
      <c r="J23" s="282"/>
      <c r="K23" s="282"/>
      <c r="L23" s="282"/>
    </row>
    <row r="24" spans="3:15" ht="11.25" customHeight="1" x14ac:dyDescent="0.2">
      <c r="C24" s="76" t="str">
        <f>"Quelle: "&amp;Cockpit!$C$7</f>
        <v>Quelle: Datenraum/ eigene Analysen</v>
      </c>
      <c r="D24" s="76" t="str">
        <f>"Source: "&amp;Cockpit!$C$8</f>
        <v>Source: Virtual Data Room/ Company Information</v>
      </c>
      <c r="E24" s="281"/>
      <c r="F24" s="281"/>
      <c r="G24" s="281"/>
      <c r="H24" s="280"/>
      <c r="I24" s="279"/>
      <c r="J24" s="279"/>
      <c r="K24" s="279"/>
      <c r="L24" s="279"/>
    </row>
    <row r="25" spans="3:15" ht="11.25" customHeight="1" x14ac:dyDescent="0.2"/>
    <row r="26" spans="3:15" ht="11.25" customHeight="1" x14ac:dyDescent="0.2"/>
    <row r="27" spans="3:15" x14ac:dyDescent="0.2">
      <c r="C27" s="72" t="s">
        <v>474</v>
      </c>
      <c r="D27" s="72" t="s">
        <v>474</v>
      </c>
      <c r="E27" s="71">
        <f>'Lead CF'!E47</f>
        <v>0</v>
      </c>
      <c r="F27" s="71">
        <f>'Lead CF'!G47</f>
        <v>-31.715710000000058</v>
      </c>
      <c r="G27" s="71">
        <f>'Lead CF'!H47</f>
        <v>-520.92459000000008</v>
      </c>
      <c r="H27" s="71">
        <f>'Lead CF'!I47</f>
        <v>-334.70817999999986</v>
      </c>
      <c r="I27" s="71">
        <f>'Lead CF'!J47</f>
        <v>-550.97059999999988</v>
      </c>
      <c r="J27" s="71">
        <f>'Lead CF'!K47</f>
        <v>0</v>
      </c>
      <c r="K27" s="71">
        <f>'Lead CF'!L47</f>
        <v>0</v>
      </c>
      <c r="L27" s="71">
        <f>'Lead CF'!M47</f>
        <v>0</v>
      </c>
    </row>
    <row r="28" spans="3:15" x14ac:dyDescent="0.2">
      <c r="C28" s="70" t="s">
        <v>233</v>
      </c>
      <c r="D28" s="69" t="s">
        <v>233</v>
      </c>
      <c r="E28" s="158">
        <f t="shared" ref="E28:L28" si="1">E27-E19</f>
        <v>0</v>
      </c>
      <c r="F28" s="158">
        <f t="shared" si="1"/>
        <v>0</v>
      </c>
      <c r="G28" s="158">
        <f t="shared" si="1"/>
        <v>0</v>
      </c>
      <c r="H28" s="158">
        <f t="shared" si="1"/>
        <v>0</v>
      </c>
      <c r="I28" s="158">
        <f t="shared" si="1"/>
        <v>0</v>
      </c>
      <c r="J28" s="158">
        <f t="shared" si="1"/>
        <v>0</v>
      </c>
      <c r="K28" s="158">
        <f t="shared" si="1"/>
        <v>0</v>
      </c>
      <c r="L28" s="158">
        <f t="shared" si="1"/>
        <v>0</v>
      </c>
    </row>
  </sheetData>
  <conditionalFormatting sqref="E28:L28">
    <cfRule type="cellIs" dxfId="186" priority="1" operator="between">
      <formula>-1</formula>
      <formula>1</formula>
    </cfRule>
    <cfRule type="cellIs" dxfId="185" priority="2" operator="lessThan">
      <formula>-1</formula>
    </cfRule>
    <cfRule type="cellIs" dxfId="184" priority="3" operator="greaterThan">
      <formula>1</formula>
    </cfRule>
  </conditionalFormatting>
  <pageMargins left="0.7" right="0.7" top="0.78740157499999996" bottom="0.78740157499999996" header="0.3" footer="0.3"/>
  <pageSetup paperSize="9" scale="62"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1589C-C7FA-49D8-A040-68BEE09838F9}">
  <sheetPr>
    <tabColor rgb="FFFF0000"/>
  </sheetPr>
  <dimension ref="B1:K52"/>
  <sheetViews>
    <sheetView topLeftCell="A2" workbookViewId="0"/>
  </sheetViews>
  <sheetFormatPr defaultColWidth="11.28515625" defaultRowHeight="12" outlineLevelRow="3" outlineLevelCol="2" x14ac:dyDescent="0.2"/>
  <cols>
    <col min="1" max="1" width="11.28515625" style="1"/>
    <col min="2" max="2" width="0.85546875" style="1" hidden="1" customWidth="1" outlineLevel="2"/>
    <col min="3" max="3" width="35.5703125" style="1" hidden="1" customWidth="1" outlineLevel="2"/>
    <col min="4" max="4" width="35.5703125" style="1" customWidth="1" collapsed="1"/>
    <col min="5" max="9" width="10.42578125" style="1" customWidth="1"/>
    <col min="10" max="10" width="0.85546875" style="1" hidden="1" customWidth="1" outlineLevel="2"/>
    <col min="11" max="11" width="11.28515625" style="1" collapsed="1"/>
    <col min="12" max="16384" width="11.28515625" style="1"/>
  </cols>
  <sheetData>
    <row r="1" spans="3:9" hidden="1" outlineLevel="3" x14ac:dyDescent="0.2"/>
    <row r="2" spans="3:9" collapsed="1" x14ac:dyDescent="0.2"/>
    <row r="4" spans="3:9" ht="11.45" hidden="1" customHeight="1" outlineLevel="3" x14ac:dyDescent="0.2">
      <c r="C4" s="236" t="str">
        <f>Cockpit!$C$4</f>
        <v>Projekt Namur</v>
      </c>
      <c r="D4" s="230"/>
      <c r="E4" s="230"/>
      <c r="F4" s="302">
        <f>Cockpit!D39</f>
        <v>44926</v>
      </c>
      <c r="G4" s="302">
        <f>Cockpit!E39</f>
        <v>45291</v>
      </c>
      <c r="H4" s="302">
        <f>Cockpit!F39</f>
        <v>45657</v>
      </c>
      <c r="I4" s="302">
        <f>Cockpit!G39</f>
        <v>46022</v>
      </c>
    </row>
    <row r="5" spans="3:9" ht="11.45" hidden="1" customHeight="1" outlineLevel="3" x14ac:dyDescent="0.2">
      <c r="C5" s="236" t="str">
        <f>"in T"&amp;Cockpit!$C$5</f>
        <v>in TEUR</v>
      </c>
      <c r="D5" s="230"/>
      <c r="E5" s="230"/>
      <c r="F5" s="234" t="s">
        <v>35</v>
      </c>
      <c r="G5" s="234" t="s">
        <v>35</v>
      </c>
      <c r="H5" s="234" t="s">
        <v>35</v>
      </c>
      <c r="I5" s="234" t="s">
        <v>35</v>
      </c>
    </row>
    <row r="6" spans="3:9" ht="11.45" customHeight="1" collapsed="1" x14ac:dyDescent="0.2">
      <c r="C6" s="233"/>
      <c r="D6" s="232" t="str">
        <f>Cockpit!$C$4</f>
        <v>Projekt Namur</v>
      </c>
      <c r="E6" s="232"/>
      <c r="F6" s="301">
        <f>Cockpit!D39</f>
        <v>44926</v>
      </c>
      <c r="G6" s="301">
        <f>Cockpit!E39</f>
        <v>45291</v>
      </c>
      <c r="H6" s="301">
        <f>Cockpit!F39</f>
        <v>45657</v>
      </c>
      <c r="I6" s="301">
        <f>Cockpit!G39</f>
        <v>46022</v>
      </c>
    </row>
    <row r="7" spans="3:9" ht="11.45" customHeight="1" x14ac:dyDescent="0.2">
      <c r="C7" s="233"/>
      <c r="D7" s="232" t="str">
        <f>"in k"&amp;Cockpit!$C$5</f>
        <v>in kEUR</v>
      </c>
      <c r="E7" s="232"/>
      <c r="F7" s="261" t="str">
        <f>Cockpit!D40</f>
        <v>IST</v>
      </c>
      <c r="G7" s="261" t="str">
        <f>Cockpit!E40</f>
        <v>IST</v>
      </c>
      <c r="H7" s="261" t="str">
        <f>Cockpit!F40</f>
        <v>IST</v>
      </c>
      <c r="I7" s="261" t="str">
        <f>Cockpit!G40</f>
        <v>IST</v>
      </c>
    </row>
    <row r="8" spans="3:9" ht="4.5" customHeight="1" x14ac:dyDescent="0.2">
      <c r="C8" s="37"/>
      <c r="D8" s="37"/>
      <c r="E8" s="37"/>
      <c r="F8" s="36"/>
      <c r="G8" s="36"/>
      <c r="H8" s="36"/>
      <c r="I8" s="37"/>
    </row>
    <row r="9" spans="3:9" ht="11.45" customHeight="1" x14ac:dyDescent="0.2">
      <c r="C9" s="37" t="s">
        <v>539</v>
      </c>
      <c r="D9" s="37" t="s">
        <v>538</v>
      </c>
      <c r="E9" s="37"/>
      <c r="F9" s="36"/>
      <c r="G9" s="36"/>
      <c r="H9" s="36"/>
      <c r="I9" s="129"/>
    </row>
    <row r="10" spans="3:9" ht="11.45" customHeight="1" x14ac:dyDescent="0.2">
      <c r="C10" s="37" t="s">
        <v>537</v>
      </c>
      <c r="D10" s="37" t="s">
        <v>536</v>
      </c>
      <c r="E10" s="37"/>
      <c r="F10" s="36"/>
      <c r="G10" s="36"/>
      <c r="H10" s="36"/>
      <c r="I10" s="129"/>
    </row>
    <row r="11" spans="3:9" ht="11.45" customHeight="1" x14ac:dyDescent="0.2">
      <c r="C11" s="37" t="s">
        <v>535</v>
      </c>
      <c r="D11" s="37" t="s">
        <v>534</v>
      </c>
      <c r="E11" s="37"/>
      <c r="F11" s="36"/>
      <c r="G11" s="36"/>
      <c r="H11" s="36"/>
      <c r="I11" s="129"/>
    </row>
    <row r="12" spans="3:9" ht="11.45" hidden="1" customHeight="1" outlineLevel="2" x14ac:dyDescent="0.2">
      <c r="C12" s="37" t="s">
        <v>533</v>
      </c>
      <c r="D12" s="37" t="s">
        <v>532</v>
      </c>
      <c r="E12" s="37"/>
      <c r="F12" s="36"/>
      <c r="G12" s="36"/>
      <c r="H12" s="36"/>
      <c r="I12" s="129"/>
    </row>
    <row r="13" spans="3:9" ht="11.45" hidden="1" customHeight="1" outlineLevel="2" x14ac:dyDescent="0.2">
      <c r="C13" s="37" t="s">
        <v>531</v>
      </c>
      <c r="D13" s="37" t="s">
        <v>530</v>
      </c>
      <c r="E13" s="37"/>
      <c r="F13" s="36"/>
      <c r="G13" s="36"/>
      <c r="H13" s="36"/>
      <c r="I13" s="129"/>
    </row>
    <row r="14" spans="3:9" ht="11.45" hidden="1" customHeight="1" outlineLevel="2" x14ac:dyDescent="0.2">
      <c r="C14" s="37" t="s">
        <v>529</v>
      </c>
      <c r="D14" s="37" t="s">
        <v>528</v>
      </c>
      <c r="E14" s="37"/>
      <c r="F14" s="36"/>
      <c r="G14" s="36"/>
      <c r="H14" s="36"/>
      <c r="I14" s="129"/>
    </row>
    <row r="15" spans="3:9" ht="11.45" hidden="1" customHeight="1" outlineLevel="2" x14ac:dyDescent="0.2">
      <c r="C15" s="37" t="s">
        <v>527</v>
      </c>
      <c r="D15" s="37" t="s">
        <v>526</v>
      </c>
      <c r="E15" s="37"/>
      <c r="F15" s="36"/>
      <c r="G15" s="36"/>
      <c r="H15" s="36"/>
      <c r="I15" s="129"/>
    </row>
    <row r="16" spans="3:9" ht="11.45" hidden="1" customHeight="1" outlineLevel="2" x14ac:dyDescent="0.2">
      <c r="C16" s="37" t="s">
        <v>525</v>
      </c>
      <c r="D16" s="37" t="s">
        <v>524</v>
      </c>
      <c r="E16" s="37"/>
      <c r="F16" s="36"/>
      <c r="G16" s="36"/>
      <c r="H16" s="36"/>
      <c r="I16" s="129"/>
    </row>
    <row r="17" spans="3:9" ht="11.45" hidden="1" customHeight="1" outlineLevel="2" x14ac:dyDescent="0.2">
      <c r="C17" s="37" t="s">
        <v>523</v>
      </c>
      <c r="D17" s="37" t="s">
        <v>522</v>
      </c>
      <c r="E17" s="37"/>
      <c r="F17" s="36"/>
      <c r="G17" s="36"/>
      <c r="H17" s="36"/>
      <c r="I17" s="129"/>
    </row>
    <row r="18" spans="3:9" ht="11.45" hidden="1" customHeight="1" outlineLevel="2" x14ac:dyDescent="0.2">
      <c r="C18" s="42" t="s">
        <v>521</v>
      </c>
      <c r="D18" s="42" t="s">
        <v>520</v>
      </c>
      <c r="E18" s="42"/>
      <c r="F18" s="127"/>
      <c r="G18" s="127"/>
      <c r="H18" s="127"/>
      <c r="I18" s="135"/>
    </row>
    <row r="19" spans="3:9" ht="11.45" customHeight="1" collapsed="1" x14ac:dyDescent="0.2">
      <c r="C19" s="257" t="s">
        <v>519</v>
      </c>
      <c r="D19" s="257" t="s">
        <v>518</v>
      </c>
      <c r="E19" s="257"/>
      <c r="F19" s="141">
        <f>SUM(F9:F18)</f>
        <v>0</v>
      </c>
      <c r="G19" s="141">
        <f>SUM(G9:G18)</f>
        <v>0</v>
      </c>
      <c r="H19" s="141">
        <f>SUM(H9:H18)</f>
        <v>0</v>
      </c>
      <c r="I19" s="140">
        <f>SUM(I9:I18)</f>
        <v>0</v>
      </c>
    </row>
    <row r="20" spans="3:9" ht="11.45" customHeight="1" x14ac:dyDescent="0.2">
      <c r="C20" s="37" t="s">
        <v>517</v>
      </c>
      <c r="D20" s="37" t="s">
        <v>516</v>
      </c>
      <c r="E20" s="37"/>
      <c r="F20" s="36"/>
      <c r="G20" s="36"/>
      <c r="H20" s="36"/>
      <c r="I20" s="129"/>
    </row>
    <row r="21" spans="3:9" ht="11.45" customHeight="1" x14ac:dyDescent="0.2">
      <c r="C21" s="42" t="s">
        <v>515</v>
      </c>
      <c r="D21" s="42" t="s">
        <v>514</v>
      </c>
      <c r="E21" s="42"/>
      <c r="F21" s="127"/>
      <c r="G21" s="127"/>
      <c r="H21" s="127"/>
      <c r="I21" s="135"/>
    </row>
    <row r="22" spans="3:9" ht="11.45" customHeight="1" x14ac:dyDescent="0.2">
      <c r="C22" s="271" t="str">
        <f>'Lead NA'!C16</f>
        <v>Vorräte</v>
      </c>
      <c r="D22" s="271" t="str">
        <f>'Lead NA'!D16</f>
        <v>Inventories</v>
      </c>
      <c r="E22" s="271"/>
      <c r="F22" s="173">
        <f>SUM(F19:F21)</f>
        <v>0</v>
      </c>
      <c r="G22" s="173">
        <f>SUM(G19:G21)</f>
        <v>0</v>
      </c>
      <c r="H22" s="173">
        <f>SUM(H19:H21)</f>
        <v>0</v>
      </c>
      <c r="I22" s="270">
        <f>SUM(I19:I21)</f>
        <v>0</v>
      </c>
    </row>
    <row r="23" spans="3:9" ht="4.5" customHeight="1" x14ac:dyDescent="0.2">
      <c r="C23" s="37"/>
      <c r="D23" s="37"/>
      <c r="E23" s="37"/>
      <c r="F23" s="36"/>
      <c r="G23" s="36"/>
      <c r="H23" s="36"/>
      <c r="I23" s="129"/>
    </row>
    <row r="24" spans="3:9" ht="11.45" hidden="1" customHeight="1" outlineLevel="2" x14ac:dyDescent="0.2">
      <c r="C24" s="90" t="s">
        <v>467</v>
      </c>
      <c r="D24" s="90" t="s">
        <v>466</v>
      </c>
      <c r="E24" s="90"/>
      <c r="F24" s="36"/>
      <c r="G24" s="36"/>
      <c r="H24" s="36"/>
      <c r="I24" s="129"/>
    </row>
    <row r="25" spans="3:9" ht="11.45" hidden="1" customHeight="1" outlineLevel="2" x14ac:dyDescent="0.2">
      <c r="C25" s="37" t="s">
        <v>209</v>
      </c>
      <c r="D25" s="37" t="s">
        <v>209</v>
      </c>
      <c r="E25" s="37"/>
      <c r="F25" s="36"/>
      <c r="G25" s="36"/>
      <c r="H25" s="36"/>
      <c r="I25" s="129"/>
    </row>
    <row r="26" spans="3:9" ht="11.45" hidden="1" customHeight="1" outlineLevel="2" x14ac:dyDescent="0.2">
      <c r="C26" s="37" t="s">
        <v>208</v>
      </c>
      <c r="D26" s="37" t="s">
        <v>208</v>
      </c>
      <c r="E26" s="37"/>
      <c r="F26" s="36"/>
      <c r="G26" s="36"/>
      <c r="H26" s="36"/>
      <c r="I26" s="129"/>
    </row>
    <row r="27" spans="3:9" ht="11.45" hidden="1" customHeight="1" outlineLevel="2" x14ac:dyDescent="0.2">
      <c r="C27" s="42" t="s">
        <v>207</v>
      </c>
      <c r="D27" s="42" t="s">
        <v>207</v>
      </c>
      <c r="E27" s="42"/>
      <c r="F27" s="127"/>
      <c r="G27" s="127"/>
      <c r="H27" s="127"/>
      <c r="I27" s="135"/>
    </row>
    <row r="28" spans="3:9" ht="11.45" hidden="1" customHeight="1" outlineLevel="1" x14ac:dyDescent="0.2">
      <c r="C28" s="272" t="str">
        <f>C24</f>
        <v>Normalisierungsanpassungen BT</v>
      </c>
      <c r="D28" s="272" t="str">
        <f>D24</f>
        <v>BT normalization adjustments</v>
      </c>
      <c r="E28" s="272"/>
      <c r="F28" s="147">
        <f>+SUM(F25:F27)</f>
        <v>0</v>
      </c>
      <c r="G28" s="147">
        <f>+SUM(G25:G27)</f>
        <v>0</v>
      </c>
      <c r="H28" s="147">
        <f>+SUM(H25:H27)</f>
        <v>0</v>
      </c>
      <c r="I28" s="131">
        <f>+SUM(I25:I27)</f>
        <v>0</v>
      </c>
    </row>
    <row r="29" spans="3:9" ht="11.45" hidden="1" customHeight="1" outlineLevel="1" x14ac:dyDescent="0.2">
      <c r="C29" s="271" t="s">
        <v>513</v>
      </c>
      <c r="D29" s="271" t="s">
        <v>512</v>
      </c>
      <c r="E29" s="271"/>
      <c r="F29" s="173">
        <f>+F22+F28</f>
        <v>0</v>
      </c>
      <c r="G29" s="173">
        <f>+G22+G28</f>
        <v>0</v>
      </c>
      <c r="H29" s="173">
        <f>+H22+H28</f>
        <v>0</v>
      </c>
      <c r="I29" s="270">
        <f>+I22+I28</f>
        <v>0</v>
      </c>
    </row>
    <row r="30" spans="3:9" ht="4.5" hidden="1" customHeight="1" outlineLevel="1" x14ac:dyDescent="0.2">
      <c r="C30" s="241"/>
      <c r="D30" s="241"/>
      <c r="E30" s="241"/>
      <c r="F30" s="167"/>
      <c r="G30" s="167"/>
      <c r="H30" s="167"/>
      <c r="I30" s="276"/>
    </row>
    <row r="31" spans="3:9" ht="11.45" customHeight="1" collapsed="1" x14ac:dyDescent="0.2">
      <c r="C31" s="241" t="s">
        <v>511</v>
      </c>
      <c r="D31" s="241" t="s">
        <v>510</v>
      </c>
      <c r="E31" s="241"/>
      <c r="F31" s="167"/>
      <c r="G31" s="167"/>
      <c r="H31" s="167"/>
      <c r="I31" s="276"/>
    </row>
    <row r="32" spans="3:9" ht="11.45" customHeight="1" x14ac:dyDescent="0.2">
      <c r="C32" s="37" t="str">
        <f t="shared" ref="C32:D44" si="0">C9</f>
        <v>Produkt 1</v>
      </c>
      <c r="D32" s="37" t="str">
        <f t="shared" si="0"/>
        <v>Product 1</v>
      </c>
      <c r="E32" s="37"/>
      <c r="F32" s="36" t="str">
        <f t="shared" ref="F32:I44" si="1">IFERROR(F9/F$22,"n/a")</f>
        <v>n/a</v>
      </c>
      <c r="G32" s="36" t="str">
        <f t="shared" si="1"/>
        <v>n/a</v>
      </c>
      <c r="H32" s="36" t="str">
        <f t="shared" si="1"/>
        <v>n/a</v>
      </c>
      <c r="I32" s="129" t="str">
        <f t="shared" si="1"/>
        <v>n/a</v>
      </c>
    </row>
    <row r="33" spans="3:9" ht="11.45" customHeight="1" x14ac:dyDescent="0.2">
      <c r="C33" s="37" t="str">
        <f t="shared" si="0"/>
        <v>Produkt 2</v>
      </c>
      <c r="D33" s="37" t="str">
        <f t="shared" si="0"/>
        <v>Product 2</v>
      </c>
      <c r="E33" s="37"/>
      <c r="F33" s="36" t="str">
        <f t="shared" si="1"/>
        <v>n/a</v>
      </c>
      <c r="G33" s="36" t="str">
        <f t="shared" si="1"/>
        <v>n/a</v>
      </c>
      <c r="H33" s="36" t="str">
        <f t="shared" si="1"/>
        <v>n/a</v>
      </c>
      <c r="I33" s="129" t="str">
        <f t="shared" si="1"/>
        <v>n/a</v>
      </c>
    </row>
    <row r="34" spans="3:9" ht="11.45" customHeight="1" x14ac:dyDescent="0.2">
      <c r="C34" s="37" t="str">
        <f t="shared" si="0"/>
        <v>Produkt 3</v>
      </c>
      <c r="D34" s="37" t="str">
        <f t="shared" si="0"/>
        <v>Product 3</v>
      </c>
      <c r="E34" s="37"/>
      <c r="F34" s="36" t="str">
        <f t="shared" si="1"/>
        <v>n/a</v>
      </c>
      <c r="G34" s="36" t="str">
        <f t="shared" si="1"/>
        <v>n/a</v>
      </c>
      <c r="H34" s="36" t="str">
        <f t="shared" si="1"/>
        <v>n/a</v>
      </c>
      <c r="I34" s="129" t="str">
        <f t="shared" si="1"/>
        <v>n/a</v>
      </c>
    </row>
    <row r="35" spans="3:9" ht="11.45" hidden="1" customHeight="1" outlineLevel="2" x14ac:dyDescent="0.2">
      <c r="C35" s="37" t="str">
        <f t="shared" si="0"/>
        <v>Produkt 4</v>
      </c>
      <c r="D35" s="37" t="str">
        <f t="shared" si="0"/>
        <v>Product 4</v>
      </c>
      <c r="E35" s="37"/>
      <c r="F35" s="36" t="str">
        <f t="shared" si="1"/>
        <v>n/a</v>
      </c>
      <c r="G35" s="36" t="str">
        <f t="shared" si="1"/>
        <v>n/a</v>
      </c>
      <c r="H35" s="36" t="str">
        <f t="shared" si="1"/>
        <v>n/a</v>
      </c>
      <c r="I35" s="129" t="str">
        <f t="shared" si="1"/>
        <v>n/a</v>
      </c>
    </row>
    <row r="36" spans="3:9" ht="11.45" hidden="1" customHeight="1" outlineLevel="2" x14ac:dyDescent="0.2">
      <c r="C36" s="37" t="str">
        <f t="shared" si="0"/>
        <v>Produkt 5</v>
      </c>
      <c r="D36" s="37" t="str">
        <f t="shared" si="0"/>
        <v>Product 5</v>
      </c>
      <c r="E36" s="37"/>
      <c r="F36" s="36" t="str">
        <f t="shared" si="1"/>
        <v>n/a</v>
      </c>
      <c r="G36" s="36" t="str">
        <f t="shared" si="1"/>
        <v>n/a</v>
      </c>
      <c r="H36" s="36" t="str">
        <f t="shared" si="1"/>
        <v>n/a</v>
      </c>
      <c r="I36" s="129" t="str">
        <f t="shared" si="1"/>
        <v>n/a</v>
      </c>
    </row>
    <row r="37" spans="3:9" ht="11.45" hidden="1" customHeight="1" outlineLevel="2" x14ac:dyDescent="0.2">
      <c r="C37" s="37" t="str">
        <f t="shared" si="0"/>
        <v>Produkt 6</v>
      </c>
      <c r="D37" s="37" t="str">
        <f t="shared" si="0"/>
        <v>Product 6</v>
      </c>
      <c r="E37" s="37"/>
      <c r="F37" s="36" t="str">
        <f t="shared" si="1"/>
        <v>n/a</v>
      </c>
      <c r="G37" s="36" t="str">
        <f t="shared" si="1"/>
        <v>n/a</v>
      </c>
      <c r="H37" s="36" t="str">
        <f t="shared" si="1"/>
        <v>n/a</v>
      </c>
      <c r="I37" s="129" t="str">
        <f t="shared" si="1"/>
        <v>n/a</v>
      </c>
    </row>
    <row r="38" spans="3:9" ht="11.45" hidden="1" customHeight="1" outlineLevel="2" x14ac:dyDescent="0.2">
      <c r="C38" s="37" t="str">
        <f t="shared" si="0"/>
        <v>Produkt 7</v>
      </c>
      <c r="D38" s="37" t="str">
        <f t="shared" si="0"/>
        <v>Product 7</v>
      </c>
      <c r="E38" s="37"/>
      <c r="F38" s="36" t="str">
        <f t="shared" si="1"/>
        <v>n/a</v>
      </c>
      <c r="G38" s="36" t="str">
        <f t="shared" si="1"/>
        <v>n/a</v>
      </c>
      <c r="H38" s="36" t="str">
        <f t="shared" si="1"/>
        <v>n/a</v>
      </c>
      <c r="I38" s="129" t="str">
        <f t="shared" si="1"/>
        <v>n/a</v>
      </c>
    </row>
    <row r="39" spans="3:9" ht="11.45" hidden="1" customHeight="1" outlineLevel="2" x14ac:dyDescent="0.2">
      <c r="C39" s="37" t="str">
        <f t="shared" si="0"/>
        <v>Produkt 8</v>
      </c>
      <c r="D39" s="37" t="str">
        <f t="shared" si="0"/>
        <v>Product 8</v>
      </c>
      <c r="E39" s="37"/>
      <c r="F39" s="36" t="str">
        <f t="shared" si="1"/>
        <v>n/a</v>
      </c>
      <c r="G39" s="36" t="str">
        <f t="shared" si="1"/>
        <v>n/a</v>
      </c>
      <c r="H39" s="36" t="str">
        <f t="shared" si="1"/>
        <v>n/a</v>
      </c>
      <c r="I39" s="129" t="str">
        <f t="shared" si="1"/>
        <v>n/a</v>
      </c>
    </row>
    <row r="40" spans="3:9" ht="11.45" hidden="1" customHeight="1" outlineLevel="2" x14ac:dyDescent="0.2">
      <c r="C40" s="37" t="str">
        <f t="shared" si="0"/>
        <v>Produkt 9</v>
      </c>
      <c r="D40" s="37" t="str">
        <f t="shared" si="0"/>
        <v>Product 9</v>
      </c>
      <c r="E40" s="37"/>
      <c r="F40" s="36" t="str">
        <f t="shared" si="1"/>
        <v>n/a</v>
      </c>
      <c r="G40" s="36" t="str">
        <f t="shared" si="1"/>
        <v>n/a</v>
      </c>
      <c r="H40" s="36" t="str">
        <f t="shared" si="1"/>
        <v>n/a</v>
      </c>
      <c r="I40" s="129" t="str">
        <f t="shared" si="1"/>
        <v>n/a</v>
      </c>
    </row>
    <row r="41" spans="3:9" ht="11.45" hidden="1" customHeight="1" outlineLevel="2" x14ac:dyDescent="0.2">
      <c r="C41" s="37" t="str">
        <f t="shared" si="0"/>
        <v>Produkt 10</v>
      </c>
      <c r="D41" s="37" t="str">
        <f t="shared" si="0"/>
        <v>Product 10</v>
      </c>
      <c r="E41" s="37"/>
      <c r="F41" s="36" t="str">
        <f t="shared" si="1"/>
        <v>n/a</v>
      </c>
      <c r="G41" s="36" t="str">
        <f t="shared" si="1"/>
        <v>n/a</v>
      </c>
      <c r="H41" s="36" t="str">
        <f t="shared" si="1"/>
        <v>n/a</v>
      </c>
      <c r="I41" s="129" t="str">
        <f t="shared" si="1"/>
        <v>n/a</v>
      </c>
    </row>
    <row r="42" spans="3:9" ht="11.45" customHeight="1" collapsed="1" x14ac:dyDescent="0.2">
      <c r="C42" s="155" t="str">
        <f t="shared" si="0"/>
        <v>Top 10 Produkte</v>
      </c>
      <c r="D42" s="155" t="str">
        <f t="shared" si="0"/>
        <v>Top 10 Products</v>
      </c>
      <c r="E42" s="155"/>
      <c r="F42" s="154" t="str">
        <f t="shared" si="1"/>
        <v>n/a</v>
      </c>
      <c r="G42" s="154" t="str">
        <f t="shared" si="1"/>
        <v>n/a</v>
      </c>
      <c r="H42" s="154" t="str">
        <f t="shared" si="1"/>
        <v>n/a</v>
      </c>
      <c r="I42" s="153" t="str">
        <f t="shared" si="1"/>
        <v>n/a</v>
      </c>
    </row>
    <row r="43" spans="3:9" ht="11.45" customHeight="1" x14ac:dyDescent="0.2">
      <c r="C43" s="37" t="str">
        <f t="shared" si="0"/>
        <v>Andere Produkte</v>
      </c>
      <c r="D43" s="37" t="str">
        <f t="shared" si="0"/>
        <v>Other Products</v>
      </c>
      <c r="E43" s="37"/>
      <c r="F43" s="36" t="str">
        <f t="shared" si="1"/>
        <v>n/a</v>
      </c>
      <c r="G43" s="36" t="str">
        <f t="shared" si="1"/>
        <v>n/a</v>
      </c>
      <c r="H43" s="36" t="str">
        <f t="shared" si="1"/>
        <v>n/a</v>
      </c>
      <c r="I43" s="300" t="str">
        <f t="shared" si="1"/>
        <v>n/a</v>
      </c>
    </row>
    <row r="44" spans="3:9" ht="11.45" customHeight="1" x14ac:dyDescent="0.2">
      <c r="C44" s="37" t="str">
        <f t="shared" si="0"/>
        <v>Wertberichtigung auf Vorräte</v>
      </c>
      <c r="D44" s="37" t="str">
        <f t="shared" si="0"/>
        <v>Valuation allowance for inventories</v>
      </c>
      <c r="E44" s="37"/>
      <c r="F44" s="36" t="str">
        <f t="shared" si="1"/>
        <v>n/a</v>
      </c>
      <c r="G44" s="36" t="str">
        <f t="shared" si="1"/>
        <v>n/a</v>
      </c>
      <c r="H44" s="36" t="str">
        <f t="shared" si="1"/>
        <v>n/a</v>
      </c>
      <c r="I44" s="300" t="str">
        <f t="shared" si="1"/>
        <v>n/a</v>
      </c>
    </row>
    <row r="45" spans="3:9" ht="4.5" customHeight="1" x14ac:dyDescent="0.2">
      <c r="C45" s="37"/>
      <c r="D45" s="37"/>
      <c r="E45" s="37"/>
      <c r="F45" s="36"/>
      <c r="G45" s="36"/>
      <c r="H45" s="36"/>
      <c r="I45" s="300"/>
    </row>
    <row r="46" spans="3:9" ht="11.45" customHeight="1" x14ac:dyDescent="0.2">
      <c r="C46" s="287" t="str">
        <f>C29</f>
        <v>Normalisierte Vorräte</v>
      </c>
      <c r="D46" s="287" t="str">
        <f>D29</f>
        <v>Normalized inventories</v>
      </c>
      <c r="E46" s="287"/>
      <c r="F46" s="299" t="str">
        <f>IFERROR(F29/F$22,"n/a")</f>
        <v>n/a</v>
      </c>
      <c r="G46" s="299" t="str">
        <f>IFERROR(G29/G$22,"n/a")</f>
        <v>n/a</v>
      </c>
      <c r="H46" s="299" t="str">
        <f>IFERROR(H29/H$22,"n/a")</f>
        <v>n/a</v>
      </c>
      <c r="I46" s="298" t="str">
        <f>IFERROR(I29/I$22,"n/a")</f>
        <v>n/a</v>
      </c>
    </row>
    <row r="47" spans="3:9" ht="4.5" customHeight="1" x14ac:dyDescent="0.2">
      <c r="C47" s="37"/>
      <c r="D47" s="37"/>
      <c r="E47" s="37"/>
      <c r="F47" s="36"/>
      <c r="G47" s="36"/>
      <c r="H47" s="36"/>
      <c r="I47" s="129"/>
    </row>
    <row r="48" spans="3:9" ht="11.45" customHeight="1" x14ac:dyDescent="0.2">
      <c r="C48" s="42" t="str">
        <f>"Quelle: "&amp;Cockpit!$C$7</f>
        <v>Quelle: Datenraum/ eigene Analysen</v>
      </c>
      <c r="D48" s="42" t="str">
        <f>"Source: "&amp;Cockpit!$C$8</f>
        <v>Source: Virtual Data Room/ Company Information</v>
      </c>
      <c r="E48" s="42"/>
      <c r="F48" s="127"/>
      <c r="G48" s="127"/>
      <c r="H48" s="127"/>
      <c r="I48" s="127"/>
    </row>
    <row r="51" spans="3:9" x14ac:dyDescent="0.2">
      <c r="C51" s="72" t="s">
        <v>509</v>
      </c>
      <c r="D51" s="72" t="s">
        <v>508</v>
      </c>
      <c r="E51" s="72"/>
      <c r="F51" s="71">
        <f>'Lead NA'!F16</f>
        <v>1953.4010800000001</v>
      </c>
      <c r="G51" s="71">
        <f>'Lead NA'!G16</f>
        <v>2652.1086500000001</v>
      </c>
      <c r="H51" s="71">
        <f>'Lead NA'!H16</f>
        <v>3855.88364</v>
      </c>
      <c r="I51" s="71">
        <f>'Lead NA'!I16</f>
        <v>2912.6865600000001</v>
      </c>
    </row>
    <row r="52" spans="3:9" x14ac:dyDescent="0.2">
      <c r="C52" s="70" t="s">
        <v>233</v>
      </c>
      <c r="D52" s="69" t="s">
        <v>233</v>
      </c>
      <c r="E52" s="70"/>
      <c r="F52" s="68">
        <f>F51-F22</f>
        <v>1953.4010800000001</v>
      </c>
      <c r="G52" s="68">
        <f>G51-G22</f>
        <v>2652.1086500000001</v>
      </c>
      <c r="H52" s="68">
        <f>H51-H22</f>
        <v>3855.88364</v>
      </c>
      <c r="I52" s="68">
        <f>I51-I22</f>
        <v>2912.6865600000001</v>
      </c>
    </row>
  </sheetData>
  <conditionalFormatting sqref="F52:I52">
    <cfRule type="cellIs" dxfId="183" priority="1" operator="between">
      <formula>-1</formula>
      <formula>1</formula>
    </cfRule>
    <cfRule type="cellIs" dxfId="182" priority="2" operator="lessThan">
      <formula>-1</formula>
    </cfRule>
    <cfRule type="cellIs" dxfId="181" priority="3" operator="greaterThan">
      <formula>1</formula>
    </cfRule>
  </conditionalFormatting>
  <pageMargins left="0.7" right="0.7" top="0.78740157499999996" bottom="0.78740157499999996" header="0.3" footer="0.3"/>
  <pageSetup paperSize="9" scale="62"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986E-ED48-4911-AB3F-4C15B0123C23}">
  <sheetPr>
    <tabColor theme="1"/>
  </sheetPr>
  <dimension ref="A1"/>
  <sheetViews>
    <sheetView workbookViewId="0"/>
  </sheetViews>
  <sheetFormatPr defaultColWidth="11.42578125" defaultRowHeight="12" x14ac:dyDescent="0.2"/>
  <cols>
    <col min="1" max="3" width="11.42578125" style="1"/>
    <col min="4" max="4" width="50.140625" style="1" customWidth="1"/>
    <col min="5" max="16384" width="11.42578125" style="1"/>
  </cols>
  <sheetData/>
  <pageMargins left="0.7" right="0.7" top="0.78740157499999996" bottom="0.78740157499999996"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BE9AF-D2B9-42A2-A2A2-4CD5A36D83E7}">
  <dimension ref="B1:S26"/>
  <sheetViews>
    <sheetView topLeftCell="A2" workbookViewId="0"/>
  </sheetViews>
  <sheetFormatPr defaultColWidth="11.42578125" defaultRowHeight="11.45" customHeight="1" outlineLevelRow="3" outlineLevelCol="2" x14ac:dyDescent="0.2"/>
  <cols>
    <col min="1" max="1" width="11.42578125" style="1"/>
    <col min="2" max="2" width="0.85546875" style="1" hidden="1" customWidth="1" outlineLevel="2"/>
    <col min="3" max="3" width="35.5703125" style="1" hidden="1" customWidth="1" outlineLevel="2"/>
    <col min="4" max="4" width="35.5703125" style="1" customWidth="1" collapsed="1"/>
    <col min="5" max="5" width="10.42578125" style="1" customWidth="1"/>
    <col min="6" max="10" width="9.42578125" style="1" customWidth="1"/>
    <col min="11" max="14" width="9.42578125" style="1" hidden="1" customWidth="1" outlineLevel="1"/>
    <col min="15" max="15" width="0.85546875" style="1" customWidth="1" collapsed="1"/>
    <col min="16" max="17" width="8.42578125" style="1" hidden="1" customWidth="1" outlineLevel="1"/>
    <col min="18" max="18" width="0.85546875" style="1" hidden="1" customWidth="1" outlineLevel="2"/>
    <col min="19" max="19" width="11.42578125" style="1" collapsed="1"/>
    <col min="20" max="16384" width="11.42578125" style="1"/>
  </cols>
  <sheetData>
    <row r="1" spans="2:18" ht="11.45" hidden="1" customHeight="1" outlineLevel="3" x14ac:dyDescent="0.2">
      <c r="C1" s="13" t="s">
        <v>268</v>
      </c>
      <c r="D1" s="13" t="s">
        <v>268</v>
      </c>
      <c r="E1" s="13"/>
      <c r="F1" s="12">
        <f t="shared" ref="F1:N1" si="0">IFERROR(F4,F6)</f>
        <v>44926</v>
      </c>
      <c r="G1" s="12">
        <f t="shared" si="0"/>
        <v>45291</v>
      </c>
      <c r="H1" s="12">
        <f t="shared" si="0"/>
        <v>45657</v>
      </c>
      <c r="I1" s="12">
        <f t="shared" si="0"/>
        <v>46022</v>
      </c>
      <c r="J1" s="12">
        <f t="shared" si="0"/>
        <v>46022</v>
      </c>
      <c r="K1" s="12">
        <f t="shared" si="0"/>
        <v>46022</v>
      </c>
      <c r="L1" s="12">
        <f t="shared" si="0"/>
        <v>46387</v>
      </c>
      <c r="M1" s="12">
        <f t="shared" si="0"/>
        <v>46752</v>
      </c>
      <c r="N1" s="12">
        <f t="shared" si="0"/>
        <v>47118</v>
      </c>
    </row>
    <row r="2" spans="2:18" ht="11.45" customHeight="1" collapsed="1" x14ac:dyDescent="0.2">
      <c r="C2" s="13"/>
      <c r="D2" s="13"/>
      <c r="E2" s="13"/>
      <c r="F2" s="12"/>
      <c r="G2" s="12"/>
      <c r="H2" s="12"/>
      <c r="I2" s="12"/>
      <c r="J2" s="12"/>
      <c r="K2" s="12"/>
      <c r="L2" s="12"/>
      <c r="M2" s="12"/>
      <c r="N2" s="12"/>
    </row>
    <row r="4" spans="2:18" ht="11.45" hidden="1" customHeight="1" outlineLevel="3" x14ac:dyDescent="0.2">
      <c r="B4" s="81"/>
      <c r="C4" s="236" t="str">
        <f>Cockpit!$C$4</f>
        <v>Projekt Namur</v>
      </c>
      <c r="D4" s="230"/>
      <c r="E4" s="230"/>
      <c r="F4" s="230">
        <f>'Lead PL'!F4</f>
        <v>44926</v>
      </c>
      <c r="G4" s="230">
        <f>'Lead PL'!G4</f>
        <v>45291</v>
      </c>
      <c r="H4" s="230">
        <f>'Lead PL'!H4</f>
        <v>45657</v>
      </c>
      <c r="I4" s="234">
        <f>'Lead PL'!I4</f>
        <v>46022</v>
      </c>
      <c r="J4" s="234">
        <f>'Lead PL'!J4</f>
        <v>46022</v>
      </c>
      <c r="K4" s="230">
        <f>'Lead PL'!K4</f>
        <v>46022</v>
      </c>
      <c r="L4" s="230">
        <f>'Lead PL'!L4</f>
        <v>46387</v>
      </c>
      <c r="M4" s="230">
        <f>'Lead PL'!M4</f>
        <v>46752</v>
      </c>
      <c r="N4" s="230">
        <f>'Lead PL'!N4</f>
        <v>47118</v>
      </c>
      <c r="O4" s="81"/>
      <c r="P4" s="230" t="str">
        <f>'Lead PL'!P4</f>
        <v>CAGR</v>
      </c>
      <c r="Q4" s="230" t="str">
        <f>'Lead PL'!Q4</f>
        <v>CAGR</v>
      </c>
      <c r="R4" s="81"/>
    </row>
    <row r="5" spans="2:18" ht="11.45" hidden="1" customHeight="1" outlineLevel="3" x14ac:dyDescent="0.2">
      <c r="B5" s="81"/>
      <c r="C5" s="236" t="str">
        <f>"in T"&amp;Cockpit!$C$5</f>
        <v>in TEUR</v>
      </c>
      <c r="D5" s="230"/>
      <c r="E5" s="230"/>
      <c r="F5" s="230" t="str">
        <f>'Lead PL'!F5</f>
        <v>IST</v>
      </c>
      <c r="G5" s="230" t="str">
        <f>'Lead PL'!G5</f>
        <v>IST</v>
      </c>
      <c r="H5" s="230" t="str">
        <f>'Lead PL'!H5</f>
        <v>IST</v>
      </c>
      <c r="I5" s="230" t="str">
        <f>'Lead PL'!I5</f>
        <v>IST</v>
      </c>
      <c r="J5" s="230" t="str">
        <f>'Lead PL'!J5</f>
        <v>YTD</v>
      </c>
      <c r="K5" s="230" t="str">
        <f>'Lead PL'!K5</f>
        <v>Plan</v>
      </c>
      <c r="L5" s="230" t="str">
        <f>'Lead PL'!L5</f>
        <v>Plan</v>
      </c>
      <c r="M5" s="230" t="str">
        <f>'Lead PL'!M5</f>
        <v>Plan</v>
      </c>
      <c r="N5" s="230" t="str">
        <f>'Lead PL'!N5</f>
        <v>Plan</v>
      </c>
      <c r="O5" s="81"/>
      <c r="P5" s="230" t="str">
        <f>'Lead PL'!P5</f>
        <v>IST</v>
      </c>
      <c r="Q5" s="230" t="str">
        <f>'Lead PL'!Q5</f>
        <v>Plan</v>
      </c>
      <c r="R5" s="81"/>
    </row>
    <row r="6" spans="2:18" ht="11.45" customHeight="1" collapsed="1" x14ac:dyDescent="0.2">
      <c r="B6" s="122"/>
      <c r="C6" s="233"/>
      <c r="D6" s="232" t="str">
        <f>Cockpit!$C$4</f>
        <v>Projekt Namur</v>
      </c>
      <c r="E6" s="232"/>
      <c r="F6" s="233">
        <f>'Lead PL'!F6</f>
        <v>44926</v>
      </c>
      <c r="G6" s="233">
        <f>'Lead PL'!G6</f>
        <v>45291</v>
      </c>
      <c r="H6" s="233">
        <f>'Lead PL'!H6</f>
        <v>45657</v>
      </c>
      <c r="I6" s="261">
        <f>'Lead PL'!I6</f>
        <v>46022</v>
      </c>
      <c r="J6" s="261">
        <f>'Lead PL'!J6</f>
        <v>46022</v>
      </c>
      <c r="K6" s="233">
        <f>'Lead PL'!K6</f>
        <v>46022</v>
      </c>
      <c r="L6" s="233">
        <f>'Lead PL'!L6</f>
        <v>46387</v>
      </c>
      <c r="M6" s="233">
        <f>'Lead PL'!M6</f>
        <v>46752</v>
      </c>
      <c r="N6" s="233">
        <f>'Lead PL'!N6</f>
        <v>47118</v>
      </c>
      <c r="O6" s="122"/>
      <c r="P6" s="233" t="str">
        <f>'Lead PL'!P6</f>
        <v>CAGR</v>
      </c>
      <c r="Q6" s="233" t="str">
        <f>'Lead PL'!Q6</f>
        <v>CAGR</v>
      </c>
      <c r="R6" s="122"/>
    </row>
    <row r="7" spans="2:18" ht="11.45" customHeight="1" x14ac:dyDescent="0.2">
      <c r="B7" s="122"/>
      <c r="C7" s="233"/>
      <c r="D7" s="232" t="str">
        <f>"in k"&amp;Cockpit!$C$5</f>
        <v>in kEUR</v>
      </c>
      <c r="E7" s="232"/>
      <c r="F7" s="233" t="str">
        <f>'Lead PL'!F7</f>
        <v>IST</v>
      </c>
      <c r="G7" s="233" t="str">
        <f>'Lead PL'!G7</f>
        <v>IST</v>
      </c>
      <c r="H7" s="233" t="str">
        <f>'Lead PL'!H7</f>
        <v>IST</v>
      </c>
      <c r="I7" s="233" t="str">
        <f>'Lead PL'!I7</f>
        <v>IST</v>
      </c>
      <c r="J7" s="233" t="str">
        <f>'Lead PL'!J7</f>
        <v>YTD</v>
      </c>
      <c r="K7" s="233" t="str">
        <f>'Lead PL'!K7</f>
        <v>Plan</v>
      </c>
      <c r="L7" s="233" t="str">
        <f>'Lead PL'!L7</f>
        <v>Plan</v>
      </c>
      <c r="M7" s="233" t="str">
        <f>'Lead PL'!M7</f>
        <v>Plan</v>
      </c>
      <c r="N7" s="233" t="str">
        <f>'Lead PL'!N7</f>
        <v>Plan</v>
      </c>
      <c r="O7" s="122"/>
      <c r="P7" s="233" t="str">
        <f>'Lead PL'!P7</f>
        <v>IST</v>
      </c>
      <c r="Q7" s="233" t="str">
        <f>'Lead PL'!Q7</f>
        <v>Plan</v>
      </c>
      <c r="R7" s="122"/>
    </row>
    <row r="8" spans="2:18" ht="4.5" customHeight="1" x14ac:dyDescent="0.2">
      <c r="B8" s="314"/>
      <c r="C8" s="37"/>
      <c r="D8" s="37"/>
      <c r="E8" s="37"/>
      <c r="F8" s="37"/>
      <c r="G8" s="37"/>
      <c r="H8" s="37"/>
      <c r="I8" s="37"/>
      <c r="J8" s="37"/>
      <c r="K8" s="37"/>
      <c r="L8" s="37"/>
      <c r="M8" s="37"/>
      <c r="N8" s="37"/>
      <c r="O8" s="314"/>
      <c r="P8" s="81"/>
      <c r="Q8" s="81"/>
      <c r="R8" s="314"/>
    </row>
    <row r="9" spans="2:18" ht="11.45" customHeight="1" x14ac:dyDescent="0.2">
      <c r="B9" s="314"/>
      <c r="C9" s="37" t="s">
        <v>209</v>
      </c>
      <c r="D9" s="37" t="s">
        <v>209</v>
      </c>
      <c r="E9" s="37"/>
      <c r="F9" s="36"/>
      <c r="G9" s="36"/>
      <c r="H9" s="36"/>
      <c r="I9" s="160"/>
      <c r="J9" s="129"/>
      <c r="K9" s="128"/>
      <c r="L9" s="128"/>
      <c r="M9" s="128"/>
      <c r="N9" s="128"/>
      <c r="O9" s="314"/>
      <c r="P9" s="81" t="str">
        <f>IFERROR(((H9/F9)^(1/(($H$1-$F$1)/365)))-1,"n/a")</f>
        <v>n/a</v>
      </c>
      <c r="Q9" s="81" t="str">
        <f>IFERROR(((N9/H9)^(1/(($N$1-$H$1)/365)))-1,"n/a")</f>
        <v>n/a</v>
      </c>
      <c r="R9" s="314"/>
    </row>
    <row r="10" spans="2:18" ht="11.45" customHeight="1" x14ac:dyDescent="0.2">
      <c r="B10" s="314"/>
      <c r="C10" s="37" t="s">
        <v>208</v>
      </c>
      <c r="D10" s="37" t="s">
        <v>208</v>
      </c>
      <c r="E10" s="37"/>
      <c r="F10" s="36"/>
      <c r="G10" s="36"/>
      <c r="H10" s="36"/>
      <c r="I10" s="160"/>
      <c r="J10" s="129"/>
      <c r="K10" s="128"/>
      <c r="L10" s="128"/>
      <c r="M10" s="128"/>
      <c r="N10" s="128"/>
      <c r="O10" s="314"/>
      <c r="P10" s="81" t="str">
        <f>IFERROR(((H10/F10)^(1/(($H$1-$F$1)/365)))-1,"n/a")</f>
        <v>n/a</v>
      </c>
      <c r="Q10" s="81" t="str">
        <f>IFERROR(((N10/H10)^(1/(($N$1-$H$1)/365)))-1,"n/a")</f>
        <v>n/a</v>
      </c>
      <c r="R10" s="314"/>
    </row>
    <row r="11" spans="2:18" ht="11.45" customHeight="1" x14ac:dyDescent="0.2">
      <c r="B11" s="314"/>
      <c r="C11" s="37" t="s">
        <v>207</v>
      </c>
      <c r="D11" s="37" t="s">
        <v>207</v>
      </c>
      <c r="E11" s="37"/>
      <c r="F11" s="36"/>
      <c r="G11" s="36"/>
      <c r="H11" s="36"/>
      <c r="I11" s="160"/>
      <c r="J11" s="129"/>
      <c r="K11" s="128"/>
      <c r="L11" s="128"/>
      <c r="M11" s="128"/>
      <c r="N11" s="128"/>
      <c r="O11" s="314"/>
      <c r="P11" s="81" t="str">
        <f>IFERROR(((H11/F11)^(1/(($H$1-$F$1)/365)))-1,"n/a")</f>
        <v>n/a</v>
      </c>
      <c r="Q11" s="81" t="str">
        <f>IFERROR(((N11/H11)^(1/(($N$1-$H$1)/365)))-1,"n/a")</f>
        <v>n/a</v>
      </c>
      <c r="R11" s="314"/>
    </row>
    <row r="12" spans="2:18" ht="11.45" customHeight="1" x14ac:dyDescent="0.2">
      <c r="B12" s="314"/>
      <c r="C12" s="42" t="s">
        <v>206</v>
      </c>
      <c r="D12" s="42" t="s">
        <v>206</v>
      </c>
      <c r="E12" s="42"/>
      <c r="F12" s="127"/>
      <c r="G12" s="127"/>
      <c r="H12" s="127"/>
      <c r="I12" s="175"/>
      <c r="J12" s="135"/>
      <c r="K12" s="134"/>
      <c r="L12" s="134"/>
      <c r="M12" s="134"/>
      <c r="N12" s="134"/>
      <c r="O12" s="314"/>
      <c r="P12" s="41" t="str">
        <f>IFERROR(((H12/F12)^(1/(($H$1-$F$1)/365)))-1,"n/a")</f>
        <v>n/a</v>
      </c>
      <c r="Q12" s="41" t="str">
        <f>IFERROR(((N12/H12)^(1/(($N$1-$H$1)/365)))-1,"n/a")</f>
        <v>n/a</v>
      </c>
      <c r="R12" s="314"/>
    </row>
    <row r="13" spans="2:18" ht="11.45" customHeight="1" x14ac:dyDescent="0.2">
      <c r="B13" s="315"/>
      <c r="C13" s="272" t="str">
        <f>'Lead PL'!C9</f>
        <v>Umsatzerlöse</v>
      </c>
      <c r="D13" s="272" t="str">
        <f>'Lead PL'!D9</f>
        <v>Revenues</v>
      </c>
      <c r="E13" s="272"/>
      <c r="F13" s="147">
        <f t="shared" ref="F13:N13" si="1">SUM(F9:F12)</f>
        <v>0</v>
      </c>
      <c r="G13" s="147">
        <f t="shared" si="1"/>
        <v>0</v>
      </c>
      <c r="H13" s="147">
        <f t="shared" si="1"/>
        <v>0</v>
      </c>
      <c r="I13" s="180">
        <f t="shared" si="1"/>
        <v>0</v>
      </c>
      <c r="J13" s="146">
        <f t="shared" si="1"/>
        <v>0</v>
      </c>
      <c r="K13" s="145">
        <f t="shared" si="1"/>
        <v>0</v>
      </c>
      <c r="L13" s="145">
        <f t="shared" si="1"/>
        <v>0</v>
      </c>
      <c r="M13" s="145">
        <f t="shared" si="1"/>
        <v>0</v>
      </c>
      <c r="N13" s="145">
        <f t="shared" si="1"/>
        <v>0</v>
      </c>
      <c r="O13" s="315"/>
      <c r="P13" s="246" t="str">
        <f>IFERROR(((H13/F13)^(1/(($H$1-$F$1)/365)))-1,"n/a")</f>
        <v>n/a</v>
      </c>
      <c r="Q13" s="246" t="str">
        <f>IFERROR(((N13/H13)^(1/(($N$1-$H$1)/365)))-1,"n/a")</f>
        <v>n/a</v>
      </c>
      <c r="R13" s="315"/>
    </row>
    <row r="14" spans="2:18" ht="4.5" customHeight="1" x14ac:dyDescent="0.2">
      <c r="B14" s="314"/>
      <c r="C14" s="37"/>
      <c r="D14" s="37"/>
      <c r="E14" s="37"/>
      <c r="F14" s="36"/>
      <c r="G14" s="36"/>
      <c r="H14" s="36"/>
      <c r="I14" s="160"/>
      <c r="J14" s="129"/>
      <c r="K14" s="128"/>
      <c r="L14" s="128"/>
      <c r="M14" s="128"/>
      <c r="N14" s="128"/>
      <c r="O14" s="314"/>
      <c r="P14" s="81"/>
      <c r="Q14" s="81"/>
      <c r="R14" s="314"/>
    </row>
    <row r="15" spans="2:18" ht="11.45" customHeight="1" x14ac:dyDescent="0.2">
      <c r="B15" s="314"/>
      <c r="C15" s="90" t="s">
        <v>571</v>
      </c>
      <c r="D15" s="90" t="s">
        <v>570</v>
      </c>
      <c r="E15" s="90"/>
      <c r="F15" s="36"/>
      <c r="G15" s="36"/>
      <c r="H15" s="36"/>
      <c r="I15" s="160"/>
      <c r="J15" s="129"/>
      <c r="K15" s="128"/>
      <c r="L15" s="128"/>
      <c r="M15" s="128"/>
      <c r="N15" s="128"/>
      <c r="O15" s="314"/>
      <c r="P15" s="81"/>
      <c r="Q15" s="81"/>
      <c r="R15" s="314"/>
    </row>
    <row r="16" spans="2:18" ht="11.45" customHeight="1" x14ac:dyDescent="0.2">
      <c r="B16" s="314"/>
      <c r="C16" s="37" t="str">
        <f t="shared" ref="C16:D19" si="2">C9</f>
        <v>Dummy 1</v>
      </c>
      <c r="D16" s="37" t="str">
        <f t="shared" si="2"/>
        <v>Dummy 1</v>
      </c>
      <c r="E16" s="37"/>
      <c r="F16" s="81" t="str">
        <f t="shared" ref="F16:N16" si="3">IFERROR(F9/F$13,"n/a")</f>
        <v>n/a</v>
      </c>
      <c r="G16" s="81" t="str">
        <f t="shared" si="3"/>
        <v>n/a</v>
      </c>
      <c r="H16" s="81" t="str">
        <f t="shared" si="3"/>
        <v>n/a</v>
      </c>
      <c r="I16" s="80" t="str">
        <f t="shared" si="3"/>
        <v>n/a</v>
      </c>
      <c r="J16" s="79" t="str">
        <f t="shared" si="3"/>
        <v>n/a</v>
      </c>
      <c r="K16" s="78" t="str">
        <f t="shared" si="3"/>
        <v>n/a</v>
      </c>
      <c r="L16" s="78" t="str">
        <f t="shared" si="3"/>
        <v>n/a</v>
      </c>
      <c r="M16" s="78" t="str">
        <f t="shared" si="3"/>
        <v>n/a</v>
      </c>
      <c r="N16" s="78" t="str">
        <f t="shared" si="3"/>
        <v>n/a</v>
      </c>
      <c r="O16" s="314"/>
      <c r="P16" s="81"/>
      <c r="Q16" s="81"/>
      <c r="R16" s="314"/>
    </row>
    <row r="17" spans="2:18" ht="11.45" customHeight="1" x14ac:dyDescent="0.2">
      <c r="B17" s="314"/>
      <c r="C17" s="37" t="str">
        <f t="shared" si="2"/>
        <v>Dummy 2</v>
      </c>
      <c r="D17" s="37" t="str">
        <f t="shared" si="2"/>
        <v>Dummy 2</v>
      </c>
      <c r="E17" s="37"/>
      <c r="F17" s="81" t="str">
        <f t="shared" ref="F17:N17" si="4">IFERROR(F10/F$13,"n/a")</f>
        <v>n/a</v>
      </c>
      <c r="G17" s="81" t="str">
        <f t="shared" si="4"/>
        <v>n/a</v>
      </c>
      <c r="H17" s="81" t="str">
        <f t="shared" si="4"/>
        <v>n/a</v>
      </c>
      <c r="I17" s="80" t="str">
        <f t="shared" si="4"/>
        <v>n/a</v>
      </c>
      <c r="J17" s="79" t="str">
        <f t="shared" si="4"/>
        <v>n/a</v>
      </c>
      <c r="K17" s="78" t="str">
        <f t="shared" si="4"/>
        <v>n/a</v>
      </c>
      <c r="L17" s="78" t="str">
        <f t="shared" si="4"/>
        <v>n/a</v>
      </c>
      <c r="M17" s="78" t="str">
        <f t="shared" si="4"/>
        <v>n/a</v>
      </c>
      <c r="N17" s="78" t="str">
        <f t="shared" si="4"/>
        <v>n/a</v>
      </c>
      <c r="O17" s="314"/>
      <c r="P17" s="81"/>
      <c r="Q17" s="81"/>
      <c r="R17" s="314"/>
    </row>
    <row r="18" spans="2:18" ht="11.45" customHeight="1" x14ac:dyDescent="0.2">
      <c r="B18" s="314"/>
      <c r="C18" s="37" t="str">
        <f t="shared" si="2"/>
        <v>Dummy 3</v>
      </c>
      <c r="D18" s="37" t="str">
        <f t="shared" si="2"/>
        <v>Dummy 3</v>
      </c>
      <c r="E18" s="37"/>
      <c r="F18" s="81" t="str">
        <f t="shared" ref="F18:N18" si="5">IFERROR(F11/F$13,"n/a")</f>
        <v>n/a</v>
      </c>
      <c r="G18" s="81" t="str">
        <f t="shared" si="5"/>
        <v>n/a</v>
      </c>
      <c r="H18" s="81" t="str">
        <f t="shared" si="5"/>
        <v>n/a</v>
      </c>
      <c r="I18" s="80" t="str">
        <f t="shared" si="5"/>
        <v>n/a</v>
      </c>
      <c r="J18" s="79" t="str">
        <f t="shared" si="5"/>
        <v>n/a</v>
      </c>
      <c r="K18" s="78" t="str">
        <f t="shared" si="5"/>
        <v>n/a</v>
      </c>
      <c r="L18" s="78" t="str">
        <f t="shared" si="5"/>
        <v>n/a</v>
      </c>
      <c r="M18" s="78" t="str">
        <f t="shared" si="5"/>
        <v>n/a</v>
      </c>
      <c r="N18" s="78" t="str">
        <f t="shared" si="5"/>
        <v>n/a</v>
      </c>
      <c r="O18" s="314"/>
      <c r="P18" s="81"/>
      <c r="Q18" s="81"/>
      <c r="R18" s="314"/>
    </row>
    <row r="19" spans="2:18" ht="11.45" customHeight="1" x14ac:dyDescent="0.2">
      <c r="B19" s="314"/>
      <c r="C19" s="37" t="str">
        <f t="shared" si="2"/>
        <v>Dummy 4</v>
      </c>
      <c r="D19" s="37" t="str">
        <f t="shared" si="2"/>
        <v>Dummy 4</v>
      </c>
      <c r="E19" s="37"/>
      <c r="F19" s="81" t="str">
        <f t="shared" ref="F19:N19" si="6">IFERROR(F12/F$13,"n/a")</f>
        <v>n/a</v>
      </c>
      <c r="G19" s="81" t="str">
        <f t="shared" si="6"/>
        <v>n/a</v>
      </c>
      <c r="H19" s="81" t="str">
        <f t="shared" si="6"/>
        <v>n/a</v>
      </c>
      <c r="I19" s="80" t="str">
        <f t="shared" si="6"/>
        <v>n/a</v>
      </c>
      <c r="J19" s="79" t="str">
        <f t="shared" si="6"/>
        <v>n/a</v>
      </c>
      <c r="K19" s="78" t="str">
        <f t="shared" si="6"/>
        <v>n/a</v>
      </c>
      <c r="L19" s="78" t="str">
        <f t="shared" si="6"/>
        <v>n/a</v>
      </c>
      <c r="M19" s="78" t="str">
        <f t="shared" si="6"/>
        <v>n/a</v>
      </c>
      <c r="N19" s="78" t="str">
        <f t="shared" si="6"/>
        <v>n/a</v>
      </c>
      <c r="O19" s="314"/>
      <c r="P19" s="81"/>
      <c r="Q19" s="81"/>
      <c r="R19" s="314"/>
    </row>
    <row r="20" spans="2:18" ht="4.5" customHeight="1" x14ac:dyDescent="0.2">
      <c r="B20" s="314"/>
      <c r="C20" s="37"/>
      <c r="D20" s="37"/>
      <c r="E20" s="37"/>
      <c r="F20" s="81"/>
      <c r="G20" s="81"/>
      <c r="H20" s="81"/>
      <c r="I20" s="160"/>
      <c r="J20" s="129"/>
      <c r="K20" s="128"/>
      <c r="L20" s="128"/>
      <c r="M20" s="128"/>
      <c r="N20" s="128"/>
      <c r="O20" s="314"/>
      <c r="P20" s="81"/>
      <c r="Q20" s="81"/>
      <c r="R20" s="314"/>
    </row>
    <row r="21" spans="2:18" ht="11.45" customHeight="1" x14ac:dyDescent="0.2">
      <c r="B21" s="81"/>
      <c r="C21" s="42" t="str">
        <f>"Quelle: "&amp;Cockpit!$C$7</f>
        <v>Quelle: Datenraum/ eigene Analysen</v>
      </c>
      <c r="D21" s="42" t="str">
        <f>"Source: "&amp;Cockpit!$C$8</f>
        <v>Source: Virtual Data Room/ Company Information</v>
      </c>
      <c r="E21" s="42"/>
      <c r="F21" s="41"/>
      <c r="G21" s="41"/>
      <c r="H21" s="41"/>
      <c r="I21" s="41"/>
      <c r="J21" s="41"/>
      <c r="K21" s="41"/>
      <c r="L21" s="41"/>
      <c r="M21" s="41"/>
      <c r="N21" s="41"/>
      <c r="O21" s="81"/>
      <c r="P21" s="41"/>
      <c r="Q21" s="41"/>
      <c r="R21" s="81"/>
    </row>
    <row r="25" spans="2:18" ht="11.45" customHeight="1" x14ac:dyDescent="0.2">
      <c r="C25" s="72" t="s">
        <v>569</v>
      </c>
      <c r="D25" s="72" t="s">
        <v>569</v>
      </c>
      <c r="E25" s="72"/>
      <c r="F25" s="71">
        <f>'Lead PL'!F9</f>
        <v>16709.024729999997</v>
      </c>
      <c r="G25" s="71">
        <f>'Lead PL'!G9</f>
        <v>15316.24358</v>
      </c>
      <c r="H25" s="71">
        <f>'Lead PL'!H9</f>
        <v>16659.963460000003</v>
      </c>
      <c r="I25" s="71">
        <f>'Lead PL'!I9</f>
        <v>15009.728290000003</v>
      </c>
      <c r="J25" s="71">
        <f>'Lead PL'!J9</f>
        <v>0</v>
      </c>
      <c r="K25" s="71"/>
      <c r="L25" s="71"/>
      <c r="M25" s="71"/>
      <c r="N25" s="71"/>
      <c r="P25" s="49" t="s">
        <v>568</v>
      </c>
    </row>
    <row r="26" spans="2:18" ht="11.45" customHeight="1" x14ac:dyDescent="0.2">
      <c r="C26" s="70" t="s">
        <v>233</v>
      </c>
      <c r="D26" s="69" t="s">
        <v>233</v>
      </c>
      <c r="E26" s="70"/>
      <c r="F26" s="68">
        <f t="shared" ref="F26:N26" si="7">F25-F13</f>
        <v>16709.024729999997</v>
      </c>
      <c r="G26" s="68">
        <f t="shared" si="7"/>
        <v>15316.24358</v>
      </c>
      <c r="H26" s="68">
        <f t="shared" si="7"/>
        <v>16659.963460000003</v>
      </c>
      <c r="I26" s="68">
        <f t="shared" si="7"/>
        <v>15009.728290000003</v>
      </c>
      <c r="J26" s="68">
        <f t="shared" si="7"/>
        <v>0</v>
      </c>
      <c r="K26" s="68">
        <f t="shared" si="7"/>
        <v>0</v>
      </c>
      <c r="L26" s="68">
        <f t="shared" si="7"/>
        <v>0</v>
      </c>
      <c r="M26" s="68">
        <f t="shared" si="7"/>
        <v>0</v>
      </c>
      <c r="N26" s="68">
        <f t="shared" si="7"/>
        <v>0</v>
      </c>
    </row>
  </sheetData>
  <conditionalFormatting sqref="F26:N26">
    <cfRule type="cellIs" dxfId="180" priority="1" operator="between">
      <formula>-1</formula>
      <formula>1</formula>
    </cfRule>
    <cfRule type="cellIs" dxfId="179" priority="2" operator="lessThan">
      <formula>-1</formula>
    </cfRule>
    <cfRule type="cellIs" dxfId="178" priority="3" operator="greaterThan">
      <formula>1</formula>
    </cfRule>
  </conditionalFormatting>
  <pageMargins left="0.7" right="0.7" top="0.78740157499999996" bottom="0.78740157499999996" header="0.3" footer="0.3"/>
  <pageSetup paperSize="9" scale="53" orientation="portrait" r:id="rId1"/>
  <colBreaks count="1" manualBreakCount="1">
    <brk id="19"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BE77F-7BB3-423B-A5E7-0105AAE6DDC4}">
  <sheetPr>
    <tabColor rgb="FFFF0000"/>
  </sheetPr>
  <dimension ref="B1:S41"/>
  <sheetViews>
    <sheetView topLeftCell="A2" workbookViewId="0"/>
  </sheetViews>
  <sheetFormatPr defaultColWidth="11.28515625" defaultRowHeight="11.45" customHeight="1" outlineLevelRow="3" outlineLevelCol="2" x14ac:dyDescent="0.2"/>
  <cols>
    <col min="1" max="1" width="11.28515625" style="1"/>
    <col min="2" max="2" width="0.85546875" style="1" hidden="1" customWidth="1" outlineLevel="2"/>
    <col min="3" max="3" width="29.140625" style="1" hidden="1" customWidth="1" outlineLevel="2"/>
    <col min="4" max="4" width="29.140625" style="1" customWidth="1" collapsed="1"/>
    <col min="5" max="5" width="10.42578125" style="1" customWidth="1"/>
    <col min="6" max="10" width="9.42578125" style="1" customWidth="1"/>
    <col min="11" max="14" width="9.42578125" style="1" hidden="1" customWidth="1" outlineLevel="1"/>
    <col min="15" max="15" width="0.85546875" style="1" hidden="1" customWidth="1" outlineLevel="1"/>
    <col min="16" max="17" width="8.42578125" style="1" hidden="1" customWidth="1" outlineLevel="1"/>
    <col min="18" max="18" width="0.85546875" style="1" hidden="1" customWidth="1" outlineLevel="2"/>
    <col min="19" max="19" width="11.28515625" style="1" collapsed="1"/>
    <col min="20" max="16384" width="11.28515625" style="1"/>
  </cols>
  <sheetData>
    <row r="1" spans="2:18" ht="11.45" hidden="1" customHeight="1" outlineLevel="3" x14ac:dyDescent="0.2">
      <c r="C1" s="13" t="s">
        <v>268</v>
      </c>
      <c r="D1" s="13" t="s">
        <v>268</v>
      </c>
      <c r="E1" s="13"/>
      <c r="F1" s="12">
        <f t="shared" ref="F1:N1" si="0">IFERROR(F4,F6)</f>
        <v>44926</v>
      </c>
      <c r="G1" s="12">
        <f t="shared" si="0"/>
        <v>45291</v>
      </c>
      <c r="H1" s="12">
        <f t="shared" si="0"/>
        <v>45657</v>
      </c>
      <c r="I1" s="12">
        <f t="shared" si="0"/>
        <v>46022</v>
      </c>
      <c r="J1" s="12">
        <f t="shared" si="0"/>
        <v>46022</v>
      </c>
      <c r="K1" s="12">
        <f t="shared" si="0"/>
        <v>46022</v>
      </c>
      <c r="L1" s="12">
        <f t="shared" si="0"/>
        <v>46387</v>
      </c>
      <c r="M1" s="12">
        <f t="shared" si="0"/>
        <v>46752</v>
      </c>
      <c r="N1" s="12">
        <f t="shared" si="0"/>
        <v>47118</v>
      </c>
    </row>
    <row r="2" spans="2:18" ht="11.45" customHeight="1" collapsed="1" x14ac:dyDescent="0.2"/>
    <row r="4" spans="2:18" ht="11.45" hidden="1" customHeight="1" outlineLevel="3" x14ac:dyDescent="0.2">
      <c r="B4" s="101"/>
      <c r="C4" s="236" t="str">
        <f>Cockpit!$C$4</f>
        <v>Projekt Namur</v>
      </c>
      <c r="D4" s="230"/>
      <c r="E4" s="230"/>
      <c r="F4" s="230">
        <f>'Lead PL'!F4</f>
        <v>44926</v>
      </c>
      <c r="G4" s="230">
        <f>'Lead PL'!G4</f>
        <v>45291</v>
      </c>
      <c r="H4" s="230">
        <f>'Lead PL'!H4</f>
        <v>45657</v>
      </c>
      <c r="I4" s="234">
        <f>'Lead PL'!I4</f>
        <v>46022</v>
      </c>
      <c r="J4" s="234">
        <f>'Lead PL'!J4</f>
        <v>46022</v>
      </c>
      <c r="K4" s="230">
        <f>'Lead PL'!K4</f>
        <v>46022</v>
      </c>
      <c r="L4" s="230">
        <f>'Lead PL'!L4</f>
        <v>46387</v>
      </c>
      <c r="M4" s="230">
        <f>'Lead PL'!M4</f>
        <v>46752</v>
      </c>
      <c r="N4" s="230">
        <f>'Lead PL'!N4</f>
        <v>47118</v>
      </c>
      <c r="O4" s="101"/>
      <c r="P4" s="230" t="str">
        <f>'Lead PL'!P4</f>
        <v>CAGR</v>
      </c>
      <c r="Q4" s="230" t="str">
        <f>'Lead PL'!Q4</f>
        <v>CAGR</v>
      </c>
      <c r="R4" s="101"/>
    </row>
    <row r="5" spans="2:18" ht="11.45" hidden="1" customHeight="1" outlineLevel="3" x14ac:dyDescent="0.2">
      <c r="B5" s="101"/>
      <c r="C5" s="236" t="str">
        <f>"in T"&amp;Cockpit!$C$5</f>
        <v>in TEUR</v>
      </c>
      <c r="D5" s="230"/>
      <c r="E5" s="230"/>
      <c r="F5" s="230" t="str">
        <f>'Lead PL'!F5</f>
        <v>IST</v>
      </c>
      <c r="G5" s="230" t="str">
        <f>'Lead PL'!G5</f>
        <v>IST</v>
      </c>
      <c r="H5" s="230" t="str">
        <f>'Lead PL'!H5</f>
        <v>IST</v>
      </c>
      <c r="I5" s="230" t="str">
        <f>'Lead PL'!I5</f>
        <v>IST</v>
      </c>
      <c r="J5" s="230" t="str">
        <f>'Lead PL'!J5</f>
        <v>YTD</v>
      </c>
      <c r="K5" s="230" t="str">
        <f>'Lead PL'!K5</f>
        <v>Plan</v>
      </c>
      <c r="L5" s="230" t="str">
        <f>'Lead PL'!L5</f>
        <v>Plan</v>
      </c>
      <c r="M5" s="230" t="str">
        <f>'Lead PL'!M5</f>
        <v>Plan</v>
      </c>
      <c r="N5" s="230" t="str">
        <f>'Lead PL'!N5</f>
        <v>Plan</v>
      </c>
      <c r="O5" s="101"/>
      <c r="P5" s="230" t="str">
        <f>'Lead PL'!P5</f>
        <v>IST</v>
      </c>
      <c r="Q5" s="230" t="str">
        <f>'Lead PL'!Q5</f>
        <v>Plan</v>
      </c>
      <c r="R5" s="101"/>
    </row>
    <row r="6" spans="2:18" ht="11.45" customHeight="1" collapsed="1" x14ac:dyDescent="0.2">
      <c r="B6" s="101"/>
      <c r="C6" s="233"/>
      <c r="D6" s="232" t="str">
        <f>Cockpit!$C$4</f>
        <v>Projekt Namur</v>
      </c>
      <c r="E6" s="232"/>
      <c r="F6" s="233">
        <f>'Lead PL'!F6</f>
        <v>44926</v>
      </c>
      <c r="G6" s="233">
        <f>'Lead PL'!G6</f>
        <v>45291</v>
      </c>
      <c r="H6" s="233">
        <f>'Lead PL'!H6</f>
        <v>45657</v>
      </c>
      <c r="I6" s="261">
        <f>'Lead PL'!I6</f>
        <v>46022</v>
      </c>
      <c r="J6" s="261">
        <f>'Lead PL'!J6</f>
        <v>46022</v>
      </c>
      <c r="K6" s="233">
        <f>'Lead PL'!K6</f>
        <v>46022</v>
      </c>
      <c r="L6" s="233">
        <f>'Lead PL'!L6</f>
        <v>46387</v>
      </c>
      <c r="M6" s="233">
        <f>'Lead PL'!M6</f>
        <v>46752</v>
      </c>
      <c r="N6" s="233">
        <f>'Lead PL'!N6</f>
        <v>47118</v>
      </c>
      <c r="O6" s="101"/>
      <c r="P6" s="233" t="str">
        <f>'Lead PL'!P6</f>
        <v>CAGR</v>
      </c>
      <c r="Q6" s="233" t="str">
        <f>'Lead PL'!Q6</f>
        <v>CAGR</v>
      </c>
      <c r="R6" s="101"/>
    </row>
    <row r="7" spans="2:18" ht="11.45" customHeight="1" x14ac:dyDescent="0.2">
      <c r="B7" s="101"/>
      <c r="C7" s="233"/>
      <c r="D7" s="232" t="str">
        <f>"in k"&amp;Cockpit!$C$5</f>
        <v>in kEUR</v>
      </c>
      <c r="E7" s="232"/>
      <c r="F7" s="233" t="str">
        <f>'Lead PL'!F7</f>
        <v>IST</v>
      </c>
      <c r="G7" s="233" t="str">
        <f>'Lead PL'!G7</f>
        <v>IST</v>
      </c>
      <c r="H7" s="233" t="str">
        <f>'Lead PL'!H7</f>
        <v>IST</v>
      </c>
      <c r="I7" s="233" t="str">
        <f>'Lead PL'!I7</f>
        <v>IST</v>
      </c>
      <c r="J7" s="233" t="str">
        <f>'Lead PL'!J7</f>
        <v>YTD</v>
      </c>
      <c r="K7" s="233" t="str">
        <f>'Lead PL'!K7</f>
        <v>Plan</v>
      </c>
      <c r="L7" s="233" t="str">
        <f>'Lead PL'!L7</f>
        <v>Plan</v>
      </c>
      <c r="M7" s="233" t="str">
        <f>'Lead PL'!M7</f>
        <v>Plan</v>
      </c>
      <c r="N7" s="233" t="str">
        <f>'Lead PL'!N7</f>
        <v>Plan</v>
      </c>
      <c r="O7" s="101"/>
      <c r="P7" s="233" t="str">
        <f>'Lead PL'!P7</f>
        <v>IST</v>
      </c>
      <c r="Q7" s="233" t="str">
        <f>'Lead PL'!Q7</f>
        <v>Plan</v>
      </c>
      <c r="R7" s="101"/>
    </row>
    <row r="8" spans="2:18" ht="4.5" customHeight="1" x14ac:dyDescent="0.2">
      <c r="B8" s="101"/>
      <c r="C8" s="37"/>
      <c r="D8" s="37"/>
      <c r="E8" s="37"/>
      <c r="F8" s="36"/>
      <c r="G8" s="36"/>
      <c r="H8" s="36"/>
      <c r="I8" s="36"/>
      <c r="J8" s="36"/>
      <c r="K8" s="36"/>
      <c r="L8" s="36"/>
      <c r="M8" s="36"/>
      <c r="N8" s="36"/>
      <c r="O8" s="101"/>
      <c r="P8" s="36"/>
      <c r="Q8" s="36"/>
      <c r="R8" s="101"/>
    </row>
    <row r="9" spans="2:18" ht="11.45" customHeight="1" x14ac:dyDescent="0.2">
      <c r="B9" s="101"/>
      <c r="C9" s="37" t="s">
        <v>209</v>
      </c>
      <c r="D9" s="37" t="s">
        <v>209</v>
      </c>
      <c r="E9" s="37"/>
      <c r="F9" s="36"/>
      <c r="G9" s="36"/>
      <c r="H9" s="36"/>
      <c r="I9" s="160"/>
      <c r="J9" s="129"/>
      <c r="K9" s="128"/>
      <c r="L9" s="128"/>
      <c r="M9" s="128"/>
      <c r="N9" s="128"/>
      <c r="O9" s="101"/>
      <c r="P9" s="81" t="str">
        <f>IFERROR(((H9/F9)^(1/(($H$1-$F$1)/365)))-1,"n/a")</f>
        <v>n/a</v>
      </c>
      <c r="Q9" s="81" t="str">
        <f>IFERROR(((N9/H9)^(1/(($N$1-$H$1)/365)))-1,"n/a")</f>
        <v>n/a</v>
      </c>
      <c r="R9" s="101"/>
    </row>
    <row r="10" spans="2:18" ht="11.45" customHeight="1" x14ac:dyDescent="0.2">
      <c r="B10" s="101"/>
      <c r="C10" s="37" t="s">
        <v>208</v>
      </c>
      <c r="D10" s="37" t="s">
        <v>208</v>
      </c>
      <c r="E10" s="37"/>
      <c r="F10" s="36"/>
      <c r="G10" s="36"/>
      <c r="H10" s="36"/>
      <c r="I10" s="160"/>
      <c r="J10" s="129"/>
      <c r="K10" s="128"/>
      <c r="L10" s="128"/>
      <c r="M10" s="128"/>
      <c r="N10" s="128"/>
      <c r="O10" s="101"/>
      <c r="P10" s="81" t="str">
        <f>IFERROR(((H10/F10)^(1/(($H$1-$F$1)/365)))-1,"n/a")</f>
        <v>n/a</v>
      </c>
      <c r="Q10" s="81" t="str">
        <f>IFERROR(((N10/H10)^(1/(($N$1-$H$1)/365)))-1,"n/a")</f>
        <v>n/a</v>
      </c>
      <c r="R10" s="101"/>
    </row>
    <row r="11" spans="2:18" ht="11.45" hidden="1" customHeight="1" outlineLevel="2" x14ac:dyDescent="0.2">
      <c r="B11" s="101"/>
      <c r="C11" s="37" t="s">
        <v>207</v>
      </c>
      <c r="D11" s="37" t="s">
        <v>207</v>
      </c>
      <c r="E11" s="37"/>
      <c r="F11" s="36"/>
      <c r="G11" s="36"/>
      <c r="H11" s="36"/>
      <c r="I11" s="160"/>
      <c r="J11" s="129"/>
      <c r="K11" s="128"/>
      <c r="L11" s="128"/>
      <c r="M11" s="128"/>
      <c r="N11" s="128"/>
      <c r="O11" s="101"/>
      <c r="P11" s="81" t="str">
        <f>IFERROR(((H11/F11)^(1/(($H$1-$F$1)/365)))-1,"n/a")</f>
        <v>n/a</v>
      </c>
      <c r="Q11" s="81" t="str">
        <f>IFERROR(((N11/H11)^(1/(($N$1-$H$1)/365)))-1,"n/a")</f>
        <v>n/a</v>
      </c>
      <c r="R11" s="101"/>
    </row>
    <row r="12" spans="2:18" ht="11.45" hidden="1" customHeight="1" outlineLevel="2" x14ac:dyDescent="0.2">
      <c r="B12" s="81"/>
      <c r="C12" s="42" t="s">
        <v>206</v>
      </c>
      <c r="D12" s="42" t="s">
        <v>206</v>
      </c>
      <c r="E12" s="42"/>
      <c r="F12" s="127"/>
      <c r="G12" s="127"/>
      <c r="H12" s="127"/>
      <c r="I12" s="175"/>
      <c r="J12" s="135"/>
      <c r="K12" s="134"/>
      <c r="L12" s="134"/>
      <c r="M12" s="134"/>
      <c r="N12" s="134"/>
      <c r="O12" s="81"/>
      <c r="P12" s="41" t="str">
        <f>IFERROR(((H12/F12)^(1/(($H$1-$F$1)/365)))-1,"n/a")</f>
        <v>n/a</v>
      </c>
      <c r="Q12" s="41" t="str">
        <f>IFERROR(((N12/H12)^(1/(($N$1-$H$1)/365)))-1,"n/a")</f>
        <v>n/a</v>
      </c>
      <c r="R12" s="81"/>
    </row>
    <row r="13" spans="2:18" ht="11.45" customHeight="1" collapsed="1" x14ac:dyDescent="0.2">
      <c r="B13" s="81"/>
      <c r="C13" s="141" t="str">
        <f>'Lead PL'!C24</f>
        <v>Gesamtleistung</v>
      </c>
      <c r="D13" s="141" t="str">
        <f>'Lead PL'!D24</f>
        <v>Total output</v>
      </c>
      <c r="E13" s="141"/>
      <c r="F13" s="141">
        <f t="shared" ref="F13:N13" si="1">SUM(F9:F12)</f>
        <v>0</v>
      </c>
      <c r="G13" s="141">
        <f t="shared" si="1"/>
        <v>0</v>
      </c>
      <c r="H13" s="141">
        <f t="shared" si="1"/>
        <v>0</v>
      </c>
      <c r="I13" s="177">
        <f t="shared" si="1"/>
        <v>0</v>
      </c>
      <c r="J13" s="140">
        <f t="shared" si="1"/>
        <v>0</v>
      </c>
      <c r="K13" s="139">
        <f t="shared" si="1"/>
        <v>0</v>
      </c>
      <c r="L13" s="139">
        <f t="shared" si="1"/>
        <v>0</v>
      </c>
      <c r="M13" s="139">
        <f t="shared" si="1"/>
        <v>0</v>
      </c>
      <c r="N13" s="139">
        <f t="shared" si="1"/>
        <v>0</v>
      </c>
      <c r="O13" s="81"/>
      <c r="P13" s="244" t="str">
        <f>IFERROR(((H13/F13)^(1/(($H$1-$F$1)/365)))-1,"n/a")</f>
        <v>n/a</v>
      </c>
      <c r="Q13" s="244" t="str">
        <f>IFERROR(((N13/H13)^(1/(($N$1-$H$1)/365)))-1,"n/a")</f>
        <v>n/a</v>
      </c>
      <c r="R13" s="81"/>
    </row>
    <row r="14" spans="2:18" ht="4.5" customHeight="1" x14ac:dyDescent="0.2">
      <c r="B14" s="81"/>
      <c r="C14" s="168"/>
      <c r="D14" s="168"/>
      <c r="E14" s="168"/>
      <c r="F14" s="144"/>
      <c r="G14" s="144"/>
      <c r="H14" s="144"/>
      <c r="I14" s="166"/>
      <c r="J14" s="143"/>
      <c r="K14" s="142"/>
      <c r="L14" s="142"/>
      <c r="M14" s="142"/>
      <c r="N14" s="142"/>
      <c r="O14" s="81"/>
      <c r="P14" s="81"/>
      <c r="Q14" s="81"/>
      <c r="R14" s="81"/>
    </row>
    <row r="15" spans="2:18" ht="11.45" customHeight="1" x14ac:dyDescent="0.2">
      <c r="B15" s="81"/>
      <c r="C15" s="37" t="s">
        <v>209</v>
      </c>
      <c r="D15" s="37" t="s">
        <v>209</v>
      </c>
      <c r="E15" s="37"/>
      <c r="F15" s="36"/>
      <c r="G15" s="36"/>
      <c r="H15" s="36"/>
      <c r="I15" s="160"/>
      <c r="J15" s="129"/>
      <c r="K15" s="128"/>
      <c r="L15" s="128"/>
      <c r="M15" s="128"/>
      <c r="N15" s="128"/>
      <c r="O15" s="81"/>
      <c r="P15" s="81" t="str">
        <f>IFERROR(((H15/F15)^(1/(($H$1-$F$1)/365)))-1,"n/a")</f>
        <v>n/a</v>
      </c>
      <c r="Q15" s="81" t="str">
        <f>IFERROR(((N15/H15)^(1/(($N$1-$H$1)/365)))-1,"n/a")</f>
        <v>n/a</v>
      </c>
      <c r="R15" s="81"/>
    </row>
    <row r="16" spans="2:18" ht="11.45" customHeight="1" x14ac:dyDescent="0.2">
      <c r="B16" s="81"/>
      <c r="C16" s="37" t="s">
        <v>208</v>
      </c>
      <c r="D16" s="37" t="s">
        <v>208</v>
      </c>
      <c r="E16" s="37"/>
      <c r="F16" s="36"/>
      <c r="G16" s="36"/>
      <c r="H16" s="36"/>
      <c r="I16" s="160"/>
      <c r="J16" s="129"/>
      <c r="K16" s="128"/>
      <c r="L16" s="128"/>
      <c r="M16" s="128"/>
      <c r="N16" s="128"/>
      <c r="O16" s="81"/>
      <c r="P16" s="81" t="str">
        <f>IFERROR(((H16/F16)^(1/(($H$1-$F$1)/365)))-1,"n/a")</f>
        <v>n/a</v>
      </c>
      <c r="Q16" s="81" t="str">
        <f>IFERROR(((N16/H16)^(1/(($N$1-$H$1)/365)))-1,"n/a")</f>
        <v>n/a</v>
      </c>
      <c r="R16" s="81"/>
    </row>
    <row r="17" spans="2:18" ht="11.45" hidden="1" customHeight="1" outlineLevel="2" x14ac:dyDescent="0.2">
      <c r="B17" s="81"/>
      <c r="C17" s="37" t="s">
        <v>207</v>
      </c>
      <c r="D17" s="37" t="s">
        <v>207</v>
      </c>
      <c r="E17" s="37"/>
      <c r="F17" s="36"/>
      <c r="G17" s="36"/>
      <c r="H17" s="36"/>
      <c r="I17" s="160"/>
      <c r="J17" s="129"/>
      <c r="K17" s="128"/>
      <c r="L17" s="128"/>
      <c r="M17" s="128"/>
      <c r="N17" s="128"/>
      <c r="O17" s="81"/>
      <c r="P17" s="81" t="str">
        <f>IFERROR(((H17/F17)^(1/(($H$1-$F$1)/365)))-1,"n/a")</f>
        <v>n/a</v>
      </c>
      <c r="Q17" s="81" t="str">
        <f>IFERROR(((N17/H17)^(1/(($N$1-$H$1)/365)))-1,"n/a")</f>
        <v>n/a</v>
      </c>
      <c r="R17" s="81"/>
    </row>
    <row r="18" spans="2:18" ht="11.45" hidden="1" customHeight="1" outlineLevel="2" x14ac:dyDescent="0.2">
      <c r="B18" s="81"/>
      <c r="C18" s="42" t="s">
        <v>206</v>
      </c>
      <c r="D18" s="42" t="s">
        <v>206</v>
      </c>
      <c r="E18" s="42"/>
      <c r="F18" s="127"/>
      <c r="G18" s="127"/>
      <c r="H18" s="127"/>
      <c r="I18" s="175"/>
      <c r="J18" s="135"/>
      <c r="K18" s="134"/>
      <c r="L18" s="134"/>
      <c r="M18" s="134"/>
      <c r="N18" s="134"/>
      <c r="O18" s="81"/>
      <c r="P18" s="41" t="str">
        <f>IFERROR(((H18/F18)^(1/(($H$1-$F$1)/365)))-1,"n/a")</f>
        <v>n/a</v>
      </c>
      <c r="Q18" s="41" t="str">
        <f>IFERROR(((N18/H18)^(1/(($N$1-$H$1)/365)))-1,"n/a")</f>
        <v>n/a</v>
      </c>
      <c r="R18" s="81"/>
    </row>
    <row r="19" spans="2:18" ht="11.45" customHeight="1" collapsed="1" x14ac:dyDescent="0.2">
      <c r="B19" s="81"/>
      <c r="C19" s="144" t="str">
        <f>'Lead PL'!C25</f>
        <v>Materialaufwand</v>
      </c>
      <c r="D19" s="144" t="str">
        <f>'Lead PL'!D25</f>
        <v>Cost of materials</v>
      </c>
      <c r="E19" s="144"/>
      <c r="F19" s="144">
        <f t="shared" ref="F19:N19" si="2">SUM(F15:F18)</f>
        <v>0</v>
      </c>
      <c r="G19" s="144">
        <f t="shared" si="2"/>
        <v>0</v>
      </c>
      <c r="H19" s="144">
        <f t="shared" si="2"/>
        <v>0</v>
      </c>
      <c r="I19" s="166">
        <f t="shared" si="2"/>
        <v>0</v>
      </c>
      <c r="J19" s="143">
        <f t="shared" si="2"/>
        <v>0</v>
      </c>
      <c r="K19" s="142">
        <f t="shared" si="2"/>
        <v>0</v>
      </c>
      <c r="L19" s="142">
        <f t="shared" si="2"/>
        <v>0</v>
      </c>
      <c r="M19" s="142">
        <f t="shared" si="2"/>
        <v>0</v>
      </c>
      <c r="N19" s="142">
        <f t="shared" si="2"/>
        <v>0</v>
      </c>
      <c r="O19" s="81"/>
      <c r="P19" s="296" t="str">
        <f>IFERROR(((H19/F19)^(1/(($H$1-$F$1)/365)))-1,"n/a")</f>
        <v>n/a</v>
      </c>
      <c r="Q19" s="296" t="str">
        <f>IFERROR(((N19/H19)^(1/(($N$1-$H$1)/365)))-1,"n/a")</f>
        <v>n/a</v>
      </c>
      <c r="R19" s="81"/>
    </row>
    <row r="20" spans="2:18" ht="4.5" customHeight="1" x14ac:dyDescent="0.2">
      <c r="B20" s="81"/>
      <c r="C20" s="168"/>
      <c r="D20" s="168"/>
      <c r="E20" s="168"/>
      <c r="F20" s="144"/>
      <c r="G20" s="144"/>
      <c r="H20" s="144"/>
      <c r="I20" s="166"/>
      <c r="J20" s="143"/>
      <c r="K20" s="142"/>
      <c r="L20" s="142"/>
      <c r="M20" s="142"/>
      <c r="N20" s="142"/>
      <c r="O20" s="81"/>
      <c r="P20" s="81"/>
      <c r="Q20" s="81"/>
      <c r="R20" s="81"/>
    </row>
    <row r="21" spans="2:18" ht="11.45" customHeight="1" x14ac:dyDescent="0.2">
      <c r="B21" s="81"/>
      <c r="C21" s="37" t="s">
        <v>209</v>
      </c>
      <c r="D21" s="37" t="s">
        <v>209</v>
      </c>
      <c r="E21" s="37"/>
      <c r="F21" s="36">
        <f t="shared" ref="F21:N21" si="3">F9+F15</f>
        <v>0</v>
      </c>
      <c r="G21" s="36">
        <f t="shared" si="3"/>
        <v>0</v>
      </c>
      <c r="H21" s="36">
        <f t="shared" si="3"/>
        <v>0</v>
      </c>
      <c r="I21" s="160">
        <f t="shared" si="3"/>
        <v>0</v>
      </c>
      <c r="J21" s="129">
        <f t="shared" si="3"/>
        <v>0</v>
      </c>
      <c r="K21" s="128">
        <f t="shared" si="3"/>
        <v>0</v>
      </c>
      <c r="L21" s="128">
        <f t="shared" si="3"/>
        <v>0</v>
      </c>
      <c r="M21" s="128">
        <f t="shared" si="3"/>
        <v>0</v>
      </c>
      <c r="N21" s="128">
        <f t="shared" si="3"/>
        <v>0</v>
      </c>
      <c r="O21" s="81"/>
      <c r="P21" s="81" t="str">
        <f>IFERROR(((H21/F21)^(1/(($H$1-$F$1)/365)))-1,"n/a")</f>
        <v>n/a</v>
      </c>
      <c r="Q21" s="81" t="str">
        <f>IFERROR(((N21/H21)^(1/(($N$1-$H$1)/365)))-1,"n/a")</f>
        <v>n/a</v>
      </c>
      <c r="R21" s="81"/>
    </row>
    <row r="22" spans="2:18" ht="11.45" customHeight="1" x14ac:dyDescent="0.2">
      <c r="B22" s="81"/>
      <c r="C22" s="37" t="s">
        <v>208</v>
      </c>
      <c r="D22" s="37" t="s">
        <v>208</v>
      </c>
      <c r="E22" s="37"/>
      <c r="F22" s="36">
        <f t="shared" ref="F22:N22" si="4">F10+F16</f>
        <v>0</v>
      </c>
      <c r="G22" s="36">
        <f t="shared" si="4"/>
        <v>0</v>
      </c>
      <c r="H22" s="36">
        <f t="shared" si="4"/>
        <v>0</v>
      </c>
      <c r="I22" s="160">
        <f t="shared" si="4"/>
        <v>0</v>
      </c>
      <c r="J22" s="129">
        <f t="shared" si="4"/>
        <v>0</v>
      </c>
      <c r="K22" s="128">
        <f t="shared" si="4"/>
        <v>0</v>
      </c>
      <c r="L22" s="128">
        <f t="shared" si="4"/>
        <v>0</v>
      </c>
      <c r="M22" s="128">
        <f t="shared" si="4"/>
        <v>0</v>
      </c>
      <c r="N22" s="128">
        <f t="shared" si="4"/>
        <v>0</v>
      </c>
      <c r="O22" s="81"/>
      <c r="P22" s="81" t="str">
        <f>IFERROR(((H22/F22)^(1/(($H$1-$F$1)/365)))-1,"n/a")</f>
        <v>n/a</v>
      </c>
      <c r="Q22" s="81" t="str">
        <f>IFERROR(((N22/H22)^(1/(($N$1-$H$1)/365)))-1,"n/a")</f>
        <v>n/a</v>
      </c>
      <c r="R22" s="81"/>
    </row>
    <row r="23" spans="2:18" ht="11.45" hidden="1" customHeight="1" outlineLevel="2" x14ac:dyDescent="0.2">
      <c r="B23" s="81"/>
      <c r="C23" s="37" t="s">
        <v>207</v>
      </c>
      <c r="D23" s="37" t="s">
        <v>207</v>
      </c>
      <c r="E23" s="37"/>
      <c r="F23" s="36">
        <f t="shared" ref="F23:N23" si="5">F11+F17</f>
        <v>0</v>
      </c>
      <c r="G23" s="36">
        <f t="shared" si="5"/>
        <v>0</v>
      </c>
      <c r="H23" s="36">
        <f t="shared" si="5"/>
        <v>0</v>
      </c>
      <c r="I23" s="160">
        <f t="shared" si="5"/>
        <v>0</v>
      </c>
      <c r="J23" s="129">
        <f t="shared" si="5"/>
        <v>0</v>
      </c>
      <c r="K23" s="128">
        <f t="shared" si="5"/>
        <v>0</v>
      </c>
      <c r="L23" s="128">
        <f t="shared" si="5"/>
        <v>0</v>
      </c>
      <c r="M23" s="128">
        <f t="shared" si="5"/>
        <v>0</v>
      </c>
      <c r="N23" s="128">
        <f t="shared" si="5"/>
        <v>0</v>
      </c>
      <c r="O23" s="81"/>
      <c r="P23" s="81" t="str">
        <f>IFERROR(((H23/F23)^(1/(($H$1-$F$1)/365)))-1,"n/a")</f>
        <v>n/a</v>
      </c>
      <c r="Q23" s="81" t="str">
        <f>IFERROR(((N23/H23)^(1/(($N$1-$H$1)/365)))-1,"n/a")</f>
        <v>n/a</v>
      </c>
      <c r="R23" s="81"/>
    </row>
    <row r="24" spans="2:18" ht="11.45" hidden="1" customHeight="1" outlineLevel="2" x14ac:dyDescent="0.2">
      <c r="B24" s="81"/>
      <c r="C24" s="42" t="s">
        <v>206</v>
      </c>
      <c r="D24" s="42" t="s">
        <v>206</v>
      </c>
      <c r="E24" s="42"/>
      <c r="F24" s="127">
        <f t="shared" ref="F24:N24" si="6">F12+F18</f>
        <v>0</v>
      </c>
      <c r="G24" s="127">
        <f t="shared" si="6"/>
        <v>0</v>
      </c>
      <c r="H24" s="127">
        <f t="shared" si="6"/>
        <v>0</v>
      </c>
      <c r="I24" s="175">
        <f t="shared" si="6"/>
        <v>0</v>
      </c>
      <c r="J24" s="135">
        <f t="shared" si="6"/>
        <v>0</v>
      </c>
      <c r="K24" s="134">
        <f t="shared" si="6"/>
        <v>0</v>
      </c>
      <c r="L24" s="134">
        <f t="shared" si="6"/>
        <v>0</v>
      </c>
      <c r="M24" s="134">
        <f t="shared" si="6"/>
        <v>0</v>
      </c>
      <c r="N24" s="134">
        <f t="shared" si="6"/>
        <v>0</v>
      </c>
      <c r="O24" s="81"/>
      <c r="P24" s="41" t="str">
        <f>IFERROR(((H24/F24)^(1/(($H$1-$F$1)/365)))-1,"n/a")</f>
        <v>n/a</v>
      </c>
      <c r="Q24" s="41" t="str">
        <f>IFERROR(((N24/H24)^(1/(($N$1-$H$1)/365)))-1,"n/a")</f>
        <v>n/a</v>
      </c>
      <c r="R24" s="81"/>
    </row>
    <row r="25" spans="2:18" ht="11.45" customHeight="1" collapsed="1" x14ac:dyDescent="0.2">
      <c r="B25" s="81"/>
      <c r="C25" s="133" t="str">
        <f>'Lead PL'!C29</f>
        <v>Rohergebnis</v>
      </c>
      <c r="D25" s="133" t="str">
        <f>'Lead PL'!D29</f>
        <v>Gross profit</v>
      </c>
      <c r="E25" s="133"/>
      <c r="F25" s="147">
        <f t="shared" ref="F25:N25" si="7">F13+F19</f>
        <v>0</v>
      </c>
      <c r="G25" s="147">
        <f t="shared" si="7"/>
        <v>0</v>
      </c>
      <c r="H25" s="147">
        <f t="shared" si="7"/>
        <v>0</v>
      </c>
      <c r="I25" s="180">
        <f t="shared" si="7"/>
        <v>0</v>
      </c>
      <c r="J25" s="146">
        <f t="shared" si="7"/>
        <v>0</v>
      </c>
      <c r="K25" s="145">
        <f t="shared" si="7"/>
        <v>0</v>
      </c>
      <c r="L25" s="145">
        <f t="shared" si="7"/>
        <v>0</v>
      </c>
      <c r="M25" s="145">
        <f t="shared" si="7"/>
        <v>0</v>
      </c>
      <c r="N25" s="145">
        <f t="shared" si="7"/>
        <v>0</v>
      </c>
      <c r="O25" s="81"/>
      <c r="P25" s="316" t="str">
        <f>IFERROR(((H25/F25)^(1/(($H$1-$F$1)/365)))-1,"n/a")</f>
        <v>n/a</v>
      </c>
      <c r="Q25" s="316" t="str">
        <f>IFERROR(((N25/H25)^(1/(($N$1-$H$1)/365)))-1,"n/a")</f>
        <v>n/a</v>
      </c>
      <c r="R25" s="81"/>
    </row>
    <row r="26" spans="2:18" ht="4.5" customHeight="1" x14ac:dyDescent="0.2">
      <c r="B26" s="81"/>
      <c r="C26" s="37"/>
      <c r="D26" s="37"/>
      <c r="E26" s="37"/>
      <c r="F26" s="36"/>
      <c r="G26" s="36"/>
      <c r="H26" s="36"/>
      <c r="I26" s="160"/>
      <c r="J26" s="129"/>
      <c r="K26" s="128"/>
      <c r="L26" s="128"/>
      <c r="M26" s="128"/>
      <c r="N26" s="128"/>
      <c r="O26" s="81"/>
      <c r="P26" s="81"/>
      <c r="Q26" s="81"/>
      <c r="R26" s="81"/>
    </row>
    <row r="27" spans="2:18" ht="11.45" customHeight="1" x14ac:dyDescent="0.2">
      <c r="B27" s="81"/>
      <c r="C27" s="90" t="s">
        <v>579</v>
      </c>
      <c r="D27" s="90" t="s">
        <v>578</v>
      </c>
      <c r="E27" s="90"/>
      <c r="F27" s="36"/>
      <c r="G27" s="36"/>
      <c r="H27" s="36"/>
      <c r="I27" s="160"/>
      <c r="J27" s="129"/>
      <c r="K27" s="128"/>
      <c r="L27" s="128"/>
      <c r="M27" s="128"/>
      <c r="N27" s="128"/>
      <c r="O27" s="81"/>
      <c r="P27" s="81"/>
      <c r="Q27" s="81"/>
      <c r="R27" s="81"/>
    </row>
    <row r="28" spans="2:18" ht="11.45" customHeight="1" x14ac:dyDescent="0.2">
      <c r="B28" s="81"/>
      <c r="C28" s="37" t="str">
        <f t="shared" ref="C28:D31" si="8">C9</f>
        <v>Dummy 1</v>
      </c>
      <c r="D28" s="37" t="str">
        <f t="shared" si="8"/>
        <v>Dummy 1</v>
      </c>
      <c r="E28" s="37"/>
      <c r="F28" s="81" t="str">
        <f t="shared" ref="F28:N28" si="9">IFERROR(F21/F9,"n/a")</f>
        <v>n/a</v>
      </c>
      <c r="G28" s="81" t="str">
        <f t="shared" si="9"/>
        <v>n/a</v>
      </c>
      <c r="H28" s="81" t="str">
        <f t="shared" si="9"/>
        <v>n/a</v>
      </c>
      <c r="I28" s="80" t="str">
        <f t="shared" si="9"/>
        <v>n/a</v>
      </c>
      <c r="J28" s="79" t="str">
        <f t="shared" si="9"/>
        <v>n/a</v>
      </c>
      <c r="K28" s="78" t="str">
        <f t="shared" si="9"/>
        <v>n/a</v>
      </c>
      <c r="L28" s="78" t="str">
        <f t="shared" si="9"/>
        <v>n/a</v>
      </c>
      <c r="M28" s="78" t="str">
        <f t="shared" si="9"/>
        <v>n/a</v>
      </c>
      <c r="N28" s="78" t="str">
        <f t="shared" si="9"/>
        <v>n/a</v>
      </c>
      <c r="O28" s="81"/>
      <c r="P28" s="81"/>
      <c r="Q28" s="81"/>
      <c r="R28" s="81"/>
    </row>
    <row r="29" spans="2:18" ht="11.45" customHeight="1" x14ac:dyDescent="0.2">
      <c r="B29" s="81"/>
      <c r="C29" s="37" t="str">
        <f t="shared" si="8"/>
        <v>Dummy 2</v>
      </c>
      <c r="D29" s="37" t="str">
        <f t="shared" si="8"/>
        <v>Dummy 2</v>
      </c>
      <c r="E29" s="37"/>
      <c r="F29" s="81" t="str">
        <f t="shared" ref="F29:N29" si="10">IFERROR(F22/F10,"n/a")</f>
        <v>n/a</v>
      </c>
      <c r="G29" s="81" t="str">
        <f t="shared" si="10"/>
        <v>n/a</v>
      </c>
      <c r="H29" s="81" t="str">
        <f t="shared" si="10"/>
        <v>n/a</v>
      </c>
      <c r="I29" s="80" t="str">
        <f t="shared" si="10"/>
        <v>n/a</v>
      </c>
      <c r="J29" s="79" t="str">
        <f t="shared" si="10"/>
        <v>n/a</v>
      </c>
      <c r="K29" s="78" t="str">
        <f t="shared" si="10"/>
        <v>n/a</v>
      </c>
      <c r="L29" s="78" t="str">
        <f t="shared" si="10"/>
        <v>n/a</v>
      </c>
      <c r="M29" s="78" t="str">
        <f t="shared" si="10"/>
        <v>n/a</v>
      </c>
      <c r="N29" s="78" t="str">
        <f t="shared" si="10"/>
        <v>n/a</v>
      </c>
      <c r="O29" s="81"/>
      <c r="P29" s="81"/>
      <c r="Q29" s="81"/>
      <c r="R29" s="81"/>
    </row>
    <row r="30" spans="2:18" ht="11.45" hidden="1" customHeight="1" outlineLevel="2" x14ac:dyDescent="0.2">
      <c r="B30" s="81"/>
      <c r="C30" s="37" t="str">
        <f t="shared" si="8"/>
        <v>Dummy 3</v>
      </c>
      <c r="D30" s="37" t="str">
        <f t="shared" si="8"/>
        <v>Dummy 3</v>
      </c>
      <c r="E30" s="37"/>
      <c r="F30" s="81" t="str">
        <f t="shared" ref="F30:N30" si="11">IFERROR(F23/F11,"n/a")</f>
        <v>n/a</v>
      </c>
      <c r="G30" s="81" t="str">
        <f t="shared" si="11"/>
        <v>n/a</v>
      </c>
      <c r="H30" s="81" t="str">
        <f t="shared" si="11"/>
        <v>n/a</v>
      </c>
      <c r="I30" s="80" t="str">
        <f t="shared" si="11"/>
        <v>n/a</v>
      </c>
      <c r="J30" s="79" t="str">
        <f t="shared" si="11"/>
        <v>n/a</v>
      </c>
      <c r="K30" s="78" t="str">
        <f t="shared" si="11"/>
        <v>n/a</v>
      </c>
      <c r="L30" s="78" t="str">
        <f t="shared" si="11"/>
        <v>n/a</v>
      </c>
      <c r="M30" s="78" t="str">
        <f t="shared" si="11"/>
        <v>n/a</v>
      </c>
      <c r="N30" s="78" t="str">
        <f t="shared" si="11"/>
        <v>n/a</v>
      </c>
      <c r="O30" s="81"/>
      <c r="P30" s="81"/>
      <c r="Q30" s="81"/>
      <c r="R30" s="81"/>
    </row>
    <row r="31" spans="2:18" ht="11.45" hidden="1" customHeight="1" outlineLevel="2" x14ac:dyDescent="0.2">
      <c r="B31" s="81"/>
      <c r="C31" s="37" t="str">
        <f t="shared" si="8"/>
        <v>Dummy 4</v>
      </c>
      <c r="D31" s="37" t="str">
        <f t="shared" si="8"/>
        <v>Dummy 4</v>
      </c>
      <c r="E31" s="37"/>
      <c r="F31" s="81" t="str">
        <f t="shared" ref="F31:N31" si="12">IFERROR(F24/F12,"n/a")</f>
        <v>n/a</v>
      </c>
      <c r="G31" s="81" t="str">
        <f t="shared" si="12"/>
        <v>n/a</v>
      </c>
      <c r="H31" s="81" t="str">
        <f t="shared" si="12"/>
        <v>n/a</v>
      </c>
      <c r="I31" s="80" t="str">
        <f t="shared" si="12"/>
        <v>n/a</v>
      </c>
      <c r="J31" s="79" t="str">
        <f t="shared" si="12"/>
        <v>n/a</v>
      </c>
      <c r="K31" s="78" t="str">
        <f t="shared" si="12"/>
        <v>n/a</v>
      </c>
      <c r="L31" s="78" t="str">
        <f t="shared" si="12"/>
        <v>n/a</v>
      </c>
      <c r="M31" s="78" t="str">
        <f t="shared" si="12"/>
        <v>n/a</v>
      </c>
      <c r="N31" s="78" t="str">
        <f t="shared" si="12"/>
        <v>n/a</v>
      </c>
      <c r="O31" s="81"/>
      <c r="P31" s="81"/>
      <c r="Q31" s="81"/>
      <c r="R31" s="81"/>
    </row>
    <row r="32" spans="2:18" ht="11.45" customHeight="1" collapsed="1" x14ac:dyDescent="0.2">
      <c r="B32" s="81"/>
      <c r="C32" s="90" t="s">
        <v>577</v>
      </c>
      <c r="D32" s="90" t="s">
        <v>576</v>
      </c>
      <c r="E32" s="90"/>
      <c r="F32" s="87" t="str">
        <f t="shared" ref="F32:N32" si="13">IFERROR(F25/F13,"n/a")</f>
        <v>n/a</v>
      </c>
      <c r="G32" s="87" t="str">
        <f t="shared" si="13"/>
        <v>n/a</v>
      </c>
      <c r="H32" s="87" t="str">
        <f t="shared" si="13"/>
        <v>n/a</v>
      </c>
      <c r="I32" s="86" t="str">
        <f t="shared" si="13"/>
        <v>n/a</v>
      </c>
      <c r="J32" s="85" t="str">
        <f t="shared" si="13"/>
        <v>n/a</v>
      </c>
      <c r="K32" s="84" t="str">
        <f t="shared" si="13"/>
        <v>n/a</v>
      </c>
      <c r="L32" s="84" t="str">
        <f t="shared" si="13"/>
        <v>n/a</v>
      </c>
      <c r="M32" s="84" t="str">
        <f t="shared" si="13"/>
        <v>n/a</v>
      </c>
      <c r="N32" s="84" t="str">
        <f t="shared" si="13"/>
        <v>n/a</v>
      </c>
      <c r="O32" s="81"/>
      <c r="P32" s="81"/>
      <c r="Q32" s="81"/>
      <c r="R32" s="81"/>
    </row>
    <row r="33" spans="2:18" ht="4.5" customHeight="1" x14ac:dyDescent="0.2">
      <c r="B33" s="81"/>
      <c r="C33" s="37"/>
      <c r="D33" s="37"/>
      <c r="E33" s="37"/>
      <c r="F33" s="81"/>
      <c r="G33" s="81"/>
      <c r="H33" s="81"/>
      <c r="I33" s="80"/>
      <c r="J33" s="79"/>
      <c r="K33" s="78"/>
      <c r="L33" s="78"/>
      <c r="M33" s="78"/>
      <c r="N33" s="78"/>
      <c r="O33" s="81"/>
      <c r="P33" s="81"/>
      <c r="Q33" s="81"/>
      <c r="R33" s="81"/>
    </row>
    <row r="34" spans="2:18" ht="11.45" customHeight="1" x14ac:dyDescent="0.2">
      <c r="B34" s="81"/>
      <c r="C34" s="42" t="str">
        <f>"Quelle: "&amp;Cockpit!$C$7</f>
        <v>Quelle: Datenraum/ eigene Analysen</v>
      </c>
      <c r="D34" s="42" t="str">
        <f>"Source: "&amp;Cockpit!$C$8</f>
        <v>Source: Virtual Data Room/ Company Information</v>
      </c>
      <c r="E34" s="42"/>
      <c r="F34" s="41"/>
      <c r="G34" s="41"/>
      <c r="H34" s="41"/>
      <c r="I34" s="187"/>
      <c r="J34" s="187"/>
      <c r="K34" s="238"/>
      <c r="L34" s="238"/>
      <c r="M34" s="238"/>
      <c r="N34" s="238"/>
      <c r="O34" s="81"/>
      <c r="P34" s="41"/>
      <c r="Q34" s="41"/>
      <c r="R34" s="81"/>
    </row>
    <row r="37" spans="2:18" ht="11.45" customHeight="1" x14ac:dyDescent="0.2">
      <c r="C37" s="72" t="s">
        <v>575</v>
      </c>
      <c r="D37" s="72" t="s">
        <v>574</v>
      </c>
      <c r="E37" s="72"/>
      <c r="F37" s="71">
        <f>'Lead PL'!F24</f>
        <v>16416.744779999997</v>
      </c>
      <c r="G37" s="71">
        <f>'Lead PL'!G24</f>
        <v>15515.82071</v>
      </c>
      <c r="H37" s="71">
        <f>'Lead PL'!H24</f>
        <v>17010.758600000001</v>
      </c>
      <c r="I37" s="71">
        <f>'Lead PL'!I24</f>
        <v>15235.918450000003</v>
      </c>
      <c r="J37" s="71">
        <f>'Lead PL'!J24</f>
        <v>0</v>
      </c>
      <c r="K37" s="71">
        <f>'Lead PL'!K24</f>
        <v>0</v>
      </c>
      <c r="L37" s="71">
        <f>'Lead PL'!L24</f>
        <v>0</v>
      </c>
      <c r="M37" s="71">
        <f>'Lead PL'!M24</f>
        <v>0</v>
      </c>
      <c r="N37" s="71">
        <f>'Lead PL'!N24</f>
        <v>0</v>
      </c>
    </row>
    <row r="38" spans="2:18" ht="11.45" customHeight="1" x14ac:dyDescent="0.2">
      <c r="C38" s="70" t="s">
        <v>233</v>
      </c>
      <c r="D38" s="69" t="s">
        <v>233</v>
      </c>
      <c r="E38" s="70"/>
      <c r="F38" s="68">
        <f t="shared" ref="F38:N38" si="14">F37-F13</f>
        <v>16416.744779999997</v>
      </c>
      <c r="G38" s="68">
        <f t="shared" si="14"/>
        <v>15515.82071</v>
      </c>
      <c r="H38" s="68">
        <f t="shared" si="14"/>
        <v>17010.758600000001</v>
      </c>
      <c r="I38" s="68">
        <f t="shared" si="14"/>
        <v>15235.918450000003</v>
      </c>
      <c r="J38" s="68">
        <f t="shared" si="14"/>
        <v>0</v>
      </c>
      <c r="K38" s="68">
        <f t="shared" si="14"/>
        <v>0</v>
      </c>
      <c r="L38" s="68">
        <f t="shared" si="14"/>
        <v>0</v>
      </c>
      <c r="M38" s="68">
        <f t="shared" si="14"/>
        <v>0</v>
      </c>
      <c r="N38" s="68">
        <f t="shared" si="14"/>
        <v>0</v>
      </c>
    </row>
    <row r="40" spans="2:18" ht="11.45" customHeight="1" x14ac:dyDescent="0.2">
      <c r="C40" s="72" t="s">
        <v>573</v>
      </c>
      <c r="D40" s="72" t="s">
        <v>572</v>
      </c>
      <c r="E40" s="72"/>
      <c r="F40" s="71">
        <f>'Lead PL'!F29</f>
        <v>1150.4923999999987</v>
      </c>
      <c r="G40" s="71">
        <f>'Lead PL'!G29</f>
        <v>-657.18404999999836</v>
      </c>
      <c r="H40" s="71">
        <f>'Lead PL'!H29</f>
        <v>214.98382000000061</v>
      </c>
      <c r="I40" s="71">
        <f>'Lead PL'!I29</f>
        <v>512.34907000000533</v>
      </c>
      <c r="J40" s="71">
        <f>'Lead PL'!J29</f>
        <v>0</v>
      </c>
      <c r="K40" s="71">
        <f>'Lead PL'!K29</f>
        <v>0</v>
      </c>
      <c r="L40" s="71">
        <f>'Lead PL'!L29</f>
        <v>0</v>
      </c>
      <c r="M40" s="71">
        <f>'Lead PL'!M29</f>
        <v>0</v>
      </c>
      <c r="N40" s="71">
        <f>'Lead PL'!N29</f>
        <v>0</v>
      </c>
    </row>
    <row r="41" spans="2:18" ht="11.45" customHeight="1" x14ac:dyDescent="0.2">
      <c r="C41" s="70" t="s">
        <v>233</v>
      </c>
      <c r="D41" s="69" t="s">
        <v>233</v>
      </c>
      <c r="E41" s="70"/>
      <c r="F41" s="68">
        <f t="shared" ref="F41:N41" si="15">F40-F25</f>
        <v>1150.4923999999987</v>
      </c>
      <c r="G41" s="68">
        <f t="shared" si="15"/>
        <v>-657.18404999999836</v>
      </c>
      <c r="H41" s="68">
        <f t="shared" si="15"/>
        <v>214.98382000000061</v>
      </c>
      <c r="I41" s="68">
        <f t="shared" si="15"/>
        <v>512.34907000000533</v>
      </c>
      <c r="J41" s="68">
        <f t="shared" si="15"/>
        <v>0</v>
      </c>
      <c r="K41" s="68">
        <f t="shared" si="15"/>
        <v>0</v>
      </c>
      <c r="L41" s="68">
        <f t="shared" si="15"/>
        <v>0</v>
      </c>
      <c r="M41" s="68">
        <f t="shared" si="15"/>
        <v>0</v>
      </c>
      <c r="N41" s="68">
        <f t="shared" si="15"/>
        <v>0</v>
      </c>
    </row>
  </sheetData>
  <conditionalFormatting sqref="A1:XFD1048576">
    <cfRule type="containsText" dxfId="177" priority="1" operator="containsText" text="dummy">
      <formula>NOT(ISERROR(SEARCH("dummy",A1)))</formula>
    </cfRule>
  </conditionalFormatting>
  <conditionalFormatting sqref="F38:N38">
    <cfRule type="cellIs" dxfId="176" priority="29" operator="between">
      <formula>-1</formula>
      <formula>1</formula>
    </cfRule>
    <cfRule type="cellIs" dxfId="175" priority="30" operator="lessThan">
      <formula>-1</formula>
    </cfRule>
    <cfRule type="cellIs" dxfId="174" priority="31" operator="greaterThan">
      <formula>1</formula>
    </cfRule>
  </conditionalFormatting>
  <conditionalFormatting sqref="F41:N41">
    <cfRule type="cellIs" dxfId="173" priority="2" operator="between">
      <formula>-1</formula>
      <formula>1</formula>
    </cfRule>
    <cfRule type="cellIs" dxfId="172" priority="3" operator="lessThan">
      <formula>-1</formula>
    </cfRule>
    <cfRule type="cellIs" dxfId="171" priority="4" operator="greaterThan">
      <formula>1</formula>
    </cfRule>
  </conditionalFormatting>
  <pageMargins left="0.7" right="0.7" top="0.78740157499999996" bottom="0.78740157499999996" header="0.3" footer="0.3"/>
  <pageSetup paperSize="9" scale="53" orientation="portrait" r:id="rId1"/>
  <colBreaks count="1" manualBreakCount="1">
    <brk id="19"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61FC6-EA87-41D2-93EB-0E1C85F0F84F}">
  <sheetPr>
    <tabColor rgb="FFFF0000"/>
  </sheetPr>
  <dimension ref="B1:R85"/>
  <sheetViews>
    <sheetView topLeftCell="A2" workbookViewId="0"/>
  </sheetViews>
  <sheetFormatPr defaultColWidth="11.28515625" defaultRowHeight="11.45" customHeight="1" outlineLevelRow="3" outlineLevelCol="2" x14ac:dyDescent="0.2"/>
  <cols>
    <col min="1" max="1" width="11.28515625" style="1"/>
    <col min="2" max="2" width="0.85546875" style="1" hidden="1" customWidth="1" outlineLevel="2"/>
    <col min="3" max="3" width="35.5703125" style="1" hidden="1" customWidth="1" outlineLevel="2"/>
    <col min="4" max="4" width="35.5703125" style="1" customWidth="1" collapsed="1"/>
    <col min="5" max="9" width="9.42578125" style="1" customWidth="1"/>
    <col min="10" max="13" width="9.42578125" style="1" hidden="1" customWidth="1" outlineLevel="1"/>
    <col min="14" max="14" width="0.85546875" style="1" hidden="1" customWidth="1" outlineLevel="1"/>
    <col min="15" max="16" width="8.42578125" style="1" hidden="1" customWidth="1" outlineLevel="1"/>
    <col min="17" max="17" width="0.85546875" style="1" hidden="1" customWidth="1" outlineLevel="2"/>
    <col min="18" max="18" width="11.28515625" style="1" collapsed="1"/>
    <col min="19" max="16384" width="11.28515625" style="1"/>
  </cols>
  <sheetData>
    <row r="1" spans="2:17" ht="11.45" hidden="1" customHeight="1" outlineLevel="3" x14ac:dyDescent="0.2">
      <c r="C1" s="13" t="s">
        <v>268</v>
      </c>
      <c r="D1" s="13" t="s">
        <v>268</v>
      </c>
      <c r="E1" s="12">
        <f t="shared" ref="E1:M1" si="0">IFERROR(E4,E6)</f>
        <v>44926</v>
      </c>
      <c r="F1" s="12">
        <f t="shared" si="0"/>
        <v>45291</v>
      </c>
      <c r="G1" s="12">
        <f t="shared" si="0"/>
        <v>45657</v>
      </c>
      <c r="H1" s="12">
        <f t="shared" si="0"/>
        <v>46022</v>
      </c>
      <c r="I1" s="12">
        <f t="shared" si="0"/>
        <v>46022</v>
      </c>
      <c r="J1" s="12">
        <f t="shared" si="0"/>
        <v>46022</v>
      </c>
      <c r="K1" s="12">
        <f t="shared" si="0"/>
        <v>46387</v>
      </c>
      <c r="L1" s="12">
        <f t="shared" si="0"/>
        <v>46752</v>
      </c>
      <c r="M1" s="12">
        <f t="shared" si="0"/>
        <v>47118</v>
      </c>
    </row>
    <row r="2" spans="2:17" ht="11.45" customHeight="1" collapsed="1" x14ac:dyDescent="0.2"/>
    <row r="4" spans="2:17" ht="11.45" hidden="1" customHeight="1" outlineLevel="3" x14ac:dyDescent="0.2">
      <c r="B4" s="101"/>
      <c r="C4" s="236" t="str">
        <f>Cockpit!$C$4</f>
        <v>Projekt Namur</v>
      </c>
      <c r="D4" s="230"/>
      <c r="E4" s="230">
        <f>'Lead PL'!F4</f>
        <v>44926</v>
      </c>
      <c r="F4" s="230">
        <f>'Lead PL'!G4</f>
        <v>45291</v>
      </c>
      <c r="G4" s="230">
        <f>'Lead PL'!H4</f>
        <v>45657</v>
      </c>
      <c r="H4" s="234">
        <f>'Lead PL'!I4</f>
        <v>46022</v>
      </c>
      <c r="I4" s="234">
        <f>'Lead PL'!J4</f>
        <v>46022</v>
      </c>
      <c r="J4" s="230">
        <f>'Lead PL'!K4</f>
        <v>46022</v>
      </c>
      <c r="K4" s="230">
        <f>'Lead PL'!L4</f>
        <v>46387</v>
      </c>
      <c r="L4" s="230">
        <f>'Lead PL'!M4</f>
        <v>46752</v>
      </c>
      <c r="M4" s="230">
        <f>'Lead PL'!N4</f>
        <v>47118</v>
      </c>
      <c r="N4" s="101"/>
      <c r="O4" s="230" t="str">
        <f>'Lead PL'!P4</f>
        <v>CAGR</v>
      </c>
      <c r="P4" s="230" t="str">
        <f>'Lead PL'!Q4</f>
        <v>CAGR</v>
      </c>
      <c r="Q4" s="101"/>
    </row>
    <row r="5" spans="2:17" ht="11.45" hidden="1" customHeight="1" outlineLevel="3" x14ac:dyDescent="0.2">
      <c r="B5" s="101"/>
      <c r="C5" s="236" t="str">
        <f>"in T"&amp;Cockpit!$C$5</f>
        <v>in TEUR</v>
      </c>
      <c r="D5" s="230"/>
      <c r="E5" s="230" t="str">
        <f>'Lead PL'!F5</f>
        <v>IST</v>
      </c>
      <c r="F5" s="230" t="str">
        <f>'Lead PL'!G5</f>
        <v>IST</v>
      </c>
      <c r="G5" s="230" t="str">
        <f>'Lead PL'!H5</f>
        <v>IST</v>
      </c>
      <c r="H5" s="230" t="str">
        <f>'Lead PL'!I5</f>
        <v>IST</v>
      </c>
      <c r="I5" s="230" t="str">
        <f>'Lead PL'!J5</f>
        <v>YTD</v>
      </c>
      <c r="J5" s="230" t="str">
        <f>'Lead PL'!K5</f>
        <v>Plan</v>
      </c>
      <c r="K5" s="230" t="str">
        <f>'Lead PL'!L5</f>
        <v>Plan</v>
      </c>
      <c r="L5" s="230" t="str">
        <f>'Lead PL'!M5</f>
        <v>Plan</v>
      </c>
      <c r="M5" s="230" t="str">
        <f>'Lead PL'!N5</f>
        <v>Plan</v>
      </c>
      <c r="N5" s="101"/>
      <c r="O5" s="230" t="str">
        <f>'Lead PL'!P5</f>
        <v>IST</v>
      </c>
      <c r="P5" s="230" t="str">
        <f>'Lead PL'!Q5</f>
        <v>Plan</v>
      </c>
      <c r="Q5" s="101"/>
    </row>
    <row r="6" spans="2:17" ht="11.45" customHeight="1" collapsed="1" x14ac:dyDescent="0.2">
      <c r="B6" s="101"/>
      <c r="C6" s="233"/>
      <c r="D6" s="232" t="str">
        <f>Cockpit!$C$4</f>
        <v>Projekt Namur</v>
      </c>
      <c r="E6" s="233">
        <f>'Lead PL'!F6</f>
        <v>44926</v>
      </c>
      <c r="F6" s="233">
        <f>'Lead PL'!G6</f>
        <v>45291</v>
      </c>
      <c r="G6" s="233">
        <f>'Lead PL'!H6</f>
        <v>45657</v>
      </c>
      <c r="H6" s="261">
        <f>'Lead PL'!I6</f>
        <v>46022</v>
      </c>
      <c r="I6" s="261">
        <f>'Lead PL'!J6</f>
        <v>46022</v>
      </c>
      <c r="J6" s="233">
        <f>'Lead PL'!K6</f>
        <v>46022</v>
      </c>
      <c r="K6" s="233">
        <f>'Lead PL'!L6</f>
        <v>46387</v>
      </c>
      <c r="L6" s="233">
        <f>'Lead PL'!M6</f>
        <v>46752</v>
      </c>
      <c r="M6" s="233">
        <f>'Lead PL'!N6</f>
        <v>47118</v>
      </c>
      <c r="N6" s="101"/>
      <c r="O6" s="233" t="str">
        <f>'Lead PL'!P6</f>
        <v>CAGR</v>
      </c>
      <c r="P6" s="233" t="str">
        <f>'Lead PL'!Q6</f>
        <v>CAGR</v>
      </c>
      <c r="Q6" s="101"/>
    </row>
    <row r="7" spans="2:17" ht="11.45" customHeight="1" x14ac:dyDescent="0.2">
      <c r="B7" s="101"/>
      <c r="C7" s="233"/>
      <c r="D7" s="232" t="str">
        <f>"in k"&amp;Cockpit!$C$5</f>
        <v>in kEUR</v>
      </c>
      <c r="E7" s="233" t="str">
        <f>'Lead PL'!F7</f>
        <v>IST</v>
      </c>
      <c r="F7" s="233" t="str">
        <f>'Lead PL'!G7</f>
        <v>IST</v>
      </c>
      <c r="G7" s="233" t="str">
        <f>'Lead PL'!H7</f>
        <v>IST</v>
      </c>
      <c r="H7" s="233" t="str">
        <f>'Lead PL'!I7</f>
        <v>IST</v>
      </c>
      <c r="I7" s="233" t="str">
        <f>'Lead PL'!J7</f>
        <v>YTD</v>
      </c>
      <c r="J7" s="233" t="str">
        <f>'Lead PL'!K7</f>
        <v>Plan</v>
      </c>
      <c r="K7" s="233" t="str">
        <f>'Lead PL'!L7</f>
        <v>Plan</v>
      </c>
      <c r="L7" s="233" t="str">
        <f>'Lead PL'!M7</f>
        <v>Plan</v>
      </c>
      <c r="M7" s="233" t="str">
        <f>'Lead PL'!N7</f>
        <v>Plan</v>
      </c>
      <c r="N7" s="101"/>
      <c r="O7" s="233" t="str">
        <f>'Lead PL'!P7</f>
        <v>IST</v>
      </c>
      <c r="P7" s="233" t="str">
        <f>'Lead PL'!Q7</f>
        <v>Plan</v>
      </c>
      <c r="Q7" s="101"/>
    </row>
    <row r="8" spans="2:17" ht="4.5" customHeight="1" x14ac:dyDescent="0.2">
      <c r="B8" s="101"/>
      <c r="C8" s="30"/>
      <c r="D8" s="30"/>
      <c r="E8" s="30"/>
      <c r="F8" s="30"/>
      <c r="G8" s="30"/>
      <c r="H8" s="30"/>
      <c r="I8" s="30"/>
      <c r="J8" s="30"/>
      <c r="K8" s="30"/>
      <c r="L8" s="30"/>
      <c r="M8" s="30"/>
      <c r="N8" s="101"/>
      <c r="O8" s="30"/>
      <c r="P8" s="30"/>
      <c r="Q8" s="101"/>
    </row>
    <row r="9" spans="2:17" s="325" customFormat="1" ht="11.45" customHeight="1" x14ac:dyDescent="0.2">
      <c r="B9" s="101"/>
      <c r="C9" s="331" t="s">
        <v>589</v>
      </c>
      <c r="D9" s="331" t="s">
        <v>210</v>
      </c>
      <c r="E9" s="330"/>
      <c r="F9" s="330"/>
      <c r="G9" s="330"/>
      <c r="H9" s="329"/>
      <c r="I9" s="328"/>
      <c r="J9" s="327"/>
      <c r="K9" s="327"/>
      <c r="L9" s="327"/>
      <c r="M9" s="327"/>
      <c r="N9" s="101"/>
      <c r="O9" s="326"/>
      <c r="P9" s="326"/>
      <c r="Q9" s="101"/>
    </row>
    <row r="10" spans="2:17" ht="11.45" customHeight="1" x14ac:dyDescent="0.2">
      <c r="B10" s="101"/>
      <c r="C10" s="37" t="s">
        <v>209</v>
      </c>
      <c r="D10" s="37" t="s">
        <v>209</v>
      </c>
      <c r="E10" s="36"/>
      <c r="F10" s="36"/>
      <c r="G10" s="36"/>
      <c r="H10" s="160"/>
      <c r="I10" s="129"/>
      <c r="J10" s="324"/>
      <c r="K10" s="324"/>
      <c r="L10" s="324"/>
      <c r="M10" s="324"/>
      <c r="N10" s="101"/>
      <c r="O10" s="81" t="str">
        <f>IFERROR(((G10/E10)^(1/(($G$1-$E$1)/365)))-1,"n/a")</f>
        <v>n/a</v>
      </c>
      <c r="P10" s="81" t="str">
        <f>IFERROR(((M10/G10)^(1/(($M$1-$G$1)/365)))-1,"n/a")</f>
        <v>n/a</v>
      </c>
      <c r="Q10" s="101"/>
    </row>
    <row r="11" spans="2:17" ht="11.45" customHeight="1" x14ac:dyDescent="0.2">
      <c r="B11" s="101"/>
      <c r="C11" s="37" t="s">
        <v>208</v>
      </c>
      <c r="D11" s="37" t="s">
        <v>208</v>
      </c>
      <c r="E11" s="36"/>
      <c r="F11" s="36"/>
      <c r="G11" s="36"/>
      <c r="H11" s="160"/>
      <c r="I11" s="129"/>
      <c r="J11" s="324"/>
      <c r="K11" s="324"/>
      <c r="L11" s="324"/>
      <c r="M11" s="324"/>
      <c r="N11" s="101"/>
      <c r="O11" s="81" t="str">
        <f>IFERROR(((G11/E11)^(1/(($G$1-$E$1)/365)))-1,"n/a")</f>
        <v>n/a</v>
      </c>
      <c r="P11" s="81" t="str">
        <f>IFERROR(((M11/G11)^(1/(($M$1-$G$1)/365)))-1,"n/a")</f>
        <v>n/a</v>
      </c>
      <c r="Q11" s="101"/>
    </row>
    <row r="12" spans="2:17" ht="11.45" hidden="1" customHeight="1" outlineLevel="2" x14ac:dyDescent="0.2">
      <c r="B12" s="101"/>
      <c r="C12" s="37" t="s">
        <v>207</v>
      </c>
      <c r="D12" s="37" t="s">
        <v>207</v>
      </c>
      <c r="E12" s="36"/>
      <c r="F12" s="36"/>
      <c r="G12" s="36"/>
      <c r="H12" s="160"/>
      <c r="I12" s="129"/>
      <c r="J12" s="324"/>
      <c r="K12" s="324"/>
      <c r="L12" s="324"/>
      <c r="M12" s="324"/>
      <c r="N12" s="101"/>
      <c r="O12" s="81" t="str">
        <f>IFERROR(((G12/E12)^(1/(($G$1-$E$1)/365)))-1,"n/a")</f>
        <v>n/a</v>
      </c>
      <c r="P12" s="81" t="str">
        <f>IFERROR(((M12/G12)^(1/(($M$1-$G$1)/365)))-1,"n/a")</f>
        <v>n/a</v>
      </c>
      <c r="Q12" s="101"/>
    </row>
    <row r="13" spans="2:17" ht="11.45" hidden="1" customHeight="1" outlineLevel="2" x14ac:dyDescent="0.2">
      <c r="B13" s="101"/>
      <c r="C13" s="37" t="s">
        <v>206</v>
      </c>
      <c r="D13" s="37" t="s">
        <v>206</v>
      </c>
      <c r="E13" s="36"/>
      <c r="F13" s="36"/>
      <c r="G13" s="36"/>
      <c r="H13" s="160"/>
      <c r="I13" s="129"/>
      <c r="J13" s="324"/>
      <c r="K13" s="324"/>
      <c r="L13" s="324"/>
      <c r="M13" s="324"/>
      <c r="N13" s="101"/>
      <c r="O13" s="81" t="str">
        <f>IFERROR(((G13/E13)^(1/(($G$1-$E$1)/365)))-1,"n/a")</f>
        <v>n/a</v>
      </c>
      <c r="P13" s="81" t="str">
        <f>IFERROR(((M13/G13)^(1/(($M$1-$G$1)/365)))-1,"n/a")</f>
        <v>n/a</v>
      </c>
      <c r="Q13" s="101"/>
    </row>
    <row r="14" spans="2:17" ht="4.5" customHeight="1" collapsed="1" x14ac:dyDescent="0.2">
      <c r="B14" s="101"/>
      <c r="C14" s="37"/>
      <c r="D14" s="37"/>
      <c r="E14" s="36"/>
      <c r="F14" s="36"/>
      <c r="G14" s="36"/>
      <c r="H14" s="160"/>
      <c r="I14" s="129"/>
      <c r="J14" s="324"/>
      <c r="K14" s="324"/>
      <c r="L14" s="324"/>
      <c r="M14" s="324"/>
      <c r="N14" s="101"/>
      <c r="O14" s="81"/>
      <c r="P14" s="81"/>
      <c r="Q14" s="101"/>
    </row>
    <row r="15" spans="2:17" ht="11.45" customHeight="1" x14ac:dyDescent="0.2">
      <c r="B15" s="101"/>
      <c r="C15" s="90" t="s">
        <v>588</v>
      </c>
      <c r="D15" s="90" t="s">
        <v>587</v>
      </c>
      <c r="E15" s="36"/>
      <c r="F15" s="36"/>
      <c r="G15" s="36"/>
      <c r="H15" s="160"/>
      <c r="I15" s="129"/>
      <c r="J15" s="324"/>
      <c r="K15" s="324"/>
      <c r="L15" s="324"/>
      <c r="M15" s="324"/>
      <c r="N15" s="101"/>
      <c r="O15" s="81"/>
      <c r="P15" s="81"/>
      <c r="Q15" s="101"/>
    </row>
    <row r="16" spans="2:17" ht="11.45" customHeight="1" x14ac:dyDescent="0.2">
      <c r="B16" s="101"/>
      <c r="C16" s="37" t="str">
        <f t="shared" ref="C16:D19" si="1">C10</f>
        <v>Dummy 1</v>
      </c>
      <c r="D16" s="37" t="str">
        <f t="shared" si="1"/>
        <v>Dummy 1</v>
      </c>
      <c r="E16" s="36"/>
      <c r="F16" s="36"/>
      <c r="G16" s="36"/>
      <c r="H16" s="160"/>
      <c r="I16" s="129"/>
      <c r="J16" s="324"/>
      <c r="K16" s="324"/>
      <c r="L16" s="324"/>
      <c r="M16" s="324"/>
      <c r="N16" s="101"/>
      <c r="O16" s="81" t="str">
        <f>IFERROR(((G16/E16)^(1/(($G$1-$E$1)/365)))-1,"n/a")</f>
        <v>n/a</v>
      </c>
      <c r="P16" s="81" t="str">
        <f>IFERROR(((M16/G16)^(1/(($M$1-$G$1)/365)))-1,"n/a")</f>
        <v>n/a</v>
      </c>
      <c r="Q16" s="101"/>
    </row>
    <row r="17" spans="2:17" ht="11.45" customHeight="1" x14ac:dyDescent="0.2">
      <c r="B17" s="101"/>
      <c r="C17" s="37" t="str">
        <f t="shared" si="1"/>
        <v>Dummy 2</v>
      </c>
      <c r="D17" s="37" t="str">
        <f t="shared" si="1"/>
        <v>Dummy 2</v>
      </c>
      <c r="E17" s="36"/>
      <c r="F17" s="36"/>
      <c r="G17" s="36"/>
      <c r="H17" s="160"/>
      <c r="I17" s="129"/>
      <c r="J17" s="324"/>
      <c r="K17" s="324"/>
      <c r="L17" s="324"/>
      <c r="M17" s="324"/>
      <c r="N17" s="101"/>
      <c r="O17" s="81" t="str">
        <f>IFERROR(((G17/E17)^(1/(($G$1-$E$1)/365)))-1,"n/a")</f>
        <v>n/a</v>
      </c>
      <c r="P17" s="81" t="str">
        <f>IFERROR(((M17/G17)^(1/(($M$1-$G$1)/365)))-1,"n/a")</f>
        <v>n/a</v>
      </c>
      <c r="Q17" s="101"/>
    </row>
    <row r="18" spans="2:17" ht="11.45" hidden="1" customHeight="1" outlineLevel="2" x14ac:dyDescent="0.2">
      <c r="B18" s="101"/>
      <c r="C18" s="37" t="str">
        <f t="shared" si="1"/>
        <v>Dummy 3</v>
      </c>
      <c r="D18" s="37" t="str">
        <f t="shared" si="1"/>
        <v>Dummy 3</v>
      </c>
      <c r="E18" s="36"/>
      <c r="F18" s="36"/>
      <c r="G18" s="36"/>
      <c r="H18" s="160"/>
      <c r="I18" s="129"/>
      <c r="J18" s="324"/>
      <c r="K18" s="324"/>
      <c r="L18" s="324"/>
      <c r="M18" s="324"/>
      <c r="N18" s="101"/>
      <c r="O18" s="81" t="str">
        <f>IFERROR(((G18/E18)^(1/(($G$1-$E$1)/365)))-1,"n/a")</f>
        <v>n/a</v>
      </c>
      <c r="P18" s="81" t="str">
        <f>IFERROR(((M18/G18)^(1/(($M$1-$G$1)/365)))-1,"n/a")</f>
        <v>n/a</v>
      </c>
      <c r="Q18" s="101"/>
    </row>
    <row r="19" spans="2:17" ht="11.45" hidden="1" customHeight="1" outlineLevel="2" x14ac:dyDescent="0.2">
      <c r="B19" s="101"/>
      <c r="C19" s="37" t="str">
        <f t="shared" si="1"/>
        <v>Dummy 4</v>
      </c>
      <c r="D19" s="37" t="str">
        <f t="shared" si="1"/>
        <v>Dummy 4</v>
      </c>
      <c r="E19" s="36"/>
      <c r="F19" s="36"/>
      <c r="G19" s="36"/>
      <c r="H19" s="160"/>
      <c r="I19" s="129"/>
      <c r="J19" s="324"/>
      <c r="K19" s="324"/>
      <c r="L19" s="324"/>
      <c r="M19" s="324"/>
      <c r="N19" s="101"/>
      <c r="O19" s="81" t="str">
        <f>IFERROR(((G19/E19)^(1/(($G$1-$E$1)/365)))-1,"n/a")</f>
        <v>n/a</v>
      </c>
      <c r="P19" s="81" t="str">
        <f>IFERROR(((M19/G19)^(1/(($M$1-$G$1)/365)))-1,"n/a")</f>
        <v>n/a</v>
      </c>
      <c r="Q19" s="101"/>
    </row>
    <row r="20" spans="2:17" ht="4.5" customHeight="1" collapsed="1" x14ac:dyDescent="0.2">
      <c r="B20" s="101"/>
      <c r="C20" s="37"/>
      <c r="D20" s="37"/>
      <c r="E20" s="36"/>
      <c r="F20" s="36"/>
      <c r="G20" s="36"/>
      <c r="H20" s="160"/>
      <c r="I20" s="129"/>
      <c r="J20" s="324"/>
      <c r="K20" s="324"/>
      <c r="L20" s="324"/>
      <c r="M20" s="324"/>
      <c r="N20" s="101"/>
      <c r="O20" s="81"/>
      <c r="P20" s="81"/>
      <c r="Q20" s="101"/>
    </row>
    <row r="21" spans="2:17" ht="11.45" customHeight="1" x14ac:dyDescent="0.2">
      <c r="B21" s="101"/>
      <c r="C21" s="90" t="s">
        <v>586</v>
      </c>
      <c r="D21" s="90" t="s">
        <v>585</v>
      </c>
      <c r="E21" s="36"/>
      <c r="F21" s="36"/>
      <c r="G21" s="36"/>
      <c r="H21" s="160"/>
      <c r="I21" s="129"/>
      <c r="J21" s="324"/>
      <c r="K21" s="324"/>
      <c r="L21" s="324"/>
      <c r="M21" s="324"/>
      <c r="N21" s="101"/>
      <c r="O21" s="81"/>
      <c r="P21" s="81"/>
      <c r="Q21" s="101"/>
    </row>
    <row r="22" spans="2:17" ht="11.45" customHeight="1" x14ac:dyDescent="0.2">
      <c r="B22" s="101"/>
      <c r="C22" s="37" t="str">
        <f t="shared" ref="C22:D25" si="2">C10</f>
        <v>Dummy 1</v>
      </c>
      <c r="D22" s="37" t="str">
        <f t="shared" si="2"/>
        <v>Dummy 1</v>
      </c>
      <c r="E22" s="320" t="str">
        <f t="shared" ref="E22:M22" si="3">IFERROR(E10/E16,"n/a")</f>
        <v>n/a</v>
      </c>
      <c r="F22" s="320" t="str">
        <f t="shared" si="3"/>
        <v>n/a</v>
      </c>
      <c r="G22" s="320" t="str">
        <f t="shared" si="3"/>
        <v>n/a</v>
      </c>
      <c r="H22" s="323" t="str">
        <f t="shared" si="3"/>
        <v>n/a</v>
      </c>
      <c r="I22" s="322" t="str">
        <f t="shared" si="3"/>
        <v>n/a</v>
      </c>
      <c r="J22" s="319" t="str">
        <f t="shared" si="3"/>
        <v>n/a</v>
      </c>
      <c r="K22" s="319" t="str">
        <f t="shared" si="3"/>
        <v>n/a</v>
      </c>
      <c r="L22" s="319" t="str">
        <f t="shared" si="3"/>
        <v>n/a</v>
      </c>
      <c r="M22" s="319" t="str">
        <f t="shared" si="3"/>
        <v>n/a</v>
      </c>
      <c r="N22" s="101"/>
      <c r="O22" s="81" t="str">
        <f>IFERROR(((G22/E22)^(1/(($G$1-$E$1)/365)))-1,"n/a")</f>
        <v>n/a</v>
      </c>
      <c r="P22" s="81" t="str">
        <f>IFERROR(((M22/G22)^(1/(($M$1-$G$1)/365)))-1,"n/a")</f>
        <v>n/a</v>
      </c>
      <c r="Q22" s="101"/>
    </row>
    <row r="23" spans="2:17" ht="11.45" customHeight="1" x14ac:dyDescent="0.2">
      <c r="B23" s="101"/>
      <c r="C23" s="37" t="str">
        <f t="shared" si="2"/>
        <v>Dummy 2</v>
      </c>
      <c r="D23" s="37" t="str">
        <f t="shared" si="2"/>
        <v>Dummy 2</v>
      </c>
      <c r="E23" s="320" t="str">
        <f t="shared" ref="E23:M23" si="4">IFERROR(E11/E17,"n/a")</f>
        <v>n/a</v>
      </c>
      <c r="F23" s="320" t="str">
        <f t="shared" si="4"/>
        <v>n/a</v>
      </c>
      <c r="G23" s="320" t="str">
        <f t="shared" si="4"/>
        <v>n/a</v>
      </c>
      <c r="H23" s="323" t="str">
        <f t="shared" si="4"/>
        <v>n/a</v>
      </c>
      <c r="I23" s="322" t="str">
        <f t="shared" si="4"/>
        <v>n/a</v>
      </c>
      <c r="J23" s="319" t="str">
        <f t="shared" si="4"/>
        <v>n/a</v>
      </c>
      <c r="K23" s="319" t="str">
        <f t="shared" si="4"/>
        <v>n/a</v>
      </c>
      <c r="L23" s="319" t="str">
        <f t="shared" si="4"/>
        <v>n/a</v>
      </c>
      <c r="M23" s="319" t="str">
        <f t="shared" si="4"/>
        <v>n/a</v>
      </c>
      <c r="N23" s="101"/>
      <c r="O23" s="81" t="str">
        <f>IFERROR(((G23/E23)^(1/(($G$1-$E$1)/365)))-1,"n/a")</f>
        <v>n/a</v>
      </c>
      <c r="P23" s="81" t="str">
        <f>IFERROR(((M23/G23)^(1/(($M$1-$G$1)/365)))-1,"n/a")</f>
        <v>n/a</v>
      </c>
      <c r="Q23" s="101"/>
    </row>
    <row r="24" spans="2:17" ht="11.45" hidden="1" customHeight="1" outlineLevel="2" x14ac:dyDescent="0.2">
      <c r="B24" s="101"/>
      <c r="C24" s="37" t="str">
        <f t="shared" si="2"/>
        <v>Dummy 3</v>
      </c>
      <c r="D24" s="37" t="str">
        <f t="shared" si="2"/>
        <v>Dummy 3</v>
      </c>
      <c r="E24" s="320" t="str">
        <f t="shared" ref="E24:M24" si="5">IFERROR(E12/E18,"n/a")</f>
        <v>n/a</v>
      </c>
      <c r="F24" s="320" t="str">
        <f t="shared" si="5"/>
        <v>n/a</v>
      </c>
      <c r="G24" s="320" t="str">
        <f t="shared" si="5"/>
        <v>n/a</v>
      </c>
      <c r="H24" s="323" t="str">
        <f t="shared" si="5"/>
        <v>n/a</v>
      </c>
      <c r="I24" s="322" t="str">
        <f t="shared" si="5"/>
        <v>n/a</v>
      </c>
      <c r="J24" s="319" t="str">
        <f t="shared" si="5"/>
        <v>n/a</v>
      </c>
      <c r="K24" s="319" t="str">
        <f t="shared" si="5"/>
        <v>n/a</v>
      </c>
      <c r="L24" s="319" t="str">
        <f t="shared" si="5"/>
        <v>n/a</v>
      </c>
      <c r="M24" s="319" t="str">
        <f t="shared" si="5"/>
        <v>n/a</v>
      </c>
      <c r="N24" s="101"/>
      <c r="O24" s="81" t="str">
        <f>IFERROR(((G24/E24)^(1/(($G$1-$E$1)/365)))-1,"n/a")</f>
        <v>n/a</v>
      </c>
      <c r="P24" s="81" t="str">
        <f>IFERROR(((M24/G24)^(1/(($M$1-$G$1)/365)))-1,"n/a")</f>
        <v>n/a</v>
      </c>
      <c r="Q24" s="101"/>
    </row>
    <row r="25" spans="2:17" ht="11.45" hidden="1" customHeight="1" outlineLevel="2" x14ac:dyDescent="0.2">
      <c r="B25" s="101"/>
      <c r="C25" s="37" t="str">
        <f t="shared" si="2"/>
        <v>Dummy 4</v>
      </c>
      <c r="D25" s="37" t="str">
        <f t="shared" si="2"/>
        <v>Dummy 4</v>
      </c>
      <c r="E25" s="320" t="str">
        <f t="shared" ref="E25:M25" si="6">IFERROR(E13/E19,"n/a")</f>
        <v>n/a</v>
      </c>
      <c r="F25" s="320" t="str">
        <f t="shared" si="6"/>
        <v>n/a</v>
      </c>
      <c r="G25" s="320" t="str">
        <f t="shared" si="6"/>
        <v>n/a</v>
      </c>
      <c r="H25" s="323" t="str">
        <f t="shared" si="6"/>
        <v>n/a</v>
      </c>
      <c r="I25" s="322" t="str">
        <f t="shared" si="6"/>
        <v>n/a</v>
      </c>
      <c r="J25" s="319" t="str">
        <f t="shared" si="6"/>
        <v>n/a</v>
      </c>
      <c r="K25" s="319" t="str">
        <f t="shared" si="6"/>
        <v>n/a</v>
      </c>
      <c r="L25" s="319" t="str">
        <f t="shared" si="6"/>
        <v>n/a</v>
      </c>
      <c r="M25" s="319" t="str">
        <f t="shared" si="6"/>
        <v>n/a</v>
      </c>
      <c r="N25" s="101"/>
      <c r="O25" s="81" t="str">
        <f>IFERROR(((G25/E25)^(1/(($G$1-$E$1)/365)))-1,"n/a")</f>
        <v>n/a</v>
      </c>
      <c r="P25" s="81" t="str">
        <f>IFERROR(((M25/G25)^(1/(($M$1-$G$1)/365)))-1,"n/a")</f>
        <v>n/a</v>
      </c>
      <c r="Q25" s="101"/>
    </row>
    <row r="26" spans="2:17" ht="4.5" customHeight="1" collapsed="1" x14ac:dyDescent="0.2">
      <c r="B26" s="101"/>
      <c r="C26" s="37"/>
      <c r="D26" s="37"/>
      <c r="E26" s="320"/>
      <c r="F26" s="320"/>
      <c r="G26" s="320"/>
      <c r="H26" s="323"/>
      <c r="I26" s="322"/>
      <c r="J26" s="319"/>
      <c r="K26" s="319"/>
      <c r="L26" s="319"/>
      <c r="M26" s="319"/>
      <c r="N26" s="101"/>
      <c r="O26" s="81"/>
      <c r="P26" s="81"/>
      <c r="Q26" s="101"/>
    </row>
    <row r="27" spans="2:17" ht="11.45" customHeight="1" x14ac:dyDescent="0.2">
      <c r="B27" s="101"/>
      <c r="C27" s="90" t="s">
        <v>239</v>
      </c>
      <c r="D27" s="90" t="s">
        <v>584</v>
      </c>
      <c r="E27" s="320"/>
      <c r="F27" s="320"/>
      <c r="G27" s="320"/>
      <c r="H27" s="323"/>
      <c r="I27" s="322"/>
      <c r="J27" s="319"/>
      <c r="K27" s="319"/>
      <c r="L27" s="319"/>
      <c r="M27" s="319"/>
      <c r="N27" s="101"/>
      <c r="O27" s="81"/>
      <c r="P27" s="81"/>
      <c r="Q27" s="101"/>
    </row>
    <row r="28" spans="2:17" ht="11.45" customHeight="1" x14ac:dyDescent="0.2">
      <c r="B28" s="101"/>
      <c r="C28" s="90" t="s">
        <v>583</v>
      </c>
      <c r="D28" s="90" t="s">
        <v>582</v>
      </c>
      <c r="E28" s="320"/>
      <c r="F28" s="320"/>
      <c r="G28" s="320"/>
      <c r="H28" s="323"/>
      <c r="I28" s="322"/>
      <c r="J28" s="319"/>
      <c r="K28" s="319"/>
      <c r="L28" s="319"/>
      <c r="M28" s="319"/>
      <c r="N28" s="101"/>
      <c r="O28" s="81"/>
      <c r="P28" s="81"/>
      <c r="Q28" s="101"/>
    </row>
    <row r="29" spans="2:17" ht="11.45" customHeight="1" x14ac:dyDescent="0.2">
      <c r="B29" s="101"/>
      <c r="C29" s="37" t="str">
        <f t="shared" ref="C29:D32" si="7">C16</f>
        <v>Dummy 1</v>
      </c>
      <c r="D29" s="37" t="str">
        <f t="shared" si="7"/>
        <v>Dummy 1</v>
      </c>
      <c r="E29" s="96"/>
      <c r="F29" s="81" t="str">
        <f t="shared" ref="F29:G32" si="8">IFERROR(IF(F16/E16-1&gt;1,"&gt;100%",IF(F16/E16-1&lt;-1,"&lt;100%",F16/E16-1)),"n/a")</f>
        <v>n/a</v>
      </c>
      <c r="G29" s="81" t="str">
        <f t="shared" si="8"/>
        <v>n/a</v>
      </c>
      <c r="H29" s="95"/>
      <c r="I29" s="94"/>
      <c r="J29" s="321" t="str">
        <f>IFERROR(IF(J16/G16-1&gt;1,"&gt;100%",IF(J16/G16-1&lt;-1,"&lt;100%",J16/G16-1)),"n/a")</f>
        <v>n/a</v>
      </c>
      <c r="K29" s="321" t="str">
        <f t="shared" ref="K29:M32" si="9">IFERROR(IF(K16/J16-1&gt;1,"&gt;100%",IF(K16/J16-1&lt;-1,"&lt;100%",K16/J16-1)),"n/a")</f>
        <v>n/a</v>
      </c>
      <c r="L29" s="321" t="str">
        <f t="shared" si="9"/>
        <v>n/a</v>
      </c>
      <c r="M29" s="321" t="str">
        <f t="shared" si="9"/>
        <v>n/a</v>
      </c>
      <c r="N29" s="101"/>
      <c r="O29" s="81"/>
      <c r="P29" s="81"/>
      <c r="Q29" s="101"/>
    </row>
    <row r="30" spans="2:17" ht="11.45" customHeight="1" x14ac:dyDescent="0.2">
      <c r="B30" s="101"/>
      <c r="C30" s="37" t="str">
        <f t="shared" si="7"/>
        <v>Dummy 2</v>
      </c>
      <c r="D30" s="37" t="str">
        <f t="shared" si="7"/>
        <v>Dummy 2</v>
      </c>
      <c r="E30" s="96"/>
      <c r="F30" s="81" t="str">
        <f t="shared" si="8"/>
        <v>n/a</v>
      </c>
      <c r="G30" s="81" t="str">
        <f t="shared" si="8"/>
        <v>n/a</v>
      </c>
      <c r="H30" s="95"/>
      <c r="I30" s="94"/>
      <c r="J30" s="321" t="str">
        <f>IFERROR(IF(J17/G17-1&gt;1,"&gt;100%",IF(J17/G17-1&lt;-1,"&lt;100%",J17/G17-1)),"n/a")</f>
        <v>n/a</v>
      </c>
      <c r="K30" s="321" t="str">
        <f t="shared" si="9"/>
        <v>n/a</v>
      </c>
      <c r="L30" s="321" t="str">
        <f t="shared" si="9"/>
        <v>n/a</v>
      </c>
      <c r="M30" s="321" t="str">
        <f t="shared" si="9"/>
        <v>n/a</v>
      </c>
      <c r="N30" s="101"/>
      <c r="O30" s="81"/>
      <c r="P30" s="81"/>
      <c r="Q30" s="101"/>
    </row>
    <row r="31" spans="2:17" ht="11.45" hidden="1" customHeight="1" outlineLevel="2" x14ac:dyDescent="0.2">
      <c r="B31" s="101"/>
      <c r="C31" s="37" t="str">
        <f t="shared" si="7"/>
        <v>Dummy 3</v>
      </c>
      <c r="D31" s="37" t="str">
        <f t="shared" si="7"/>
        <v>Dummy 3</v>
      </c>
      <c r="E31" s="96"/>
      <c r="F31" s="81" t="str">
        <f t="shared" si="8"/>
        <v>n/a</v>
      </c>
      <c r="G31" s="81" t="str">
        <f t="shared" si="8"/>
        <v>n/a</v>
      </c>
      <c r="H31" s="95"/>
      <c r="I31" s="94"/>
      <c r="J31" s="321" t="str">
        <f>IFERROR(IF(J18/G18-1&gt;1,"&gt;100%",IF(J18/G18-1&lt;-1,"&lt;100%",J18/G18-1)),"n/a")</f>
        <v>n/a</v>
      </c>
      <c r="K31" s="321" t="str">
        <f t="shared" si="9"/>
        <v>n/a</v>
      </c>
      <c r="L31" s="321" t="str">
        <f t="shared" si="9"/>
        <v>n/a</v>
      </c>
      <c r="M31" s="321" t="str">
        <f t="shared" si="9"/>
        <v>n/a</v>
      </c>
      <c r="N31" s="101"/>
      <c r="O31" s="81"/>
      <c r="P31" s="81"/>
      <c r="Q31" s="101"/>
    </row>
    <row r="32" spans="2:17" ht="11.45" hidden="1" customHeight="1" outlineLevel="2" x14ac:dyDescent="0.2">
      <c r="B32" s="101"/>
      <c r="C32" s="37" t="str">
        <f t="shared" si="7"/>
        <v>Dummy 4</v>
      </c>
      <c r="D32" s="37" t="str">
        <f t="shared" si="7"/>
        <v>Dummy 4</v>
      </c>
      <c r="E32" s="96"/>
      <c r="F32" s="81" t="str">
        <f t="shared" si="8"/>
        <v>n/a</v>
      </c>
      <c r="G32" s="81" t="str">
        <f t="shared" si="8"/>
        <v>n/a</v>
      </c>
      <c r="H32" s="95"/>
      <c r="I32" s="94"/>
      <c r="J32" s="321" t="str">
        <f>IFERROR(IF(J19/G19-1&gt;1,"&gt;100%",IF(J19/G19-1&lt;-1,"&lt;100%",J19/G19-1)),"n/a")</f>
        <v>n/a</v>
      </c>
      <c r="K32" s="321" t="str">
        <f t="shared" si="9"/>
        <v>n/a</v>
      </c>
      <c r="L32" s="321" t="str">
        <f t="shared" si="9"/>
        <v>n/a</v>
      </c>
      <c r="M32" s="321" t="str">
        <f t="shared" si="9"/>
        <v>n/a</v>
      </c>
      <c r="N32" s="101"/>
      <c r="O32" s="81"/>
      <c r="P32" s="81"/>
      <c r="Q32" s="101"/>
    </row>
    <row r="33" spans="2:17" ht="4.5" customHeight="1" collapsed="1" x14ac:dyDescent="0.2">
      <c r="B33" s="101"/>
      <c r="C33" s="37"/>
      <c r="D33" s="37"/>
      <c r="E33" s="320"/>
      <c r="F33" s="320"/>
      <c r="G33" s="320"/>
      <c r="H33" s="80"/>
      <c r="I33" s="79"/>
      <c r="J33" s="319"/>
      <c r="K33" s="319"/>
      <c r="L33" s="319"/>
      <c r="M33" s="319"/>
      <c r="N33" s="101"/>
      <c r="O33" s="81"/>
      <c r="P33" s="81"/>
      <c r="Q33" s="101"/>
    </row>
    <row r="34" spans="2:17" ht="11.45" customHeight="1" x14ac:dyDescent="0.2">
      <c r="B34" s="101"/>
      <c r="C34" s="90" t="str">
        <f t="shared" ref="C34:D38" si="10">C21</f>
        <v>Durchschnittlicher Umsatz pro Stk.</v>
      </c>
      <c r="D34" s="90" t="str">
        <f t="shared" si="10"/>
        <v>Average revenue per pc.</v>
      </c>
      <c r="E34" s="320"/>
      <c r="F34" s="320"/>
      <c r="G34" s="320"/>
      <c r="H34" s="80"/>
      <c r="I34" s="79"/>
      <c r="J34" s="319"/>
      <c r="K34" s="319"/>
      <c r="L34" s="319"/>
      <c r="M34" s="319"/>
      <c r="N34" s="101"/>
      <c r="O34" s="81"/>
      <c r="P34" s="81"/>
      <c r="Q34" s="101"/>
    </row>
    <row r="35" spans="2:17" ht="11.45" customHeight="1" x14ac:dyDescent="0.2">
      <c r="B35" s="101"/>
      <c r="C35" s="37" t="str">
        <f t="shared" si="10"/>
        <v>Dummy 1</v>
      </c>
      <c r="D35" s="37" t="str">
        <f t="shared" si="10"/>
        <v>Dummy 1</v>
      </c>
      <c r="E35" s="96"/>
      <c r="F35" s="81" t="str">
        <f t="shared" ref="F35:G38" si="11">IFERROR(IF(F22/E22-1&gt;1,"&gt;100%",IF(F22/E22-1&lt;-1,"&lt;100%",F22/E22-1)),"n/a")</f>
        <v>n/a</v>
      </c>
      <c r="G35" s="81" t="str">
        <f t="shared" si="11"/>
        <v>n/a</v>
      </c>
      <c r="H35" s="95"/>
      <c r="I35" s="94"/>
      <c r="J35" s="321" t="str">
        <f>IFERROR(IF(J22/G22-1&gt;1,"&gt;100%",IF(J22/G22-1&lt;-1,"&lt;100%",J22/G22-1)),"n/a")</f>
        <v>n/a</v>
      </c>
      <c r="K35" s="321" t="str">
        <f t="shared" ref="K35:M38" si="12">IFERROR(IF(K22/J22-1&gt;1,"&gt;100%",IF(K22/J22-1&lt;-1,"&lt;100%",K22/J22-1)),"n/a")</f>
        <v>n/a</v>
      </c>
      <c r="L35" s="321" t="str">
        <f t="shared" si="12"/>
        <v>n/a</v>
      </c>
      <c r="M35" s="321" t="str">
        <f t="shared" si="12"/>
        <v>n/a</v>
      </c>
      <c r="N35" s="101"/>
      <c r="O35" s="81"/>
      <c r="P35" s="81"/>
      <c r="Q35" s="101"/>
    </row>
    <row r="36" spans="2:17" ht="11.45" customHeight="1" x14ac:dyDescent="0.2">
      <c r="B36" s="101"/>
      <c r="C36" s="37" t="str">
        <f t="shared" si="10"/>
        <v>Dummy 2</v>
      </c>
      <c r="D36" s="37" t="str">
        <f t="shared" si="10"/>
        <v>Dummy 2</v>
      </c>
      <c r="E36" s="96"/>
      <c r="F36" s="81" t="str">
        <f t="shared" si="11"/>
        <v>n/a</v>
      </c>
      <c r="G36" s="81" t="str">
        <f t="shared" si="11"/>
        <v>n/a</v>
      </c>
      <c r="H36" s="95"/>
      <c r="I36" s="94"/>
      <c r="J36" s="321" t="str">
        <f>IFERROR(IF(J23/G23-1&gt;1,"&gt;100%",IF(J23/G23-1&lt;-1,"&lt;100%",J23/G23-1)),"n/a")</f>
        <v>n/a</v>
      </c>
      <c r="K36" s="321" t="str">
        <f t="shared" si="12"/>
        <v>n/a</v>
      </c>
      <c r="L36" s="321" t="str">
        <f t="shared" si="12"/>
        <v>n/a</v>
      </c>
      <c r="M36" s="321" t="str">
        <f t="shared" si="12"/>
        <v>n/a</v>
      </c>
      <c r="N36" s="101"/>
      <c r="O36" s="81"/>
      <c r="P36" s="81"/>
      <c r="Q36" s="101"/>
    </row>
    <row r="37" spans="2:17" ht="11.45" hidden="1" customHeight="1" outlineLevel="2" x14ac:dyDescent="0.2">
      <c r="B37" s="101"/>
      <c r="C37" s="37" t="str">
        <f t="shared" si="10"/>
        <v>Dummy 3</v>
      </c>
      <c r="D37" s="37" t="str">
        <f t="shared" si="10"/>
        <v>Dummy 3</v>
      </c>
      <c r="E37" s="96"/>
      <c r="F37" s="81" t="str">
        <f t="shared" si="11"/>
        <v>n/a</v>
      </c>
      <c r="G37" s="81" t="str">
        <f t="shared" si="11"/>
        <v>n/a</v>
      </c>
      <c r="H37" s="95"/>
      <c r="I37" s="94"/>
      <c r="J37" s="321" t="str">
        <f>IFERROR(IF(J24/G24-1&gt;1,"&gt;100%",IF(J24/G24-1&lt;-1,"&lt;100%",J24/G24-1)),"n/a")</f>
        <v>n/a</v>
      </c>
      <c r="K37" s="321" t="str">
        <f t="shared" si="12"/>
        <v>n/a</v>
      </c>
      <c r="L37" s="321" t="str">
        <f t="shared" si="12"/>
        <v>n/a</v>
      </c>
      <c r="M37" s="321" t="str">
        <f t="shared" si="12"/>
        <v>n/a</v>
      </c>
      <c r="N37" s="101"/>
      <c r="O37" s="81"/>
      <c r="P37" s="81"/>
      <c r="Q37" s="101"/>
    </row>
    <row r="38" spans="2:17" ht="11.45" hidden="1" customHeight="1" outlineLevel="2" x14ac:dyDescent="0.2">
      <c r="B38" s="101"/>
      <c r="C38" s="37" t="str">
        <f t="shared" si="10"/>
        <v>Dummy 4</v>
      </c>
      <c r="D38" s="37" t="str">
        <f t="shared" si="10"/>
        <v>Dummy 4</v>
      </c>
      <c r="E38" s="96"/>
      <c r="F38" s="81" t="str">
        <f t="shared" si="11"/>
        <v>n/a</v>
      </c>
      <c r="G38" s="81" t="str">
        <f t="shared" si="11"/>
        <v>n/a</v>
      </c>
      <c r="H38" s="95"/>
      <c r="I38" s="94"/>
      <c r="J38" s="321" t="str">
        <f>IFERROR(IF(J25/G25-1&gt;1,"&gt;100%",IF(J25/G25-1&lt;-1,"&lt;100%",J25/G25-1)),"n/a")</f>
        <v>n/a</v>
      </c>
      <c r="K38" s="321" t="str">
        <f t="shared" si="12"/>
        <v>n/a</v>
      </c>
      <c r="L38" s="321" t="str">
        <f t="shared" si="12"/>
        <v>n/a</v>
      </c>
      <c r="M38" s="321" t="str">
        <f t="shared" si="12"/>
        <v>n/a</v>
      </c>
      <c r="N38" s="101"/>
      <c r="O38" s="81"/>
      <c r="P38" s="81"/>
      <c r="Q38" s="101"/>
    </row>
    <row r="39" spans="2:17" ht="4.5" customHeight="1" collapsed="1" x14ac:dyDescent="0.2">
      <c r="B39" s="101"/>
      <c r="C39" s="37"/>
      <c r="D39" s="37"/>
      <c r="E39" s="320"/>
      <c r="F39" s="320"/>
      <c r="G39" s="320"/>
      <c r="H39" s="80"/>
      <c r="I39" s="79"/>
      <c r="J39" s="319"/>
      <c r="K39" s="319"/>
      <c r="L39" s="319"/>
      <c r="M39" s="319"/>
      <c r="N39" s="101"/>
      <c r="O39" s="81"/>
      <c r="P39" s="81"/>
      <c r="Q39" s="101"/>
    </row>
    <row r="40" spans="2:17" ht="11.45" customHeight="1" x14ac:dyDescent="0.2">
      <c r="B40" s="101"/>
      <c r="C40" s="42" t="str">
        <f>"Quelle: "&amp;Cockpit!$C$7</f>
        <v>Quelle: Datenraum/ eigene Analysen</v>
      </c>
      <c r="D40" s="42" t="str">
        <f>"Source: "&amp;Cockpit!$C$8</f>
        <v>Source: Virtual Data Room/ Company Information</v>
      </c>
      <c r="E40" s="41"/>
      <c r="F40" s="41"/>
      <c r="G40" s="41"/>
      <c r="H40" s="41"/>
      <c r="I40" s="41"/>
      <c r="J40" s="41"/>
      <c r="K40" s="41"/>
      <c r="L40" s="41"/>
      <c r="M40" s="41"/>
      <c r="N40" s="101"/>
      <c r="O40" s="41"/>
      <c r="P40" s="41"/>
      <c r="Q40" s="101"/>
    </row>
    <row r="41" spans="2:17" ht="11.45" customHeight="1" x14ac:dyDescent="0.2">
      <c r="B41" s="121"/>
      <c r="N41" s="121"/>
      <c r="Q41" s="121"/>
    </row>
    <row r="42" spans="2:17" ht="11.45" customHeight="1" x14ac:dyDescent="0.2">
      <c r="B42" s="121"/>
      <c r="N42" s="121"/>
      <c r="Q42" s="121"/>
    </row>
    <row r="43" spans="2:17" ht="11.45" customHeight="1" x14ac:dyDescent="0.2">
      <c r="B43" s="318"/>
      <c r="C43" s="72" t="s">
        <v>581</v>
      </c>
      <c r="D43" s="72" t="s">
        <v>580</v>
      </c>
      <c r="E43" s="71">
        <f>'Lead PL'!F9</f>
        <v>16709.024729999997</v>
      </c>
      <c r="F43" s="71">
        <f>'Lead PL'!G9</f>
        <v>15316.24358</v>
      </c>
      <c r="G43" s="71">
        <f>'Lead PL'!H9</f>
        <v>16659.963460000003</v>
      </c>
      <c r="H43" s="71">
        <f>'Lead PL'!I9</f>
        <v>15009.728290000003</v>
      </c>
      <c r="I43" s="71">
        <f>'Lead PL'!J9</f>
        <v>0</v>
      </c>
      <c r="J43" s="71">
        <f>'Lead PL'!K9</f>
        <v>0</v>
      </c>
      <c r="K43" s="71">
        <f>'Lead PL'!L9</f>
        <v>0</v>
      </c>
      <c r="L43" s="71">
        <f>'Lead PL'!M9</f>
        <v>0</v>
      </c>
      <c r="M43" s="71">
        <f>'Lead PL'!N9</f>
        <v>0</v>
      </c>
      <c r="N43" s="318"/>
      <c r="Q43" s="318"/>
    </row>
    <row r="44" spans="2:17" ht="11.45" customHeight="1" x14ac:dyDescent="0.2">
      <c r="B44" s="318"/>
      <c r="C44" s="70" t="s">
        <v>233</v>
      </c>
      <c r="D44" s="69" t="s">
        <v>233</v>
      </c>
      <c r="E44" s="68">
        <f t="shared" ref="E44:M44" si="13">E43-SUM(E10:E13)</f>
        <v>16709.024729999997</v>
      </c>
      <c r="F44" s="68">
        <f t="shared" si="13"/>
        <v>15316.24358</v>
      </c>
      <c r="G44" s="68">
        <f t="shared" si="13"/>
        <v>16659.963460000003</v>
      </c>
      <c r="H44" s="68">
        <f t="shared" si="13"/>
        <v>15009.728290000003</v>
      </c>
      <c r="I44" s="68">
        <f t="shared" si="13"/>
        <v>0</v>
      </c>
      <c r="J44" s="68">
        <f t="shared" si="13"/>
        <v>0</v>
      </c>
      <c r="K44" s="68">
        <f t="shared" si="13"/>
        <v>0</v>
      </c>
      <c r="L44" s="68">
        <f t="shared" si="13"/>
        <v>0</v>
      </c>
      <c r="M44" s="68">
        <f t="shared" si="13"/>
        <v>0</v>
      </c>
      <c r="N44" s="318"/>
      <c r="Q44" s="318"/>
    </row>
    <row r="45" spans="2:17" ht="11.45" customHeight="1" x14ac:dyDescent="0.2">
      <c r="B45" s="318"/>
      <c r="N45" s="318"/>
      <c r="Q45" s="318"/>
    </row>
    <row r="46" spans="2:17" ht="11.45" customHeight="1" x14ac:dyDescent="0.2">
      <c r="B46" s="318"/>
      <c r="N46" s="318"/>
      <c r="Q46" s="318"/>
    </row>
    <row r="47" spans="2:17" ht="11.45" customHeight="1" x14ac:dyDescent="0.2">
      <c r="B47" s="318"/>
      <c r="N47" s="318"/>
      <c r="Q47" s="318"/>
    </row>
    <row r="48" spans="2:17" ht="11.45" customHeight="1" x14ac:dyDescent="0.2">
      <c r="B48" s="318"/>
      <c r="N48" s="318"/>
      <c r="Q48" s="318"/>
    </row>
    <row r="49" spans="2:17" ht="11.45" customHeight="1" x14ac:dyDescent="0.2">
      <c r="B49" s="318"/>
      <c r="N49" s="318"/>
      <c r="Q49" s="318"/>
    </row>
    <row r="50" spans="2:17" ht="11.45" customHeight="1" x14ac:dyDescent="0.2">
      <c r="B50" s="318"/>
      <c r="N50" s="318"/>
      <c r="Q50" s="318"/>
    </row>
    <row r="51" spans="2:17" ht="11.45" customHeight="1" x14ac:dyDescent="0.2">
      <c r="B51" s="318"/>
      <c r="N51" s="318"/>
      <c r="Q51" s="318"/>
    </row>
    <row r="52" spans="2:17" ht="11.45" customHeight="1" x14ac:dyDescent="0.2">
      <c r="B52" s="318"/>
      <c r="N52" s="318"/>
      <c r="Q52" s="318"/>
    </row>
    <row r="53" spans="2:17" ht="11.45" customHeight="1" x14ac:dyDescent="0.2">
      <c r="B53" s="318"/>
      <c r="N53" s="318"/>
      <c r="Q53" s="318"/>
    </row>
    <row r="54" spans="2:17" ht="11.45" customHeight="1" x14ac:dyDescent="0.2">
      <c r="B54" s="318"/>
      <c r="N54" s="318"/>
      <c r="Q54" s="318"/>
    </row>
    <row r="55" spans="2:17" ht="11.45" customHeight="1" x14ac:dyDescent="0.2">
      <c r="B55" s="318"/>
      <c r="N55" s="318"/>
      <c r="Q55" s="318"/>
    </row>
    <row r="56" spans="2:17" ht="11.45" customHeight="1" x14ac:dyDescent="0.2">
      <c r="B56" s="318"/>
      <c r="N56" s="318"/>
      <c r="Q56" s="318"/>
    </row>
    <row r="57" spans="2:17" ht="11.45" customHeight="1" x14ac:dyDescent="0.2">
      <c r="B57" s="318"/>
      <c r="N57" s="318"/>
      <c r="Q57" s="318"/>
    </row>
    <row r="58" spans="2:17" ht="11.45" customHeight="1" x14ac:dyDescent="0.2">
      <c r="B58" s="318"/>
      <c r="N58" s="318"/>
      <c r="Q58" s="318"/>
    </row>
    <row r="59" spans="2:17" ht="11.45" customHeight="1" x14ac:dyDescent="0.2">
      <c r="B59" s="318"/>
      <c r="N59" s="318"/>
      <c r="Q59" s="318"/>
    </row>
    <row r="60" spans="2:17" ht="11.45" customHeight="1" x14ac:dyDescent="0.2">
      <c r="B60" s="318"/>
      <c r="N60" s="318"/>
      <c r="Q60" s="318"/>
    </row>
    <row r="61" spans="2:17" ht="11.45" customHeight="1" x14ac:dyDescent="0.2">
      <c r="B61" s="318"/>
      <c r="N61" s="318"/>
      <c r="Q61" s="318"/>
    </row>
    <row r="62" spans="2:17" ht="11.45" customHeight="1" x14ac:dyDescent="0.2">
      <c r="B62" s="318"/>
      <c r="N62" s="318"/>
      <c r="Q62" s="318"/>
    </row>
    <row r="63" spans="2:17" ht="11.45" customHeight="1" x14ac:dyDescent="0.2">
      <c r="B63" s="318"/>
      <c r="N63" s="318"/>
      <c r="Q63" s="318"/>
    </row>
    <row r="64" spans="2:17" ht="11.45" customHeight="1" x14ac:dyDescent="0.2">
      <c r="B64" s="318"/>
      <c r="N64" s="318"/>
      <c r="Q64" s="318"/>
    </row>
    <row r="65" spans="2:17" ht="11.45" customHeight="1" x14ac:dyDescent="0.2">
      <c r="B65" s="318"/>
      <c r="N65" s="318"/>
      <c r="Q65" s="318"/>
    </row>
    <row r="66" spans="2:17" ht="11.45" customHeight="1" x14ac:dyDescent="0.2">
      <c r="B66" s="318"/>
      <c r="N66" s="318"/>
      <c r="Q66" s="318"/>
    </row>
    <row r="67" spans="2:17" ht="11.45" customHeight="1" x14ac:dyDescent="0.2">
      <c r="B67" s="318"/>
      <c r="N67" s="318"/>
      <c r="Q67" s="318"/>
    </row>
    <row r="68" spans="2:17" ht="11.45" customHeight="1" x14ac:dyDescent="0.2">
      <c r="B68" s="318"/>
      <c r="N68" s="318"/>
      <c r="Q68" s="318"/>
    </row>
    <row r="69" spans="2:17" ht="11.45" customHeight="1" x14ac:dyDescent="0.2">
      <c r="B69" s="318"/>
      <c r="N69" s="318"/>
      <c r="Q69" s="318"/>
    </row>
    <row r="70" spans="2:17" ht="11.45" customHeight="1" x14ac:dyDescent="0.2">
      <c r="B70" s="318"/>
      <c r="N70" s="318"/>
      <c r="Q70" s="318"/>
    </row>
    <row r="71" spans="2:17" ht="11.45" customHeight="1" x14ac:dyDescent="0.2">
      <c r="B71" s="318"/>
      <c r="N71" s="318"/>
      <c r="Q71" s="318"/>
    </row>
    <row r="72" spans="2:17" ht="11.45" customHeight="1" x14ac:dyDescent="0.2">
      <c r="B72" s="318"/>
      <c r="N72" s="318"/>
      <c r="Q72" s="318"/>
    </row>
    <row r="73" spans="2:17" ht="11.45" customHeight="1" x14ac:dyDescent="0.2">
      <c r="B73" s="318"/>
      <c r="N73" s="318"/>
      <c r="Q73" s="318"/>
    </row>
    <row r="74" spans="2:17" ht="11.45" customHeight="1" x14ac:dyDescent="0.2">
      <c r="B74" s="318"/>
      <c r="N74" s="318"/>
      <c r="Q74" s="318"/>
    </row>
    <row r="75" spans="2:17" ht="11.45" customHeight="1" x14ac:dyDescent="0.2">
      <c r="B75" s="318"/>
      <c r="N75" s="318"/>
      <c r="Q75" s="318"/>
    </row>
    <row r="76" spans="2:17" ht="11.45" customHeight="1" x14ac:dyDescent="0.2">
      <c r="B76" s="318"/>
      <c r="N76" s="318"/>
      <c r="Q76" s="318"/>
    </row>
    <row r="77" spans="2:17" ht="11.45" customHeight="1" x14ac:dyDescent="0.2">
      <c r="B77" s="318"/>
      <c r="N77" s="318"/>
      <c r="Q77" s="318"/>
    </row>
    <row r="78" spans="2:17" ht="11.45" customHeight="1" x14ac:dyDescent="0.2">
      <c r="B78" s="318"/>
      <c r="N78" s="318"/>
      <c r="Q78" s="318"/>
    </row>
    <row r="79" spans="2:17" ht="11.45" customHeight="1" x14ac:dyDescent="0.2">
      <c r="B79" s="318"/>
      <c r="N79" s="318"/>
      <c r="Q79" s="318"/>
    </row>
    <row r="80" spans="2:17" ht="11.45" customHeight="1" x14ac:dyDescent="0.2">
      <c r="B80" s="318"/>
      <c r="N80" s="318"/>
      <c r="Q80" s="318"/>
    </row>
    <row r="81" spans="2:17" ht="11.45" customHeight="1" x14ac:dyDescent="0.2">
      <c r="B81" s="318"/>
      <c r="N81" s="318"/>
      <c r="Q81" s="318"/>
    </row>
    <row r="82" spans="2:17" ht="11.45" customHeight="1" x14ac:dyDescent="0.2">
      <c r="B82" s="318"/>
      <c r="N82" s="318"/>
      <c r="Q82" s="318"/>
    </row>
    <row r="83" spans="2:17" ht="11.45" customHeight="1" x14ac:dyDescent="0.2">
      <c r="B83" s="318"/>
      <c r="N83" s="318"/>
      <c r="Q83" s="318"/>
    </row>
    <row r="84" spans="2:17" ht="11.45" customHeight="1" x14ac:dyDescent="0.2">
      <c r="B84" s="318"/>
      <c r="N84" s="318"/>
      <c r="Q84" s="318"/>
    </row>
    <row r="85" spans="2:17" ht="11.45" customHeight="1" x14ac:dyDescent="0.2">
      <c r="B85" s="317"/>
      <c r="N85" s="317"/>
      <c r="Q85" s="317"/>
    </row>
  </sheetData>
  <conditionalFormatting sqref="A1:XFD1048576">
    <cfRule type="containsText" dxfId="170" priority="1" operator="containsText" text="Dummy">
      <formula>NOT(ISERROR(SEARCH("Dummy",A1)))</formula>
    </cfRule>
  </conditionalFormatting>
  <conditionalFormatting sqref="E44:M44">
    <cfRule type="cellIs" dxfId="169" priority="2" operator="between">
      <formula>-1</formula>
      <formula>1</formula>
    </cfRule>
    <cfRule type="cellIs" dxfId="168" priority="3" operator="lessThan">
      <formula>-1</formula>
    </cfRule>
    <cfRule type="cellIs" dxfId="167" priority="4" operator="greaterThan">
      <formula>1</formula>
    </cfRule>
  </conditionalFormatting>
  <pageMargins left="0.7" right="0.7" top="0.78740157499999996" bottom="0.78740157499999996" header="0.3" footer="0.3"/>
  <pageSetup paperSize="9" scale="53"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E3AB-A66F-468C-90F5-E95914C19450}">
  <sheetPr>
    <tabColor theme="2" tint="0.39997558519241921"/>
  </sheetPr>
  <dimension ref="B1:CN79"/>
  <sheetViews>
    <sheetView topLeftCell="A2" workbookViewId="0"/>
  </sheetViews>
  <sheetFormatPr defaultColWidth="11.42578125" defaultRowHeight="12" outlineLevelRow="3" outlineLevelCol="2" x14ac:dyDescent="0.2"/>
  <cols>
    <col min="1" max="1" width="11.42578125" style="1"/>
    <col min="2" max="2" width="0.85546875" style="1" customWidth="1" outlineLevel="2"/>
    <col min="3" max="3" width="35.5703125" style="1" customWidth="1" outlineLevel="2"/>
    <col min="4" max="4" width="35.5703125" style="1" customWidth="1"/>
    <col min="5" max="89" width="9.42578125" style="1" customWidth="1"/>
    <col min="90" max="90" width="0.85546875" style="1" customWidth="1" outlineLevel="2"/>
    <col min="91" max="16384" width="11.42578125" style="1"/>
  </cols>
  <sheetData>
    <row r="1" spans="3:92" hidden="1" outlineLevel="3" x14ac:dyDescent="0.2"/>
    <row r="2" spans="3:92" collapsed="1" x14ac:dyDescent="0.2">
      <c r="T2" s="1" t="s">
        <v>806</v>
      </c>
    </row>
    <row r="3" spans="3:92" ht="11.25" customHeight="1" x14ac:dyDescent="0.2"/>
    <row r="4" spans="3:92" ht="11.25" customHeight="1" outlineLevel="3" x14ac:dyDescent="0.25">
      <c r="C4" s="33" t="str">
        <f>Cockpit!$C$4</f>
        <v>Projekt Namur</v>
      </c>
      <c r="D4" s="33"/>
      <c r="E4" s="234">
        <f>Cockpit!C45</f>
        <v>44561</v>
      </c>
      <c r="F4" s="234">
        <f>Cockpit!D45</f>
        <v>44592</v>
      </c>
      <c r="G4" s="234">
        <f>Cockpit!E45</f>
        <v>44620</v>
      </c>
      <c r="H4" s="234">
        <f>Cockpit!F45</f>
        <v>44651</v>
      </c>
      <c r="I4" s="234">
        <f>Cockpit!G45</f>
        <v>44681</v>
      </c>
      <c r="J4" s="234">
        <f>Cockpit!H45</f>
        <v>44712</v>
      </c>
      <c r="K4" s="234">
        <f>Cockpit!I45</f>
        <v>44742</v>
      </c>
      <c r="L4" s="234">
        <f>Cockpit!J45</f>
        <v>44773</v>
      </c>
      <c r="M4" s="234">
        <f>Cockpit!K45</f>
        <v>44804</v>
      </c>
      <c r="N4" s="234">
        <f>Cockpit!L45</f>
        <v>44834</v>
      </c>
      <c r="O4" s="234">
        <f>Cockpit!M45</f>
        <v>44865</v>
      </c>
      <c r="P4" s="234">
        <f>Cockpit!N45</f>
        <v>44895</v>
      </c>
      <c r="Q4" s="234">
        <f>Cockpit!O45</f>
        <v>44926</v>
      </c>
      <c r="R4" s="234">
        <f>Cockpit!P45</f>
        <v>44957</v>
      </c>
      <c r="S4" s="234">
        <f>Cockpit!Q45</f>
        <v>44985</v>
      </c>
      <c r="T4" s="234">
        <f>Cockpit!R45</f>
        <v>45016</v>
      </c>
      <c r="U4" s="234">
        <f>Cockpit!S45</f>
        <v>45046</v>
      </c>
      <c r="V4" s="234">
        <f>Cockpit!T45</f>
        <v>45077</v>
      </c>
      <c r="W4" s="234">
        <f>Cockpit!U45</f>
        <v>45107</v>
      </c>
      <c r="X4" s="234">
        <f>Cockpit!V45</f>
        <v>45138</v>
      </c>
      <c r="Y4" s="234">
        <f>Cockpit!W45</f>
        <v>45169</v>
      </c>
      <c r="Z4" s="234">
        <f>Cockpit!X45</f>
        <v>45199</v>
      </c>
      <c r="AA4" s="234">
        <f>Cockpit!Y45</f>
        <v>45230</v>
      </c>
      <c r="AB4" s="234">
        <f>Cockpit!Z45</f>
        <v>45260</v>
      </c>
      <c r="AC4" s="234">
        <f>Cockpit!AA45</f>
        <v>45291</v>
      </c>
      <c r="AD4" s="234">
        <f>Cockpit!AB45</f>
        <v>45322</v>
      </c>
      <c r="AE4" s="234">
        <f>Cockpit!AC45</f>
        <v>45351</v>
      </c>
      <c r="AF4" s="234">
        <f>Cockpit!AD45</f>
        <v>45382</v>
      </c>
      <c r="AG4" s="234">
        <f>Cockpit!AE45</f>
        <v>45412</v>
      </c>
      <c r="AH4" s="234">
        <f>Cockpit!AF45</f>
        <v>45443</v>
      </c>
      <c r="AI4" s="234">
        <f>Cockpit!AG45</f>
        <v>45473</v>
      </c>
      <c r="AJ4" s="234">
        <f>Cockpit!AH45</f>
        <v>45504</v>
      </c>
      <c r="AK4" s="234">
        <f>Cockpit!AI45</f>
        <v>45535</v>
      </c>
      <c r="AL4" s="234">
        <f>Cockpit!AJ45</f>
        <v>45565</v>
      </c>
      <c r="AM4" s="234">
        <f>Cockpit!AK45</f>
        <v>45596</v>
      </c>
      <c r="AN4" s="234">
        <f>Cockpit!AL45</f>
        <v>45626</v>
      </c>
      <c r="AO4" s="234">
        <f>Cockpit!AM45</f>
        <v>45657</v>
      </c>
      <c r="AP4" s="234">
        <f>Cockpit!AN45</f>
        <v>45688</v>
      </c>
      <c r="AQ4" s="234">
        <f>Cockpit!AO45</f>
        <v>45716</v>
      </c>
      <c r="AR4" s="234">
        <f>Cockpit!AP45</f>
        <v>45747</v>
      </c>
      <c r="AS4" s="234">
        <f>Cockpit!AQ45</f>
        <v>45777</v>
      </c>
      <c r="AT4" s="234">
        <f>Cockpit!AR45</f>
        <v>45808</v>
      </c>
      <c r="AU4" s="234">
        <f>Cockpit!AS45</f>
        <v>45838</v>
      </c>
      <c r="AV4" s="234">
        <f>Cockpit!AT45</f>
        <v>45869</v>
      </c>
      <c r="AW4" s="234">
        <f>Cockpit!AU45</f>
        <v>45900</v>
      </c>
      <c r="AX4" s="234">
        <f>Cockpit!AV45</f>
        <v>45930</v>
      </c>
      <c r="AY4" s="234">
        <f>Cockpit!AW45</f>
        <v>45961</v>
      </c>
      <c r="AZ4" s="234">
        <f>Cockpit!AX45</f>
        <v>45991</v>
      </c>
      <c r="BA4" s="234">
        <f>Cockpit!AY45</f>
        <v>46022</v>
      </c>
      <c r="BB4" s="234">
        <f>Cockpit!AZ45</f>
        <v>46053</v>
      </c>
      <c r="BC4" s="234">
        <f>Cockpit!BA45</f>
        <v>46081</v>
      </c>
      <c r="BD4" s="234">
        <f>Cockpit!BB45</f>
        <v>46112</v>
      </c>
      <c r="BE4" s="234">
        <f>Cockpit!BC45</f>
        <v>46142</v>
      </c>
      <c r="BF4" s="234">
        <f>Cockpit!BD45</f>
        <v>46173</v>
      </c>
      <c r="BG4" s="234">
        <f>Cockpit!BE45</f>
        <v>46203</v>
      </c>
      <c r="BH4" s="234">
        <f>Cockpit!BF45</f>
        <v>46234</v>
      </c>
      <c r="BI4" s="234">
        <f>Cockpit!BG45</f>
        <v>46265</v>
      </c>
      <c r="BJ4" s="234">
        <f>Cockpit!BH45</f>
        <v>46295</v>
      </c>
      <c r="BK4" s="234">
        <f>Cockpit!BI45</f>
        <v>46326</v>
      </c>
      <c r="BL4" s="234">
        <f>Cockpit!BJ45</f>
        <v>46356</v>
      </c>
      <c r="BM4" s="234">
        <f>Cockpit!BK45</f>
        <v>46387</v>
      </c>
      <c r="BN4" s="234">
        <f>Cockpit!BL45</f>
        <v>46418</v>
      </c>
      <c r="BO4" s="234">
        <f>Cockpit!BM45</f>
        <v>46446</v>
      </c>
      <c r="BP4" s="234">
        <f>Cockpit!BN45</f>
        <v>46477</v>
      </c>
      <c r="BQ4" s="234">
        <f>Cockpit!BO45</f>
        <v>46507</v>
      </c>
      <c r="BR4" s="234">
        <f>Cockpit!BP45</f>
        <v>46538</v>
      </c>
      <c r="BS4" s="234">
        <f>Cockpit!BQ45</f>
        <v>46568</v>
      </c>
      <c r="BT4" s="234">
        <f>Cockpit!BR45</f>
        <v>46599</v>
      </c>
      <c r="BU4" s="234">
        <f>Cockpit!BS45</f>
        <v>46630</v>
      </c>
      <c r="BV4" s="234">
        <f>Cockpit!BT45</f>
        <v>46660</v>
      </c>
      <c r="BW4" s="234">
        <f>Cockpit!BU45</f>
        <v>46691</v>
      </c>
      <c r="BX4" s="234">
        <f>Cockpit!BV45</f>
        <v>46721</v>
      </c>
      <c r="BY4" s="234">
        <f>Cockpit!BW45</f>
        <v>46752</v>
      </c>
      <c r="BZ4" s="234">
        <f>Cockpit!BX45</f>
        <v>46783</v>
      </c>
      <c r="CA4" s="234">
        <f>Cockpit!BY45</f>
        <v>46812</v>
      </c>
      <c r="CB4" s="234">
        <f>Cockpit!BZ45</f>
        <v>46843</v>
      </c>
      <c r="CC4" s="234">
        <f>Cockpit!CA45</f>
        <v>46873</v>
      </c>
      <c r="CD4" s="234">
        <f>Cockpit!CB45</f>
        <v>46904</v>
      </c>
      <c r="CE4" s="234">
        <f>Cockpit!CC45</f>
        <v>46934</v>
      </c>
      <c r="CF4" s="234">
        <f>Cockpit!CD45</f>
        <v>46965</v>
      </c>
      <c r="CG4" s="234">
        <f>Cockpit!CE45</f>
        <v>46996</v>
      </c>
      <c r="CH4" s="234">
        <f>Cockpit!CF45</f>
        <v>47026</v>
      </c>
      <c r="CI4" s="234">
        <f>Cockpit!CG45</f>
        <v>47057</v>
      </c>
      <c r="CJ4" s="234">
        <f>Cockpit!CH45</f>
        <v>47087</v>
      </c>
      <c r="CK4" s="234">
        <f>Cockpit!CI45</f>
        <v>47118</v>
      </c>
      <c r="CM4" s="159" t="s">
        <v>350</v>
      </c>
    </row>
    <row r="5" spans="3:92" ht="11.25" customHeight="1" outlineLevel="3" x14ac:dyDescent="0.2">
      <c r="C5" s="33" t="str">
        <f>"in T"&amp;Cockpit!$C$5</f>
        <v>in TEUR</v>
      </c>
      <c r="D5" s="33"/>
      <c r="E5" s="230" t="str">
        <f>Cockpit!C46</f>
        <v>IST</v>
      </c>
      <c r="F5" s="230" t="str">
        <f>Cockpit!D46</f>
        <v>IST</v>
      </c>
      <c r="G5" s="230" t="str">
        <f>Cockpit!E46</f>
        <v>IST</v>
      </c>
      <c r="H5" s="230" t="str">
        <f>Cockpit!F46</f>
        <v>IST</v>
      </c>
      <c r="I5" s="230" t="str">
        <f>Cockpit!G46</f>
        <v>IST</v>
      </c>
      <c r="J5" s="230" t="str">
        <f>Cockpit!H46</f>
        <v>IST</v>
      </c>
      <c r="K5" s="230" t="str">
        <f>Cockpit!I46</f>
        <v>IST</v>
      </c>
      <c r="L5" s="230" t="str">
        <f>Cockpit!J46</f>
        <v>IST</v>
      </c>
      <c r="M5" s="230" t="str">
        <f>Cockpit!K46</f>
        <v>IST</v>
      </c>
      <c r="N5" s="230" t="str">
        <f>Cockpit!L46</f>
        <v>IST</v>
      </c>
      <c r="O5" s="230" t="str">
        <f>Cockpit!M46</f>
        <v>IST</v>
      </c>
      <c r="P5" s="230" t="str">
        <f>Cockpit!N46</f>
        <v>IST</v>
      </c>
      <c r="Q5" s="230" t="str">
        <f>Cockpit!O46</f>
        <v>IST</v>
      </c>
      <c r="R5" s="230" t="str">
        <f>Cockpit!P46</f>
        <v>IST</v>
      </c>
      <c r="S5" s="230" t="str">
        <f>Cockpit!Q46</f>
        <v>IST</v>
      </c>
      <c r="T5" s="230" t="str">
        <f>Cockpit!R46</f>
        <v>IST</v>
      </c>
      <c r="U5" s="230" t="str">
        <f>Cockpit!S46</f>
        <v>IST</v>
      </c>
      <c r="V5" s="230" t="str">
        <f>Cockpit!T46</f>
        <v>IST</v>
      </c>
      <c r="W5" s="230" t="str">
        <f>Cockpit!U46</f>
        <v>IST</v>
      </c>
      <c r="X5" s="230" t="str">
        <f>Cockpit!V46</f>
        <v>IST</v>
      </c>
      <c r="Y5" s="230" t="str">
        <f>Cockpit!W46</f>
        <v>IST</v>
      </c>
      <c r="Z5" s="230" t="str">
        <f>Cockpit!X46</f>
        <v>IST</v>
      </c>
      <c r="AA5" s="230" t="str">
        <f>Cockpit!Y46</f>
        <v>IST</v>
      </c>
      <c r="AB5" s="230" t="str">
        <f>Cockpit!Z46</f>
        <v>IST</v>
      </c>
      <c r="AC5" s="230" t="str">
        <f>Cockpit!AA46</f>
        <v>IST</v>
      </c>
      <c r="AD5" s="230" t="str">
        <f>Cockpit!AB46</f>
        <v>IST</v>
      </c>
      <c r="AE5" s="230" t="str">
        <f>Cockpit!AC46</f>
        <v>IST</v>
      </c>
      <c r="AF5" s="230" t="str">
        <f>Cockpit!AD46</f>
        <v>IST</v>
      </c>
      <c r="AG5" s="230" t="str">
        <f>Cockpit!AE46</f>
        <v>IST</v>
      </c>
      <c r="AH5" s="230" t="str">
        <f>Cockpit!AF46</f>
        <v>IST</v>
      </c>
      <c r="AI5" s="230" t="str">
        <f>Cockpit!AG46</f>
        <v>IST</v>
      </c>
      <c r="AJ5" s="230" t="str">
        <f>Cockpit!AH46</f>
        <v>IST</v>
      </c>
      <c r="AK5" s="230" t="str">
        <f>Cockpit!AI46</f>
        <v>IST</v>
      </c>
      <c r="AL5" s="230" t="str">
        <f>Cockpit!AJ46</f>
        <v>IST</v>
      </c>
      <c r="AM5" s="230" t="str">
        <f>Cockpit!AK46</f>
        <v>IST</v>
      </c>
      <c r="AN5" s="230" t="str">
        <f>Cockpit!AL46</f>
        <v>IST</v>
      </c>
      <c r="AO5" s="230" t="str">
        <f>Cockpit!AM46</f>
        <v>IST</v>
      </c>
      <c r="AP5" s="230" t="str">
        <f>Cockpit!AN46</f>
        <v>IST</v>
      </c>
      <c r="AQ5" s="230" t="str">
        <f>Cockpit!AO46</f>
        <v>IST</v>
      </c>
      <c r="AR5" s="230" t="str">
        <f>Cockpit!AP46</f>
        <v>IST</v>
      </c>
      <c r="AS5" s="230" t="str">
        <f>Cockpit!AQ46</f>
        <v>IST</v>
      </c>
      <c r="AT5" s="230" t="str">
        <f>Cockpit!AR46</f>
        <v>IST</v>
      </c>
      <c r="AU5" s="230" t="str">
        <f>Cockpit!AS46</f>
        <v>IST</v>
      </c>
      <c r="AV5" s="230" t="str">
        <f>Cockpit!AT46</f>
        <v>IST</v>
      </c>
      <c r="AW5" s="230" t="str">
        <f>Cockpit!AU46</f>
        <v>IST</v>
      </c>
      <c r="AX5" s="230" t="str">
        <f>Cockpit!AV46</f>
        <v>IST</v>
      </c>
      <c r="AY5" s="230" t="str">
        <f>Cockpit!AW46</f>
        <v>IST</v>
      </c>
      <c r="AZ5" s="230" t="str">
        <f>Cockpit!AX46</f>
        <v>IST</v>
      </c>
      <c r="BA5" s="230" t="str">
        <f>Cockpit!AY46</f>
        <v>IST</v>
      </c>
      <c r="BB5" s="230" t="str">
        <f>Cockpit!AZ46</f>
        <v>Plan</v>
      </c>
      <c r="BC5" s="230" t="str">
        <f>Cockpit!BA46</f>
        <v>Plan</v>
      </c>
      <c r="BD5" s="230" t="str">
        <f>Cockpit!BB46</f>
        <v>Plan</v>
      </c>
      <c r="BE5" s="230" t="str">
        <f>Cockpit!BC46</f>
        <v>Plan</v>
      </c>
      <c r="BF5" s="230" t="str">
        <f>Cockpit!BD46</f>
        <v>Plan</v>
      </c>
      <c r="BG5" s="230" t="str">
        <f>Cockpit!BE46</f>
        <v>Plan</v>
      </c>
      <c r="BH5" s="230" t="str">
        <f>Cockpit!BF46</f>
        <v>Plan</v>
      </c>
      <c r="BI5" s="230" t="str">
        <f>Cockpit!BG46</f>
        <v>Plan</v>
      </c>
      <c r="BJ5" s="230" t="str">
        <f>Cockpit!BH46</f>
        <v>Plan</v>
      </c>
      <c r="BK5" s="230" t="str">
        <f>Cockpit!BI46</f>
        <v>Plan</v>
      </c>
      <c r="BL5" s="230" t="str">
        <f>Cockpit!BJ46</f>
        <v>Plan</v>
      </c>
      <c r="BM5" s="230" t="str">
        <f>Cockpit!BK46</f>
        <v>Plan</v>
      </c>
      <c r="BN5" s="230" t="str">
        <f>Cockpit!BL46</f>
        <v>Plan</v>
      </c>
      <c r="BO5" s="230" t="str">
        <f>Cockpit!BM46</f>
        <v>Plan</v>
      </c>
      <c r="BP5" s="230" t="str">
        <f>Cockpit!BN46</f>
        <v>Plan</v>
      </c>
      <c r="BQ5" s="230" t="str">
        <f>Cockpit!BO46</f>
        <v>Plan</v>
      </c>
      <c r="BR5" s="230" t="str">
        <f>Cockpit!BP46</f>
        <v>Plan</v>
      </c>
      <c r="BS5" s="230" t="str">
        <f>Cockpit!BQ46</f>
        <v>Plan</v>
      </c>
      <c r="BT5" s="230" t="str">
        <f>Cockpit!BR46</f>
        <v>Plan</v>
      </c>
      <c r="BU5" s="230" t="str">
        <f>Cockpit!BS46</f>
        <v>Plan</v>
      </c>
      <c r="BV5" s="230" t="str">
        <f>Cockpit!BT46</f>
        <v>Plan</v>
      </c>
      <c r="BW5" s="230" t="str">
        <f>Cockpit!BU46</f>
        <v>Plan</v>
      </c>
      <c r="BX5" s="230" t="str">
        <f>Cockpit!BV46</f>
        <v>Plan</v>
      </c>
      <c r="BY5" s="230" t="str">
        <f>Cockpit!BW46</f>
        <v>Plan</v>
      </c>
      <c r="BZ5" s="230" t="str">
        <f>Cockpit!BX46</f>
        <v>Plan</v>
      </c>
      <c r="CA5" s="230" t="str">
        <f>Cockpit!BY46</f>
        <v>Plan</v>
      </c>
      <c r="CB5" s="230" t="str">
        <f>Cockpit!BZ46</f>
        <v>Plan</v>
      </c>
      <c r="CC5" s="230" t="str">
        <f>Cockpit!CA46</f>
        <v>Plan</v>
      </c>
      <c r="CD5" s="230" t="str">
        <f>Cockpit!CB46</f>
        <v>Plan</v>
      </c>
      <c r="CE5" s="230" t="str">
        <f>Cockpit!CC46</f>
        <v>Plan</v>
      </c>
      <c r="CF5" s="230" t="str">
        <f>Cockpit!CD46</f>
        <v>Plan</v>
      </c>
      <c r="CG5" s="230" t="str">
        <f>Cockpit!CE46</f>
        <v>Plan</v>
      </c>
      <c r="CH5" s="230" t="str">
        <f>Cockpit!CF46</f>
        <v>Plan</v>
      </c>
      <c r="CI5" s="230" t="str">
        <f>Cockpit!CG46</f>
        <v>Plan</v>
      </c>
      <c r="CJ5" s="230" t="str">
        <f>Cockpit!CH46</f>
        <v>Plan</v>
      </c>
      <c r="CK5" s="230" t="str">
        <f>Cockpit!CI46</f>
        <v>Plan</v>
      </c>
    </row>
    <row r="6" spans="3:92" ht="11.25" customHeight="1" x14ac:dyDescent="0.25">
      <c r="C6" s="17"/>
      <c r="D6" s="17" t="str">
        <f>Cockpit!$C$4</f>
        <v>Projekt Namur</v>
      </c>
      <c r="E6" s="261">
        <f>Cockpit!C45</f>
        <v>44561</v>
      </c>
      <c r="F6" s="261">
        <f>Cockpit!D45</f>
        <v>44592</v>
      </c>
      <c r="G6" s="261">
        <f>Cockpit!E45</f>
        <v>44620</v>
      </c>
      <c r="H6" s="261">
        <f>Cockpit!F45</f>
        <v>44651</v>
      </c>
      <c r="I6" s="261">
        <f>Cockpit!G45</f>
        <v>44681</v>
      </c>
      <c r="J6" s="261">
        <f>Cockpit!H45</f>
        <v>44712</v>
      </c>
      <c r="K6" s="261">
        <f>Cockpit!I45</f>
        <v>44742</v>
      </c>
      <c r="L6" s="261">
        <f>Cockpit!J45</f>
        <v>44773</v>
      </c>
      <c r="M6" s="261">
        <f>Cockpit!K45</f>
        <v>44804</v>
      </c>
      <c r="N6" s="261">
        <f>Cockpit!L45</f>
        <v>44834</v>
      </c>
      <c r="O6" s="261">
        <f>Cockpit!M45</f>
        <v>44865</v>
      </c>
      <c r="P6" s="261">
        <f>Cockpit!N45</f>
        <v>44895</v>
      </c>
      <c r="Q6" s="261">
        <f>Cockpit!O45</f>
        <v>44926</v>
      </c>
      <c r="R6" s="261">
        <f>Cockpit!P45</f>
        <v>44957</v>
      </c>
      <c r="S6" s="261">
        <f>Cockpit!Q45</f>
        <v>44985</v>
      </c>
      <c r="T6" s="261">
        <f>Cockpit!R45</f>
        <v>45016</v>
      </c>
      <c r="U6" s="261">
        <f>Cockpit!S45</f>
        <v>45046</v>
      </c>
      <c r="V6" s="261">
        <f>Cockpit!T45</f>
        <v>45077</v>
      </c>
      <c r="W6" s="261">
        <f>Cockpit!U45</f>
        <v>45107</v>
      </c>
      <c r="X6" s="261">
        <f>Cockpit!V45</f>
        <v>45138</v>
      </c>
      <c r="Y6" s="261">
        <f>Cockpit!W45</f>
        <v>45169</v>
      </c>
      <c r="Z6" s="261">
        <f>Cockpit!X45</f>
        <v>45199</v>
      </c>
      <c r="AA6" s="261">
        <f>Cockpit!Y45</f>
        <v>45230</v>
      </c>
      <c r="AB6" s="261">
        <f>Cockpit!Z45</f>
        <v>45260</v>
      </c>
      <c r="AC6" s="261">
        <f>Cockpit!AA45</f>
        <v>45291</v>
      </c>
      <c r="AD6" s="261">
        <f>Cockpit!AB45</f>
        <v>45322</v>
      </c>
      <c r="AE6" s="261">
        <f>Cockpit!AC45</f>
        <v>45351</v>
      </c>
      <c r="AF6" s="261">
        <f>Cockpit!AD45</f>
        <v>45382</v>
      </c>
      <c r="AG6" s="261">
        <f>Cockpit!AE45</f>
        <v>45412</v>
      </c>
      <c r="AH6" s="261">
        <f>Cockpit!AF45</f>
        <v>45443</v>
      </c>
      <c r="AI6" s="261">
        <f>Cockpit!AG45</f>
        <v>45473</v>
      </c>
      <c r="AJ6" s="261">
        <f>Cockpit!AH45</f>
        <v>45504</v>
      </c>
      <c r="AK6" s="261">
        <f>Cockpit!AI45</f>
        <v>45535</v>
      </c>
      <c r="AL6" s="261">
        <f>Cockpit!AJ45</f>
        <v>45565</v>
      </c>
      <c r="AM6" s="261">
        <f>Cockpit!AK45</f>
        <v>45596</v>
      </c>
      <c r="AN6" s="261">
        <f>Cockpit!AL45</f>
        <v>45626</v>
      </c>
      <c r="AO6" s="261">
        <f>Cockpit!AM45</f>
        <v>45657</v>
      </c>
      <c r="AP6" s="261">
        <f>Cockpit!AN45</f>
        <v>45688</v>
      </c>
      <c r="AQ6" s="261">
        <f>Cockpit!AO45</f>
        <v>45716</v>
      </c>
      <c r="AR6" s="261">
        <f>Cockpit!AP45</f>
        <v>45747</v>
      </c>
      <c r="AS6" s="261">
        <f>Cockpit!AQ45</f>
        <v>45777</v>
      </c>
      <c r="AT6" s="261">
        <f>Cockpit!AR45</f>
        <v>45808</v>
      </c>
      <c r="AU6" s="261">
        <f>Cockpit!AS45</f>
        <v>45838</v>
      </c>
      <c r="AV6" s="261">
        <f>Cockpit!AT45</f>
        <v>45869</v>
      </c>
      <c r="AW6" s="261">
        <f>Cockpit!AU45</f>
        <v>45900</v>
      </c>
      <c r="AX6" s="261">
        <f>Cockpit!AV45</f>
        <v>45930</v>
      </c>
      <c r="AY6" s="261">
        <f>Cockpit!AW45</f>
        <v>45961</v>
      </c>
      <c r="AZ6" s="261">
        <f>Cockpit!AX45</f>
        <v>45991</v>
      </c>
      <c r="BA6" s="261">
        <f>Cockpit!AY45</f>
        <v>46022</v>
      </c>
      <c r="BB6" s="261">
        <f>Cockpit!AZ45</f>
        <v>46053</v>
      </c>
      <c r="BC6" s="261">
        <f>Cockpit!BA45</f>
        <v>46081</v>
      </c>
      <c r="BD6" s="261">
        <f>Cockpit!BB45</f>
        <v>46112</v>
      </c>
      <c r="BE6" s="261">
        <f>Cockpit!BC45</f>
        <v>46142</v>
      </c>
      <c r="BF6" s="261">
        <f>Cockpit!BD45</f>
        <v>46173</v>
      </c>
      <c r="BG6" s="261">
        <f>Cockpit!BE45</f>
        <v>46203</v>
      </c>
      <c r="BH6" s="261">
        <f>Cockpit!BF45</f>
        <v>46234</v>
      </c>
      <c r="BI6" s="261">
        <f>Cockpit!BG45</f>
        <v>46265</v>
      </c>
      <c r="BJ6" s="261">
        <f>Cockpit!BH45</f>
        <v>46295</v>
      </c>
      <c r="BK6" s="261">
        <f>Cockpit!BI45</f>
        <v>46326</v>
      </c>
      <c r="BL6" s="261">
        <f>Cockpit!BJ45</f>
        <v>46356</v>
      </c>
      <c r="BM6" s="261">
        <f>Cockpit!BK45</f>
        <v>46387</v>
      </c>
      <c r="BN6" s="261">
        <f>Cockpit!BL45</f>
        <v>46418</v>
      </c>
      <c r="BO6" s="261">
        <f>Cockpit!BM45</f>
        <v>46446</v>
      </c>
      <c r="BP6" s="261">
        <f>Cockpit!BN45</f>
        <v>46477</v>
      </c>
      <c r="BQ6" s="261">
        <f>Cockpit!BO45</f>
        <v>46507</v>
      </c>
      <c r="BR6" s="261">
        <f>Cockpit!BP45</f>
        <v>46538</v>
      </c>
      <c r="BS6" s="261">
        <f>Cockpit!BQ45</f>
        <v>46568</v>
      </c>
      <c r="BT6" s="261">
        <f>Cockpit!BR45</f>
        <v>46599</v>
      </c>
      <c r="BU6" s="261">
        <f>Cockpit!BS45</f>
        <v>46630</v>
      </c>
      <c r="BV6" s="261">
        <f>Cockpit!BT45</f>
        <v>46660</v>
      </c>
      <c r="BW6" s="261">
        <f>Cockpit!BU45</f>
        <v>46691</v>
      </c>
      <c r="BX6" s="261">
        <f>Cockpit!BV45</f>
        <v>46721</v>
      </c>
      <c r="BY6" s="261">
        <f>Cockpit!BW45</f>
        <v>46752</v>
      </c>
      <c r="BZ6" s="261">
        <f>Cockpit!BX45</f>
        <v>46783</v>
      </c>
      <c r="CA6" s="261">
        <f>Cockpit!BY45</f>
        <v>46812</v>
      </c>
      <c r="CB6" s="261">
        <f>Cockpit!BZ45</f>
        <v>46843</v>
      </c>
      <c r="CC6" s="261">
        <f>Cockpit!CA45</f>
        <v>46873</v>
      </c>
      <c r="CD6" s="261">
        <f>Cockpit!CB45</f>
        <v>46904</v>
      </c>
      <c r="CE6" s="261">
        <f>Cockpit!CC45</f>
        <v>46934</v>
      </c>
      <c r="CF6" s="261">
        <f>Cockpit!CD45</f>
        <v>46965</v>
      </c>
      <c r="CG6" s="261">
        <f>Cockpit!CE45</f>
        <v>46996</v>
      </c>
      <c r="CH6" s="261">
        <f>Cockpit!CF45</f>
        <v>47026</v>
      </c>
      <c r="CI6" s="261">
        <f>Cockpit!CG45</f>
        <v>47057</v>
      </c>
      <c r="CJ6" s="261">
        <f>Cockpit!CH45</f>
        <v>47087</v>
      </c>
      <c r="CK6" s="261">
        <f>Cockpit!CI45</f>
        <v>47118</v>
      </c>
      <c r="CM6" s="159" t="s">
        <v>350</v>
      </c>
      <c r="CN6" s="368"/>
    </row>
    <row r="7" spans="3:92" ht="11.25" customHeight="1" x14ac:dyDescent="0.2">
      <c r="C7" s="17"/>
      <c r="D7" s="17" t="str">
        <f>"in k"&amp;Cockpit!$C$5</f>
        <v>in kEUR</v>
      </c>
      <c r="E7" s="261" t="str">
        <f>Cockpit!C46</f>
        <v>IST</v>
      </c>
      <c r="F7" s="261" t="str">
        <f>Cockpit!D46</f>
        <v>IST</v>
      </c>
      <c r="G7" s="261" t="str">
        <f>Cockpit!E46</f>
        <v>IST</v>
      </c>
      <c r="H7" s="261" t="str">
        <f>Cockpit!F46</f>
        <v>IST</v>
      </c>
      <c r="I7" s="261" t="str">
        <f>Cockpit!G46</f>
        <v>IST</v>
      </c>
      <c r="J7" s="261" t="str">
        <f>Cockpit!H46</f>
        <v>IST</v>
      </c>
      <c r="K7" s="261" t="str">
        <f>Cockpit!I46</f>
        <v>IST</v>
      </c>
      <c r="L7" s="261" t="str">
        <f>Cockpit!J46</f>
        <v>IST</v>
      </c>
      <c r="M7" s="261" t="str">
        <f>Cockpit!K46</f>
        <v>IST</v>
      </c>
      <c r="N7" s="261" t="str">
        <f>Cockpit!L46</f>
        <v>IST</v>
      </c>
      <c r="O7" s="261" t="str">
        <f>Cockpit!M46</f>
        <v>IST</v>
      </c>
      <c r="P7" s="261" t="str">
        <f>Cockpit!N46</f>
        <v>IST</v>
      </c>
      <c r="Q7" s="261" t="str">
        <f>Cockpit!O46</f>
        <v>IST</v>
      </c>
      <c r="R7" s="261" t="str">
        <f>Cockpit!P46</f>
        <v>IST</v>
      </c>
      <c r="S7" s="261" t="str">
        <f>Cockpit!Q46</f>
        <v>IST</v>
      </c>
      <c r="T7" s="261" t="str">
        <f>Cockpit!R46</f>
        <v>IST</v>
      </c>
      <c r="U7" s="261" t="str">
        <f>Cockpit!S46</f>
        <v>IST</v>
      </c>
      <c r="V7" s="261" t="str">
        <f>Cockpit!T46</f>
        <v>IST</v>
      </c>
      <c r="W7" s="261" t="str">
        <f>Cockpit!U46</f>
        <v>IST</v>
      </c>
      <c r="X7" s="261" t="str">
        <f>Cockpit!V46</f>
        <v>IST</v>
      </c>
      <c r="Y7" s="261" t="str">
        <f>Cockpit!W46</f>
        <v>IST</v>
      </c>
      <c r="Z7" s="261" t="str">
        <f>Cockpit!X46</f>
        <v>IST</v>
      </c>
      <c r="AA7" s="261" t="str">
        <f>Cockpit!Y46</f>
        <v>IST</v>
      </c>
      <c r="AB7" s="261" t="str">
        <f>Cockpit!Z46</f>
        <v>IST</v>
      </c>
      <c r="AC7" s="261" t="str">
        <f>Cockpit!AA46</f>
        <v>IST</v>
      </c>
      <c r="AD7" s="261" t="str">
        <f>Cockpit!AB46</f>
        <v>IST</v>
      </c>
      <c r="AE7" s="261" t="str">
        <f>Cockpit!AC46</f>
        <v>IST</v>
      </c>
      <c r="AF7" s="261" t="str">
        <f>Cockpit!AD46</f>
        <v>IST</v>
      </c>
      <c r="AG7" s="261" t="str">
        <f>Cockpit!AE46</f>
        <v>IST</v>
      </c>
      <c r="AH7" s="261" t="str">
        <f>Cockpit!AF46</f>
        <v>IST</v>
      </c>
      <c r="AI7" s="261" t="str">
        <f>Cockpit!AG46</f>
        <v>IST</v>
      </c>
      <c r="AJ7" s="261" t="str">
        <f>Cockpit!AH46</f>
        <v>IST</v>
      </c>
      <c r="AK7" s="261" t="str">
        <f>Cockpit!AI46</f>
        <v>IST</v>
      </c>
      <c r="AL7" s="261" t="str">
        <f>Cockpit!AJ46</f>
        <v>IST</v>
      </c>
      <c r="AM7" s="261" t="str">
        <f>Cockpit!AK46</f>
        <v>IST</v>
      </c>
      <c r="AN7" s="261" t="str">
        <f>Cockpit!AL46</f>
        <v>IST</v>
      </c>
      <c r="AO7" s="261" t="str">
        <f>Cockpit!AM46</f>
        <v>IST</v>
      </c>
      <c r="AP7" s="261" t="str">
        <f>Cockpit!AN46</f>
        <v>IST</v>
      </c>
      <c r="AQ7" s="261" t="str">
        <f>Cockpit!AO46</f>
        <v>IST</v>
      </c>
      <c r="AR7" s="261" t="str">
        <f>Cockpit!AP46</f>
        <v>IST</v>
      </c>
      <c r="AS7" s="261" t="str">
        <f>Cockpit!AQ46</f>
        <v>IST</v>
      </c>
      <c r="AT7" s="261" t="str">
        <f>Cockpit!AR46</f>
        <v>IST</v>
      </c>
      <c r="AU7" s="261" t="str">
        <f>Cockpit!AS46</f>
        <v>IST</v>
      </c>
      <c r="AV7" s="261" t="str">
        <f>Cockpit!AT46</f>
        <v>IST</v>
      </c>
      <c r="AW7" s="261" t="str">
        <f>Cockpit!AU46</f>
        <v>IST</v>
      </c>
      <c r="AX7" s="261" t="str">
        <f>Cockpit!AV46</f>
        <v>IST</v>
      </c>
      <c r="AY7" s="261" t="str">
        <f>Cockpit!AW46</f>
        <v>IST</v>
      </c>
      <c r="AZ7" s="261" t="str">
        <f>Cockpit!AX46</f>
        <v>IST</v>
      </c>
      <c r="BA7" s="261" t="str">
        <f>Cockpit!AY46</f>
        <v>IST</v>
      </c>
      <c r="BB7" s="261" t="str">
        <f>Cockpit!AZ46</f>
        <v>Plan</v>
      </c>
      <c r="BC7" s="261" t="str">
        <f>Cockpit!BA46</f>
        <v>Plan</v>
      </c>
      <c r="BD7" s="261" t="str">
        <f>Cockpit!BB46</f>
        <v>Plan</v>
      </c>
      <c r="BE7" s="261" t="str">
        <f>Cockpit!BC46</f>
        <v>Plan</v>
      </c>
      <c r="BF7" s="261" t="str">
        <f>Cockpit!BD46</f>
        <v>Plan</v>
      </c>
      <c r="BG7" s="261" t="str">
        <f>Cockpit!BE46</f>
        <v>Plan</v>
      </c>
      <c r="BH7" s="261" t="str">
        <f>Cockpit!BF46</f>
        <v>Plan</v>
      </c>
      <c r="BI7" s="261" t="str">
        <f>Cockpit!BG46</f>
        <v>Plan</v>
      </c>
      <c r="BJ7" s="261" t="str">
        <f>Cockpit!BH46</f>
        <v>Plan</v>
      </c>
      <c r="BK7" s="261" t="str">
        <f>Cockpit!BI46</f>
        <v>Plan</v>
      </c>
      <c r="BL7" s="261" t="str">
        <f>Cockpit!BJ46</f>
        <v>Plan</v>
      </c>
      <c r="BM7" s="261" t="str">
        <f>Cockpit!BK46</f>
        <v>Plan</v>
      </c>
      <c r="BN7" s="261" t="str">
        <f>Cockpit!BL46</f>
        <v>Plan</v>
      </c>
      <c r="BO7" s="261" t="str">
        <f>Cockpit!BM46</f>
        <v>Plan</v>
      </c>
      <c r="BP7" s="261" t="str">
        <f>Cockpit!BN46</f>
        <v>Plan</v>
      </c>
      <c r="BQ7" s="261" t="str">
        <f>Cockpit!BO46</f>
        <v>Plan</v>
      </c>
      <c r="BR7" s="261" t="str">
        <f>Cockpit!BP46</f>
        <v>Plan</v>
      </c>
      <c r="BS7" s="261" t="str">
        <f>Cockpit!BQ46</f>
        <v>Plan</v>
      </c>
      <c r="BT7" s="261" t="str">
        <f>Cockpit!BR46</f>
        <v>Plan</v>
      </c>
      <c r="BU7" s="261" t="str">
        <f>Cockpit!BS46</f>
        <v>Plan</v>
      </c>
      <c r="BV7" s="261" t="str">
        <f>Cockpit!BT46</f>
        <v>Plan</v>
      </c>
      <c r="BW7" s="261" t="str">
        <f>Cockpit!BU46</f>
        <v>Plan</v>
      </c>
      <c r="BX7" s="261" t="str">
        <f>Cockpit!BV46</f>
        <v>Plan</v>
      </c>
      <c r="BY7" s="261" t="str">
        <f>Cockpit!BW46</f>
        <v>Plan</v>
      </c>
      <c r="BZ7" s="261" t="str">
        <f>Cockpit!BX46</f>
        <v>Plan</v>
      </c>
      <c r="CA7" s="261" t="str">
        <f>Cockpit!BY46</f>
        <v>Plan</v>
      </c>
      <c r="CB7" s="261" t="str">
        <f>Cockpit!BZ46</f>
        <v>Plan</v>
      </c>
      <c r="CC7" s="261" t="str">
        <f>Cockpit!CA46</f>
        <v>Plan</v>
      </c>
      <c r="CD7" s="261" t="str">
        <f>Cockpit!CB46</f>
        <v>Plan</v>
      </c>
      <c r="CE7" s="261" t="str">
        <f>Cockpit!CC46</f>
        <v>Plan</v>
      </c>
      <c r="CF7" s="261" t="str">
        <f>Cockpit!CD46</f>
        <v>Plan</v>
      </c>
      <c r="CG7" s="261" t="str">
        <f>Cockpit!CE46</f>
        <v>Plan</v>
      </c>
      <c r="CH7" s="261" t="str">
        <f>Cockpit!CF46</f>
        <v>Plan</v>
      </c>
      <c r="CI7" s="261" t="str">
        <f>Cockpit!CG46</f>
        <v>Plan</v>
      </c>
      <c r="CJ7" s="261" t="str">
        <f>Cockpit!CH46</f>
        <v>Plan</v>
      </c>
      <c r="CK7" s="261" t="str">
        <f>Cockpit!CI46</f>
        <v>Plan</v>
      </c>
    </row>
    <row r="8" spans="3:92" ht="4.5" customHeight="1" x14ac:dyDescent="0.2">
      <c r="C8" s="122"/>
      <c r="D8" s="123"/>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122"/>
      <c r="BC8" s="122"/>
      <c r="BD8" s="122"/>
      <c r="BE8" s="122"/>
      <c r="BF8" s="122"/>
      <c r="BG8" s="122"/>
      <c r="BH8" s="122"/>
      <c r="BI8" s="122"/>
      <c r="BJ8" s="122"/>
      <c r="BK8" s="122"/>
      <c r="BL8" s="122"/>
      <c r="BM8" s="122"/>
      <c r="BN8" s="122"/>
      <c r="BO8" s="122"/>
      <c r="BP8" s="122"/>
      <c r="BQ8" s="122"/>
      <c r="BR8" s="122"/>
      <c r="BS8" s="122"/>
      <c r="BT8" s="122"/>
      <c r="BU8" s="122"/>
      <c r="BV8" s="122"/>
      <c r="BW8" s="122"/>
      <c r="BX8" s="122"/>
      <c r="BY8" s="122"/>
      <c r="BZ8" s="122"/>
      <c r="CA8" s="122"/>
      <c r="CB8" s="122"/>
      <c r="CC8" s="122"/>
      <c r="CD8" s="122"/>
      <c r="CE8" s="122"/>
      <c r="CF8" s="122"/>
      <c r="CG8" s="122"/>
      <c r="CH8" s="122"/>
      <c r="CI8" s="122"/>
      <c r="CJ8" s="122"/>
      <c r="CK8" s="122"/>
    </row>
    <row r="9" spans="3:92" ht="11.65" customHeight="1" x14ac:dyDescent="0.2">
      <c r="C9" s="155" t="str">
        <f>'Lead PL'!C43</f>
        <v>EBITDA</v>
      </c>
      <c r="D9" s="155" t="str">
        <f>'Lead PL'!D43</f>
        <v>EBITDA</v>
      </c>
      <c r="E9" s="184"/>
      <c r="F9" s="184">
        <f>PL_monthly!F34</f>
        <v>0</v>
      </c>
      <c r="G9" s="154">
        <f>PL_monthly!G34</f>
        <v>0</v>
      </c>
      <c r="H9" s="154">
        <f>PL_monthly!H34</f>
        <v>0</v>
      </c>
      <c r="I9" s="154">
        <f>PL_monthly!I34</f>
        <v>0</v>
      </c>
      <c r="J9" s="154">
        <f>PL_monthly!J34</f>
        <v>0</v>
      </c>
      <c r="K9" s="154">
        <f>PL_monthly!K34</f>
        <v>0</v>
      </c>
      <c r="L9" s="154">
        <f>PL_monthly!L34</f>
        <v>0</v>
      </c>
      <c r="M9" s="154">
        <f>PL_monthly!M34</f>
        <v>0</v>
      </c>
      <c r="N9" s="154">
        <f>PL_monthly!N34</f>
        <v>0</v>
      </c>
      <c r="O9" s="154">
        <f>PL_monthly!O34</f>
        <v>0</v>
      </c>
      <c r="P9" s="154">
        <f>PL_monthly!P34</f>
        <v>0</v>
      </c>
      <c r="Q9" s="154">
        <f>PL_monthly!Q34</f>
        <v>0</v>
      </c>
      <c r="R9" s="154">
        <f>PL_monthly!R34</f>
        <v>0.25384999999987912</v>
      </c>
      <c r="S9" s="154">
        <f>PL_monthly!S34</f>
        <v>-74.515919999999809</v>
      </c>
      <c r="T9" s="154">
        <f>PL_monthly!T34</f>
        <v>-4.6024500000000188</v>
      </c>
      <c r="U9" s="154">
        <f>PL_monthly!U34</f>
        <v>156.3281000000012</v>
      </c>
      <c r="V9" s="154">
        <f>PL_monthly!V34</f>
        <v>-159.39385000000175</v>
      </c>
      <c r="W9" s="154">
        <f>PL_monthly!W34</f>
        <v>872.9632299999987</v>
      </c>
      <c r="X9" s="154">
        <f>PL_monthly!X34</f>
        <v>36.343970000002798</v>
      </c>
      <c r="Y9" s="154">
        <f>PL_monthly!Y34</f>
        <v>447.67676000000006</v>
      </c>
      <c r="Z9" s="154">
        <f>PL_monthly!Z34</f>
        <v>48.918169999996991</v>
      </c>
      <c r="AA9" s="154">
        <f>PL_monthly!AA34</f>
        <v>46.387630000004435</v>
      </c>
      <c r="AB9" s="154">
        <f>PL_monthly!AB34</f>
        <v>397.54517999999797</v>
      </c>
      <c r="AC9" s="154">
        <f>PL_monthly!AC34</f>
        <v>-172.74468000000044</v>
      </c>
      <c r="AD9" s="154">
        <f>PL_monthly!AD34</f>
        <v>197.52336</v>
      </c>
      <c r="AE9" s="154">
        <f>PL_monthly!AE34</f>
        <v>309.14468999999974</v>
      </c>
      <c r="AF9" s="154">
        <f>PL_monthly!AF34</f>
        <v>516.82965000000058</v>
      </c>
      <c r="AG9" s="154">
        <f>PL_monthly!AG34</f>
        <v>135.94448999999958</v>
      </c>
      <c r="AH9" s="154">
        <f>PL_monthly!AH34</f>
        <v>48.992050000000518</v>
      </c>
      <c r="AI9" s="154">
        <f>PL_monthly!AI34</f>
        <v>-185.45424999999986</v>
      </c>
      <c r="AJ9" s="154">
        <f>PL_monthly!AJ34</f>
        <v>-776.24684999999761</v>
      </c>
      <c r="AK9" s="154">
        <f>PL_monthly!AK34</f>
        <v>237.26090000000158</v>
      </c>
      <c r="AL9" s="154">
        <f>PL_monthly!AL34</f>
        <v>-250.7294400000026</v>
      </c>
      <c r="AM9" s="154">
        <f>PL_monthly!AM34</f>
        <v>100.7898600000006</v>
      </c>
      <c r="AN9" s="154">
        <f>PL_monthly!AN34</f>
        <v>233.32284999999717</v>
      </c>
      <c r="AO9" s="154">
        <f>PL_monthly!AO34</f>
        <v>1192.963460000002</v>
      </c>
      <c r="AP9" s="154">
        <f>PL_monthly!AP34</f>
        <v>136.71657999999979</v>
      </c>
      <c r="AQ9" s="154">
        <f>PL_monthly!AQ34</f>
        <v>129.18453000000011</v>
      </c>
      <c r="AR9" s="154">
        <f>PL_monthly!AR34</f>
        <v>-64.843730000000406</v>
      </c>
      <c r="AS9" s="154">
        <f>PL_monthly!AS34</f>
        <v>150.59123000000099</v>
      </c>
      <c r="AT9" s="154">
        <f>PL_monthly!AT34</f>
        <v>171.92539999999866</v>
      </c>
      <c r="AU9" s="154">
        <f>PL_monthly!AU34</f>
        <v>256.33793999999949</v>
      </c>
      <c r="AV9" s="154">
        <f>PL_monthly!AV34</f>
        <v>-14.94471999999999</v>
      </c>
      <c r="AW9" s="154">
        <f>PL_monthly!AW34</f>
        <v>475.2158299999993</v>
      </c>
      <c r="AX9" s="154">
        <f>PL_monthly!AX34</f>
        <v>195.76247000000251</v>
      </c>
      <c r="AY9" s="154">
        <f>PL_monthly!AY34</f>
        <v>221.23081000000326</v>
      </c>
      <c r="AZ9" s="154">
        <f>PL_monthly!AZ34</f>
        <v>-127.0971200000041</v>
      </c>
      <c r="BA9" s="154">
        <f>PL_monthly!BA34</f>
        <v>-213.59515999999491</v>
      </c>
      <c r="BB9" s="154">
        <f>PL_monthly!BB34</f>
        <v>0</v>
      </c>
      <c r="BC9" s="154">
        <f>PL_monthly!BC34</f>
        <v>0</v>
      </c>
      <c r="BD9" s="154">
        <f>PL_monthly!BD34</f>
        <v>0</v>
      </c>
      <c r="BE9" s="154">
        <f>PL_monthly!BE34</f>
        <v>0</v>
      </c>
      <c r="BF9" s="154">
        <f>PL_monthly!BF34</f>
        <v>0</v>
      </c>
      <c r="BG9" s="154">
        <f>PL_monthly!BG34</f>
        <v>0</v>
      </c>
      <c r="BH9" s="154">
        <f>PL_monthly!BH34</f>
        <v>0</v>
      </c>
      <c r="BI9" s="154">
        <f>PL_monthly!BI34</f>
        <v>0</v>
      </c>
      <c r="BJ9" s="154">
        <f>PL_monthly!BJ34</f>
        <v>0</v>
      </c>
      <c r="BK9" s="154">
        <f>PL_monthly!BK34</f>
        <v>0</v>
      </c>
      <c r="BL9" s="154">
        <f>PL_monthly!BL34</f>
        <v>0</v>
      </c>
      <c r="BM9" s="154">
        <f>PL_monthly!BM34</f>
        <v>0</v>
      </c>
      <c r="BN9" s="154">
        <f>PL_monthly!BN34</f>
        <v>0</v>
      </c>
      <c r="BO9" s="154">
        <f>PL_monthly!BO34</f>
        <v>0</v>
      </c>
      <c r="BP9" s="154">
        <f>PL_monthly!BP34</f>
        <v>0</v>
      </c>
      <c r="BQ9" s="154">
        <f>PL_monthly!BQ34</f>
        <v>0</v>
      </c>
      <c r="BR9" s="154">
        <f>PL_monthly!BR34</f>
        <v>0</v>
      </c>
      <c r="BS9" s="154">
        <f>PL_monthly!BS34</f>
        <v>0</v>
      </c>
      <c r="BT9" s="154">
        <f>PL_monthly!BT34</f>
        <v>0</v>
      </c>
      <c r="BU9" s="154">
        <f>PL_monthly!BU34</f>
        <v>0</v>
      </c>
      <c r="BV9" s="154">
        <f>PL_monthly!BV34</f>
        <v>0</v>
      </c>
      <c r="BW9" s="154">
        <f>PL_monthly!BW34</f>
        <v>0</v>
      </c>
      <c r="BX9" s="154">
        <f>PL_monthly!BX34</f>
        <v>0</v>
      </c>
      <c r="BY9" s="154">
        <f>PL_monthly!BY34</f>
        <v>0</v>
      </c>
      <c r="BZ9" s="154">
        <f>PL_monthly!BZ34</f>
        <v>0</v>
      </c>
      <c r="CA9" s="154">
        <f>PL_monthly!CA34</f>
        <v>0</v>
      </c>
      <c r="CB9" s="154">
        <f>PL_monthly!CB34</f>
        <v>0</v>
      </c>
      <c r="CC9" s="154">
        <f>PL_monthly!CC34</f>
        <v>0</v>
      </c>
      <c r="CD9" s="154">
        <f>PL_monthly!CD34</f>
        <v>0</v>
      </c>
      <c r="CE9" s="154">
        <f>PL_monthly!CE34</f>
        <v>0</v>
      </c>
      <c r="CF9" s="154">
        <f>PL_monthly!CF34</f>
        <v>0</v>
      </c>
      <c r="CG9" s="154">
        <f>PL_monthly!CG34</f>
        <v>0</v>
      </c>
      <c r="CH9" s="154">
        <f>PL_monthly!CH34</f>
        <v>0</v>
      </c>
      <c r="CI9" s="154">
        <f>PL_monthly!CI34</f>
        <v>0</v>
      </c>
      <c r="CJ9" s="154">
        <f>PL_monthly!CJ34</f>
        <v>0</v>
      </c>
      <c r="CK9" s="154">
        <f>PL_monthly!CK34</f>
        <v>0</v>
      </c>
    </row>
    <row r="10" spans="3:92" ht="11.65" customHeight="1" x14ac:dyDescent="0.2">
      <c r="C10" s="182" t="str">
        <f>'Lead PL'!C57</f>
        <v>Ertragssteuern</v>
      </c>
      <c r="D10" s="182" t="str">
        <f>'Lead PL'!D57</f>
        <v>Income taxes</v>
      </c>
      <c r="E10" s="96"/>
      <c r="F10" s="96">
        <f>PL_monthly!F48</f>
        <v>0</v>
      </c>
      <c r="G10" s="36">
        <f>PL_monthly!G48</f>
        <v>0</v>
      </c>
      <c r="H10" s="36">
        <f>PL_monthly!H48</f>
        <v>0</v>
      </c>
      <c r="I10" s="36">
        <f>PL_monthly!I48</f>
        <v>0</v>
      </c>
      <c r="J10" s="36">
        <f>PL_monthly!J48</f>
        <v>0</v>
      </c>
      <c r="K10" s="36">
        <f>PL_monthly!K48</f>
        <v>0</v>
      </c>
      <c r="L10" s="36">
        <f>PL_monthly!L48</f>
        <v>0</v>
      </c>
      <c r="M10" s="36">
        <f>PL_monthly!M48</f>
        <v>0</v>
      </c>
      <c r="N10" s="36">
        <f>PL_monthly!N48</f>
        <v>0</v>
      </c>
      <c r="O10" s="36">
        <f>PL_monthly!O48</f>
        <v>0</v>
      </c>
      <c r="P10" s="36">
        <f>PL_monthly!P48</f>
        <v>0</v>
      </c>
      <c r="Q10" s="36">
        <f>PL_monthly!Q48</f>
        <v>0</v>
      </c>
      <c r="R10" s="36">
        <f>PL_monthly!R48</f>
        <v>0</v>
      </c>
      <c r="S10" s="36">
        <f>PL_monthly!S48</f>
        <v>-83.278770000000009</v>
      </c>
      <c r="T10" s="36">
        <f>PL_monthly!T48</f>
        <v>-85.380000000000024</v>
      </c>
      <c r="U10" s="36">
        <f>PL_monthly!U48</f>
        <v>0</v>
      </c>
      <c r="V10" s="36">
        <f>PL_monthly!V48</f>
        <v>-83.378999999999991</v>
      </c>
      <c r="W10" s="36">
        <f>PL_monthly!W48</f>
        <v>-85.381309999999928</v>
      </c>
      <c r="X10" s="36">
        <f>PL_monthly!X48</f>
        <v>0</v>
      </c>
      <c r="Y10" s="36">
        <f>PL_monthly!Y48</f>
        <v>-82.745999999999981</v>
      </c>
      <c r="Z10" s="36">
        <f>PL_monthly!Z48</f>
        <v>-85.380000000000052</v>
      </c>
      <c r="AA10" s="36">
        <f>PL_monthly!AA48</f>
        <v>0</v>
      </c>
      <c r="AB10" s="36">
        <f>PL_monthly!AB48</f>
        <v>-82.745999999999981</v>
      </c>
      <c r="AC10" s="36">
        <f>PL_monthly!AC48</f>
        <v>197.67349000000002</v>
      </c>
      <c r="AD10" s="36">
        <f>PL_monthly!AD48</f>
        <v>0</v>
      </c>
      <c r="AE10" s="36">
        <f>PL_monthly!AE48</f>
        <v>-83.036119999999997</v>
      </c>
      <c r="AF10" s="36">
        <f>PL_monthly!AF48</f>
        <v>-61.149999999999991</v>
      </c>
      <c r="AG10" s="36">
        <f>PL_monthly!AG48</f>
        <v>-0.2508900000000267</v>
      </c>
      <c r="AH10" s="36">
        <f>PL_monthly!AH48</f>
        <v>-51.624009999999998</v>
      </c>
      <c r="AI10" s="36">
        <f>PL_monthly!AI48</f>
        <v>-75.93307999999999</v>
      </c>
      <c r="AJ10" s="36">
        <f>PL_monthly!AJ48</f>
        <v>0</v>
      </c>
      <c r="AK10" s="36">
        <f>PL_monthly!AK48</f>
        <v>-51.59499999999997</v>
      </c>
      <c r="AL10" s="36">
        <f>PL_monthly!AL48</f>
        <v>-61.149999999999977</v>
      </c>
      <c r="AM10" s="36">
        <f>PL_monthly!AM48</f>
        <v>0</v>
      </c>
      <c r="AN10" s="36">
        <f>PL_monthly!AN48</f>
        <v>-51.595000000000027</v>
      </c>
      <c r="AO10" s="36">
        <f>PL_monthly!AO48</f>
        <v>-5.7875099999999975</v>
      </c>
      <c r="AP10" s="36">
        <f>PL_monthly!AP48</f>
        <v>1E-3</v>
      </c>
      <c r="AQ10" s="36">
        <f>PL_monthly!AQ48</f>
        <v>-61.693839999999994</v>
      </c>
      <c r="AR10" s="36">
        <f>PL_monthly!AR48</f>
        <v>-49.708869999999997</v>
      </c>
      <c r="AS10" s="36">
        <f>PL_monthly!AS48</f>
        <v>0</v>
      </c>
      <c r="AT10" s="36">
        <f>PL_monthly!AT48</f>
        <v>-61.692999999999998</v>
      </c>
      <c r="AU10" s="36">
        <f>PL_monthly!AU48</f>
        <v>-49.366000000000014</v>
      </c>
      <c r="AV10" s="36">
        <f>PL_monthly!AV48</f>
        <v>0</v>
      </c>
      <c r="AW10" s="36">
        <f>PL_monthly!AW48</f>
        <v>-61.692999999999984</v>
      </c>
      <c r="AX10" s="36">
        <f>PL_monthly!AX48</f>
        <v>-49.365999999999985</v>
      </c>
      <c r="AY10" s="36">
        <f>PL_monthly!AY48</f>
        <v>0</v>
      </c>
      <c r="AZ10" s="36">
        <f>PL_monthly!AZ48</f>
        <v>-61.692000000000007</v>
      </c>
      <c r="BA10" s="36">
        <f>PL_monthly!BA48</f>
        <v>61.458030000000008</v>
      </c>
      <c r="BB10" s="36">
        <f>PL_monthly!BB48</f>
        <v>0</v>
      </c>
      <c r="BC10" s="36">
        <f>PL_monthly!BC48</f>
        <v>0</v>
      </c>
      <c r="BD10" s="36">
        <f>PL_monthly!BD48</f>
        <v>0</v>
      </c>
      <c r="BE10" s="36">
        <f>PL_monthly!BE48</f>
        <v>0</v>
      </c>
      <c r="BF10" s="36">
        <f>PL_monthly!BF48</f>
        <v>0</v>
      </c>
      <c r="BG10" s="36">
        <f>PL_monthly!BG48</f>
        <v>0</v>
      </c>
      <c r="BH10" s="36">
        <f>PL_monthly!BH48</f>
        <v>0</v>
      </c>
      <c r="BI10" s="36">
        <f>PL_monthly!BI48</f>
        <v>0</v>
      </c>
      <c r="BJ10" s="36">
        <f>PL_monthly!BJ48</f>
        <v>0</v>
      </c>
      <c r="BK10" s="36">
        <f>PL_monthly!BK48</f>
        <v>0</v>
      </c>
      <c r="BL10" s="36">
        <f>PL_monthly!BL48</f>
        <v>0</v>
      </c>
      <c r="BM10" s="36">
        <f>PL_monthly!BM48</f>
        <v>0</v>
      </c>
      <c r="BN10" s="36">
        <f>PL_monthly!BN48</f>
        <v>0</v>
      </c>
      <c r="BO10" s="36">
        <f>PL_monthly!BO48</f>
        <v>0</v>
      </c>
      <c r="BP10" s="36">
        <f>PL_monthly!BP48</f>
        <v>0</v>
      </c>
      <c r="BQ10" s="36">
        <f>PL_monthly!BQ48</f>
        <v>0</v>
      </c>
      <c r="BR10" s="36">
        <f>PL_monthly!BR48</f>
        <v>0</v>
      </c>
      <c r="BS10" s="36">
        <f>PL_monthly!BS48</f>
        <v>0</v>
      </c>
      <c r="BT10" s="36">
        <f>PL_monthly!BT48</f>
        <v>0</v>
      </c>
      <c r="BU10" s="36">
        <f>PL_monthly!BU48</f>
        <v>0</v>
      </c>
      <c r="BV10" s="36">
        <f>PL_monthly!BV48</f>
        <v>0</v>
      </c>
      <c r="BW10" s="36">
        <f>PL_monthly!BW48</f>
        <v>0</v>
      </c>
      <c r="BX10" s="36">
        <f>PL_monthly!BX48</f>
        <v>0</v>
      </c>
      <c r="BY10" s="36">
        <f>PL_monthly!BY48</f>
        <v>0</v>
      </c>
      <c r="BZ10" s="36">
        <f>PL_monthly!BZ48</f>
        <v>0</v>
      </c>
      <c r="CA10" s="36">
        <f>PL_monthly!CA48</f>
        <v>0</v>
      </c>
      <c r="CB10" s="36">
        <f>PL_monthly!CB48</f>
        <v>0</v>
      </c>
      <c r="CC10" s="36">
        <f>PL_monthly!CC48</f>
        <v>0</v>
      </c>
      <c r="CD10" s="36">
        <f>PL_monthly!CD48</f>
        <v>0</v>
      </c>
      <c r="CE10" s="36">
        <f>PL_monthly!CE48</f>
        <v>0</v>
      </c>
      <c r="CF10" s="36">
        <f>PL_monthly!CF48</f>
        <v>0</v>
      </c>
      <c r="CG10" s="36">
        <f>PL_monthly!CG48</f>
        <v>0</v>
      </c>
      <c r="CH10" s="36">
        <f>PL_monthly!CH48</f>
        <v>0</v>
      </c>
      <c r="CI10" s="36">
        <f>PL_monthly!CI48</f>
        <v>0</v>
      </c>
      <c r="CJ10" s="36">
        <f>PL_monthly!CJ48</f>
        <v>0</v>
      </c>
      <c r="CK10" s="36">
        <f>PL_monthly!CK48</f>
        <v>0</v>
      </c>
    </row>
    <row r="11" spans="3:92" ht="11.65" customHeight="1" x14ac:dyDescent="0.2">
      <c r="C11" s="182" t="str">
        <f>'Lead PL'!C58</f>
        <v>Sonstige Steuern</v>
      </c>
      <c r="D11" s="182" t="str">
        <f>'Lead PL'!D58</f>
        <v>Other taxes</v>
      </c>
      <c r="E11" s="96"/>
      <c r="F11" s="96">
        <f>PL_monthly!F49</f>
        <v>0</v>
      </c>
      <c r="G11" s="36">
        <f>PL_monthly!G49</f>
        <v>0</v>
      </c>
      <c r="H11" s="36">
        <f>PL_monthly!H49</f>
        <v>0</v>
      </c>
      <c r="I11" s="36">
        <f>PL_monthly!I49</f>
        <v>0</v>
      </c>
      <c r="J11" s="36">
        <f>PL_monthly!J49</f>
        <v>0</v>
      </c>
      <c r="K11" s="36">
        <f>PL_monthly!K49</f>
        <v>0</v>
      </c>
      <c r="L11" s="36">
        <f>PL_monthly!L49</f>
        <v>0</v>
      </c>
      <c r="M11" s="36">
        <f>PL_monthly!M49</f>
        <v>0</v>
      </c>
      <c r="N11" s="36">
        <f>PL_monthly!N49</f>
        <v>0</v>
      </c>
      <c r="O11" s="36">
        <f>PL_monthly!O49</f>
        <v>0</v>
      </c>
      <c r="P11" s="36">
        <f>PL_monthly!P49</f>
        <v>0</v>
      </c>
      <c r="Q11" s="36">
        <f>PL_monthly!Q49</f>
        <v>0</v>
      </c>
      <c r="R11" s="36">
        <f>PL_monthly!R49</f>
        <v>-0.49199999999999999</v>
      </c>
      <c r="S11" s="36">
        <f>PL_monthly!S49</f>
        <v>-0.46099999999999997</v>
      </c>
      <c r="T11" s="36">
        <f>PL_monthly!T49</f>
        <v>-0.6170000000000001</v>
      </c>
      <c r="U11" s="36">
        <f>PL_monthly!U49</f>
        <v>-0.55199999999999982</v>
      </c>
      <c r="V11" s="36">
        <f>PL_monthly!V49</f>
        <v>-0.31099999999999994</v>
      </c>
      <c r="W11" s="36">
        <f>PL_monthly!W49</f>
        <v>-0.23100000000000032</v>
      </c>
      <c r="X11" s="36">
        <f>PL_monthly!X49</f>
        <v>0</v>
      </c>
      <c r="Y11" s="36">
        <f>PL_monthly!Y49</f>
        <v>-0.31999999999999984</v>
      </c>
      <c r="Z11" s="36">
        <f>PL_monthly!Z49</f>
        <v>4.1999999999999815E-2</v>
      </c>
      <c r="AA11" s="36">
        <f>PL_monthly!AA49</f>
        <v>0</v>
      </c>
      <c r="AB11" s="36">
        <f>PL_monthly!AB49</f>
        <v>0</v>
      </c>
      <c r="AC11" s="36">
        <f>PL_monthly!AC49</f>
        <v>2.0000000000000018E-2</v>
      </c>
      <c r="AD11" s="36">
        <f>PL_monthly!AD49</f>
        <v>-0.66800000000000004</v>
      </c>
      <c r="AE11" s="36">
        <f>PL_monthly!AE49</f>
        <v>-0.30899999999999994</v>
      </c>
      <c r="AF11" s="36">
        <f>PL_monthly!AF49</f>
        <v>-0.6110000000000001</v>
      </c>
      <c r="AG11" s="36">
        <f>PL_monthly!AG49</f>
        <v>-0.49199999999999999</v>
      </c>
      <c r="AH11" s="36">
        <f>PL_monthly!AH49</f>
        <v>-0.31099999999999994</v>
      </c>
      <c r="AI11" s="36">
        <f>PL_monthly!AI49</f>
        <v>-0.27099999999999991</v>
      </c>
      <c r="AJ11" s="36">
        <f>PL_monthly!AJ49</f>
        <v>-0.41000000000000014</v>
      </c>
      <c r="AK11" s="36">
        <f>PL_monthly!AK49</f>
        <v>-0.27899999999999991</v>
      </c>
      <c r="AL11" s="36">
        <f>PL_monthly!AL49</f>
        <v>0.379</v>
      </c>
      <c r="AM11" s="36">
        <f>PL_monthly!AM49</f>
        <v>-2.9999999999999805E-2</v>
      </c>
      <c r="AN11" s="36">
        <f>PL_monthly!AN49</f>
        <v>0</v>
      </c>
      <c r="AO11" s="36">
        <f>PL_monthly!AO49</f>
        <v>0</v>
      </c>
      <c r="AP11" s="36">
        <f>PL_monthly!AP49</f>
        <v>-0.17599999999999999</v>
      </c>
      <c r="AQ11" s="36">
        <f>PL_monthly!AQ49</f>
        <v>0</v>
      </c>
      <c r="AR11" s="36">
        <f>PL_monthly!AR49</f>
        <v>-0.311</v>
      </c>
      <c r="AS11" s="36">
        <f>PL_monthly!AS49</f>
        <v>-0.66800000000000004</v>
      </c>
      <c r="AT11" s="36">
        <f>PL_monthly!AT49</f>
        <v>-0.625</v>
      </c>
      <c r="AU11" s="36">
        <f>PL_monthly!AU49</f>
        <v>-0.41499999999999981</v>
      </c>
      <c r="AV11" s="36">
        <f>PL_monthly!AV49</f>
        <v>0</v>
      </c>
      <c r="AW11" s="36">
        <f>PL_monthly!AW49</f>
        <v>-0.28900000000000015</v>
      </c>
      <c r="AX11" s="36">
        <f>PL_monthly!AX49</f>
        <v>0</v>
      </c>
      <c r="AY11" s="36">
        <f>PL_monthly!AY49</f>
        <v>0</v>
      </c>
      <c r="AZ11" s="36">
        <f>PL_monthly!AZ49</f>
        <v>0.25999999999999979</v>
      </c>
      <c r="BA11" s="36">
        <f>PL_monthly!BA49</f>
        <v>-2.9999999999999805E-2</v>
      </c>
      <c r="BB11" s="36">
        <f>PL_monthly!BB49</f>
        <v>0</v>
      </c>
      <c r="BC11" s="36">
        <f>PL_monthly!BC49</f>
        <v>0</v>
      </c>
      <c r="BD11" s="36">
        <f>PL_monthly!BD49</f>
        <v>0</v>
      </c>
      <c r="BE11" s="36">
        <f>PL_monthly!BE49</f>
        <v>0</v>
      </c>
      <c r="BF11" s="36">
        <f>PL_monthly!BF49</f>
        <v>0</v>
      </c>
      <c r="BG11" s="36">
        <f>PL_monthly!BG49</f>
        <v>0</v>
      </c>
      <c r="BH11" s="36">
        <f>PL_monthly!BH49</f>
        <v>0</v>
      </c>
      <c r="BI11" s="36">
        <f>PL_monthly!BI49</f>
        <v>0</v>
      </c>
      <c r="BJ11" s="36">
        <f>PL_monthly!BJ49</f>
        <v>0</v>
      </c>
      <c r="BK11" s="36">
        <f>PL_monthly!BK49</f>
        <v>0</v>
      </c>
      <c r="BL11" s="36">
        <f>PL_monthly!BL49</f>
        <v>0</v>
      </c>
      <c r="BM11" s="36">
        <f>PL_monthly!BM49</f>
        <v>0</v>
      </c>
      <c r="BN11" s="36">
        <f>PL_monthly!BN49</f>
        <v>0</v>
      </c>
      <c r="BO11" s="36">
        <f>PL_monthly!BO49</f>
        <v>0</v>
      </c>
      <c r="BP11" s="36">
        <f>PL_monthly!BP49</f>
        <v>0</v>
      </c>
      <c r="BQ11" s="36">
        <f>PL_monthly!BQ49</f>
        <v>0</v>
      </c>
      <c r="BR11" s="36">
        <f>PL_monthly!BR49</f>
        <v>0</v>
      </c>
      <c r="BS11" s="36">
        <f>PL_monthly!BS49</f>
        <v>0</v>
      </c>
      <c r="BT11" s="36">
        <f>PL_monthly!BT49</f>
        <v>0</v>
      </c>
      <c r="BU11" s="36">
        <f>PL_monthly!BU49</f>
        <v>0</v>
      </c>
      <c r="BV11" s="36">
        <f>PL_monthly!BV49</f>
        <v>0</v>
      </c>
      <c r="BW11" s="36">
        <f>PL_monthly!BW49</f>
        <v>0</v>
      </c>
      <c r="BX11" s="36">
        <f>PL_monthly!BX49</f>
        <v>0</v>
      </c>
      <c r="BY11" s="36">
        <f>PL_monthly!BY49</f>
        <v>0</v>
      </c>
      <c r="BZ11" s="36">
        <f>PL_monthly!BZ49</f>
        <v>0</v>
      </c>
      <c r="CA11" s="36">
        <f>PL_monthly!CA49</f>
        <v>0</v>
      </c>
      <c r="CB11" s="36">
        <f>PL_monthly!CB49</f>
        <v>0</v>
      </c>
      <c r="CC11" s="36">
        <f>PL_monthly!CC49</f>
        <v>0</v>
      </c>
      <c r="CD11" s="36">
        <f>PL_monthly!CD49</f>
        <v>0</v>
      </c>
      <c r="CE11" s="36">
        <f>PL_monthly!CE49</f>
        <v>0</v>
      </c>
      <c r="CF11" s="36">
        <f>PL_monthly!CF49</f>
        <v>0</v>
      </c>
      <c r="CG11" s="36">
        <f>PL_monthly!CG49</f>
        <v>0</v>
      </c>
      <c r="CH11" s="36">
        <f>PL_monthly!CH49</f>
        <v>0</v>
      </c>
      <c r="CI11" s="36">
        <f>PL_monthly!CI49</f>
        <v>0</v>
      </c>
      <c r="CJ11" s="36">
        <f>PL_monthly!CJ49</f>
        <v>0</v>
      </c>
      <c r="CK11" s="36">
        <f>PL_monthly!CK49</f>
        <v>0</v>
      </c>
    </row>
    <row r="12" spans="3:92" ht="4.5" customHeight="1" x14ac:dyDescent="0.2">
      <c r="C12" s="37"/>
      <c r="D12" s="37"/>
      <c r="E12" s="96"/>
      <c r="F12" s="96"/>
      <c r="G12" s="154"/>
      <c r="H12" s="154"/>
      <c r="I12" s="154"/>
      <c r="J12" s="154"/>
      <c r="K12" s="154"/>
      <c r="L12" s="154"/>
      <c r="M12" s="154"/>
      <c r="N12" s="154"/>
      <c r="O12" s="154"/>
      <c r="P12" s="154"/>
      <c r="Q12" s="154"/>
      <c r="R12" s="154"/>
      <c r="S12" s="154"/>
      <c r="T12" s="154"/>
      <c r="U12" s="154"/>
      <c r="V12" s="154"/>
      <c r="W12" s="154"/>
      <c r="X12" s="154"/>
      <c r="Y12" s="154"/>
      <c r="Z12" s="154"/>
      <c r="AA12" s="154"/>
      <c r="AB12" s="154"/>
      <c r="AC12" s="154"/>
      <c r="AD12" s="154"/>
      <c r="AE12" s="154"/>
      <c r="AF12" s="154"/>
      <c r="AG12" s="154"/>
      <c r="AH12" s="154"/>
      <c r="AI12" s="154"/>
      <c r="AJ12" s="154"/>
      <c r="AK12" s="154"/>
      <c r="AL12" s="154"/>
      <c r="AM12" s="154"/>
      <c r="AN12" s="154"/>
      <c r="AO12" s="154"/>
      <c r="AP12" s="154"/>
      <c r="AQ12" s="154"/>
      <c r="AR12" s="154"/>
      <c r="AS12" s="154"/>
      <c r="AT12" s="154"/>
      <c r="AU12" s="154"/>
      <c r="AV12" s="154"/>
      <c r="AW12" s="154"/>
      <c r="AX12" s="154"/>
      <c r="AY12" s="154"/>
      <c r="AZ12" s="154"/>
      <c r="BA12" s="154"/>
      <c r="BB12" s="154"/>
      <c r="BC12" s="154"/>
      <c r="BD12" s="154"/>
      <c r="BE12" s="154"/>
      <c r="BF12" s="154"/>
      <c r="BG12" s="154"/>
      <c r="BH12" s="154"/>
      <c r="BI12" s="154"/>
      <c r="BJ12" s="154"/>
      <c r="BK12" s="154"/>
      <c r="BL12" s="154"/>
      <c r="BM12" s="154"/>
      <c r="BN12" s="154"/>
      <c r="BO12" s="154"/>
      <c r="BP12" s="154"/>
      <c r="BQ12" s="154"/>
      <c r="BR12" s="154"/>
      <c r="BS12" s="154"/>
      <c r="BT12" s="154"/>
      <c r="BU12" s="154"/>
      <c r="BV12" s="154"/>
      <c r="BW12" s="154"/>
      <c r="BX12" s="154"/>
      <c r="BY12" s="154"/>
      <c r="BZ12" s="154"/>
      <c r="CA12" s="154"/>
      <c r="CB12" s="154"/>
      <c r="CC12" s="154"/>
      <c r="CD12" s="154"/>
      <c r="CE12" s="154"/>
      <c r="CF12" s="154"/>
      <c r="CG12" s="154"/>
      <c r="CH12" s="154"/>
      <c r="CI12" s="154"/>
      <c r="CJ12" s="154"/>
      <c r="CK12" s="154"/>
    </row>
    <row r="13" spans="3:92" ht="11.25" customHeight="1" x14ac:dyDescent="0.2">
      <c r="C13" s="37" t="str">
        <f>"∆ "&amp;'Lead NA'!C16</f>
        <v>∆ Vorräte</v>
      </c>
      <c r="D13" s="37" t="str">
        <f>"∆ "&amp;'Lead NA'!D16</f>
        <v>∆ Inventories</v>
      </c>
      <c r="E13" s="96"/>
      <c r="F13" s="96"/>
      <c r="G13" s="36">
        <f>-NA_monthly!G16+NA_monthly!F16</f>
        <v>0</v>
      </c>
      <c r="H13" s="36">
        <f>-NA_monthly!H16+NA_monthly!G16</f>
        <v>0</v>
      </c>
      <c r="I13" s="36">
        <f>-NA_monthly!I16+NA_monthly!H16</f>
        <v>0</v>
      </c>
      <c r="J13" s="36">
        <f>-NA_monthly!J16+NA_monthly!I16</f>
        <v>0</v>
      </c>
      <c r="K13" s="36">
        <f>-NA_monthly!K16+NA_monthly!J16</f>
        <v>0</v>
      </c>
      <c r="L13" s="36">
        <f>-NA_monthly!L16+NA_monthly!K16</f>
        <v>0</v>
      </c>
      <c r="M13" s="36">
        <f>-NA_monthly!M16+NA_monthly!L16</f>
        <v>0</v>
      </c>
      <c r="N13" s="36">
        <f>-NA_monthly!N16+NA_monthly!M16</f>
        <v>0</v>
      </c>
      <c r="O13" s="36">
        <f>-NA_monthly!O16+NA_monthly!N16</f>
        <v>0</v>
      </c>
      <c r="P13" s="36">
        <f>-NA_monthly!P16+NA_monthly!O16</f>
        <v>0</v>
      </c>
      <c r="Q13" s="36">
        <f>-NA_monthly!Q16+NA_monthly!P16</f>
        <v>-1953.4010800000001</v>
      </c>
      <c r="R13" s="36">
        <f>-NA_monthly!R16+NA_monthly!Q16</f>
        <v>0</v>
      </c>
      <c r="S13" s="36">
        <f>-NA_monthly!S16+NA_monthly!R16</f>
        <v>0</v>
      </c>
      <c r="T13" s="36">
        <f>-NA_monthly!T16+NA_monthly!S16</f>
        <v>0</v>
      </c>
      <c r="U13" s="36">
        <f>-NA_monthly!U16+NA_monthly!T16</f>
        <v>0</v>
      </c>
      <c r="V13" s="36">
        <f>-NA_monthly!V16+NA_monthly!U16</f>
        <v>0</v>
      </c>
      <c r="W13" s="36">
        <f>-NA_monthly!W16+NA_monthly!V16</f>
        <v>-764.93891000000031</v>
      </c>
      <c r="X13" s="36">
        <f>-NA_monthly!X16+NA_monthly!W16</f>
        <v>0</v>
      </c>
      <c r="Y13" s="36">
        <f>-NA_monthly!Y16+NA_monthly!X16</f>
        <v>0</v>
      </c>
      <c r="Z13" s="36">
        <f>-NA_monthly!Z16+NA_monthly!Y16</f>
        <v>-232.38927999999896</v>
      </c>
      <c r="AA13" s="36">
        <f>-NA_monthly!AA16+NA_monthly!Z16</f>
        <v>0</v>
      </c>
      <c r="AB13" s="36">
        <f>-NA_monthly!AB16+NA_monthly!AA16</f>
        <v>0</v>
      </c>
      <c r="AC13" s="36">
        <f>-NA_monthly!AC16+NA_monthly!AB16</f>
        <v>298.62061999999924</v>
      </c>
      <c r="AD13" s="36">
        <f>-NA_monthly!AD16+NA_monthly!AC16</f>
        <v>0</v>
      </c>
      <c r="AE13" s="36">
        <f>-NA_monthly!AE16+NA_monthly!AD16</f>
        <v>0</v>
      </c>
      <c r="AF13" s="36">
        <f>-NA_monthly!AF16+NA_monthly!AE16</f>
        <v>0</v>
      </c>
      <c r="AG13" s="36">
        <f>-NA_monthly!AG16+NA_monthly!AF16</f>
        <v>-19.759999999999764</v>
      </c>
      <c r="AH13" s="36">
        <f>-NA_monthly!AH16+NA_monthly!AG16</f>
        <v>0</v>
      </c>
      <c r="AI13" s="36">
        <f>-NA_monthly!AI16+NA_monthly!AH16</f>
        <v>-3.6918900000000576</v>
      </c>
      <c r="AJ13" s="36">
        <f>-NA_monthly!AJ16+NA_monthly!AI16</f>
        <v>0</v>
      </c>
      <c r="AK13" s="36">
        <f>-NA_monthly!AK16+NA_monthly!AJ16</f>
        <v>0</v>
      </c>
      <c r="AL13" s="36">
        <f>-NA_monthly!AL16+NA_monthly!AK16</f>
        <v>0</v>
      </c>
      <c r="AM13" s="36">
        <f>-NA_monthly!AM16+NA_monthly!AL16</f>
        <v>19.759999999999764</v>
      </c>
      <c r="AN13" s="36">
        <f>-NA_monthly!AN16+NA_monthly!AM16</f>
        <v>56.100000000000364</v>
      </c>
      <c r="AO13" s="36">
        <f>-NA_monthly!AO16+NA_monthly!AN16</f>
        <v>-1256.1831000000002</v>
      </c>
      <c r="AP13" s="36">
        <f>-NA_monthly!AP16+NA_monthly!AO16</f>
        <v>0</v>
      </c>
      <c r="AQ13" s="36">
        <f>-NA_monthly!AQ16+NA_monthly!AP16</f>
        <v>0</v>
      </c>
      <c r="AR13" s="36">
        <f>-NA_monthly!AR16+NA_monthly!AQ16</f>
        <v>0</v>
      </c>
      <c r="AS13" s="36">
        <f>-NA_monthly!AS16+NA_monthly!AR16</f>
        <v>0</v>
      </c>
      <c r="AT13" s="36">
        <f>-NA_monthly!AT16+NA_monthly!AS16</f>
        <v>0</v>
      </c>
      <c r="AU13" s="36">
        <f>-NA_monthly!AU16+NA_monthly!AT16</f>
        <v>0</v>
      </c>
      <c r="AV13" s="36">
        <f>-NA_monthly!AV16+NA_monthly!AU16</f>
        <v>0</v>
      </c>
      <c r="AW13" s="36">
        <f>-NA_monthly!AW16+NA_monthly!AV16</f>
        <v>0</v>
      </c>
      <c r="AX13" s="36">
        <f>-NA_monthly!AX16+NA_monthly!AW16</f>
        <v>0</v>
      </c>
      <c r="AY13" s="36">
        <f>-NA_monthly!AY16+NA_monthly!AX16</f>
        <v>0</v>
      </c>
      <c r="AZ13" s="36">
        <f>-NA_monthly!AZ16+NA_monthly!AY16</f>
        <v>0</v>
      </c>
      <c r="BA13" s="36">
        <f>-NA_monthly!BA16+NA_monthly!AZ16</f>
        <v>943.19707999999991</v>
      </c>
      <c r="BB13" s="36">
        <f>-NA_monthly!BB16+NA_monthly!BA16</f>
        <v>2912.6865600000001</v>
      </c>
      <c r="BC13" s="36">
        <f>-NA_monthly!BC16+NA_monthly!BB16</f>
        <v>0</v>
      </c>
      <c r="BD13" s="36">
        <f>-NA_monthly!BD16+NA_monthly!BC16</f>
        <v>0</v>
      </c>
      <c r="BE13" s="36">
        <f>-NA_monthly!BE16+NA_monthly!BD16</f>
        <v>0</v>
      </c>
      <c r="BF13" s="36">
        <f>-NA_monthly!BF16+NA_monthly!BE16</f>
        <v>0</v>
      </c>
      <c r="BG13" s="36">
        <f>-NA_monthly!BG16+NA_monthly!BF16</f>
        <v>0</v>
      </c>
      <c r="BH13" s="36">
        <f>-NA_monthly!BH16+NA_monthly!BG16</f>
        <v>0</v>
      </c>
      <c r="BI13" s="36">
        <f>-NA_monthly!BI16+NA_monthly!BH16</f>
        <v>0</v>
      </c>
      <c r="BJ13" s="36">
        <f>-NA_monthly!BJ16+NA_monthly!BI16</f>
        <v>0</v>
      </c>
      <c r="BK13" s="36">
        <f>-NA_monthly!BK16+NA_monthly!BJ16</f>
        <v>0</v>
      </c>
      <c r="BL13" s="36">
        <f>-NA_monthly!BL16+NA_monthly!BK16</f>
        <v>0</v>
      </c>
      <c r="BM13" s="36">
        <f>-NA_monthly!BM16+NA_monthly!BL16</f>
        <v>0</v>
      </c>
      <c r="BN13" s="36">
        <f>-NA_monthly!BN16+NA_monthly!BM16</f>
        <v>0</v>
      </c>
      <c r="BO13" s="36">
        <f>-NA_monthly!BO16+NA_monthly!BN16</f>
        <v>0</v>
      </c>
      <c r="BP13" s="36">
        <f>-NA_monthly!BP16+NA_monthly!BO16</f>
        <v>0</v>
      </c>
      <c r="BQ13" s="36">
        <f>-NA_monthly!BQ16+NA_monthly!BP16</f>
        <v>0</v>
      </c>
      <c r="BR13" s="36">
        <f>-NA_monthly!BR16+NA_monthly!BQ16</f>
        <v>0</v>
      </c>
      <c r="BS13" s="36">
        <f>-NA_monthly!BS16+NA_monthly!BR16</f>
        <v>0</v>
      </c>
      <c r="BT13" s="36">
        <f>-NA_monthly!BT16+NA_monthly!BS16</f>
        <v>0</v>
      </c>
      <c r="BU13" s="36">
        <f>-NA_monthly!BU16+NA_monthly!BT16</f>
        <v>0</v>
      </c>
      <c r="BV13" s="36">
        <f>-NA_monthly!BV16+NA_monthly!BU16</f>
        <v>0</v>
      </c>
      <c r="BW13" s="36">
        <f>-NA_monthly!BW16+NA_monthly!BV16</f>
        <v>0</v>
      </c>
      <c r="BX13" s="36">
        <f>-NA_monthly!BX16+NA_monthly!BW16</f>
        <v>0</v>
      </c>
      <c r="BY13" s="36">
        <f>-NA_monthly!BY16+NA_monthly!BX16</f>
        <v>0</v>
      </c>
      <c r="BZ13" s="36">
        <f>-NA_monthly!BZ16+NA_monthly!BY16</f>
        <v>0</v>
      </c>
      <c r="CA13" s="36">
        <f>-NA_monthly!CA16+NA_monthly!BZ16</f>
        <v>0</v>
      </c>
      <c r="CB13" s="36">
        <f>-NA_monthly!CB16+NA_monthly!CA16</f>
        <v>0</v>
      </c>
      <c r="CC13" s="36">
        <f>-NA_monthly!CC16+NA_monthly!CB16</f>
        <v>0</v>
      </c>
      <c r="CD13" s="36">
        <f>-NA_monthly!CD16+NA_monthly!CC16</f>
        <v>0</v>
      </c>
      <c r="CE13" s="36">
        <f>-NA_monthly!CE16+NA_monthly!CD16</f>
        <v>0</v>
      </c>
      <c r="CF13" s="36">
        <f>-NA_monthly!CF16+NA_monthly!CE16</f>
        <v>0</v>
      </c>
      <c r="CG13" s="36">
        <f>-NA_monthly!CG16+NA_monthly!CF16</f>
        <v>0</v>
      </c>
      <c r="CH13" s="36">
        <f>-NA_monthly!CH16+NA_monthly!CG16</f>
        <v>0</v>
      </c>
      <c r="CI13" s="36">
        <f>-NA_monthly!CI16+NA_monthly!CH16</f>
        <v>0</v>
      </c>
      <c r="CJ13" s="36">
        <f>-NA_monthly!CJ16+NA_monthly!CI16</f>
        <v>0</v>
      </c>
      <c r="CK13" s="36">
        <f>-NA_monthly!CK16+NA_monthly!CJ16</f>
        <v>0</v>
      </c>
    </row>
    <row r="14" spans="3:92" ht="11.25" customHeight="1" x14ac:dyDescent="0.2">
      <c r="C14" s="37" t="str">
        <f>"∆ "&amp;'Lead NA'!C17</f>
        <v>∆ Forderungen aus LuL</v>
      </c>
      <c r="D14" s="37" t="str">
        <f>"∆ "&amp;'Lead NA'!D17</f>
        <v>∆ Trade receivables</v>
      </c>
      <c r="E14" s="96"/>
      <c r="F14" s="96"/>
      <c r="G14" s="36">
        <f>-NA_monthly!G17+NA_monthly!F17</f>
        <v>0</v>
      </c>
      <c r="H14" s="36">
        <f>-NA_monthly!H17+NA_monthly!G17</f>
        <v>0</v>
      </c>
      <c r="I14" s="36">
        <f>-NA_monthly!I17+NA_monthly!H17</f>
        <v>0</v>
      </c>
      <c r="J14" s="36">
        <f>-NA_monthly!J17+NA_monthly!I17</f>
        <v>0</v>
      </c>
      <c r="K14" s="36">
        <f>-NA_monthly!K17+NA_monthly!J17</f>
        <v>0</v>
      </c>
      <c r="L14" s="36">
        <f>-NA_monthly!L17+NA_monthly!K17</f>
        <v>0</v>
      </c>
      <c r="M14" s="36">
        <f>-NA_monthly!M17+NA_monthly!L17</f>
        <v>0</v>
      </c>
      <c r="N14" s="36">
        <f>-NA_monthly!N17+NA_monthly!M17</f>
        <v>0</v>
      </c>
      <c r="O14" s="36">
        <f>-NA_monthly!O17+NA_monthly!N17</f>
        <v>0</v>
      </c>
      <c r="P14" s="36">
        <f>-NA_monthly!P17+NA_monthly!O17</f>
        <v>0</v>
      </c>
      <c r="Q14" s="36">
        <f>-NA_monthly!Q17+NA_monthly!P17</f>
        <v>-1780.65607</v>
      </c>
      <c r="R14" s="36">
        <f>-NA_monthly!R17+NA_monthly!Q17</f>
        <v>148.05550999999991</v>
      </c>
      <c r="S14" s="36">
        <f>-NA_monthly!S17+NA_monthly!R17</f>
        <v>-160.80203000000006</v>
      </c>
      <c r="T14" s="36">
        <f>-NA_monthly!T17+NA_monthly!S17</f>
        <v>42.299310000000105</v>
      </c>
      <c r="U14" s="36">
        <f>-NA_monthly!U17+NA_monthly!T17</f>
        <v>79.47151000000008</v>
      </c>
      <c r="V14" s="36">
        <f>-NA_monthly!V17+NA_monthly!U17</f>
        <v>32.185770000000048</v>
      </c>
      <c r="W14" s="36">
        <f>-NA_monthly!W17+NA_monthly!V17</f>
        <v>195.55140999999981</v>
      </c>
      <c r="X14" s="36">
        <f>-NA_monthly!X17+NA_monthly!W17</f>
        <v>95.459350000000086</v>
      </c>
      <c r="Y14" s="36">
        <f>-NA_monthly!Y17+NA_monthly!X17</f>
        <v>-397.46354999999994</v>
      </c>
      <c r="Z14" s="36">
        <f>-NA_monthly!Z17+NA_monthly!Y17</f>
        <v>-21.283390000000054</v>
      </c>
      <c r="AA14" s="36">
        <f>-NA_monthly!AA17+NA_monthly!Z17</f>
        <v>50.866530000000012</v>
      </c>
      <c r="AB14" s="36">
        <f>-NA_monthly!AB17+NA_monthly!AA17</f>
        <v>-414.83674000000019</v>
      </c>
      <c r="AC14" s="36">
        <f>-NA_monthly!AC17+NA_monthly!AB17</f>
        <v>544.78460000000018</v>
      </c>
      <c r="AD14" s="36">
        <f>-NA_monthly!AD17+NA_monthly!AC17</f>
        <v>-19.606919999999946</v>
      </c>
      <c r="AE14" s="36">
        <f>-NA_monthly!AE17+NA_monthly!AD17</f>
        <v>-68.973259999999982</v>
      </c>
      <c r="AF14" s="36">
        <f>-NA_monthly!AF17+NA_monthly!AE17</f>
        <v>-128.8752199999999</v>
      </c>
      <c r="AG14" s="36">
        <f>-NA_monthly!AG17+NA_monthly!AF17</f>
        <v>-13.808930000000373</v>
      </c>
      <c r="AH14" s="36">
        <f>-NA_monthly!AH17+NA_monthly!AG17</f>
        <v>178.67556000000013</v>
      </c>
      <c r="AI14" s="36">
        <f>-NA_monthly!AI17+NA_monthly!AH17</f>
        <v>86.048400000000129</v>
      </c>
      <c r="AJ14" s="36">
        <f>-NA_monthly!AJ17+NA_monthly!AI17</f>
        <v>214.28421000000003</v>
      </c>
      <c r="AK14" s="36">
        <f>-NA_monthly!AK17+NA_monthly!AJ17</f>
        <v>4.8956199999997807</v>
      </c>
      <c r="AL14" s="36">
        <f>-NA_monthly!AL17+NA_monthly!AK17</f>
        <v>-265.05740999999989</v>
      </c>
      <c r="AM14" s="36">
        <f>-NA_monthly!AM17+NA_monthly!AL17</f>
        <v>66.931770000000142</v>
      </c>
      <c r="AN14" s="36">
        <f>-NA_monthly!AN17+NA_monthly!AM17</f>
        <v>176.99524999999994</v>
      </c>
      <c r="AO14" s="36">
        <f>-NA_monthly!AO17+NA_monthly!AN17</f>
        <v>-633.94264000000021</v>
      </c>
      <c r="AP14" s="36">
        <f>-NA_monthly!AP17+NA_monthly!AO17</f>
        <v>411.36900000000014</v>
      </c>
      <c r="AQ14" s="36">
        <f>-NA_monthly!AQ17+NA_monthly!AP17</f>
        <v>-274.93236000000002</v>
      </c>
      <c r="AR14" s="36">
        <f>-NA_monthly!AR17+NA_monthly!AQ17</f>
        <v>116.53467000000001</v>
      </c>
      <c r="AS14" s="36">
        <f>-NA_monthly!AS17+NA_monthly!AR17</f>
        <v>-18.548599999999851</v>
      </c>
      <c r="AT14" s="36">
        <f>-NA_monthly!AT17+NA_monthly!AS17</f>
        <v>-257.06930000000011</v>
      </c>
      <c r="AU14" s="36">
        <f>-NA_monthly!AU17+NA_monthly!AT17</f>
        <v>34.638950000000023</v>
      </c>
      <c r="AV14" s="36">
        <f>-NA_monthly!AV17+NA_monthly!AU17</f>
        <v>544.32018999999991</v>
      </c>
      <c r="AW14" s="36">
        <f>-NA_monthly!AW17+NA_monthly!AV17</f>
        <v>-463.96447999999987</v>
      </c>
      <c r="AX14" s="36">
        <f>-NA_monthly!AX17+NA_monthly!AW17</f>
        <v>237.11266000000001</v>
      </c>
      <c r="AY14" s="36">
        <f>-NA_monthly!AY17+NA_monthly!AX17</f>
        <v>50.010639999999967</v>
      </c>
      <c r="AZ14" s="36">
        <f>-NA_monthly!AZ17+NA_monthly!AY17</f>
        <v>26.355159999999842</v>
      </c>
      <c r="BA14" s="36">
        <f>-NA_monthly!BA17+NA_monthly!AZ17</f>
        <v>167.32062000000019</v>
      </c>
      <c r="BB14" s="36">
        <f>-NA_monthly!BB17+NA_monthly!BA17</f>
        <v>1415.6542099999999</v>
      </c>
      <c r="BC14" s="36">
        <f>-NA_monthly!BC17+NA_monthly!BB17</f>
        <v>0</v>
      </c>
      <c r="BD14" s="36">
        <f>-NA_monthly!BD17+NA_monthly!BC17</f>
        <v>0</v>
      </c>
      <c r="BE14" s="36">
        <f>-NA_monthly!BE17+NA_monthly!BD17</f>
        <v>0</v>
      </c>
      <c r="BF14" s="36">
        <f>-NA_monthly!BF17+NA_monthly!BE17</f>
        <v>0</v>
      </c>
      <c r="BG14" s="36">
        <f>-NA_monthly!BG17+NA_monthly!BF17</f>
        <v>0</v>
      </c>
      <c r="BH14" s="36">
        <f>-NA_monthly!BH17+NA_monthly!BG17</f>
        <v>0</v>
      </c>
      <c r="BI14" s="36">
        <f>-NA_monthly!BI17+NA_monthly!BH17</f>
        <v>0</v>
      </c>
      <c r="BJ14" s="36">
        <f>-NA_monthly!BJ17+NA_monthly!BI17</f>
        <v>0</v>
      </c>
      <c r="BK14" s="36">
        <f>-NA_monthly!BK17+NA_monthly!BJ17</f>
        <v>0</v>
      </c>
      <c r="BL14" s="36">
        <f>-NA_monthly!BL17+NA_monthly!BK17</f>
        <v>0</v>
      </c>
      <c r="BM14" s="36">
        <f>-NA_monthly!BM17+NA_monthly!BL17</f>
        <v>0</v>
      </c>
      <c r="BN14" s="36">
        <f>-NA_monthly!BN17+NA_monthly!BM17</f>
        <v>0</v>
      </c>
      <c r="BO14" s="36">
        <f>-NA_monthly!BO17+NA_monthly!BN17</f>
        <v>0</v>
      </c>
      <c r="BP14" s="36">
        <f>-NA_monthly!BP17+NA_monthly!BO17</f>
        <v>0</v>
      </c>
      <c r="BQ14" s="36">
        <f>-NA_monthly!BQ17+NA_monthly!BP17</f>
        <v>0</v>
      </c>
      <c r="BR14" s="36">
        <f>-NA_monthly!BR17+NA_monthly!BQ17</f>
        <v>0</v>
      </c>
      <c r="BS14" s="36">
        <f>-NA_monthly!BS17+NA_monthly!BR17</f>
        <v>0</v>
      </c>
      <c r="BT14" s="36">
        <f>-NA_monthly!BT17+NA_monthly!BS17</f>
        <v>0</v>
      </c>
      <c r="BU14" s="36">
        <f>-NA_monthly!BU17+NA_monthly!BT17</f>
        <v>0</v>
      </c>
      <c r="BV14" s="36">
        <f>-NA_monthly!BV17+NA_monthly!BU17</f>
        <v>0</v>
      </c>
      <c r="BW14" s="36">
        <f>-NA_monthly!BW17+NA_monthly!BV17</f>
        <v>0</v>
      </c>
      <c r="BX14" s="36">
        <f>-NA_monthly!BX17+NA_monthly!BW17</f>
        <v>0</v>
      </c>
      <c r="BY14" s="36">
        <f>-NA_monthly!BY17+NA_monthly!BX17</f>
        <v>0</v>
      </c>
      <c r="BZ14" s="36">
        <f>-NA_monthly!BZ17+NA_monthly!BY17</f>
        <v>0</v>
      </c>
      <c r="CA14" s="36">
        <f>-NA_monthly!CA17+NA_monthly!BZ17</f>
        <v>0</v>
      </c>
      <c r="CB14" s="36">
        <f>-NA_monthly!CB17+NA_monthly!CA17</f>
        <v>0</v>
      </c>
      <c r="CC14" s="36">
        <f>-NA_monthly!CC17+NA_monthly!CB17</f>
        <v>0</v>
      </c>
      <c r="CD14" s="36">
        <f>-NA_monthly!CD17+NA_monthly!CC17</f>
        <v>0</v>
      </c>
      <c r="CE14" s="36">
        <f>-NA_monthly!CE17+NA_monthly!CD17</f>
        <v>0</v>
      </c>
      <c r="CF14" s="36">
        <f>-NA_monthly!CF17+NA_monthly!CE17</f>
        <v>0</v>
      </c>
      <c r="CG14" s="36">
        <f>-NA_monthly!CG17+NA_monthly!CF17</f>
        <v>0</v>
      </c>
      <c r="CH14" s="36">
        <f>-NA_monthly!CH17+NA_monthly!CG17</f>
        <v>0</v>
      </c>
      <c r="CI14" s="36">
        <f>-NA_monthly!CI17+NA_monthly!CH17</f>
        <v>0</v>
      </c>
      <c r="CJ14" s="36">
        <f>-NA_monthly!CJ17+NA_monthly!CI17</f>
        <v>0</v>
      </c>
      <c r="CK14" s="36">
        <f>-NA_monthly!CK17+NA_monthly!CJ17</f>
        <v>0</v>
      </c>
    </row>
    <row r="15" spans="3:92" ht="11.25" customHeight="1" x14ac:dyDescent="0.2">
      <c r="C15" s="37" t="str">
        <f>"∆ "&amp;'Lead NA'!C18</f>
        <v>∆ Verbindlichkeiten aus LuL</v>
      </c>
      <c r="D15" s="37" t="str">
        <f>"∆ "&amp;'Lead NA'!D18</f>
        <v>∆ Trade payables</v>
      </c>
      <c r="E15" s="96"/>
      <c r="F15" s="96"/>
      <c r="G15" s="36">
        <f>-NA_monthly!G18+NA_monthly!F18</f>
        <v>0</v>
      </c>
      <c r="H15" s="36">
        <f>-NA_monthly!H18+NA_monthly!G18</f>
        <v>0</v>
      </c>
      <c r="I15" s="36">
        <f>-NA_monthly!I18+NA_monthly!H18</f>
        <v>0</v>
      </c>
      <c r="J15" s="36">
        <f>-NA_monthly!J18+NA_monthly!I18</f>
        <v>0</v>
      </c>
      <c r="K15" s="36">
        <f>-NA_monthly!K18+NA_monthly!J18</f>
        <v>0</v>
      </c>
      <c r="L15" s="36">
        <f>-NA_monthly!L18+NA_monthly!K18</f>
        <v>0</v>
      </c>
      <c r="M15" s="36">
        <f>-NA_monthly!M18+NA_monthly!L18</f>
        <v>0</v>
      </c>
      <c r="N15" s="36">
        <f>-NA_monthly!N18+NA_monthly!M18</f>
        <v>0</v>
      </c>
      <c r="O15" s="36">
        <f>-NA_monthly!O18+NA_monthly!N18</f>
        <v>0</v>
      </c>
      <c r="P15" s="36">
        <f>-NA_monthly!P18+NA_monthly!O18</f>
        <v>0</v>
      </c>
      <c r="Q15" s="36">
        <f>-NA_monthly!Q18+NA_monthly!P18</f>
        <v>752.85966000000008</v>
      </c>
      <c r="R15" s="36">
        <f>-NA_monthly!R18+NA_monthly!Q18</f>
        <v>-32.656410000000051</v>
      </c>
      <c r="S15" s="36">
        <f>-NA_monthly!S18+NA_monthly!R18</f>
        <v>198.73240999999996</v>
      </c>
      <c r="T15" s="36">
        <f>-NA_monthly!T18+NA_monthly!S18</f>
        <v>360.16059000000007</v>
      </c>
      <c r="U15" s="36">
        <f>-NA_monthly!U18+NA_monthly!T18</f>
        <v>-376.17939000000001</v>
      </c>
      <c r="V15" s="36">
        <f>-NA_monthly!V18+NA_monthly!U18</f>
        <v>-46.89058</v>
      </c>
      <c r="W15" s="36">
        <f>-NA_monthly!W18+NA_monthly!V18</f>
        <v>-8.6100300000000516</v>
      </c>
      <c r="X15" s="36">
        <f>-NA_monthly!X18+NA_monthly!W18</f>
        <v>-175.19916999999998</v>
      </c>
      <c r="Y15" s="36">
        <f>-NA_monthly!Y18+NA_monthly!X18</f>
        <v>-110.5329999999999</v>
      </c>
      <c r="Z15" s="36">
        <f>-NA_monthly!Z18+NA_monthly!Y18</f>
        <v>293.26284999999996</v>
      </c>
      <c r="AA15" s="36">
        <f>-NA_monthly!AA18+NA_monthly!Z18</f>
        <v>-203.96549000000016</v>
      </c>
      <c r="AB15" s="36">
        <f>-NA_monthly!AB18+NA_monthly!AA18</f>
        <v>15.497140000000059</v>
      </c>
      <c r="AC15" s="36">
        <f>-NA_monthly!AC18+NA_monthly!AB18</f>
        <v>231.80498000000011</v>
      </c>
      <c r="AD15" s="36">
        <f>-NA_monthly!AD18+NA_monthly!AC18</f>
        <v>73.245649999999841</v>
      </c>
      <c r="AE15" s="36">
        <f>-NA_monthly!AE18+NA_monthly!AD18</f>
        <v>-365.56837999999993</v>
      </c>
      <c r="AF15" s="36">
        <f>-NA_monthly!AF18+NA_monthly!AE18</f>
        <v>-10.938470000000052</v>
      </c>
      <c r="AG15" s="36">
        <f>-NA_monthly!AG18+NA_monthly!AF18</f>
        <v>202.89224000000002</v>
      </c>
      <c r="AH15" s="36">
        <f>-NA_monthly!AH18+NA_monthly!AG18</f>
        <v>147.53249000000005</v>
      </c>
      <c r="AI15" s="36">
        <f>-NA_monthly!AI18+NA_monthly!AH18</f>
        <v>-72.493370000000027</v>
      </c>
      <c r="AJ15" s="36">
        <f>-NA_monthly!AJ18+NA_monthly!AI18</f>
        <v>739.48459000000003</v>
      </c>
      <c r="AK15" s="36">
        <f>-NA_monthly!AK18+NA_monthly!AJ18</f>
        <v>-452.07366999999999</v>
      </c>
      <c r="AL15" s="36">
        <f>-NA_monthly!AL18+NA_monthly!AK18</f>
        <v>166.70798999999988</v>
      </c>
      <c r="AM15" s="36">
        <f>-NA_monthly!AM18+NA_monthly!AL18</f>
        <v>-627.83440999999993</v>
      </c>
      <c r="AN15" s="36">
        <f>-NA_monthly!AN18+NA_monthly!AM18</f>
        <v>67.777249999999981</v>
      </c>
      <c r="AO15" s="36">
        <f>-NA_monthly!AO18+NA_monthly!AN18</f>
        <v>503.42254000000014</v>
      </c>
      <c r="AP15" s="36">
        <f>-NA_monthly!AP18+NA_monthly!AO18</f>
        <v>-150.14998000000014</v>
      </c>
      <c r="AQ15" s="36">
        <f>-NA_monthly!AQ18+NA_monthly!AP18</f>
        <v>-1.4523300000000745</v>
      </c>
      <c r="AR15" s="36">
        <f>-NA_monthly!AR18+NA_monthly!AQ18</f>
        <v>-280.45942999999988</v>
      </c>
      <c r="AS15" s="36">
        <f>-NA_monthly!AS18+NA_monthly!AR18</f>
        <v>-7.4489899999999807</v>
      </c>
      <c r="AT15" s="36">
        <f>-NA_monthly!AT18+NA_monthly!AS18</f>
        <v>14.139689999999973</v>
      </c>
      <c r="AU15" s="36">
        <f>-NA_monthly!AU18+NA_monthly!AT18</f>
        <v>-419.71616999999998</v>
      </c>
      <c r="AV15" s="36">
        <f>-NA_monthly!AV18+NA_monthly!AU18</f>
        <v>173.31850000000003</v>
      </c>
      <c r="AW15" s="36">
        <f>-NA_monthly!AW18+NA_monthly!AV18</f>
        <v>-54.190799999999967</v>
      </c>
      <c r="AX15" s="36">
        <f>-NA_monthly!AX18+NA_monthly!AW18</f>
        <v>-162.55561000000006</v>
      </c>
      <c r="AY15" s="36">
        <f>-NA_monthly!AY18+NA_monthly!AX18</f>
        <v>-120.68639000000002</v>
      </c>
      <c r="AZ15" s="36">
        <f>-NA_monthly!AZ18+NA_monthly!AY18</f>
        <v>374.43481000000008</v>
      </c>
      <c r="BA15" s="36">
        <f>-NA_monthly!BA18+NA_monthly!AZ18</f>
        <v>-573.12657000000002</v>
      </c>
      <c r="BB15" s="36">
        <f>-NA_monthly!BB18+NA_monthly!BA18</f>
        <v>-62.544739999999997</v>
      </c>
      <c r="BC15" s="36">
        <f>-NA_monthly!BC18+NA_monthly!BB18</f>
        <v>0</v>
      </c>
      <c r="BD15" s="36">
        <f>-NA_monthly!BD18+NA_monthly!BC18</f>
        <v>0</v>
      </c>
      <c r="BE15" s="36">
        <f>-NA_monthly!BE18+NA_monthly!BD18</f>
        <v>0</v>
      </c>
      <c r="BF15" s="36">
        <f>-NA_monthly!BF18+NA_monthly!BE18</f>
        <v>0</v>
      </c>
      <c r="BG15" s="36">
        <f>-NA_monthly!BG18+NA_monthly!BF18</f>
        <v>0</v>
      </c>
      <c r="BH15" s="36">
        <f>-NA_monthly!BH18+NA_monthly!BG18</f>
        <v>0</v>
      </c>
      <c r="BI15" s="36">
        <f>-NA_monthly!BI18+NA_monthly!BH18</f>
        <v>0</v>
      </c>
      <c r="BJ15" s="36">
        <f>-NA_monthly!BJ18+NA_monthly!BI18</f>
        <v>0</v>
      </c>
      <c r="BK15" s="36">
        <f>-NA_monthly!BK18+NA_monthly!BJ18</f>
        <v>0</v>
      </c>
      <c r="BL15" s="36">
        <f>-NA_monthly!BL18+NA_monthly!BK18</f>
        <v>0</v>
      </c>
      <c r="BM15" s="36">
        <f>-NA_monthly!BM18+NA_monthly!BL18</f>
        <v>0</v>
      </c>
      <c r="BN15" s="36">
        <f>-NA_monthly!BN18+NA_monthly!BM18</f>
        <v>0</v>
      </c>
      <c r="BO15" s="36">
        <f>-NA_monthly!BO18+NA_monthly!BN18</f>
        <v>0</v>
      </c>
      <c r="BP15" s="36">
        <f>-NA_monthly!BP18+NA_monthly!BO18</f>
        <v>0</v>
      </c>
      <c r="BQ15" s="36">
        <f>-NA_monthly!BQ18+NA_monthly!BP18</f>
        <v>0</v>
      </c>
      <c r="BR15" s="36">
        <f>-NA_monthly!BR18+NA_monthly!BQ18</f>
        <v>0</v>
      </c>
      <c r="BS15" s="36">
        <f>-NA_monthly!BS18+NA_monthly!BR18</f>
        <v>0</v>
      </c>
      <c r="BT15" s="36">
        <f>-NA_monthly!BT18+NA_monthly!BS18</f>
        <v>0</v>
      </c>
      <c r="BU15" s="36">
        <f>-NA_monthly!BU18+NA_monthly!BT18</f>
        <v>0</v>
      </c>
      <c r="BV15" s="36">
        <f>-NA_monthly!BV18+NA_monthly!BU18</f>
        <v>0</v>
      </c>
      <c r="BW15" s="36">
        <f>-NA_monthly!BW18+NA_monthly!BV18</f>
        <v>0</v>
      </c>
      <c r="BX15" s="36">
        <f>-NA_monthly!BX18+NA_monthly!BW18</f>
        <v>0</v>
      </c>
      <c r="BY15" s="36">
        <f>-NA_monthly!BY18+NA_monthly!BX18</f>
        <v>0</v>
      </c>
      <c r="BZ15" s="36">
        <f>-NA_monthly!BZ18+NA_monthly!BY18</f>
        <v>0</v>
      </c>
      <c r="CA15" s="36">
        <f>-NA_monthly!CA18+NA_monthly!BZ18</f>
        <v>0</v>
      </c>
      <c r="CB15" s="36">
        <f>-NA_monthly!CB18+NA_monthly!CA18</f>
        <v>0</v>
      </c>
      <c r="CC15" s="36">
        <f>-NA_monthly!CC18+NA_monthly!CB18</f>
        <v>0</v>
      </c>
      <c r="CD15" s="36">
        <f>-NA_monthly!CD18+NA_monthly!CC18</f>
        <v>0</v>
      </c>
      <c r="CE15" s="36">
        <f>-NA_monthly!CE18+NA_monthly!CD18</f>
        <v>0</v>
      </c>
      <c r="CF15" s="36">
        <f>-NA_monthly!CF18+NA_monthly!CE18</f>
        <v>0</v>
      </c>
      <c r="CG15" s="36">
        <f>-NA_monthly!CG18+NA_monthly!CF18</f>
        <v>0</v>
      </c>
      <c r="CH15" s="36">
        <f>-NA_monthly!CH18+NA_monthly!CG18</f>
        <v>0</v>
      </c>
      <c r="CI15" s="36">
        <f>-NA_monthly!CI18+NA_monthly!CH18</f>
        <v>0</v>
      </c>
      <c r="CJ15" s="36">
        <f>-NA_monthly!CJ18+NA_monthly!CI18</f>
        <v>0</v>
      </c>
      <c r="CK15" s="36">
        <f>-NA_monthly!CK18+NA_monthly!CJ18</f>
        <v>0</v>
      </c>
    </row>
    <row r="16" spans="3:92" ht="11.25" customHeight="1" x14ac:dyDescent="0.2">
      <c r="C16" s="37" t="str">
        <f>"∆ "&amp;'Lead NA'!C19</f>
        <v>∆ Erhaltene Anzahlungen</v>
      </c>
      <c r="D16" s="37" t="str">
        <f>"∆ "&amp;'Lead NA'!D19</f>
        <v>∆ Advance payments received</v>
      </c>
      <c r="E16" s="96"/>
      <c r="F16" s="96"/>
      <c r="G16" s="36">
        <f>-NA_monthly!G19+NA_monthly!F19</f>
        <v>0</v>
      </c>
      <c r="H16" s="36">
        <f>-NA_monthly!H19+NA_monthly!G19</f>
        <v>0</v>
      </c>
      <c r="I16" s="36">
        <f>-NA_monthly!I19+NA_monthly!H19</f>
        <v>0</v>
      </c>
      <c r="J16" s="36">
        <f>-NA_monthly!J19+NA_monthly!I19</f>
        <v>0</v>
      </c>
      <c r="K16" s="36">
        <f>-NA_monthly!K19+NA_monthly!J19</f>
        <v>0</v>
      </c>
      <c r="L16" s="36">
        <f>-NA_monthly!L19+NA_monthly!K19</f>
        <v>0</v>
      </c>
      <c r="M16" s="36">
        <f>-NA_monthly!M19+NA_monthly!L19</f>
        <v>0</v>
      </c>
      <c r="N16" s="36">
        <f>-NA_monthly!N19+NA_monthly!M19</f>
        <v>0</v>
      </c>
      <c r="O16" s="36">
        <f>-NA_monthly!O19+NA_monthly!N19</f>
        <v>0</v>
      </c>
      <c r="P16" s="36">
        <f>-NA_monthly!P19+NA_monthly!O19</f>
        <v>0</v>
      </c>
      <c r="Q16" s="36">
        <f>-NA_monthly!Q19+NA_monthly!P19</f>
        <v>50</v>
      </c>
      <c r="R16" s="36">
        <f>-NA_monthly!R19+NA_monthly!Q19</f>
        <v>0</v>
      </c>
      <c r="S16" s="36">
        <f>-NA_monthly!S19+NA_monthly!R19</f>
        <v>0</v>
      </c>
      <c r="T16" s="36">
        <f>-NA_monthly!T19+NA_monthly!S19</f>
        <v>0</v>
      </c>
      <c r="U16" s="36">
        <f>-NA_monthly!U19+NA_monthly!T19</f>
        <v>0</v>
      </c>
      <c r="V16" s="36">
        <f>-NA_monthly!V19+NA_monthly!U19</f>
        <v>0</v>
      </c>
      <c r="W16" s="36">
        <f>-NA_monthly!W19+NA_monthly!V19</f>
        <v>0</v>
      </c>
      <c r="X16" s="36">
        <f>-NA_monthly!X19+NA_monthly!W19</f>
        <v>0</v>
      </c>
      <c r="Y16" s="36">
        <f>-NA_monthly!Y19+NA_monthly!X19</f>
        <v>0</v>
      </c>
      <c r="Z16" s="36">
        <f>-NA_monthly!Z19+NA_monthly!Y19</f>
        <v>0</v>
      </c>
      <c r="AA16" s="36">
        <f>-NA_monthly!AA19+NA_monthly!Z19</f>
        <v>0</v>
      </c>
      <c r="AB16" s="36">
        <f>-NA_monthly!AB19+NA_monthly!AA19</f>
        <v>0</v>
      </c>
      <c r="AC16" s="36">
        <f>-NA_monthly!AC19+NA_monthly!AB19</f>
        <v>0</v>
      </c>
      <c r="AD16" s="36">
        <f>-NA_monthly!AD19+NA_monthly!AC19</f>
        <v>0</v>
      </c>
      <c r="AE16" s="36">
        <f>-NA_monthly!AE19+NA_monthly!AD19</f>
        <v>0</v>
      </c>
      <c r="AF16" s="36">
        <f>-NA_monthly!AF19+NA_monthly!AE19</f>
        <v>0</v>
      </c>
      <c r="AG16" s="36">
        <f>-NA_monthly!AG19+NA_monthly!AF19</f>
        <v>0</v>
      </c>
      <c r="AH16" s="36">
        <f>-NA_monthly!AH19+NA_monthly!AG19</f>
        <v>0</v>
      </c>
      <c r="AI16" s="36">
        <f>-NA_monthly!AI19+NA_monthly!AH19</f>
        <v>0</v>
      </c>
      <c r="AJ16" s="36">
        <f>-NA_monthly!AJ19+NA_monthly!AI19</f>
        <v>0</v>
      </c>
      <c r="AK16" s="36">
        <f>-NA_monthly!AK19+NA_monthly!AJ19</f>
        <v>0</v>
      </c>
      <c r="AL16" s="36">
        <f>-NA_monthly!AL19+NA_monthly!AK19</f>
        <v>0</v>
      </c>
      <c r="AM16" s="36">
        <f>-NA_monthly!AM19+NA_monthly!AL19</f>
        <v>0</v>
      </c>
      <c r="AN16" s="36">
        <f>-NA_monthly!AN19+NA_monthly!AM19</f>
        <v>0</v>
      </c>
      <c r="AO16" s="36">
        <f>-NA_monthly!AO19+NA_monthly!AN19</f>
        <v>0</v>
      </c>
      <c r="AP16" s="36">
        <f>-NA_monthly!AP19+NA_monthly!AO19</f>
        <v>0</v>
      </c>
      <c r="AQ16" s="36">
        <f>-NA_monthly!AQ19+NA_monthly!AP19</f>
        <v>0</v>
      </c>
      <c r="AR16" s="36">
        <f>-NA_monthly!AR19+NA_monthly!AQ19</f>
        <v>0</v>
      </c>
      <c r="AS16" s="36">
        <f>-NA_monthly!AS19+NA_monthly!AR19</f>
        <v>-50</v>
      </c>
      <c r="AT16" s="36">
        <f>-NA_monthly!AT19+NA_monthly!AS19</f>
        <v>0</v>
      </c>
      <c r="AU16" s="36">
        <f>-NA_monthly!AU19+NA_monthly!AT19</f>
        <v>0</v>
      </c>
      <c r="AV16" s="36">
        <f>-NA_monthly!AV19+NA_monthly!AU19</f>
        <v>0</v>
      </c>
      <c r="AW16" s="36">
        <f>-NA_monthly!AW19+NA_monthly!AV19</f>
        <v>0</v>
      </c>
      <c r="AX16" s="36">
        <f>-NA_monthly!AX19+NA_monthly!AW19</f>
        <v>0</v>
      </c>
      <c r="AY16" s="36">
        <f>-NA_monthly!AY19+NA_monthly!AX19</f>
        <v>0</v>
      </c>
      <c r="AZ16" s="36">
        <f>-NA_monthly!AZ19+NA_monthly!AY19</f>
        <v>0</v>
      </c>
      <c r="BA16" s="36">
        <f>-NA_monthly!BA19+NA_monthly!AZ19</f>
        <v>0</v>
      </c>
      <c r="BB16" s="36">
        <f>-NA_monthly!BB19+NA_monthly!BA19</f>
        <v>0</v>
      </c>
      <c r="BC16" s="36">
        <f>-NA_monthly!BC19+NA_monthly!BB19</f>
        <v>0</v>
      </c>
      <c r="BD16" s="36">
        <f>-NA_monthly!BD19+NA_monthly!BC19</f>
        <v>0</v>
      </c>
      <c r="BE16" s="36">
        <f>-NA_monthly!BE19+NA_monthly!BD19</f>
        <v>0</v>
      </c>
      <c r="BF16" s="36">
        <f>-NA_monthly!BF19+NA_monthly!BE19</f>
        <v>0</v>
      </c>
      <c r="BG16" s="36">
        <f>-NA_monthly!BG19+NA_monthly!BF19</f>
        <v>0</v>
      </c>
      <c r="BH16" s="36">
        <f>-NA_monthly!BH19+NA_monthly!BG19</f>
        <v>0</v>
      </c>
      <c r="BI16" s="36">
        <f>-NA_monthly!BI19+NA_monthly!BH19</f>
        <v>0</v>
      </c>
      <c r="BJ16" s="36">
        <f>-NA_monthly!BJ19+NA_monthly!BI19</f>
        <v>0</v>
      </c>
      <c r="BK16" s="36">
        <f>-NA_monthly!BK19+NA_monthly!BJ19</f>
        <v>0</v>
      </c>
      <c r="BL16" s="36">
        <f>-NA_monthly!BL19+NA_monthly!BK19</f>
        <v>0</v>
      </c>
      <c r="BM16" s="36">
        <f>-NA_monthly!BM19+NA_monthly!BL19</f>
        <v>0</v>
      </c>
      <c r="BN16" s="36">
        <f>-NA_monthly!BN19+NA_monthly!BM19</f>
        <v>0</v>
      </c>
      <c r="BO16" s="36">
        <f>-NA_monthly!BO19+NA_monthly!BN19</f>
        <v>0</v>
      </c>
      <c r="BP16" s="36">
        <f>-NA_monthly!BP19+NA_monthly!BO19</f>
        <v>0</v>
      </c>
      <c r="BQ16" s="36">
        <f>-NA_monthly!BQ19+NA_monthly!BP19</f>
        <v>0</v>
      </c>
      <c r="BR16" s="36">
        <f>-NA_monthly!BR19+NA_monthly!BQ19</f>
        <v>0</v>
      </c>
      <c r="BS16" s="36">
        <f>-NA_monthly!BS19+NA_monthly!BR19</f>
        <v>0</v>
      </c>
      <c r="BT16" s="36">
        <f>-NA_monthly!BT19+NA_monthly!BS19</f>
        <v>0</v>
      </c>
      <c r="BU16" s="36">
        <f>-NA_monthly!BU19+NA_monthly!BT19</f>
        <v>0</v>
      </c>
      <c r="BV16" s="36">
        <f>-NA_monthly!BV19+NA_monthly!BU19</f>
        <v>0</v>
      </c>
      <c r="BW16" s="36">
        <f>-NA_monthly!BW19+NA_monthly!BV19</f>
        <v>0</v>
      </c>
      <c r="BX16" s="36">
        <f>-NA_monthly!BX19+NA_monthly!BW19</f>
        <v>0</v>
      </c>
      <c r="BY16" s="36">
        <f>-NA_monthly!BY19+NA_monthly!BX19</f>
        <v>0</v>
      </c>
      <c r="BZ16" s="36">
        <f>-NA_monthly!BZ19+NA_monthly!BY19</f>
        <v>0</v>
      </c>
      <c r="CA16" s="36">
        <f>-NA_monthly!CA19+NA_monthly!BZ19</f>
        <v>0</v>
      </c>
      <c r="CB16" s="36">
        <f>-NA_monthly!CB19+NA_monthly!CA19</f>
        <v>0</v>
      </c>
      <c r="CC16" s="36">
        <f>-NA_monthly!CC19+NA_monthly!CB19</f>
        <v>0</v>
      </c>
      <c r="CD16" s="36">
        <f>-NA_monthly!CD19+NA_monthly!CC19</f>
        <v>0</v>
      </c>
      <c r="CE16" s="36">
        <f>-NA_monthly!CE19+NA_monthly!CD19</f>
        <v>0</v>
      </c>
      <c r="CF16" s="36">
        <f>-NA_monthly!CF19+NA_monthly!CE19</f>
        <v>0</v>
      </c>
      <c r="CG16" s="36">
        <f>-NA_monthly!CG19+NA_monthly!CF19</f>
        <v>0</v>
      </c>
      <c r="CH16" s="36">
        <f>-NA_monthly!CH19+NA_monthly!CG19</f>
        <v>0</v>
      </c>
      <c r="CI16" s="36">
        <f>-NA_monthly!CI19+NA_monthly!CH19</f>
        <v>0</v>
      </c>
      <c r="CJ16" s="36">
        <f>-NA_monthly!CJ19+NA_monthly!CI19</f>
        <v>0</v>
      </c>
      <c r="CK16" s="36">
        <f>-NA_monthly!CK19+NA_monthly!CJ19</f>
        <v>0</v>
      </c>
    </row>
    <row r="17" spans="3:89" ht="11.25" customHeight="1" outlineLevel="2" x14ac:dyDescent="0.2">
      <c r="C17" s="37" t="str">
        <f>"∆ "&amp;'Lead NA'!C20</f>
        <v>∆ Dummy 1</v>
      </c>
      <c r="D17" s="37" t="str">
        <f>"∆ "&amp;'Lead NA'!D20</f>
        <v>∆ Dummy 1</v>
      </c>
      <c r="E17" s="96"/>
      <c r="F17" s="96"/>
      <c r="G17" s="36">
        <f>-NA_monthly!G20+NA_monthly!F20</f>
        <v>0</v>
      </c>
      <c r="H17" s="36">
        <f>-NA_monthly!H20+NA_monthly!G20</f>
        <v>0</v>
      </c>
      <c r="I17" s="36">
        <f>-NA_monthly!I20+NA_monthly!H20</f>
        <v>0</v>
      </c>
      <c r="J17" s="36">
        <f>-NA_monthly!J20+NA_monthly!I20</f>
        <v>0</v>
      </c>
      <c r="K17" s="36">
        <f>-NA_monthly!K20+NA_monthly!J20</f>
        <v>0</v>
      </c>
      <c r="L17" s="36">
        <f>-NA_monthly!L20+NA_monthly!K20</f>
        <v>0</v>
      </c>
      <c r="M17" s="36">
        <f>-NA_monthly!M20+NA_monthly!L20</f>
        <v>0</v>
      </c>
      <c r="N17" s="36">
        <f>-NA_monthly!N20+NA_monthly!M20</f>
        <v>0</v>
      </c>
      <c r="O17" s="36">
        <f>-NA_monthly!O20+NA_monthly!N20</f>
        <v>0</v>
      </c>
      <c r="P17" s="36">
        <f>-NA_monthly!P20+NA_monthly!O20</f>
        <v>0</v>
      </c>
      <c r="Q17" s="36">
        <f>-NA_monthly!Q20+NA_monthly!P20</f>
        <v>0</v>
      </c>
      <c r="R17" s="36">
        <f>-NA_monthly!R20+NA_monthly!Q20</f>
        <v>0</v>
      </c>
      <c r="S17" s="36">
        <f>-NA_monthly!S20+NA_monthly!R20</f>
        <v>0</v>
      </c>
      <c r="T17" s="36">
        <f>-NA_monthly!T20+NA_monthly!S20</f>
        <v>0</v>
      </c>
      <c r="U17" s="36">
        <f>-NA_monthly!U20+NA_monthly!T20</f>
        <v>0</v>
      </c>
      <c r="V17" s="36">
        <f>-NA_monthly!V20+NA_monthly!U20</f>
        <v>0</v>
      </c>
      <c r="W17" s="36">
        <f>-NA_monthly!W20+NA_monthly!V20</f>
        <v>0</v>
      </c>
      <c r="X17" s="36">
        <f>-NA_monthly!X20+NA_monthly!W20</f>
        <v>0</v>
      </c>
      <c r="Y17" s="36">
        <f>-NA_monthly!Y20+NA_monthly!X20</f>
        <v>0</v>
      </c>
      <c r="Z17" s="36">
        <f>-NA_monthly!Z20+NA_monthly!Y20</f>
        <v>0</v>
      </c>
      <c r="AA17" s="36">
        <f>-NA_monthly!AA20+NA_monthly!Z20</f>
        <v>0</v>
      </c>
      <c r="AB17" s="36">
        <f>-NA_monthly!AB20+NA_monthly!AA20</f>
        <v>0</v>
      </c>
      <c r="AC17" s="36">
        <f>-NA_monthly!AC20+NA_monthly!AB20</f>
        <v>0</v>
      </c>
      <c r="AD17" s="36">
        <f>-NA_monthly!AD20+NA_monthly!AC20</f>
        <v>0</v>
      </c>
      <c r="AE17" s="36">
        <f>-NA_monthly!AE20+NA_monthly!AD20</f>
        <v>0</v>
      </c>
      <c r="AF17" s="36">
        <f>-NA_monthly!AF20+NA_monthly!AE20</f>
        <v>0</v>
      </c>
      <c r="AG17" s="36">
        <f>-NA_monthly!AG20+NA_monthly!AF20</f>
        <v>0</v>
      </c>
      <c r="AH17" s="36">
        <f>-NA_monthly!AH20+NA_monthly!AG20</f>
        <v>0</v>
      </c>
      <c r="AI17" s="36">
        <f>-NA_monthly!AI20+NA_monthly!AH20</f>
        <v>0</v>
      </c>
      <c r="AJ17" s="36">
        <f>-NA_monthly!AJ20+NA_monthly!AI20</f>
        <v>0</v>
      </c>
      <c r="AK17" s="36">
        <f>-NA_monthly!AK20+NA_monthly!AJ20</f>
        <v>0</v>
      </c>
      <c r="AL17" s="36">
        <f>-NA_monthly!AL20+NA_monthly!AK20</f>
        <v>0</v>
      </c>
      <c r="AM17" s="36">
        <f>-NA_monthly!AM20+NA_monthly!AL20</f>
        <v>0</v>
      </c>
      <c r="AN17" s="36">
        <f>-NA_monthly!AN20+NA_monthly!AM20</f>
        <v>0</v>
      </c>
      <c r="AO17" s="36">
        <f>-NA_monthly!AO20+NA_monthly!AN20</f>
        <v>0</v>
      </c>
      <c r="AP17" s="36">
        <f>-NA_monthly!AP20+NA_monthly!AO20</f>
        <v>0</v>
      </c>
      <c r="AQ17" s="36">
        <f>-NA_monthly!AQ20+NA_monthly!AP20</f>
        <v>0</v>
      </c>
      <c r="AR17" s="36">
        <f>-NA_monthly!AR20+NA_monthly!AQ20</f>
        <v>0</v>
      </c>
      <c r="AS17" s="36">
        <f>-NA_monthly!AS20+NA_monthly!AR20</f>
        <v>0</v>
      </c>
      <c r="AT17" s="36">
        <f>-NA_monthly!AT20+NA_monthly!AS20</f>
        <v>0</v>
      </c>
      <c r="AU17" s="36">
        <f>-NA_monthly!AU20+NA_monthly!AT20</f>
        <v>0</v>
      </c>
      <c r="AV17" s="36">
        <f>-NA_monthly!AV20+NA_monthly!AU20</f>
        <v>0</v>
      </c>
      <c r="AW17" s="36">
        <f>-NA_monthly!AW20+NA_monthly!AV20</f>
        <v>0</v>
      </c>
      <c r="AX17" s="36">
        <f>-NA_monthly!AX20+NA_monthly!AW20</f>
        <v>0</v>
      </c>
      <c r="AY17" s="36">
        <f>-NA_monthly!AY20+NA_monthly!AX20</f>
        <v>0</v>
      </c>
      <c r="AZ17" s="36">
        <f>-NA_monthly!AZ20+NA_monthly!AY20</f>
        <v>0</v>
      </c>
      <c r="BA17" s="36">
        <f>-NA_monthly!BA20+NA_monthly!AZ20</f>
        <v>0</v>
      </c>
      <c r="BB17" s="36">
        <f>-NA_monthly!BB20+NA_monthly!BA20</f>
        <v>0</v>
      </c>
      <c r="BC17" s="36">
        <f>-NA_monthly!BC20+NA_monthly!BB20</f>
        <v>0</v>
      </c>
      <c r="BD17" s="36">
        <f>-NA_monthly!BD20+NA_monthly!BC20</f>
        <v>0</v>
      </c>
      <c r="BE17" s="36">
        <f>-NA_monthly!BE20+NA_monthly!BD20</f>
        <v>0</v>
      </c>
      <c r="BF17" s="36">
        <f>-NA_monthly!BF20+NA_monthly!BE20</f>
        <v>0</v>
      </c>
      <c r="BG17" s="36">
        <f>-NA_monthly!BG20+NA_monthly!BF20</f>
        <v>0</v>
      </c>
      <c r="BH17" s="36">
        <f>-NA_monthly!BH20+NA_monthly!BG20</f>
        <v>0</v>
      </c>
      <c r="BI17" s="36">
        <f>-NA_monthly!BI20+NA_monthly!BH20</f>
        <v>0</v>
      </c>
      <c r="BJ17" s="36">
        <f>-NA_monthly!BJ20+NA_monthly!BI20</f>
        <v>0</v>
      </c>
      <c r="BK17" s="36">
        <f>-NA_monthly!BK20+NA_monthly!BJ20</f>
        <v>0</v>
      </c>
      <c r="BL17" s="36">
        <f>-NA_monthly!BL20+NA_monthly!BK20</f>
        <v>0</v>
      </c>
      <c r="BM17" s="36">
        <f>-NA_monthly!BM20+NA_monthly!BL20</f>
        <v>0</v>
      </c>
      <c r="BN17" s="36">
        <f>-NA_monthly!BN20+NA_monthly!BM20</f>
        <v>0</v>
      </c>
      <c r="BO17" s="36">
        <f>-NA_monthly!BO20+NA_monthly!BN20</f>
        <v>0</v>
      </c>
      <c r="BP17" s="36">
        <f>-NA_monthly!BP20+NA_monthly!BO20</f>
        <v>0</v>
      </c>
      <c r="BQ17" s="36">
        <f>-NA_monthly!BQ20+NA_monthly!BP20</f>
        <v>0</v>
      </c>
      <c r="BR17" s="36">
        <f>-NA_monthly!BR20+NA_monthly!BQ20</f>
        <v>0</v>
      </c>
      <c r="BS17" s="36">
        <f>-NA_monthly!BS20+NA_monthly!BR20</f>
        <v>0</v>
      </c>
      <c r="BT17" s="36">
        <f>-NA_monthly!BT20+NA_monthly!BS20</f>
        <v>0</v>
      </c>
      <c r="BU17" s="36">
        <f>-NA_monthly!BU20+NA_monthly!BT20</f>
        <v>0</v>
      </c>
      <c r="BV17" s="36">
        <f>-NA_monthly!BV20+NA_monthly!BU20</f>
        <v>0</v>
      </c>
      <c r="BW17" s="36">
        <f>-NA_monthly!BW20+NA_monthly!BV20</f>
        <v>0</v>
      </c>
      <c r="BX17" s="36">
        <f>-NA_monthly!BX20+NA_monthly!BW20</f>
        <v>0</v>
      </c>
      <c r="BY17" s="36">
        <f>-NA_monthly!BY20+NA_monthly!BX20</f>
        <v>0</v>
      </c>
      <c r="BZ17" s="36">
        <f>-NA_monthly!BZ20+NA_monthly!BY20</f>
        <v>0</v>
      </c>
      <c r="CA17" s="36">
        <f>-NA_monthly!CA20+NA_monthly!BZ20</f>
        <v>0</v>
      </c>
      <c r="CB17" s="36">
        <f>-NA_monthly!CB20+NA_monthly!CA20</f>
        <v>0</v>
      </c>
      <c r="CC17" s="36">
        <f>-NA_monthly!CC20+NA_monthly!CB20</f>
        <v>0</v>
      </c>
      <c r="CD17" s="36">
        <f>-NA_monthly!CD20+NA_monthly!CC20</f>
        <v>0</v>
      </c>
      <c r="CE17" s="36">
        <f>-NA_monthly!CE20+NA_monthly!CD20</f>
        <v>0</v>
      </c>
      <c r="CF17" s="36">
        <f>-NA_monthly!CF20+NA_monthly!CE20</f>
        <v>0</v>
      </c>
      <c r="CG17" s="36">
        <f>-NA_monthly!CG20+NA_monthly!CF20</f>
        <v>0</v>
      </c>
      <c r="CH17" s="36">
        <f>-NA_monthly!CH20+NA_monthly!CG20</f>
        <v>0</v>
      </c>
      <c r="CI17" s="36">
        <f>-NA_monthly!CI20+NA_monthly!CH20</f>
        <v>0</v>
      </c>
      <c r="CJ17" s="36">
        <f>-NA_monthly!CJ20+NA_monthly!CI20</f>
        <v>0</v>
      </c>
      <c r="CK17" s="36">
        <f>-NA_monthly!CK20+NA_monthly!CJ20</f>
        <v>0</v>
      </c>
    </row>
    <row r="18" spans="3:89" ht="11.25" customHeight="1" outlineLevel="2" x14ac:dyDescent="0.2">
      <c r="C18" s="37" t="str">
        <f>"∆ "&amp;'Lead NA'!C21</f>
        <v>∆ Dummy 2</v>
      </c>
      <c r="D18" s="37" t="str">
        <f>"∆ "&amp;'Lead NA'!D21</f>
        <v>∆ Dummy 2</v>
      </c>
      <c r="E18" s="96"/>
      <c r="F18" s="96"/>
      <c r="G18" s="36">
        <f>-NA_monthly!G21+NA_monthly!F21</f>
        <v>0</v>
      </c>
      <c r="H18" s="36">
        <f>-NA_monthly!H21+NA_monthly!G21</f>
        <v>0</v>
      </c>
      <c r="I18" s="36">
        <f>-NA_monthly!I21+NA_monthly!H21</f>
        <v>0</v>
      </c>
      <c r="J18" s="36">
        <f>-NA_monthly!J21+NA_monthly!I21</f>
        <v>0</v>
      </c>
      <c r="K18" s="36">
        <f>-NA_monthly!K21+NA_monthly!J21</f>
        <v>0</v>
      </c>
      <c r="L18" s="36">
        <f>-NA_monthly!L21+NA_monthly!K21</f>
        <v>0</v>
      </c>
      <c r="M18" s="36">
        <f>-NA_monthly!M21+NA_monthly!L21</f>
        <v>0</v>
      </c>
      <c r="N18" s="36">
        <f>-NA_monthly!N21+NA_monthly!M21</f>
        <v>0</v>
      </c>
      <c r="O18" s="36">
        <f>-NA_monthly!O21+NA_monthly!N21</f>
        <v>0</v>
      </c>
      <c r="P18" s="36">
        <f>-NA_monthly!P21+NA_monthly!O21</f>
        <v>0</v>
      </c>
      <c r="Q18" s="36">
        <f>-NA_monthly!Q21+NA_monthly!P21</f>
        <v>0</v>
      </c>
      <c r="R18" s="36">
        <f>-NA_monthly!R21+NA_monthly!Q21</f>
        <v>0</v>
      </c>
      <c r="S18" s="36">
        <f>-NA_monthly!S21+NA_monthly!R21</f>
        <v>0</v>
      </c>
      <c r="T18" s="36">
        <f>-NA_monthly!T21+NA_monthly!S21</f>
        <v>0</v>
      </c>
      <c r="U18" s="36">
        <f>-NA_monthly!U21+NA_monthly!T21</f>
        <v>0</v>
      </c>
      <c r="V18" s="36">
        <f>-NA_monthly!V21+NA_monthly!U21</f>
        <v>0</v>
      </c>
      <c r="W18" s="36">
        <f>-NA_monthly!W21+NA_monthly!V21</f>
        <v>0</v>
      </c>
      <c r="X18" s="36">
        <f>-NA_monthly!X21+NA_monthly!W21</f>
        <v>0</v>
      </c>
      <c r="Y18" s="36">
        <f>-NA_monthly!Y21+NA_monthly!X21</f>
        <v>0</v>
      </c>
      <c r="Z18" s="36">
        <f>-NA_monthly!Z21+NA_monthly!Y21</f>
        <v>0</v>
      </c>
      <c r="AA18" s="36">
        <f>-NA_monthly!AA21+NA_monthly!Z21</f>
        <v>0</v>
      </c>
      <c r="AB18" s="36">
        <f>-NA_monthly!AB21+NA_monthly!AA21</f>
        <v>0</v>
      </c>
      <c r="AC18" s="36">
        <f>-NA_monthly!AC21+NA_monthly!AB21</f>
        <v>0</v>
      </c>
      <c r="AD18" s="36">
        <f>-NA_monthly!AD21+NA_monthly!AC21</f>
        <v>0</v>
      </c>
      <c r="AE18" s="36">
        <f>-NA_monthly!AE21+NA_monthly!AD21</f>
        <v>0</v>
      </c>
      <c r="AF18" s="36">
        <f>-NA_monthly!AF21+NA_monthly!AE21</f>
        <v>0</v>
      </c>
      <c r="AG18" s="36">
        <f>-NA_monthly!AG21+NA_monthly!AF21</f>
        <v>0</v>
      </c>
      <c r="AH18" s="36">
        <f>-NA_monthly!AH21+NA_monthly!AG21</f>
        <v>0</v>
      </c>
      <c r="AI18" s="36">
        <f>-NA_monthly!AI21+NA_monthly!AH21</f>
        <v>0</v>
      </c>
      <c r="AJ18" s="36">
        <f>-NA_monthly!AJ21+NA_monthly!AI21</f>
        <v>0</v>
      </c>
      <c r="AK18" s="36">
        <f>-NA_monthly!AK21+NA_monthly!AJ21</f>
        <v>0</v>
      </c>
      <c r="AL18" s="36">
        <f>-NA_monthly!AL21+NA_monthly!AK21</f>
        <v>0</v>
      </c>
      <c r="AM18" s="36">
        <f>-NA_monthly!AM21+NA_monthly!AL21</f>
        <v>0</v>
      </c>
      <c r="AN18" s="36">
        <f>-NA_monthly!AN21+NA_monthly!AM21</f>
        <v>0</v>
      </c>
      <c r="AO18" s="36">
        <f>-NA_monthly!AO21+NA_monthly!AN21</f>
        <v>0</v>
      </c>
      <c r="AP18" s="36">
        <f>-NA_monthly!AP21+NA_monthly!AO21</f>
        <v>0</v>
      </c>
      <c r="AQ18" s="36">
        <f>-NA_monthly!AQ21+NA_monthly!AP21</f>
        <v>0</v>
      </c>
      <c r="AR18" s="36">
        <f>-NA_monthly!AR21+NA_monthly!AQ21</f>
        <v>0</v>
      </c>
      <c r="AS18" s="36">
        <f>-NA_monthly!AS21+NA_monthly!AR21</f>
        <v>0</v>
      </c>
      <c r="AT18" s="36">
        <f>-NA_monthly!AT21+NA_monthly!AS21</f>
        <v>0</v>
      </c>
      <c r="AU18" s="36">
        <f>-NA_monthly!AU21+NA_monthly!AT21</f>
        <v>0</v>
      </c>
      <c r="AV18" s="36">
        <f>-NA_monthly!AV21+NA_monthly!AU21</f>
        <v>0</v>
      </c>
      <c r="AW18" s="36">
        <f>-NA_monthly!AW21+NA_monthly!AV21</f>
        <v>0</v>
      </c>
      <c r="AX18" s="36">
        <f>-NA_monthly!AX21+NA_monthly!AW21</f>
        <v>0</v>
      </c>
      <c r="AY18" s="36">
        <f>-NA_monthly!AY21+NA_monthly!AX21</f>
        <v>0</v>
      </c>
      <c r="AZ18" s="36">
        <f>-NA_monthly!AZ21+NA_monthly!AY21</f>
        <v>0</v>
      </c>
      <c r="BA18" s="36">
        <f>-NA_monthly!BA21+NA_monthly!AZ21</f>
        <v>0</v>
      </c>
      <c r="BB18" s="36">
        <f>-NA_monthly!BB21+NA_monthly!BA21</f>
        <v>0</v>
      </c>
      <c r="BC18" s="36">
        <f>-NA_monthly!BC21+NA_monthly!BB21</f>
        <v>0</v>
      </c>
      <c r="BD18" s="36">
        <f>-NA_monthly!BD21+NA_monthly!BC21</f>
        <v>0</v>
      </c>
      <c r="BE18" s="36">
        <f>-NA_monthly!BE21+NA_monthly!BD21</f>
        <v>0</v>
      </c>
      <c r="BF18" s="36">
        <f>-NA_monthly!BF21+NA_monthly!BE21</f>
        <v>0</v>
      </c>
      <c r="BG18" s="36">
        <f>-NA_monthly!BG21+NA_monthly!BF21</f>
        <v>0</v>
      </c>
      <c r="BH18" s="36">
        <f>-NA_monthly!BH21+NA_monthly!BG21</f>
        <v>0</v>
      </c>
      <c r="BI18" s="36">
        <f>-NA_monthly!BI21+NA_monthly!BH21</f>
        <v>0</v>
      </c>
      <c r="BJ18" s="36">
        <f>-NA_monthly!BJ21+NA_monthly!BI21</f>
        <v>0</v>
      </c>
      <c r="BK18" s="36">
        <f>-NA_monthly!BK21+NA_monthly!BJ21</f>
        <v>0</v>
      </c>
      <c r="BL18" s="36">
        <f>-NA_monthly!BL21+NA_monthly!BK21</f>
        <v>0</v>
      </c>
      <c r="BM18" s="36">
        <f>-NA_monthly!BM21+NA_monthly!BL21</f>
        <v>0</v>
      </c>
      <c r="BN18" s="36">
        <f>-NA_monthly!BN21+NA_monthly!BM21</f>
        <v>0</v>
      </c>
      <c r="BO18" s="36">
        <f>-NA_monthly!BO21+NA_monthly!BN21</f>
        <v>0</v>
      </c>
      <c r="BP18" s="36">
        <f>-NA_monthly!BP21+NA_monthly!BO21</f>
        <v>0</v>
      </c>
      <c r="BQ18" s="36">
        <f>-NA_monthly!BQ21+NA_monthly!BP21</f>
        <v>0</v>
      </c>
      <c r="BR18" s="36">
        <f>-NA_monthly!BR21+NA_monthly!BQ21</f>
        <v>0</v>
      </c>
      <c r="BS18" s="36">
        <f>-NA_monthly!BS21+NA_monthly!BR21</f>
        <v>0</v>
      </c>
      <c r="BT18" s="36">
        <f>-NA_monthly!BT21+NA_monthly!BS21</f>
        <v>0</v>
      </c>
      <c r="BU18" s="36">
        <f>-NA_monthly!BU21+NA_monthly!BT21</f>
        <v>0</v>
      </c>
      <c r="BV18" s="36">
        <f>-NA_monthly!BV21+NA_monthly!BU21</f>
        <v>0</v>
      </c>
      <c r="BW18" s="36">
        <f>-NA_monthly!BW21+NA_monthly!BV21</f>
        <v>0</v>
      </c>
      <c r="BX18" s="36">
        <f>-NA_monthly!BX21+NA_monthly!BW21</f>
        <v>0</v>
      </c>
      <c r="BY18" s="36">
        <f>-NA_monthly!BY21+NA_monthly!BX21</f>
        <v>0</v>
      </c>
      <c r="BZ18" s="36">
        <f>-NA_monthly!BZ21+NA_monthly!BY21</f>
        <v>0</v>
      </c>
      <c r="CA18" s="36">
        <f>-NA_monthly!CA21+NA_monthly!BZ21</f>
        <v>0</v>
      </c>
      <c r="CB18" s="36">
        <f>-NA_monthly!CB21+NA_monthly!CA21</f>
        <v>0</v>
      </c>
      <c r="CC18" s="36">
        <f>-NA_monthly!CC21+NA_monthly!CB21</f>
        <v>0</v>
      </c>
      <c r="CD18" s="36">
        <f>-NA_monthly!CD21+NA_monthly!CC21</f>
        <v>0</v>
      </c>
      <c r="CE18" s="36">
        <f>-NA_monthly!CE21+NA_monthly!CD21</f>
        <v>0</v>
      </c>
      <c r="CF18" s="36">
        <f>-NA_monthly!CF21+NA_monthly!CE21</f>
        <v>0</v>
      </c>
      <c r="CG18" s="36">
        <f>-NA_monthly!CG21+NA_monthly!CF21</f>
        <v>0</v>
      </c>
      <c r="CH18" s="36">
        <f>-NA_monthly!CH21+NA_monthly!CG21</f>
        <v>0</v>
      </c>
      <c r="CI18" s="36">
        <f>-NA_monthly!CI21+NA_monthly!CH21</f>
        <v>0</v>
      </c>
      <c r="CJ18" s="36">
        <f>-NA_monthly!CJ21+NA_monthly!CI21</f>
        <v>0</v>
      </c>
      <c r="CK18" s="36">
        <f>-NA_monthly!CK21+NA_monthly!CJ21</f>
        <v>0</v>
      </c>
    </row>
    <row r="19" spans="3:89" ht="11.25" customHeight="1" outlineLevel="2" x14ac:dyDescent="0.2">
      <c r="C19" s="42" t="str">
        <f>"∆ "&amp;'Lead NA'!C22</f>
        <v>∆ Dummy 3</v>
      </c>
      <c r="D19" s="42" t="str">
        <f>"∆ "&amp;'Lead NA'!D22</f>
        <v>∆ Dummy 3</v>
      </c>
      <c r="E19" s="136"/>
      <c r="F19" s="136"/>
      <c r="G19" s="36">
        <f>-NA_monthly!G22+NA_monthly!F22</f>
        <v>0</v>
      </c>
      <c r="H19" s="36">
        <f>-NA_monthly!H22+NA_monthly!G22</f>
        <v>0</v>
      </c>
      <c r="I19" s="36">
        <f>-NA_monthly!I22+NA_monthly!H22</f>
        <v>0</v>
      </c>
      <c r="J19" s="36">
        <f>-NA_monthly!J22+NA_monthly!I22</f>
        <v>0</v>
      </c>
      <c r="K19" s="36">
        <f>-NA_monthly!K22+NA_monthly!J22</f>
        <v>0</v>
      </c>
      <c r="L19" s="36">
        <f>-NA_monthly!L22+NA_monthly!K22</f>
        <v>0</v>
      </c>
      <c r="M19" s="36">
        <f>-NA_monthly!M22+NA_monthly!L22</f>
        <v>0</v>
      </c>
      <c r="N19" s="36">
        <f>-NA_monthly!N22+NA_monthly!M22</f>
        <v>0</v>
      </c>
      <c r="O19" s="36">
        <f>-NA_monthly!O22+NA_monthly!N22</f>
        <v>0</v>
      </c>
      <c r="P19" s="36">
        <f>-NA_monthly!P22+NA_monthly!O22</f>
        <v>0</v>
      </c>
      <c r="Q19" s="36">
        <f>-NA_monthly!Q22+NA_monthly!P22</f>
        <v>0</v>
      </c>
      <c r="R19" s="36">
        <f>-NA_monthly!R22+NA_monthly!Q22</f>
        <v>0</v>
      </c>
      <c r="S19" s="36">
        <f>-NA_monthly!S22+NA_monthly!R22</f>
        <v>0</v>
      </c>
      <c r="T19" s="36">
        <f>-NA_monthly!T22+NA_monthly!S22</f>
        <v>0</v>
      </c>
      <c r="U19" s="36">
        <f>-NA_monthly!U22+NA_monthly!T22</f>
        <v>0</v>
      </c>
      <c r="V19" s="36">
        <f>-NA_monthly!V22+NA_monthly!U22</f>
        <v>0</v>
      </c>
      <c r="W19" s="36">
        <f>-NA_monthly!W22+NA_monthly!V22</f>
        <v>0</v>
      </c>
      <c r="X19" s="36">
        <f>-NA_monthly!X22+NA_monthly!W22</f>
        <v>0</v>
      </c>
      <c r="Y19" s="36">
        <f>-NA_monthly!Y22+NA_monthly!X22</f>
        <v>0</v>
      </c>
      <c r="Z19" s="36">
        <f>-NA_monthly!Z22+NA_monthly!Y22</f>
        <v>0</v>
      </c>
      <c r="AA19" s="36">
        <f>-NA_monthly!AA22+NA_monthly!Z22</f>
        <v>0</v>
      </c>
      <c r="AB19" s="36">
        <f>-NA_monthly!AB22+NA_monthly!AA22</f>
        <v>0</v>
      </c>
      <c r="AC19" s="36">
        <f>-NA_monthly!AC22+NA_monthly!AB22</f>
        <v>0</v>
      </c>
      <c r="AD19" s="36">
        <f>-NA_monthly!AD22+NA_monthly!AC22</f>
        <v>0</v>
      </c>
      <c r="AE19" s="36">
        <f>-NA_monthly!AE22+NA_monthly!AD22</f>
        <v>0</v>
      </c>
      <c r="AF19" s="36">
        <f>-NA_monthly!AF22+NA_monthly!AE22</f>
        <v>0</v>
      </c>
      <c r="AG19" s="36">
        <f>-NA_monthly!AG22+NA_monthly!AF22</f>
        <v>0</v>
      </c>
      <c r="AH19" s="36">
        <f>-NA_monthly!AH22+NA_monthly!AG22</f>
        <v>0</v>
      </c>
      <c r="AI19" s="36">
        <f>-NA_monthly!AI22+NA_monthly!AH22</f>
        <v>0</v>
      </c>
      <c r="AJ19" s="36">
        <f>-NA_monthly!AJ22+NA_monthly!AI22</f>
        <v>0</v>
      </c>
      <c r="AK19" s="36">
        <f>-NA_monthly!AK22+NA_monthly!AJ22</f>
        <v>0</v>
      </c>
      <c r="AL19" s="36">
        <f>-NA_monthly!AL22+NA_monthly!AK22</f>
        <v>0</v>
      </c>
      <c r="AM19" s="36">
        <f>-NA_monthly!AM22+NA_monthly!AL22</f>
        <v>0</v>
      </c>
      <c r="AN19" s="36">
        <f>-NA_monthly!AN22+NA_monthly!AM22</f>
        <v>0</v>
      </c>
      <c r="AO19" s="36">
        <f>-NA_monthly!AO22+NA_monthly!AN22</f>
        <v>0</v>
      </c>
      <c r="AP19" s="36">
        <f>-NA_monthly!AP22+NA_monthly!AO22</f>
        <v>0</v>
      </c>
      <c r="AQ19" s="36">
        <f>-NA_monthly!AQ22+NA_monthly!AP22</f>
        <v>0</v>
      </c>
      <c r="AR19" s="36">
        <f>-NA_monthly!AR22+NA_monthly!AQ22</f>
        <v>0</v>
      </c>
      <c r="AS19" s="36">
        <f>-NA_monthly!AS22+NA_monthly!AR22</f>
        <v>0</v>
      </c>
      <c r="AT19" s="36">
        <f>-NA_monthly!AT22+NA_monthly!AS22</f>
        <v>0</v>
      </c>
      <c r="AU19" s="36">
        <f>-NA_monthly!AU22+NA_monthly!AT22</f>
        <v>0</v>
      </c>
      <c r="AV19" s="36">
        <f>-NA_monthly!AV22+NA_monthly!AU22</f>
        <v>0</v>
      </c>
      <c r="AW19" s="36">
        <f>-NA_monthly!AW22+NA_monthly!AV22</f>
        <v>0</v>
      </c>
      <c r="AX19" s="36">
        <f>-NA_monthly!AX22+NA_monthly!AW22</f>
        <v>0</v>
      </c>
      <c r="AY19" s="36">
        <f>-NA_monthly!AY22+NA_monthly!AX22</f>
        <v>0</v>
      </c>
      <c r="AZ19" s="36">
        <f>-NA_monthly!AZ22+NA_monthly!AY22</f>
        <v>0</v>
      </c>
      <c r="BA19" s="36">
        <f>-NA_monthly!BA22+NA_monthly!AZ22</f>
        <v>0</v>
      </c>
      <c r="BB19" s="36">
        <f>-NA_monthly!BB22+NA_monthly!BA22</f>
        <v>0</v>
      </c>
      <c r="BC19" s="36">
        <f>-NA_monthly!BC22+NA_monthly!BB22</f>
        <v>0</v>
      </c>
      <c r="BD19" s="36">
        <f>-NA_monthly!BD22+NA_monthly!BC22</f>
        <v>0</v>
      </c>
      <c r="BE19" s="36">
        <f>-NA_monthly!BE22+NA_monthly!BD22</f>
        <v>0</v>
      </c>
      <c r="BF19" s="36">
        <f>-NA_monthly!BF22+NA_monthly!BE22</f>
        <v>0</v>
      </c>
      <c r="BG19" s="36">
        <f>-NA_monthly!BG22+NA_monthly!BF22</f>
        <v>0</v>
      </c>
      <c r="BH19" s="36">
        <f>-NA_monthly!BH22+NA_monthly!BG22</f>
        <v>0</v>
      </c>
      <c r="BI19" s="36">
        <f>-NA_monthly!BI22+NA_monthly!BH22</f>
        <v>0</v>
      </c>
      <c r="BJ19" s="36">
        <f>-NA_monthly!BJ22+NA_monthly!BI22</f>
        <v>0</v>
      </c>
      <c r="BK19" s="36">
        <f>-NA_monthly!BK22+NA_monthly!BJ22</f>
        <v>0</v>
      </c>
      <c r="BL19" s="36">
        <f>-NA_monthly!BL22+NA_monthly!BK22</f>
        <v>0</v>
      </c>
      <c r="BM19" s="36">
        <f>-NA_monthly!BM22+NA_monthly!BL22</f>
        <v>0</v>
      </c>
      <c r="BN19" s="36">
        <f>-NA_monthly!BN22+NA_monthly!BM22</f>
        <v>0</v>
      </c>
      <c r="BO19" s="36">
        <f>-NA_monthly!BO22+NA_monthly!BN22</f>
        <v>0</v>
      </c>
      <c r="BP19" s="36">
        <f>-NA_monthly!BP22+NA_monthly!BO22</f>
        <v>0</v>
      </c>
      <c r="BQ19" s="36">
        <f>-NA_monthly!BQ22+NA_monthly!BP22</f>
        <v>0</v>
      </c>
      <c r="BR19" s="36">
        <f>-NA_monthly!BR22+NA_monthly!BQ22</f>
        <v>0</v>
      </c>
      <c r="BS19" s="36">
        <f>-NA_monthly!BS22+NA_monthly!BR22</f>
        <v>0</v>
      </c>
      <c r="BT19" s="36">
        <f>-NA_monthly!BT22+NA_monthly!BS22</f>
        <v>0</v>
      </c>
      <c r="BU19" s="36">
        <f>-NA_monthly!BU22+NA_monthly!BT22</f>
        <v>0</v>
      </c>
      <c r="BV19" s="36">
        <f>-NA_monthly!BV22+NA_monthly!BU22</f>
        <v>0</v>
      </c>
      <c r="BW19" s="36">
        <f>-NA_monthly!BW22+NA_monthly!BV22</f>
        <v>0</v>
      </c>
      <c r="BX19" s="36">
        <f>-NA_monthly!BX22+NA_monthly!BW22</f>
        <v>0</v>
      </c>
      <c r="BY19" s="36">
        <f>-NA_monthly!BY22+NA_monthly!BX22</f>
        <v>0</v>
      </c>
      <c r="BZ19" s="36">
        <f>-NA_monthly!BZ22+NA_monthly!BY22</f>
        <v>0</v>
      </c>
      <c r="CA19" s="36">
        <f>-NA_monthly!CA22+NA_monthly!BZ22</f>
        <v>0</v>
      </c>
      <c r="CB19" s="36">
        <f>-NA_monthly!CB22+NA_monthly!CA22</f>
        <v>0</v>
      </c>
      <c r="CC19" s="36">
        <f>-NA_monthly!CC22+NA_monthly!CB22</f>
        <v>0</v>
      </c>
      <c r="CD19" s="36">
        <f>-NA_monthly!CD22+NA_monthly!CC22</f>
        <v>0</v>
      </c>
      <c r="CE19" s="36">
        <f>-NA_monthly!CE22+NA_monthly!CD22</f>
        <v>0</v>
      </c>
      <c r="CF19" s="36">
        <f>-NA_monthly!CF22+NA_monthly!CE22</f>
        <v>0</v>
      </c>
      <c r="CG19" s="36">
        <f>-NA_monthly!CG22+NA_monthly!CF22</f>
        <v>0</v>
      </c>
      <c r="CH19" s="36">
        <f>-NA_monthly!CH22+NA_monthly!CG22</f>
        <v>0</v>
      </c>
      <c r="CI19" s="36">
        <f>-NA_monthly!CI22+NA_monthly!CH22</f>
        <v>0</v>
      </c>
      <c r="CJ19" s="36">
        <f>-NA_monthly!CJ22+NA_monthly!CI22</f>
        <v>0</v>
      </c>
      <c r="CK19" s="36">
        <f>-NA_monthly!CK22+NA_monthly!CJ22</f>
        <v>0</v>
      </c>
    </row>
    <row r="20" spans="3:89" ht="11.25" customHeight="1" x14ac:dyDescent="0.2">
      <c r="C20" s="141" t="str">
        <f>"∆ "&amp;'Lead NA'!C23</f>
        <v>∆ Trade Working Capital</v>
      </c>
      <c r="D20" s="141" t="str">
        <f>"∆ "&amp;'Lead NA'!D23</f>
        <v>∆ Trade working capital</v>
      </c>
      <c r="E20" s="178"/>
      <c r="F20" s="178">
        <f t="shared" ref="F20:BQ20" si="0">SUM(F13:F19)</f>
        <v>0</v>
      </c>
      <c r="G20" s="141">
        <f t="shared" si="0"/>
        <v>0</v>
      </c>
      <c r="H20" s="141">
        <f t="shared" si="0"/>
        <v>0</v>
      </c>
      <c r="I20" s="141">
        <f t="shared" si="0"/>
        <v>0</v>
      </c>
      <c r="J20" s="141">
        <f t="shared" si="0"/>
        <v>0</v>
      </c>
      <c r="K20" s="141">
        <f t="shared" si="0"/>
        <v>0</v>
      </c>
      <c r="L20" s="141">
        <f t="shared" si="0"/>
        <v>0</v>
      </c>
      <c r="M20" s="141">
        <f t="shared" si="0"/>
        <v>0</v>
      </c>
      <c r="N20" s="141">
        <f t="shared" si="0"/>
        <v>0</v>
      </c>
      <c r="O20" s="141">
        <f t="shared" si="0"/>
        <v>0</v>
      </c>
      <c r="P20" s="141">
        <f t="shared" si="0"/>
        <v>0</v>
      </c>
      <c r="Q20" s="141">
        <f t="shared" si="0"/>
        <v>-2931.19749</v>
      </c>
      <c r="R20" s="141">
        <f t="shared" si="0"/>
        <v>115.39909999999986</v>
      </c>
      <c r="S20" s="141">
        <f t="shared" si="0"/>
        <v>37.9303799999999</v>
      </c>
      <c r="T20" s="141">
        <f t="shared" si="0"/>
        <v>402.45990000000018</v>
      </c>
      <c r="U20" s="141">
        <f t="shared" si="0"/>
        <v>-296.70787999999993</v>
      </c>
      <c r="V20" s="141">
        <f t="shared" si="0"/>
        <v>-14.704809999999952</v>
      </c>
      <c r="W20" s="141">
        <f t="shared" si="0"/>
        <v>-577.99753000000055</v>
      </c>
      <c r="X20" s="141">
        <f t="shared" si="0"/>
        <v>-79.739819999999895</v>
      </c>
      <c r="Y20" s="141">
        <f t="shared" si="0"/>
        <v>-507.99654999999984</v>
      </c>
      <c r="Z20" s="141">
        <f t="shared" si="0"/>
        <v>39.590180000000942</v>
      </c>
      <c r="AA20" s="141">
        <f t="shared" si="0"/>
        <v>-153.09896000000015</v>
      </c>
      <c r="AB20" s="141">
        <f t="shared" si="0"/>
        <v>-399.33960000000013</v>
      </c>
      <c r="AC20" s="141">
        <f t="shared" si="0"/>
        <v>1075.2101999999995</v>
      </c>
      <c r="AD20" s="141">
        <f t="shared" si="0"/>
        <v>53.638729999999896</v>
      </c>
      <c r="AE20" s="141">
        <f t="shared" si="0"/>
        <v>-434.54163999999992</v>
      </c>
      <c r="AF20" s="141">
        <f t="shared" si="0"/>
        <v>-139.81368999999995</v>
      </c>
      <c r="AG20" s="141">
        <f t="shared" si="0"/>
        <v>169.32330999999988</v>
      </c>
      <c r="AH20" s="141">
        <f t="shared" si="0"/>
        <v>326.20805000000018</v>
      </c>
      <c r="AI20" s="141">
        <f t="shared" si="0"/>
        <v>9.863140000000044</v>
      </c>
      <c r="AJ20" s="141">
        <f t="shared" si="0"/>
        <v>953.76880000000006</v>
      </c>
      <c r="AK20" s="141">
        <f t="shared" si="0"/>
        <v>-447.17805000000021</v>
      </c>
      <c r="AL20" s="141">
        <f t="shared" si="0"/>
        <v>-98.349420000000009</v>
      </c>
      <c r="AM20" s="141">
        <f t="shared" si="0"/>
        <v>-541.14264000000003</v>
      </c>
      <c r="AN20" s="141">
        <f t="shared" si="0"/>
        <v>300.87250000000029</v>
      </c>
      <c r="AO20" s="141">
        <f t="shared" si="0"/>
        <v>-1386.7032000000004</v>
      </c>
      <c r="AP20" s="141">
        <f t="shared" si="0"/>
        <v>261.21902</v>
      </c>
      <c r="AQ20" s="141">
        <f t="shared" si="0"/>
        <v>-276.38469000000009</v>
      </c>
      <c r="AR20" s="141">
        <f t="shared" si="0"/>
        <v>-163.92475999999988</v>
      </c>
      <c r="AS20" s="141">
        <f t="shared" si="0"/>
        <v>-75.997589999999832</v>
      </c>
      <c r="AT20" s="141">
        <f t="shared" si="0"/>
        <v>-242.92961000000014</v>
      </c>
      <c r="AU20" s="141">
        <f t="shared" si="0"/>
        <v>-385.07721999999995</v>
      </c>
      <c r="AV20" s="141">
        <f t="shared" si="0"/>
        <v>717.63869</v>
      </c>
      <c r="AW20" s="141">
        <f t="shared" si="0"/>
        <v>-518.15527999999983</v>
      </c>
      <c r="AX20" s="141">
        <f t="shared" si="0"/>
        <v>74.557049999999947</v>
      </c>
      <c r="AY20" s="141">
        <f t="shared" si="0"/>
        <v>-70.67575000000005</v>
      </c>
      <c r="AZ20" s="141">
        <f t="shared" si="0"/>
        <v>400.78996999999993</v>
      </c>
      <c r="BA20" s="141">
        <f t="shared" si="0"/>
        <v>537.39113000000009</v>
      </c>
      <c r="BB20" s="141">
        <f t="shared" si="0"/>
        <v>4265.7960299999995</v>
      </c>
      <c r="BC20" s="141">
        <f t="shared" si="0"/>
        <v>0</v>
      </c>
      <c r="BD20" s="141">
        <f t="shared" si="0"/>
        <v>0</v>
      </c>
      <c r="BE20" s="141">
        <f t="shared" si="0"/>
        <v>0</v>
      </c>
      <c r="BF20" s="141">
        <f t="shared" si="0"/>
        <v>0</v>
      </c>
      <c r="BG20" s="141">
        <f t="shared" si="0"/>
        <v>0</v>
      </c>
      <c r="BH20" s="141">
        <f t="shared" si="0"/>
        <v>0</v>
      </c>
      <c r="BI20" s="141">
        <f t="shared" si="0"/>
        <v>0</v>
      </c>
      <c r="BJ20" s="141">
        <f t="shared" si="0"/>
        <v>0</v>
      </c>
      <c r="BK20" s="141">
        <f t="shared" si="0"/>
        <v>0</v>
      </c>
      <c r="BL20" s="141">
        <f t="shared" si="0"/>
        <v>0</v>
      </c>
      <c r="BM20" s="141">
        <f t="shared" si="0"/>
        <v>0</v>
      </c>
      <c r="BN20" s="141">
        <f t="shared" si="0"/>
        <v>0</v>
      </c>
      <c r="BO20" s="141">
        <f t="shared" si="0"/>
        <v>0</v>
      </c>
      <c r="BP20" s="141">
        <f t="shared" si="0"/>
        <v>0</v>
      </c>
      <c r="BQ20" s="141">
        <f t="shared" si="0"/>
        <v>0</v>
      </c>
      <c r="BR20" s="141">
        <f t="shared" ref="BR20:CK20" si="1">SUM(BR13:BR19)</f>
        <v>0</v>
      </c>
      <c r="BS20" s="141">
        <f t="shared" si="1"/>
        <v>0</v>
      </c>
      <c r="BT20" s="141">
        <f t="shared" si="1"/>
        <v>0</v>
      </c>
      <c r="BU20" s="141">
        <f t="shared" si="1"/>
        <v>0</v>
      </c>
      <c r="BV20" s="141">
        <f t="shared" si="1"/>
        <v>0</v>
      </c>
      <c r="BW20" s="141">
        <f t="shared" si="1"/>
        <v>0</v>
      </c>
      <c r="BX20" s="141">
        <f t="shared" si="1"/>
        <v>0</v>
      </c>
      <c r="BY20" s="141">
        <f t="shared" si="1"/>
        <v>0</v>
      </c>
      <c r="BZ20" s="141">
        <f t="shared" si="1"/>
        <v>0</v>
      </c>
      <c r="CA20" s="141">
        <f t="shared" si="1"/>
        <v>0</v>
      </c>
      <c r="CB20" s="141">
        <f t="shared" si="1"/>
        <v>0</v>
      </c>
      <c r="CC20" s="141">
        <f t="shared" si="1"/>
        <v>0</v>
      </c>
      <c r="CD20" s="141">
        <f t="shared" si="1"/>
        <v>0</v>
      </c>
      <c r="CE20" s="141">
        <f t="shared" si="1"/>
        <v>0</v>
      </c>
      <c r="CF20" s="141">
        <f t="shared" si="1"/>
        <v>0</v>
      </c>
      <c r="CG20" s="141">
        <f t="shared" si="1"/>
        <v>0</v>
      </c>
      <c r="CH20" s="141">
        <f t="shared" si="1"/>
        <v>0</v>
      </c>
      <c r="CI20" s="141">
        <f t="shared" si="1"/>
        <v>0</v>
      </c>
      <c r="CJ20" s="141">
        <f t="shared" si="1"/>
        <v>0</v>
      </c>
      <c r="CK20" s="141">
        <f t="shared" si="1"/>
        <v>0</v>
      </c>
    </row>
    <row r="21" spans="3:89" ht="11.25" customHeight="1" x14ac:dyDescent="0.2">
      <c r="C21" s="37" t="str">
        <f>"∆ "&amp;'Lead NA'!C24</f>
        <v>∆ Sonstige Vermögensgegenstände</v>
      </c>
      <c r="D21" s="37" t="str">
        <f>"∆ "&amp;'Lead NA'!D24</f>
        <v>∆ Other assets</v>
      </c>
      <c r="E21" s="96"/>
      <c r="F21" s="96"/>
      <c r="G21" s="36">
        <f>-NA_monthly!G24+NA_monthly!F24</f>
        <v>0</v>
      </c>
      <c r="H21" s="36">
        <f>-NA_monthly!H24+NA_monthly!G24</f>
        <v>0</v>
      </c>
      <c r="I21" s="36">
        <f>-NA_monthly!I24+NA_monthly!H24</f>
        <v>0</v>
      </c>
      <c r="J21" s="36">
        <f>-NA_monthly!J24+NA_monthly!I24</f>
        <v>0</v>
      </c>
      <c r="K21" s="36">
        <f>-NA_monthly!K24+NA_monthly!J24</f>
        <v>0</v>
      </c>
      <c r="L21" s="36">
        <f>-NA_monthly!L24+NA_monthly!K24</f>
        <v>0</v>
      </c>
      <c r="M21" s="36">
        <f>-NA_monthly!M24+NA_monthly!L24</f>
        <v>0</v>
      </c>
      <c r="N21" s="36">
        <f>-NA_monthly!N24+NA_monthly!M24</f>
        <v>0</v>
      </c>
      <c r="O21" s="36">
        <f>-NA_monthly!O24+NA_monthly!N24</f>
        <v>0</v>
      </c>
      <c r="P21" s="36">
        <f>-NA_monthly!P24+NA_monthly!O24</f>
        <v>0</v>
      </c>
      <c r="Q21" s="36">
        <f>-NA_monthly!Q24+NA_monthly!P24</f>
        <v>-33.1297</v>
      </c>
      <c r="R21" s="36">
        <f>-NA_monthly!R24+NA_monthly!Q24</f>
        <v>-144.16750999999999</v>
      </c>
      <c r="S21" s="36">
        <f>-NA_monthly!S24+NA_monthly!R24</f>
        <v>151.47781999999998</v>
      </c>
      <c r="T21" s="36">
        <f>-NA_monthly!T24+NA_monthly!S24</f>
        <v>-2.397590000000001</v>
      </c>
      <c r="U21" s="36">
        <f>-NA_monthly!U24+NA_monthly!T24</f>
        <v>28.057829999999999</v>
      </c>
      <c r="V21" s="36">
        <f>-NA_monthly!V24+NA_monthly!U24</f>
        <v>-9.7936699999999988</v>
      </c>
      <c r="W21" s="36">
        <f>-NA_monthly!W24+NA_monthly!V24</f>
        <v>-40.259510000000006</v>
      </c>
      <c r="X21" s="36">
        <f>-NA_monthly!X24+NA_monthly!W24</f>
        <v>9.6231999999999971</v>
      </c>
      <c r="Y21" s="36">
        <f>-NA_monthly!Y24+NA_monthly!X24</f>
        <v>21.764480000000002</v>
      </c>
      <c r="Z21" s="36">
        <f>-NA_monthly!Z24+NA_monthly!Y24</f>
        <v>-4.5057999999999936</v>
      </c>
      <c r="AA21" s="36">
        <f>-NA_monthly!AA24+NA_monthly!Z24</f>
        <v>2.252879999999994</v>
      </c>
      <c r="AB21" s="36">
        <f>-NA_monthly!AB24+NA_monthly!AA24</f>
        <v>2.5558000000000014</v>
      </c>
      <c r="AC21" s="36">
        <f>-NA_monthly!AC24+NA_monthly!AB24</f>
        <v>-277.99309</v>
      </c>
      <c r="AD21" s="36">
        <f>-NA_monthly!AD24+NA_monthly!AC24</f>
        <v>5.6134999999999877</v>
      </c>
      <c r="AE21" s="36">
        <f>-NA_monthly!AE24+NA_monthly!AD24</f>
        <v>1.422079999999994</v>
      </c>
      <c r="AF21" s="36">
        <f>-NA_monthly!AF24+NA_monthly!AE24</f>
        <v>92.551000000000016</v>
      </c>
      <c r="AG21" s="36">
        <f>-NA_monthly!AG24+NA_monthly!AF24</f>
        <v>1.9337500000000034</v>
      </c>
      <c r="AH21" s="36">
        <f>-NA_monthly!AH24+NA_monthly!AG24</f>
        <v>-5.8447500000000048</v>
      </c>
      <c r="AI21" s="36">
        <f>-NA_monthly!AI24+NA_monthly!AH24</f>
        <v>1.967000000000013</v>
      </c>
      <c r="AJ21" s="36">
        <f>-NA_monthly!AJ24+NA_monthly!AI24</f>
        <v>-2.7549999999999955</v>
      </c>
      <c r="AK21" s="36">
        <f>-NA_monthly!AK24+NA_monthly!AJ24</f>
        <v>0.11699999999999022</v>
      </c>
      <c r="AL21" s="36">
        <f>-NA_monthly!AL24+NA_monthly!AK24</f>
        <v>-1.9284799999999791</v>
      </c>
      <c r="AM21" s="36">
        <f>-NA_monthly!AM24+NA_monthly!AL24</f>
        <v>-0.73320000000001073</v>
      </c>
      <c r="AN21" s="36">
        <f>-NA_monthly!AN24+NA_monthly!AM24</f>
        <v>2.8796399999999664</v>
      </c>
      <c r="AO21" s="36">
        <f>-NA_monthly!AO24+NA_monthly!AN24</f>
        <v>-112.29293999999999</v>
      </c>
      <c r="AP21" s="36">
        <f>-NA_monthly!AP24+NA_monthly!AO24</f>
        <v>148.44550000000001</v>
      </c>
      <c r="AQ21" s="36">
        <f>-NA_monthly!AQ24+NA_monthly!AP24</f>
        <v>75.794629999999984</v>
      </c>
      <c r="AR21" s="36">
        <f>-NA_monthly!AR24+NA_monthly!AQ24</f>
        <v>-2.4127499999999884</v>
      </c>
      <c r="AS21" s="36">
        <f>-NA_monthly!AS24+NA_monthly!AR24</f>
        <v>-60.968119999999999</v>
      </c>
      <c r="AT21" s="36">
        <f>-NA_monthly!AT24+NA_monthly!AS24</f>
        <v>0.37989000000001738</v>
      </c>
      <c r="AU21" s="36">
        <f>-NA_monthly!AU24+NA_monthly!AT24</f>
        <v>-0.69094000000001188</v>
      </c>
      <c r="AV21" s="36">
        <f>-NA_monthly!AV24+NA_monthly!AU24</f>
        <v>0.44540000000000646</v>
      </c>
      <c r="AW21" s="36">
        <f>-NA_monthly!AW24+NA_monthly!AV24</f>
        <v>0.38399999999998613</v>
      </c>
      <c r="AX21" s="36">
        <f>-NA_monthly!AX24+NA_monthly!AW24</f>
        <v>59.5</v>
      </c>
      <c r="AY21" s="36">
        <f>-NA_monthly!AY24+NA_monthly!AX24</f>
        <v>-100</v>
      </c>
      <c r="AZ21" s="36">
        <f>-NA_monthly!AZ24+NA_monthly!AY24</f>
        <v>129.73286000000002</v>
      </c>
      <c r="BA21" s="36">
        <f>-NA_monthly!BA24+NA_monthly!AZ24</f>
        <v>-246.11705000000006</v>
      </c>
      <c r="BB21" s="36">
        <f>-NA_monthly!BB24+NA_monthly!BA24</f>
        <v>309.09184000000005</v>
      </c>
      <c r="BC21" s="36">
        <f>-NA_monthly!BC24+NA_monthly!BB24</f>
        <v>0</v>
      </c>
      <c r="BD21" s="36">
        <f>-NA_monthly!BD24+NA_monthly!BC24</f>
        <v>0</v>
      </c>
      <c r="BE21" s="36">
        <f>-NA_monthly!BE24+NA_monthly!BD24</f>
        <v>0</v>
      </c>
      <c r="BF21" s="36">
        <f>-NA_monthly!BF24+NA_monthly!BE24</f>
        <v>0</v>
      </c>
      <c r="BG21" s="36">
        <f>-NA_monthly!BG24+NA_monthly!BF24</f>
        <v>0</v>
      </c>
      <c r="BH21" s="36">
        <f>-NA_monthly!BH24+NA_monthly!BG24</f>
        <v>0</v>
      </c>
      <c r="BI21" s="36">
        <f>-NA_monthly!BI24+NA_monthly!BH24</f>
        <v>0</v>
      </c>
      <c r="BJ21" s="36">
        <f>-NA_monthly!BJ24+NA_monthly!BI24</f>
        <v>0</v>
      </c>
      <c r="BK21" s="36">
        <f>-NA_monthly!BK24+NA_monthly!BJ24</f>
        <v>0</v>
      </c>
      <c r="BL21" s="36">
        <f>-NA_monthly!BL24+NA_monthly!BK24</f>
        <v>0</v>
      </c>
      <c r="BM21" s="36">
        <f>-NA_monthly!BM24+NA_monthly!BL24</f>
        <v>0</v>
      </c>
      <c r="BN21" s="36">
        <f>-NA_monthly!BN24+NA_monthly!BM24</f>
        <v>0</v>
      </c>
      <c r="BO21" s="36">
        <f>-NA_monthly!BO24+NA_monthly!BN24</f>
        <v>0</v>
      </c>
      <c r="BP21" s="36">
        <f>-NA_monthly!BP24+NA_monthly!BO24</f>
        <v>0</v>
      </c>
      <c r="BQ21" s="36">
        <f>-NA_monthly!BQ24+NA_monthly!BP24</f>
        <v>0</v>
      </c>
      <c r="BR21" s="36">
        <f>-NA_monthly!BR24+NA_monthly!BQ24</f>
        <v>0</v>
      </c>
      <c r="BS21" s="36">
        <f>-NA_monthly!BS24+NA_monthly!BR24</f>
        <v>0</v>
      </c>
      <c r="BT21" s="36">
        <f>-NA_monthly!BT24+NA_monthly!BS24</f>
        <v>0</v>
      </c>
      <c r="BU21" s="36">
        <f>-NA_monthly!BU24+NA_monthly!BT24</f>
        <v>0</v>
      </c>
      <c r="BV21" s="36">
        <f>-NA_monthly!BV24+NA_monthly!BU24</f>
        <v>0</v>
      </c>
      <c r="BW21" s="36">
        <f>-NA_monthly!BW24+NA_monthly!BV24</f>
        <v>0</v>
      </c>
      <c r="BX21" s="36">
        <f>-NA_monthly!BX24+NA_monthly!BW24</f>
        <v>0</v>
      </c>
      <c r="BY21" s="36">
        <f>-NA_monthly!BY24+NA_monthly!BX24</f>
        <v>0</v>
      </c>
      <c r="BZ21" s="36">
        <f>-NA_monthly!BZ24+NA_monthly!BY24</f>
        <v>0</v>
      </c>
      <c r="CA21" s="36">
        <f>-NA_monthly!CA24+NA_monthly!BZ24</f>
        <v>0</v>
      </c>
      <c r="CB21" s="36">
        <f>-NA_monthly!CB24+NA_monthly!CA24</f>
        <v>0</v>
      </c>
      <c r="CC21" s="36">
        <f>-NA_monthly!CC24+NA_monthly!CB24</f>
        <v>0</v>
      </c>
      <c r="CD21" s="36">
        <f>-NA_monthly!CD24+NA_monthly!CC24</f>
        <v>0</v>
      </c>
      <c r="CE21" s="36">
        <f>-NA_monthly!CE24+NA_monthly!CD24</f>
        <v>0</v>
      </c>
      <c r="CF21" s="36">
        <f>-NA_monthly!CF24+NA_monthly!CE24</f>
        <v>0</v>
      </c>
      <c r="CG21" s="36">
        <f>-NA_monthly!CG24+NA_monthly!CF24</f>
        <v>0</v>
      </c>
      <c r="CH21" s="36">
        <f>-NA_monthly!CH24+NA_monthly!CG24</f>
        <v>0</v>
      </c>
      <c r="CI21" s="36">
        <f>-NA_monthly!CI24+NA_monthly!CH24</f>
        <v>0</v>
      </c>
      <c r="CJ21" s="36">
        <f>-NA_monthly!CJ24+NA_monthly!CI24</f>
        <v>0</v>
      </c>
      <c r="CK21" s="36">
        <f>-NA_monthly!CK24+NA_monthly!CJ24</f>
        <v>0</v>
      </c>
    </row>
    <row r="22" spans="3:89" ht="11.25" customHeight="1" x14ac:dyDescent="0.2">
      <c r="C22" s="37" t="str">
        <f>"∆ "&amp;'Lead NA'!C25</f>
        <v>∆ Aktive Rechnungsabgrenzungsposten</v>
      </c>
      <c r="D22" s="37" t="str">
        <f>"∆ "&amp;'Lead NA'!D25</f>
        <v>∆ Prepaid expenses</v>
      </c>
      <c r="E22" s="96"/>
      <c r="F22" s="96"/>
      <c r="G22" s="36">
        <f>-NA_monthly!G25+NA_monthly!F25</f>
        <v>0</v>
      </c>
      <c r="H22" s="36">
        <f>-NA_monthly!H25+NA_monthly!G25</f>
        <v>0</v>
      </c>
      <c r="I22" s="36">
        <f>-NA_monthly!I25+NA_monthly!H25</f>
        <v>0</v>
      </c>
      <c r="J22" s="36">
        <f>-NA_monthly!J25+NA_monthly!I25</f>
        <v>0</v>
      </c>
      <c r="K22" s="36">
        <f>-NA_monthly!K25+NA_monthly!J25</f>
        <v>0</v>
      </c>
      <c r="L22" s="36">
        <f>-NA_monthly!L25+NA_monthly!K25</f>
        <v>0</v>
      </c>
      <c r="M22" s="36">
        <f>-NA_monthly!M25+NA_monthly!L25</f>
        <v>0</v>
      </c>
      <c r="N22" s="36">
        <f>-NA_monthly!N25+NA_monthly!M25</f>
        <v>0</v>
      </c>
      <c r="O22" s="36">
        <f>-NA_monthly!O25+NA_monthly!N25</f>
        <v>0</v>
      </c>
      <c r="P22" s="36">
        <f>-NA_monthly!P25+NA_monthly!O25</f>
        <v>0</v>
      </c>
      <c r="Q22" s="36">
        <f>-NA_monthly!Q25+NA_monthly!P25</f>
        <v>-30.218209999999999</v>
      </c>
      <c r="R22" s="36">
        <f>-NA_monthly!R25+NA_monthly!Q25</f>
        <v>-13.02807</v>
      </c>
      <c r="S22" s="36">
        <f>-NA_monthly!S25+NA_monthly!R25</f>
        <v>6.0201599999999971</v>
      </c>
      <c r="T22" s="36">
        <f>-NA_monthly!T25+NA_monthly!S25</f>
        <v>-11.856780000000001</v>
      </c>
      <c r="U22" s="36">
        <f>-NA_monthly!U25+NA_monthly!T25</f>
        <v>-22.662700000000008</v>
      </c>
      <c r="V22" s="36">
        <f>-NA_monthly!V25+NA_monthly!U25</f>
        <v>5.911980000000014</v>
      </c>
      <c r="W22" s="36">
        <f>-NA_monthly!W25+NA_monthly!V25</f>
        <v>2.9641399999999933</v>
      </c>
      <c r="X22" s="36">
        <f>-NA_monthly!X25+NA_monthly!W25</f>
        <v>3.3015400000000028</v>
      </c>
      <c r="Y22" s="36">
        <f>-NA_monthly!Y25+NA_monthly!X25</f>
        <v>-12.736630000000012</v>
      </c>
      <c r="Z22" s="36">
        <f>-NA_monthly!Z25+NA_monthly!Y25</f>
        <v>10.038270000000011</v>
      </c>
      <c r="AA22" s="36">
        <f>-NA_monthly!AA25+NA_monthly!Z25</f>
        <v>-23.645619999999994</v>
      </c>
      <c r="AB22" s="36">
        <f>-NA_monthly!AB25+NA_monthly!AA25</f>
        <v>7.9680999999999926</v>
      </c>
      <c r="AC22" s="36">
        <f>-NA_monthly!AC25+NA_monthly!AB25</f>
        <v>12.03985999999999</v>
      </c>
      <c r="AD22" s="36">
        <f>-NA_monthly!AD25+NA_monthly!AC25</f>
        <v>-26.291259999999994</v>
      </c>
      <c r="AE22" s="36">
        <f>-NA_monthly!AE25+NA_monthly!AD25</f>
        <v>-3.3758199999999903</v>
      </c>
      <c r="AF22" s="36">
        <f>-NA_monthly!AF25+NA_monthly!AE25</f>
        <v>8.3480499999999864</v>
      </c>
      <c r="AG22" s="36">
        <f>-NA_monthly!AG25+NA_monthly!AF25</f>
        <v>2.5509300000000081</v>
      </c>
      <c r="AH22" s="36">
        <f>-NA_monthly!AH25+NA_monthly!AG25</f>
        <v>9.7520099999999985</v>
      </c>
      <c r="AI22" s="36">
        <f>-NA_monthly!AI25+NA_monthly!AH25</f>
        <v>-3.4883699999999891</v>
      </c>
      <c r="AJ22" s="36">
        <f>-NA_monthly!AJ25+NA_monthly!AI25</f>
        <v>3.1922599999999903</v>
      </c>
      <c r="AK22" s="36">
        <f>-NA_monthly!AK25+NA_monthly!AJ25</f>
        <v>8.9442400000000077</v>
      </c>
      <c r="AL22" s="36">
        <f>-NA_monthly!AL25+NA_monthly!AK25</f>
        <v>9.7148899999999969</v>
      </c>
      <c r="AM22" s="36">
        <f>-NA_monthly!AM25+NA_monthly!AL25</f>
        <v>-24.394040000000004</v>
      </c>
      <c r="AN22" s="36">
        <f>-NA_monthly!AN25+NA_monthly!AM25</f>
        <v>9.6191700000000111</v>
      </c>
      <c r="AO22" s="36">
        <f>-NA_monthly!AO25+NA_monthly!AN25</f>
        <v>8.4040399999999877</v>
      </c>
      <c r="AP22" s="36">
        <f>-NA_monthly!AP25+NA_monthly!AO25</f>
        <v>-69.542629999999974</v>
      </c>
      <c r="AQ22" s="36">
        <f>-NA_monthly!AQ25+NA_monthly!AP25</f>
        <v>9.5826899999999853</v>
      </c>
      <c r="AR22" s="36">
        <f>-NA_monthly!AR25+NA_monthly!AQ25</f>
        <v>11.172389999999993</v>
      </c>
      <c r="AS22" s="36">
        <f>-NA_monthly!AS25+NA_monthly!AR25</f>
        <v>1.6085100000000097</v>
      </c>
      <c r="AT22" s="36">
        <f>-NA_monthly!AT25+NA_monthly!AS25</f>
        <v>9.5893799999999914</v>
      </c>
      <c r="AU22" s="36">
        <f>-NA_monthly!AU25+NA_monthly!AT25</f>
        <v>7.3756999999999948</v>
      </c>
      <c r="AV22" s="36">
        <f>-NA_monthly!AV25+NA_monthly!AU25</f>
        <v>9.520450000000011</v>
      </c>
      <c r="AW22" s="36">
        <f>-NA_monthly!AW25+NA_monthly!AV25</f>
        <v>5.5185299999999984</v>
      </c>
      <c r="AX22" s="36">
        <f>-NA_monthly!AX25+NA_monthly!AW25</f>
        <v>11.194239999999994</v>
      </c>
      <c r="AY22" s="36">
        <f>-NA_monthly!AY25+NA_monthly!AX25</f>
        <v>1.6236700000000042</v>
      </c>
      <c r="AZ22" s="36">
        <f>-NA_monthly!AZ25+NA_monthly!AY25</f>
        <v>7.8726900000000057</v>
      </c>
      <c r="BA22" s="36">
        <f>-NA_monthly!BA25+NA_monthly!AZ25</f>
        <v>6.1107900000000015</v>
      </c>
      <c r="BB22" s="36">
        <f>-NA_monthly!BB25+NA_monthly!BA25</f>
        <v>51.301449999999996</v>
      </c>
      <c r="BC22" s="36">
        <f>-NA_monthly!BC25+NA_monthly!BB25</f>
        <v>0</v>
      </c>
      <c r="BD22" s="36">
        <f>-NA_monthly!BD25+NA_monthly!BC25</f>
        <v>0</v>
      </c>
      <c r="BE22" s="36">
        <f>-NA_monthly!BE25+NA_monthly!BD25</f>
        <v>0</v>
      </c>
      <c r="BF22" s="36">
        <f>-NA_monthly!BF25+NA_monthly!BE25</f>
        <v>0</v>
      </c>
      <c r="BG22" s="36">
        <f>-NA_monthly!BG25+NA_monthly!BF25</f>
        <v>0</v>
      </c>
      <c r="BH22" s="36">
        <f>-NA_monthly!BH25+NA_monthly!BG25</f>
        <v>0</v>
      </c>
      <c r="BI22" s="36">
        <f>-NA_monthly!BI25+NA_monthly!BH25</f>
        <v>0</v>
      </c>
      <c r="BJ22" s="36">
        <f>-NA_monthly!BJ25+NA_monthly!BI25</f>
        <v>0</v>
      </c>
      <c r="BK22" s="36">
        <f>-NA_monthly!BK25+NA_monthly!BJ25</f>
        <v>0</v>
      </c>
      <c r="BL22" s="36">
        <f>-NA_monthly!BL25+NA_monthly!BK25</f>
        <v>0</v>
      </c>
      <c r="BM22" s="36">
        <f>-NA_monthly!BM25+NA_monthly!BL25</f>
        <v>0</v>
      </c>
      <c r="BN22" s="36">
        <f>-NA_monthly!BN25+NA_monthly!BM25</f>
        <v>0</v>
      </c>
      <c r="BO22" s="36">
        <f>-NA_monthly!BO25+NA_monthly!BN25</f>
        <v>0</v>
      </c>
      <c r="BP22" s="36">
        <f>-NA_monthly!BP25+NA_monthly!BO25</f>
        <v>0</v>
      </c>
      <c r="BQ22" s="36">
        <f>-NA_monthly!BQ25+NA_monthly!BP25</f>
        <v>0</v>
      </c>
      <c r="BR22" s="36">
        <f>-NA_monthly!BR25+NA_monthly!BQ25</f>
        <v>0</v>
      </c>
      <c r="BS22" s="36">
        <f>-NA_monthly!BS25+NA_monthly!BR25</f>
        <v>0</v>
      </c>
      <c r="BT22" s="36">
        <f>-NA_monthly!BT25+NA_monthly!BS25</f>
        <v>0</v>
      </c>
      <c r="BU22" s="36">
        <f>-NA_monthly!BU25+NA_monthly!BT25</f>
        <v>0</v>
      </c>
      <c r="BV22" s="36">
        <f>-NA_monthly!BV25+NA_monthly!BU25</f>
        <v>0</v>
      </c>
      <c r="BW22" s="36">
        <f>-NA_monthly!BW25+NA_monthly!BV25</f>
        <v>0</v>
      </c>
      <c r="BX22" s="36">
        <f>-NA_monthly!BX25+NA_monthly!BW25</f>
        <v>0</v>
      </c>
      <c r="BY22" s="36">
        <f>-NA_monthly!BY25+NA_monthly!BX25</f>
        <v>0</v>
      </c>
      <c r="BZ22" s="36">
        <f>-NA_monthly!BZ25+NA_monthly!BY25</f>
        <v>0</v>
      </c>
      <c r="CA22" s="36">
        <f>-NA_monthly!CA25+NA_monthly!BZ25</f>
        <v>0</v>
      </c>
      <c r="CB22" s="36">
        <f>-NA_monthly!CB25+NA_monthly!CA25</f>
        <v>0</v>
      </c>
      <c r="CC22" s="36">
        <f>-NA_monthly!CC25+NA_monthly!CB25</f>
        <v>0</v>
      </c>
      <c r="CD22" s="36">
        <f>-NA_monthly!CD25+NA_monthly!CC25</f>
        <v>0</v>
      </c>
      <c r="CE22" s="36">
        <f>-NA_monthly!CE25+NA_monthly!CD25</f>
        <v>0</v>
      </c>
      <c r="CF22" s="36">
        <f>-NA_monthly!CF25+NA_monthly!CE25</f>
        <v>0</v>
      </c>
      <c r="CG22" s="36">
        <f>-NA_monthly!CG25+NA_monthly!CF25</f>
        <v>0</v>
      </c>
      <c r="CH22" s="36">
        <f>-NA_monthly!CH25+NA_monthly!CG25</f>
        <v>0</v>
      </c>
      <c r="CI22" s="36">
        <f>-NA_monthly!CI25+NA_monthly!CH25</f>
        <v>0</v>
      </c>
      <c r="CJ22" s="36">
        <f>-NA_monthly!CJ25+NA_monthly!CI25</f>
        <v>0</v>
      </c>
      <c r="CK22" s="36">
        <f>-NA_monthly!CK25+NA_monthly!CJ25</f>
        <v>0</v>
      </c>
    </row>
    <row r="23" spans="3:89" ht="11.25" customHeight="1" x14ac:dyDescent="0.2">
      <c r="C23" s="37" t="str">
        <f>"∆ "&amp;'Lead NA'!C26</f>
        <v>∆ Geleistete Anzahlung</v>
      </c>
      <c r="D23" s="37" t="str">
        <f>"∆ "&amp;'Lead NA'!D26</f>
        <v>∆ Receivables from affiliated/ participating companies</v>
      </c>
      <c r="E23" s="96"/>
      <c r="F23" s="96"/>
      <c r="G23" s="36">
        <f>-NA_monthly!G26+NA_monthly!F26</f>
        <v>0</v>
      </c>
      <c r="H23" s="36">
        <f>-NA_monthly!H26+NA_monthly!G26</f>
        <v>0</v>
      </c>
      <c r="I23" s="36">
        <f>-NA_monthly!I26+NA_monthly!H26</f>
        <v>0</v>
      </c>
      <c r="J23" s="36">
        <f>-NA_monthly!J26+NA_monthly!I26</f>
        <v>0</v>
      </c>
      <c r="K23" s="36">
        <f>-NA_monthly!K26+NA_monthly!J26</f>
        <v>0</v>
      </c>
      <c r="L23" s="36">
        <f>-NA_monthly!L26+NA_monthly!K26</f>
        <v>0</v>
      </c>
      <c r="M23" s="36">
        <f>-NA_monthly!M26+NA_monthly!L26</f>
        <v>0</v>
      </c>
      <c r="N23" s="36">
        <f>-NA_monthly!N26+NA_monthly!M26</f>
        <v>0</v>
      </c>
      <c r="O23" s="36">
        <f>-NA_monthly!O26+NA_monthly!N26</f>
        <v>0</v>
      </c>
      <c r="P23" s="36">
        <f>-NA_monthly!P26+NA_monthly!O26</f>
        <v>0</v>
      </c>
      <c r="Q23" s="36">
        <f>-NA_monthly!Q26+NA_monthly!P26</f>
        <v>0</v>
      </c>
      <c r="R23" s="36">
        <f>-NA_monthly!R26+NA_monthly!Q26</f>
        <v>0</v>
      </c>
      <c r="S23" s="36">
        <f>-NA_monthly!S26+NA_monthly!R26</f>
        <v>0</v>
      </c>
      <c r="T23" s="36">
        <f>-NA_monthly!T26+NA_monthly!S26</f>
        <v>0</v>
      </c>
      <c r="U23" s="36">
        <f>-NA_monthly!U26+NA_monthly!T26</f>
        <v>0</v>
      </c>
      <c r="V23" s="36">
        <f>-NA_monthly!V26+NA_monthly!U26</f>
        <v>0</v>
      </c>
      <c r="W23" s="36">
        <f>-NA_monthly!W26+NA_monthly!V26</f>
        <v>0</v>
      </c>
      <c r="X23" s="36">
        <f>-NA_monthly!X26+NA_monthly!W26</f>
        <v>0</v>
      </c>
      <c r="Y23" s="36">
        <f>-NA_monthly!Y26+NA_monthly!X26</f>
        <v>0</v>
      </c>
      <c r="Z23" s="36">
        <f>-NA_monthly!Z26+NA_monthly!Y26</f>
        <v>0</v>
      </c>
      <c r="AA23" s="36">
        <f>-NA_monthly!AA26+NA_monthly!Z26</f>
        <v>0</v>
      </c>
      <c r="AB23" s="36">
        <f>-NA_monthly!AB26+NA_monthly!AA26</f>
        <v>0</v>
      </c>
      <c r="AC23" s="36">
        <f>-NA_monthly!AC26+NA_monthly!AB26</f>
        <v>0</v>
      </c>
      <c r="AD23" s="36">
        <f>-NA_monthly!AD26+NA_monthly!AC26</f>
        <v>0</v>
      </c>
      <c r="AE23" s="36">
        <f>-NA_monthly!AE26+NA_monthly!AD26</f>
        <v>0</v>
      </c>
      <c r="AF23" s="36">
        <f>-NA_monthly!AF26+NA_monthly!AE26</f>
        <v>0</v>
      </c>
      <c r="AG23" s="36">
        <f>-NA_monthly!AG26+NA_monthly!AF26</f>
        <v>0</v>
      </c>
      <c r="AH23" s="36">
        <f>-NA_monthly!AH26+NA_monthly!AG26</f>
        <v>0</v>
      </c>
      <c r="AI23" s="36">
        <f>-NA_monthly!AI26+NA_monthly!AH26</f>
        <v>0</v>
      </c>
      <c r="AJ23" s="36">
        <f>-NA_monthly!AJ26+NA_monthly!AI26</f>
        <v>0</v>
      </c>
      <c r="AK23" s="36">
        <f>-NA_monthly!AK26+NA_monthly!AJ26</f>
        <v>0</v>
      </c>
      <c r="AL23" s="36">
        <f>-NA_monthly!AL26+NA_monthly!AK26</f>
        <v>0</v>
      </c>
      <c r="AM23" s="36">
        <f>-NA_monthly!AM26+NA_monthly!AL26</f>
        <v>0</v>
      </c>
      <c r="AN23" s="36">
        <f>-NA_monthly!AN26+NA_monthly!AM26</f>
        <v>0</v>
      </c>
      <c r="AO23" s="36">
        <f>-NA_monthly!AO26+NA_monthly!AN26</f>
        <v>0</v>
      </c>
      <c r="AP23" s="36">
        <f>-NA_monthly!AP26+NA_monthly!AO26</f>
        <v>0</v>
      </c>
      <c r="AQ23" s="36">
        <f>-NA_monthly!AQ26+NA_monthly!AP26</f>
        <v>0</v>
      </c>
      <c r="AR23" s="36">
        <f>-NA_monthly!AR26+NA_monthly!AQ26</f>
        <v>0</v>
      </c>
      <c r="AS23" s="36">
        <f>-NA_monthly!AS26+NA_monthly!AR26</f>
        <v>0</v>
      </c>
      <c r="AT23" s="36">
        <f>-NA_monthly!AT26+NA_monthly!AS26</f>
        <v>0</v>
      </c>
      <c r="AU23" s="36">
        <f>-NA_monthly!AU26+NA_monthly!AT26</f>
        <v>0</v>
      </c>
      <c r="AV23" s="36">
        <f>-NA_monthly!AV26+NA_monthly!AU26</f>
        <v>0</v>
      </c>
      <c r="AW23" s="36">
        <f>-NA_monthly!AW26+NA_monthly!AV26</f>
        <v>0</v>
      </c>
      <c r="AX23" s="36">
        <f>-NA_monthly!AX26+NA_monthly!AW26</f>
        <v>0</v>
      </c>
      <c r="AY23" s="36">
        <f>-NA_monthly!AY26+NA_monthly!AX26</f>
        <v>0</v>
      </c>
      <c r="AZ23" s="36">
        <f>-NA_monthly!AZ26+NA_monthly!AY26</f>
        <v>0</v>
      </c>
      <c r="BA23" s="36">
        <f>-NA_monthly!BA26+NA_monthly!AZ26</f>
        <v>0</v>
      </c>
      <c r="BB23" s="36">
        <f>-NA_monthly!BB26+NA_monthly!BA26</f>
        <v>0</v>
      </c>
      <c r="BC23" s="36">
        <f>-NA_monthly!BC26+NA_monthly!BB26</f>
        <v>0</v>
      </c>
      <c r="BD23" s="36">
        <f>-NA_monthly!BD26+NA_monthly!BC26</f>
        <v>0</v>
      </c>
      <c r="BE23" s="36">
        <f>-NA_monthly!BE26+NA_monthly!BD26</f>
        <v>0</v>
      </c>
      <c r="BF23" s="36">
        <f>-NA_monthly!BF26+NA_monthly!BE26</f>
        <v>0</v>
      </c>
      <c r="BG23" s="36">
        <f>-NA_monthly!BG26+NA_monthly!BF26</f>
        <v>0</v>
      </c>
      <c r="BH23" s="36">
        <f>-NA_monthly!BH26+NA_monthly!BG26</f>
        <v>0</v>
      </c>
      <c r="BI23" s="36">
        <f>-NA_monthly!BI26+NA_monthly!BH26</f>
        <v>0</v>
      </c>
      <c r="BJ23" s="36">
        <f>-NA_monthly!BJ26+NA_monthly!BI26</f>
        <v>0</v>
      </c>
      <c r="BK23" s="36">
        <f>-NA_monthly!BK26+NA_monthly!BJ26</f>
        <v>0</v>
      </c>
      <c r="BL23" s="36">
        <f>-NA_monthly!BL26+NA_monthly!BK26</f>
        <v>0</v>
      </c>
      <c r="BM23" s="36">
        <f>-NA_monthly!BM26+NA_monthly!BL26</f>
        <v>0</v>
      </c>
      <c r="BN23" s="36">
        <f>-NA_monthly!BN26+NA_monthly!BM26</f>
        <v>0</v>
      </c>
      <c r="BO23" s="36">
        <f>-NA_monthly!BO26+NA_monthly!BN26</f>
        <v>0</v>
      </c>
      <c r="BP23" s="36">
        <f>-NA_monthly!BP26+NA_monthly!BO26</f>
        <v>0</v>
      </c>
      <c r="BQ23" s="36">
        <f>-NA_monthly!BQ26+NA_monthly!BP26</f>
        <v>0</v>
      </c>
      <c r="BR23" s="36">
        <f>-NA_monthly!BR26+NA_monthly!BQ26</f>
        <v>0</v>
      </c>
      <c r="BS23" s="36">
        <f>-NA_monthly!BS26+NA_monthly!BR26</f>
        <v>0</v>
      </c>
      <c r="BT23" s="36">
        <f>-NA_monthly!BT26+NA_monthly!BS26</f>
        <v>0</v>
      </c>
      <c r="BU23" s="36">
        <f>-NA_monthly!BU26+NA_monthly!BT26</f>
        <v>0</v>
      </c>
      <c r="BV23" s="36">
        <f>-NA_monthly!BV26+NA_monthly!BU26</f>
        <v>0</v>
      </c>
      <c r="BW23" s="36">
        <f>-NA_monthly!BW26+NA_monthly!BV26</f>
        <v>0</v>
      </c>
      <c r="BX23" s="36">
        <f>-NA_monthly!BX26+NA_monthly!BW26</f>
        <v>0</v>
      </c>
      <c r="BY23" s="36">
        <f>-NA_monthly!BY26+NA_monthly!BX26</f>
        <v>0</v>
      </c>
      <c r="BZ23" s="36">
        <f>-NA_monthly!BZ26+NA_monthly!BY26</f>
        <v>0</v>
      </c>
      <c r="CA23" s="36">
        <f>-NA_monthly!CA26+NA_monthly!BZ26</f>
        <v>0</v>
      </c>
      <c r="CB23" s="36">
        <f>-NA_monthly!CB26+NA_monthly!CA26</f>
        <v>0</v>
      </c>
      <c r="CC23" s="36">
        <f>-NA_monthly!CC26+NA_monthly!CB26</f>
        <v>0</v>
      </c>
      <c r="CD23" s="36">
        <f>-NA_monthly!CD26+NA_monthly!CC26</f>
        <v>0</v>
      </c>
      <c r="CE23" s="36">
        <f>-NA_monthly!CE26+NA_monthly!CD26</f>
        <v>0</v>
      </c>
      <c r="CF23" s="36">
        <f>-NA_monthly!CF26+NA_monthly!CE26</f>
        <v>0</v>
      </c>
      <c r="CG23" s="36">
        <f>-NA_monthly!CG26+NA_monthly!CF26</f>
        <v>0</v>
      </c>
      <c r="CH23" s="36">
        <f>-NA_monthly!CH26+NA_monthly!CG26</f>
        <v>0</v>
      </c>
      <c r="CI23" s="36">
        <f>-NA_monthly!CI26+NA_monthly!CH26</f>
        <v>0</v>
      </c>
      <c r="CJ23" s="36">
        <f>-NA_monthly!CJ26+NA_monthly!CI26</f>
        <v>0</v>
      </c>
      <c r="CK23" s="36">
        <f>-NA_monthly!CK26+NA_monthly!CJ26</f>
        <v>0</v>
      </c>
    </row>
    <row r="24" spans="3:89" ht="11.25" customHeight="1" x14ac:dyDescent="0.2">
      <c r="C24" s="37" t="e">
        <f>"∆ "&amp;'Lead NA'!#REF!</f>
        <v>#REF!</v>
      </c>
      <c r="D24" s="37" t="e">
        <f>"∆ "&amp;'Lead NA'!#REF!</f>
        <v>#REF!</v>
      </c>
      <c r="E24" s="96"/>
      <c r="F24" s="96"/>
      <c r="G24" s="36">
        <f>-NA_monthly!G27+NA_monthly!F27</f>
        <v>0</v>
      </c>
      <c r="H24" s="36">
        <f>-NA_monthly!H27+NA_monthly!G27</f>
        <v>0</v>
      </c>
      <c r="I24" s="36">
        <f>-NA_monthly!I27+NA_monthly!H27</f>
        <v>0</v>
      </c>
      <c r="J24" s="36">
        <f>-NA_monthly!J27+NA_monthly!I27</f>
        <v>0</v>
      </c>
      <c r="K24" s="36">
        <f>-NA_monthly!K27+NA_monthly!J27</f>
        <v>0</v>
      </c>
      <c r="L24" s="36">
        <f>-NA_monthly!L27+NA_monthly!K27</f>
        <v>0</v>
      </c>
      <c r="M24" s="36">
        <f>-NA_monthly!M27+NA_monthly!L27</f>
        <v>0</v>
      </c>
      <c r="N24" s="36">
        <f>-NA_monthly!N27+NA_monthly!M27</f>
        <v>0</v>
      </c>
      <c r="O24" s="36">
        <f>-NA_monthly!O27+NA_monthly!N27</f>
        <v>0</v>
      </c>
      <c r="P24" s="36">
        <f>-NA_monthly!P27+NA_monthly!O27</f>
        <v>0</v>
      </c>
      <c r="Q24" s="36">
        <f>-NA_monthly!Q27+NA_monthly!P27</f>
        <v>0</v>
      </c>
      <c r="R24" s="36">
        <f>-NA_monthly!R27+NA_monthly!Q27</f>
        <v>0</v>
      </c>
      <c r="S24" s="36">
        <f>-NA_monthly!S27+NA_monthly!R27</f>
        <v>0</v>
      </c>
      <c r="T24" s="36">
        <f>-NA_monthly!T27+NA_monthly!S27</f>
        <v>0</v>
      </c>
      <c r="U24" s="36">
        <f>-NA_monthly!U27+NA_monthly!T27</f>
        <v>0</v>
      </c>
      <c r="V24" s="36">
        <f>-NA_monthly!V27+NA_monthly!U27</f>
        <v>0</v>
      </c>
      <c r="W24" s="36">
        <f>-NA_monthly!W27+NA_monthly!V27</f>
        <v>0</v>
      </c>
      <c r="X24" s="36">
        <f>-NA_monthly!X27+NA_monthly!W27</f>
        <v>0</v>
      </c>
      <c r="Y24" s="36">
        <f>-NA_monthly!Y27+NA_monthly!X27</f>
        <v>0</v>
      </c>
      <c r="Z24" s="36">
        <f>-NA_monthly!Z27+NA_monthly!Y27</f>
        <v>0</v>
      </c>
      <c r="AA24" s="36">
        <f>-NA_monthly!AA27+NA_monthly!Z27</f>
        <v>0</v>
      </c>
      <c r="AB24" s="36">
        <f>-NA_monthly!AB27+NA_monthly!AA27</f>
        <v>0</v>
      </c>
      <c r="AC24" s="36">
        <f>-NA_monthly!AC27+NA_monthly!AB27</f>
        <v>0</v>
      </c>
      <c r="AD24" s="36">
        <f>-NA_monthly!AD27+NA_monthly!AC27</f>
        <v>0</v>
      </c>
      <c r="AE24" s="36">
        <f>-NA_monthly!AE27+NA_monthly!AD27</f>
        <v>0</v>
      </c>
      <c r="AF24" s="36">
        <f>-NA_monthly!AF27+NA_monthly!AE27</f>
        <v>0</v>
      </c>
      <c r="AG24" s="36">
        <f>-NA_monthly!AG27+NA_monthly!AF27</f>
        <v>0</v>
      </c>
      <c r="AH24" s="36">
        <f>-NA_monthly!AH27+NA_monthly!AG27</f>
        <v>0</v>
      </c>
      <c r="AI24" s="36">
        <f>-NA_monthly!AI27+NA_monthly!AH27</f>
        <v>0</v>
      </c>
      <c r="AJ24" s="36">
        <f>-NA_monthly!AJ27+NA_monthly!AI27</f>
        <v>0</v>
      </c>
      <c r="AK24" s="36">
        <f>-NA_monthly!AK27+NA_monthly!AJ27</f>
        <v>0</v>
      </c>
      <c r="AL24" s="36">
        <f>-NA_monthly!AL27+NA_monthly!AK27</f>
        <v>0</v>
      </c>
      <c r="AM24" s="36">
        <f>-NA_monthly!AM27+NA_monthly!AL27</f>
        <v>0</v>
      </c>
      <c r="AN24" s="36">
        <f>-NA_monthly!AN27+NA_monthly!AM27</f>
        <v>0</v>
      </c>
      <c r="AO24" s="36">
        <f>-NA_monthly!AO27+NA_monthly!AN27</f>
        <v>0</v>
      </c>
      <c r="AP24" s="36">
        <f>-NA_monthly!AP27+NA_monthly!AO27</f>
        <v>0</v>
      </c>
      <c r="AQ24" s="36">
        <f>-NA_monthly!AQ27+NA_monthly!AP27</f>
        <v>0</v>
      </c>
      <c r="AR24" s="36">
        <f>-NA_monthly!AR27+NA_monthly!AQ27</f>
        <v>0</v>
      </c>
      <c r="AS24" s="36">
        <f>-NA_monthly!AS27+NA_monthly!AR27</f>
        <v>0</v>
      </c>
      <c r="AT24" s="36">
        <f>-NA_monthly!AT27+NA_monthly!AS27</f>
        <v>0</v>
      </c>
      <c r="AU24" s="36">
        <f>-NA_monthly!AU27+NA_monthly!AT27</f>
        <v>0</v>
      </c>
      <c r="AV24" s="36">
        <f>-NA_monthly!AV27+NA_monthly!AU27</f>
        <v>0</v>
      </c>
      <c r="AW24" s="36">
        <f>-NA_monthly!AW27+NA_monthly!AV27</f>
        <v>0</v>
      </c>
      <c r="AX24" s="36">
        <f>-NA_monthly!AX27+NA_monthly!AW27</f>
        <v>0</v>
      </c>
      <c r="AY24" s="36">
        <f>-NA_monthly!AY27+NA_monthly!AX27</f>
        <v>0</v>
      </c>
      <c r="AZ24" s="36">
        <f>-NA_monthly!AZ27+NA_monthly!AY27</f>
        <v>0</v>
      </c>
      <c r="BA24" s="36">
        <f>-NA_monthly!BA27+NA_monthly!AZ27</f>
        <v>0</v>
      </c>
      <c r="BB24" s="36">
        <f>-NA_monthly!BB27+NA_monthly!BA27</f>
        <v>0</v>
      </c>
      <c r="BC24" s="36">
        <f>-NA_monthly!BC27+NA_monthly!BB27</f>
        <v>0</v>
      </c>
      <c r="BD24" s="36">
        <f>-NA_monthly!BD27+NA_monthly!BC27</f>
        <v>0</v>
      </c>
      <c r="BE24" s="36">
        <f>-NA_monthly!BE27+NA_monthly!BD27</f>
        <v>0</v>
      </c>
      <c r="BF24" s="36">
        <f>-NA_monthly!BF27+NA_monthly!BE27</f>
        <v>0</v>
      </c>
      <c r="BG24" s="36">
        <f>-NA_monthly!BG27+NA_monthly!BF27</f>
        <v>0</v>
      </c>
      <c r="BH24" s="36">
        <f>-NA_monthly!BH27+NA_monthly!BG27</f>
        <v>0</v>
      </c>
      <c r="BI24" s="36">
        <f>-NA_monthly!BI27+NA_monthly!BH27</f>
        <v>0</v>
      </c>
      <c r="BJ24" s="36">
        <f>-NA_monthly!BJ27+NA_monthly!BI27</f>
        <v>0</v>
      </c>
      <c r="BK24" s="36">
        <f>-NA_monthly!BK27+NA_monthly!BJ27</f>
        <v>0</v>
      </c>
      <c r="BL24" s="36">
        <f>-NA_monthly!BL27+NA_monthly!BK27</f>
        <v>0</v>
      </c>
      <c r="BM24" s="36">
        <f>-NA_monthly!BM27+NA_monthly!BL27</f>
        <v>0</v>
      </c>
      <c r="BN24" s="36">
        <f>-NA_monthly!BN27+NA_monthly!BM27</f>
        <v>0</v>
      </c>
      <c r="BO24" s="36">
        <f>-NA_monthly!BO27+NA_monthly!BN27</f>
        <v>0</v>
      </c>
      <c r="BP24" s="36">
        <f>-NA_monthly!BP27+NA_monthly!BO27</f>
        <v>0</v>
      </c>
      <c r="BQ24" s="36">
        <f>-NA_monthly!BQ27+NA_monthly!BP27</f>
        <v>0</v>
      </c>
      <c r="BR24" s="36">
        <f>-NA_monthly!BR27+NA_monthly!BQ27</f>
        <v>0</v>
      </c>
      <c r="BS24" s="36">
        <f>-NA_monthly!BS27+NA_monthly!BR27</f>
        <v>0</v>
      </c>
      <c r="BT24" s="36">
        <f>-NA_monthly!BT27+NA_monthly!BS27</f>
        <v>0</v>
      </c>
      <c r="BU24" s="36">
        <f>-NA_monthly!BU27+NA_monthly!BT27</f>
        <v>0</v>
      </c>
      <c r="BV24" s="36">
        <f>-NA_monthly!BV27+NA_monthly!BU27</f>
        <v>0</v>
      </c>
      <c r="BW24" s="36">
        <f>-NA_monthly!BW27+NA_monthly!BV27</f>
        <v>0</v>
      </c>
      <c r="BX24" s="36">
        <f>-NA_monthly!BX27+NA_monthly!BW27</f>
        <v>0</v>
      </c>
      <c r="BY24" s="36">
        <f>-NA_monthly!BY27+NA_monthly!BX27</f>
        <v>0</v>
      </c>
      <c r="BZ24" s="36">
        <f>-NA_monthly!BZ27+NA_monthly!BY27</f>
        <v>0</v>
      </c>
      <c r="CA24" s="36">
        <f>-NA_monthly!CA27+NA_monthly!BZ27</f>
        <v>0</v>
      </c>
      <c r="CB24" s="36">
        <f>-NA_monthly!CB27+NA_monthly!CA27</f>
        <v>0</v>
      </c>
      <c r="CC24" s="36">
        <f>-NA_monthly!CC27+NA_monthly!CB27</f>
        <v>0</v>
      </c>
      <c r="CD24" s="36">
        <f>-NA_monthly!CD27+NA_monthly!CC27</f>
        <v>0</v>
      </c>
      <c r="CE24" s="36">
        <f>-NA_monthly!CE27+NA_monthly!CD27</f>
        <v>0</v>
      </c>
      <c r="CF24" s="36">
        <f>-NA_monthly!CF27+NA_monthly!CE27</f>
        <v>0</v>
      </c>
      <c r="CG24" s="36">
        <f>-NA_monthly!CG27+NA_monthly!CF27</f>
        <v>0</v>
      </c>
      <c r="CH24" s="36">
        <f>-NA_monthly!CH27+NA_monthly!CG27</f>
        <v>0</v>
      </c>
      <c r="CI24" s="36">
        <f>-NA_monthly!CI27+NA_monthly!CH27</f>
        <v>0</v>
      </c>
      <c r="CJ24" s="36">
        <f>-NA_monthly!CJ27+NA_monthly!CI27</f>
        <v>0</v>
      </c>
      <c r="CK24" s="36">
        <f>-NA_monthly!CK27+NA_monthly!CJ27</f>
        <v>0</v>
      </c>
    </row>
    <row r="25" spans="3:89" ht="11.25" customHeight="1" outlineLevel="2" x14ac:dyDescent="0.2">
      <c r="C25" s="37" t="str">
        <f>"∆ "&amp;'Lead NA'!C27</f>
        <v>∆ Dummy 2</v>
      </c>
      <c r="D25" s="37" t="str">
        <f>"∆ "&amp;'Lead NA'!D27</f>
        <v xml:space="preserve">∆ </v>
      </c>
      <c r="E25" s="96"/>
      <c r="F25" s="96"/>
      <c r="G25" s="36">
        <f>-NA_monthly!G28+NA_monthly!F28</f>
        <v>0</v>
      </c>
      <c r="H25" s="36">
        <f>-NA_monthly!H28+NA_monthly!G28</f>
        <v>0</v>
      </c>
      <c r="I25" s="36">
        <f>-NA_monthly!I28+NA_monthly!H28</f>
        <v>0</v>
      </c>
      <c r="J25" s="36">
        <f>-NA_monthly!J28+NA_monthly!I28</f>
        <v>0</v>
      </c>
      <c r="K25" s="36">
        <f>-NA_monthly!K28+NA_monthly!J28</f>
        <v>0</v>
      </c>
      <c r="L25" s="36">
        <f>-NA_monthly!L28+NA_monthly!K28</f>
        <v>0</v>
      </c>
      <c r="M25" s="36">
        <f>-NA_monthly!M28+NA_monthly!L28</f>
        <v>0</v>
      </c>
      <c r="N25" s="36">
        <f>-NA_monthly!N28+NA_monthly!M28</f>
        <v>0</v>
      </c>
      <c r="O25" s="36">
        <f>-NA_monthly!O28+NA_monthly!N28</f>
        <v>0</v>
      </c>
      <c r="P25" s="36">
        <f>-NA_monthly!P28+NA_monthly!O28</f>
        <v>0</v>
      </c>
      <c r="Q25" s="36">
        <f>-NA_monthly!Q28+NA_monthly!P28</f>
        <v>0</v>
      </c>
      <c r="R25" s="36">
        <f>-NA_monthly!R28+NA_monthly!Q28</f>
        <v>0</v>
      </c>
      <c r="S25" s="36">
        <f>-NA_monthly!S28+NA_monthly!R28</f>
        <v>0</v>
      </c>
      <c r="T25" s="36">
        <f>-NA_monthly!T28+NA_monthly!S28</f>
        <v>0</v>
      </c>
      <c r="U25" s="36">
        <f>-NA_monthly!U28+NA_monthly!T28</f>
        <v>0</v>
      </c>
      <c r="V25" s="36">
        <f>-NA_monthly!V28+NA_monthly!U28</f>
        <v>0</v>
      </c>
      <c r="W25" s="36">
        <f>-NA_monthly!W28+NA_monthly!V28</f>
        <v>0</v>
      </c>
      <c r="X25" s="36">
        <f>-NA_monthly!X28+NA_monthly!W28</f>
        <v>0</v>
      </c>
      <c r="Y25" s="36">
        <f>-NA_monthly!Y28+NA_monthly!X28</f>
        <v>0</v>
      </c>
      <c r="Z25" s="36">
        <f>-NA_monthly!Z28+NA_monthly!Y28</f>
        <v>0</v>
      </c>
      <c r="AA25" s="36">
        <f>-NA_monthly!AA28+NA_monthly!Z28</f>
        <v>0</v>
      </c>
      <c r="AB25" s="36">
        <f>-NA_monthly!AB28+NA_monthly!AA28</f>
        <v>0</v>
      </c>
      <c r="AC25" s="36">
        <f>-NA_monthly!AC28+NA_monthly!AB28</f>
        <v>0</v>
      </c>
      <c r="AD25" s="36">
        <f>-NA_monthly!AD28+NA_monthly!AC28</f>
        <v>0</v>
      </c>
      <c r="AE25" s="36">
        <f>-NA_monthly!AE28+NA_monthly!AD28</f>
        <v>0</v>
      </c>
      <c r="AF25" s="36">
        <f>-NA_monthly!AF28+NA_monthly!AE28</f>
        <v>0</v>
      </c>
      <c r="AG25" s="36">
        <f>-NA_monthly!AG28+NA_monthly!AF28</f>
        <v>0</v>
      </c>
      <c r="AH25" s="36">
        <f>-NA_monthly!AH28+NA_monthly!AG28</f>
        <v>0</v>
      </c>
      <c r="AI25" s="36">
        <f>-NA_monthly!AI28+NA_monthly!AH28</f>
        <v>0</v>
      </c>
      <c r="AJ25" s="36">
        <f>-NA_monthly!AJ28+NA_monthly!AI28</f>
        <v>0</v>
      </c>
      <c r="AK25" s="36">
        <f>-NA_monthly!AK28+NA_monthly!AJ28</f>
        <v>0</v>
      </c>
      <c r="AL25" s="36">
        <f>-NA_monthly!AL28+NA_monthly!AK28</f>
        <v>0</v>
      </c>
      <c r="AM25" s="36">
        <f>-NA_monthly!AM28+NA_monthly!AL28</f>
        <v>0</v>
      </c>
      <c r="AN25" s="36">
        <f>-NA_monthly!AN28+NA_monthly!AM28</f>
        <v>0</v>
      </c>
      <c r="AO25" s="36">
        <f>-NA_monthly!AO28+NA_monthly!AN28</f>
        <v>0</v>
      </c>
      <c r="AP25" s="36">
        <f>-NA_monthly!AP28+NA_monthly!AO28</f>
        <v>0</v>
      </c>
      <c r="AQ25" s="36">
        <f>-NA_monthly!AQ28+NA_monthly!AP28</f>
        <v>0</v>
      </c>
      <c r="AR25" s="36">
        <f>-NA_monthly!AR28+NA_monthly!AQ28</f>
        <v>0</v>
      </c>
      <c r="AS25" s="36">
        <f>-NA_monthly!AS28+NA_monthly!AR28</f>
        <v>0</v>
      </c>
      <c r="AT25" s="36">
        <f>-NA_monthly!AT28+NA_monthly!AS28</f>
        <v>0</v>
      </c>
      <c r="AU25" s="36">
        <f>-NA_monthly!AU28+NA_monthly!AT28</f>
        <v>0</v>
      </c>
      <c r="AV25" s="36">
        <f>-NA_monthly!AV28+NA_monthly!AU28</f>
        <v>0</v>
      </c>
      <c r="AW25" s="36">
        <f>-NA_monthly!AW28+NA_monthly!AV28</f>
        <v>0</v>
      </c>
      <c r="AX25" s="36">
        <f>-NA_monthly!AX28+NA_monthly!AW28</f>
        <v>0</v>
      </c>
      <c r="AY25" s="36">
        <f>-NA_monthly!AY28+NA_monthly!AX28</f>
        <v>0</v>
      </c>
      <c r="AZ25" s="36">
        <f>-NA_monthly!AZ28+NA_monthly!AY28</f>
        <v>0</v>
      </c>
      <c r="BA25" s="36">
        <f>-NA_monthly!BA28+NA_monthly!AZ28</f>
        <v>0</v>
      </c>
      <c r="BB25" s="36">
        <f>-NA_monthly!BB28+NA_monthly!BA28</f>
        <v>0</v>
      </c>
      <c r="BC25" s="36">
        <f>-NA_monthly!BC28+NA_monthly!BB28</f>
        <v>0</v>
      </c>
      <c r="BD25" s="36">
        <f>-NA_monthly!BD28+NA_monthly!BC28</f>
        <v>0</v>
      </c>
      <c r="BE25" s="36">
        <f>-NA_monthly!BE28+NA_monthly!BD28</f>
        <v>0</v>
      </c>
      <c r="BF25" s="36">
        <f>-NA_monthly!BF28+NA_monthly!BE28</f>
        <v>0</v>
      </c>
      <c r="BG25" s="36">
        <f>-NA_monthly!BG28+NA_monthly!BF28</f>
        <v>0</v>
      </c>
      <c r="BH25" s="36">
        <f>-NA_monthly!BH28+NA_monthly!BG28</f>
        <v>0</v>
      </c>
      <c r="BI25" s="36">
        <f>-NA_monthly!BI28+NA_monthly!BH28</f>
        <v>0</v>
      </c>
      <c r="BJ25" s="36">
        <f>-NA_monthly!BJ28+NA_monthly!BI28</f>
        <v>0</v>
      </c>
      <c r="BK25" s="36">
        <f>-NA_monthly!BK28+NA_monthly!BJ28</f>
        <v>0</v>
      </c>
      <c r="BL25" s="36">
        <f>-NA_monthly!BL28+NA_monthly!BK28</f>
        <v>0</v>
      </c>
      <c r="BM25" s="36">
        <f>-NA_monthly!BM28+NA_monthly!BL28</f>
        <v>0</v>
      </c>
      <c r="BN25" s="36">
        <f>-NA_monthly!BN28+NA_monthly!BM28</f>
        <v>0</v>
      </c>
      <c r="BO25" s="36">
        <f>-NA_monthly!BO28+NA_monthly!BN28</f>
        <v>0</v>
      </c>
      <c r="BP25" s="36">
        <f>-NA_monthly!BP28+NA_monthly!BO28</f>
        <v>0</v>
      </c>
      <c r="BQ25" s="36">
        <f>-NA_monthly!BQ28+NA_monthly!BP28</f>
        <v>0</v>
      </c>
      <c r="BR25" s="36">
        <f>-NA_monthly!BR28+NA_monthly!BQ28</f>
        <v>0</v>
      </c>
      <c r="BS25" s="36">
        <f>-NA_monthly!BS28+NA_monthly!BR28</f>
        <v>0</v>
      </c>
      <c r="BT25" s="36">
        <f>-NA_monthly!BT28+NA_monthly!BS28</f>
        <v>0</v>
      </c>
      <c r="BU25" s="36">
        <f>-NA_monthly!BU28+NA_monthly!BT28</f>
        <v>0</v>
      </c>
      <c r="BV25" s="36">
        <f>-NA_monthly!BV28+NA_monthly!BU28</f>
        <v>0</v>
      </c>
      <c r="BW25" s="36">
        <f>-NA_monthly!BW28+NA_monthly!BV28</f>
        <v>0</v>
      </c>
      <c r="BX25" s="36">
        <f>-NA_monthly!BX28+NA_monthly!BW28</f>
        <v>0</v>
      </c>
      <c r="BY25" s="36">
        <f>-NA_monthly!BY28+NA_monthly!BX28</f>
        <v>0</v>
      </c>
      <c r="BZ25" s="36">
        <f>-NA_monthly!BZ28+NA_monthly!BY28</f>
        <v>0</v>
      </c>
      <c r="CA25" s="36">
        <f>-NA_monthly!CA28+NA_monthly!BZ28</f>
        <v>0</v>
      </c>
      <c r="CB25" s="36">
        <f>-NA_monthly!CB28+NA_monthly!CA28</f>
        <v>0</v>
      </c>
      <c r="CC25" s="36">
        <f>-NA_monthly!CC28+NA_monthly!CB28</f>
        <v>0</v>
      </c>
      <c r="CD25" s="36">
        <f>-NA_monthly!CD28+NA_monthly!CC28</f>
        <v>0</v>
      </c>
      <c r="CE25" s="36">
        <f>-NA_monthly!CE28+NA_monthly!CD28</f>
        <v>0</v>
      </c>
      <c r="CF25" s="36">
        <f>-NA_monthly!CF28+NA_monthly!CE28</f>
        <v>0</v>
      </c>
      <c r="CG25" s="36">
        <f>-NA_monthly!CG28+NA_monthly!CF28</f>
        <v>0</v>
      </c>
      <c r="CH25" s="36">
        <f>-NA_monthly!CH28+NA_monthly!CG28</f>
        <v>0</v>
      </c>
      <c r="CI25" s="36">
        <f>-NA_monthly!CI28+NA_monthly!CH28</f>
        <v>0</v>
      </c>
      <c r="CJ25" s="36">
        <f>-NA_monthly!CJ28+NA_monthly!CI28</f>
        <v>0</v>
      </c>
      <c r="CK25" s="36">
        <f>-NA_monthly!CK28+NA_monthly!CJ28</f>
        <v>0</v>
      </c>
    </row>
    <row r="26" spans="3:89" ht="11.25" customHeight="1" outlineLevel="2" x14ac:dyDescent="0.2">
      <c r="C26" s="37" t="str">
        <f>"∆ "&amp;'Lead NA'!C28</f>
        <v>∆ Dummy 2</v>
      </c>
      <c r="D26" s="37" t="str">
        <f>"∆ "&amp;'Lead NA'!D28</f>
        <v>∆ Dummy 2</v>
      </c>
      <c r="E26" s="96"/>
      <c r="F26" s="96"/>
      <c r="G26" s="36">
        <f>-NA_monthly!G29+NA_monthly!F29</f>
        <v>0</v>
      </c>
      <c r="H26" s="36">
        <f>-NA_monthly!H29+NA_monthly!G29</f>
        <v>0</v>
      </c>
      <c r="I26" s="36">
        <f>-NA_monthly!I29+NA_monthly!H29</f>
        <v>0</v>
      </c>
      <c r="J26" s="36">
        <f>-NA_monthly!J29+NA_monthly!I29</f>
        <v>0</v>
      </c>
      <c r="K26" s="36">
        <f>-NA_monthly!K29+NA_monthly!J29</f>
        <v>0</v>
      </c>
      <c r="L26" s="36">
        <f>-NA_monthly!L29+NA_monthly!K29</f>
        <v>0</v>
      </c>
      <c r="M26" s="36">
        <f>-NA_monthly!M29+NA_monthly!L29</f>
        <v>0</v>
      </c>
      <c r="N26" s="36">
        <f>-NA_monthly!N29+NA_monthly!M29</f>
        <v>0</v>
      </c>
      <c r="O26" s="36">
        <f>-NA_monthly!O29+NA_monthly!N29</f>
        <v>0</v>
      </c>
      <c r="P26" s="36">
        <f>-NA_monthly!P29+NA_monthly!O29</f>
        <v>0</v>
      </c>
      <c r="Q26" s="36">
        <f>-NA_monthly!Q29+NA_monthly!P29</f>
        <v>0</v>
      </c>
      <c r="R26" s="36">
        <f>-NA_monthly!R29+NA_monthly!Q29</f>
        <v>0</v>
      </c>
      <c r="S26" s="36">
        <f>-NA_monthly!S29+NA_monthly!R29</f>
        <v>0</v>
      </c>
      <c r="T26" s="36">
        <f>-NA_monthly!T29+NA_monthly!S29</f>
        <v>0</v>
      </c>
      <c r="U26" s="36">
        <f>-NA_monthly!U29+NA_monthly!T29</f>
        <v>0</v>
      </c>
      <c r="V26" s="36">
        <f>-NA_monthly!V29+NA_monthly!U29</f>
        <v>0</v>
      </c>
      <c r="W26" s="36">
        <f>-NA_monthly!W29+NA_monthly!V29</f>
        <v>0</v>
      </c>
      <c r="X26" s="36">
        <f>-NA_monthly!X29+NA_monthly!W29</f>
        <v>0</v>
      </c>
      <c r="Y26" s="36">
        <f>-NA_monthly!Y29+NA_monthly!X29</f>
        <v>0</v>
      </c>
      <c r="Z26" s="36">
        <f>-NA_monthly!Z29+NA_monthly!Y29</f>
        <v>0</v>
      </c>
      <c r="AA26" s="36">
        <f>-NA_monthly!AA29+NA_monthly!Z29</f>
        <v>0</v>
      </c>
      <c r="AB26" s="36">
        <f>-NA_monthly!AB29+NA_monthly!AA29</f>
        <v>0</v>
      </c>
      <c r="AC26" s="36">
        <f>-NA_monthly!AC29+NA_monthly!AB29</f>
        <v>0</v>
      </c>
      <c r="AD26" s="36">
        <f>-NA_monthly!AD29+NA_monthly!AC29</f>
        <v>0</v>
      </c>
      <c r="AE26" s="36">
        <f>-NA_monthly!AE29+NA_monthly!AD29</f>
        <v>0</v>
      </c>
      <c r="AF26" s="36">
        <f>-NA_monthly!AF29+NA_monthly!AE29</f>
        <v>0</v>
      </c>
      <c r="AG26" s="36">
        <f>-NA_monthly!AG29+NA_monthly!AF29</f>
        <v>0</v>
      </c>
      <c r="AH26" s="36">
        <f>-NA_monthly!AH29+NA_monthly!AG29</f>
        <v>0</v>
      </c>
      <c r="AI26" s="36">
        <f>-NA_monthly!AI29+NA_monthly!AH29</f>
        <v>0</v>
      </c>
      <c r="AJ26" s="36">
        <f>-NA_monthly!AJ29+NA_monthly!AI29</f>
        <v>0</v>
      </c>
      <c r="AK26" s="36">
        <f>-NA_monthly!AK29+NA_monthly!AJ29</f>
        <v>0</v>
      </c>
      <c r="AL26" s="36">
        <f>-NA_monthly!AL29+NA_monthly!AK29</f>
        <v>0</v>
      </c>
      <c r="AM26" s="36">
        <f>-NA_monthly!AM29+NA_monthly!AL29</f>
        <v>0</v>
      </c>
      <c r="AN26" s="36">
        <f>-NA_monthly!AN29+NA_monthly!AM29</f>
        <v>0</v>
      </c>
      <c r="AO26" s="36">
        <f>-NA_monthly!AO29+NA_monthly!AN29</f>
        <v>0</v>
      </c>
      <c r="AP26" s="36">
        <f>-NA_monthly!AP29+NA_monthly!AO29</f>
        <v>0</v>
      </c>
      <c r="AQ26" s="36">
        <f>-NA_monthly!AQ29+NA_monthly!AP29</f>
        <v>0</v>
      </c>
      <c r="AR26" s="36">
        <f>-NA_monthly!AR29+NA_monthly!AQ29</f>
        <v>0</v>
      </c>
      <c r="AS26" s="36">
        <f>-NA_monthly!AS29+NA_monthly!AR29</f>
        <v>0</v>
      </c>
      <c r="AT26" s="36">
        <f>-NA_monthly!AT29+NA_monthly!AS29</f>
        <v>0</v>
      </c>
      <c r="AU26" s="36">
        <f>-NA_monthly!AU29+NA_monthly!AT29</f>
        <v>0</v>
      </c>
      <c r="AV26" s="36">
        <f>-NA_monthly!AV29+NA_monthly!AU29</f>
        <v>0</v>
      </c>
      <c r="AW26" s="36">
        <f>-NA_monthly!AW29+NA_monthly!AV29</f>
        <v>0</v>
      </c>
      <c r="AX26" s="36">
        <f>-NA_monthly!AX29+NA_monthly!AW29</f>
        <v>0</v>
      </c>
      <c r="AY26" s="36">
        <f>-NA_monthly!AY29+NA_monthly!AX29</f>
        <v>0</v>
      </c>
      <c r="AZ26" s="36">
        <f>-NA_monthly!AZ29+NA_monthly!AY29</f>
        <v>0</v>
      </c>
      <c r="BA26" s="36">
        <f>-NA_monthly!BA29+NA_monthly!AZ29</f>
        <v>0</v>
      </c>
      <c r="BB26" s="36">
        <f>-NA_monthly!BB29+NA_monthly!BA29</f>
        <v>0</v>
      </c>
      <c r="BC26" s="36">
        <f>-NA_monthly!BC29+NA_monthly!BB29</f>
        <v>0</v>
      </c>
      <c r="BD26" s="36">
        <f>-NA_monthly!BD29+NA_monthly!BC29</f>
        <v>0</v>
      </c>
      <c r="BE26" s="36">
        <f>-NA_monthly!BE29+NA_monthly!BD29</f>
        <v>0</v>
      </c>
      <c r="BF26" s="36">
        <f>-NA_monthly!BF29+NA_monthly!BE29</f>
        <v>0</v>
      </c>
      <c r="BG26" s="36">
        <f>-NA_monthly!BG29+NA_monthly!BF29</f>
        <v>0</v>
      </c>
      <c r="BH26" s="36">
        <f>-NA_monthly!BH29+NA_monthly!BG29</f>
        <v>0</v>
      </c>
      <c r="BI26" s="36">
        <f>-NA_monthly!BI29+NA_monthly!BH29</f>
        <v>0</v>
      </c>
      <c r="BJ26" s="36">
        <f>-NA_monthly!BJ29+NA_monthly!BI29</f>
        <v>0</v>
      </c>
      <c r="BK26" s="36">
        <f>-NA_monthly!BK29+NA_monthly!BJ29</f>
        <v>0</v>
      </c>
      <c r="BL26" s="36">
        <f>-NA_monthly!BL29+NA_monthly!BK29</f>
        <v>0</v>
      </c>
      <c r="BM26" s="36">
        <f>-NA_monthly!BM29+NA_monthly!BL29</f>
        <v>0</v>
      </c>
      <c r="BN26" s="36">
        <f>-NA_monthly!BN29+NA_monthly!BM29</f>
        <v>0</v>
      </c>
      <c r="BO26" s="36">
        <f>-NA_monthly!BO29+NA_monthly!BN29</f>
        <v>0</v>
      </c>
      <c r="BP26" s="36">
        <f>-NA_monthly!BP29+NA_monthly!BO29</f>
        <v>0</v>
      </c>
      <c r="BQ26" s="36">
        <f>-NA_monthly!BQ29+NA_monthly!BP29</f>
        <v>0</v>
      </c>
      <c r="BR26" s="36">
        <f>-NA_monthly!BR29+NA_monthly!BQ29</f>
        <v>0</v>
      </c>
      <c r="BS26" s="36">
        <f>-NA_monthly!BS29+NA_monthly!BR29</f>
        <v>0</v>
      </c>
      <c r="BT26" s="36">
        <f>-NA_monthly!BT29+NA_monthly!BS29</f>
        <v>0</v>
      </c>
      <c r="BU26" s="36">
        <f>-NA_monthly!BU29+NA_monthly!BT29</f>
        <v>0</v>
      </c>
      <c r="BV26" s="36">
        <f>-NA_monthly!BV29+NA_monthly!BU29</f>
        <v>0</v>
      </c>
      <c r="BW26" s="36">
        <f>-NA_monthly!BW29+NA_monthly!BV29</f>
        <v>0</v>
      </c>
      <c r="BX26" s="36">
        <f>-NA_monthly!BX29+NA_monthly!BW29</f>
        <v>0</v>
      </c>
      <c r="BY26" s="36">
        <f>-NA_monthly!BY29+NA_monthly!BX29</f>
        <v>0</v>
      </c>
      <c r="BZ26" s="36">
        <f>-NA_monthly!BZ29+NA_monthly!BY29</f>
        <v>0</v>
      </c>
      <c r="CA26" s="36">
        <f>-NA_monthly!CA29+NA_monthly!BZ29</f>
        <v>0</v>
      </c>
      <c r="CB26" s="36">
        <f>-NA_monthly!CB29+NA_monthly!CA29</f>
        <v>0</v>
      </c>
      <c r="CC26" s="36">
        <f>-NA_monthly!CC29+NA_monthly!CB29</f>
        <v>0</v>
      </c>
      <c r="CD26" s="36">
        <f>-NA_monthly!CD29+NA_monthly!CC29</f>
        <v>0</v>
      </c>
      <c r="CE26" s="36">
        <f>-NA_monthly!CE29+NA_monthly!CD29</f>
        <v>0</v>
      </c>
      <c r="CF26" s="36">
        <f>-NA_monthly!CF29+NA_monthly!CE29</f>
        <v>0</v>
      </c>
      <c r="CG26" s="36">
        <f>-NA_monthly!CG29+NA_monthly!CF29</f>
        <v>0</v>
      </c>
      <c r="CH26" s="36">
        <f>-NA_monthly!CH29+NA_monthly!CG29</f>
        <v>0</v>
      </c>
      <c r="CI26" s="36">
        <f>-NA_monthly!CI29+NA_monthly!CH29</f>
        <v>0</v>
      </c>
      <c r="CJ26" s="36">
        <f>-NA_monthly!CJ29+NA_monthly!CI29</f>
        <v>0</v>
      </c>
      <c r="CK26" s="36">
        <f>-NA_monthly!CK29+NA_monthly!CJ29</f>
        <v>0</v>
      </c>
    </row>
    <row r="27" spans="3:89" ht="11.25" customHeight="1" outlineLevel="2" x14ac:dyDescent="0.2">
      <c r="C27" s="37" t="str">
        <f>"∆ "&amp;'Lead NA'!C29</f>
        <v>∆ Dummy 3</v>
      </c>
      <c r="D27" s="37" t="str">
        <f>"∆ "&amp;'Lead NA'!D29</f>
        <v>∆ Dummy 3</v>
      </c>
      <c r="E27" s="96"/>
      <c r="F27" s="96"/>
      <c r="G27" s="36">
        <f>-NA_monthly!G30+NA_monthly!F30</f>
        <v>0</v>
      </c>
      <c r="H27" s="36">
        <f>-NA_monthly!H30+NA_monthly!G30</f>
        <v>0</v>
      </c>
      <c r="I27" s="36">
        <f>-NA_monthly!I30+NA_monthly!H30</f>
        <v>0</v>
      </c>
      <c r="J27" s="36">
        <f>-NA_monthly!J30+NA_monthly!I30</f>
        <v>0</v>
      </c>
      <c r="K27" s="36">
        <f>-NA_monthly!K30+NA_monthly!J30</f>
        <v>0</v>
      </c>
      <c r="L27" s="36">
        <f>-NA_monthly!L30+NA_monthly!K30</f>
        <v>0</v>
      </c>
      <c r="M27" s="36">
        <f>-NA_monthly!M30+NA_monthly!L30</f>
        <v>0</v>
      </c>
      <c r="N27" s="36">
        <f>-NA_monthly!N30+NA_monthly!M30</f>
        <v>0</v>
      </c>
      <c r="O27" s="36">
        <f>-NA_monthly!O30+NA_monthly!N30</f>
        <v>0</v>
      </c>
      <c r="P27" s="36">
        <f>-NA_monthly!P30+NA_monthly!O30</f>
        <v>0</v>
      </c>
      <c r="Q27" s="36">
        <f>-NA_monthly!Q30+NA_monthly!P30</f>
        <v>0</v>
      </c>
      <c r="R27" s="36">
        <f>-NA_monthly!R30+NA_monthly!Q30</f>
        <v>0</v>
      </c>
      <c r="S27" s="36">
        <f>-NA_monthly!S30+NA_monthly!R30</f>
        <v>0</v>
      </c>
      <c r="T27" s="36">
        <f>-NA_monthly!T30+NA_monthly!S30</f>
        <v>0</v>
      </c>
      <c r="U27" s="36">
        <f>-NA_monthly!U30+NA_monthly!T30</f>
        <v>0</v>
      </c>
      <c r="V27" s="36">
        <f>-NA_monthly!V30+NA_monthly!U30</f>
        <v>0</v>
      </c>
      <c r="W27" s="36">
        <f>-NA_monthly!W30+NA_monthly!V30</f>
        <v>0</v>
      </c>
      <c r="X27" s="36">
        <f>-NA_monthly!X30+NA_monthly!W30</f>
        <v>0</v>
      </c>
      <c r="Y27" s="36">
        <f>-NA_monthly!Y30+NA_monthly!X30</f>
        <v>0</v>
      </c>
      <c r="Z27" s="36">
        <f>-NA_monthly!Z30+NA_monthly!Y30</f>
        <v>0</v>
      </c>
      <c r="AA27" s="36">
        <f>-NA_monthly!AA30+NA_monthly!Z30</f>
        <v>0</v>
      </c>
      <c r="AB27" s="36">
        <f>-NA_monthly!AB30+NA_monthly!AA30</f>
        <v>0</v>
      </c>
      <c r="AC27" s="36">
        <f>-NA_monthly!AC30+NA_monthly!AB30</f>
        <v>0</v>
      </c>
      <c r="AD27" s="36">
        <f>-NA_monthly!AD30+NA_monthly!AC30</f>
        <v>0</v>
      </c>
      <c r="AE27" s="36">
        <f>-NA_monthly!AE30+NA_monthly!AD30</f>
        <v>0</v>
      </c>
      <c r="AF27" s="36">
        <f>-NA_monthly!AF30+NA_monthly!AE30</f>
        <v>0</v>
      </c>
      <c r="AG27" s="36">
        <f>-NA_monthly!AG30+NA_monthly!AF30</f>
        <v>0</v>
      </c>
      <c r="AH27" s="36">
        <f>-NA_monthly!AH30+NA_monthly!AG30</f>
        <v>0</v>
      </c>
      <c r="AI27" s="36">
        <f>-NA_monthly!AI30+NA_monthly!AH30</f>
        <v>0</v>
      </c>
      <c r="AJ27" s="36">
        <f>-NA_monthly!AJ30+NA_monthly!AI30</f>
        <v>0</v>
      </c>
      <c r="AK27" s="36">
        <f>-NA_monthly!AK30+NA_monthly!AJ30</f>
        <v>0</v>
      </c>
      <c r="AL27" s="36">
        <f>-NA_monthly!AL30+NA_monthly!AK30</f>
        <v>0</v>
      </c>
      <c r="AM27" s="36">
        <f>-NA_monthly!AM30+NA_monthly!AL30</f>
        <v>0</v>
      </c>
      <c r="AN27" s="36">
        <f>-NA_monthly!AN30+NA_monthly!AM30</f>
        <v>0</v>
      </c>
      <c r="AO27" s="36">
        <f>-NA_monthly!AO30+NA_monthly!AN30</f>
        <v>0</v>
      </c>
      <c r="AP27" s="36">
        <f>-NA_monthly!AP30+NA_monthly!AO30</f>
        <v>0</v>
      </c>
      <c r="AQ27" s="36">
        <f>-NA_monthly!AQ30+NA_monthly!AP30</f>
        <v>0</v>
      </c>
      <c r="AR27" s="36">
        <f>-NA_monthly!AR30+NA_monthly!AQ30</f>
        <v>0</v>
      </c>
      <c r="AS27" s="36">
        <f>-NA_monthly!AS30+NA_monthly!AR30</f>
        <v>0</v>
      </c>
      <c r="AT27" s="36">
        <f>-NA_monthly!AT30+NA_monthly!AS30</f>
        <v>0</v>
      </c>
      <c r="AU27" s="36">
        <f>-NA_monthly!AU30+NA_monthly!AT30</f>
        <v>0</v>
      </c>
      <c r="AV27" s="36">
        <f>-NA_monthly!AV30+NA_monthly!AU30</f>
        <v>0</v>
      </c>
      <c r="AW27" s="36">
        <f>-NA_monthly!AW30+NA_monthly!AV30</f>
        <v>0</v>
      </c>
      <c r="AX27" s="36">
        <f>-NA_monthly!AX30+NA_monthly!AW30</f>
        <v>0</v>
      </c>
      <c r="AY27" s="36">
        <f>-NA_monthly!AY30+NA_monthly!AX30</f>
        <v>0</v>
      </c>
      <c r="AZ27" s="36">
        <f>-NA_monthly!AZ30+NA_monthly!AY30</f>
        <v>0</v>
      </c>
      <c r="BA27" s="36">
        <f>-NA_monthly!BA30+NA_monthly!AZ30</f>
        <v>0</v>
      </c>
      <c r="BB27" s="36">
        <f>-NA_monthly!BB30+NA_monthly!BA30</f>
        <v>0</v>
      </c>
      <c r="BC27" s="36">
        <f>-NA_monthly!BC30+NA_monthly!BB30</f>
        <v>0</v>
      </c>
      <c r="BD27" s="36">
        <f>-NA_monthly!BD30+NA_monthly!BC30</f>
        <v>0</v>
      </c>
      <c r="BE27" s="36">
        <f>-NA_monthly!BE30+NA_monthly!BD30</f>
        <v>0</v>
      </c>
      <c r="BF27" s="36">
        <f>-NA_monthly!BF30+NA_monthly!BE30</f>
        <v>0</v>
      </c>
      <c r="BG27" s="36">
        <f>-NA_monthly!BG30+NA_monthly!BF30</f>
        <v>0</v>
      </c>
      <c r="BH27" s="36">
        <f>-NA_monthly!BH30+NA_monthly!BG30</f>
        <v>0</v>
      </c>
      <c r="BI27" s="36">
        <f>-NA_monthly!BI30+NA_monthly!BH30</f>
        <v>0</v>
      </c>
      <c r="BJ27" s="36">
        <f>-NA_monthly!BJ30+NA_monthly!BI30</f>
        <v>0</v>
      </c>
      <c r="BK27" s="36">
        <f>-NA_monthly!BK30+NA_monthly!BJ30</f>
        <v>0</v>
      </c>
      <c r="BL27" s="36">
        <f>-NA_monthly!BL30+NA_monthly!BK30</f>
        <v>0</v>
      </c>
      <c r="BM27" s="36">
        <f>-NA_monthly!BM30+NA_monthly!BL30</f>
        <v>0</v>
      </c>
      <c r="BN27" s="36">
        <f>-NA_monthly!BN30+NA_monthly!BM30</f>
        <v>0</v>
      </c>
      <c r="BO27" s="36">
        <f>-NA_monthly!BO30+NA_monthly!BN30</f>
        <v>0</v>
      </c>
      <c r="BP27" s="36">
        <f>-NA_monthly!BP30+NA_monthly!BO30</f>
        <v>0</v>
      </c>
      <c r="BQ27" s="36">
        <f>-NA_monthly!BQ30+NA_monthly!BP30</f>
        <v>0</v>
      </c>
      <c r="BR27" s="36">
        <f>-NA_monthly!BR30+NA_monthly!BQ30</f>
        <v>0</v>
      </c>
      <c r="BS27" s="36">
        <f>-NA_monthly!BS30+NA_monthly!BR30</f>
        <v>0</v>
      </c>
      <c r="BT27" s="36">
        <f>-NA_monthly!BT30+NA_monthly!BS30</f>
        <v>0</v>
      </c>
      <c r="BU27" s="36">
        <f>-NA_monthly!BU30+NA_monthly!BT30</f>
        <v>0</v>
      </c>
      <c r="BV27" s="36">
        <f>-NA_monthly!BV30+NA_monthly!BU30</f>
        <v>0</v>
      </c>
      <c r="BW27" s="36">
        <f>-NA_monthly!BW30+NA_monthly!BV30</f>
        <v>0</v>
      </c>
      <c r="BX27" s="36">
        <f>-NA_monthly!BX30+NA_monthly!BW30</f>
        <v>0</v>
      </c>
      <c r="BY27" s="36">
        <f>-NA_monthly!BY30+NA_monthly!BX30</f>
        <v>0</v>
      </c>
      <c r="BZ27" s="36">
        <f>-NA_monthly!BZ30+NA_monthly!BY30</f>
        <v>0</v>
      </c>
      <c r="CA27" s="36">
        <f>-NA_monthly!CA30+NA_monthly!BZ30</f>
        <v>0</v>
      </c>
      <c r="CB27" s="36">
        <f>-NA_monthly!CB30+NA_monthly!CA30</f>
        <v>0</v>
      </c>
      <c r="CC27" s="36">
        <f>-NA_monthly!CC30+NA_monthly!CB30</f>
        <v>0</v>
      </c>
      <c r="CD27" s="36">
        <f>-NA_monthly!CD30+NA_monthly!CC30</f>
        <v>0</v>
      </c>
      <c r="CE27" s="36">
        <f>-NA_monthly!CE30+NA_monthly!CD30</f>
        <v>0</v>
      </c>
      <c r="CF27" s="36">
        <f>-NA_monthly!CF30+NA_monthly!CE30</f>
        <v>0</v>
      </c>
      <c r="CG27" s="36">
        <f>-NA_monthly!CG30+NA_monthly!CF30</f>
        <v>0</v>
      </c>
      <c r="CH27" s="36">
        <f>-NA_monthly!CH30+NA_monthly!CG30</f>
        <v>0</v>
      </c>
      <c r="CI27" s="36">
        <f>-NA_monthly!CI30+NA_monthly!CH30</f>
        <v>0</v>
      </c>
      <c r="CJ27" s="36">
        <f>-NA_monthly!CJ30+NA_monthly!CI30</f>
        <v>0</v>
      </c>
      <c r="CK27" s="36">
        <f>-NA_monthly!CK30+NA_monthly!CJ30</f>
        <v>0</v>
      </c>
    </row>
    <row r="28" spans="3:89" ht="11.25" customHeight="1" x14ac:dyDescent="0.2">
      <c r="C28" s="37" t="str">
        <f>"∆ "&amp;'Lead NA'!C31</f>
        <v>∆ Sonstige Rückstellungen</v>
      </c>
      <c r="D28" s="37" t="str">
        <f>"∆ "&amp;'Lead NA'!D31</f>
        <v>∆ Other provisions</v>
      </c>
      <c r="E28" s="96"/>
      <c r="F28" s="96"/>
      <c r="G28" s="36">
        <f>-NA_monthly!G32+NA_monthly!F32</f>
        <v>0</v>
      </c>
      <c r="H28" s="36">
        <f>-NA_monthly!H32+NA_monthly!G32</f>
        <v>0</v>
      </c>
      <c r="I28" s="36">
        <f>-NA_monthly!I32+NA_monthly!H32</f>
        <v>0</v>
      </c>
      <c r="J28" s="36">
        <f>-NA_monthly!J32+NA_monthly!I32</f>
        <v>0</v>
      </c>
      <c r="K28" s="36">
        <f>-NA_monthly!K32+NA_monthly!J32</f>
        <v>0</v>
      </c>
      <c r="L28" s="36">
        <f>-NA_monthly!L32+NA_monthly!K32</f>
        <v>0</v>
      </c>
      <c r="M28" s="36">
        <f>-NA_monthly!M32+NA_monthly!L32</f>
        <v>0</v>
      </c>
      <c r="N28" s="36">
        <f>-NA_monthly!N32+NA_monthly!M32</f>
        <v>0</v>
      </c>
      <c r="O28" s="36">
        <f>-NA_monthly!O32+NA_monthly!N32</f>
        <v>0</v>
      </c>
      <c r="P28" s="36">
        <f>-NA_monthly!P32+NA_monthly!O32</f>
        <v>0</v>
      </c>
      <c r="Q28" s="36">
        <f>-NA_monthly!Q32+NA_monthly!P32</f>
        <v>527.64377999999999</v>
      </c>
      <c r="R28" s="36">
        <f>-NA_monthly!R32+NA_monthly!Q32</f>
        <v>14.728330000000028</v>
      </c>
      <c r="S28" s="36">
        <f>-NA_monthly!S32+NA_monthly!R32</f>
        <v>-133.91726999999997</v>
      </c>
      <c r="T28" s="36">
        <f>-NA_monthly!T32+NA_monthly!S32</f>
        <v>11.399999999999977</v>
      </c>
      <c r="U28" s="36">
        <f>-NA_monthly!U32+NA_monthly!T32</f>
        <v>11.399999999999977</v>
      </c>
      <c r="V28" s="36">
        <f>-NA_monthly!V32+NA_monthly!U32</f>
        <v>-8.5700800000000186</v>
      </c>
      <c r="W28" s="36">
        <f>-NA_monthly!W32+NA_monthly!V32</f>
        <v>62.437950000000058</v>
      </c>
      <c r="X28" s="36">
        <f>-NA_monthly!X32+NA_monthly!W32</f>
        <v>11.399999999999977</v>
      </c>
      <c r="Y28" s="36">
        <f>-NA_monthly!Y32+NA_monthly!X32</f>
        <v>-104.33978000000002</v>
      </c>
      <c r="Z28" s="36">
        <f>-NA_monthly!Z32+NA_monthly!Y32</f>
        <v>61.780789999999968</v>
      </c>
      <c r="AA28" s="36">
        <f>-NA_monthly!AA32+NA_monthly!Z32</f>
        <v>-34.600000000000023</v>
      </c>
      <c r="AB28" s="36">
        <f>-NA_monthly!AB32+NA_monthly!AA32</f>
        <v>-55.657579999999939</v>
      </c>
      <c r="AC28" s="36">
        <f>-NA_monthly!AC32+NA_monthly!AB32</f>
        <v>61.201259999999991</v>
      </c>
      <c r="AD28" s="36">
        <f>-NA_monthly!AD32+NA_monthly!AC32</f>
        <v>-16.497520000000009</v>
      </c>
      <c r="AE28" s="36">
        <f>-NA_monthly!AE32+NA_monthly!AD32</f>
        <v>14.936800000000005</v>
      </c>
      <c r="AF28" s="36">
        <f>-NA_monthly!AF32+NA_monthly!AE32</f>
        <v>10.254350000000045</v>
      </c>
      <c r="AG28" s="36">
        <f>-NA_monthly!AG32+NA_monthly!AF32</f>
        <v>15.199999999999989</v>
      </c>
      <c r="AH28" s="36">
        <f>-NA_monthly!AH32+NA_monthly!AG32</f>
        <v>15.199999999999989</v>
      </c>
      <c r="AI28" s="36">
        <f>-NA_monthly!AI32+NA_monthly!AH32</f>
        <v>-48.762730000000033</v>
      </c>
      <c r="AJ28" s="36">
        <f>-NA_monthly!AJ32+NA_monthly!AI32</f>
        <v>-93.982149999999933</v>
      </c>
      <c r="AK28" s="36">
        <f>-NA_monthly!AK32+NA_monthly!AJ32</f>
        <v>11.199999999999989</v>
      </c>
      <c r="AL28" s="36">
        <f>-NA_monthly!AL32+NA_monthly!AK32</f>
        <v>15.199999999999989</v>
      </c>
      <c r="AM28" s="36">
        <f>-NA_monthly!AM32+NA_monthly!AL32</f>
        <v>15.199999999999989</v>
      </c>
      <c r="AN28" s="36">
        <f>-NA_monthly!AN32+NA_monthly!AM32</f>
        <v>-63.776999999999987</v>
      </c>
      <c r="AO28" s="36">
        <f>-NA_monthly!AO32+NA_monthly!AN32</f>
        <v>-70.676200000000051</v>
      </c>
      <c r="AP28" s="36">
        <f>-NA_monthly!AP32+NA_monthly!AO32</f>
        <v>9.6507900000000291</v>
      </c>
      <c r="AQ28" s="36">
        <f>-NA_monthly!AQ32+NA_monthly!AP32</f>
        <v>17.127999999999986</v>
      </c>
      <c r="AR28" s="36">
        <f>-NA_monthly!AR32+NA_monthly!AQ32</f>
        <v>17.399999999999977</v>
      </c>
      <c r="AS28" s="36">
        <f>-NA_monthly!AS32+NA_monthly!AR32</f>
        <v>17.400000000000034</v>
      </c>
      <c r="AT28" s="36">
        <f>-NA_monthly!AT32+NA_monthly!AS32</f>
        <v>17.399999999999977</v>
      </c>
      <c r="AU28" s="36">
        <f>-NA_monthly!AU32+NA_monthly!AT32</f>
        <v>-33.018089999999972</v>
      </c>
      <c r="AV28" s="36">
        <f>-NA_monthly!AV32+NA_monthly!AU32</f>
        <v>256.68003999999996</v>
      </c>
      <c r="AW28" s="36">
        <f>-NA_monthly!AW32+NA_monthly!AV32</f>
        <v>17.900000000000091</v>
      </c>
      <c r="AX28" s="36">
        <f>-NA_monthly!AX32+NA_monthly!AW32</f>
        <v>-129.64165000000003</v>
      </c>
      <c r="AY28" s="36">
        <f>-NA_monthly!AY32+NA_monthly!AX32</f>
        <v>-97.857259999999997</v>
      </c>
      <c r="AZ28" s="36">
        <f>-NA_monthly!AZ32+NA_monthly!AY32</f>
        <v>-98.651310000000024</v>
      </c>
      <c r="BA28" s="36">
        <f>-NA_monthly!BA32+NA_monthly!AZ32</f>
        <v>205.48018999999999</v>
      </c>
      <c r="BB28" s="36">
        <f>-NA_monthly!BB32+NA_monthly!BA32</f>
        <v>-428.27366000000001</v>
      </c>
      <c r="BC28" s="36">
        <f>-NA_monthly!BC32+NA_monthly!BB32</f>
        <v>0</v>
      </c>
      <c r="BD28" s="36">
        <f>-NA_monthly!BD32+NA_monthly!BC32</f>
        <v>0</v>
      </c>
      <c r="BE28" s="36">
        <f>-NA_monthly!BE32+NA_monthly!BD32</f>
        <v>0</v>
      </c>
      <c r="BF28" s="36">
        <f>-NA_monthly!BF32+NA_monthly!BE32</f>
        <v>0</v>
      </c>
      <c r="BG28" s="36">
        <f>-NA_monthly!BG32+NA_monthly!BF32</f>
        <v>0</v>
      </c>
      <c r="BH28" s="36">
        <f>-NA_monthly!BH32+NA_monthly!BG32</f>
        <v>0</v>
      </c>
      <c r="BI28" s="36">
        <f>-NA_monthly!BI32+NA_monthly!BH32</f>
        <v>0</v>
      </c>
      <c r="BJ28" s="36">
        <f>-NA_monthly!BJ32+NA_monthly!BI32</f>
        <v>0</v>
      </c>
      <c r="BK28" s="36">
        <f>-NA_monthly!BK32+NA_monthly!BJ32</f>
        <v>0</v>
      </c>
      <c r="BL28" s="36">
        <f>-NA_monthly!BL32+NA_monthly!BK32</f>
        <v>0</v>
      </c>
      <c r="BM28" s="36">
        <f>-NA_monthly!BM32+NA_monthly!BL32</f>
        <v>0</v>
      </c>
      <c r="BN28" s="36">
        <f>-NA_monthly!BN32+NA_monthly!BM32</f>
        <v>0</v>
      </c>
      <c r="BO28" s="36">
        <f>-NA_monthly!BO32+NA_monthly!BN32</f>
        <v>0</v>
      </c>
      <c r="BP28" s="36">
        <f>-NA_monthly!BP32+NA_monthly!BO32</f>
        <v>0</v>
      </c>
      <c r="BQ28" s="36">
        <f>-NA_monthly!BQ32+NA_monthly!BP32</f>
        <v>0</v>
      </c>
      <c r="BR28" s="36">
        <f>-NA_monthly!BR32+NA_monthly!BQ32</f>
        <v>0</v>
      </c>
      <c r="BS28" s="36">
        <f>-NA_monthly!BS32+NA_monthly!BR32</f>
        <v>0</v>
      </c>
      <c r="BT28" s="36">
        <f>-NA_monthly!BT32+NA_monthly!BS32</f>
        <v>0</v>
      </c>
      <c r="BU28" s="36">
        <f>-NA_monthly!BU32+NA_monthly!BT32</f>
        <v>0</v>
      </c>
      <c r="BV28" s="36">
        <f>-NA_monthly!BV32+NA_monthly!BU32</f>
        <v>0</v>
      </c>
      <c r="BW28" s="36">
        <f>-NA_monthly!BW32+NA_monthly!BV32</f>
        <v>0</v>
      </c>
      <c r="BX28" s="36">
        <f>-NA_monthly!BX32+NA_monthly!BW32</f>
        <v>0</v>
      </c>
      <c r="BY28" s="36">
        <f>-NA_monthly!BY32+NA_monthly!BX32</f>
        <v>0</v>
      </c>
      <c r="BZ28" s="36">
        <f>-NA_monthly!BZ32+NA_monthly!BY32</f>
        <v>0</v>
      </c>
      <c r="CA28" s="36">
        <f>-NA_monthly!CA32+NA_monthly!BZ32</f>
        <v>0</v>
      </c>
      <c r="CB28" s="36">
        <f>-NA_monthly!CB32+NA_monthly!CA32</f>
        <v>0</v>
      </c>
      <c r="CC28" s="36">
        <f>-NA_monthly!CC32+NA_monthly!CB32</f>
        <v>0</v>
      </c>
      <c r="CD28" s="36">
        <f>-NA_monthly!CD32+NA_monthly!CC32</f>
        <v>0</v>
      </c>
      <c r="CE28" s="36">
        <f>-NA_monthly!CE32+NA_monthly!CD32</f>
        <v>0</v>
      </c>
      <c r="CF28" s="36">
        <f>-NA_monthly!CF32+NA_monthly!CE32</f>
        <v>0</v>
      </c>
      <c r="CG28" s="36">
        <f>-NA_monthly!CG32+NA_monthly!CF32</f>
        <v>0</v>
      </c>
      <c r="CH28" s="36">
        <f>-NA_monthly!CH32+NA_monthly!CG32</f>
        <v>0</v>
      </c>
      <c r="CI28" s="36">
        <f>-NA_monthly!CI32+NA_monthly!CH32</f>
        <v>0</v>
      </c>
      <c r="CJ28" s="36">
        <f>-NA_monthly!CJ32+NA_monthly!CI32</f>
        <v>0</v>
      </c>
      <c r="CK28" s="36">
        <f>-NA_monthly!CK32+NA_monthly!CJ32</f>
        <v>0</v>
      </c>
    </row>
    <row r="29" spans="3:89" ht="11.25" customHeight="1" x14ac:dyDescent="0.2">
      <c r="C29" s="37" t="str">
        <f>"∆ "&amp;'Lead NA'!C32</f>
        <v>∆ Sonstige Verbindlichkeiten</v>
      </c>
      <c r="D29" s="37" t="str">
        <f>"∆ "&amp;'Lead NA'!D32</f>
        <v>∆ Other liabilities</v>
      </c>
      <c r="E29" s="96"/>
      <c r="F29" s="96"/>
      <c r="G29" s="36">
        <f>-NA_monthly!G33+NA_monthly!F33</f>
        <v>0</v>
      </c>
      <c r="H29" s="36">
        <f>-NA_monthly!H33+NA_monthly!G33</f>
        <v>0</v>
      </c>
      <c r="I29" s="36">
        <f>-NA_monthly!I33+NA_monthly!H33</f>
        <v>0</v>
      </c>
      <c r="J29" s="36">
        <f>-NA_monthly!J33+NA_monthly!I33</f>
        <v>0</v>
      </c>
      <c r="K29" s="36">
        <f>-NA_monthly!K33+NA_monthly!J33</f>
        <v>0</v>
      </c>
      <c r="L29" s="36">
        <f>-NA_monthly!L33+NA_monthly!K33</f>
        <v>0</v>
      </c>
      <c r="M29" s="36">
        <f>-NA_monthly!M33+NA_monthly!L33</f>
        <v>0</v>
      </c>
      <c r="N29" s="36">
        <f>-NA_monthly!N33+NA_monthly!M33</f>
        <v>0</v>
      </c>
      <c r="O29" s="36">
        <f>-NA_monthly!O33+NA_monthly!N33</f>
        <v>0</v>
      </c>
      <c r="P29" s="36">
        <f>-NA_monthly!P33+NA_monthly!O33</f>
        <v>0</v>
      </c>
      <c r="Q29" s="36">
        <f>-NA_monthly!Q33+NA_monthly!P33</f>
        <v>448.46013999999974</v>
      </c>
      <c r="R29" s="36">
        <f>-NA_monthly!R33+NA_monthly!Q33</f>
        <v>104.68371000000019</v>
      </c>
      <c r="S29" s="36">
        <f>-NA_monthly!S33+NA_monthly!R33</f>
        <v>23.324610000000007</v>
      </c>
      <c r="T29" s="36">
        <f>-NA_monthly!T33+NA_monthly!S33</f>
        <v>-179.64548999999994</v>
      </c>
      <c r="U29" s="36">
        <f>-NA_monthly!U33+NA_monthly!T33</f>
        <v>39.332459999999912</v>
      </c>
      <c r="V29" s="36">
        <f>-NA_monthly!V33+NA_monthly!U33</f>
        <v>-175.32885999999974</v>
      </c>
      <c r="W29" s="36">
        <f>-NA_monthly!W33+NA_monthly!V33</f>
        <v>44.624739999999804</v>
      </c>
      <c r="X29" s="36">
        <f>-NA_monthly!X33+NA_monthly!W33</f>
        <v>-121.95153999999994</v>
      </c>
      <c r="Y29" s="36">
        <f>-NA_monthly!Y33+NA_monthly!X33</f>
        <v>29.976079999999627</v>
      </c>
      <c r="Z29" s="36">
        <f>-NA_monthly!Z33+NA_monthly!Y33</f>
        <v>106.45573000000067</v>
      </c>
      <c r="AA29" s="36">
        <f>-NA_monthly!AA33+NA_monthly!Z33</f>
        <v>-52.311480000000245</v>
      </c>
      <c r="AB29" s="36">
        <f>-NA_monthly!AB33+NA_monthly!AA33</f>
        <v>2.8543099999998276</v>
      </c>
      <c r="AC29" s="36">
        <f>-NA_monthly!AC33+NA_monthly!AB33</f>
        <v>19.819999999999709</v>
      </c>
      <c r="AD29" s="36">
        <f>-NA_monthly!AD33+NA_monthly!AC33</f>
        <v>-39.362769999999699</v>
      </c>
      <c r="AE29" s="36">
        <f>-NA_monthly!AE33+NA_monthly!AD33</f>
        <v>56.206450000000046</v>
      </c>
      <c r="AF29" s="36">
        <f>-NA_monthly!AF33+NA_monthly!AE33</f>
        <v>61.291929999999923</v>
      </c>
      <c r="AG29" s="36">
        <f>-NA_monthly!AG33+NA_monthly!AF33</f>
        <v>10.06573000000003</v>
      </c>
      <c r="AH29" s="36">
        <f>-NA_monthly!AH33+NA_monthly!AG33</f>
        <v>-53.922440000000165</v>
      </c>
      <c r="AI29" s="36">
        <f>-NA_monthly!AI33+NA_monthly!AH33</f>
        <v>30.097270000000265</v>
      </c>
      <c r="AJ29" s="36">
        <f>-NA_monthly!AJ33+NA_monthly!AI33</f>
        <v>-42.816689999999937</v>
      </c>
      <c r="AK29" s="36">
        <f>-NA_monthly!AK33+NA_monthly!AJ33</f>
        <v>32.001729999999839</v>
      </c>
      <c r="AL29" s="36">
        <f>-NA_monthly!AL33+NA_monthly!AK33</f>
        <v>-1.1209999999997535</v>
      </c>
      <c r="AM29" s="36">
        <f>-NA_monthly!AM33+NA_monthly!AL33</f>
        <v>-45.300550000000101</v>
      </c>
      <c r="AN29" s="36">
        <f>-NA_monthly!AN33+NA_monthly!AM33</f>
        <v>32.108470000000068</v>
      </c>
      <c r="AO29" s="36">
        <f>-NA_monthly!AO33+NA_monthly!AN33</f>
        <v>99.59379000000024</v>
      </c>
      <c r="AP29" s="36">
        <f>-NA_monthly!AP33+NA_monthly!AO33</f>
        <v>-86.633450000000437</v>
      </c>
      <c r="AQ29" s="36">
        <f>-NA_monthly!AQ33+NA_monthly!AP33</f>
        <v>-82.608069999999941</v>
      </c>
      <c r="AR29" s="36">
        <f>-NA_monthly!AR33+NA_monthly!AQ33</f>
        <v>8.1566100000000574</v>
      </c>
      <c r="AS29" s="36">
        <f>-NA_monthly!AS33+NA_monthly!AR33</f>
        <v>34.311149999999827</v>
      </c>
      <c r="AT29" s="36">
        <f>-NA_monthly!AT33+NA_monthly!AS33</f>
        <v>-27.679049999999904</v>
      </c>
      <c r="AU29" s="36">
        <f>-NA_monthly!AU33+NA_monthly!AT33</f>
        <v>48.803759999999954</v>
      </c>
      <c r="AV29" s="36">
        <f>-NA_monthly!AV33+NA_monthly!AU33</f>
        <v>1.4918600000001447</v>
      </c>
      <c r="AW29" s="36">
        <f>-NA_monthly!AW33+NA_monthly!AV33</f>
        <v>-58.031869999999969</v>
      </c>
      <c r="AX29" s="36">
        <f>-NA_monthly!AX33+NA_monthly!AW33</f>
        <v>-28.157299999999793</v>
      </c>
      <c r="AY29" s="36">
        <f>-NA_monthly!AY33+NA_monthly!AX33</f>
        <v>48.326809999999739</v>
      </c>
      <c r="AZ29" s="36">
        <f>-NA_monthly!AZ33+NA_monthly!AY33</f>
        <v>-51.916869999999847</v>
      </c>
      <c r="BA29" s="36">
        <f>-NA_monthly!BA33+NA_monthly!AZ33</f>
        <v>-3.4587700000002144</v>
      </c>
      <c r="BB29" s="36">
        <f>-NA_monthly!BB33+NA_monthly!BA33</f>
        <v>-231.74114</v>
      </c>
      <c r="BC29" s="36">
        <f>-NA_monthly!BC33+NA_monthly!BB33</f>
        <v>0</v>
      </c>
      <c r="BD29" s="36">
        <f>-NA_monthly!BD33+NA_monthly!BC33</f>
        <v>0</v>
      </c>
      <c r="BE29" s="36">
        <f>-NA_monthly!BE33+NA_monthly!BD33</f>
        <v>0</v>
      </c>
      <c r="BF29" s="36">
        <f>-NA_monthly!BF33+NA_monthly!BE33</f>
        <v>0</v>
      </c>
      <c r="BG29" s="36">
        <f>-NA_monthly!BG33+NA_monthly!BF33</f>
        <v>0</v>
      </c>
      <c r="BH29" s="36">
        <f>-NA_monthly!BH33+NA_monthly!BG33</f>
        <v>0</v>
      </c>
      <c r="BI29" s="36">
        <f>-NA_monthly!BI33+NA_monthly!BH33</f>
        <v>0</v>
      </c>
      <c r="BJ29" s="36">
        <f>-NA_monthly!BJ33+NA_monthly!BI33</f>
        <v>0</v>
      </c>
      <c r="BK29" s="36">
        <f>-NA_monthly!BK33+NA_monthly!BJ33</f>
        <v>0</v>
      </c>
      <c r="BL29" s="36">
        <f>-NA_monthly!BL33+NA_monthly!BK33</f>
        <v>0</v>
      </c>
      <c r="BM29" s="36">
        <f>-NA_monthly!BM33+NA_monthly!BL33</f>
        <v>0</v>
      </c>
      <c r="BN29" s="36">
        <f>-NA_monthly!BN33+NA_monthly!BM33</f>
        <v>0</v>
      </c>
      <c r="BO29" s="36">
        <f>-NA_monthly!BO33+NA_monthly!BN33</f>
        <v>0</v>
      </c>
      <c r="BP29" s="36">
        <f>-NA_monthly!BP33+NA_monthly!BO33</f>
        <v>0</v>
      </c>
      <c r="BQ29" s="36">
        <f>-NA_monthly!BQ33+NA_monthly!BP33</f>
        <v>0</v>
      </c>
      <c r="BR29" s="36">
        <f>-NA_monthly!BR33+NA_monthly!BQ33</f>
        <v>0</v>
      </c>
      <c r="BS29" s="36">
        <f>-NA_monthly!BS33+NA_monthly!BR33</f>
        <v>0</v>
      </c>
      <c r="BT29" s="36">
        <f>-NA_monthly!BT33+NA_monthly!BS33</f>
        <v>0</v>
      </c>
      <c r="BU29" s="36">
        <f>-NA_monthly!BU33+NA_monthly!BT33</f>
        <v>0</v>
      </c>
      <c r="BV29" s="36">
        <f>-NA_monthly!BV33+NA_monthly!BU33</f>
        <v>0</v>
      </c>
      <c r="BW29" s="36">
        <f>-NA_monthly!BW33+NA_monthly!BV33</f>
        <v>0</v>
      </c>
      <c r="BX29" s="36">
        <f>-NA_monthly!BX33+NA_monthly!BW33</f>
        <v>0</v>
      </c>
      <c r="BY29" s="36">
        <f>-NA_monthly!BY33+NA_monthly!BX33</f>
        <v>0</v>
      </c>
      <c r="BZ29" s="36">
        <f>-NA_monthly!BZ33+NA_monthly!BY33</f>
        <v>0</v>
      </c>
      <c r="CA29" s="36">
        <f>-NA_monthly!CA33+NA_monthly!BZ33</f>
        <v>0</v>
      </c>
      <c r="CB29" s="36">
        <f>-NA_monthly!CB33+NA_monthly!CA33</f>
        <v>0</v>
      </c>
      <c r="CC29" s="36">
        <f>-NA_monthly!CC33+NA_monthly!CB33</f>
        <v>0</v>
      </c>
      <c r="CD29" s="36">
        <f>-NA_monthly!CD33+NA_monthly!CC33</f>
        <v>0</v>
      </c>
      <c r="CE29" s="36">
        <f>-NA_monthly!CE33+NA_monthly!CD33</f>
        <v>0</v>
      </c>
      <c r="CF29" s="36">
        <f>-NA_monthly!CF33+NA_monthly!CE33</f>
        <v>0</v>
      </c>
      <c r="CG29" s="36">
        <f>-NA_monthly!CG33+NA_monthly!CF33</f>
        <v>0</v>
      </c>
      <c r="CH29" s="36">
        <f>-NA_monthly!CH33+NA_monthly!CG33</f>
        <v>0</v>
      </c>
      <c r="CI29" s="36">
        <f>-NA_monthly!CI33+NA_monthly!CH33</f>
        <v>0</v>
      </c>
      <c r="CJ29" s="36">
        <f>-NA_monthly!CJ33+NA_monthly!CI33</f>
        <v>0</v>
      </c>
      <c r="CK29" s="36">
        <f>-NA_monthly!CK33+NA_monthly!CJ33</f>
        <v>0</v>
      </c>
    </row>
    <row r="30" spans="3:89" ht="11.25" customHeight="1" x14ac:dyDescent="0.2">
      <c r="C30" s="37" t="str">
        <f>"∆ "&amp;'Lead NA'!C33</f>
        <v>∆ Dummy 1</v>
      </c>
      <c r="D30" s="37" t="str">
        <f>"∆ "&amp;'Lead NA'!D33</f>
        <v>∆ Tax provisions</v>
      </c>
      <c r="E30" s="96"/>
      <c r="F30" s="96"/>
      <c r="G30" s="36">
        <f>-NA_monthly!G34+NA_monthly!F34</f>
        <v>0</v>
      </c>
      <c r="H30" s="36">
        <f>-NA_monthly!H34+NA_monthly!G34</f>
        <v>0</v>
      </c>
      <c r="I30" s="36">
        <f>-NA_monthly!I34+NA_monthly!H34</f>
        <v>0</v>
      </c>
      <c r="J30" s="36">
        <f>-NA_monthly!J34+NA_monthly!I34</f>
        <v>0</v>
      </c>
      <c r="K30" s="36">
        <f>-NA_monthly!K34+NA_monthly!J34</f>
        <v>0</v>
      </c>
      <c r="L30" s="36">
        <f>-NA_monthly!L34+NA_monthly!K34</f>
        <v>0</v>
      </c>
      <c r="M30" s="36">
        <f>-NA_monthly!M34+NA_monthly!L34</f>
        <v>0</v>
      </c>
      <c r="N30" s="36">
        <f>-NA_monthly!N34+NA_monthly!M34</f>
        <v>0</v>
      </c>
      <c r="O30" s="36">
        <f>-NA_monthly!O34+NA_monthly!N34</f>
        <v>0</v>
      </c>
      <c r="P30" s="36">
        <f>-NA_monthly!P34+NA_monthly!O34</f>
        <v>0</v>
      </c>
      <c r="Q30" s="36">
        <f>-NA_monthly!Q34+NA_monthly!P34</f>
        <v>0</v>
      </c>
      <c r="R30" s="36">
        <f>-NA_monthly!R34+NA_monthly!Q34</f>
        <v>0</v>
      </c>
      <c r="S30" s="36">
        <f>-NA_monthly!S34+NA_monthly!R34</f>
        <v>0</v>
      </c>
      <c r="T30" s="36">
        <f>-NA_monthly!T34+NA_monthly!S34</f>
        <v>0</v>
      </c>
      <c r="U30" s="36">
        <f>-NA_monthly!U34+NA_monthly!T34</f>
        <v>0</v>
      </c>
      <c r="V30" s="36">
        <f>-NA_monthly!V34+NA_monthly!U34</f>
        <v>0</v>
      </c>
      <c r="W30" s="36">
        <f>-NA_monthly!W34+NA_monthly!V34</f>
        <v>0</v>
      </c>
      <c r="X30" s="36">
        <f>-NA_monthly!X34+NA_monthly!W34</f>
        <v>0</v>
      </c>
      <c r="Y30" s="36">
        <f>-NA_monthly!Y34+NA_monthly!X34</f>
        <v>0</v>
      </c>
      <c r="Z30" s="36">
        <f>-NA_monthly!Z34+NA_monthly!Y34</f>
        <v>0</v>
      </c>
      <c r="AA30" s="36">
        <f>-NA_monthly!AA34+NA_monthly!Z34</f>
        <v>0</v>
      </c>
      <c r="AB30" s="36">
        <f>-NA_monthly!AB34+NA_monthly!AA34</f>
        <v>0</v>
      </c>
      <c r="AC30" s="36">
        <f>-NA_monthly!AC34+NA_monthly!AB34</f>
        <v>0</v>
      </c>
      <c r="AD30" s="36">
        <f>-NA_monthly!AD34+NA_monthly!AC34</f>
        <v>0</v>
      </c>
      <c r="AE30" s="36">
        <f>-NA_monthly!AE34+NA_monthly!AD34</f>
        <v>0</v>
      </c>
      <c r="AF30" s="36">
        <f>-NA_monthly!AF34+NA_monthly!AE34</f>
        <v>0</v>
      </c>
      <c r="AG30" s="36">
        <f>-NA_monthly!AG34+NA_monthly!AF34</f>
        <v>0</v>
      </c>
      <c r="AH30" s="36">
        <f>-NA_monthly!AH34+NA_monthly!AG34</f>
        <v>0</v>
      </c>
      <c r="AI30" s="36">
        <f>-NA_monthly!AI34+NA_monthly!AH34</f>
        <v>0</v>
      </c>
      <c r="AJ30" s="36">
        <f>-NA_monthly!AJ34+NA_monthly!AI34</f>
        <v>0</v>
      </c>
      <c r="AK30" s="36">
        <f>-NA_monthly!AK34+NA_monthly!AJ34</f>
        <v>0</v>
      </c>
      <c r="AL30" s="36">
        <f>-NA_monthly!AL34+NA_monthly!AK34</f>
        <v>0</v>
      </c>
      <c r="AM30" s="36">
        <f>-NA_monthly!AM34+NA_monthly!AL34</f>
        <v>0</v>
      </c>
      <c r="AN30" s="36">
        <f>-NA_monthly!AN34+NA_monthly!AM34</f>
        <v>0</v>
      </c>
      <c r="AO30" s="36">
        <f>-NA_monthly!AO34+NA_monthly!AN34</f>
        <v>0</v>
      </c>
      <c r="AP30" s="36">
        <f>-NA_monthly!AP34+NA_monthly!AO34</f>
        <v>0</v>
      </c>
      <c r="AQ30" s="36">
        <f>-NA_monthly!AQ34+NA_monthly!AP34</f>
        <v>0</v>
      </c>
      <c r="AR30" s="36">
        <f>-NA_monthly!AR34+NA_monthly!AQ34</f>
        <v>0</v>
      </c>
      <c r="AS30" s="36">
        <f>-NA_monthly!AS34+NA_monthly!AR34</f>
        <v>0</v>
      </c>
      <c r="AT30" s="36">
        <f>-NA_monthly!AT34+NA_monthly!AS34</f>
        <v>0</v>
      </c>
      <c r="AU30" s="36">
        <f>-NA_monthly!AU34+NA_monthly!AT34</f>
        <v>0</v>
      </c>
      <c r="AV30" s="36">
        <f>-NA_monthly!AV34+NA_monthly!AU34</f>
        <v>0</v>
      </c>
      <c r="AW30" s="36">
        <f>-NA_monthly!AW34+NA_monthly!AV34</f>
        <v>0</v>
      </c>
      <c r="AX30" s="36">
        <f>-NA_monthly!AX34+NA_monthly!AW34</f>
        <v>0</v>
      </c>
      <c r="AY30" s="36">
        <f>-NA_monthly!AY34+NA_monthly!AX34</f>
        <v>0</v>
      </c>
      <c r="AZ30" s="36">
        <f>-NA_monthly!AZ34+NA_monthly!AY34</f>
        <v>0</v>
      </c>
      <c r="BA30" s="36">
        <f>-NA_monthly!BA34+NA_monthly!AZ34</f>
        <v>0</v>
      </c>
      <c r="BB30" s="36">
        <f>-NA_monthly!BB34+NA_monthly!BA34</f>
        <v>0</v>
      </c>
      <c r="BC30" s="36">
        <f>-NA_monthly!BC34+NA_monthly!BB34</f>
        <v>0</v>
      </c>
      <c r="BD30" s="36">
        <f>-NA_monthly!BD34+NA_monthly!BC34</f>
        <v>0</v>
      </c>
      <c r="BE30" s="36">
        <f>-NA_monthly!BE34+NA_monthly!BD34</f>
        <v>0</v>
      </c>
      <c r="BF30" s="36">
        <f>-NA_monthly!BF34+NA_monthly!BE34</f>
        <v>0</v>
      </c>
      <c r="BG30" s="36">
        <f>-NA_monthly!BG34+NA_monthly!BF34</f>
        <v>0</v>
      </c>
      <c r="BH30" s="36">
        <f>-NA_monthly!BH34+NA_monthly!BG34</f>
        <v>0</v>
      </c>
      <c r="BI30" s="36">
        <f>-NA_monthly!BI34+NA_monthly!BH34</f>
        <v>0</v>
      </c>
      <c r="BJ30" s="36">
        <f>-NA_monthly!BJ34+NA_monthly!BI34</f>
        <v>0</v>
      </c>
      <c r="BK30" s="36">
        <f>-NA_monthly!BK34+NA_monthly!BJ34</f>
        <v>0</v>
      </c>
      <c r="BL30" s="36">
        <f>-NA_monthly!BL34+NA_monthly!BK34</f>
        <v>0</v>
      </c>
      <c r="BM30" s="36">
        <f>-NA_monthly!BM34+NA_monthly!BL34</f>
        <v>0</v>
      </c>
      <c r="BN30" s="36">
        <f>-NA_monthly!BN34+NA_monthly!BM34</f>
        <v>0</v>
      </c>
      <c r="BO30" s="36">
        <f>-NA_monthly!BO34+NA_monthly!BN34</f>
        <v>0</v>
      </c>
      <c r="BP30" s="36">
        <f>-NA_monthly!BP34+NA_monthly!BO34</f>
        <v>0</v>
      </c>
      <c r="BQ30" s="36">
        <f>-NA_monthly!BQ34+NA_monthly!BP34</f>
        <v>0</v>
      </c>
      <c r="BR30" s="36">
        <f>-NA_monthly!BR34+NA_monthly!BQ34</f>
        <v>0</v>
      </c>
      <c r="BS30" s="36">
        <f>-NA_monthly!BS34+NA_monthly!BR34</f>
        <v>0</v>
      </c>
      <c r="BT30" s="36">
        <f>-NA_monthly!BT34+NA_monthly!BS34</f>
        <v>0</v>
      </c>
      <c r="BU30" s="36">
        <f>-NA_monthly!BU34+NA_monthly!BT34</f>
        <v>0</v>
      </c>
      <c r="BV30" s="36">
        <f>-NA_monthly!BV34+NA_monthly!BU34</f>
        <v>0</v>
      </c>
      <c r="BW30" s="36">
        <f>-NA_monthly!BW34+NA_monthly!BV34</f>
        <v>0</v>
      </c>
      <c r="BX30" s="36">
        <f>-NA_monthly!BX34+NA_monthly!BW34</f>
        <v>0</v>
      </c>
      <c r="BY30" s="36">
        <f>-NA_monthly!BY34+NA_monthly!BX34</f>
        <v>0</v>
      </c>
      <c r="BZ30" s="36">
        <f>-NA_monthly!BZ34+NA_monthly!BY34</f>
        <v>0</v>
      </c>
      <c r="CA30" s="36">
        <f>-NA_monthly!CA34+NA_monthly!BZ34</f>
        <v>0</v>
      </c>
      <c r="CB30" s="36">
        <f>-NA_monthly!CB34+NA_monthly!CA34</f>
        <v>0</v>
      </c>
      <c r="CC30" s="36">
        <f>-NA_monthly!CC34+NA_monthly!CB34</f>
        <v>0</v>
      </c>
      <c r="CD30" s="36">
        <f>-NA_monthly!CD34+NA_monthly!CC34</f>
        <v>0</v>
      </c>
      <c r="CE30" s="36">
        <f>-NA_monthly!CE34+NA_monthly!CD34</f>
        <v>0</v>
      </c>
      <c r="CF30" s="36">
        <f>-NA_monthly!CF34+NA_monthly!CE34</f>
        <v>0</v>
      </c>
      <c r="CG30" s="36">
        <f>-NA_monthly!CG34+NA_monthly!CF34</f>
        <v>0</v>
      </c>
      <c r="CH30" s="36">
        <f>-NA_monthly!CH34+NA_monthly!CG34</f>
        <v>0</v>
      </c>
      <c r="CI30" s="36">
        <f>-NA_monthly!CI34+NA_monthly!CH34</f>
        <v>0</v>
      </c>
      <c r="CJ30" s="36">
        <f>-NA_monthly!CJ34+NA_monthly!CI34</f>
        <v>0</v>
      </c>
      <c r="CK30" s="36">
        <f>-NA_monthly!CK34+NA_monthly!CJ34</f>
        <v>0</v>
      </c>
    </row>
    <row r="31" spans="3:89" ht="11.25" customHeight="1" outlineLevel="2" x14ac:dyDescent="0.2">
      <c r="C31" s="37" t="str">
        <f>"∆ "&amp;'Lead NA'!C34</f>
        <v>∆ Dummy 1</v>
      </c>
      <c r="D31" s="37" t="str">
        <f>"∆ "&amp;'Lead NA'!D34</f>
        <v>∆ Liabilities to affiliated/ participating companies</v>
      </c>
      <c r="E31" s="96"/>
      <c r="F31" s="96"/>
      <c r="G31" s="36">
        <f>-NA_monthly!G35+NA_monthly!F35</f>
        <v>0</v>
      </c>
      <c r="H31" s="36">
        <f>-NA_monthly!H35+NA_monthly!G35</f>
        <v>0</v>
      </c>
      <c r="I31" s="36">
        <f>-NA_monthly!I35+NA_monthly!H35</f>
        <v>0</v>
      </c>
      <c r="J31" s="36">
        <f>-NA_monthly!J35+NA_monthly!I35</f>
        <v>0</v>
      </c>
      <c r="K31" s="36">
        <f>-NA_monthly!K35+NA_monthly!J35</f>
        <v>0</v>
      </c>
      <c r="L31" s="36">
        <f>-NA_monthly!L35+NA_monthly!K35</f>
        <v>0</v>
      </c>
      <c r="M31" s="36">
        <f>-NA_monthly!M35+NA_monthly!L35</f>
        <v>0</v>
      </c>
      <c r="N31" s="36">
        <f>-NA_monthly!N35+NA_monthly!M35</f>
        <v>0</v>
      </c>
      <c r="O31" s="36">
        <f>-NA_monthly!O35+NA_monthly!N35</f>
        <v>0</v>
      </c>
      <c r="P31" s="36">
        <f>-NA_monthly!P35+NA_monthly!O35</f>
        <v>0</v>
      </c>
      <c r="Q31" s="36">
        <f>-NA_monthly!Q35+NA_monthly!P35</f>
        <v>0</v>
      </c>
      <c r="R31" s="36">
        <f>-NA_monthly!R35+NA_monthly!Q35</f>
        <v>0</v>
      </c>
      <c r="S31" s="36">
        <f>-NA_monthly!S35+NA_monthly!R35</f>
        <v>0</v>
      </c>
      <c r="T31" s="36">
        <f>-NA_monthly!T35+NA_monthly!S35</f>
        <v>0</v>
      </c>
      <c r="U31" s="36">
        <f>-NA_monthly!U35+NA_monthly!T35</f>
        <v>0</v>
      </c>
      <c r="V31" s="36">
        <f>-NA_monthly!V35+NA_monthly!U35</f>
        <v>0</v>
      </c>
      <c r="W31" s="36">
        <f>-NA_monthly!W35+NA_monthly!V35</f>
        <v>0</v>
      </c>
      <c r="X31" s="36">
        <f>-NA_monthly!X35+NA_monthly!W35</f>
        <v>0</v>
      </c>
      <c r="Y31" s="36">
        <f>-NA_monthly!Y35+NA_monthly!X35</f>
        <v>0</v>
      </c>
      <c r="Z31" s="36">
        <f>-NA_monthly!Z35+NA_monthly!Y35</f>
        <v>0</v>
      </c>
      <c r="AA31" s="36">
        <f>-NA_monthly!AA35+NA_monthly!Z35</f>
        <v>0</v>
      </c>
      <c r="AB31" s="36">
        <f>-NA_monthly!AB35+NA_monthly!AA35</f>
        <v>0</v>
      </c>
      <c r="AC31" s="36">
        <f>-NA_monthly!AC35+NA_monthly!AB35</f>
        <v>0</v>
      </c>
      <c r="AD31" s="36">
        <f>-NA_monthly!AD35+NA_monthly!AC35</f>
        <v>0</v>
      </c>
      <c r="AE31" s="36">
        <f>-NA_monthly!AE35+NA_monthly!AD35</f>
        <v>0</v>
      </c>
      <c r="AF31" s="36">
        <f>-NA_monthly!AF35+NA_monthly!AE35</f>
        <v>0</v>
      </c>
      <c r="AG31" s="36">
        <f>-NA_monthly!AG35+NA_monthly!AF35</f>
        <v>0</v>
      </c>
      <c r="AH31" s="36">
        <f>-NA_monthly!AH35+NA_monthly!AG35</f>
        <v>0</v>
      </c>
      <c r="AI31" s="36">
        <f>-NA_monthly!AI35+NA_monthly!AH35</f>
        <v>0</v>
      </c>
      <c r="AJ31" s="36">
        <f>-NA_monthly!AJ35+NA_monthly!AI35</f>
        <v>0</v>
      </c>
      <c r="AK31" s="36">
        <f>-NA_monthly!AK35+NA_monthly!AJ35</f>
        <v>0</v>
      </c>
      <c r="AL31" s="36">
        <f>-NA_monthly!AL35+NA_monthly!AK35</f>
        <v>0</v>
      </c>
      <c r="AM31" s="36">
        <f>-NA_monthly!AM35+NA_monthly!AL35</f>
        <v>0</v>
      </c>
      <c r="AN31" s="36">
        <f>-NA_monthly!AN35+NA_monthly!AM35</f>
        <v>0</v>
      </c>
      <c r="AO31" s="36">
        <f>-NA_monthly!AO35+NA_monthly!AN35</f>
        <v>0</v>
      </c>
      <c r="AP31" s="36">
        <f>-NA_monthly!AP35+NA_monthly!AO35</f>
        <v>0</v>
      </c>
      <c r="AQ31" s="36">
        <f>-NA_monthly!AQ35+NA_monthly!AP35</f>
        <v>0</v>
      </c>
      <c r="AR31" s="36">
        <f>-NA_monthly!AR35+NA_monthly!AQ35</f>
        <v>0</v>
      </c>
      <c r="AS31" s="36">
        <f>-NA_monthly!AS35+NA_monthly!AR35</f>
        <v>0</v>
      </c>
      <c r="AT31" s="36">
        <f>-NA_monthly!AT35+NA_monthly!AS35</f>
        <v>0</v>
      </c>
      <c r="AU31" s="36">
        <f>-NA_monthly!AU35+NA_monthly!AT35</f>
        <v>0</v>
      </c>
      <c r="AV31" s="36">
        <f>-NA_monthly!AV35+NA_monthly!AU35</f>
        <v>0</v>
      </c>
      <c r="AW31" s="36">
        <f>-NA_monthly!AW35+NA_monthly!AV35</f>
        <v>0</v>
      </c>
      <c r="AX31" s="36">
        <f>-NA_monthly!AX35+NA_monthly!AW35</f>
        <v>0</v>
      </c>
      <c r="AY31" s="36">
        <f>-NA_monthly!AY35+NA_monthly!AX35</f>
        <v>0</v>
      </c>
      <c r="AZ31" s="36">
        <f>-NA_monthly!AZ35+NA_monthly!AY35</f>
        <v>0</v>
      </c>
      <c r="BA31" s="36">
        <f>-NA_monthly!BA35+NA_monthly!AZ35</f>
        <v>0</v>
      </c>
      <c r="BB31" s="36">
        <f>-NA_monthly!BB35+NA_monthly!BA35</f>
        <v>0</v>
      </c>
      <c r="BC31" s="36">
        <f>-NA_monthly!BC35+NA_monthly!BB35</f>
        <v>0</v>
      </c>
      <c r="BD31" s="36">
        <f>-NA_monthly!BD35+NA_monthly!BC35</f>
        <v>0</v>
      </c>
      <c r="BE31" s="36">
        <f>-NA_monthly!BE35+NA_monthly!BD35</f>
        <v>0</v>
      </c>
      <c r="BF31" s="36">
        <f>-NA_monthly!BF35+NA_monthly!BE35</f>
        <v>0</v>
      </c>
      <c r="BG31" s="36">
        <f>-NA_monthly!BG35+NA_monthly!BF35</f>
        <v>0</v>
      </c>
      <c r="BH31" s="36">
        <f>-NA_monthly!BH35+NA_monthly!BG35</f>
        <v>0</v>
      </c>
      <c r="BI31" s="36">
        <f>-NA_monthly!BI35+NA_monthly!BH35</f>
        <v>0</v>
      </c>
      <c r="BJ31" s="36">
        <f>-NA_monthly!BJ35+NA_monthly!BI35</f>
        <v>0</v>
      </c>
      <c r="BK31" s="36">
        <f>-NA_monthly!BK35+NA_monthly!BJ35</f>
        <v>0</v>
      </c>
      <c r="BL31" s="36">
        <f>-NA_monthly!BL35+NA_monthly!BK35</f>
        <v>0</v>
      </c>
      <c r="BM31" s="36">
        <f>-NA_monthly!BM35+NA_monthly!BL35</f>
        <v>0</v>
      </c>
      <c r="BN31" s="36">
        <f>-NA_monthly!BN35+NA_monthly!BM35</f>
        <v>0</v>
      </c>
      <c r="BO31" s="36">
        <f>-NA_monthly!BO35+NA_monthly!BN35</f>
        <v>0</v>
      </c>
      <c r="BP31" s="36">
        <f>-NA_monthly!BP35+NA_monthly!BO35</f>
        <v>0</v>
      </c>
      <c r="BQ31" s="36">
        <f>-NA_monthly!BQ35+NA_monthly!BP35</f>
        <v>0</v>
      </c>
      <c r="BR31" s="36">
        <f>-NA_monthly!BR35+NA_monthly!BQ35</f>
        <v>0</v>
      </c>
      <c r="BS31" s="36">
        <f>-NA_monthly!BS35+NA_monthly!BR35</f>
        <v>0</v>
      </c>
      <c r="BT31" s="36">
        <f>-NA_monthly!BT35+NA_monthly!BS35</f>
        <v>0</v>
      </c>
      <c r="BU31" s="36">
        <f>-NA_monthly!BU35+NA_monthly!BT35</f>
        <v>0</v>
      </c>
      <c r="BV31" s="36">
        <f>-NA_monthly!BV35+NA_monthly!BU35</f>
        <v>0</v>
      </c>
      <c r="BW31" s="36">
        <f>-NA_monthly!BW35+NA_monthly!BV35</f>
        <v>0</v>
      </c>
      <c r="BX31" s="36">
        <f>-NA_monthly!BX35+NA_monthly!BW35</f>
        <v>0</v>
      </c>
      <c r="BY31" s="36">
        <f>-NA_monthly!BY35+NA_monthly!BX35</f>
        <v>0</v>
      </c>
      <c r="BZ31" s="36">
        <f>-NA_monthly!BZ35+NA_monthly!BY35</f>
        <v>0</v>
      </c>
      <c r="CA31" s="36">
        <f>-NA_monthly!CA35+NA_monthly!BZ35</f>
        <v>0</v>
      </c>
      <c r="CB31" s="36">
        <f>-NA_monthly!CB35+NA_monthly!CA35</f>
        <v>0</v>
      </c>
      <c r="CC31" s="36">
        <f>-NA_monthly!CC35+NA_monthly!CB35</f>
        <v>0</v>
      </c>
      <c r="CD31" s="36">
        <f>-NA_monthly!CD35+NA_monthly!CC35</f>
        <v>0</v>
      </c>
      <c r="CE31" s="36">
        <f>-NA_monthly!CE35+NA_monthly!CD35</f>
        <v>0</v>
      </c>
      <c r="CF31" s="36">
        <f>-NA_monthly!CF35+NA_monthly!CE35</f>
        <v>0</v>
      </c>
      <c r="CG31" s="36">
        <f>-NA_monthly!CG35+NA_monthly!CF35</f>
        <v>0</v>
      </c>
      <c r="CH31" s="36">
        <f>-NA_monthly!CH35+NA_monthly!CG35</f>
        <v>0</v>
      </c>
      <c r="CI31" s="36">
        <f>-NA_monthly!CI35+NA_monthly!CH35</f>
        <v>0</v>
      </c>
      <c r="CJ31" s="36">
        <f>-NA_monthly!CJ35+NA_monthly!CI35</f>
        <v>0</v>
      </c>
      <c r="CK31" s="36">
        <f>-NA_monthly!CK35+NA_monthly!CJ35</f>
        <v>0</v>
      </c>
    </row>
    <row r="32" spans="3:89" ht="11.25" customHeight="1" outlineLevel="2" x14ac:dyDescent="0.2">
      <c r="C32" s="37" t="str">
        <f>"∆ "&amp;'Lead NA'!C35</f>
        <v>∆ Dummy 1</v>
      </c>
      <c r="D32" s="37" t="str">
        <f>"∆ "&amp;'Lead NA'!D35</f>
        <v>∆ Liabilities to shareholders</v>
      </c>
      <c r="E32" s="96"/>
      <c r="F32" s="96"/>
      <c r="G32" s="36">
        <f>-NA_monthly!G36+NA_monthly!F36</f>
        <v>0</v>
      </c>
      <c r="H32" s="36">
        <f>-NA_monthly!H36+NA_monthly!G36</f>
        <v>0</v>
      </c>
      <c r="I32" s="36">
        <f>-NA_monthly!I36+NA_monthly!H36</f>
        <v>0</v>
      </c>
      <c r="J32" s="36">
        <f>-NA_monthly!J36+NA_monthly!I36</f>
        <v>0</v>
      </c>
      <c r="K32" s="36">
        <f>-NA_monthly!K36+NA_monthly!J36</f>
        <v>0</v>
      </c>
      <c r="L32" s="36">
        <f>-NA_monthly!L36+NA_monthly!K36</f>
        <v>0</v>
      </c>
      <c r="M32" s="36">
        <f>-NA_monthly!M36+NA_monthly!L36</f>
        <v>0</v>
      </c>
      <c r="N32" s="36">
        <f>-NA_monthly!N36+NA_monthly!M36</f>
        <v>0</v>
      </c>
      <c r="O32" s="36">
        <f>-NA_monthly!O36+NA_monthly!N36</f>
        <v>0</v>
      </c>
      <c r="P32" s="36">
        <f>-NA_monthly!P36+NA_monthly!O36</f>
        <v>0</v>
      </c>
      <c r="Q32" s="36">
        <f>-NA_monthly!Q36+NA_monthly!P36</f>
        <v>0</v>
      </c>
      <c r="R32" s="36">
        <f>-NA_monthly!R36+NA_monthly!Q36</f>
        <v>0</v>
      </c>
      <c r="S32" s="36">
        <f>-NA_monthly!S36+NA_monthly!R36</f>
        <v>0</v>
      </c>
      <c r="T32" s="36">
        <f>-NA_monthly!T36+NA_monthly!S36</f>
        <v>0</v>
      </c>
      <c r="U32" s="36">
        <f>-NA_monthly!U36+NA_monthly!T36</f>
        <v>0</v>
      </c>
      <c r="V32" s="36">
        <f>-NA_monthly!V36+NA_monthly!U36</f>
        <v>0</v>
      </c>
      <c r="W32" s="36">
        <f>-NA_monthly!W36+NA_monthly!V36</f>
        <v>0</v>
      </c>
      <c r="X32" s="36">
        <f>-NA_monthly!X36+NA_monthly!W36</f>
        <v>0</v>
      </c>
      <c r="Y32" s="36">
        <f>-NA_monthly!Y36+NA_monthly!X36</f>
        <v>0</v>
      </c>
      <c r="Z32" s="36">
        <f>-NA_monthly!Z36+NA_monthly!Y36</f>
        <v>0</v>
      </c>
      <c r="AA32" s="36">
        <f>-NA_monthly!AA36+NA_monthly!Z36</f>
        <v>0</v>
      </c>
      <c r="AB32" s="36">
        <f>-NA_monthly!AB36+NA_monthly!AA36</f>
        <v>0</v>
      </c>
      <c r="AC32" s="36">
        <f>-NA_monthly!AC36+NA_monthly!AB36</f>
        <v>0</v>
      </c>
      <c r="AD32" s="36">
        <f>-NA_monthly!AD36+NA_monthly!AC36</f>
        <v>0</v>
      </c>
      <c r="AE32" s="36">
        <f>-NA_monthly!AE36+NA_monthly!AD36</f>
        <v>0</v>
      </c>
      <c r="AF32" s="36">
        <f>-NA_monthly!AF36+NA_monthly!AE36</f>
        <v>0</v>
      </c>
      <c r="AG32" s="36">
        <f>-NA_monthly!AG36+NA_monthly!AF36</f>
        <v>0</v>
      </c>
      <c r="AH32" s="36">
        <f>-NA_monthly!AH36+NA_monthly!AG36</f>
        <v>0</v>
      </c>
      <c r="AI32" s="36">
        <f>-NA_monthly!AI36+NA_monthly!AH36</f>
        <v>0</v>
      </c>
      <c r="AJ32" s="36">
        <f>-NA_monthly!AJ36+NA_monthly!AI36</f>
        <v>0</v>
      </c>
      <c r="AK32" s="36">
        <f>-NA_monthly!AK36+NA_monthly!AJ36</f>
        <v>0</v>
      </c>
      <c r="AL32" s="36">
        <f>-NA_monthly!AL36+NA_monthly!AK36</f>
        <v>0</v>
      </c>
      <c r="AM32" s="36">
        <f>-NA_monthly!AM36+NA_monthly!AL36</f>
        <v>0</v>
      </c>
      <c r="AN32" s="36">
        <f>-NA_monthly!AN36+NA_monthly!AM36</f>
        <v>0</v>
      </c>
      <c r="AO32" s="36">
        <f>-NA_monthly!AO36+NA_monthly!AN36</f>
        <v>0</v>
      </c>
      <c r="AP32" s="36">
        <f>-NA_monthly!AP36+NA_monthly!AO36</f>
        <v>0</v>
      </c>
      <c r="AQ32" s="36">
        <f>-NA_monthly!AQ36+NA_monthly!AP36</f>
        <v>0</v>
      </c>
      <c r="AR32" s="36">
        <f>-NA_monthly!AR36+NA_monthly!AQ36</f>
        <v>0</v>
      </c>
      <c r="AS32" s="36">
        <f>-NA_monthly!AS36+NA_monthly!AR36</f>
        <v>0</v>
      </c>
      <c r="AT32" s="36">
        <f>-NA_monthly!AT36+NA_monthly!AS36</f>
        <v>0</v>
      </c>
      <c r="AU32" s="36">
        <f>-NA_monthly!AU36+NA_monthly!AT36</f>
        <v>0</v>
      </c>
      <c r="AV32" s="36">
        <f>-NA_monthly!AV36+NA_monthly!AU36</f>
        <v>0</v>
      </c>
      <c r="AW32" s="36">
        <f>-NA_monthly!AW36+NA_monthly!AV36</f>
        <v>0</v>
      </c>
      <c r="AX32" s="36">
        <f>-NA_monthly!AX36+NA_monthly!AW36</f>
        <v>0</v>
      </c>
      <c r="AY32" s="36">
        <f>-NA_monthly!AY36+NA_monthly!AX36</f>
        <v>0</v>
      </c>
      <c r="AZ32" s="36">
        <f>-NA_monthly!AZ36+NA_monthly!AY36</f>
        <v>0</v>
      </c>
      <c r="BA32" s="36">
        <f>-NA_monthly!BA36+NA_monthly!AZ36</f>
        <v>0</v>
      </c>
      <c r="BB32" s="36">
        <f>-NA_monthly!BB36+NA_monthly!BA36</f>
        <v>0</v>
      </c>
      <c r="BC32" s="36">
        <f>-NA_monthly!BC36+NA_monthly!BB36</f>
        <v>0</v>
      </c>
      <c r="BD32" s="36">
        <f>-NA_monthly!BD36+NA_monthly!BC36</f>
        <v>0</v>
      </c>
      <c r="BE32" s="36">
        <f>-NA_monthly!BE36+NA_monthly!BD36</f>
        <v>0</v>
      </c>
      <c r="BF32" s="36">
        <f>-NA_monthly!BF36+NA_monthly!BE36</f>
        <v>0</v>
      </c>
      <c r="BG32" s="36">
        <f>-NA_monthly!BG36+NA_monthly!BF36</f>
        <v>0</v>
      </c>
      <c r="BH32" s="36">
        <f>-NA_monthly!BH36+NA_monthly!BG36</f>
        <v>0</v>
      </c>
      <c r="BI32" s="36">
        <f>-NA_monthly!BI36+NA_monthly!BH36</f>
        <v>0</v>
      </c>
      <c r="BJ32" s="36">
        <f>-NA_monthly!BJ36+NA_monthly!BI36</f>
        <v>0</v>
      </c>
      <c r="BK32" s="36">
        <f>-NA_monthly!BK36+NA_monthly!BJ36</f>
        <v>0</v>
      </c>
      <c r="BL32" s="36">
        <f>-NA_monthly!BL36+NA_monthly!BK36</f>
        <v>0</v>
      </c>
      <c r="BM32" s="36">
        <f>-NA_monthly!BM36+NA_monthly!BL36</f>
        <v>0</v>
      </c>
      <c r="BN32" s="36">
        <f>-NA_monthly!BN36+NA_monthly!BM36</f>
        <v>0</v>
      </c>
      <c r="BO32" s="36">
        <f>-NA_monthly!BO36+NA_monthly!BN36</f>
        <v>0</v>
      </c>
      <c r="BP32" s="36">
        <f>-NA_monthly!BP36+NA_monthly!BO36</f>
        <v>0</v>
      </c>
      <c r="BQ32" s="36">
        <f>-NA_monthly!BQ36+NA_monthly!BP36</f>
        <v>0</v>
      </c>
      <c r="BR32" s="36">
        <f>-NA_monthly!BR36+NA_monthly!BQ36</f>
        <v>0</v>
      </c>
      <c r="BS32" s="36">
        <f>-NA_monthly!BS36+NA_monthly!BR36</f>
        <v>0</v>
      </c>
      <c r="BT32" s="36">
        <f>-NA_monthly!BT36+NA_monthly!BS36</f>
        <v>0</v>
      </c>
      <c r="BU32" s="36">
        <f>-NA_monthly!BU36+NA_monthly!BT36</f>
        <v>0</v>
      </c>
      <c r="BV32" s="36">
        <f>-NA_monthly!BV36+NA_monthly!BU36</f>
        <v>0</v>
      </c>
      <c r="BW32" s="36">
        <f>-NA_monthly!BW36+NA_monthly!BV36</f>
        <v>0</v>
      </c>
      <c r="BX32" s="36">
        <f>-NA_monthly!BX36+NA_monthly!BW36</f>
        <v>0</v>
      </c>
      <c r="BY32" s="36">
        <f>-NA_monthly!BY36+NA_monthly!BX36</f>
        <v>0</v>
      </c>
      <c r="BZ32" s="36">
        <f>-NA_monthly!BZ36+NA_monthly!BY36</f>
        <v>0</v>
      </c>
      <c r="CA32" s="36">
        <f>-NA_monthly!CA36+NA_monthly!BZ36</f>
        <v>0</v>
      </c>
      <c r="CB32" s="36">
        <f>-NA_monthly!CB36+NA_monthly!CA36</f>
        <v>0</v>
      </c>
      <c r="CC32" s="36">
        <f>-NA_monthly!CC36+NA_monthly!CB36</f>
        <v>0</v>
      </c>
      <c r="CD32" s="36">
        <f>-NA_monthly!CD36+NA_monthly!CC36</f>
        <v>0</v>
      </c>
      <c r="CE32" s="36">
        <f>-NA_monthly!CE36+NA_monthly!CD36</f>
        <v>0</v>
      </c>
      <c r="CF32" s="36">
        <f>-NA_monthly!CF36+NA_monthly!CE36</f>
        <v>0</v>
      </c>
      <c r="CG32" s="36">
        <f>-NA_monthly!CG36+NA_monthly!CF36</f>
        <v>0</v>
      </c>
      <c r="CH32" s="36">
        <f>-NA_monthly!CH36+NA_monthly!CG36</f>
        <v>0</v>
      </c>
      <c r="CI32" s="36">
        <f>-NA_monthly!CI36+NA_monthly!CH36</f>
        <v>0</v>
      </c>
      <c r="CJ32" s="36">
        <f>-NA_monthly!CJ36+NA_monthly!CI36</f>
        <v>0</v>
      </c>
      <c r="CK32" s="36">
        <f>-NA_monthly!CK36+NA_monthly!CJ36</f>
        <v>0</v>
      </c>
    </row>
    <row r="33" spans="3:91" ht="11.25" customHeight="1" outlineLevel="2" x14ac:dyDescent="0.2">
      <c r="C33" s="37" t="str">
        <f>"∆ "&amp;'Lead NA'!C36</f>
        <v>∆ Dummy 1</v>
      </c>
      <c r="D33" s="37" t="str">
        <f>"∆ "&amp;'Lead NA'!D36</f>
        <v>∆ Deferred income</v>
      </c>
      <c r="E33" s="96"/>
      <c r="F33" s="96"/>
      <c r="G33" s="36">
        <f>-NA_monthly!G37+NA_monthly!F37</f>
        <v>0</v>
      </c>
      <c r="H33" s="36">
        <f>-NA_monthly!H37+NA_monthly!G37</f>
        <v>0</v>
      </c>
      <c r="I33" s="36">
        <f>-NA_monthly!I37+NA_monthly!H37</f>
        <v>0</v>
      </c>
      <c r="J33" s="36">
        <f>-NA_monthly!J37+NA_monthly!I37</f>
        <v>0</v>
      </c>
      <c r="K33" s="36">
        <f>-NA_monthly!K37+NA_monthly!J37</f>
        <v>0</v>
      </c>
      <c r="L33" s="36">
        <f>-NA_monthly!L37+NA_monthly!K37</f>
        <v>0</v>
      </c>
      <c r="M33" s="36">
        <f>-NA_monthly!M37+NA_monthly!L37</f>
        <v>0</v>
      </c>
      <c r="N33" s="36">
        <f>-NA_monthly!N37+NA_monthly!M37</f>
        <v>0</v>
      </c>
      <c r="O33" s="36">
        <f>-NA_monthly!O37+NA_monthly!N37</f>
        <v>0</v>
      </c>
      <c r="P33" s="36">
        <f>-NA_monthly!P37+NA_monthly!O37</f>
        <v>0</v>
      </c>
      <c r="Q33" s="36">
        <f>-NA_monthly!Q37+NA_monthly!P37</f>
        <v>0</v>
      </c>
      <c r="R33" s="36">
        <f>-NA_monthly!R37+NA_monthly!Q37</f>
        <v>0</v>
      </c>
      <c r="S33" s="36">
        <f>-NA_monthly!S37+NA_monthly!R37</f>
        <v>0</v>
      </c>
      <c r="T33" s="36">
        <f>-NA_monthly!T37+NA_monthly!S37</f>
        <v>0</v>
      </c>
      <c r="U33" s="36">
        <f>-NA_monthly!U37+NA_monthly!T37</f>
        <v>0</v>
      </c>
      <c r="V33" s="36">
        <f>-NA_monthly!V37+NA_monthly!U37</f>
        <v>0</v>
      </c>
      <c r="W33" s="36">
        <f>-NA_monthly!W37+NA_monthly!V37</f>
        <v>0</v>
      </c>
      <c r="X33" s="36">
        <f>-NA_monthly!X37+NA_monthly!W37</f>
        <v>0</v>
      </c>
      <c r="Y33" s="36">
        <f>-NA_monthly!Y37+NA_monthly!X37</f>
        <v>0</v>
      </c>
      <c r="Z33" s="36">
        <f>-NA_monthly!Z37+NA_monthly!Y37</f>
        <v>0</v>
      </c>
      <c r="AA33" s="36">
        <f>-NA_monthly!AA37+NA_monthly!Z37</f>
        <v>0</v>
      </c>
      <c r="AB33" s="36">
        <f>-NA_monthly!AB37+NA_monthly!AA37</f>
        <v>0</v>
      </c>
      <c r="AC33" s="36">
        <f>-NA_monthly!AC37+NA_monthly!AB37</f>
        <v>0</v>
      </c>
      <c r="AD33" s="36">
        <f>-NA_monthly!AD37+NA_monthly!AC37</f>
        <v>0</v>
      </c>
      <c r="AE33" s="36">
        <f>-NA_monthly!AE37+NA_monthly!AD37</f>
        <v>0</v>
      </c>
      <c r="AF33" s="36">
        <f>-NA_monthly!AF37+NA_monthly!AE37</f>
        <v>0</v>
      </c>
      <c r="AG33" s="36">
        <f>-NA_monthly!AG37+NA_monthly!AF37</f>
        <v>0</v>
      </c>
      <c r="AH33" s="36">
        <f>-NA_monthly!AH37+NA_monthly!AG37</f>
        <v>0</v>
      </c>
      <c r="AI33" s="36">
        <f>-NA_monthly!AI37+NA_monthly!AH37</f>
        <v>0</v>
      </c>
      <c r="AJ33" s="36">
        <f>-NA_monthly!AJ37+NA_monthly!AI37</f>
        <v>0</v>
      </c>
      <c r="AK33" s="36">
        <f>-NA_monthly!AK37+NA_monthly!AJ37</f>
        <v>0</v>
      </c>
      <c r="AL33" s="36">
        <f>-NA_monthly!AL37+NA_monthly!AK37</f>
        <v>0</v>
      </c>
      <c r="AM33" s="36">
        <f>-NA_monthly!AM37+NA_monthly!AL37</f>
        <v>0</v>
      </c>
      <c r="AN33" s="36">
        <f>-NA_monthly!AN37+NA_monthly!AM37</f>
        <v>0</v>
      </c>
      <c r="AO33" s="36">
        <f>-NA_monthly!AO37+NA_monthly!AN37</f>
        <v>0</v>
      </c>
      <c r="AP33" s="36">
        <f>-NA_monthly!AP37+NA_monthly!AO37</f>
        <v>0</v>
      </c>
      <c r="AQ33" s="36">
        <f>-NA_monthly!AQ37+NA_monthly!AP37</f>
        <v>0</v>
      </c>
      <c r="AR33" s="36">
        <f>-NA_monthly!AR37+NA_monthly!AQ37</f>
        <v>0</v>
      </c>
      <c r="AS33" s="36">
        <f>-NA_monthly!AS37+NA_monthly!AR37</f>
        <v>0</v>
      </c>
      <c r="AT33" s="36">
        <f>-NA_monthly!AT37+NA_monthly!AS37</f>
        <v>0</v>
      </c>
      <c r="AU33" s="36">
        <f>-NA_monthly!AU37+NA_monthly!AT37</f>
        <v>0</v>
      </c>
      <c r="AV33" s="36">
        <f>-NA_monthly!AV37+NA_monthly!AU37</f>
        <v>0</v>
      </c>
      <c r="AW33" s="36">
        <f>-NA_monthly!AW37+NA_monthly!AV37</f>
        <v>0</v>
      </c>
      <c r="AX33" s="36">
        <f>-NA_monthly!AX37+NA_monthly!AW37</f>
        <v>0</v>
      </c>
      <c r="AY33" s="36">
        <f>-NA_monthly!AY37+NA_monthly!AX37</f>
        <v>0</v>
      </c>
      <c r="AZ33" s="36">
        <f>-NA_monthly!AZ37+NA_monthly!AY37</f>
        <v>0</v>
      </c>
      <c r="BA33" s="36">
        <f>-NA_monthly!BA37+NA_monthly!AZ37</f>
        <v>0</v>
      </c>
      <c r="BB33" s="36">
        <f>-NA_monthly!BB37+NA_monthly!BA37</f>
        <v>0</v>
      </c>
      <c r="BC33" s="36">
        <f>-NA_monthly!BC37+NA_monthly!BB37</f>
        <v>0</v>
      </c>
      <c r="BD33" s="36">
        <f>-NA_monthly!BD37+NA_monthly!BC37</f>
        <v>0</v>
      </c>
      <c r="BE33" s="36">
        <f>-NA_monthly!BE37+NA_monthly!BD37</f>
        <v>0</v>
      </c>
      <c r="BF33" s="36">
        <f>-NA_monthly!BF37+NA_monthly!BE37</f>
        <v>0</v>
      </c>
      <c r="BG33" s="36">
        <f>-NA_monthly!BG37+NA_monthly!BF37</f>
        <v>0</v>
      </c>
      <c r="BH33" s="36">
        <f>-NA_monthly!BH37+NA_monthly!BG37</f>
        <v>0</v>
      </c>
      <c r="BI33" s="36">
        <f>-NA_monthly!BI37+NA_monthly!BH37</f>
        <v>0</v>
      </c>
      <c r="BJ33" s="36">
        <f>-NA_monthly!BJ37+NA_monthly!BI37</f>
        <v>0</v>
      </c>
      <c r="BK33" s="36">
        <f>-NA_monthly!BK37+NA_monthly!BJ37</f>
        <v>0</v>
      </c>
      <c r="BL33" s="36">
        <f>-NA_monthly!BL37+NA_monthly!BK37</f>
        <v>0</v>
      </c>
      <c r="BM33" s="36">
        <f>-NA_monthly!BM37+NA_monthly!BL37</f>
        <v>0</v>
      </c>
      <c r="BN33" s="36">
        <f>-NA_monthly!BN37+NA_monthly!BM37</f>
        <v>0</v>
      </c>
      <c r="BO33" s="36">
        <f>-NA_monthly!BO37+NA_monthly!BN37</f>
        <v>0</v>
      </c>
      <c r="BP33" s="36">
        <f>-NA_monthly!BP37+NA_monthly!BO37</f>
        <v>0</v>
      </c>
      <c r="BQ33" s="36">
        <f>-NA_monthly!BQ37+NA_monthly!BP37</f>
        <v>0</v>
      </c>
      <c r="BR33" s="36">
        <f>-NA_monthly!BR37+NA_monthly!BQ37</f>
        <v>0</v>
      </c>
      <c r="BS33" s="36">
        <f>-NA_monthly!BS37+NA_monthly!BR37</f>
        <v>0</v>
      </c>
      <c r="BT33" s="36">
        <f>-NA_monthly!BT37+NA_monthly!BS37</f>
        <v>0</v>
      </c>
      <c r="BU33" s="36">
        <f>-NA_monthly!BU37+NA_monthly!BT37</f>
        <v>0</v>
      </c>
      <c r="BV33" s="36">
        <f>-NA_monthly!BV37+NA_monthly!BU37</f>
        <v>0</v>
      </c>
      <c r="BW33" s="36">
        <f>-NA_monthly!BW37+NA_monthly!BV37</f>
        <v>0</v>
      </c>
      <c r="BX33" s="36">
        <f>-NA_monthly!BX37+NA_monthly!BW37</f>
        <v>0</v>
      </c>
      <c r="BY33" s="36">
        <f>-NA_monthly!BY37+NA_monthly!BX37</f>
        <v>0</v>
      </c>
      <c r="BZ33" s="36">
        <f>-NA_monthly!BZ37+NA_monthly!BY37</f>
        <v>0</v>
      </c>
      <c r="CA33" s="36">
        <f>-NA_monthly!CA37+NA_monthly!BZ37</f>
        <v>0</v>
      </c>
      <c r="CB33" s="36">
        <f>-NA_monthly!CB37+NA_monthly!CA37</f>
        <v>0</v>
      </c>
      <c r="CC33" s="36">
        <f>-NA_monthly!CC37+NA_monthly!CB37</f>
        <v>0</v>
      </c>
      <c r="CD33" s="36">
        <f>-NA_monthly!CD37+NA_monthly!CC37</f>
        <v>0</v>
      </c>
      <c r="CE33" s="36">
        <f>-NA_monthly!CE37+NA_monthly!CD37</f>
        <v>0</v>
      </c>
      <c r="CF33" s="36">
        <f>-NA_monthly!CF37+NA_monthly!CE37</f>
        <v>0</v>
      </c>
      <c r="CG33" s="36">
        <f>-NA_monthly!CG37+NA_monthly!CF37</f>
        <v>0</v>
      </c>
      <c r="CH33" s="36">
        <f>-NA_monthly!CH37+NA_monthly!CG37</f>
        <v>0</v>
      </c>
      <c r="CI33" s="36">
        <f>-NA_monthly!CI37+NA_monthly!CH37</f>
        <v>0</v>
      </c>
      <c r="CJ33" s="36">
        <f>-NA_monthly!CJ37+NA_monthly!CI37</f>
        <v>0</v>
      </c>
      <c r="CK33" s="36">
        <f>-NA_monthly!CK37+NA_monthly!CJ37</f>
        <v>0</v>
      </c>
    </row>
    <row r="34" spans="3:91" ht="11.25" customHeight="1" outlineLevel="2" x14ac:dyDescent="0.2">
      <c r="C34" s="37" t="str">
        <f>"∆ "&amp;'Lead NA'!C37</f>
        <v>∆ Dummy 1</v>
      </c>
      <c r="D34" s="37" t="str">
        <f>"∆ "&amp;'Lead NA'!D37</f>
        <v>∆ Dummy 1</v>
      </c>
      <c r="E34" s="96"/>
      <c r="F34" s="96"/>
      <c r="G34" s="36">
        <f>-NA_monthly!G38+NA_monthly!F38</f>
        <v>0</v>
      </c>
      <c r="H34" s="36">
        <f>-NA_monthly!H38+NA_monthly!G38</f>
        <v>0</v>
      </c>
      <c r="I34" s="36">
        <f>-NA_monthly!I38+NA_monthly!H38</f>
        <v>0</v>
      </c>
      <c r="J34" s="36">
        <f>-NA_monthly!J38+NA_monthly!I38</f>
        <v>0</v>
      </c>
      <c r="K34" s="36">
        <f>-NA_monthly!K38+NA_monthly!J38</f>
        <v>0</v>
      </c>
      <c r="L34" s="36">
        <f>-NA_monthly!L38+NA_monthly!K38</f>
        <v>0</v>
      </c>
      <c r="M34" s="36">
        <f>-NA_monthly!M38+NA_monthly!L38</f>
        <v>0</v>
      </c>
      <c r="N34" s="36">
        <f>-NA_monthly!N38+NA_monthly!M38</f>
        <v>0</v>
      </c>
      <c r="O34" s="36">
        <f>-NA_monthly!O38+NA_monthly!N38</f>
        <v>0</v>
      </c>
      <c r="P34" s="36">
        <f>-NA_monthly!P38+NA_monthly!O38</f>
        <v>0</v>
      </c>
      <c r="Q34" s="36">
        <f>-NA_monthly!Q38+NA_monthly!P38</f>
        <v>0</v>
      </c>
      <c r="R34" s="36">
        <f>-NA_monthly!R38+NA_monthly!Q38</f>
        <v>0</v>
      </c>
      <c r="S34" s="36">
        <f>-NA_monthly!S38+NA_monthly!R38</f>
        <v>0</v>
      </c>
      <c r="T34" s="36">
        <f>-NA_monthly!T38+NA_monthly!S38</f>
        <v>0</v>
      </c>
      <c r="U34" s="36">
        <f>-NA_monthly!U38+NA_monthly!T38</f>
        <v>0</v>
      </c>
      <c r="V34" s="36">
        <f>-NA_monthly!V38+NA_monthly!U38</f>
        <v>0</v>
      </c>
      <c r="W34" s="36">
        <f>-NA_monthly!W38+NA_monthly!V38</f>
        <v>0</v>
      </c>
      <c r="X34" s="36">
        <f>-NA_monthly!X38+NA_monthly!W38</f>
        <v>0</v>
      </c>
      <c r="Y34" s="36">
        <f>-NA_monthly!Y38+NA_monthly!X38</f>
        <v>0</v>
      </c>
      <c r="Z34" s="36">
        <f>-NA_monthly!Z38+NA_monthly!Y38</f>
        <v>0</v>
      </c>
      <c r="AA34" s="36">
        <f>-NA_monthly!AA38+NA_monthly!Z38</f>
        <v>0</v>
      </c>
      <c r="AB34" s="36">
        <f>-NA_monthly!AB38+NA_monthly!AA38</f>
        <v>0</v>
      </c>
      <c r="AC34" s="36">
        <f>-NA_monthly!AC38+NA_monthly!AB38</f>
        <v>0</v>
      </c>
      <c r="AD34" s="36">
        <f>-NA_monthly!AD38+NA_monthly!AC38</f>
        <v>0</v>
      </c>
      <c r="AE34" s="36">
        <f>-NA_monthly!AE38+NA_monthly!AD38</f>
        <v>0</v>
      </c>
      <c r="AF34" s="36">
        <f>-NA_monthly!AF38+NA_monthly!AE38</f>
        <v>0</v>
      </c>
      <c r="AG34" s="36">
        <f>-NA_monthly!AG38+NA_monthly!AF38</f>
        <v>0</v>
      </c>
      <c r="AH34" s="36">
        <f>-NA_monthly!AH38+NA_monthly!AG38</f>
        <v>0</v>
      </c>
      <c r="AI34" s="36">
        <f>-NA_monthly!AI38+NA_monthly!AH38</f>
        <v>0</v>
      </c>
      <c r="AJ34" s="36">
        <f>-NA_monthly!AJ38+NA_monthly!AI38</f>
        <v>0</v>
      </c>
      <c r="AK34" s="36">
        <f>-NA_monthly!AK38+NA_monthly!AJ38</f>
        <v>0</v>
      </c>
      <c r="AL34" s="36">
        <f>-NA_monthly!AL38+NA_monthly!AK38</f>
        <v>0</v>
      </c>
      <c r="AM34" s="36">
        <f>-NA_monthly!AM38+NA_monthly!AL38</f>
        <v>0</v>
      </c>
      <c r="AN34" s="36">
        <f>-NA_monthly!AN38+NA_monthly!AM38</f>
        <v>0</v>
      </c>
      <c r="AO34" s="36">
        <f>-NA_monthly!AO38+NA_monthly!AN38</f>
        <v>0</v>
      </c>
      <c r="AP34" s="36">
        <f>-NA_monthly!AP38+NA_monthly!AO38</f>
        <v>0</v>
      </c>
      <c r="AQ34" s="36">
        <f>-NA_monthly!AQ38+NA_monthly!AP38</f>
        <v>0</v>
      </c>
      <c r="AR34" s="36">
        <f>-NA_monthly!AR38+NA_monthly!AQ38</f>
        <v>0</v>
      </c>
      <c r="AS34" s="36">
        <f>-NA_monthly!AS38+NA_monthly!AR38</f>
        <v>0</v>
      </c>
      <c r="AT34" s="36">
        <f>-NA_monthly!AT38+NA_monthly!AS38</f>
        <v>0</v>
      </c>
      <c r="AU34" s="36">
        <f>-NA_monthly!AU38+NA_monthly!AT38</f>
        <v>0</v>
      </c>
      <c r="AV34" s="36">
        <f>-NA_monthly!AV38+NA_monthly!AU38</f>
        <v>0</v>
      </c>
      <c r="AW34" s="36">
        <f>-NA_monthly!AW38+NA_monthly!AV38</f>
        <v>0</v>
      </c>
      <c r="AX34" s="36">
        <f>-NA_monthly!AX38+NA_monthly!AW38</f>
        <v>0</v>
      </c>
      <c r="AY34" s="36">
        <f>-NA_monthly!AY38+NA_monthly!AX38</f>
        <v>0</v>
      </c>
      <c r="AZ34" s="36">
        <f>-NA_monthly!AZ38+NA_monthly!AY38</f>
        <v>0</v>
      </c>
      <c r="BA34" s="36">
        <f>-NA_monthly!BA38+NA_monthly!AZ38</f>
        <v>0</v>
      </c>
      <c r="BB34" s="36">
        <f>-NA_monthly!BB38+NA_monthly!BA38</f>
        <v>0</v>
      </c>
      <c r="BC34" s="36">
        <f>-NA_monthly!BC38+NA_monthly!BB38</f>
        <v>0</v>
      </c>
      <c r="BD34" s="36">
        <f>-NA_monthly!BD38+NA_monthly!BC38</f>
        <v>0</v>
      </c>
      <c r="BE34" s="36">
        <f>-NA_monthly!BE38+NA_monthly!BD38</f>
        <v>0</v>
      </c>
      <c r="BF34" s="36">
        <f>-NA_monthly!BF38+NA_monthly!BE38</f>
        <v>0</v>
      </c>
      <c r="BG34" s="36">
        <f>-NA_monthly!BG38+NA_monthly!BF38</f>
        <v>0</v>
      </c>
      <c r="BH34" s="36">
        <f>-NA_monthly!BH38+NA_monthly!BG38</f>
        <v>0</v>
      </c>
      <c r="BI34" s="36">
        <f>-NA_monthly!BI38+NA_monthly!BH38</f>
        <v>0</v>
      </c>
      <c r="BJ34" s="36">
        <f>-NA_monthly!BJ38+NA_monthly!BI38</f>
        <v>0</v>
      </c>
      <c r="BK34" s="36">
        <f>-NA_monthly!BK38+NA_monthly!BJ38</f>
        <v>0</v>
      </c>
      <c r="BL34" s="36">
        <f>-NA_monthly!BL38+NA_monthly!BK38</f>
        <v>0</v>
      </c>
      <c r="BM34" s="36">
        <f>-NA_monthly!BM38+NA_monthly!BL38</f>
        <v>0</v>
      </c>
      <c r="BN34" s="36">
        <f>-NA_monthly!BN38+NA_monthly!BM38</f>
        <v>0</v>
      </c>
      <c r="BO34" s="36">
        <f>-NA_monthly!BO38+NA_monthly!BN38</f>
        <v>0</v>
      </c>
      <c r="BP34" s="36">
        <f>-NA_monthly!BP38+NA_monthly!BO38</f>
        <v>0</v>
      </c>
      <c r="BQ34" s="36">
        <f>-NA_monthly!BQ38+NA_monthly!BP38</f>
        <v>0</v>
      </c>
      <c r="BR34" s="36">
        <f>-NA_monthly!BR38+NA_monthly!BQ38</f>
        <v>0</v>
      </c>
      <c r="BS34" s="36">
        <f>-NA_monthly!BS38+NA_monthly!BR38</f>
        <v>0</v>
      </c>
      <c r="BT34" s="36">
        <f>-NA_monthly!BT38+NA_monthly!BS38</f>
        <v>0</v>
      </c>
      <c r="BU34" s="36">
        <f>-NA_monthly!BU38+NA_monthly!BT38</f>
        <v>0</v>
      </c>
      <c r="BV34" s="36">
        <f>-NA_monthly!BV38+NA_monthly!BU38</f>
        <v>0</v>
      </c>
      <c r="BW34" s="36">
        <f>-NA_monthly!BW38+NA_monthly!BV38</f>
        <v>0</v>
      </c>
      <c r="BX34" s="36">
        <f>-NA_monthly!BX38+NA_monthly!BW38</f>
        <v>0</v>
      </c>
      <c r="BY34" s="36">
        <f>-NA_monthly!BY38+NA_monthly!BX38</f>
        <v>0</v>
      </c>
      <c r="BZ34" s="36">
        <f>-NA_monthly!BZ38+NA_monthly!BY38</f>
        <v>0</v>
      </c>
      <c r="CA34" s="36">
        <f>-NA_monthly!CA38+NA_monthly!BZ38</f>
        <v>0</v>
      </c>
      <c r="CB34" s="36">
        <f>-NA_monthly!CB38+NA_monthly!CA38</f>
        <v>0</v>
      </c>
      <c r="CC34" s="36">
        <f>-NA_monthly!CC38+NA_monthly!CB38</f>
        <v>0</v>
      </c>
      <c r="CD34" s="36">
        <f>-NA_monthly!CD38+NA_monthly!CC38</f>
        <v>0</v>
      </c>
      <c r="CE34" s="36">
        <f>-NA_monthly!CE38+NA_monthly!CD38</f>
        <v>0</v>
      </c>
      <c r="CF34" s="36">
        <f>-NA_monthly!CF38+NA_monthly!CE38</f>
        <v>0</v>
      </c>
      <c r="CG34" s="36">
        <f>-NA_monthly!CG38+NA_monthly!CF38</f>
        <v>0</v>
      </c>
      <c r="CH34" s="36">
        <f>-NA_monthly!CH38+NA_monthly!CG38</f>
        <v>0</v>
      </c>
      <c r="CI34" s="36">
        <f>-NA_monthly!CI38+NA_monthly!CH38</f>
        <v>0</v>
      </c>
      <c r="CJ34" s="36">
        <f>-NA_monthly!CJ38+NA_monthly!CI38</f>
        <v>0</v>
      </c>
      <c r="CK34" s="36">
        <f>-NA_monthly!CK38+NA_monthly!CJ38</f>
        <v>0</v>
      </c>
    </row>
    <row r="35" spans="3:91" ht="11.25" customHeight="1" outlineLevel="2" x14ac:dyDescent="0.2">
      <c r="C35" s="37" t="str">
        <f>"∆ "&amp;'Lead NA'!C38</f>
        <v>∆ Dummy 2</v>
      </c>
      <c r="D35" s="37" t="str">
        <f>"∆ "&amp;'Lead NA'!D38</f>
        <v>∆ Dummy 2</v>
      </c>
      <c r="E35" s="96"/>
      <c r="F35" s="96"/>
      <c r="G35" s="36">
        <f>-NA_monthly!G39+NA_monthly!F39</f>
        <v>0</v>
      </c>
      <c r="H35" s="36">
        <f>-NA_monthly!H39+NA_monthly!G39</f>
        <v>0</v>
      </c>
      <c r="I35" s="36">
        <f>-NA_monthly!I39+NA_monthly!H39</f>
        <v>0</v>
      </c>
      <c r="J35" s="36">
        <f>-NA_monthly!J39+NA_monthly!I39</f>
        <v>0</v>
      </c>
      <c r="K35" s="36">
        <f>-NA_monthly!K39+NA_monthly!J39</f>
        <v>0</v>
      </c>
      <c r="L35" s="36">
        <f>-NA_monthly!L39+NA_monthly!K39</f>
        <v>0</v>
      </c>
      <c r="M35" s="36">
        <f>-NA_monthly!M39+NA_monthly!L39</f>
        <v>0</v>
      </c>
      <c r="N35" s="36">
        <f>-NA_monthly!N39+NA_monthly!M39</f>
        <v>0</v>
      </c>
      <c r="O35" s="36">
        <f>-NA_monthly!O39+NA_monthly!N39</f>
        <v>0</v>
      </c>
      <c r="P35" s="36">
        <f>-NA_monthly!P39+NA_monthly!O39</f>
        <v>0</v>
      </c>
      <c r="Q35" s="36">
        <f>-NA_monthly!Q39+NA_monthly!P39</f>
        <v>0</v>
      </c>
      <c r="R35" s="36">
        <f>-NA_monthly!R39+NA_monthly!Q39</f>
        <v>0</v>
      </c>
      <c r="S35" s="36">
        <f>-NA_monthly!S39+NA_monthly!R39</f>
        <v>0</v>
      </c>
      <c r="T35" s="36">
        <f>-NA_monthly!T39+NA_monthly!S39</f>
        <v>0</v>
      </c>
      <c r="U35" s="36">
        <f>-NA_monthly!U39+NA_monthly!T39</f>
        <v>0</v>
      </c>
      <c r="V35" s="36">
        <f>-NA_monthly!V39+NA_monthly!U39</f>
        <v>0</v>
      </c>
      <c r="W35" s="36">
        <f>-NA_monthly!W39+NA_monthly!V39</f>
        <v>0</v>
      </c>
      <c r="X35" s="36">
        <f>-NA_monthly!X39+NA_monthly!W39</f>
        <v>0</v>
      </c>
      <c r="Y35" s="36">
        <f>-NA_monthly!Y39+NA_monthly!X39</f>
        <v>0</v>
      </c>
      <c r="Z35" s="36">
        <f>-NA_monthly!Z39+NA_monthly!Y39</f>
        <v>0</v>
      </c>
      <c r="AA35" s="36">
        <f>-NA_monthly!AA39+NA_monthly!Z39</f>
        <v>0</v>
      </c>
      <c r="AB35" s="36">
        <f>-NA_monthly!AB39+NA_monthly!AA39</f>
        <v>0</v>
      </c>
      <c r="AC35" s="36">
        <f>-NA_monthly!AC39+NA_monthly!AB39</f>
        <v>0</v>
      </c>
      <c r="AD35" s="36">
        <f>-NA_monthly!AD39+NA_monthly!AC39</f>
        <v>0</v>
      </c>
      <c r="AE35" s="36">
        <f>-NA_monthly!AE39+NA_monthly!AD39</f>
        <v>0</v>
      </c>
      <c r="AF35" s="36">
        <f>-NA_monthly!AF39+NA_monthly!AE39</f>
        <v>0</v>
      </c>
      <c r="AG35" s="36">
        <f>-NA_monthly!AG39+NA_monthly!AF39</f>
        <v>0</v>
      </c>
      <c r="AH35" s="36">
        <f>-NA_monthly!AH39+NA_monthly!AG39</f>
        <v>0</v>
      </c>
      <c r="AI35" s="36">
        <f>-NA_monthly!AI39+NA_monthly!AH39</f>
        <v>0</v>
      </c>
      <c r="AJ35" s="36">
        <f>-NA_monthly!AJ39+NA_monthly!AI39</f>
        <v>0</v>
      </c>
      <c r="AK35" s="36">
        <f>-NA_monthly!AK39+NA_monthly!AJ39</f>
        <v>0</v>
      </c>
      <c r="AL35" s="36">
        <f>-NA_monthly!AL39+NA_monthly!AK39</f>
        <v>0</v>
      </c>
      <c r="AM35" s="36">
        <f>-NA_monthly!AM39+NA_monthly!AL39</f>
        <v>0</v>
      </c>
      <c r="AN35" s="36">
        <f>-NA_monthly!AN39+NA_monthly!AM39</f>
        <v>0</v>
      </c>
      <c r="AO35" s="36">
        <f>-NA_monthly!AO39+NA_monthly!AN39</f>
        <v>0</v>
      </c>
      <c r="AP35" s="36">
        <f>-NA_monthly!AP39+NA_monthly!AO39</f>
        <v>0</v>
      </c>
      <c r="AQ35" s="36">
        <f>-NA_monthly!AQ39+NA_monthly!AP39</f>
        <v>0</v>
      </c>
      <c r="AR35" s="36">
        <f>-NA_monthly!AR39+NA_monthly!AQ39</f>
        <v>0</v>
      </c>
      <c r="AS35" s="36">
        <f>-NA_monthly!AS39+NA_monthly!AR39</f>
        <v>0</v>
      </c>
      <c r="AT35" s="36">
        <f>-NA_monthly!AT39+NA_monthly!AS39</f>
        <v>0</v>
      </c>
      <c r="AU35" s="36">
        <f>-NA_monthly!AU39+NA_monthly!AT39</f>
        <v>0</v>
      </c>
      <c r="AV35" s="36">
        <f>-NA_monthly!AV39+NA_monthly!AU39</f>
        <v>0</v>
      </c>
      <c r="AW35" s="36">
        <f>-NA_monthly!AW39+NA_monthly!AV39</f>
        <v>0</v>
      </c>
      <c r="AX35" s="36">
        <f>-NA_monthly!AX39+NA_monthly!AW39</f>
        <v>0</v>
      </c>
      <c r="AY35" s="36">
        <f>-NA_monthly!AY39+NA_monthly!AX39</f>
        <v>0</v>
      </c>
      <c r="AZ35" s="36">
        <f>-NA_monthly!AZ39+NA_monthly!AY39</f>
        <v>0</v>
      </c>
      <c r="BA35" s="36">
        <f>-NA_monthly!BA39+NA_monthly!AZ39</f>
        <v>0</v>
      </c>
      <c r="BB35" s="36">
        <f>-NA_monthly!BB39+NA_monthly!BA39</f>
        <v>0</v>
      </c>
      <c r="BC35" s="36">
        <f>-NA_monthly!BC39+NA_monthly!BB39</f>
        <v>0</v>
      </c>
      <c r="BD35" s="36">
        <f>-NA_monthly!BD39+NA_monthly!BC39</f>
        <v>0</v>
      </c>
      <c r="BE35" s="36">
        <f>-NA_monthly!BE39+NA_monthly!BD39</f>
        <v>0</v>
      </c>
      <c r="BF35" s="36">
        <f>-NA_monthly!BF39+NA_monthly!BE39</f>
        <v>0</v>
      </c>
      <c r="BG35" s="36">
        <f>-NA_monthly!BG39+NA_monthly!BF39</f>
        <v>0</v>
      </c>
      <c r="BH35" s="36">
        <f>-NA_monthly!BH39+NA_monthly!BG39</f>
        <v>0</v>
      </c>
      <c r="BI35" s="36">
        <f>-NA_monthly!BI39+NA_monthly!BH39</f>
        <v>0</v>
      </c>
      <c r="BJ35" s="36">
        <f>-NA_monthly!BJ39+NA_monthly!BI39</f>
        <v>0</v>
      </c>
      <c r="BK35" s="36">
        <f>-NA_monthly!BK39+NA_monthly!BJ39</f>
        <v>0</v>
      </c>
      <c r="BL35" s="36">
        <f>-NA_monthly!BL39+NA_monthly!BK39</f>
        <v>0</v>
      </c>
      <c r="BM35" s="36">
        <f>-NA_monthly!BM39+NA_monthly!BL39</f>
        <v>0</v>
      </c>
      <c r="BN35" s="36">
        <f>-NA_monthly!BN39+NA_monthly!BM39</f>
        <v>0</v>
      </c>
      <c r="BO35" s="36">
        <f>-NA_monthly!BO39+NA_monthly!BN39</f>
        <v>0</v>
      </c>
      <c r="BP35" s="36">
        <f>-NA_monthly!BP39+NA_monthly!BO39</f>
        <v>0</v>
      </c>
      <c r="BQ35" s="36">
        <f>-NA_monthly!BQ39+NA_monthly!BP39</f>
        <v>0</v>
      </c>
      <c r="BR35" s="36">
        <f>-NA_monthly!BR39+NA_monthly!BQ39</f>
        <v>0</v>
      </c>
      <c r="BS35" s="36">
        <f>-NA_monthly!BS39+NA_monthly!BR39</f>
        <v>0</v>
      </c>
      <c r="BT35" s="36">
        <f>-NA_monthly!BT39+NA_monthly!BS39</f>
        <v>0</v>
      </c>
      <c r="BU35" s="36">
        <f>-NA_monthly!BU39+NA_monthly!BT39</f>
        <v>0</v>
      </c>
      <c r="BV35" s="36">
        <f>-NA_monthly!BV39+NA_monthly!BU39</f>
        <v>0</v>
      </c>
      <c r="BW35" s="36">
        <f>-NA_monthly!BW39+NA_monthly!BV39</f>
        <v>0</v>
      </c>
      <c r="BX35" s="36">
        <f>-NA_monthly!BX39+NA_monthly!BW39</f>
        <v>0</v>
      </c>
      <c r="BY35" s="36">
        <f>-NA_monthly!BY39+NA_monthly!BX39</f>
        <v>0</v>
      </c>
      <c r="BZ35" s="36">
        <f>-NA_monthly!BZ39+NA_monthly!BY39</f>
        <v>0</v>
      </c>
      <c r="CA35" s="36">
        <f>-NA_monthly!CA39+NA_monthly!BZ39</f>
        <v>0</v>
      </c>
      <c r="CB35" s="36">
        <f>-NA_monthly!CB39+NA_monthly!CA39</f>
        <v>0</v>
      </c>
      <c r="CC35" s="36">
        <f>-NA_monthly!CC39+NA_monthly!CB39</f>
        <v>0</v>
      </c>
      <c r="CD35" s="36">
        <f>-NA_monthly!CD39+NA_monthly!CC39</f>
        <v>0</v>
      </c>
      <c r="CE35" s="36">
        <f>-NA_monthly!CE39+NA_monthly!CD39</f>
        <v>0</v>
      </c>
      <c r="CF35" s="36">
        <f>-NA_monthly!CF39+NA_monthly!CE39</f>
        <v>0</v>
      </c>
      <c r="CG35" s="36">
        <f>-NA_monthly!CG39+NA_monthly!CF39</f>
        <v>0</v>
      </c>
      <c r="CH35" s="36">
        <f>-NA_monthly!CH39+NA_monthly!CG39</f>
        <v>0</v>
      </c>
      <c r="CI35" s="36">
        <f>-NA_monthly!CI39+NA_monthly!CH39</f>
        <v>0</v>
      </c>
      <c r="CJ35" s="36">
        <f>-NA_monthly!CJ39+NA_monthly!CI39</f>
        <v>0</v>
      </c>
      <c r="CK35" s="36">
        <f>-NA_monthly!CK39+NA_monthly!CJ39</f>
        <v>0</v>
      </c>
    </row>
    <row r="36" spans="3:91" ht="11.25" customHeight="1" outlineLevel="2" x14ac:dyDescent="0.2">
      <c r="C36" s="42" t="str">
        <f>"∆ "&amp;'Lead NA'!C39</f>
        <v>∆ Dummy 3</v>
      </c>
      <c r="D36" s="42" t="str">
        <f>"∆ "&amp;'Lead NA'!D39</f>
        <v>∆ Dummy 3</v>
      </c>
      <c r="E36" s="136"/>
      <c r="F36" s="136"/>
      <c r="G36" s="36">
        <f>-NA_monthly!G40+NA_monthly!F40</f>
        <v>0</v>
      </c>
      <c r="H36" s="36">
        <f>-NA_monthly!H40+NA_monthly!G40</f>
        <v>0</v>
      </c>
      <c r="I36" s="36">
        <f>-NA_monthly!I40+NA_monthly!H40</f>
        <v>0</v>
      </c>
      <c r="J36" s="36">
        <f>-NA_monthly!J40+NA_monthly!I40</f>
        <v>0</v>
      </c>
      <c r="K36" s="36">
        <f>-NA_monthly!K40+NA_monthly!J40</f>
        <v>0</v>
      </c>
      <c r="L36" s="36">
        <f>-NA_monthly!L40+NA_monthly!K40</f>
        <v>0</v>
      </c>
      <c r="M36" s="36">
        <f>-NA_monthly!M40+NA_monthly!L40</f>
        <v>0</v>
      </c>
      <c r="N36" s="36">
        <f>-NA_monthly!N40+NA_monthly!M40</f>
        <v>0</v>
      </c>
      <c r="O36" s="36">
        <f>-NA_monthly!O40+NA_monthly!N40</f>
        <v>0</v>
      </c>
      <c r="P36" s="36">
        <f>-NA_monthly!P40+NA_monthly!O40</f>
        <v>0</v>
      </c>
      <c r="Q36" s="36">
        <f>-NA_monthly!Q40+NA_monthly!P40</f>
        <v>0</v>
      </c>
      <c r="R36" s="36">
        <f>-NA_monthly!R40+NA_monthly!Q40</f>
        <v>0</v>
      </c>
      <c r="S36" s="36">
        <f>-NA_monthly!S40+NA_monthly!R40</f>
        <v>0</v>
      </c>
      <c r="T36" s="36">
        <f>-NA_monthly!T40+NA_monthly!S40</f>
        <v>0</v>
      </c>
      <c r="U36" s="36">
        <f>-NA_monthly!U40+NA_monthly!T40</f>
        <v>0</v>
      </c>
      <c r="V36" s="36">
        <f>-NA_monthly!V40+NA_monthly!U40</f>
        <v>0</v>
      </c>
      <c r="W36" s="36">
        <f>-NA_monthly!W40+NA_monthly!V40</f>
        <v>0</v>
      </c>
      <c r="X36" s="36">
        <f>-NA_monthly!X40+NA_monthly!W40</f>
        <v>0</v>
      </c>
      <c r="Y36" s="36">
        <f>-NA_monthly!Y40+NA_monthly!X40</f>
        <v>0</v>
      </c>
      <c r="Z36" s="36">
        <f>-NA_monthly!Z40+NA_monthly!Y40</f>
        <v>0</v>
      </c>
      <c r="AA36" s="36">
        <f>-NA_monthly!AA40+NA_monthly!Z40</f>
        <v>0</v>
      </c>
      <c r="AB36" s="36">
        <f>-NA_monthly!AB40+NA_monthly!AA40</f>
        <v>0</v>
      </c>
      <c r="AC36" s="36">
        <f>-NA_monthly!AC40+NA_monthly!AB40</f>
        <v>0</v>
      </c>
      <c r="AD36" s="36">
        <f>-NA_monthly!AD40+NA_monthly!AC40</f>
        <v>0</v>
      </c>
      <c r="AE36" s="36">
        <f>-NA_monthly!AE40+NA_monthly!AD40</f>
        <v>0</v>
      </c>
      <c r="AF36" s="36">
        <f>-NA_monthly!AF40+NA_monthly!AE40</f>
        <v>0</v>
      </c>
      <c r="AG36" s="36">
        <f>-NA_monthly!AG40+NA_monthly!AF40</f>
        <v>0</v>
      </c>
      <c r="AH36" s="36">
        <f>-NA_monthly!AH40+NA_monthly!AG40</f>
        <v>0</v>
      </c>
      <c r="AI36" s="36">
        <f>-NA_monthly!AI40+NA_monthly!AH40</f>
        <v>0</v>
      </c>
      <c r="AJ36" s="36">
        <f>-NA_monthly!AJ40+NA_monthly!AI40</f>
        <v>0</v>
      </c>
      <c r="AK36" s="36">
        <f>-NA_monthly!AK40+NA_monthly!AJ40</f>
        <v>0</v>
      </c>
      <c r="AL36" s="36">
        <f>-NA_monthly!AL40+NA_monthly!AK40</f>
        <v>0</v>
      </c>
      <c r="AM36" s="36">
        <f>-NA_monthly!AM40+NA_monthly!AL40</f>
        <v>0</v>
      </c>
      <c r="AN36" s="36">
        <f>-NA_monthly!AN40+NA_monthly!AM40</f>
        <v>0</v>
      </c>
      <c r="AO36" s="36">
        <f>-NA_monthly!AO40+NA_monthly!AN40</f>
        <v>0</v>
      </c>
      <c r="AP36" s="36">
        <f>-NA_monthly!AP40+NA_monthly!AO40</f>
        <v>0</v>
      </c>
      <c r="AQ36" s="36">
        <f>-NA_monthly!AQ40+NA_monthly!AP40</f>
        <v>0</v>
      </c>
      <c r="AR36" s="36">
        <f>-NA_monthly!AR40+NA_monthly!AQ40</f>
        <v>0</v>
      </c>
      <c r="AS36" s="36">
        <f>-NA_monthly!AS40+NA_monthly!AR40</f>
        <v>0</v>
      </c>
      <c r="AT36" s="36">
        <f>-NA_monthly!AT40+NA_monthly!AS40</f>
        <v>0</v>
      </c>
      <c r="AU36" s="36">
        <f>-NA_monthly!AU40+NA_monthly!AT40</f>
        <v>0</v>
      </c>
      <c r="AV36" s="36">
        <f>-NA_monthly!AV40+NA_monthly!AU40</f>
        <v>0</v>
      </c>
      <c r="AW36" s="36">
        <f>-NA_monthly!AW40+NA_monthly!AV40</f>
        <v>0</v>
      </c>
      <c r="AX36" s="36">
        <f>-NA_monthly!AX40+NA_monthly!AW40</f>
        <v>0</v>
      </c>
      <c r="AY36" s="36">
        <f>-NA_monthly!AY40+NA_monthly!AX40</f>
        <v>0</v>
      </c>
      <c r="AZ36" s="36">
        <f>-NA_monthly!AZ40+NA_monthly!AY40</f>
        <v>0</v>
      </c>
      <c r="BA36" s="36">
        <f>-NA_monthly!BA40+NA_monthly!AZ40</f>
        <v>0</v>
      </c>
      <c r="BB36" s="36">
        <f>-NA_monthly!BB40+NA_monthly!BA40</f>
        <v>0</v>
      </c>
      <c r="BC36" s="36">
        <f>-NA_monthly!BC40+NA_monthly!BB40</f>
        <v>0</v>
      </c>
      <c r="BD36" s="36">
        <f>-NA_monthly!BD40+NA_monthly!BC40</f>
        <v>0</v>
      </c>
      <c r="BE36" s="36">
        <f>-NA_monthly!BE40+NA_monthly!BD40</f>
        <v>0</v>
      </c>
      <c r="BF36" s="36">
        <f>-NA_monthly!BF40+NA_monthly!BE40</f>
        <v>0</v>
      </c>
      <c r="BG36" s="36">
        <f>-NA_monthly!BG40+NA_monthly!BF40</f>
        <v>0</v>
      </c>
      <c r="BH36" s="36">
        <f>-NA_monthly!BH40+NA_monthly!BG40</f>
        <v>0</v>
      </c>
      <c r="BI36" s="36">
        <f>-NA_monthly!BI40+NA_monthly!BH40</f>
        <v>0</v>
      </c>
      <c r="BJ36" s="36">
        <f>-NA_monthly!BJ40+NA_monthly!BI40</f>
        <v>0</v>
      </c>
      <c r="BK36" s="36">
        <f>-NA_monthly!BK40+NA_monthly!BJ40</f>
        <v>0</v>
      </c>
      <c r="BL36" s="36">
        <f>-NA_monthly!BL40+NA_monthly!BK40</f>
        <v>0</v>
      </c>
      <c r="BM36" s="36">
        <f>-NA_monthly!BM40+NA_monthly!BL40</f>
        <v>0</v>
      </c>
      <c r="BN36" s="36">
        <f>-NA_monthly!BN40+NA_monthly!BM40</f>
        <v>0</v>
      </c>
      <c r="BO36" s="36">
        <f>-NA_monthly!BO40+NA_monthly!BN40</f>
        <v>0</v>
      </c>
      <c r="BP36" s="36">
        <f>-NA_monthly!BP40+NA_monthly!BO40</f>
        <v>0</v>
      </c>
      <c r="BQ36" s="36">
        <f>-NA_monthly!BQ40+NA_monthly!BP40</f>
        <v>0</v>
      </c>
      <c r="BR36" s="36">
        <f>-NA_monthly!BR40+NA_monthly!BQ40</f>
        <v>0</v>
      </c>
      <c r="BS36" s="36">
        <f>-NA_monthly!BS40+NA_monthly!BR40</f>
        <v>0</v>
      </c>
      <c r="BT36" s="36">
        <f>-NA_monthly!BT40+NA_monthly!BS40</f>
        <v>0</v>
      </c>
      <c r="BU36" s="36">
        <f>-NA_monthly!BU40+NA_monthly!BT40</f>
        <v>0</v>
      </c>
      <c r="BV36" s="36">
        <f>-NA_monthly!BV40+NA_monthly!BU40</f>
        <v>0</v>
      </c>
      <c r="BW36" s="36">
        <f>-NA_monthly!BW40+NA_monthly!BV40</f>
        <v>0</v>
      </c>
      <c r="BX36" s="36">
        <f>-NA_monthly!BX40+NA_monthly!BW40</f>
        <v>0</v>
      </c>
      <c r="BY36" s="36">
        <f>-NA_monthly!BY40+NA_monthly!BX40</f>
        <v>0</v>
      </c>
      <c r="BZ36" s="36">
        <f>-NA_monthly!BZ40+NA_monthly!BY40</f>
        <v>0</v>
      </c>
      <c r="CA36" s="36">
        <f>-NA_monthly!CA40+NA_monthly!BZ40</f>
        <v>0</v>
      </c>
      <c r="CB36" s="36">
        <f>-NA_monthly!CB40+NA_monthly!CA40</f>
        <v>0</v>
      </c>
      <c r="CC36" s="36">
        <f>-NA_monthly!CC40+NA_monthly!CB40</f>
        <v>0</v>
      </c>
      <c r="CD36" s="36">
        <f>-NA_monthly!CD40+NA_monthly!CC40</f>
        <v>0</v>
      </c>
      <c r="CE36" s="36">
        <f>-NA_monthly!CE40+NA_monthly!CD40</f>
        <v>0</v>
      </c>
      <c r="CF36" s="36">
        <f>-NA_monthly!CF40+NA_monthly!CE40</f>
        <v>0</v>
      </c>
      <c r="CG36" s="36">
        <f>-NA_monthly!CG40+NA_monthly!CF40</f>
        <v>0</v>
      </c>
      <c r="CH36" s="36">
        <f>-NA_monthly!CH40+NA_monthly!CG40</f>
        <v>0</v>
      </c>
      <c r="CI36" s="36">
        <f>-NA_monthly!CI40+NA_monthly!CH40</f>
        <v>0</v>
      </c>
      <c r="CJ36" s="36">
        <f>-NA_monthly!CJ40+NA_monthly!CI40</f>
        <v>0</v>
      </c>
      <c r="CK36" s="36">
        <f>-NA_monthly!CK40+NA_monthly!CJ40</f>
        <v>0</v>
      </c>
    </row>
    <row r="37" spans="3:91" ht="11.25" customHeight="1" x14ac:dyDescent="0.2">
      <c r="C37" s="147" t="str">
        <f>"∆ "&amp;'Lead NA'!C41</f>
        <v>∆ Other Working Capital</v>
      </c>
      <c r="D37" s="147" t="str">
        <f>"∆ "&amp;'Lead NA'!D41</f>
        <v>∆ Other working capital</v>
      </c>
      <c r="E37" s="181"/>
      <c r="F37" s="181">
        <f t="shared" ref="F37:BQ37" si="2">SUM(F21:F36)</f>
        <v>0</v>
      </c>
      <c r="G37" s="147">
        <f t="shared" si="2"/>
        <v>0</v>
      </c>
      <c r="H37" s="147">
        <f t="shared" si="2"/>
        <v>0</v>
      </c>
      <c r="I37" s="147">
        <f t="shared" si="2"/>
        <v>0</v>
      </c>
      <c r="J37" s="147">
        <f t="shared" si="2"/>
        <v>0</v>
      </c>
      <c r="K37" s="147">
        <f t="shared" si="2"/>
        <v>0</v>
      </c>
      <c r="L37" s="147">
        <f t="shared" si="2"/>
        <v>0</v>
      </c>
      <c r="M37" s="147">
        <f t="shared" si="2"/>
        <v>0</v>
      </c>
      <c r="N37" s="147">
        <f t="shared" si="2"/>
        <v>0</v>
      </c>
      <c r="O37" s="147">
        <f t="shared" si="2"/>
        <v>0</v>
      </c>
      <c r="P37" s="147">
        <f t="shared" si="2"/>
        <v>0</v>
      </c>
      <c r="Q37" s="147">
        <f t="shared" si="2"/>
        <v>912.75600999999972</v>
      </c>
      <c r="R37" s="147">
        <f t="shared" si="2"/>
        <v>-37.783539999999789</v>
      </c>
      <c r="S37" s="147">
        <f t="shared" si="2"/>
        <v>46.905320000000017</v>
      </c>
      <c r="T37" s="147">
        <f t="shared" si="2"/>
        <v>-182.49985999999996</v>
      </c>
      <c r="U37" s="147">
        <f t="shared" si="2"/>
        <v>56.127589999999884</v>
      </c>
      <c r="V37" s="147">
        <f t="shared" si="2"/>
        <v>-187.78062999999975</v>
      </c>
      <c r="W37" s="147">
        <f t="shared" si="2"/>
        <v>69.767319999999842</v>
      </c>
      <c r="X37" s="147">
        <f t="shared" si="2"/>
        <v>-97.62679999999996</v>
      </c>
      <c r="Y37" s="147">
        <f t="shared" si="2"/>
        <v>-65.335850000000406</v>
      </c>
      <c r="Z37" s="147">
        <f t="shared" si="2"/>
        <v>173.76899000000066</v>
      </c>
      <c r="AA37" s="147">
        <f t="shared" si="2"/>
        <v>-108.30422000000027</v>
      </c>
      <c r="AB37" s="147">
        <f t="shared" si="2"/>
        <v>-42.279370000000114</v>
      </c>
      <c r="AC37" s="147">
        <f t="shared" si="2"/>
        <v>-184.93197000000032</v>
      </c>
      <c r="AD37" s="147">
        <f t="shared" si="2"/>
        <v>-76.538049999999714</v>
      </c>
      <c r="AE37" s="147">
        <f t="shared" si="2"/>
        <v>69.189510000000055</v>
      </c>
      <c r="AF37" s="147">
        <f t="shared" si="2"/>
        <v>172.44532999999996</v>
      </c>
      <c r="AG37" s="147">
        <f t="shared" si="2"/>
        <v>29.750410000000031</v>
      </c>
      <c r="AH37" s="147">
        <f t="shared" si="2"/>
        <v>-34.815180000000183</v>
      </c>
      <c r="AI37" s="147">
        <f t="shared" si="2"/>
        <v>-20.186829999999745</v>
      </c>
      <c r="AJ37" s="147">
        <f t="shared" si="2"/>
        <v>-136.36157999999989</v>
      </c>
      <c r="AK37" s="147">
        <f t="shared" si="2"/>
        <v>52.262969999999825</v>
      </c>
      <c r="AL37" s="147">
        <f t="shared" si="2"/>
        <v>21.865410000000253</v>
      </c>
      <c r="AM37" s="147">
        <f t="shared" si="2"/>
        <v>-55.227790000000127</v>
      </c>
      <c r="AN37" s="147">
        <f t="shared" si="2"/>
        <v>-19.169719999999941</v>
      </c>
      <c r="AO37" s="147">
        <f t="shared" si="2"/>
        <v>-74.971309999999818</v>
      </c>
      <c r="AP37" s="147">
        <f t="shared" si="2"/>
        <v>1.9202099999996278</v>
      </c>
      <c r="AQ37" s="147">
        <f t="shared" si="2"/>
        <v>19.897250000000014</v>
      </c>
      <c r="AR37" s="147">
        <f t="shared" si="2"/>
        <v>34.316250000000039</v>
      </c>
      <c r="AS37" s="147">
        <f t="shared" si="2"/>
        <v>-7.6484600000001279</v>
      </c>
      <c r="AT37" s="147">
        <f t="shared" si="2"/>
        <v>-0.30977999999991823</v>
      </c>
      <c r="AU37" s="147">
        <f t="shared" si="2"/>
        <v>22.470429999999965</v>
      </c>
      <c r="AV37" s="147">
        <f t="shared" si="2"/>
        <v>268.13775000000015</v>
      </c>
      <c r="AW37" s="147">
        <f t="shared" si="2"/>
        <v>-34.229339999999894</v>
      </c>
      <c r="AX37" s="147">
        <f t="shared" si="2"/>
        <v>-87.104709999999827</v>
      </c>
      <c r="AY37" s="147">
        <f t="shared" si="2"/>
        <v>-147.90678000000025</v>
      </c>
      <c r="AZ37" s="147">
        <f t="shared" si="2"/>
        <v>-12.962629999999848</v>
      </c>
      <c r="BA37" s="147">
        <f t="shared" si="2"/>
        <v>-37.984840000000275</v>
      </c>
      <c r="BB37" s="147">
        <f t="shared" si="2"/>
        <v>-299.62150999999994</v>
      </c>
      <c r="BC37" s="147">
        <f t="shared" si="2"/>
        <v>0</v>
      </c>
      <c r="BD37" s="147">
        <f t="shared" si="2"/>
        <v>0</v>
      </c>
      <c r="BE37" s="147">
        <f t="shared" si="2"/>
        <v>0</v>
      </c>
      <c r="BF37" s="147">
        <f t="shared" si="2"/>
        <v>0</v>
      </c>
      <c r="BG37" s="147">
        <f t="shared" si="2"/>
        <v>0</v>
      </c>
      <c r="BH37" s="147">
        <f t="shared" si="2"/>
        <v>0</v>
      </c>
      <c r="BI37" s="147">
        <f t="shared" si="2"/>
        <v>0</v>
      </c>
      <c r="BJ37" s="147">
        <f t="shared" si="2"/>
        <v>0</v>
      </c>
      <c r="BK37" s="147">
        <f t="shared" si="2"/>
        <v>0</v>
      </c>
      <c r="BL37" s="147">
        <f t="shared" si="2"/>
        <v>0</v>
      </c>
      <c r="BM37" s="147">
        <f t="shared" si="2"/>
        <v>0</v>
      </c>
      <c r="BN37" s="147">
        <f t="shared" si="2"/>
        <v>0</v>
      </c>
      <c r="BO37" s="147">
        <f t="shared" si="2"/>
        <v>0</v>
      </c>
      <c r="BP37" s="147">
        <f t="shared" si="2"/>
        <v>0</v>
      </c>
      <c r="BQ37" s="147">
        <f t="shared" si="2"/>
        <v>0</v>
      </c>
      <c r="BR37" s="147">
        <f t="shared" ref="BR37:CK37" si="3">SUM(BR21:BR36)</f>
        <v>0</v>
      </c>
      <c r="BS37" s="147">
        <f t="shared" si="3"/>
        <v>0</v>
      </c>
      <c r="BT37" s="147">
        <f t="shared" si="3"/>
        <v>0</v>
      </c>
      <c r="BU37" s="147">
        <f t="shared" si="3"/>
        <v>0</v>
      </c>
      <c r="BV37" s="147">
        <f t="shared" si="3"/>
        <v>0</v>
      </c>
      <c r="BW37" s="147">
        <f t="shared" si="3"/>
        <v>0</v>
      </c>
      <c r="BX37" s="147">
        <f t="shared" si="3"/>
        <v>0</v>
      </c>
      <c r="BY37" s="147">
        <f t="shared" si="3"/>
        <v>0</v>
      </c>
      <c r="BZ37" s="147">
        <f t="shared" si="3"/>
        <v>0</v>
      </c>
      <c r="CA37" s="147">
        <f t="shared" si="3"/>
        <v>0</v>
      </c>
      <c r="CB37" s="147">
        <f t="shared" si="3"/>
        <v>0</v>
      </c>
      <c r="CC37" s="147">
        <f t="shared" si="3"/>
        <v>0</v>
      </c>
      <c r="CD37" s="147">
        <f t="shared" si="3"/>
        <v>0</v>
      </c>
      <c r="CE37" s="147">
        <f t="shared" si="3"/>
        <v>0</v>
      </c>
      <c r="CF37" s="147">
        <f t="shared" si="3"/>
        <v>0</v>
      </c>
      <c r="CG37" s="147">
        <f t="shared" si="3"/>
        <v>0</v>
      </c>
      <c r="CH37" s="147">
        <f t="shared" si="3"/>
        <v>0</v>
      </c>
      <c r="CI37" s="147">
        <f t="shared" si="3"/>
        <v>0</v>
      </c>
      <c r="CJ37" s="147">
        <f t="shared" si="3"/>
        <v>0</v>
      </c>
      <c r="CK37" s="147">
        <f t="shared" si="3"/>
        <v>0</v>
      </c>
    </row>
    <row r="38" spans="3:91" ht="11.25" customHeight="1" x14ac:dyDescent="0.2">
      <c r="C38" s="144" t="s">
        <v>349</v>
      </c>
      <c r="D38" s="144" t="s">
        <v>348</v>
      </c>
      <c r="E38" s="96"/>
      <c r="F38" s="96">
        <f t="shared" ref="F38:BQ38" si="4">F9+SUM(F10:F11)+F20+F37</f>
        <v>0</v>
      </c>
      <c r="G38" s="144">
        <f t="shared" si="4"/>
        <v>0</v>
      </c>
      <c r="H38" s="144">
        <f t="shared" si="4"/>
        <v>0</v>
      </c>
      <c r="I38" s="144">
        <f t="shared" si="4"/>
        <v>0</v>
      </c>
      <c r="J38" s="144">
        <f t="shared" si="4"/>
        <v>0</v>
      </c>
      <c r="K38" s="144">
        <f t="shared" si="4"/>
        <v>0</v>
      </c>
      <c r="L38" s="144">
        <f t="shared" si="4"/>
        <v>0</v>
      </c>
      <c r="M38" s="144">
        <f t="shared" si="4"/>
        <v>0</v>
      </c>
      <c r="N38" s="144">
        <f t="shared" si="4"/>
        <v>0</v>
      </c>
      <c r="O38" s="144">
        <f t="shared" si="4"/>
        <v>0</v>
      </c>
      <c r="P38" s="144">
        <f t="shared" si="4"/>
        <v>0</v>
      </c>
      <c r="Q38" s="144">
        <f t="shared" si="4"/>
        <v>-2018.4414800000004</v>
      </c>
      <c r="R38" s="144">
        <f t="shared" si="4"/>
        <v>77.377409999999955</v>
      </c>
      <c r="S38" s="144">
        <f t="shared" si="4"/>
        <v>-73.419989999999899</v>
      </c>
      <c r="T38" s="144">
        <f t="shared" si="4"/>
        <v>129.36059000000017</v>
      </c>
      <c r="U38" s="144">
        <f t="shared" si="4"/>
        <v>-84.80418999999884</v>
      </c>
      <c r="V38" s="144">
        <f t="shared" si="4"/>
        <v>-445.56929000000144</v>
      </c>
      <c r="W38" s="144">
        <f t="shared" si="4"/>
        <v>279.12070999999798</v>
      </c>
      <c r="X38" s="144">
        <f t="shared" si="4"/>
        <v>-141.02264999999704</v>
      </c>
      <c r="Y38" s="144">
        <f t="shared" si="4"/>
        <v>-208.72164000000015</v>
      </c>
      <c r="Z38" s="144">
        <f t="shared" si="4"/>
        <v>176.93933999999854</v>
      </c>
      <c r="AA38" s="144">
        <f t="shared" si="4"/>
        <v>-215.01554999999598</v>
      </c>
      <c r="AB38" s="144">
        <f t="shared" si="4"/>
        <v>-126.81979000000226</v>
      </c>
      <c r="AC38" s="144">
        <f t="shared" si="4"/>
        <v>915.22703999999885</v>
      </c>
      <c r="AD38" s="144">
        <f t="shared" si="4"/>
        <v>173.95604000000017</v>
      </c>
      <c r="AE38" s="144">
        <f t="shared" si="4"/>
        <v>-139.55256000000014</v>
      </c>
      <c r="AF38" s="144">
        <f t="shared" si="4"/>
        <v>487.70029000000062</v>
      </c>
      <c r="AG38" s="144">
        <f t="shared" si="4"/>
        <v>334.27531999999945</v>
      </c>
      <c r="AH38" s="144">
        <f t="shared" si="4"/>
        <v>288.44991000000056</v>
      </c>
      <c r="AI38" s="144">
        <f t="shared" si="4"/>
        <v>-271.98201999999958</v>
      </c>
      <c r="AJ38" s="144">
        <f t="shared" si="4"/>
        <v>40.75037000000259</v>
      </c>
      <c r="AK38" s="144">
        <f t="shared" si="4"/>
        <v>-209.52817999999877</v>
      </c>
      <c r="AL38" s="144">
        <f t="shared" si="4"/>
        <v>-387.98445000000231</v>
      </c>
      <c r="AM38" s="144">
        <f t="shared" si="4"/>
        <v>-495.6105699999996</v>
      </c>
      <c r="AN38" s="144">
        <f t="shared" si="4"/>
        <v>463.43062999999751</v>
      </c>
      <c r="AO38" s="144">
        <f t="shared" si="4"/>
        <v>-274.49855999999806</v>
      </c>
      <c r="AP38" s="144">
        <f t="shared" si="4"/>
        <v>399.68080999999938</v>
      </c>
      <c r="AQ38" s="144">
        <f t="shared" si="4"/>
        <v>-188.99674999999996</v>
      </c>
      <c r="AR38" s="144">
        <f t="shared" si="4"/>
        <v>-244.47211000000027</v>
      </c>
      <c r="AS38" s="144">
        <f t="shared" si="4"/>
        <v>66.277180000001024</v>
      </c>
      <c r="AT38" s="144">
        <f t="shared" si="4"/>
        <v>-133.63199000000139</v>
      </c>
      <c r="AU38" s="144">
        <f t="shared" si="4"/>
        <v>-156.0498500000005</v>
      </c>
      <c r="AV38" s="144">
        <f t="shared" si="4"/>
        <v>970.83172000000013</v>
      </c>
      <c r="AW38" s="144">
        <f t="shared" si="4"/>
        <v>-139.1507900000004</v>
      </c>
      <c r="AX38" s="144">
        <f t="shared" si="4"/>
        <v>133.84881000000263</v>
      </c>
      <c r="AY38" s="144">
        <f t="shared" si="4"/>
        <v>2.6482800000029556</v>
      </c>
      <c r="AZ38" s="144">
        <f t="shared" si="4"/>
        <v>199.29821999999598</v>
      </c>
      <c r="BA38" s="144">
        <f t="shared" si="4"/>
        <v>347.23916000000486</v>
      </c>
      <c r="BB38" s="144">
        <f t="shared" si="4"/>
        <v>3966.1745199999996</v>
      </c>
      <c r="BC38" s="144">
        <f t="shared" si="4"/>
        <v>0</v>
      </c>
      <c r="BD38" s="144">
        <f t="shared" si="4"/>
        <v>0</v>
      </c>
      <c r="BE38" s="144">
        <f t="shared" si="4"/>
        <v>0</v>
      </c>
      <c r="BF38" s="144">
        <f t="shared" si="4"/>
        <v>0</v>
      </c>
      <c r="BG38" s="144">
        <f t="shared" si="4"/>
        <v>0</v>
      </c>
      <c r="BH38" s="144">
        <f t="shared" si="4"/>
        <v>0</v>
      </c>
      <c r="BI38" s="144">
        <f t="shared" si="4"/>
        <v>0</v>
      </c>
      <c r="BJ38" s="144">
        <f t="shared" si="4"/>
        <v>0</v>
      </c>
      <c r="BK38" s="144">
        <f t="shared" si="4"/>
        <v>0</v>
      </c>
      <c r="BL38" s="144">
        <f t="shared" si="4"/>
        <v>0</v>
      </c>
      <c r="BM38" s="144">
        <f t="shared" si="4"/>
        <v>0</v>
      </c>
      <c r="BN38" s="144">
        <f t="shared" si="4"/>
        <v>0</v>
      </c>
      <c r="BO38" s="144">
        <f t="shared" si="4"/>
        <v>0</v>
      </c>
      <c r="BP38" s="144">
        <f t="shared" si="4"/>
        <v>0</v>
      </c>
      <c r="BQ38" s="144">
        <f t="shared" si="4"/>
        <v>0</v>
      </c>
      <c r="BR38" s="144">
        <f t="shared" ref="BR38:CK38" si="5">BR9+SUM(BR10:BR11)+BR20+BR37</f>
        <v>0</v>
      </c>
      <c r="BS38" s="144">
        <f t="shared" si="5"/>
        <v>0</v>
      </c>
      <c r="BT38" s="144">
        <f t="shared" si="5"/>
        <v>0</v>
      </c>
      <c r="BU38" s="144">
        <f t="shared" si="5"/>
        <v>0</v>
      </c>
      <c r="BV38" s="144">
        <f t="shared" si="5"/>
        <v>0</v>
      </c>
      <c r="BW38" s="144">
        <f t="shared" si="5"/>
        <v>0</v>
      </c>
      <c r="BX38" s="144">
        <f t="shared" si="5"/>
        <v>0</v>
      </c>
      <c r="BY38" s="144">
        <f t="shared" si="5"/>
        <v>0</v>
      </c>
      <c r="BZ38" s="144">
        <f t="shared" si="5"/>
        <v>0</v>
      </c>
      <c r="CA38" s="144">
        <f t="shared" si="5"/>
        <v>0</v>
      </c>
      <c r="CB38" s="144">
        <f t="shared" si="5"/>
        <v>0</v>
      </c>
      <c r="CC38" s="144">
        <f t="shared" si="5"/>
        <v>0</v>
      </c>
      <c r="CD38" s="144">
        <f t="shared" si="5"/>
        <v>0</v>
      </c>
      <c r="CE38" s="144">
        <f t="shared" si="5"/>
        <v>0</v>
      </c>
      <c r="CF38" s="144">
        <f t="shared" si="5"/>
        <v>0</v>
      </c>
      <c r="CG38" s="144">
        <f t="shared" si="5"/>
        <v>0</v>
      </c>
      <c r="CH38" s="144">
        <f t="shared" si="5"/>
        <v>0</v>
      </c>
      <c r="CI38" s="144">
        <f t="shared" si="5"/>
        <v>0</v>
      </c>
      <c r="CJ38" s="144">
        <f t="shared" si="5"/>
        <v>0</v>
      </c>
      <c r="CK38" s="144">
        <f t="shared" si="5"/>
        <v>0</v>
      </c>
    </row>
    <row r="39" spans="3:91" ht="4.5" customHeight="1" x14ac:dyDescent="0.2">
      <c r="C39" s="37"/>
      <c r="D39" s="37"/>
      <c r="E39" s="96"/>
      <c r="F39" s="9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c r="AY39" s="36"/>
      <c r="AZ39" s="36"/>
      <c r="BA39" s="36"/>
      <c r="BB39" s="36"/>
      <c r="BC39" s="36"/>
      <c r="BD39" s="36"/>
      <c r="BE39" s="36"/>
      <c r="BF39" s="36"/>
      <c r="BG39" s="36"/>
      <c r="BH39" s="36"/>
      <c r="BI39" s="36"/>
      <c r="BJ39" s="36"/>
      <c r="BK39" s="36"/>
      <c r="BL39" s="36"/>
      <c r="BM39" s="36"/>
      <c r="BN39" s="36"/>
      <c r="BO39" s="36"/>
      <c r="BP39" s="36"/>
      <c r="BQ39" s="36"/>
      <c r="BR39" s="36"/>
      <c r="BS39" s="36"/>
      <c r="BT39" s="36"/>
      <c r="BU39" s="36"/>
      <c r="BV39" s="36"/>
      <c r="BW39" s="36"/>
      <c r="BX39" s="36"/>
      <c r="BY39" s="36"/>
      <c r="BZ39" s="36"/>
      <c r="CA39" s="36"/>
      <c r="CB39" s="36"/>
      <c r="CC39" s="36"/>
      <c r="CD39" s="36"/>
      <c r="CE39" s="36"/>
      <c r="CF39" s="36"/>
      <c r="CG39" s="36"/>
      <c r="CH39" s="36"/>
      <c r="CI39" s="36"/>
      <c r="CJ39" s="36"/>
      <c r="CK39" s="36"/>
    </row>
    <row r="40" spans="3:91" ht="11.25" customHeight="1" x14ac:dyDescent="0.2">
      <c r="C40" s="37" t="s">
        <v>347</v>
      </c>
      <c r="D40" s="37" t="s">
        <v>346</v>
      </c>
      <c r="E40" s="96"/>
      <c r="F40" s="96"/>
      <c r="G40" s="36">
        <f>-(NA_monthly!G44-NA_monthly!F44)+PL_monthly!G35</f>
        <v>0</v>
      </c>
      <c r="H40" s="36">
        <f>-(NA_monthly!H44-NA_monthly!G44)+PL_monthly!H35</f>
        <v>0</v>
      </c>
      <c r="I40" s="36">
        <f>-(NA_monthly!I44-NA_monthly!H44)+PL_monthly!I35</f>
        <v>0</v>
      </c>
      <c r="J40" s="36">
        <f>-(NA_monthly!J44-NA_monthly!I44)+PL_monthly!J35</f>
        <v>0</v>
      </c>
      <c r="K40" s="36">
        <f>-(NA_monthly!K44-NA_monthly!J44)+PL_monthly!K35</f>
        <v>0</v>
      </c>
      <c r="L40" s="36">
        <f>-(NA_monthly!L44-NA_monthly!K44)+PL_monthly!L35</f>
        <v>0</v>
      </c>
      <c r="M40" s="36">
        <f>-(NA_monthly!M44-NA_monthly!L44)+PL_monthly!M35</f>
        <v>0</v>
      </c>
      <c r="N40" s="36">
        <f>-(NA_monthly!N44-NA_monthly!M44)+PL_monthly!N35</f>
        <v>0</v>
      </c>
      <c r="O40" s="36">
        <f>-(NA_monthly!O44-NA_monthly!N44)+PL_monthly!O35</f>
        <v>0</v>
      </c>
      <c r="P40" s="36">
        <f>-(NA_monthly!P44-NA_monthly!O44)+PL_monthly!P35</f>
        <v>0</v>
      </c>
      <c r="Q40" s="36">
        <f>-(NA_monthly!Q44-NA_monthly!P44)+PL_monthly!Q35</f>
        <v>-3008.3486599999997</v>
      </c>
      <c r="R40" s="36">
        <f>-(NA_monthly!R44-NA_monthly!Q44)+PL_monthly!R35</f>
        <v>-67.162010000000379</v>
      </c>
      <c r="S40" s="36">
        <f>-(NA_monthly!S44-NA_monthly!R44)+PL_monthly!S35</f>
        <v>43.723540000000213</v>
      </c>
      <c r="T40" s="36">
        <f>-(NA_monthly!T44-NA_monthly!S44)+PL_monthly!T35</f>
        <v>309.60105999999973</v>
      </c>
      <c r="U40" s="36">
        <f>-(NA_monthly!U44-NA_monthly!T44)+PL_monthly!U35</f>
        <v>59.241060000000076</v>
      </c>
      <c r="V40" s="36">
        <f>-(NA_monthly!V44-NA_monthly!U44)+PL_monthly!V35</f>
        <v>417.67167000000012</v>
      </c>
      <c r="W40" s="36">
        <f>-(NA_monthly!W44-NA_monthly!V44)+PL_monthly!W35</f>
        <v>-303.06161000000043</v>
      </c>
      <c r="X40" s="36">
        <f>-(NA_monthly!X44-NA_monthly!W44)+PL_monthly!X35</f>
        <v>122.21298000000019</v>
      </c>
      <c r="Y40" s="36">
        <f>-(NA_monthly!Y44-NA_monthly!X44)+PL_monthly!Y35</f>
        <v>198.24171000000007</v>
      </c>
      <c r="Z40" s="36">
        <f>-(NA_monthly!Z44-NA_monthly!Y44)+PL_monthly!Z35</f>
        <v>-175.96582000000026</v>
      </c>
      <c r="AA40" s="36">
        <f>-(NA_monthly!AA44-NA_monthly!Z44)+PL_monthly!AA35</f>
        <v>208.66656000000049</v>
      </c>
      <c r="AB40" s="36">
        <f>-(NA_monthly!AB44-NA_monthly!AA44)+PL_monthly!AB35</f>
        <v>105.96393999999998</v>
      </c>
      <c r="AC40" s="36">
        <f>-(NA_monthly!AC44-NA_monthly!AB44)+PL_monthly!AC35</f>
        <v>-950.9916400000003</v>
      </c>
      <c r="AD40" s="36">
        <f>-(NA_monthly!AD44-NA_monthly!AC44)+PL_monthly!AD35</f>
        <v>-199.15537</v>
      </c>
      <c r="AE40" s="36">
        <f>-(NA_monthly!AE44-NA_monthly!AD44)+PL_monthly!AE35</f>
        <v>107.26396000000041</v>
      </c>
      <c r="AF40" s="36">
        <f>-(NA_monthly!AF44-NA_monthly!AE44)+PL_monthly!AF35</f>
        <v>-386.90877999999992</v>
      </c>
      <c r="AG40" s="36">
        <f>-(NA_monthly!AG44-NA_monthly!AF44)+PL_monthly!AG35</f>
        <v>788.66876999999965</v>
      </c>
      <c r="AH40" s="36">
        <f>-(NA_monthly!AH44-NA_monthly!AG44)+PL_monthly!AH35</f>
        <v>-306.30311999999998</v>
      </c>
      <c r="AI40" s="36">
        <f>-(NA_monthly!AI44-NA_monthly!AH44)+PL_monthly!AI35</f>
        <v>316.05893000000026</v>
      </c>
      <c r="AJ40" s="36">
        <f>-(NA_monthly!AJ44-NA_monthly!AI44)+PL_monthly!AJ35</f>
        <v>-84.282480000000135</v>
      </c>
      <c r="AK40" s="36">
        <f>-(NA_monthly!AK44-NA_monthly!AJ44)+PL_monthly!AK35</f>
        <v>221.14309999999966</v>
      </c>
      <c r="AL40" s="36">
        <f>-(NA_monthly!AL44-NA_monthly!AK44)+PL_monthly!AL35</f>
        <v>396.73834000000028</v>
      </c>
      <c r="AM40" s="36">
        <f>-(NA_monthly!AM44-NA_monthly!AL44)+PL_monthly!AM35</f>
        <v>543.39383999999973</v>
      </c>
      <c r="AN40" s="36">
        <f>-(NA_monthly!AN44-NA_monthly!AM44)+PL_monthly!AN35</f>
        <v>-267.91411000000011</v>
      </c>
      <c r="AO40" s="36">
        <f>-(NA_monthly!AO44-NA_monthly!AN44)+PL_monthly!AO35</f>
        <v>267.08367000000027</v>
      </c>
      <c r="AP40" s="36">
        <f>-(NA_monthly!AP44-NA_monthly!AO44)+PL_monthly!AP35</f>
        <v>-428.44348999999983</v>
      </c>
      <c r="AQ40" s="36">
        <f>-(NA_monthly!AQ44-NA_monthly!AP44)+PL_monthly!AQ35</f>
        <v>165.44110999999955</v>
      </c>
      <c r="AR40" s="36">
        <f>-(NA_monthly!AR44-NA_monthly!AQ44)+PL_monthly!AR35</f>
        <v>144.82747000000023</v>
      </c>
      <c r="AS40" s="36">
        <f>-(NA_monthly!AS44-NA_monthly!AR44)+PL_monthly!AS35</f>
        <v>-136.01373999999998</v>
      </c>
      <c r="AT40" s="36">
        <f>-(NA_monthly!AT44-NA_monthly!AS44)+PL_monthly!AT35</f>
        <v>111.08777000000009</v>
      </c>
      <c r="AU40" s="36">
        <f>-(NA_monthly!AU44-NA_monthly!AT44)+PL_monthly!AU35</f>
        <v>130.25185999999985</v>
      </c>
      <c r="AV40" s="36">
        <f>-(NA_monthly!AV44-NA_monthly!AU44)+PL_monthly!AV35</f>
        <v>-855.38737999999978</v>
      </c>
      <c r="AW40" s="36">
        <f>-(NA_monthly!AW44-NA_monthly!AV44)+PL_monthly!AW35</f>
        <v>117.87479000000002</v>
      </c>
      <c r="AX40" s="36">
        <f>-(NA_monthly!AX44-NA_monthly!AW44)+PL_monthly!AX35</f>
        <v>-162.91110000000018</v>
      </c>
      <c r="AY40" s="36">
        <f>-(NA_monthly!AY44-NA_monthly!AX44)+PL_monthly!AY35</f>
        <v>-17.779760000000408</v>
      </c>
      <c r="AZ40" s="36">
        <f>-(NA_monthly!AZ44-NA_monthly!AY44)+PL_monthly!AZ35</f>
        <v>-197.52219999999932</v>
      </c>
      <c r="BA40" s="36">
        <f>-(NA_monthly!BA44-NA_monthly!AZ44)+PL_monthly!BA35</f>
        <v>-162.42769000000027</v>
      </c>
      <c r="BB40" s="36">
        <f>-(NA_monthly!BB44-NA_monthly!BA44)+PL_monthly!BB35</f>
        <v>2026.2807</v>
      </c>
      <c r="BC40" s="36">
        <f>-(NA_monthly!BC44-NA_monthly!BB44)+PL_monthly!BC35</f>
        <v>0</v>
      </c>
      <c r="BD40" s="36">
        <f>-(NA_monthly!BD44-NA_monthly!BC44)+PL_monthly!BD35</f>
        <v>0</v>
      </c>
      <c r="BE40" s="36">
        <f>-(NA_monthly!BE44-NA_monthly!BD44)+PL_monthly!BE35</f>
        <v>0</v>
      </c>
      <c r="BF40" s="36">
        <f>-(NA_monthly!BF44-NA_monthly!BE44)+PL_monthly!BF35</f>
        <v>0</v>
      </c>
      <c r="BG40" s="36">
        <f>-(NA_monthly!BG44-NA_monthly!BF44)+PL_monthly!BG35</f>
        <v>0</v>
      </c>
      <c r="BH40" s="36">
        <f>-(NA_monthly!BH44-NA_monthly!BG44)+PL_monthly!BH35</f>
        <v>0</v>
      </c>
      <c r="BI40" s="36">
        <f>-(NA_monthly!BI44-NA_monthly!BH44)+PL_monthly!BI35</f>
        <v>0</v>
      </c>
      <c r="BJ40" s="36">
        <f>-(NA_monthly!BJ44-NA_monthly!BI44)+PL_monthly!BJ35</f>
        <v>0</v>
      </c>
      <c r="BK40" s="36">
        <f>-(NA_monthly!BK44-NA_monthly!BJ44)+PL_monthly!BK35</f>
        <v>0</v>
      </c>
      <c r="BL40" s="36">
        <f>-(NA_monthly!BL44-NA_monthly!BK44)+PL_monthly!BL35</f>
        <v>0</v>
      </c>
      <c r="BM40" s="36">
        <f>-(NA_monthly!BM44-NA_monthly!BL44)+PL_monthly!BM35</f>
        <v>0</v>
      </c>
      <c r="BN40" s="36">
        <f>-(NA_monthly!BN44-NA_monthly!BM44)+PL_monthly!BN35</f>
        <v>0</v>
      </c>
      <c r="BO40" s="36">
        <f>-(NA_monthly!BO44-NA_monthly!BN44)+PL_monthly!BO35</f>
        <v>0</v>
      </c>
      <c r="BP40" s="36">
        <f>-(NA_monthly!BP44-NA_monthly!BO44)+PL_monthly!BP35</f>
        <v>0</v>
      </c>
      <c r="BQ40" s="36">
        <f>-(NA_monthly!BQ44-NA_monthly!BP44)+PL_monthly!BQ35</f>
        <v>0</v>
      </c>
      <c r="BR40" s="36">
        <f>-(NA_monthly!BR44-NA_monthly!BQ44)+PL_monthly!BR35</f>
        <v>0</v>
      </c>
      <c r="BS40" s="36">
        <f>-(NA_monthly!BS44-NA_monthly!BR44)+PL_monthly!BS35</f>
        <v>0</v>
      </c>
      <c r="BT40" s="36">
        <f>-(NA_monthly!BT44-NA_monthly!BS44)+PL_monthly!BT35</f>
        <v>0</v>
      </c>
      <c r="BU40" s="36">
        <f>-(NA_monthly!BU44-NA_monthly!BT44)+PL_monthly!BU35</f>
        <v>0</v>
      </c>
      <c r="BV40" s="36">
        <f>-(NA_monthly!BV44-NA_monthly!BU44)+PL_monthly!BV35</f>
        <v>0</v>
      </c>
      <c r="BW40" s="36">
        <f>-(NA_monthly!BW44-NA_monthly!BV44)+PL_monthly!BW35</f>
        <v>0</v>
      </c>
      <c r="BX40" s="36">
        <f>-(NA_monthly!BX44-NA_monthly!BW44)+PL_monthly!BX35</f>
        <v>0</v>
      </c>
      <c r="BY40" s="36">
        <f>-(NA_monthly!BY44-NA_monthly!BX44)+PL_monthly!BY35</f>
        <v>0</v>
      </c>
      <c r="BZ40" s="36">
        <f>-(NA_monthly!BZ44-NA_monthly!BY44)+PL_monthly!BZ35</f>
        <v>0</v>
      </c>
      <c r="CA40" s="36">
        <f>-(NA_monthly!CA44-NA_monthly!BZ44)+PL_monthly!CA35</f>
        <v>0</v>
      </c>
      <c r="CB40" s="36">
        <f>-(NA_monthly!CB44-NA_monthly!CA44)+PL_monthly!CB35</f>
        <v>0</v>
      </c>
      <c r="CC40" s="36">
        <f>-(NA_monthly!CC44-NA_monthly!CB44)+PL_monthly!CC35</f>
        <v>0</v>
      </c>
      <c r="CD40" s="36">
        <f>-(NA_monthly!CD44-NA_monthly!CC44)+PL_monthly!CD35</f>
        <v>0</v>
      </c>
      <c r="CE40" s="36">
        <f>-(NA_monthly!CE44-NA_monthly!CD44)+PL_monthly!CE35</f>
        <v>0</v>
      </c>
      <c r="CF40" s="36">
        <f>-(NA_monthly!CF44-NA_monthly!CE44)+PL_monthly!CF35</f>
        <v>0</v>
      </c>
      <c r="CG40" s="36">
        <f>-(NA_monthly!CG44-NA_monthly!CF44)+PL_monthly!CG35</f>
        <v>0</v>
      </c>
      <c r="CH40" s="36">
        <f>-(NA_monthly!CH44-NA_monthly!CG44)+PL_monthly!CH35</f>
        <v>0</v>
      </c>
      <c r="CI40" s="36">
        <f>-(NA_monthly!CI44-NA_monthly!CH44)+PL_monthly!CI35</f>
        <v>0</v>
      </c>
      <c r="CJ40" s="36">
        <f>-(NA_monthly!CJ44-NA_monthly!CI44)+PL_monthly!CJ35</f>
        <v>0</v>
      </c>
      <c r="CK40" s="36">
        <f>-(NA_monthly!CK44-NA_monthly!CJ44)+PL_monthly!CK35</f>
        <v>0</v>
      </c>
      <c r="CM40" s="1" t="s">
        <v>333</v>
      </c>
    </row>
    <row r="41" spans="3:91" ht="11.25" customHeight="1" x14ac:dyDescent="0.25">
      <c r="C41" s="37" t="s">
        <v>345</v>
      </c>
      <c r="D41" s="37" t="s">
        <v>344</v>
      </c>
      <c r="E41" s="96"/>
      <c r="F41" s="96"/>
      <c r="G41" s="36"/>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36"/>
      <c r="BY41" s="36"/>
      <c r="BZ41" s="36"/>
      <c r="CA41" s="36"/>
      <c r="CB41" s="36"/>
      <c r="CC41" s="36"/>
      <c r="CD41" s="36"/>
      <c r="CE41" s="36"/>
      <c r="CF41" s="36"/>
      <c r="CG41" s="36"/>
      <c r="CH41" s="36"/>
      <c r="CI41" s="36"/>
      <c r="CJ41" s="36"/>
      <c r="CK41" s="36"/>
      <c r="CM41" s="179" t="s">
        <v>762</v>
      </c>
    </row>
    <row r="42" spans="3:91" ht="11.25" customHeight="1" outlineLevel="2" x14ac:dyDescent="0.25">
      <c r="C42" s="37" t="s">
        <v>209</v>
      </c>
      <c r="D42" s="37" t="s">
        <v>209</v>
      </c>
      <c r="E42" s="96"/>
      <c r="F42" s="96"/>
      <c r="G42" s="36"/>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M42" s="179"/>
    </row>
    <row r="43" spans="3:91" ht="11.25" customHeight="1" outlineLevel="2" x14ac:dyDescent="0.25">
      <c r="C43" s="37" t="s">
        <v>208</v>
      </c>
      <c r="D43" s="37" t="s">
        <v>208</v>
      </c>
      <c r="E43" s="96"/>
      <c r="F43" s="96"/>
      <c r="G43" s="36"/>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c r="CM43" s="179"/>
    </row>
    <row r="44" spans="3:91" ht="11.25" customHeight="1" outlineLevel="2" x14ac:dyDescent="0.25">
      <c r="C44" s="42" t="s">
        <v>207</v>
      </c>
      <c r="D44" s="42" t="s">
        <v>207</v>
      </c>
      <c r="E44" s="136"/>
      <c r="F44" s="136"/>
      <c r="G44" s="127"/>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7"/>
      <c r="AM44" s="127"/>
      <c r="AN44" s="127"/>
      <c r="AO44" s="127"/>
      <c r="AP44" s="127"/>
      <c r="AQ44" s="127"/>
      <c r="AR44" s="127"/>
      <c r="AS44" s="127"/>
      <c r="AT44" s="127"/>
      <c r="AU44" s="127"/>
      <c r="AV44" s="127"/>
      <c r="AW44" s="127"/>
      <c r="AX44" s="127"/>
      <c r="AY44" s="127"/>
      <c r="AZ44" s="127"/>
      <c r="BA44" s="127"/>
      <c r="BB44" s="127"/>
      <c r="BC44" s="127"/>
      <c r="BD44" s="127"/>
      <c r="BE44" s="127"/>
      <c r="BF44" s="127"/>
      <c r="BG44" s="127"/>
      <c r="BH44" s="127"/>
      <c r="BI44" s="127"/>
      <c r="BJ44" s="127"/>
      <c r="BK44" s="127"/>
      <c r="BL44" s="127"/>
      <c r="BM44" s="127"/>
      <c r="BN44" s="127"/>
      <c r="BO44" s="127"/>
      <c r="BP44" s="127"/>
      <c r="BQ44" s="127"/>
      <c r="BR44" s="127"/>
      <c r="BS44" s="127"/>
      <c r="BT44" s="127"/>
      <c r="BU44" s="127"/>
      <c r="BV44" s="127"/>
      <c r="BW44" s="127"/>
      <c r="BX44" s="127"/>
      <c r="BY44" s="127"/>
      <c r="BZ44" s="127"/>
      <c r="CA44" s="127"/>
      <c r="CB44" s="127"/>
      <c r="CC44" s="127"/>
      <c r="CD44" s="127"/>
      <c r="CE44" s="127"/>
      <c r="CF44" s="127"/>
      <c r="CG44" s="127"/>
      <c r="CH44" s="127"/>
      <c r="CI44" s="127"/>
      <c r="CJ44" s="127"/>
      <c r="CK44" s="127"/>
      <c r="CM44" s="179"/>
    </row>
    <row r="45" spans="3:91" ht="11.25" customHeight="1" x14ac:dyDescent="0.2">
      <c r="C45" s="141" t="s">
        <v>343</v>
      </c>
      <c r="D45" s="141" t="s">
        <v>342</v>
      </c>
      <c r="E45" s="178"/>
      <c r="F45" s="178">
        <f t="shared" ref="F45:BQ45" si="6">SUM(F40:F44)</f>
        <v>0</v>
      </c>
      <c r="G45" s="141">
        <f t="shared" si="6"/>
        <v>0</v>
      </c>
      <c r="H45" s="141">
        <f t="shared" si="6"/>
        <v>0</v>
      </c>
      <c r="I45" s="141">
        <f t="shared" si="6"/>
        <v>0</v>
      </c>
      <c r="J45" s="141">
        <f t="shared" si="6"/>
        <v>0</v>
      </c>
      <c r="K45" s="141">
        <f t="shared" si="6"/>
        <v>0</v>
      </c>
      <c r="L45" s="141">
        <f t="shared" si="6"/>
        <v>0</v>
      </c>
      <c r="M45" s="141">
        <f t="shared" si="6"/>
        <v>0</v>
      </c>
      <c r="N45" s="141">
        <f t="shared" si="6"/>
        <v>0</v>
      </c>
      <c r="O45" s="141">
        <f t="shared" si="6"/>
        <v>0</v>
      </c>
      <c r="P45" s="141">
        <f t="shared" si="6"/>
        <v>0</v>
      </c>
      <c r="Q45" s="141">
        <f t="shared" si="6"/>
        <v>-3008.3486599999997</v>
      </c>
      <c r="R45" s="141">
        <f t="shared" si="6"/>
        <v>-67.162010000000379</v>
      </c>
      <c r="S45" s="141">
        <f t="shared" si="6"/>
        <v>43.723540000000213</v>
      </c>
      <c r="T45" s="141">
        <f t="shared" si="6"/>
        <v>309.60105999999973</v>
      </c>
      <c r="U45" s="141">
        <f t="shared" si="6"/>
        <v>59.241060000000076</v>
      </c>
      <c r="V45" s="141">
        <f t="shared" si="6"/>
        <v>417.67167000000012</v>
      </c>
      <c r="W45" s="141">
        <f t="shared" si="6"/>
        <v>-303.06161000000043</v>
      </c>
      <c r="X45" s="141">
        <f t="shared" si="6"/>
        <v>122.21298000000019</v>
      </c>
      <c r="Y45" s="141">
        <f t="shared" si="6"/>
        <v>198.24171000000007</v>
      </c>
      <c r="Z45" s="141">
        <f t="shared" si="6"/>
        <v>-175.96582000000026</v>
      </c>
      <c r="AA45" s="141">
        <f t="shared" si="6"/>
        <v>208.66656000000049</v>
      </c>
      <c r="AB45" s="141">
        <f t="shared" si="6"/>
        <v>105.96393999999998</v>
      </c>
      <c r="AC45" s="141">
        <f t="shared" si="6"/>
        <v>-950.9916400000003</v>
      </c>
      <c r="AD45" s="141">
        <f t="shared" si="6"/>
        <v>-199.15537</v>
      </c>
      <c r="AE45" s="141">
        <f t="shared" si="6"/>
        <v>107.26396000000041</v>
      </c>
      <c r="AF45" s="141">
        <f t="shared" si="6"/>
        <v>-386.90877999999992</v>
      </c>
      <c r="AG45" s="141">
        <f t="shared" si="6"/>
        <v>788.66876999999965</v>
      </c>
      <c r="AH45" s="141">
        <f t="shared" si="6"/>
        <v>-306.30311999999998</v>
      </c>
      <c r="AI45" s="141">
        <f t="shared" si="6"/>
        <v>316.05893000000026</v>
      </c>
      <c r="AJ45" s="141">
        <f t="shared" si="6"/>
        <v>-84.282480000000135</v>
      </c>
      <c r="AK45" s="141">
        <f t="shared" si="6"/>
        <v>221.14309999999966</v>
      </c>
      <c r="AL45" s="141">
        <f t="shared" si="6"/>
        <v>396.73834000000028</v>
      </c>
      <c r="AM45" s="141">
        <f t="shared" si="6"/>
        <v>543.39383999999973</v>
      </c>
      <c r="AN45" s="141">
        <f t="shared" si="6"/>
        <v>-267.91411000000011</v>
      </c>
      <c r="AO45" s="141">
        <f t="shared" si="6"/>
        <v>267.08367000000027</v>
      </c>
      <c r="AP45" s="141">
        <f t="shared" si="6"/>
        <v>-428.44348999999983</v>
      </c>
      <c r="AQ45" s="141">
        <f t="shared" si="6"/>
        <v>165.44110999999955</v>
      </c>
      <c r="AR45" s="141">
        <f t="shared" si="6"/>
        <v>144.82747000000023</v>
      </c>
      <c r="AS45" s="141">
        <f t="shared" si="6"/>
        <v>-136.01373999999998</v>
      </c>
      <c r="AT45" s="141">
        <f t="shared" si="6"/>
        <v>111.08777000000009</v>
      </c>
      <c r="AU45" s="141">
        <f t="shared" si="6"/>
        <v>130.25185999999985</v>
      </c>
      <c r="AV45" s="141">
        <f t="shared" si="6"/>
        <v>-855.38737999999978</v>
      </c>
      <c r="AW45" s="141">
        <f t="shared" si="6"/>
        <v>117.87479000000002</v>
      </c>
      <c r="AX45" s="141">
        <f t="shared" si="6"/>
        <v>-162.91110000000018</v>
      </c>
      <c r="AY45" s="141">
        <f t="shared" si="6"/>
        <v>-17.779760000000408</v>
      </c>
      <c r="AZ45" s="141">
        <f t="shared" si="6"/>
        <v>-197.52219999999932</v>
      </c>
      <c r="BA45" s="141">
        <f t="shared" si="6"/>
        <v>-162.42769000000027</v>
      </c>
      <c r="BB45" s="141">
        <f t="shared" si="6"/>
        <v>2026.2807</v>
      </c>
      <c r="BC45" s="141">
        <f t="shared" si="6"/>
        <v>0</v>
      </c>
      <c r="BD45" s="141">
        <f t="shared" si="6"/>
        <v>0</v>
      </c>
      <c r="BE45" s="141">
        <f t="shared" si="6"/>
        <v>0</v>
      </c>
      <c r="BF45" s="141">
        <f t="shared" si="6"/>
        <v>0</v>
      </c>
      <c r="BG45" s="141">
        <f t="shared" si="6"/>
        <v>0</v>
      </c>
      <c r="BH45" s="141">
        <f t="shared" si="6"/>
        <v>0</v>
      </c>
      <c r="BI45" s="141">
        <f t="shared" si="6"/>
        <v>0</v>
      </c>
      <c r="BJ45" s="141">
        <f t="shared" si="6"/>
        <v>0</v>
      </c>
      <c r="BK45" s="141">
        <f t="shared" si="6"/>
        <v>0</v>
      </c>
      <c r="BL45" s="141">
        <f t="shared" si="6"/>
        <v>0</v>
      </c>
      <c r="BM45" s="141">
        <f t="shared" si="6"/>
        <v>0</v>
      </c>
      <c r="BN45" s="141">
        <f t="shared" si="6"/>
        <v>0</v>
      </c>
      <c r="BO45" s="141">
        <f t="shared" si="6"/>
        <v>0</v>
      </c>
      <c r="BP45" s="141">
        <f t="shared" si="6"/>
        <v>0</v>
      </c>
      <c r="BQ45" s="141">
        <f t="shared" si="6"/>
        <v>0</v>
      </c>
      <c r="BR45" s="141">
        <f t="shared" ref="BR45:CK45" si="7">SUM(BR40:BR44)</f>
        <v>0</v>
      </c>
      <c r="BS45" s="141">
        <f t="shared" si="7"/>
        <v>0</v>
      </c>
      <c r="BT45" s="141">
        <f t="shared" si="7"/>
        <v>0</v>
      </c>
      <c r="BU45" s="141">
        <f t="shared" si="7"/>
        <v>0</v>
      </c>
      <c r="BV45" s="141">
        <f t="shared" si="7"/>
        <v>0</v>
      </c>
      <c r="BW45" s="141">
        <f t="shared" si="7"/>
        <v>0</v>
      </c>
      <c r="BX45" s="141">
        <f t="shared" si="7"/>
        <v>0</v>
      </c>
      <c r="BY45" s="141">
        <f t="shared" si="7"/>
        <v>0</v>
      </c>
      <c r="BZ45" s="141">
        <f t="shared" si="7"/>
        <v>0</v>
      </c>
      <c r="CA45" s="141">
        <f t="shared" si="7"/>
        <v>0</v>
      </c>
      <c r="CB45" s="141">
        <f t="shared" si="7"/>
        <v>0</v>
      </c>
      <c r="CC45" s="141">
        <f t="shared" si="7"/>
        <v>0</v>
      </c>
      <c r="CD45" s="141">
        <f t="shared" si="7"/>
        <v>0</v>
      </c>
      <c r="CE45" s="141">
        <f t="shared" si="7"/>
        <v>0</v>
      </c>
      <c r="CF45" s="141">
        <f t="shared" si="7"/>
        <v>0</v>
      </c>
      <c r="CG45" s="141">
        <f t="shared" si="7"/>
        <v>0</v>
      </c>
      <c r="CH45" s="141">
        <f t="shared" si="7"/>
        <v>0</v>
      </c>
      <c r="CI45" s="141">
        <f t="shared" si="7"/>
        <v>0</v>
      </c>
      <c r="CJ45" s="141">
        <f t="shared" si="7"/>
        <v>0</v>
      </c>
      <c r="CK45" s="141">
        <f t="shared" si="7"/>
        <v>0</v>
      </c>
    </row>
    <row r="46" spans="3:91" ht="4.5" customHeight="1" x14ac:dyDescent="0.2">
      <c r="C46" s="37"/>
      <c r="D46" s="37"/>
      <c r="E46" s="96"/>
      <c r="F46" s="9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row>
    <row r="47" spans="3:91" ht="11.25" customHeight="1" x14ac:dyDescent="0.2">
      <c r="C47" s="141" t="s">
        <v>863</v>
      </c>
      <c r="D47" s="141" t="s">
        <v>863</v>
      </c>
      <c r="E47" s="178"/>
      <c r="F47" s="178">
        <f>F38+F45</f>
        <v>0</v>
      </c>
      <c r="G47" s="141">
        <f t="shared" ref="G47:BR47" si="8">G38+G45</f>
        <v>0</v>
      </c>
      <c r="H47" s="141">
        <f t="shared" si="8"/>
        <v>0</v>
      </c>
      <c r="I47" s="141">
        <f t="shared" si="8"/>
        <v>0</v>
      </c>
      <c r="J47" s="141">
        <f t="shared" si="8"/>
        <v>0</v>
      </c>
      <c r="K47" s="141">
        <f t="shared" si="8"/>
        <v>0</v>
      </c>
      <c r="L47" s="141">
        <f t="shared" si="8"/>
        <v>0</v>
      </c>
      <c r="M47" s="141">
        <f t="shared" si="8"/>
        <v>0</v>
      </c>
      <c r="N47" s="141">
        <f t="shared" si="8"/>
        <v>0</v>
      </c>
      <c r="O47" s="141">
        <f t="shared" si="8"/>
        <v>0</v>
      </c>
      <c r="P47" s="141">
        <f t="shared" si="8"/>
        <v>0</v>
      </c>
      <c r="Q47" s="141">
        <f t="shared" si="8"/>
        <v>-5026.7901400000001</v>
      </c>
      <c r="R47" s="141">
        <f t="shared" si="8"/>
        <v>10.215399999999576</v>
      </c>
      <c r="S47" s="141">
        <f t="shared" si="8"/>
        <v>-29.696449999999686</v>
      </c>
      <c r="T47" s="141">
        <f t="shared" si="8"/>
        <v>438.96164999999991</v>
      </c>
      <c r="U47" s="141">
        <f t="shared" si="8"/>
        <v>-25.563129999998765</v>
      </c>
      <c r="V47" s="141">
        <f t="shared" si="8"/>
        <v>-27.897620000001325</v>
      </c>
      <c r="W47" s="141">
        <f t="shared" si="8"/>
        <v>-23.940900000002443</v>
      </c>
      <c r="X47" s="141">
        <f t="shared" si="8"/>
        <v>-18.809669999996856</v>
      </c>
      <c r="Y47" s="141">
        <f t="shared" si="8"/>
        <v>-10.479930000000081</v>
      </c>
      <c r="Z47" s="141">
        <f t="shared" si="8"/>
        <v>0.97351999999827399</v>
      </c>
      <c r="AA47" s="141">
        <f t="shared" si="8"/>
        <v>-6.3489899999954957</v>
      </c>
      <c r="AB47" s="141">
        <f t="shared" si="8"/>
        <v>-20.855850000002278</v>
      </c>
      <c r="AC47" s="141">
        <f t="shared" si="8"/>
        <v>-35.764600000001451</v>
      </c>
      <c r="AD47" s="141">
        <f t="shared" si="8"/>
        <v>-25.199329999999833</v>
      </c>
      <c r="AE47" s="141">
        <f t="shared" si="8"/>
        <v>-32.288599999999732</v>
      </c>
      <c r="AF47" s="141">
        <f t="shared" si="8"/>
        <v>100.7915100000007</v>
      </c>
      <c r="AG47" s="141">
        <f t="shared" si="8"/>
        <v>1122.9440899999991</v>
      </c>
      <c r="AH47" s="141">
        <f t="shared" si="8"/>
        <v>-17.853209999999422</v>
      </c>
      <c r="AI47" s="141">
        <f t="shared" si="8"/>
        <v>44.07691000000068</v>
      </c>
      <c r="AJ47" s="141">
        <f t="shared" si="8"/>
        <v>-43.532109999997544</v>
      </c>
      <c r="AK47" s="141">
        <f t="shared" si="8"/>
        <v>11.614920000000893</v>
      </c>
      <c r="AL47" s="141">
        <f t="shared" si="8"/>
        <v>8.7538899999979662</v>
      </c>
      <c r="AM47" s="141">
        <f t="shared" si="8"/>
        <v>47.78327000000013</v>
      </c>
      <c r="AN47" s="141">
        <f t="shared" si="8"/>
        <v>195.5165199999974</v>
      </c>
      <c r="AO47" s="141">
        <f t="shared" si="8"/>
        <v>-7.4148899999977971</v>
      </c>
      <c r="AP47" s="141">
        <f t="shared" si="8"/>
        <v>-28.762680000000444</v>
      </c>
      <c r="AQ47" s="141">
        <f t="shared" si="8"/>
        <v>-23.555640000000409</v>
      </c>
      <c r="AR47" s="141">
        <f t="shared" si="8"/>
        <v>-99.644640000000038</v>
      </c>
      <c r="AS47" s="141">
        <f t="shared" si="8"/>
        <v>-69.73655999999896</v>
      </c>
      <c r="AT47" s="141">
        <f t="shared" si="8"/>
        <v>-22.544220000001303</v>
      </c>
      <c r="AU47" s="141">
        <f t="shared" si="8"/>
        <v>-25.797990000000652</v>
      </c>
      <c r="AV47" s="141">
        <f t="shared" si="8"/>
        <v>115.44434000000035</v>
      </c>
      <c r="AW47" s="141">
        <f t="shared" si="8"/>
        <v>-21.27600000000038</v>
      </c>
      <c r="AX47" s="141">
        <f t="shared" si="8"/>
        <v>-29.062289999997546</v>
      </c>
      <c r="AY47" s="141">
        <f t="shared" si="8"/>
        <v>-15.131479999997453</v>
      </c>
      <c r="AZ47" s="141">
        <f t="shared" si="8"/>
        <v>1.776019999996663</v>
      </c>
      <c r="BA47" s="141">
        <f t="shared" si="8"/>
        <v>184.81147000000459</v>
      </c>
      <c r="BB47" s="141">
        <f t="shared" si="8"/>
        <v>5992.4552199999998</v>
      </c>
      <c r="BC47" s="141">
        <f t="shared" si="8"/>
        <v>0</v>
      </c>
      <c r="BD47" s="141">
        <f t="shared" si="8"/>
        <v>0</v>
      </c>
      <c r="BE47" s="141">
        <f t="shared" si="8"/>
        <v>0</v>
      </c>
      <c r="BF47" s="141">
        <f t="shared" si="8"/>
        <v>0</v>
      </c>
      <c r="BG47" s="141">
        <f t="shared" si="8"/>
        <v>0</v>
      </c>
      <c r="BH47" s="141">
        <f t="shared" si="8"/>
        <v>0</v>
      </c>
      <c r="BI47" s="141">
        <f t="shared" si="8"/>
        <v>0</v>
      </c>
      <c r="BJ47" s="141">
        <f t="shared" si="8"/>
        <v>0</v>
      </c>
      <c r="BK47" s="141">
        <f t="shared" si="8"/>
        <v>0</v>
      </c>
      <c r="BL47" s="141">
        <f t="shared" si="8"/>
        <v>0</v>
      </c>
      <c r="BM47" s="141">
        <f t="shared" si="8"/>
        <v>0</v>
      </c>
      <c r="BN47" s="141">
        <f t="shared" si="8"/>
        <v>0</v>
      </c>
      <c r="BO47" s="141">
        <f t="shared" si="8"/>
        <v>0</v>
      </c>
      <c r="BP47" s="141">
        <f t="shared" si="8"/>
        <v>0</v>
      </c>
      <c r="BQ47" s="141">
        <f t="shared" si="8"/>
        <v>0</v>
      </c>
      <c r="BR47" s="141">
        <f t="shared" si="8"/>
        <v>0</v>
      </c>
      <c r="BS47" s="141">
        <f t="shared" ref="BS47:CL47" si="9">BS38+BS45</f>
        <v>0</v>
      </c>
      <c r="BT47" s="141">
        <f t="shared" si="9"/>
        <v>0</v>
      </c>
      <c r="BU47" s="141">
        <f t="shared" si="9"/>
        <v>0</v>
      </c>
      <c r="BV47" s="141">
        <f t="shared" si="9"/>
        <v>0</v>
      </c>
      <c r="BW47" s="141">
        <f t="shared" si="9"/>
        <v>0</v>
      </c>
      <c r="BX47" s="141">
        <f t="shared" si="9"/>
        <v>0</v>
      </c>
      <c r="BY47" s="141">
        <f t="shared" si="9"/>
        <v>0</v>
      </c>
      <c r="BZ47" s="141">
        <f t="shared" si="9"/>
        <v>0</v>
      </c>
      <c r="CA47" s="141">
        <f t="shared" si="9"/>
        <v>0</v>
      </c>
      <c r="CB47" s="141">
        <f t="shared" si="9"/>
        <v>0</v>
      </c>
      <c r="CC47" s="141">
        <f t="shared" si="9"/>
        <v>0</v>
      </c>
      <c r="CD47" s="141">
        <f t="shared" si="9"/>
        <v>0</v>
      </c>
      <c r="CE47" s="141">
        <f t="shared" si="9"/>
        <v>0</v>
      </c>
      <c r="CF47" s="141">
        <f t="shared" si="9"/>
        <v>0</v>
      </c>
      <c r="CG47" s="141">
        <f t="shared" si="9"/>
        <v>0</v>
      </c>
      <c r="CH47" s="141">
        <f t="shared" si="9"/>
        <v>0</v>
      </c>
      <c r="CI47" s="141">
        <f t="shared" si="9"/>
        <v>0</v>
      </c>
      <c r="CJ47" s="141">
        <f t="shared" si="9"/>
        <v>0</v>
      </c>
      <c r="CK47" s="141">
        <f t="shared" si="9"/>
        <v>0</v>
      </c>
      <c r="CL47" s="1">
        <f t="shared" si="9"/>
        <v>0</v>
      </c>
    </row>
    <row r="48" spans="3:91" ht="4.5" customHeight="1" x14ac:dyDescent="0.2">
      <c r="C48" s="37"/>
      <c r="D48" s="37"/>
      <c r="E48" s="96"/>
      <c r="F48" s="96"/>
      <c r="G48" s="36"/>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row>
    <row r="49" spans="3:91" ht="11.25" customHeight="1" x14ac:dyDescent="0.2">
      <c r="C49" s="37" t="str">
        <f>"∆ "&amp;'Lead NA'!C44</f>
        <v>∆ Verbindlichkeiten ggü.Kreditinstituten</v>
      </c>
      <c r="D49" s="37" t="str">
        <f>"∆ "&amp;'Lead NA'!D44</f>
        <v>∆ Liabilities to banks</v>
      </c>
      <c r="E49" s="96"/>
      <c r="F49" s="96"/>
      <c r="G49" s="36">
        <f>-NA_monthly!G45+NA_monthly!F45</f>
        <v>0</v>
      </c>
      <c r="H49" s="36">
        <f>-NA_monthly!H45+NA_monthly!G45</f>
        <v>0</v>
      </c>
      <c r="I49" s="36">
        <f>-NA_monthly!I45+NA_monthly!H45</f>
        <v>0</v>
      </c>
      <c r="J49" s="36">
        <f>-NA_monthly!J45+NA_monthly!I45</f>
        <v>0</v>
      </c>
      <c r="K49" s="36">
        <f>-NA_monthly!K45+NA_monthly!J45</f>
        <v>0</v>
      </c>
      <c r="L49" s="36">
        <f>-NA_monthly!L45+NA_monthly!K45</f>
        <v>0</v>
      </c>
      <c r="M49" s="36">
        <f>-NA_monthly!M45+NA_monthly!L45</f>
        <v>0</v>
      </c>
      <c r="N49" s="36">
        <f>-NA_monthly!N45+NA_monthly!M45</f>
        <v>0</v>
      </c>
      <c r="O49" s="36">
        <f>-NA_monthly!O45+NA_monthly!N45</f>
        <v>0</v>
      </c>
      <c r="P49" s="36">
        <f>-NA_monthly!P45+NA_monthly!O45</f>
        <v>0</v>
      </c>
      <c r="Q49" s="36">
        <f>-NA_monthly!Q45+NA_monthly!P45</f>
        <v>0</v>
      </c>
      <c r="R49" s="36">
        <f>-NA_monthly!R45+NA_monthly!Q45</f>
        <v>0</v>
      </c>
      <c r="S49" s="36">
        <f>-NA_monthly!S45+NA_monthly!R45</f>
        <v>0</v>
      </c>
      <c r="T49" s="36">
        <f>-NA_monthly!T45+NA_monthly!S45</f>
        <v>0</v>
      </c>
      <c r="U49" s="36">
        <f>-NA_monthly!U45+NA_monthly!T45</f>
        <v>0</v>
      </c>
      <c r="V49" s="36">
        <f>-NA_monthly!V45+NA_monthly!U45</f>
        <v>0</v>
      </c>
      <c r="W49" s="36">
        <f>-NA_monthly!W45+NA_monthly!V45</f>
        <v>0</v>
      </c>
      <c r="X49" s="36">
        <f>-NA_monthly!X45+NA_monthly!W45</f>
        <v>0</v>
      </c>
      <c r="Y49" s="36">
        <f>-NA_monthly!Y45+NA_monthly!X45</f>
        <v>0</v>
      </c>
      <c r="Z49" s="36">
        <f>-NA_monthly!Z45+NA_monthly!Y45</f>
        <v>0</v>
      </c>
      <c r="AA49" s="36">
        <f>-NA_monthly!AA45+NA_monthly!Z45</f>
        <v>0</v>
      </c>
      <c r="AB49" s="36">
        <f>-NA_monthly!AB45+NA_monthly!AA45</f>
        <v>0</v>
      </c>
      <c r="AC49" s="36">
        <f>-NA_monthly!AC45+NA_monthly!AB45</f>
        <v>0</v>
      </c>
      <c r="AD49" s="36">
        <f>-NA_monthly!AD45+NA_monthly!AC45</f>
        <v>0</v>
      </c>
      <c r="AE49" s="36">
        <f>-NA_monthly!AE45+NA_monthly!AD45</f>
        <v>0</v>
      </c>
      <c r="AF49" s="36">
        <f>-NA_monthly!AF45+NA_monthly!AE45</f>
        <v>0</v>
      </c>
      <c r="AG49" s="36">
        <f>-NA_monthly!AG45+NA_monthly!AF45</f>
        <v>0</v>
      </c>
      <c r="AH49" s="36">
        <f>-NA_monthly!AH45+NA_monthly!AG45</f>
        <v>0</v>
      </c>
      <c r="AI49" s="36">
        <f>-NA_monthly!AI45+NA_monthly!AH45</f>
        <v>0</v>
      </c>
      <c r="AJ49" s="36">
        <f>-NA_monthly!AJ45+NA_monthly!AI45</f>
        <v>0</v>
      </c>
      <c r="AK49" s="36">
        <f>-NA_monthly!AK45+NA_monthly!AJ45</f>
        <v>0</v>
      </c>
      <c r="AL49" s="36">
        <f>-NA_monthly!AL45+NA_monthly!AK45</f>
        <v>0</v>
      </c>
      <c r="AM49" s="36">
        <f>-NA_monthly!AM45+NA_monthly!AL45</f>
        <v>0</v>
      </c>
      <c r="AN49" s="36">
        <f>-NA_monthly!AN45+NA_monthly!AM45</f>
        <v>0</v>
      </c>
      <c r="AO49" s="36">
        <f>-NA_monthly!AO45+NA_monthly!AN45</f>
        <v>0</v>
      </c>
      <c r="AP49" s="36">
        <f>-NA_monthly!AP45+NA_monthly!AO45</f>
        <v>0</v>
      </c>
      <c r="AQ49" s="36">
        <f>-NA_monthly!AQ45+NA_monthly!AP45</f>
        <v>0</v>
      </c>
      <c r="AR49" s="36">
        <f>-NA_monthly!AR45+NA_monthly!AQ45</f>
        <v>0</v>
      </c>
      <c r="AS49" s="36">
        <f>-NA_monthly!AS45+NA_monthly!AR45</f>
        <v>0</v>
      </c>
      <c r="AT49" s="36">
        <f>-NA_monthly!AT45+NA_monthly!AS45</f>
        <v>0</v>
      </c>
      <c r="AU49" s="36">
        <f>-NA_monthly!AU45+NA_monthly!AT45</f>
        <v>3.7</v>
      </c>
      <c r="AV49" s="36">
        <f>-NA_monthly!AV45+NA_monthly!AU45</f>
        <v>4.7</v>
      </c>
      <c r="AW49" s="36">
        <f>-NA_monthly!AW45+NA_monthly!AV45</f>
        <v>0</v>
      </c>
      <c r="AX49" s="36">
        <f>-NA_monthly!AX45+NA_monthly!AW45</f>
        <v>11.025</v>
      </c>
      <c r="AY49" s="36">
        <f>-NA_monthly!AY45+NA_monthly!AX45</f>
        <v>0</v>
      </c>
      <c r="AZ49" s="36">
        <f>-NA_monthly!AZ45+NA_monthly!AY45</f>
        <v>0</v>
      </c>
      <c r="BA49" s="36">
        <f>-NA_monthly!BA45+NA_monthly!AZ45</f>
        <v>0</v>
      </c>
      <c r="BB49" s="36">
        <f>-NA_monthly!BB45+NA_monthly!BA45</f>
        <v>-19.425000000000001</v>
      </c>
      <c r="BC49" s="36">
        <f>-NA_monthly!BC45+NA_monthly!BB45</f>
        <v>0</v>
      </c>
      <c r="BD49" s="36">
        <f>-NA_monthly!BD45+NA_monthly!BC45</f>
        <v>0</v>
      </c>
      <c r="BE49" s="36">
        <f>-NA_monthly!BE45+NA_monthly!BD45</f>
        <v>0</v>
      </c>
      <c r="BF49" s="36">
        <f>-NA_monthly!BF45+NA_monthly!BE45</f>
        <v>0</v>
      </c>
      <c r="BG49" s="36">
        <f>-NA_monthly!BG45+NA_monthly!BF45</f>
        <v>0</v>
      </c>
      <c r="BH49" s="36">
        <f>-NA_monthly!BH45+NA_monthly!BG45</f>
        <v>0</v>
      </c>
      <c r="BI49" s="36">
        <f>-NA_monthly!BI45+NA_monthly!BH45</f>
        <v>0</v>
      </c>
      <c r="BJ49" s="36">
        <f>-NA_monthly!BJ45+NA_monthly!BI45</f>
        <v>0</v>
      </c>
      <c r="BK49" s="36">
        <f>-NA_monthly!BK45+NA_monthly!BJ45</f>
        <v>0</v>
      </c>
      <c r="BL49" s="36">
        <f>-NA_monthly!BL45+NA_monthly!BK45</f>
        <v>0</v>
      </c>
      <c r="BM49" s="36">
        <f>-NA_monthly!BM45+NA_monthly!BL45</f>
        <v>0</v>
      </c>
      <c r="BN49" s="36">
        <f>-NA_monthly!BN45+NA_monthly!BM45</f>
        <v>0</v>
      </c>
      <c r="BO49" s="36">
        <f>-NA_monthly!BO45+NA_monthly!BN45</f>
        <v>0</v>
      </c>
      <c r="BP49" s="36">
        <f>-NA_monthly!BP45+NA_monthly!BO45</f>
        <v>0</v>
      </c>
      <c r="BQ49" s="36">
        <f>-NA_monthly!BQ45+NA_monthly!BP45</f>
        <v>0</v>
      </c>
      <c r="BR49" s="36">
        <f>-NA_monthly!BR45+NA_monthly!BQ45</f>
        <v>0</v>
      </c>
      <c r="BS49" s="36">
        <f>-NA_monthly!BS45+NA_monthly!BR45</f>
        <v>0</v>
      </c>
      <c r="BT49" s="36">
        <f>-NA_monthly!BT45+NA_monthly!BS45</f>
        <v>0</v>
      </c>
      <c r="BU49" s="36">
        <f>-NA_monthly!BU45+NA_monthly!BT45</f>
        <v>0</v>
      </c>
      <c r="BV49" s="36">
        <f>-NA_monthly!BV45+NA_monthly!BU45</f>
        <v>0</v>
      </c>
      <c r="BW49" s="36">
        <f>-NA_monthly!BW45+NA_monthly!BV45</f>
        <v>0</v>
      </c>
      <c r="BX49" s="36">
        <f>-NA_monthly!BX45+NA_monthly!BW45</f>
        <v>0</v>
      </c>
      <c r="BY49" s="36">
        <f>-NA_monthly!BY45+NA_monthly!BX45</f>
        <v>0</v>
      </c>
      <c r="BZ49" s="36">
        <f>-NA_monthly!BZ45+NA_monthly!BY45</f>
        <v>0</v>
      </c>
      <c r="CA49" s="36">
        <f>-NA_monthly!CA45+NA_monthly!BZ45</f>
        <v>0</v>
      </c>
      <c r="CB49" s="36">
        <f>-NA_monthly!CB45+NA_monthly!CA45</f>
        <v>0</v>
      </c>
      <c r="CC49" s="36">
        <f>-NA_monthly!CC45+NA_monthly!CB45</f>
        <v>0</v>
      </c>
      <c r="CD49" s="36">
        <f>-NA_monthly!CD45+NA_monthly!CC45</f>
        <v>0</v>
      </c>
      <c r="CE49" s="36">
        <f>-NA_monthly!CE45+NA_monthly!CD45</f>
        <v>0</v>
      </c>
      <c r="CF49" s="36">
        <f>-NA_monthly!CF45+NA_monthly!CE45</f>
        <v>0</v>
      </c>
      <c r="CG49" s="36">
        <f>-NA_monthly!CG45+NA_monthly!CF45</f>
        <v>0</v>
      </c>
      <c r="CH49" s="36">
        <f>-NA_monthly!CH45+NA_monthly!CG45</f>
        <v>0</v>
      </c>
      <c r="CI49" s="36">
        <f>-NA_monthly!CI45+NA_monthly!CH45</f>
        <v>0</v>
      </c>
      <c r="CJ49" s="36">
        <f>-NA_monthly!CJ45+NA_monthly!CI45</f>
        <v>0</v>
      </c>
      <c r="CK49" s="36">
        <f>-NA_monthly!CK45+NA_monthly!CJ45</f>
        <v>0</v>
      </c>
      <c r="CM49" s="1" t="s">
        <v>333</v>
      </c>
    </row>
    <row r="50" spans="3:91" ht="11.25" customHeight="1" x14ac:dyDescent="0.2">
      <c r="C50" s="37" t="str">
        <f>"∆ "&amp;'Lead NA'!C45</f>
        <v>∆ Pensionsrückstellungen</v>
      </c>
      <c r="D50" s="37" t="str">
        <f>"∆ "&amp;'Lead NA'!D45</f>
        <v>∆ Pension provisions</v>
      </c>
      <c r="E50" s="96"/>
      <c r="F50" s="96"/>
      <c r="G50" s="36">
        <f>-NA_monthly!G46+NA_monthly!F46</f>
        <v>0</v>
      </c>
      <c r="H50" s="36">
        <f>-NA_monthly!H46+NA_monthly!G46</f>
        <v>0</v>
      </c>
      <c r="I50" s="36">
        <f>-NA_monthly!I46+NA_monthly!H46</f>
        <v>0</v>
      </c>
      <c r="J50" s="36">
        <f>-NA_monthly!J46+NA_monthly!I46</f>
        <v>0</v>
      </c>
      <c r="K50" s="36">
        <f>-NA_monthly!K46+NA_monthly!J46</f>
        <v>0</v>
      </c>
      <c r="L50" s="36">
        <f>-NA_monthly!L46+NA_monthly!K46</f>
        <v>0</v>
      </c>
      <c r="M50" s="36">
        <f>-NA_monthly!M46+NA_monthly!L46</f>
        <v>0</v>
      </c>
      <c r="N50" s="36">
        <f>-NA_monthly!N46+NA_monthly!M46</f>
        <v>0</v>
      </c>
      <c r="O50" s="36">
        <f>-NA_monthly!O46+NA_monthly!N46</f>
        <v>0</v>
      </c>
      <c r="P50" s="36">
        <f>-NA_monthly!P46+NA_monthly!O46</f>
        <v>0</v>
      </c>
      <c r="Q50" s="36">
        <f>-NA_monthly!Q46+NA_monthly!P46</f>
        <v>201.476</v>
      </c>
      <c r="R50" s="36">
        <f>-NA_monthly!R46+NA_monthly!Q46</f>
        <v>0</v>
      </c>
      <c r="S50" s="36">
        <f>-NA_monthly!S46+NA_monthly!R46</f>
        <v>0</v>
      </c>
      <c r="T50" s="36">
        <f>-NA_monthly!T46+NA_monthly!S46</f>
        <v>0</v>
      </c>
      <c r="U50" s="36">
        <f>-NA_monthly!U46+NA_monthly!T46</f>
        <v>0</v>
      </c>
      <c r="V50" s="36">
        <f>-NA_monthly!V46+NA_monthly!U46</f>
        <v>0</v>
      </c>
      <c r="W50" s="36">
        <f>-NA_monthly!W46+NA_monthly!V46</f>
        <v>0</v>
      </c>
      <c r="X50" s="36">
        <f>-NA_monthly!X46+NA_monthly!W46</f>
        <v>0</v>
      </c>
      <c r="Y50" s="36">
        <f>-NA_monthly!Y46+NA_monthly!X46</f>
        <v>0</v>
      </c>
      <c r="Z50" s="36">
        <f>-NA_monthly!Z46+NA_monthly!Y46</f>
        <v>-9.3739999999999952</v>
      </c>
      <c r="AA50" s="36">
        <f>-NA_monthly!AA46+NA_monthly!Z46</f>
        <v>0</v>
      </c>
      <c r="AB50" s="36">
        <f>-NA_monthly!AB46+NA_monthly!AA46</f>
        <v>0</v>
      </c>
      <c r="AC50" s="36">
        <f>-NA_monthly!AC46+NA_monthly!AB46</f>
        <v>0</v>
      </c>
      <c r="AD50" s="36">
        <f>-NA_monthly!AD46+NA_monthly!AC46</f>
        <v>0</v>
      </c>
      <c r="AE50" s="36">
        <f>-NA_monthly!AE46+NA_monthly!AD46</f>
        <v>0</v>
      </c>
      <c r="AF50" s="36">
        <f>-NA_monthly!AF46+NA_monthly!AE46</f>
        <v>0</v>
      </c>
      <c r="AG50" s="36">
        <f>-NA_monthly!AG46+NA_monthly!AF46</f>
        <v>0</v>
      </c>
      <c r="AH50" s="36">
        <f>-NA_monthly!AH46+NA_monthly!AG46</f>
        <v>0</v>
      </c>
      <c r="AI50" s="36">
        <f>-NA_monthly!AI46+NA_monthly!AH46</f>
        <v>0</v>
      </c>
      <c r="AJ50" s="36">
        <f>-NA_monthly!AJ46+NA_monthly!AI46</f>
        <v>0</v>
      </c>
      <c r="AK50" s="36">
        <f>-NA_monthly!AK46+NA_monthly!AJ46</f>
        <v>0</v>
      </c>
      <c r="AL50" s="36">
        <f>-NA_monthly!AL46+NA_monthly!AK46</f>
        <v>0</v>
      </c>
      <c r="AM50" s="36">
        <f>-NA_monthly!AM46+NA_monthly!AL46</f>
        <v>0</v>
      </c>
      <c r="AN50" s="36">
        <f>-NA_monthly!AN46+NA_monthly!AM46</f>
        <v>0</v>
      </c>
      <c r="AO50" s="36">
        <f>-NA_monthly!AO46+NA_monthly!AN46</f>
        <v>-9.6990000000000123</v>
      </c>
      <c r="AP50" s="36">
        <f>-NA_monthly!AP46+NA_monthly!AO46</f>
        <v>0</v>
      </c>
      <c r="AQ50" s="36">
        <f>-NA_monthly!AQ46+NA_monthly!AP46</f>
        <v>0</v>
      </c>
      <c r="AR50" s="36">
        <f>-NA_monthly!AR46+NA_monthly!AQ46</f>
        <v>0</v>
      </c>
      <c r="AS50" s="36">
        <f>-NA_monthly!AS46+NA_monthly!AR46</f>
        <v>0</v>
      </c>
      <c r="AT50" s="36">
        <f>-NA_monthly!AT46+NA_monthly!AS46</f>
        <v>0</v>
      </c>
      <c r="AU50" s="36">
        <f>-NA_monthly!AU46+NA_monthly!AT46</f>
        <v>0</v>
      </c>
      <c r="AV50" s="36">
        <f>-NA_monthly!AV46+NA_monthly!AU46</f>
        <v>0</v>
      </c>
      <c r="AW50" s="36">
        <f>-NA_monthly!AW46+NA_monthly!AV46</f>
        <v>0</v>
      </c>
      <c r="AX50" s="36">
        <f>-NA_monthly!AX46+NA_monthly!AW46</f>
        <v>0</v>
      </c>
      <c r="AY50" s="36">
        <f>-NA_monthly!AY46+NA_monthly!AX46</f>
        <v>0</v>
      </c>
      <c r="AZ50" s="36">
        <f>-NA_monthly!AZ46+NA_monthly!AY46</f>
        <v>0</v>
      </c>
      <c r="BA50" s="36">
        <f>-NA_monthly!BA46+NA_monthly!AZ46</f>
        <v>-10.659999999999997</v>
      </c>
      <c r="BB50" s="36">
        <f>-NA_monthly!BB46+NA_monthly!BA46</f>
        <v>-171.74299999999999</v>
      </c>
      <c r="BC50" s="36">
        <f>-NA_monthly!BC46+NA_monthly!BB46</f>
        <v>0</v>
      </c>
      <c r="BD50" s="36">
        <f>-NA_monthly!BD46+NA_monthly!BC46</f>
        <v>0</v>
      </c>
      <c r="BE50" s="36">
        <f>-NA_monthly!BE46+NA_monthly!BD46</f>
        <v>0</v>
      </c>
      <c r="BF50" s="36">
        <f>-NA_monthly!BF46+NA_monthly!BE46</f>
        <v>0</v>
      </c>
      <c r="BG50" s="36">
        <f>-NA_monthly!BG46+NA_monthly!BF46</f>
        <v>0</v>
      </c>
      <c r="BH50" s="36">
        <f>-NA_monthly!BH46+NA_monthly!BG46</f>
        <v>0</v>
      </c>
      <c r="BI50" s="36">
        <f>-NA_monthly!BI46+NA_monthly!BH46</f>
        <v>0</v>
      </c>
      <c r="BJ50" s="36">
        <f>-NA_monthly!BJ46+NA_monthly!BI46</f>
        <v>0</v>
      </c>
      <c r="BK50" s="36">
        <f>-NA_monthly!BK46+NA_monthly!BJ46</f>
        <v>0</v>
      </c>
      <c r="BL50" s="36">
        <f>-NA_monthly!BL46+NA_monthly!BK46</f>
        <v>0</v>
      </c>
      <c r="BM50" s="36">
        <f>-NA_monthly!BM46+NA_monthly!BL46</f>
        <v>0</v>
      </c>
      <c r="BN50" s="36">
        <f>-NA_monthly!BN46+NA_monthly!BM46</f>
        <v>0</v>
      </c>
      <c r="BO50" s="36">
        <f>-NA_monthly!BO46+NA_monthly!BN46</f>
        <v>0</v>
      </c>
      <c r="BP50" s="36">
        <f>-NA_monthly!BP46+NA_monthly!BO46</f>
        <v>0</v>
      </c>
      <c r="BQ50" s="36">
        <f>-NA_monthly!BQ46+NA_monthly!BP46</f>
        <v>0</v>
      </c>
      <c r="BR50" s="36">
        <f>-NA_monthly!BR46+NA_monthly!BQ46</f>
        <v>0</v>
      </c>
      <c r="BS50" s="36">
        <f>-NA_monthly!BS46+NA_monthly!BR46</f>
        <v>0</v>
      </c>
      <c r="BT50" s="36">
        <f>-NA_monthly!BT46+NA_monthly!BS46</f>
        <v>0</v>
      </c>
      <c r="BU50" s="36">
        <f>-NA_monthly!BU46+NA_monthly!BT46</f>
        <v>0</v>
      </c>
      <c r="BV50" s="36">
        <f>-NA_monthly!BV46+NA_monthly!BU46</f>
        <v>0</v>
      </c>
      <c r="BW50" s="36">
        <f>-NA_monthly!BW46+NA_monthly!BV46</f>
        <v>0</v>
      </c>
      <c r="BX50" s="36">
        <f>-NA_monthly!BX46+NA_monthly!BW46</f>
        <v>0</v>
      </c>
      <c r="BY50" s="36">
        <f>-NA_monthly!BY46+NA_monthly!BX46</f>
        <v>0</v>
      </c>
      <c r="BZ50" s="36">
        <f>-NA_monthly!BZ46+NA_monthly!BY46</f>
        <v>0</v>
      </c>
      <c r="CA50" s="36">
        <f>-NA_monthly!CA46+NA_monthly!BZ46</f>
        <v>0</v>
      </c>
      <c r="CB50" s="36">
        <f>-NA_monthly!CB46+NA_monthly!CA46</f>
        <v>0</v>
      </c>
      <c r="CC50" s="36">
        <f>-NA_monthly!CC46+NA_monthly!CB46</f>
        <v>0</v>
      </c>
      <c r="CD50" s="36">
        <f>-NA_monthly!CD46+NA_monthly!CC46</f>
        <v>0</v>
      </c>
      <c r="CE50" s="36">
        <f>-NA_monthly!CE46+NA_monthly!CD46</f>
        <v>0</v>
      </c>
      <c r="CF50" s="36">
        <f>-NA_monthly!CF46+NA_monthly!CE46</f>
        <v>0</v>
      </c>
      <c r="CG50" s="36">
        <f>-NA_monthly!CG46+NA_monthly!CF46</f>
        <v>0</v>
      </c>
      <c r="CH50" s="36">
        <f>-NA_monthly!CH46+NA_monthly!CG46</f>
        <v>0</v>
      </c>
      <c r="CI50" s="36">
        <f>-NA_monthly!CI46+NA_monthly!CH46</f>
        <v>0</v>
      </c>
      <c r="CJ50" s="36">
        <f>-NA_monthly!CJ46+NA_monthly!CI46</f>
        <v>0</v>
      </c>
      <c r="CK50" s="36">
        <f>-NA_monthly!CK46+NA_monthly!CJ46</f>
        <v>0</v>
      </c>
    </row>
    <row r="51" spans="3:91" ht="11.25" customHeight="1" x14ac:dyDescent="0.2">
      <c r="C51" s="37" t="str">
        <f>"∆ "&amp;'Lead NA'!C46</f>
        <v>∆ Steuerrückstellungen</v>
      </c>
      <c r="D51" s="37" t="str">
        <f>"∆ "&amp;'Lead NA'!D46</f>
        <v>∆ Tax provisions</v>
      </c>
      <c r="E51" s="96"/>
      <c r="F51" s="96"/>
      <c r="G51" s="36">
        <f>-NA_monthly!G47+NA_monthly!F47</f>
        <v>0</v>
      </c>
      <c r="H51" s="36">
        <f>-NA_monthly!H47+NA_monthly!G47</f>
        <v>0</v>
      </c>
      <c r="I51" s="36">
        <f>-NA_monthly!I47+NA_monthly!H47</f>
        <v>0</v>
      </c>
      <c r="J51" s="36">
        <f>-NA_monthly!J47+NA_monthly!I47</f>
        <v>0</v>
      </c>
      <c r="K51" s="36">
        <f>-NA_monthly!K47+NA_monthly!J47</f>
        <v>0</v>
      </c>
      <c r="L51" s="36">
        <f>-NA_monthly!L47+NA_monthly!K47</f>
        <v>0</v>
      </c>
      <c r="M51" s="36">
        <f>-NA_monthly!M47+NA_monthly!L47</f>
        <v>0</v>
      </c>
      <c r="N51" s="36">
        <f>-NA_monthly!N47+NA_monthly!M47</f>
        <v>0</v>
      </c>
      <c r="O51" s="36">
        <f>-NA_monthly!O47+NA_monthly!N47</f>
        <v>0</v>
      </c>
      <c r="P51" s="36">
        <f>-NA_monthly!P47+NA_monthly!O47</f>
        <v>0</v>
      </c>
      <c r="Q51" s="36">
        <f>-NA_monthly!Q47+NA_monthly!P47</f>
        <v>224.92819</v>
      </c>
      <c r="R51" s="36">
        <f>-NA_monthly!R47+NA_monthly!Q47</f>
        <v>0</v>
      </c>
      <c r="S51" s="36">
        <f>-NA_monthly!S47+NA_monthly!R47</f>
        <v>0</v>
      </c>
      <c r="T51" s="36">
        <f>-NA_monthly!T47+NA_monthly!S47</f>
        <v>0</v>
      </c>
      <c r="U51" s="36">
        <f>-NA_monthly!U47+NA_monthly!T47</f>
        <v>0</v>
      </c>
      <c r="V51" s="36">
        <f>-NA_monthly!V47+NA_monthly!U47</f>
        <v>0</v>
      </c>
      <c r="W51" s="36">
        <f>-NA_monthly!W47+NA_monthly!V47</f>
        <v>0</v>
      </c>
      <c r="X51" s="36">
        <f>-NA_monthly!X47+NA_monthly!W47</f>
        <v>0</v>
      </c>
      <c r="Y51" s="36">
        <f>-NA_monthly!Y47+NA_monthly!X47</f>
        <v>0</v>
      </c>
      <c r="Z51" s="36">
        <f>-NA_monthly!Z47+NA_monthly!Y47</f>
        <v>0</v>
      </c>
      <c r="AA51" s="36">
        <f>-NA_monthly!AA47+NA_monthly!Z47</f>
        <v>0</v>
      </c>
      <c r="AB51" s="36">
        <f>-NA_monthly!AB47+NA_monthly!AA47</f>
        <v>0</v>
      </c>
      <c r="AC51" s="36">
        <f>-NA_monthly!AC47+NA_monthly!AB47</f>
        <v>0</v>
      </c>
      <c r="AD51" s="36">
        <f>-NA_monthly!AD47+NA_monthly!AC47</f>
        <v>0</v>
      </c>
      <c r="AE51" s="36">
        <f>-NA_monthly!AE47+NA_monthly!AD47</f>
        <v>0</v>
      </c>
      <c r="AF51" s="36">
        <f>-NA_monthly!AF47+NA_monthly!AE47</f>
        <v>-113.62819</v>
      </c>
      <c r="AG51" s="36">
        <f>-NA_monthly!AG47+NA_monthly!AF47</f>
        <v>-111.3</v>
      </c>
      <c r="AH51" s="36">
        <f>-NA_monthly!AH47+NA_monthly!AG47</f>
        <v>0</v>
      </c>
      <c r="AI51" s="36">
        <f>-NA_monthly!AI47+NA_monthly!AH47</f>
        <v>15.44608</v>
      </c>
      <c r="AJ51" s="36">
        <f>-NA_monthly!AJ47+NA_monthly!AI47</f>
        <v>0</v>
      </c>
      <c r="AK51" s="36">
        <f>-NA_monthly!AK47+NA_monthly!AJ47</f>
        <v>0</v>
      </c>
      <c r="AL51" s="36">
        <f>-NA_monthly!AL47+NA_monthly!AK47</f>
        <v>0</v>
      </c>
      <c r="AM51" s="36">
        <f>-NA_monthly!AM47+NA_monthly!AL47</f>
        <v>0</v>
      </c>
      <c r="AN51" s="36">
        <f>-NA_monthly!AN47+NA_monthly!AM47</f>
        <v>0</v>
      </c>
      <c r="AO51" s="36">
        <f>-NA_monthly!AO47+NA_monthly!AN47</f>
        <v>-15.44608</v>
      </c>
      <c r="AP51" s="36">
        <f>-NA_monthly!AP47+NA_monthly!AO47</f>
        <v>0</v>
      </c>
      <c r="AQ51" s="36">
        <f>-NA_monthly!AQ47+NA_monthly!AP47</f>
        <v>0</v>
      </c>
      <c r="AR51" s="36">
        <f>-NA_monthly!AR47+NA_monthly!AQ47</f>
        <v>0</v>
      </c>
      <c r="AS51" s="36">
        <f>-NA_monthly!AS47+NA_monthly!AR47</f>
        <v>0</v>
      </c>
      <c r="AT51" s="36">
        <f>-NA_monthly!AT47+NA_monthly!AS47</f>
        <v>0</v>
      </c>
      <c r="AU51" s="36">
        <f>-NA_monthly!AU47+NA_monthly!AT47</f>
        <v>0</v>
      </c>
      <c r="AV51" s="36">
        <f>-NA_monthly!AV47+NA_monthly!AU47</f>
        <v>0</v>
      </c>
      <c r="AW51" s="36">
        <f>-NA_monthly!AW47+NA_monthly!AV47</f>
        <v>0</v>
      </c>
      <c r="AX51" s="36">
        <f>-NA_monthly!AX47+NA_monthly!AW47</f>
        <v>0</v>
      </c>
      <c r="AY51" s="36">
        <f>-NA_monthly!AY47+NA_monthly!AX47</f>
        <v>0</v>
      </c>
      <c r="AZ51" s="36">
        <f>-NA_monthly!AZ47+NA_monthly!AY47</f>
        <v>0</v>
      </c>
      <c r="BA51" s="36">
        <f>-NA_monthly!BA47+NA_monthly!AZ47</f>
        <v>0</v>
      </c>
      <c r="BB51" s="36">
        <f>-NA_monthly!BB47+NA_monthly!BA47</f>
        <v>0</v>
      </c>
      <c r="BC51" s="36">
        <f>-NA_monthly!BC47+NA_monthly!BB47</f>
        <v>0</v>
      </c>
      <c r="BD51" s="36">
        <f>-NA_monthly!BD47+NA_monthly!BC47</f>
        <v>0</v>
      </c>
      <c r="BE51" s="36">
        <f>-NA_monthly!BE47+NA_monthly!BD47</f>
        <v>0</v>
      </c>
      <c r="BF51" s="36">
        <f>-NA_monthly!BF47+NA_monthly!BE47</f>
        <v>0</v>
      </c>
      <c r="BG51" s="36">
        <f>-NA_monthly!BG47+NA_monthly!BF47</f>
        <v>0</v>
      </c>
      <c r="BH51" s="36">
        <f>-NA_monthly!BH47+NA_monthly!BG47</f>
        <v>0</v>
      </c>
      <c r="BI51" s="36">
        <f>-NA_monthly!BI47+NA_monthly!BH47</f>
        <v>0</v>
      </c>
      <c r="BJ51" s="36">
        <f>-NA_monthly!BJ47+NA_monthly!BI47</f>
        <v>0</v>
      </c>
      <c r="BK51" s="36">
        <f>-NA_monthly!BK47+NA_monthly!BJ47</f>
        <v>0</v>
      </c>
      <c r="BL51" s="36">
        <f>-NA_monthly!BL47+NA_monthly!BK47</f>
        <v>0</v>
      </c>
      <c r="BM51" s="36">
        <f>-NA_monthly!BM47+NA_monthly!BL47</f>
        <v>0</v>
      </c>
      <c r="BN51" s="36">
        <f>-NA_monthly!BN47+NA_monthly!BM47</f>
        <v>0</v>
      </c>
      <c r="BO51" s="36">
        <f>-NA_monthly!BO47+NA_monthly!BN47</f>
        <v>0</v>
      </c>
      <c r="BP51" s="36">
        <f>-NA_monthly!BP47+NA_monthly!BO47</f>
        <v>0</v>
      </c>
      <c r="BQ51" s="36">
        <f>-NA_monthly!BQ47+NA_monthly!BP47</f>
        <v>0</v>
      </c>
      <c r="BR51" s="36">
        <f>-NA_monthly!BR47+NA_monthly!BQ47</f>
        <v>0</v>
      </c>
      <c r="BS51" s="36">
        <f>-NA_monthly!BS47+NA_monthly!BR47</f>
        <v>0</v>
      </c>
      <c r="BT51" s="36">
        <f>-NA_monthly!BT47+NA_monthly!BS47</f>
        <v>0</v>
      </c>
      <c r="BU51" s="36">
        <f>-NA_monthly!BU47+NA_monthly!BT47</f>
        <v>0</v>
      </c>
      <c r="BV51" s="36">
        <f>-NA_monthly!BV47+NA_monthly!BU47</f>
        <v>0</v>
      </c>
      <c r="BW51" s="36">
        <f>-NA_monthly!BW47+NA_monthly!BV47</f>
        <v>0</v>
      </c>
      <c r="BX51" s="36">
        <f>-NA_monthly!BX47+NA_monthly!BW47</f>
        <v>0</v>
      </c>
      <c r="BY51" s="36">
        <f>-NA_monthly!BY47+NA_monthly!BX47</f>
        <v>0</v>
      </c>
      <c r="BZ51" s="36">
        <f>-NA_monthly!BZ47+NA_monthly!BY47</f>
        <v>0</v>
      </c>
      <c r="CA51" s="36">
        <f>-NA_monthly!CA47+NA_monthly!BZ47</f>
        <v>0</v>
      </c>
      <c r="CB51" s="36">
        <f>-NA_monthly!CB47+NA_monthly!CA47</f>
        <v>0</v>
      </c>
      <c r="CC51" s="36">
        <f>-NA_monthly!CC47+NA_monthly!CB47</f>
        <v>0</v>
      </c>
      <c r="CD51" s="36">
        <f>-NA_monthly!CD47+NA_monthly!CC47</f>
        <v>0</v>
      </c>
      <c r="CE51" s="36">
        <f>-NA_monthly!CE47+NA_monthly!CD47</f>
        <v>0</v>
      </c>
      <c r="CF51" s="36">
        <f>-NA_monthly!CF47+NA_monthly!CE47</f>
        <v>0</v>
      </c>
      <c r="CG51" s="36">
        <f>-NA_monthly!CG47+NA_monthly!CF47</f>
        <v>0</v>
      </c>
      <c r="CH51" s="36">
        <f>-NA_monthly!CH47+NA_monthly!CG47</f>
        <v>0</v>
      </c>
      <c r="CI51" s="36">
        <f>-NA_monthly!CI47+NA_monthly!CH47</f>
        <v>0</v>
      </c>
      <c r="CJ51" s="36">
        <f>-NA_monthly!CJ47+NA_monthly!CI47</f>
        <v>0</v>
      </c>
      <c r="CK51" s="36">
        <f>-NA_monthly!CK47+NA_monthly!CJ47</f>
        <v>0</v>
      </c>
      <c r="CM51" s="1" t="s">
        <v>333</v>
      </c>
    </row>
    <row r="52" spans="3:91" ht="11.25" customHeight="1" x14ac:dyDescent="0.2">
      <c r="C52" s="37" t="str">
        <f>"∆ "&amp;'Lead NA'!C47</f>
        <v>∆ Dummy 1</v>
      </c>
      <c r="D52" s="37" t="str">
        <f>"∆ "&amp;'Lead NA'!D47</f>
        <v>∆ Other provisions</v>
      </c>
      <c r="E52" s="96"/>
      <c r="F52" s="96"/>
      <c r="G52" s="36">
        <f>-NA_monthly!G48+NA_monthly!F48</f>
        <v>0</v>
      </c>
      <c r="H52" s="36">
        <f>-NA_monthly!H48+NA_monthly!G48</f>
        <v>0</v>
      </c>
      <c r="I52" s="36">
        <f>-NA_monthly!I48+NA_monthly!H48</f>
        <v>0</v>
      </c>
      <c r="J52" s="36">
        <f>-NA_monthly!J48+NA_monthly!I48</f>
        <v>0</v>
      </c>
      <c r="K52" s="36">
        <f>-NA_monthly!K48+NA_monthly!J48</f>
        <v>0</v>
      </c>
      <c r="L52" s="36">
        <f>-NA_monthly!L48+NA_monthly!K48</f>
        <v>0</v>
      </c>
      <c r="M52" s="36">
        <f>-NA_monthly!M48+NA_monthly!L48</f>
        <v>0</v>
      </c>
      <c r="N52" s="36">
        <f>-NA_monthly!N48+NA_monthly!M48</f>
        <v>0</v>
      </c>
      <c r="O52" s="36">
        <f>-NA_monthly!O48+NA_monthly!N48</f>
        <v>0</v>
      </c>
      <c r="P52" s="36">
        <f>-NA_monthly!P48+NA_monthly!O48</f>
        <v>0</v>
      </c>
      <c r="Q52" s="36">
        <f>-NA_monthly!Q48+NA_monthly!P48</f>
        <v>0</v>
      </c>
      <c r="R52" s="36">
        <f>-NA_monthly!R48+NA_monthly!Q48</f>
        <v>0</v>
      </c>
      <c r="S52" s="36">
        <f>-NA_monthly!S48+NA_monthly!R48</f>
        <v>0</v>
      </c>
      <c r="T52" s="36">
        <f>-NA_monthly!T48+NA_monthly!S48</f>
        <v>0</v>
      </c>
      <c r="U52" s="36">
        <f>-NA_monthly!U48+NA_monthly!T48</f>
        <v>0</v>
      </c>
      <c r="V52" s="36">
        <f>-NA_monthly!V48+NA_monthly!U48</f>
        <v>0</v>
      </c>
      <c r="W52" s="36">
        <f>-NA_monthly!W48+NA_monthly!V48</f>
        <v>0</v>
      </c>
      <c r="X52" s="36">
        <f>-NA_monthly!X48+NA_monthly!W48</f>
        <v>0</v>
      </c>
      <c r="Y52" s="36">
        <f>-NA_monthly!Y48+NA_monthly!X48</f>
        <v>0</v>
      </c>
      <c r="Z52" s="36">
        <f>-NA_monthly!Z48+NA_monthly!Y48</f>
        <v>0</v>
      </c>
      <c r="AA52" s="36">
        <f>-NA_monthly!AA48+NA_monthly!Z48</f>
        <v>0</v>
      </c>
      <c r="AB52" s="36">
        <f>-NA_monthly!AB48+NA_monthly!AA48</f>
        <v>0</v>
      </c>
      <c r="AC52" s="36">
        <f>-NA_monthly!AC48+NA_monthly!AB48</f>
        <v>0</v>
      </c>
      <c r="AD52" s="36">
        <f>-NA_monthly!AD48+NA_monthly!AC48</f>
        <v>0</v>
      </c>
      <c r="AE52" s="36">
        <f>-NA_monthly!AE48+NA_monthly!AD48</f>
        <v>0</v>
      </c>
      <c r="AF52" s="36">
        <f>-NA_monthly!AF48+NA_monthly!AE48</f>
        <v>0</v>
      </c>
      <c r="AG52" s="36">
        <f>-NA_monthly!AG48+NA_monthly!AF48</f>
        <v>0</v>
      </c>
      <c r="AH52" s="36">
        <f>-NA_monthly!AH48+NA_monthly!AG48</f>
        <v>0</v>
      </c>
      <c r="AI52" s="36">
        <f>-NA_monthly!AI48+NA_monthly!AH48</f>
        <v>0</v>
      </c>
      <c r="AJ52" s="36">
        <f>-NA_monthly!AJ48+NA_monthly!AI48</f>
        <v>0</v>
      </c>
      <c r="AK52" s="36">
        <f>-NA_monthly!AK48+NA_monthly!AJ48</f>
        <v>0</v>
      </c>
      <c r="AL52" s="36">
        <f>-NA_monthly!AL48+NA_monthly!AK48</f>
        <v>0</v>
      </c>
      <c r="AM52" s="36">
        <f>-NA_monthly!AM48+NA_monthly!AL48</f>
        <v>0</v>
      </c>
      <c r="AN52" s="36">
        <f>-NA_monthly!AN48+NA_monthly!AM48</f>
        <v>0</v>
      </c>
      <c r="AO52" s="36">
        <f>-NA_monthly!AO48+NA_monthly!AN48</f>
        <v>0</v>
      </c>
      <c r="AP52" s="36">
        <f>-NA_monthly!AP48+NA_monthly!AO48</f>
        <v>0</v>
      </c>
      <c r="AQ52" s="36">
        <f>-NA_monthly!AQ48+NA_monthly!AP48</f>
        <v>0</v>
      </c>
      <c r="AR52" s="36">
        <f>-NA_monthly!AR48+NA_monthly!AQ48</f>
        <v>0</v>
      </c>
      <c r="AS52" s="36">
        <f>-NA_monthly!AS48+NA_monthly!AR48</f>
        <v>0</v>
      </c>
      <c r="AT52" s="36">
        <f>-NA_monthly!AT48+NA_monthly!AS48</f>
        <v>0</v>
      </c>
      <c r="AU52" s="36">
        <f>-NA_monthly!AU48+NA_monthly!AT48</f>
        <v>0</v>
      </c>
      <c r="AV52" s="36">
        <f>-NA_monthly!AV48+NA_monthly!AU48</f>
        <v>0</v>
      </c>
      <c r="AW52" s="36">
        <f>-NA_monthly!AW48+NA_monthly!AV48</f>
        <v>0</v>
      </c>
      <c r="AX52" s="36">
        <f>-NA_monthly!AX48+NA_monthly!AW48</f>
        <v>0</v>
      </c>
      <c r="AY52" s="36">
        <f>-NA_monthly!AY48+NA_monthly!AX48</f>
        <v>0</v>
      </c>
      <c r="AZ52" s="36">
        <f>-NA_monthly!AZ48+NA_monthly!AY48</f>
        <v>0</v>
      </c>
      <c r="BA52" s="36">
        <f>-NA_monthly!BA48+NA_monthly!AZ48</f>
        <v>0</v>
      </c>
      <c r="BB52" s="36">
        <f>-NA_monthly!BB48+NA_monthly!BA48</f>
        <v>0</v>
      </c>
      <c r="BC52" s="36">
        <f>-NA_monthly!BC48+NA_monthly!BB48</f>
        <v>0</v>
      </c>
      <c r="BD52" s="36">
        <f>-NA_monthly!BD48+NA_monthly!BC48</f>
        <v>0</v>
      </c>
      <c r="BE52" s="36">
        <f>-NA_monthly!BE48+NA_monthly!BD48</f>
        <v>0</v>
      </c>
      <c r="BF52" s="36">
        <f>-NA_monthly!BF48+NA_monthly!BE48</f>
        <v>0</v>
      </c>
      <c r="BG52" s="36">
        <f>-NA_monthly!BG48+NA_monthly!BF48</f>
        <v>0</v>
      </c>
      <c r="BH52" s="36">
        <f>-NA_monthly!BH48+NA_monthly!BG48</f>
        <v>0</v>
      </c>
      <c r="BI52" s="36">
        <f>-NA_monthly!BI48+NA_monthly!BH48</f>
        <v>0</v>
      </c>
      <c r="BJ52" s="36">
        <f>-NA_monthly!BJ48+NA_monthly!BI48</f>
        <v>0</v>
      </c>
      <c r="BK52" s="36">
        <f>-NA_monthly!BK48+NA_monthly!BJ48</f>
        <v>0</v>
      </c>
      <c r="BL52" s="36">
        <f>-NA_monthly!BL48+NA_monthly!BK48</f>
        <v>0</v>
      </c>
      <c r="BM52" s="36">
        <f>-NA_monthly!BM48+NA_monthly!BL48</f>
        <v>0</v>
      </c>
      <c r="BN52" s="36">
        <f>-NA_monthly!BN48+NA_monthly!BM48</f>
        <v>0</v>
      </c>
      <c r="BO52" s="36">
        <f>-NA_monthly!BO48+NA_monthly!BN48</f>
        <v>0</v>
      </c>
      <c r="BP52" s="36">
        <f>-NA_monthly!BP48+NA_monthly!BO48</f>
        <v>0</v>
      </c>
      <c r="BQ52" s="36">
        <f>-NA_monthly!BQ48+NA_monthly!BP48</f>
        <v>0</v>
      </c>
      <c r="BR52" s="36">
        <f>-NA_monthly!BR48+NA_monthly!BQ48</f>
        <v>0</v>
      </c>
      <c r="BS52" s="36">
        <f>-NA_monthly!BS48+NA_monthly!BR48</f>
        <v>0</v>
      </c>
      <c r="BT52" s="36">
        <f>-NA_monthly!BT48+NA_monthly!BS48</f>
        <v>0</v>
      </c>
      <c r="BU52" s="36">
        <f>-NA_monthly!BU48+NA_monthly!BT48</f>
        <v>0</v>
      </c>
      <c r="BV52" s="36">
        <f>-NA_monthly!BV48+NA_monthly!BU48</f>
        <v>0</v>
      </c>
      <c r="BW52" s="36">
        <f>-NA_monthly!BW48+NA_monthly!BV48</f>
        <v>0</v>
      </c>
      <c r="BX52" s="36">
        <f>-NA_monthly!BX48+NA_monthly!BW48</f>
        <v>0</v>
      </c>
      <c r="BY52" s="36">
        <f>-NA_monthly!BY48+NA_monthly!BX48</f>
        <v>0</v>
      </c>
      <c r="BZ52" s="36">
        <f>-NA_monthly!BZ48+NA_monthly!BY48</f>
        <v>0</v>
      </c>
      <c r="CA52" s="36">
        <f>-NA_monthly!CA48+NA_monthly!BZ48</f>
        <v>0</v>
      </c>
      <c r="CB52" s="36">
        <f>-NA_monthly!CB48+NA_monthly!CA48</f>
        <v>0</v>
      </c>
      <c r="CC52" s="36">
        <f>-NA_monthly!CC48+NA_monthly!CB48</f>
        <v>0</v>
      </c>
      <c r="CD52" s="36">
        <f>-NA_monthly!CD48+NA_monthly!CC48</f>
        <v>0</v>
      </c>
      <c r="CE52" s="36">
        <f>-NA_monthly!CE48+NA_monthly!CD48</f>
        <v>0</v>
      </c>
      <c r="CF52" s="36">
        <f>-NA_monthly!CF48+NA_monthly!CE48</f>
        <v>0</v>
      </c>
      <c r="CG52" s="36">
        <f>-NA_monthly!CG48+NA_monthly!CF48</f>
        <v>0</v>
      </c>
      <c r="CH52" s="36">
        <f>-NA_monthly!CH48+NA_monthly!CG48</f>
        <v>0</v>
      </c>
      <c r="CI52" s="36">
        <f>-NA_monthly!CI48+NA_monthly!CH48</f>
        <v>0</v>
      </c>
      <c r="CJ52" s="36">
        <f>-NA_monthly!CJ48+NA_monthly!CI48</f>
        <v>0</v>
      </c>
      <c r="CK52" s="36">
        <f>-NA_monthly!CK48+NA_monthly!CJ48</f>
        <v>0</v>
      </c>
      <c r="CM52" s="1" t="s">
        <v>333</v>
      </c>
    </row>
    <row r="53" spans="3:91" ht="11.25" customHeight="1" x14ac:dyDescent="0.2">
      <c r="C53" s="37" t="str">
        <f>"∆ "&amp;'Lead NA'!C48</f>
        <v>∆ Sonstige Wertpapiere</v>
      </c>
      <c r="D53" s="37" t="str">
        <f>"∆ "&amp;'Lead NA'!D48</f>
        <v>∆ Short-term securities</v>
      </c>
      <c r="E53" s="96"/>
      <c r="F53" s="96"/>
      <c r="G53" s="36">
        <f>-NA_monthly!G49+NA_monthly!F49</f>
        <v>0</v>
      </c>
      <c r="H53" s="36">
        <f>-NA_monthly!H49+NA_monthly!G49</f>
        <v>0</v>
      </c>
      <c r="I53" s="36">
        <f>-NA_monthly!I49+NA_monthly!H49</f>
        <v>0</v>
      </c>
      <c r="J53" s="36">
        <f>-NA_monthly!J49+NA_monthly!I49</f>
        <v>0</v>
      </c>
      <c r="K53" s="36">
        <f>-NA_monthly!K49+NA_monthly!J49</f>
        <v>0</v>
      </c>
      <c r="L53" s="36">
        <f>-NA_monthly!L49+NA_monthly!K49</f>
        <v>0</v>
      </c>
      <c r="M53" s="36">
        <f>-NA_monthly!M49+NA_monthly!L49</f>
        <v>0</v>
      </c>
      <c r="N53" s="36">
        <f>-NA_monthly!N49+NA_monthly!M49</f>
        <v>0</v>
      </c>
      <c r="O53" s="36">
        <f>-NA_monthly!O49+NA_monthly!N49</f>
        <v>0</v>
      </c>
      <c r="P53" s="36">
        <f>-NA_monthly!P49+NA_monthly!O49</f>
        <v>0</v>
      </c>
      <c r="Q53" s="36">
        <f>-NA_monthly!Q49+NA_monthly!P49</f>
        <v>0</v>
      </c>
      <c r="R53" s="36">
        <f>-NA_monthly!R49+NA_monthly!Q49</f>
        <v>0</v>
      </c>
      <c r="S53" s="36">
        <f>-NA_monthly!S49+NA_monthly!R49</f>
        <v>0</v>
      </c>
      <c r="T53" s="36">
        <f>-NA_monthly!T49+NA_monthly!S49</f>
        <v>0</v>
      </c>
      <c r="U53" s="36">
        <f>-NA_monthly!U49+NA_monthly!T49</f>
        <v>0</v>
      </c>
      <c r="V53" s="36">
        <f>-NA_monthly!V49+NA_monthly!U49</f>
        <v>0</v>
      </c>
      <c r="W53" s="36">
        <f>-NA_monthly!W49+NA_monthly!V49</f>
        <v>0</v>
      </c>
      <c r="X53" s="36">
        <f>-NA_monthly!X49+NA_monthly!W49</f>
        <v>0</v>
      </c>
      <c r="Y53" s="36">
        <f>-NA_monthly!Y49+NA_monthly!X49</f>
        <v>0</v>
      </c>
      <c r="Z53" s="36">
        <f>-NA_monthly!Z49+NA_monthly!Y49</f>
        <v>0</v>
      </c>
      <c r="AA53" s="36">
        <f>-NA_monthly!AA49+NA_monthly!Z49</f>
        <v>0</v>
      </c>
      <c r="AB53" s="36">
        <f>-NA_monthly!AB49+NA_monthly!AA49</f>
        <v>0</v>
      </c>
      <c r="AC53" s="36">
        <f>-NA_monthly!AC49+NA_monthly!AB49</f>
        <v>0</v>
      </c>
      <c r="AD53" s="36">
        <f>-NA_monthly!AD49+NA_monthly!AC49</f>
        <v>0</v>
      </c>
      <c r="AE53" s="36">
        <f>-NA_monthly!AE49+NA_monthly!AD49</f>
        <v>0</v>
      </c>
      <c r="AF53" s="36">
        <f>-NA_monthly!AF49+NA_monthly!AE49</f>
        <v>0</v>
      </c>
      <c r="AG53" s="36">
        <f>-NA_monthly!AG49+NA_monthly!AF49</f>
        <v>0</v>
      </c>
      <c r="AH53" s="36">
        <f>-NA_monthly!AH49+NA_monthly!AG49</f>
        <v>0</v>
      </c>
      <c r="AI53" s="36">
        <f>-NA_monthly!AI49+NA_monthly!AH49</f>
        <v>0</v>
      </c>
      <c r="AJ53" s="36">
        <f>-NA_monthly!AJ49+NA_monthly!AI49</f>
        <v>0</v>
      </c>
      <c r="AK53" s="36">
        <f>-NA_monthly!AK49+NA_monthly!AJ49</f>
        <v>0</v>
      </c>
      <c r="AL53" s="36">
        <f>-NA_monthly!AL49+NA_monthly!AK49</f>
        <v>0</v>
      </c>
      <c r="AM53" s="36">
        <f>-NA_monthly!AM49+NA_monthly!AL49</f>
        <v>-109.884</v>
      </c>
      <c r="AN53" s="36">
        <f>-NA_monthly!AN49+NA_monthly!AM49</f>
        <v>0</v>
      </c>
      <c r="AO53" s="36">
        <f>-NA_monthly!AO49+NA_monthly!AN49</f>
        <v>9.2250000000007049E-2</v>
      </c>
      <c r="AP53" s="36">
        <f>-NA_monthly!AP49+NA_monthly!AO49</f>
        <v>0</v>
      </c>
      <c r="AQ53" s="36">
        <f>-NA_monthly!AQ49+NA_monthly!AP49</f>
        <v>0</v>
      </c>
      <c r="AR53" s="36">
        <f>-NA_monthly!AR49+NA_monthly!AQ49</f>
        <v>31.233999999999995</v>
      </c>
      <c r="AS53" s="36">
        <f>-NA_monthly!AS49+NA_monthly!AR49</f>
        <v>0</v>
      </c>
      <c r="AT53" s="36">
        <f>-NA_monthly!AT49+NA_monthly!AS49</f>
        <v>0</v>
      </c>
      <c r="AU53" s="36">
        <f>-NA_monthly!AU49+NA_monthly!AT49</f>
        <v>-9.2250000000007049E-2</v>
      </c>
      <c r="AV53" s="36">
        <f>-NA_monthly!AV49+NA_monthly!AU49</f>
        <v>0</v>
      </c>
      <c r="AW53" s="36">
        <f>-NA_monthly!AW49+NA_monthly!AV49</f>
        <v>0</v>
      </c>
      <c r="AX53" s="36">
        <f>-NA_monthly!AX49+NA_monthly!AW49</f>
        <v>0</v>
      </c>
      <c r="AY53" s="36">
        <f>-NA_monthly!AY49+NA_monthly!AX49</f>
        <v>0</v>
      </c>
      <c r="AZ53" s="36">
        <f>-NA_monthly!AZ49+NA_monthly!AY49</f>
        <v>0</v>
      </c>
      <c r="BA53" s="36">
        <f>-NA_monthly!BA49+NA_monthly!AZ49</f>
        <v>78.650000000000006</v>
      </c>
      <c r="BB53" s="36">
        <f>-NA_monthly!BB49+NA_monthly!BA49</f>
        <v>0</v>
      </c>
      <c r="BC53" s="36">
        <f>-NA_monthly!BC49+NA_monthly!BB49</f>
        <v>0</v>
      </c>
      <c r="BD53" s="36">
        <f>-NA_monthly!BD49+NA_monthly!BC49</f>
        <v>0</v>
      </c>
      <c r="BE53" s="36">
        <f>-NA_monthly!BE49+NA_monthly!BD49</f>
        <v>0</v>
      </c>
      <c r="BF53" s="36">
        <f>-NA_monthly!BF49+NA_monthly!BE49</f>
        <v>0</v>
      </c>
      <c r="BG53" s="36">
        <f>-NA_monthly!BG49+NA_monthly!BF49</f>
        <v>0</v>
      </c>
      <c r="BH53" s="36">
        <f>-NA_monthly!BH49+NA_monthly!BG49</f>
        <v>0</v>
      </c>
      <c r="BI53" s="36">
        <f>-NA_monthly!BI49+NA_monthly!BH49</f>
        <v>0</v>
      </c>
      <c r="BJ53" s="36">
        <f>-NA_monthly!BJ49+NA_monthly!BI49</f>
        <v>0</v>
      </c>
      <c r="BK53" s="36">
        <f>-NA_monthly!BK49+NA_monthly!BJ49</f>
        <v>0</v>
      </c>
      <c r="BL53" s="36">
        <f>-NA_monthly!BL49+NA_monthly!BK49</f>
        <v>0</v>
      </c>
      <c r="BM53" s="36">
        <f>-NA_monthly!BM49+NA_monthly!BL49</f>
        <v>0</v>
      </c>
      <c r="BN53" s="36">
        <f>-NA_monthly!BN49+NA_monthly!BM49</f>
        <v>0</v>
      </c>
      <c r="BO53" s="36">
        <f>-NA_monthly!BO49+NA_monthly!BN49</f>
        <v>0</v>
      </c>
      <c r="BP53" s="36">
        <f>-NA_monthly!BP49+NA_monthly!BO49</f>
        <v>0</v>
      </c>
      <c r="BQ53" s="36">
        <f>-NA_monthly!BQ49+NA_monthly!BP49</f>
        <v>0</v>
      </c>
      <c r="BR53" s="36">
        <f>-NA_monthly!BR49+NA_monthly!BQ49</f>
        <v>0</v>
      </c>
      <c r="BS53" s="36">
        <f>-NA_monthly!BS49+NA_monthly!BR49</f>
        <v>0</v>
      </c>
      <c r="BT53" s="36">
        <f>-NA_monthly!BT49+NA_monthly!BS49</f>
        <v>0</v>
      </c>
      <c r="BU53" s="36">
        <f>-NA_monthly!BU49+NA_monthly!BT49</f>
        <v>0</v>
      </c>
      <c r="BV53" s="36">
        <f>-NA_monthly!BV49+NA_monthly!BU49</f>
        <v>0</v>
      </c>
      <c r="BW53" s="36">
        <f>-NA_monthly!BW49+NA_monthly!BV49</f>
        <v>0</v>
      </c>
      <c r="BX53" s="36">
        <f>-NA_monthly!BX49+NA_monthly!BW49</f>
        <v>0</v>
      </c>
      <c r="BY53" s="36">
        <f>-NA_monthly!BY49+NA_monthly!BX49</f>
        <v>0</v>
      </c>
      <c r="BZ53" s="36">
        <f>-NA_monthly!BZ49+NA_monthly!BY49</f>
        <v>0</v>
      </c>
      <c r="CA53" s="36">
        <f>-NA_monthly!CA49+NA_monthly!BZ49</f>
        <v>0</v>
      </c>
      <c r="CB53" s="36">
        <f>-NA_monthly!CB49+NA_monthly!CA49</f>
        <v>0</v>
      </c>
      <c r="CC53" s="36">
        <f>-NA_monthly!CC49+NA_monthly!CB49</f>
        <v>0</v>
      </c>
      <c r="CD53" s="36">
        <f>-NA_monthly!CD49+NA_monthly!CC49</f>
        <v>0</v>
      </c>
      <c r="CE53" s="36">
        <f>-NA_monthly!CE49+NA_monthly!CD49</f>
        <v>0</v>
      </c>
      <c r="CF53" s="36">
        <f>-NA_monthly!CF49+NA_monthly!CE49</f>
        <v>0</v>
      </c>
      <c r="CG53" s="36">
        <f>-NA_monthly!CG49+NA_monthly!CF49</f>
        <v>0</v>
      </c>
      <c r="CH53" s="36">
        <f>-NA_monthly!CH49+NA_monthly!CG49</f>
        <v>0</v>
      </c>
      <c r="CI53" s="36">
        <f>-NA_monthly!CI49+NA_monthly!CH49</f>
        <v>0</v>
      </c>
      <c r="CJ53" s="36">
        <f>-NA_monthly!CJ49+NA_monthly!CI49</f>
        <v>0</v>
      </c>
      <c r="CK53" s="36">
        <f>-NA_monthly!CK49+NA_monthly!CJ49</f>
        <v>0</v>
      </c>
      <c r="CM53" s="1" t="s">
        <v>333</v>
      </c>
    </row>
    <row r="54" spans="3:91" ht="11.25" customHeight="1" x14ac:dyDescent="0.2">
      <c r="C54" s="37" t="s">
        <v>341</v>
      </c>
      <c r="D54" s="37" t="s">
        <v>340</v>
      </c>
      <c r="E54" s="96"/>
      <c r="F54" s="9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c r="BU54" s="36"/>
      <c r="BV54" s="36"/>
      <c r="BW54" s="36"/>
      <c r="BX54" s="36"/>
      <c r="BY54" s="36"/>
      <c r="BZ54" s="36"/>
      <c r="CA54" s="36"/>
      <c r="CB54" s="36"/>
      <c r="CC54" s="36"/>
      <c r="CD54" s="36"/>
      <c r="CE54" s="36"/>
      <c r="CF54" s="36"/>
      <c r="CG54" s="36"/>
      <c r="CH54" s="36"/>
      <c r="CI54" s="36"/>
      <c r="CJ54" s="36"/>
      <c r="CK54" s="36"/>
    </row>
    <row r="55" spans="3:91" ht="11.65" customHeight="1" x14ac:dyDescent="0.2">
      <c r="C55" s="37" t="str">
        <f>'Lead PL'!C55</f>
        <v>Finanzergebnis</v>
      </c>
      <c r="D55" s="37" t="str">
        <f>'Lead PL'!D55</f>
        <v>Financial result</v>
      </c>
      <c r="E55" s="96"/>
      <c r="F55" s="96"/>
      <c r="G55" s="36">
        <f>PL_monthly!G46</f>
        <v>0</v>
      </c>
      <c r="H55" s="36">
        <f>PL_monthly!H46</f>
        <v>0</v>
      </c>
      <c r="I55" s="36">
        <f>PL_monthly!I46</f>
        <v>0</v>
      </c>
      <c r="J55" s="36">
        <f>PL_monthly!J46</f>
        <v>0</v>
      </c>
      <c r="K55" s="36">
        <f>PL_monthly!K46</f>
        <v>0</v>
      </c>
      <c r="L55" s="36">
        <f>PL_monthly!L46</f>
        <v>0</v>
      </c>
      <c r="M55" s="36">
        <f>PL_monthly!M46</f>
        <v>0</v>
      </c>
      <c r="N55" s="36">
        <f>PL_monthly!N46</f>
        <v>0</v>
      </c>
      <c r="O55" s="36">
        <f>PL_monthly!O46</f>
        <v>0</v>
      </c>
      <c r="P55" s="36">
        <f>PL_monthly!P46</f>
        <v>0</v>
      </c>
      <c r="Q55" s="36">
        <f>PL_monthly!Q46</f>
        <v>0</v>
      </c>
      <c r="R55" s="36">
        <f>PL_monthly!R46</f>
        <v>-0.12913999999999998</v>
      </c>
      <c r="S55" s="36">
        <f>PL_monthly!S46</f>
        <v>2.02</v>
      </c>
      <c r="T55" s="36">
        <f>PL_monthly!T46</f>
        <v>0</v>
      </c>
      <c r="U55" s="36">
        <f>PL_monthly!U46</f>
        <v>0</v>
      </c>
      <c r="V55" s="36">
        <f>PL_monthly!V46</f>
        <v>2.4</v>
      </c>
      <c r="W55" s="36">
        <f>PL_monthly!W46</f>
        <v>4.9999999999998934E-3</v>
      </c>
      <c r="X55" s="36">
        <f>PL_monthly!X46</f>
        <v>0</v>
      </c>
      <c r="Y55" s="36">
        <f>PL_monthly!Y46</f>
        <v>0</v>
      </c>
      <c r="Z55" s="36">
        <f>PL_monthly!Z46</f>
        <v>-7.2176200000000001</v>
      </c>
      <c r="AA55" s="36">
        <f>PL_monthly!AA46</f>
        <v>3.6566199999999998</v>
      </c>
      <c r="AB55" s="36">
        <f>PL_monthly!AB46</f>
        <v>0</v>
      </c>
      <c r="AC55" s="36">
        <f>PL_monthly!AC46</f>
        <v>-35.078499999999998</v>
      </c>
      <c r="AD55" s="36">
        <f>PL_monthly!AD46</f>
        <v>0</v>
      </c>
      <c r="AE55" s="36">
        <f>PL_monthly!AE46</f>
        <v>1.1000000000000001</v>
      </c>
      <c r="AF55" s="36">
        <f>PL_monthly!AF46</f>
        <v>9.6999999999999975E-2</v>
      </c>
      <c r="AG55" s="36">
        <f>PL_monthly!AG46</f>
        <v>1.8191599999999997</v>
      </c>
      <c r="AH55" s="36">
        <f>PL_monthly!AH46</f>
        <v>0.11000000000000032</v>
      </c>
      <c r="AI55" s="36">
        <f>PL_monthly!AI46</f>
        <v>6.2600000000001543E-3</v>
      </c>
      <c r="AJ55" s="36">
        <f>PL_monthly!AJ46</f>
        <v>0</v>
      </c>
      <c r="AK55" s="36">
        <f>PL_monthly!AK46</f>
        <v>0</v>
      </c>
      <c r="AL55" s="36">
        <f>PL_monthly!AL46</f>
        <v>0</v>
      </c>
      <c r="AM55" s="36">
        <f>PL_monthly!AM46</f>
        <v>0</v>
      </c>
      <c r="AN55" s="36">
        <f>PL_monthly!AN46</f>
        <v>0</v>
      </c>
      <c r="AO55" s="36">
        <f>PL_monthly!AO46</f>
        <v>-7.5775700000000006</v>
      </c>
      <c r="AP55" s="36">
        <f>PL_monthly!AP46</f>
        <v>0</v>
      </c>
      <c r="AQ55" s="36">
        <f>PL_monthly!AQ46</f>
        <v>0</v>
      </c>
      <c r="AR55" s="36">
        <f>PL_monthly!AR46</f>
        <v>1.21513</v>
      </c>
      <c r="AS55" s="36">
        <f>PL_monthly!AS46</f>
        <v>0.90000000000000013</v>
      </c>
      <c r="AT55" s="36">
        <f>PL_monthly!AT46</f>
        <v>0</v>
      </c>
      <c r="AU55" s="36">
        <f>PL_monthly!AU46</f>
        <v>-2.4309999999999846E-2</v>
      </c>
      <c r="AV55" s="36">
        <f>PL_monthly!AV46</f>
        <v>-5.2019999999999997E-2</v>
      </c>
      <c r="AW55" s="36">
        <f>PL_monthly!AW46</f>
        <v>0</v>
      </c>
      <c r="AX55" s="36">
        <f>PL_monthly!AX46</f>
        <v>-4.3990000000000001E-2</v>
      </c>
      <c r="AY55" s="36">
        <f>PL_monthly!AY46</f>
        <v>-1.3590000000000019E-2</v>
      </c>
      <c r="AZ55" s="36">
        <f>PL_monthly!AZ46</f>
        <v>0</v>
      </c>
      <c r="BA55" s="36">
        <f>PL_monthly!BA46</f>
        <v>-4.3302000000000005</v>
      </c>
      <c r="BB55" s="36">
        <f>PL_monthly!BB46</f>
        <v>0</v>
      </c>
      <c r="BC55" s="36">
        <f>PL_monthly!BC46</f>
        <v>0</v>
      </c>
      <c r="BD55" s="36">
        <f>PL_monthly!BD46</f>
        <v>0</v>
      </c>
      <c r="BE55" s="36">
        <f>PL_monthly!BE46</f>
        <v>0</v>
      </c>
      <c r="BF55" s="36">
        <f>PL_monthly!BF46</f>
        <v>0</v>
      </c>
      <c r="BG55" s="36">
        <f>PL_monthly!BG46</f>
        <v>0</v>
      </c>
      <c r="BH55" s="36">
        <f>PL_monthly!BH46</f>
        <v>0</v>
      </c>
      <c r="BI55" s="36">
        <f>PL_monthly!BI46</f>
        <v>0</v>
      </c>
      <c r="BJ55" s="36">
        <f>PL_monthly!BJ46</f>
        <v>0</v>
      </c>
      <c r="BK55" s="36">
        <f>PL_monthly!BK46</f>
        <v>0</v>
      </c>
      <c r="BL55" s="36">
        <f>PL_monthly!BL46</f>
        <v>0</v>
      </c>
      <c r="BM55" s="36">
        <f>PL_monthly!BM46</f>
        <v>0</v>
      </c>
      <c r="BN55" s="36">
        <f>PL_monthly!BN46</f>
        <v>0</v>
      </c>
      <c r="BO55" s="36">
        <f>PL_monthly!BO46</f>
        <v>0</v>
      </c>
      <c r="BP55" s="36">
        <f>PL_monthly!BP46</f>
        <v>0</v>
      </c>
      <c r="BQ55" s="36">
        <f>PL_monthly!BQ46</f>
        <v>0</v>
      </c>
      <c r="BR55" s="36">
        <f>PL_monthly!BR46</f>
        <v>0</v>
      </c>
      <c r="BS55" s="36">
        <f>PL_monthly!BS46</f>
        <v>0</v>
      </c>
      <c r="BT55" s="36">
        <f>PL_monthly!BT46</f>
        <v>0</v>
      </c>
      <c r="BU55" s="36">
        <f>PL_monthly!BU46</f>
        <v>0</v>
      </c>
      <c r="BV55" s="36">
        <f>PL_monthly!BV46</f>
        <v>0</v>
      </c>
      <c r="BW55" s="36">
        <f>PL_monthly!BW46</f>
        <v>0</v>
      </c>
      <c r="BX55" s="36">
        <f>PL_monthly!BX46</f>
        <v>0</v>
      </c>
      <c r="BY55" s="36">
        <f>PL_monthly!BY46</f>
        <v>0</v>
      </c>
      <c r="BZ55" s="36">
        <f>PL_monthly!BZ46</f>
        <v>0</v>
      </c>
      <c r="CA55" s="36">
        <f>PL_monthly!CA46</f>
        <v>0</v>
      </c>
      <c r="CB55" s="36">
        <f>PL_monthly!CB46</f>
        <v>0</v>
      </c>
      <c r="CC55" s="36">
        <f>PL_monthly!CC46</f>
        <v>0</v>
      </c>
      <c r="CD55" s="36">
        <f>PL_monthly!CD46</f>
        <v>0</v>
      </c>
      <c r="CE55" s="36">
        <f>PL_monthly!CE46</f>
        <v>0</v>
      </c>
      <c r="CF55" s="36">
        <f>PL_monthly!CF46</f>
        <v>0</v>
      </c>
      <c r="CG55" s="36">
        <f>PL_monthly!CG46</f>
        <v>0</v>
      </c>
      <c r="CH55" s="36">
        <f>PL_monthly!CH46</f>
        <v>0</v>
      </c>
      <c r="CI55" s="36">
        <f>PL_monthly!CI46</f>
        <v>0</v>
      </c>
      <c r="CJ55" s="36">
        <f>PL_monthly!CJ46</f>
        <v>0</v>
      </c>
      <c r="CK55" s="36">
        <f>PL_monthly!CK46</f>
        <v>0</v>
      </c>
    </row>
    <row r="56" spans="3:91" ht="11.25" customHeight="1" x14ac:dyDescent="0.2">
      <c r="C56" s="42" t="s">
        <v>275</v>
      </c>
      <c r="D56" s="42" t="s">
        <v>274</v>
      </c>
      <c r="E56" s="136"/>
      <c r="F56" s="136">
        <f>NA_monthly!F61</f>
        <v>0</v>
      </c>
      <c r="G56" s="127">
        <f>NA_monthly!G61</f>
        <v>0</v>
      </c>
      <c r="H56" s="127">
        <f>NA_monthly!H61</f>
        <v>0</v>
      </c>
      <c r="I56" s="127">
        <f>NA_monthly!I61</f>
        <v>0</v>
      </c>
      <c r="J56" s="127">
        <f>NA_monthly!J61</f>
        <v>0</v>
      </c>
      <c r="K56" s="127">
        <f>NA_monthly!K61</f>
        <v>0</v>
      </c>
      <c r="L56" s="127">
        <f>NA_monthly!L61</f>
        <v>0</v>
      </c>
      <c r="M56" s="127">
        <f>NA_monthly!M61</f>
        <v>0</v>
      </c>
      <c r="N56" s="127">
        <f>NA_monthly!N61</f>
        <v>0</v>
      </c>
      <c r="O56" s="127">
        <f>NA_monthly!O61</f>
        <v>0</v>
      </c>
      <c r="P56" s="127">
        <f>NA_monthly!P61</f>
        <v>0</v>
      </c>
      <c r="Q56" s="127">
        <f>NA_monthly!Q61</f>
        <v>0</v>
      </c>
      <c r="R56" s="127">
        <f>NA_monthly!R61</f>
        <v>0</v>
      </c>
      <c r="S56" s="127">
        <f>NA_monthly!S61</f>
        <v>0</v>
      </c>
      <c r="T56" s="127">
        <f>NA_monthly!T61</f>
        <v>0</v>
      </c>
      <c r="U56" s="127">
        <f>NA_monthly!U61</f>
        <v>0</v>
      </c>
      <c r="V56" s="127">
        <f>NA_monthly!V61</f>
        <v>0</v>
      </c>
      <c r="W56" s="127">
        <f>NA_monthly!W61</f>
        <v>0</v>
      </c>
      <c r="X56" s="127">
        <f>NA_monthly!X61</f>
        <v>0</v>
      </c>
      <c r="Y56" s="127">
        <f>NA_monthly!Y61</f>
        <v>0</v>
      </c>
      <c r="Z56" s="127">
        <f>NA_monthly!Z61</f>
        <v>0</v>
      </c>
      <c r="AA56" s="127">
        <f>NA_monthly!AA61</f>
        <v>0</v>
      </c>
      <c r="AB56" s="127">
        <f>NA_monthly!AB61</f>
        <v>0</v>
      </c>
      <c r="AC56" s="127">
        <f>NA_monthly!AC61</f>
        <v>0</v>
      </c>
      <c r="AD56" s="127">
        <f>NA_monthly!AD61</f>
        <v>0</v>
      </c>
      <c r="AE56" s="127">
        <f>NA_monthly!AE61</f>
        <v>0</v>
      </c>
      <c r="AF56" s="127">
        <f>NA_monthly!AF61</f>
        <v>0</v>
      </c>
      <c r="AG56" s="127">
        <f>NA_monthly!AG61</f>
        <v>0</v>
      </c>
      <c r="AH56" s="127">
        <f>NA_monthly!AH61</f>
        <v>0</v>
      </c>
      <c r="AI56" s="127">
        <f>NA_monthly!AI61</f>
        <v>0</v>
      </c>
      <c r="AJ56" s="127">
        <f>NA_monthly!AJ61</f>
        <v>0</v>
      </c>
      <c r="AK56" s="127">
        <f>NA_monthly!AK61</f>
        <v>0</v>
      </c>
      <c r="AL56" s="127">
        <f>NA_monthly!AL61</f>
        <v>0</v>
      </c>
      <c r="AM56" s="127">
        <f>NA_monthly!AM61</f>
        <v>0</v>
      </c>
      <c r="AN56" s="127">
        <f>NA_monthly!AN61</f>
        <v>0</v>
      </c>
      <c r="AO56" s="127">
        <f>NA_monthly!AO61</f>
        <v>0</v>
      </c>
      <c r="AP56" s="127">
        <f>NA_monthly!AP61</f>
        <v>0</v>
      </c>
      <c r="AQ56" s="127">
        <f>NA_monthly!AQ61</f>
        <v>0</v>
      </c>
      <c r="AR56" s="127">
        <f>NA_monthly!AR61</f>
        <v>0</v>
      </c>
      <c r="AS56" s="127">
        <f>NA_monthly!AS61</f>
        <v>0</v>
      </c>
      <c r="AT56" s="127">
        <f>NA_monthly!AT61</f>
        <v>0</v>
      </c>
      <c r="AU56" s="127">
        <f>NA_monthly!AU61</f>
        <v>0</v>
      </c>
      <c r="AV56" s="127">
        <f>NA_monthly!AV61</f>
        <v>0</v>
      </c>
      <c r="AW56" s="127">
        <f>NA_monthly!AW61</f>
        <v>0</v>
      </c>
      <c r="AX56" s="127">
        <f>NA_monthly!AX61</f>
        <v>0</v>
      </c>
      <c r="AY56" s="127">
        <f>NA_monthly!AY61</f>
        <v>0</v>
      </c>
      <c r="AZ56" s="127">
        <f>NA_monthly!AZ61</f>
        <v>0</v>
      </c>
      <c r="BA56" s="127">
        <f>NA_monthly!BA61</f>
        <v>0</v>
      </c>
      <c r="BB56" s="127">
        <f>NA_monthly!BB61</f>
        <v>0</v>
      </c>
      <c r="BC56" s="127">
        <f>NA_monthly!BC61</f>
        <v>0</v>
      </c>
      <c r="BD56" s="127">
        <f>NA_monthly!BD61</f>
        <v>0</v>
      </c>
      <c r="BE56" s="127">
        <f>NA_monthly!BE61</f>
        <v>0</v>
      </c>
      <c r="BF56" s="127">
        <f>NA_monthly!BF61</f>
        <v>0</v>
      </c>
      <c r="BG56" s="127">
        <f>NA_monthly!BG61</f>
        <v>0</v>
      </c>
      <c r="BH56" s="127">
        <f>NA_monthly!BH61</f>
        <v>0</v>
      </c>
      <c r="BI56" s="127">
        <f>NA_monthly!BI61</f>
        <v>0</v>
      </c>
      <c r="BJ56" s="127">
        <f>NA_monthly!BJ61</f>
        <v>0</v>
      </c>
      <c r="BK56" s="127">
        <f>NA_monthly!BK61</f>
        <v>0</v>
      </c>
      <c r="BL56" s="127">
        <f>NA_monthly!BL61</f>
        <v>0</v>
      </c>
      <c r="BM56" s="127">
        <f>NA_monthly!BM61</f>
        <v>0</v>
      </c>
      <c r="BN56" s="127">
        <f>NA_monthly!BN61</f>
        <v>0</v>
      </c>
      <c r="BO56" s="127">
        <f>NA_monthly!BO61</f>
        <v>0</v>
      </c>
      <c r="BP56" s="127">
        <f>NA_monthly!BP61</f>
        <v>0</v>
      </c>
      <c r="BQ56" s="127">
        <f>NA_monthly!BQ61</f>
        <v>0</v>
      </c>
      <c r="BR56" s="127">
        <f>NA_monthly!BR61</f>
        <v>0</v>
      </c>
      <c r="BS56" s="127">
        <f>NA_monthly!BS61</f>
        <v>0</v>
      </c>
      <c r="BT56" s="127">
        <f>NA_monthly!BT61</f>
        <v>0</v>
      </c>
      <c r="BU56" s="127">
        <f>NA_monthly!BU61</f>
        <v>0</v>
      </c>
      <c r="BV56" s="127">
        <f>NA_monthly!BV61</f>
        <v>0</v>
      </c>
      <c r="BW56" s="127">
        <f>NA_monthly!BW61</f>
        <v>0</v>
      </c>
      <c r="BX56" s="127">
        <f>NA_monthly!BX61</f>
        <v>0</v>
      </c>
      <c r="BY56" s="127">
        <f>NA_monthly!BY61</f>
        <v>0</v>
      </c>
      <c r="BZ56" s="127">
        <f>NA_monthly!BZ61</f>
        <v>0</v>
      </c>
      <c r="CA56" s="127">
        <f>NA_monthly!CA61</f>
        <v>0</v>
      </c>
      <c r="CB56" s="127">
        <f>NA_monthly!CB61</f>
        <v>0</v>
      </c>
      <c r="CC56" s="127">
        <f>NA_monthly!CC61</f>
        <v>0</v>
      </c>
      <c r="CD56" s="127">
        <f>NA_monthly!CD61</f>
        <v>0</v>
      </c>
      <c r="CE56" s="127">
        <f>NA_monthly!CE61</f>
        <v>0</v>
      </c>
      <c r="CF56" s="127">
        <f>NA_monthly!CF61</f>
        <v>0</v>
      </c>
      <c r="CG56" s="127">
        <f>NA_monthly!CG61</f>
        <v>0</v>
      </c>
      <c r="CH56" s="127">
        <f>NA_monthly!CH61</f>
        <v>0</v>
      </c>
      <c r="CI56" s="127">
        <f>NA_monthly!CI61</f>
        <v>0</v>
      </c>
      <c r="CJ56" s="127">
        <f>NA_monthly!CJ61</f>
        <v>0</v>
      </c>
      <c r="CK56" s="127">
        <f>NA_monthly!CK61</f>
        <v>0</v>
      </c>
    </row>
    <row r="57" spans="3:91" ht="11.25" customHeight="1" x14ac:dyDescent="0.2">
      <c r="C57" s="141" t="s">
        <v>339</v>
      </c>
      <c r="D57" s="141" t="s">
        <v>338</v>
      </c>
      <c r="E57" s="178"/>
      <c r="F57" s="178">
        <f t="shared" ref="F57:BQ57" si="10">SUM(F49:F56)</f>
        <v>0</v>
      </c>
      <c r="G57" s="141">
        <f t="shared" si="10"/>
        <v>0</v>
      </c>
      <c r="H57" s="141">
        <f t="shared" si="10"/>
        <v>0</v>
      </c>
      <c r="I57" s="141">
        <f t="shared" si="10"/>
        <v>0</v>
      </c>
      <c r="J57" s="141">
        <f t="shared" si="10"/>
        <v>0</v>
      </c>
      <c r="K57" s="141">
        <f t="shared" si="10"/>
        <v>0</v>
      </c>
      <c r="L57" s="141">
        <f t="shared" si="10"/>
        <v>0</v>
      </c>
      <c r="M57" s="141">
        <f t="shared" si="10"/>
        <v>0</v>
      </c>
      <c r="N57" s="141">
        <f t="shared" si="10"/>
        <v>0</v>
      </c>
      <c r="O57" s="141">
        <f t="shared" si="10"/>
        <v>0</v>
      </c>
      <c r="P57" s="141">
        <f t="shared" si="10"/>
        <v>0</v>
      </c>
      <c r="Q57" s="141">
        <f t="shared" si="10"/>
        <v>426.40418999999997</v>
      </c>
      <c r="R57" s="141">
        <f t="shared" si="10"/>
        <v>-0.12913999999999998</v>
      </c>
      <c r="S57" s="141">
        <f t="shared" si="10"/>
        <v>2.02</v>
      </c>
      <c r="T57" s="141">
        <f t="shared" si="10"/>
        <v>0</v>
      </c>
      <c r="U57" s="141">
        <f t="shared" si="10"/>
        <v>0</v>
      </c>
      <c r="V57" s="141">
        <f t="shared" si="10"/>
        <v>2.4</v>
      </c>
      <c r="W57" s="141">
        <f t="shared" si="10"/>
        <v>4.9999999999998934E-3</v>
      </c>
      <c r="X57" s="141">
        <f t="shared" si="10"/>
        <v>0</v>
      </c>
      <c r="Y57" s="141">
        <f t="shared" si="10"/>
        <v>0</v>
      </c>
      <c r="Z57" s="141">
        <f t="shared" si="10"/>
        <v>-16.591619999999995</v>
      </c>
      <c r="AA57" s="141">
        <f t="shared" si="10"/>
        <v>3.6566199999999998</v>
      </c>
      <c r="AB57" s="141">
        <f t="shared" si="10"/>
        <v>0</v>
      </c>
      <c r="AC57" s="141">
        <f t="shared" si="10"/>
        <v>-35.078499999999998</v>
      </c>
      <c r="AD57" s="141">
        <f t="shared" si="10"/>
        <v>0</v>
      </c>
      <c r="AE57" s="141">
        <f t="shared" si="10"/>
        <v>1.1000000000000001</v>
      </c>
      <c r="AF57" s="141">
        <f t="shared" si="10"/>
        <v>-113.53119000000001</v>
      </c>
      <c r="AG57" s="141">
        <f t="shared" si="10"/>
        <v>-109.48084</v>
      </c>
      <c r="AH57" s="141">
        <f t="shared" si="10"/>
        <v>0.11000000000000032</v>
      </c>
      <c r="AI57" s="141">
        <f t="shared" si="10"/>
        <v>15.45234</v>
      </c>
      <c r="AJ57" s="141">
        <f t="shared" si="10"/>
        <v>0</v>
      </c>
      <c r="AK57" s="141">
        <f t="shared" si="10"/>
        <v>0</v>
      </c>
      <c r="AL57" s="141">
        <f t="shared" si="10"/>
        <v>0</v>
      </c>
      <c r="AM57" s="141">
        <f t="shared" si="10"/>
        <v>-109.884</v>
      </c>
      <c r="AN57" s="141">
        <f t="shared" si="10"/>
        <v>0</v>
      </c>
      <c r="AO57" s="141">
        <f t="shared" si="10"/>
        <v>-32.630400000000009</v>
      </c>
      <c r="AP57" s="141">
        <f t="shared" si="10"/>
        <v>0</v>
      </c>
      <c r="AQ57" s="141">
        <f t="shared" si="10"/>
        <v>0</v>
      </c>
      <c r="AR57" s="141">
        <f t="shared" si="10"/>
        <v>32.449129999999997</v>
      </c>
      <c r="AS57" s="141">
        <f t="shared" si="10"/>
        <v>0.90000000000000013</v>
      </c>
      <c r="AT57" s="141">
        <f t="shared" si="10"/>
        <v>0</v>
      </c>
      <c r="AU57" s="141">
        <f t="shared" si="10"/>
        <v>3.5834399999999933</v>
      </c>
      <c r="AV57" s="141">
        <f t="shared" si="10"/>
        <v>4.6479800000000004</v>
      </c>
      <c r="AW57" s="141">
        <f t="shared" si="10"/>
        <v>0</v>
      </c>
      <c r="AX57" s="141">
        <f t="shared" si="10"/>
        <v>10.981009999999999</v>
      </c>
      <c r="AY57" s="141">
        <f t="shared" si="10"/>
        <v>-1.3590000000000019E-2</v>
      </c>
      <c r="AZ57" s="141">
        <f t="shared" si="10"/>
        <v>0</v>
      </c>
      <c r="BA57" s="141">
        <f t="shared" si="10"/>
        <v>63.659800000000011</v>
      </c>
      <c r="BB57" s="141">
        <f t="shared" si="10"/>
        <v>-191.16800000000001</v>
      </c>
      <c r="BC57" s="141">
        <f t="shared" si="10"/>
        <v>0</v>
      </c>
      <c r="BD57" s="141">
        <f t="shared" si="10"/>
        <v>0</v>
      </c>
      <c r="BE57" s="141">
        <f t="shared" si="10"/>
        <v>0</v>
      </c>
      <c r="BF57" s="141">
        <f t="shared" si="10"/>
        <v>0</v>
      </c>
      <c r="BG57" s="141">
        <f t="shared" si="10"/>
        <v>0</v>
      </c>
      <c r="BH57" s="141">
        <f t="shared" si="10"/>
        <v>0</v>
      </c>
      <c r="BI57" s="141">
        <f t="shared" si="10"/>
        <v>0</v>
      </c>
      <c r="BJ57" s="141">
        <f t="shared" si="10"/>
        <v>0</v>
      </c>
      <c r="BK57" s="141">
        <f t="shared" si="10"/>
        <v>0</v>
      </c>
      <c r="BL57" s="141">
        <f t="shared" si="10"/>
        <v>0</v>
      </c>
      <c r="BM57" s="141">
        <f t="shared" si="10"/>
        <v>0</v>
      </c>
      <c r="BN57" s="141">
        <f t="shared" si="10"/>
        <v>0</v>
      </c>
      <c r="BO57" s="141">
        <f t="shared" si="10"/>
        <v>0</v>
      </c>
      <c r="BP57" s="141">
        <f t="shared" si="10"/>
        <v>0</v>
      </c>
      <c r="BQ57" s="141">
        <f t="shared" si="10"/>
        <v>0</v>
      </c>
      <c r="BR57" s="141">
        <f t="shared" ref="BR57:CK57" si="11">SUM(BR49:BR56)</f>
        <v>0</v>
      </c>
      <c r="BS57" s="141">
        <f t="shared" si="11"/>
        <v>0</v>
      </c>
      <c r="BT57" s="141">
        <f t="shared" si="11"/>
        <v>0</v>
      </c>
      <c r="BU57" s="141">
        <f t="shared" si="11"/>
        <v>0</v>
      </c>
      <c r="BV57" s="141">
        <f t="shared" si="11"/>
        <v>0</v>
      </c>
      <c r="BW57" s="141">
        <f t="shared" si="11"/>
        <v>0</v>
      </c>
      <c r="BX57" s="141">
        <f t="shared" si="11"/>
        <v>0</v>
      </c>
      <c r="BY57" s="141">
        <f t="shared" si="11"/>
        <v>0</v>
      </c>
      <c r="BZ57" s="141">
        <f t="shared" si="11"/>
        <v>0</v>
      </c>
      <c r="CA57" s="141">
        <f t="shared" si="11"/>
        <v>0</v>
      </c>
      <c r="CB57" s="141">
        <f t="shared" si="11"/>
        <v>0</v>
      </c>
      <c r="CC57" s="141">
        <f t="shared" si="11"/>
        <v>0</v>
      </c>
      <c r="CD57" s="141">
        <f t="shared" si="11"/>
        <v>0</v>
      </c>
      <c r="CE57" s="141">
        <f t="shared" si="11"/>
        <v>0</v>
      </c>
      <c r="CF57" s="141">
        <f t="shared" si="11"/>
        <v>0</v>
      </c>
      <c r="CG57" s="141">
        <f t="shared" si="11"/>
        <v>0</v>
      </c>
      <c r="CH57" s="141">
        <f t="shared" si="11"/>
        <v>0</v>
      </c>
      <c r="CI57" s="141">
        <f t="shared" si="11"/>
        <v>0</v>
      </c>
      <c r="CJ57" s="141">
        <f t="shared" si="11"/>
        <v>0</v>
      </c>
      <c r="CK57" s="141">
        <f t="shared" si="11"/>
        <v>0</v>
      </c>
    </row>
    <row r="58" spans="3:91" ht="4.5" customHeight="1" x14ac:dyDescent="0.2">
      <c r="C58" s="144"/>
      <c r="D58" s="144"/>
      <c r="E58" s="96"/>
      <c r="F58" s="96"/>
      <c r="G58" s="144"/>
      <c r="H58" s="144"/>
      <c r="I58" s="144"/>
      <c r="J58" s="144"/>
      <c r="K58" s="144"/>
      <c r="L58" s="144"/>
      <c r="M58" s="144"/>
      <c r="N58" s="144"/>
      <c r="O58" s="144"/>
      <c r="P58" s="144"/>
      <c r="Q58" s="144"/>
      <c r="R58" s="144"/>
      <c r="S58" s="144"/>
      <c r="T58" s="144"/>
      <c r="U58" s="144"/>
      <c r="V58" s="144"/>
      <c r="W58" s="144"/>
      <c r="X58" s="144"/>
      <c r="Y58" s="144"/>
      <c r="Z58" s="144"/>
      <c r="AA58" s="144"/>
      <c r="AB58" s="144"/>
      <c r="AC58" s="144"/>
      <c r="AD58" s="144"/>
      <c r="AE58" s="144"/>
      <c r="AF58" s="144"/>
      <c r="AG58" s="144"/>
      <c r="AH58" s="144"/>
      <c r="AI58" s="144"/>
      <c r="AJ58" s="144"/>
      <c r="AK58" s="144"/>
      <c r="AL58" s="144"/>
      <c r="AM58" s="144"/>
      <c r="AN58" s="144"/>
      <c r="AO58" s="144"/>
      <c r="AP58" s="144"/>
      <c r="AQ58" s="144"/>
      <c r="AR58" s="144"/>
      <c r="AS58" s="144"/>
      <c r="AT58" s="144"/>
      <c r="AU58" s="144"/>
      <c r="AV58" s="144"/>
      <c r="AW58" s="144"/>
      <c r="AX58" s="144"/>
      <c r="AY58" s="144"/>
      <c r="AZ58" s="144"/>
      <c r="BA58" s="144"/>
      <c r="BB58" s="144"/>
      <c r="BC58" s="144"/>
      <c r="BD58" s="144"/>
      <c r="BE58" s="144"/>
      <c r="BF58" s="144"/>
      <c r="BG58" s="144"/>
      <c r="BH58" s="144"/>
      <c r="BI58" s="144"/>
      <c r="BJ58" s="144"/>
      <c r="BK58" s="144"/>
      <c r="BL58" s="144"/>
      <c r="BM58" s="144"/>
      <c r="BN58" s="144"/>
      <c r="BO58" s="144"/>
      <c r="BP58" s="144"/>
      <c r="BQ58" s="144"/>
      <c r="BR58" s="144"/>
      <c r="BS58" s="144"/>
      <c r="BT58" s="144"/>
      <c r="BU58" s="144"/>
      <c r="BV58" s="144"/>
      <c r="BW58" s="144"/>
      <c r="BX58" s="144"/>
      <c r="BY58" s="144"/>
      <c r="BZ58" s="144"/>
      <c r="CA58" s="144"/>
      <c r="CB58" s="144"/>
      <c r="CC58" s="144"/>
      <c r="CD58" s="144"/>
      <c r="CE58" s="144"/>
      <c r="CF58" s="144"/>
      <c r="CG58" s="144"/>
      <c r="CH58" s="144"/>
      <c r="CI58" s="144"/>
      <c r="CJ58" s="144"/>
      <c r="CK58" s="144"/>
    </row>
    <row r="59" spans="3:91" ht="4.5" customHeight="1" x14ac:dyDescent="0.2">
      <c r="C59" s="42"/>
      <c r="D59" s="42"/>
      <c r="E59" s="136"/>
      <c r="F59" s="136"/>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c r="BX59" s="127"/>
      <c r="BY59" s="127"/>
      <c r="BZ59" s="127"/>
      <c r="CA59" s="127"/>
      <c r="CB59" s="127"/>
      <c r="CC59" s="127"/>
      <c r="CD59" s="127"/>
      <c r="CE59" s="127"/>
      <c r="CF59" s="127"/>
      <c r="CG59" s="127"/>
      <c r="CH59" s="127"/>
      <c r="CI59" s="127"/>
      <c r="CJ59" s="127"/>
      <c r="CK59" s="127"/>
    </row>
    <row r="60" spans="3:91" ht="11.25" customHeight="1" x14ac:dyDescent="0.2">
      <c r="C60" s="174" t="s">
        <v>337</v>
      </c>
      <c r="D60" s="174" t="s">
        <v>336</v>
      </c>
      <c r="E60" s="136"/>
      <c r="F60" s="136">
        <f>SUM(F47,F57)</f>
        <v>0</v>
      </c>
      <c r="G60" s="172">
        <f t="shared" ref="G60:BR60" si="12">SUM(G47,G57)</f>
        <v>0</v>
      </c>
      <c r="H60" s="172">
        <f t="shared" si="12"/>
        <v>0</v>
      </c>
      <c r="I60" s="172">
        <f t="shared" si="12"/>
        <v>0</v>
      </c>
      <c r="J60" s="172">
        <f t="shared" si="12"/>
        <v>0</v>
      </c>
      <c r="K60" s="172">
        <f t="shared" si="12"/>
        <v>0</v>
      </c>
      <c r="L60" s="172">
        <f t="shared" si="12"/>
        <v>0</v>
      </c>
      <c r="M60" s="172">
        <f t="shared" si="12"/>
        <v>0</v>
      </c>
      <c r="N60" s="172">
        <f t="shared" si="12"/>
        <v>0</v>
      </c>
      <c r="O60" s="172">
        <f t="shared" si="12"/>
        <v>0</v>
      </c>
      <c r="P60" s="172">
        <f t="shared" si="12"/>
        <v>0</v>
      </c>
      <c r="Q60" s="172">
        <f t="shared" si="12"/>
        <v>-4600.3859499999999</v>
      </c>
      <c r="R60" s="172">
        <f t="shared" si="12"/>
        <v>10.086259999999577</v>
      </c>
      <c r="S60" s="172">
        <f t="shared" si="12"/>
        <v>-27.676449999999686</v>
      </c>
      <c r="T60" s="172">
        <f t="shared" si="12"/>
        <v>438.96164999999991</v>
      </c>
      <c r="U60" s="172">
        <f t="shared" si="12"/>
        <v>-25.563129999998765</v>
      </c>
      <c r="V60" s="172">
        <f t="shared" si="12"/>
        <v>-25.497620000001326</v>
      </c>
      <c r="W60" s="172">
        <f t="shared" si="12"/>
        <v>-23.935900000002444</v>
      </c>
      <c r="X60" s="172">
        <f t="shared" si="12"/>
        <v>-18.809669999996856</v>
      </c>
      <c r="Y60" s="172">
        <f t="shared" si="12"/>
        <v>-10.479930000000081</v>
      </c>
      <c r="Z60" s="172">
        <f t="shared" si="12"/>
        <v>-15.618100000001721</v>
      </c>
      <c r="AA60" s="172">
        <f t="shared" si="12"/>
        <v>-2.692369999995496</v>
      </c>
      <c r="AB60" s="172">
        <f t="shared" si="12"/>
        <v>-20.855850000002278</v>
      </c>
      <c r="AC60" s="172">
        <f t="shared" si="12"/>
        <v>-70.843100000001442</v>
      </c>
      <c r="AD60" s="172">
        <f t="shared" si="12"/>
        <v>-25.199329999999833</v>
      </c>
      <c r="AE60" s="172">
        <f t="shared" si="12"/>
        <v>-31.188599999999731</v>
      </c>
      <c r="AF60" s="172">
        <f t="shared" si="12"/>
        <v>-12.739679999999311</v>
      </c>
      <c r="AG60" s="172">
        <f t="shared" si="12"/>
        <v>1013.4632499999991</v>
      </c>
      <c r="AH60" s="172">
        <f t="shared" si="12"/>
        <v>-17.743209999999422</v>
      </c>
      <c r="AI60" s="172">
        <f t="shared" si="12"/>
        <v>59.52925000000068</v>
      </c>
      <c r="AJ60" s="172">
        <f t="shared" si="12"/>
        <v>-43.532109999997544</v>
      </c>
      <c r="AK60" s="172">
        <f t="shared" si="12"/>
        <v>11.614920000000893</v>
      </c>
      <c r="AL60" s="172">
        <f t="shared" si="12"/>
        <v>8.7538899999979662</v>
      </c>
      <c r="AM60" s="172">
        <f t="shared" si="12"/>
        <v>-62.100729999999871</v>
      </c>
      <c r="AN60" s="172">
        <f t="shared" si="12"/>
        <v>195.5165199999974</v>
      </c>
      <c r="AO60" s="172">
        <f t="shared" si="12"/>
        <v>-40.045289999997806</v>
      </c>
      <c r="AP60" s="172">
        <f t="shared" si="12"/>
        <v>-28.762680000000444</v>
      </c>
      <c r="AQ60" s="172">
        <f t="shared" si="12"/>
        <v>-23.555640000000409</v>
      </c>
      <c r="AR60" s="172">
        <f t="shared" si="12"/>
        <v>-67.195510000000041</v>
      </c>
      <c r="AS60" s="172">
        <f t="shared" si="12"/>
        <v>-68.836559999998954</v>
      </c>
      <c r="AT60" s="172">
        <f t="shared" si="12"/>
        <v>-22.544220000001303</v>
      </c>
      <c r="AU60" s="172">
        <f t="shared" si="12"/>
        <v>-22.21455000000066</v>
      </c>
      <c r="AV60" s="172">
        <f t="shared" si="12"/>
        <v>120.09232000000036</v>
      </c>
      <c r="AW60" s="172">
        <f t="shared" si="12"/>
        <v>-21.27600000000038</v>
      </c>
      <c r="AX60" s="172">
        <f t="shared" si="12"/>
        <v>-18.081279999997548</v>
      </c>
      <c r="AY60" s="172">
        <f t="shared" si="12"/>
        <v>-15.145069999997453</v>
      </c>
      <c r="AZ60" s="172">
        <f t="shared" si="12"/>
        <v>1.776019999996663</v>
      </c>
      <c r="BA60" s="172">
        <f t="shared" si="12"/>
        <v>248.47127000000461</v>
      </c>
      <c r="BB60" s="172">
        <f t="shared" si="12"/>
        <v>5801.2872200000002</v>
      </c>
      <c r="BC60" s="172">
        <f t="shared" si="12"/>
        <v>0</v>
      </c>
      <c r="BD60" s="172">
        <f t="shared" si="12"/>
        <v>0</v>
      </c>
      <c r="BE60" s="172">
        <f t="shared" si="12"/>
        <v>0</v>
      </c>
      <c r="BF60" s="172">
        <f t="shared" si="12"/>
        <v>0</v>
      </c>
      <c r="BG60" s="172">
        <f t="shared" si="12"/>
        <v>0</v>
      </c>
      <c r="BH60" s="172">
        <f t="shared" si="12"/>
        <v>0</v>
      </c>
      <c r="BI60" s="172">
        <f t="shared" si="12"/>
        <v>0</v>
      </c>
      <c r="BJ60" s="172">
        <f t="shared" si="12"/>
        <v>0</v>
      </c>
      <c r="BK60" s="172">
        <f t="shared" si="12"/>
        <v>0</v>
      </c>
      <c r="BL60" s="172">
        <f t="shared" si="12"/>
        <v>0</v>
      </c>
      <c r="BM60" s="172">
        <f t="shared" si="12"/>
        <v>0</v>
      </c>
      <c r="BN60" s="172">
        <f t="shared" si="12"/>
        <v>0</v>
      </c>
      <c r="BO60" s="172">
        <f t="shared" si="12"/>
        <v>0</v>
      </c>
      <c r="BP60" s="172">
        <f t="shared" si="12"/>
        <v>0</v>
      </c>
      <c r="BQ60" s="172">
        <f t="shared" si="12"/>
        <v>0</v>
      </c>
      <c r="BR60" s="172">
        <f t="shared" si="12"/>
        <v>0</v>
      </c>
      <c r="BS60" s="172">
        <f t="shared" ref="BS60:CK60" si="13">SUM(BS47,BS57)</f>
        <v>0</v>
      </c>
      <c r="BT60" s="172">
        <f t="shared" si="13"/>
        <v>0</v>
      </c>
      <c r="BU60" s="172">
        <f t="shared" si="13"/>
        <v>0</v>
      </c>
      <c r="BV60" s="172">
        <f t="shared" si="13"/>
        <v>0</v>
      </c>
      <c r="BW60" s="172">
        <f t="shared" si="13"/>
        <v>0</v>
      </c>
      <c r="BX60" s="172">
        <f t="shared" si="13"/>
        <v>0</v>
      </c>
      <c r="BY60" s="172">
        <f t="shared" si="13"/>
        <v>0</v>
      </c>
      <c r="BZ60" s="172">
        <f t="shared" si="13"/>
        <v>0</v>
      </c>
      <c r="CA60" s="172">
        <f t="shared" si="13"/>
        <v>0</v>
      </c>
      <c r="CB60" s="172">
        <f t="shared" si="13"/>
        <v>0</v>
      </c>
      <c r="CC60" s="172">
        <f t="shared" si="13"/>
        <v>0</v>
      </c>
      <c r="CD60" s="172">
        <f t="shared" si="13"/>
        <v>0</v>
      </c>
      <c r="CE60" s="172">
        <f t="shared" si="13"/>
        <v>0</v>
      </c>
      <c r="CF60" s="172">
        <f t="shared" si="13"/>
        <v>0</v>
      </c>
      <c r="CG60" s="172">
        <f t="shared" si="13"/>
        <v>0</v>
      </c>
      <c r="CH60" s="172">
        <f t="shared" si="13"/>
        <v>0</v>
      </c>
      <c r="CI60" s="172">
        <f t="shared" si="13"/>
        <v>0</v>
      </c>
      <c r="CJ60" s="172">
        <f t="shared" si="13"/>
        <v>0</v>
      </c>
      <c r="CK60" s="172">
        <f t="shared" si="13"/>
        <v>0</v>
      </c>
    </row>
    <row r="61" spans="3:91" ht="4.5" customHeight="1" x14ac:dyDescent="0.2">
      <c r="C61" s="37"/>
      <c r="D61" s="37"/>
      <c r="E61" s="96"/>
      <c r="F61" s="96"/>
      <c r="G61" s="36"/>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row>
    <row r="62" spans="3:91" ht="11.25" customHeight="1" x14ac:dyDescent="0.2">
      <c r="C62" s="37" t="s">
        <v>335</v>
      </c>
      <c r="D62" s="37" t="s">
        <v>334</v>
      </c>
      <c r="E62" s="96"/>
      <c r="F62" s="96">
        <f>E64</f>
        <v>0</v>
      </c>
      <c r="G62" s="36">
        <f>F64</f>
        <v>0</v>
      </c>
      <c r="H62" s="36">
        <f t="shared" ref="H62:BR62" si="14">G64</f>
        <v>0</v>
      </c>
      <c r="I62" s="36">
        <f t="shared" si="14"/>
        <v>0</v>
      </c>
      <c r="J62" s="36">
        <f t="shared" si="14"/>
        <v>0</v>
      </c>
      <c r="K62" s="36">
        <f t="shared" si="14"/>
        <v>0</v>
      </c>
      <c r="L62" s="36">
        <f t="shared" si="14"/>
        <v>0</v>
      </c>
      <c r="M62" s="36">
        <f t="shared" si="14"/>
        <v>0</v>
      </c>
      <c r="N62" s="36">
        <f t="shared" si="14"/>
        <v>0</v>
      </c>
      <c r="O62" s="36">
        <f t="shared" si="14"/>
        <v>0</v>
      </c>
      <c r="P62" s="36">
        <f t="shared" si="14"/>
        <v>0</v>
      </c>
      <c r="Q62" s="36">
        <f t="shared" si="14"/>
        <v>0</v>
      </c>
      <c r="R62" s="36">
        <f t="shared" si="14"/>
        <v>-4600.3859499999999</v>
      </c>
      <c r="S62" s="36">
        <f t="shared" si="14"/>
        <v>-4590.2996900000007</v>
      </c>
      <c r="T62" s="36">
        <f t="shared" si="14"/>
        <v>-4617.9761400000007</v>
      </c>
      <c r="U62" s="36">
        <f t="shared" si="14"/>
        <v>-4179.0144900000005</v>
      </c>
      <c r="V62" s="36">
        <f t="shared" si="14"/>
        <v>-4204.5776199999991</v>
      </c>
      <c r="W62" s="36">
        <f t="shared" si="14"/>
        <v>-4230.0752400000001</v>
      </c>
      <c r="X62" s="36">
        <f t="shared" si="14"/>
        <v>-4254.0111400000023</v>
      </c>
      <c r="Y62" s="36">
        <f t="shared" si="14"/>
        <v>-4272.8208099999993</v>
      </c>
      <c r="Z62" s="36">
        <f t="shared" si="14"/>
        <v>-4283.3007399999997</v>
      </c>
      <c r="AA62" s="36">
        <f t="shared" si="14"/>
        <v>-4298.9188400000012</v>
      </c>
      <c r="AB62" s="36">
        <f t="shared" si="14"/>
        <v>-4301.6112099999964</v>
      </c>
      <c r="AC62" s="36">
        <f t="shared" si="14"/>
        <v>-4322.467059999999</v>
      </c>
      <c r="AD62" s="36">
        <f t="shared" si="14"/>
        <v>-4393.3101600000009</v>
      </c>
      <c r="AE62" s="36">
        <f t="shared" si="14"/>
        <v>-4418.5094900000004</v>
      </c>
      <c r="AF62" s="36">
        <f t="shared" si="14"/>
        <v>-4449.6980899999999</v>
      </c>
      <c r="AG62" s="36">
        <f t="shared" si="14"/>
        <v>-4462.4377699999995</v>
      </c>
      <c r="AH62" s="36">
        <f t="shared" si="14"/>
        <v>-3448.9745200000007</v>
      </c>
      <c r="AI62" s="36">
        <f t="shared" si="14"/>
        <v>-3466.7177300000003</v>
      </c>
      <c r="AJ62" s="36">
        <f t="shared" si="14"/>
        <v>-3407.1884799999998</v>
      </c>
      <c r="AK62" s="36">
        <f t="shared" si="14"/>
        <v>-3450.7205899999972</v>
      </c>
      <c r="AL62" s="36">
        <f t="shared" si="14"/>
        <v>-3439.1056699999963</v>
      </c>
      <c r="AM62" s="36">
        <f t="shared" si="14"/>
        <v>-3430.3517799999981</v>
      </c>
      <c r="AN62" s="36">
        <f t="shared" si="14"/>
        <v>-3492.4525099999978</v>
      </c>
      <c r="AO62" s="36">
        <f t="shared" si="14"/>
        <v>-3296.9359900000004</v>
      </c>
      <c r="AP62" s="36">
        <f t="shared" si="14"/>
        <v>-3336.9812799999982</v>
      </c>
      <c r="AQ62" s="36">
        <f t="shared" si="14"/>
        <v>-3365.7439599999984</v>
      </c>
      <c r="AR62" s="36">
        <f t="shared" si="14"/>
        <v>-3389.2995999999989</v>
      </c>
      <c r="AS62" s="36">
        <f t="shared" si="14"/>
        <v>-3456.4951099999989</v>
      </c>
      <c r="AT62" s="36">
        <f t="shared" si="14"/>
        <v>-3525.3316699999978</v>
      </c>
      <c r="AU62" s="36">
        <f t="shared" si="14"/>
        <v>-3547.8758899999989</v>
      </c>
      <c r="AV62" s="36">
        <f t="shared" si="14"/>
        <v>-3570.0904399999995</v>
      </c>
      <c r="AW62" s="36">
        <f t="shared" si="14"/>
        <v>-3449.9981199999993</v>
      </c>
      <c r="AX62" s="36">
        <f t="shared" si="14"/>
        <v>-3471.2741199999996</v>
      </c>
      <c r="AY62" s="36">
        <f t="shared" si="14"/>
        <v>-3489.3553999999972</v>
      </c>
      <c r="AZ62" s="36">
        <f t="shared" si="14"/>
        <v>-3504.5004699999945</v>
      </c>
      <c r="BA62" s="36">
        <f t="shared" si="14"/>
        <v>-3502.7244499999979</v>
      </c>
      <c r="BB62" s="36">
        <f t="shared" si="14"/>
        <v>-3254.2531799999933</v>
      </c>
      <c r="BC62" s="36">
        <f t="shared" si="14"/>
        <v>2547.0340400000068</v>
      </c>
      <c r="BD62" s="36">
        <f t="shared" si="14"/>
        <v>2547.0340400000068</v>
      </c>
      <c r="BE62" s="36">
        <f t="shared" si="14"/>
        <v>2547.0340400000068</v>
      </c>
      <c r="BF62" s="36">
        <f t="shared" si="14"/>
        <v>2547.0340400000068</v>
      </c>
      <c r="BG62" s="36">
        <f t="shared" si="14"/>
        <v>2547.0340400000068</v>
      </c>
      <c r="BH62" s="36">
        <f t="shared" si="14"/>
        <v>2547.0340400000068</v>
      </c>
      <c r="BI62" s="36">
        <f t="shared" si="14"/>
        <v>2547.0340400000068</v>
      </c>
      <c r="BJ62" s="36">
        <f t="shared" si="14"/>
        <v>2547.0340400000068</v>
      </c>
      <c r="BK62" s="36">
        <f t="shared" si="14"/>
        <v>2547.0340400000068</v>
      </c>
      <c r="BL62" s="36">
        <f t="shared" si="14"/>
        <v>2547.0340400000068</v>
      </c>
      <c r="BM62" s="36">
        <f t="shared" si="14"/>
        <v>2547.0340400000068</v>
      </c>
      <c r="BN62" s="36">
        <f t="shared" si="14"/>
        <v>2547.0340400000068</v>
      </c>
      <c r="BO62" s="36">
        <f t="shared" si="14"/>
        <v>2547.0340400000068</v>
      </c>
      <c r="BP62" s="36">
        <f t="shared" si="14"/>
        <v>2547.0340400000068</v>
      </c>
      <c r="BQ62" s="36">
        <f t="shared" si="14"/>
        <v>2547.0340400000068</v>
      </c>
      <c r="BR62" s="36">
        <f t="shared" si="14"/>
        <v>2547.0340400000068</v>
      </c>
      <c r="BS62" s="36">
        <f t="shared" ref="BS62:CK62" si="15">BR64</f>
        <v>2547.0340400000068</v>
      </c>
      <c r="BT62" s="36">
        <f t="shared" si="15"/>
        <v>2547.0340400000068</v>
      </c>
      <c r="BU62" s="36">
        <f t="shared" si="15"/>
        <v>2547.0340400000068</v>
      </c>
      <c r="BV62" s="36">
        <f t="shared" si="15"/>
        <v>2547.0340400000068</v>
      </c>
      <c r="BW62" s="36">
        <f t="shared" si="15"/>
        <v>2547.0340400000068</v>
      </c>
      <c r="BX62" s="36">
        <f t="shared" si="15"/>
        <v>2547.0340400000068</v>
      </c>
      <c r="BY62" s="36">
        <f t="shared" si="15"/>
        <v>2547.0340400000068</v>
      </c>
      <c r="BZ62" s="36">
        <f t="shared" si="15"/>
        <v>2547.0340400000068</v>
      </c>
      <c r="CA62" s="36">
        <f t="shared" si="15"/>
        <v>2547.0340400000068</v>
      </c>
      <c r="CB62" s="36">
        <f t="shared" si="15"/>
        <v>2547.0340400000068</v>
      </c>
      <c r="CC62" s="36">
        <f t="shared" si="15"/>
        <v>2547.0340400000068</v>
      </c>
      <c r="CD62" s="36">
        <f t="shared" si="15"/>
        <v>2547.0340400000068</v>
      </c>
      <c r="CE62" s="36">
        <f t="shared" si="15"/>
        <v>2547.0340400000068</v>
      </c>
      <c r="CF62" s="36">
        <f t="shared" si="15"/>
        <v>2547.0340400000068</v>
      </c>
      <c r="CG62" s="36">
        <f t="shared" si="15"/>
        <v>2547.0340400000068</v>
      </c>
      <c r="CH62" s="36">
        <f t="shared" si="15"/>
        <v>2547.0340400000068</v>
      </c>
      <c r="CI62" s="36">
        <f t="shared" si="15"/>
        <v>2547.0340400000068</v>
      </c>
      <c r="CJ62" s="36">
        <f t="shared" si="15"/>
        <v>2547.0340400000068</v>
      </c>
      <c r="CK62" s="36">
        <f t="shared" si="15"/>
        <v>2547.0340400000068</v>
      </c>
      <c r="CM62" s="1" t="s">
        <v>333</v>
      </c>
    </row>
    <row r="63" spans="3:91" ht="11.25" customHeight="1" x14ac:dyDescent="0.2">
      <c r="C63" s="42" t="str">
        <f>C60</f>
        <v>Veränderung Liquide Mittel</v>
      </c>
      <c r="D63" s="42" t="str">
        <f>D60</f>
        <v>Total change in cash</v>
      </c>
      <c r="E63" s="136"/>
      <c r="F63" s="136">
        <f t="shared" ref="F63:BQ63" si="16">F60</f>
        <v>0</v>
      </c>
      <c r="G63" s="127">
        <f t="shared" si="16"/>
        <v>0</v>
      </c>
      <c r="H63" s="127">
        <f t="shared" si="16"/>
        <v>0</v>
      </c>
      <c r="I63" s="127">
        <f t="shared" si="16"/>
        <v>0</v>
      </c>
      <c r="J63" s="127">
        <f t="shared" si="16"/>
        <v>0</v>
      </c>
      <c r="K63" s="127">
        <f t="shared" si="16"/>
        <v>0</v>
      </c>
      <c r="L63" s="127">
        <f t="shared" si="16"/>
        <v>0</v>
      </c>
      <c r="M63" s="127">
        <f t="shared" si="16"/>
        <v>0</v>
      </c>
      <c r="N63" s="127">
        <f t="shared" si="16"/>
        <v>0</v>
      </c>
      <c r="O63" s="127">
        <f t="shared" si="16"/>
        <v>0</v>
      </c>
      <c r="P63" s="127">
        <f t="shared" si="16"/>
        <v>0</v>
      </c>
      <c r="Q63" s="127">
        <f t="shared" si="16"/>
        <v>-4600.3859499999999</v>
      </c>
      <c r="R63" s="127">
        <f t="shared" si="16"/>
        <v>10.086259999999577</v>
      </c>
      <c r="S63" s="127">
        <f t="shared" si="16"/>
        <v>-27.676449999999686</v>
      </c>
      <c r="T63" s="127">
        <f t="shared" si="16"/>
        <v>438.96164999999991</v>
      </c>
      <c r="U63" s="127">
        <f t="shared" si="16"/>
        <v>-25.563129999998765</v>
      </c>
      <c r="V63" s="127">
        <f t="shared" si="16"/>
        <v>-25.497620000001326</v>
      </c>
      <c r="W63" s="127">
        <f t="shared" si="16"/>
        <v>-23.935900000002444</v>
      </c>
      <c r="X63" s="127">
        <f t="shared" si="16"/>
        <v>-18.809669999996856</v>
      </c>
      <c r="Y63" s="127">
        <f t="shared" si="16"/>
        <v>-10.479930000000081</v>
      </c>
      <c r="Z63" s="127">
        <f t="shared" si="16"/>
        <v>-15.618100000001721</v>
      </c>
      <c r="AA63" s="127">
        <f t="shared" si="16"/>
        <v>-2.692369999995496</v>
      </c>
      <c r="AB63" s="127">
        <f t="shared" si="16"/>
        <v>-20.855850000002278</v>
      </c>
      <c r="AC63" s="127">
        <f t="shared" si="16"/>
        <v>-70.843100000001442</v>
      </c>
      <c r="AD63" s="127">
        <f t="shared" si="16"/>
        <v>-25.199329999999833</v>
      </c>
      <c r="AE63" s="127">
        <f t="shared" si="16"/>
        <v>-31.188599999999731</v>
      </c>
      <c r="AF63" s="127">
        <f t="shared" si="16"/>
        <v>-12.739679999999311</v>
      </c>
      <c r="AG63" s="127">
        <f t="shared" si="16"/>
        <v>1013.4632499999991</v>
      </c>
      <c r="AH63" s="127">
        <f t="shared" si="16"/>
        <v>-17.743209999999422</v>
      </c>
      <c r="AI63" s="127">
        <f t="shared" si="16"/>
        <v>59.52925000000068</v>
      </c>
      <c r="AJ63" s="127">
        <f t="shared" si="16"/>
        <v>-43.532109999997544</v>
      </c>
      <c r="AK63" s="127">
        <f t="shared" si="16"/>
        <v>11.614920000000893</v>
      </c>
      <c r="AL63" s="127">
        <f t="shared" si="16"/>
        <v>8.7538899999979662</v>
      </c>
      <c r="AM63" s="127">
        <f t="shared" si="16"/>
        <v>-62.100729999999871</v>
      </c>
      <c r="AN63" s="127">
        <f t="shared" si="16"/>
        <v>195.5165199999974</v>
      </c>
      <c r="AO63" s="127">
        <f t="shared" si="16"/>
        <v>-40.045289999997806</v>
      </c>
      <c r="AP63" s="127">
        <f t="shared" si="16"/>
        <v>-28.762680000000444</v>
      </c>
      <c r="AQ63" s="127">
        <f t="shared" si="16"/>
        <v>-23.555640000000409</v>
      </c>
      <c r="AR63" s="127">
        <f t="shared" si="16"/>
        <v>-67.195510000000041</v>
      </c>
      <c r="AS63" s="127">
        <f t="shared" si="16"/>
        <v>-68.836559999998954</v>
      </c>
      <c r="AT63" s="127">
        <f t="shared" si="16"/>
        <v>-22.544220000001303</v>
      </c>
      <c r="AU63" s="127">
        <f t="shared" si="16"/>
        <v>-22.21455000000066</v>
      </c>
      <c r="AV63" s="127">
        <f t="shared" si="16"/>
        <v>120.09232000000036</v>
      </c>
      <c r="AW63" s="127">
        <f t="shared" si="16"/>
        <v>-21.27600000000038</v>
      </c>
      <c r="AX63" s="127">
        <f t="shared" si="16"/>
        <v>-18.081279999997548</v>
      </c>
      <c r="AY63" s="127">
        <f t="shared" si="16"/>
        <v>-15.145069999997453</v>
      </c>
      <c r="AZ63" s="127">
        <f t="shared" si="16"/>
        <v>1.776019999996663</v>
      </c>
      <c r="BA63" s="127">
        <f t="shared" si="16"/>
        <v>248.47127000000461</v>
      </c>
      <c r="BB63" s="127">
        <f t="shared" si="16"/>
        <v>5801.2872200000002</v>
      </c>
      <c r="BC63" s="127">
        <f t="shared" si="16"/>
        <v>0</v>
      </c>
      <c r="BD63" s="127">
        <f t="shared" si="16"/>
        <v>0</v>
      </c>
      <c r="BE63" s="127">
        <f t="shared" si="16"/>
        <v>0</v>
      </c>
      <c r="BF63" s="127">
        <f t="shared" si="16"/>
        <v>0</v>
      </c>
      <c r="BG63" s="127">
        <f t="shared" si="16"/>
        <v>0</v>
      </c>
      <c r="BH63" s="127">
        <f t="shared" si="16"/>
        <v>0</v>
      </c>
      <c r="BI63" s="127">
        <f t="shared" si="16"/>
        <v>0</v>
      </c>
      <c r="BJ63" s="127">
        <f t="shared" si="16"/>
        <v>0</v>
      </c>
      <c r="BK63" s="127">
        <f t="shared" si="16"/>
        <v>0</v>
      </c>
      <c r="BL63" s="127">
        <f t="shared" si="16"/>
        <v>0</v>
      </c>
      <c r="BM63" s="127">
        <f t="shared" si="16"/>
        <v>0</v>
      </c>
      <c r="BN63" s="127">
        <f t="shared" si="16"/>
        <v>0</v>
      </c>
      <c r="BO63" s="127">
        <f t="shared" si="16"/>
        <v>0</v>
      </c>
      <c r="BP63" s="127">
        <f t="shared" si="16"/>
        <v>0</v>
      </c>
      <c r="BQ63" s="127">
        <f t="shared" si="16"/>
        <v>0</v>
      </c>
      <c r="BR63" s="127">
        <f t="shared" ref="BR63:CK63" si="17">BR60</f>
        <v>0</v>
      </c>
      <c r="BS63" s="127">
        <f t="shared" si="17"/>
        <v>0</v>
      </c>
      <c r="BT63" s="127">
        <f t="shared" si="17"/>
        <v>0</v>
      </c>
      <c r="BU63" s="127">
        <f t="shared" si="17"/>
        <v>0</v>
      </c>
      <c r="BV63" s="127">
        <f t="shared" si="17"/>
        <v>0</v>
      </c>
      <c r="BW63" s="127">
        <f t="shared" si="17"/>
        <v>0</v>
      </c>
      <c r="BX63" s="127">
        <f t="shared" si="17"/>
        <v>0</v>
      </c>
      <c r="BY63" s="127">
        <f t="shared" si="17"/>
        <v>0</v>
      </c>
      <c r="BZ63" s="127">
        <f t="shared" si="17"/>
        <v>0</v>
      </c>
      <c r="CA63" s="127">
        <f t="shared" si="17"/>
        <v>0</v>
      </c>
      <c r="CB63" s="127">
        <f t="shared" si="17"/>
        <v>0</v>
      </c>
      <c r="CC63" s="127">
        <f t="shared" si="17"/>
        <v>0</v>
      </c>
      <c r="CD63" s="127">
        <f t="shared" si="17"/>
        <v>0</v>
      </c>
      <c r="CE63" s="127">
        <f t="shared" si="17"/>
        <v>0</v>
      </c>
      <c r="CF63" s="127">
        <f t="shared" si="17"/>
        <v>0</v>
      </c>
      <c r="CG63" s="127">
        <f t="shared" si="17"/>
        <v>0</v>
      </c>
      <c r="CH63" s="127">
        <f t="shared" si="17"/>
        <v>0</v>
      </c>
      <c r="CI63" s="127">
        <f t="shared" si="17"/>
        <v>0</v>
      </c>
      <c r="CJ63" s="127">
        <f t="shared" si="17"/>
        <v>0</v>
      </c>
      <c r="CK63" s="127">
        <f t="shared" si="17"/>
        <v>0</v>
      </c>
    </row>
    <row r="64" spans="3:91" ht="11.25" customHeight="1" x14ac:dyDescent="0.2">
      <c r="C64" s="174" t="s">
        <v>332</v>
      </c>
      <c r="D64" s="174" t="s">
        <v>331</v>
      </c>
      <c r="E64" s="173">
        <f>'Lead NA'!E43</f>
        <v>0</v>
      </c>
      <c r="F64" s="173">
        <f t="shared" ref="F64:BQ64" si="18">SUM(F62:F63)</f>
        <v>0</v>
      </c>
      <c r="G64" s="172">
        <f t="shared" si="18"/>
        <v>0</v>
      </c>
      <c r="H64" s="172">
        <f t="shared" si="18"/>
        <v>0</v>
      </c>
      <c r="I64" s="172">
        <f t="shared" si="18"/>
        <v>0</v>
      </c>
      <c r="J64" s="172">
        <f t="shared" si="18"/>
        <v>0</v>
      </c>
      <c r="K64" s="172">
        <f t="shared" si="18"/>
        <v>0</v>
      </c>
      <c r="L64" s="172">
        <f t="shared" si="18"/>
        <v>0</v>
      </c>
      <c r="M64" s="172">
        <f t="shared" si="18"/>
        <v>0</v>
      </c>
      <c r="N64" s="172">
        <f t="shared" si="18"/>
        <v>0</v>
      </c>
      <c r="O64" s="172">
        <f t="shared" si="18"/>
        <v>0</v>
      </c>
      <c r="P64" s="172">
        <f t="shared" si="18"/>
        <v>0</v>
      </c>
      <c r="Q64" s="172">
        <f t="shared" si="18"/>
        <v>-4600.3859499999999</v>
      </c>
      <c r="R64" s="172">
        <f t="shared" si="18"/>
        <v>-4590.2996900000007</v>
      </c>
      <c r="S64" s="172">
        <f t="shared" si="18"/>
        <v>-4617.9761400000007</v>
      </c>
      <c r="T64" s="172">
        <f t="shared" si="18"/>
        <v>-4179.0144900000005</v>
      </c>
      <c r="U64" s="172">
        <f t="shared" si="18"/>
        <v>-4204.5776199999991</v>
      </c>
      <c r="V64" s="172">
        <f t="shared" si="18"/>
        <v>-4230.0752400000001</v>
      </c>
      <c r="W64" s="172">
        <f t="shared" si="18"/>
        <v>-4254.0111400000023</v>
      </c>
      <c r="X64" s="172">
        <f t="shared" si="18"/>
        <v>-4272.8208099999993</v>
      </c>
      <c r="Y64" s="172">
        <f t="shared" si="18"/>
        <v>-4283.3007399999997</v>
      </c>
      <c r="Z64" s="172">
        <f t="shared" si="18"/>
        <v>-4298.9188400000012</v>
      </c>
      <c r="AA64" s="172">
        <f t="shared" si="18"/>
        <v>-4301.6112099999964</v>
      </c>
      <c r="AB64" s="172">
        <f t="shared" si="18"/>
        <v>-4322.467059999999</v>
      </c>
      <c r="AC64" s="172">
        <f t="shared" si="18"/>
        <v>-4393.3101600000009</v>
      </c>
      <c r="AD64" s="172">
        <f t="shared" si="18"/>
        <v>-4418.5094900000004</v>
      </c>
      <c r="AE64" s="172">
        <f t="shared" si="18"/>
        <v>-4449.6980899999999</v>
      </c>
      <c r="AF64" s="172">
        <f t="shared" si="18"/>
        <v>-4462.4377699999995</v>
      </c>
      <c r="AG64" s="172">
        <f t="shared" si="18"/>
        <v>-3448.9745200000007</v>
      </c>
      <c r="AH64" s="172">
        <f t="shared" si="18"/>
        <v>-3466.7177300000003</v>
      </c>
      <c r="AI64" s="172">
        <f t="shared" si="18"/>
        <v>-3407.1884799999998</v>
      </c>
      <c r="AJ64" s="172">
        <f t="shared" si="18"/>
        <v>-3450.7205899999972</v>
      </c>
      <c r="AK64" s="172">
        <f t="shared" si="18"/>
        <v>-3439.1056699999963</v>
      </c>
      <c r="AL64" s="172">
        <f t="shared" si="18"/>
        <v>-3430.3517799999981</v>
      </c>
      <c r="AM64" s="172">
        <f t="shared" si="18"/>
        <v>-3492.4525099999978</v>
      </c>
      <c r="AN64" s="172">
        <f t="shared" si="18"/>
        <v>-3296.9359900000004</v>
      </c>
      <c r="AO64" s="172">
        <f t="shared" si="18"/>
        <v>-3336.9812799999982</v>
      </c>
      <c r="AP64" s="172">
        <f t="shared" si="18"/>
        <v>-3365.7439599999984</v>
      </c>
      <c r="AQ64" s="172">
        <f t="shared" si="18"/>
        <v>-3389.2995999999989</v>
      </c>
      <c r="AR64" s="172">
        <f t="shared" si="18"/>
        <v>-3456.4951099999989</v>
      </c>
      <c r="AS64" s="172">
        <f t="shared" si="18"/>
        <v>-3525.3316699999978</v>
      </c>
      <c r="AT64" s="172">
        <f t="shared" si="18"/>
        <v>-3547.8758899999989</v>
      </c>
      <c r="AU64" s="172">
        <f t="shared" si="18"/>
        <v>-3570.0904399999995</v>
      </c>
      <c r="AV64" s="172">
        <f t="shared" si="18"/>
        <v>-3449.9981199999993</v>
      </c>
      <c r="AW64" s="172">
        <f t="shared" si="18"/>
        <v>-3471.2741199999996</v>
      </c>
      <c r="AX64" s="172">
        <f t="shared" si="18"/>
        <v>-3489.3553999999972</v>
      </c>
      <c r="AY64" s="172">
        <f t="shared" si="18"/>
        <v>-3504.5004699999945</v>
      </c>
      <c r="AZ64" s="172">
        <f t="shared" si="18"/>
        <v>-3502.7244499999979</v>
      </c>
      <c r="BA64" s="172">
        <f t="shared" si="18"/>
        <v>-3254.2531799999933</v>
      </c>
      <c r="BB64" s="172">
        <f t="shared" si="18"/>
        <v>2547.0340400000068</v>
      </c>
      <c r="BC64" s="172">
        <f t="shared" si="18"/>
        <v>2547.0340400000068</v>
      </c>
      <c r="BD64" s="172">
        <f t="shared" si="18"/>
        <v>2547.0340400000068</v>
      </c>
      <c r="BE64" s="172">
        <f t="shared" si="18"/>
        <v>2547.0340400000068</v>
      </c>
      <c r="BF64" s="172">
        <f t="shared" si="18"/>
        <v>2547.0340400000068</v>
      </c>
      <c r="BG64" s="172">
        <f t="shared" si="18"/>
        <v>2547.0340400000068</v>
      </c>
      <c r="BH64" s="172">
        <f t="shared" si="18"/>
        <v>2547.0340400000068</v>
      </c>
      <c r="BI64" s="172">
        <f t="shared" si="18"/>
        <v>2547.0340400000068</v>
      </c>
      <c r="BJ64" s="172">
        <f t="shared" si="18"/>
        <v>2547.0340400000068</v>
      </c>
      <c r="BK64" s="172">
        <f t="shared" si="18"/>
        <v>2547.0340400000068</v>
      </c>
      <c r="BL64" s="172">
        <f t="shared" si="18"/>
        <v>2547.0340400000068</v>
      </c>
      <c r="BM64" s="172">
        <f t="shared" si="18"/>
        <v>2547.0340400000068</v>
      </c>
      <c r="BN64" s="172">
        <f t="shared" si="18"/>
        <v>2547.0340400000068</v>
      </c>
      <c r="BO64" s="172">
        <f t="shared" si="18"/>
        <v>2547.0340400000068</v>
      </c>
      <c r="BP64" s="172">
        <f t="shared" si="18"/>
        <v>2547.0340400000068</v>
      </c>
      <c r="BQ64" s="172">
        <f t="shared" si="18"/>
        <v>2547.0340400000068</v>
      </c>
      <c r="BR64" s="172">
        <f t="shared" ref="BR64:CK64" si="19">SUM(BR62:BR63)</f>
        <v>2547.0340400000068</v>
      </c>
      <c r="BS64" s="172">
        <f t="shared" si="19"/>
        <v>2547.0340400000068</v>
      </c>
      <c r="BT64" s="172">
        <f t="shared" si="19"/>
        <v>2547.0340400000068</v>
      </c>
      <c r="BU64" s="172">
        <f t="shared" si="19"/>
        <v>2547.0340400000068</v>
      </c>
      <c r="BV64" s="172">
        <f t="shared" si="19"/>
        <v>2547.0340400000068</v>
      </c>
      <c r="BW64" s="172">
        <f t="shared" si="19"/>
        <v>2547.0340400000068</v>
      </c>
      <c r="BX64" s="172">
        <f t="shared" si="19"/>
        <v>2547.0340400000068</v>
      </c>
      <c r="BY64" s="172">
        <f t="shared" si="19"/>
        <v>2547.0340400000068</v>
      </c>
      <c r="BZ64" s="172">
        <f t="shared" si="19"/>
        <v>2547.0340400000068</v>
      </c>
      <c r="CA64" s="172">
        <f t="shared" si="19"/>
        <v>2547.0340400000068</v>
      </c>
      <c r="CB64" s="172">
        <f t="shared" si="19"/>
        <v>2547.0340400000068</v>
      </c>
      <c r="CC64" s="172">
        <f t="shared" si="19"/>
        <v>2547.0340400000068</v>
      </c>
      <c r="CD64" s="172">
        <f t="shared" si="19"/>
        <v>2547.0340400000068</v>
      </c>
      <c r="CE64" s="172">
        <f t="shared" si="19"/>
        <v>2547.0340400000068</v>
      </c>
      <c r="CF64" s="172">
        <f t="shared" si="19"/>
        <v>2547.0340400000068</v>
      </c>
      <c r="CG64" s="172">
        <f t="shared" si="19"/>
        <v>2547.0340400000068</v>
      </c>
      <c r="CH64" s="172">
        <f t="shared" si="19"/>
        <v>2547.0340400000068</v>
      </c>
      <c r="CI64" s="172">
        <f t="shared" si="19"/>
        <v>2547.0340400000068</v>
      </c>
      <c r="CJ64" s="172">
        <f t="shared" si="19"/>
        <v>2547.0340400000068</v>
      </c>
      <c r="CK64" s="172">
        <f t="shared" si="19"/>
        <v>2547.0340400000068</v>
      </c>
    </row>
    <row r="65" spans="3:89" ht="4.5" customHeight="1" x14ac:dyDescent="0.2">
      <c r="C65" s="168"/>
      <c r="D65" s="168"/>
      <c r="E65" s="167"/>
      <c r="F65" s="167"/>
      <c r="G65" s="167"/>
      <c r="H65" s="167"/>
      <c r="I65" s="167"/>
      <c r="J65" s="167"/>
      <c r="K65" s="167"/>
      <c r="L65" s="167"/>
      <c r="M65" s="167"/>
      <c r="N65" s="167"/>
      <c r="O65" s="167"/>
      <c r="P65" s="167"/>
      <c r="Q65" s="167"/>
      <c r="R65" s="167"/>
      <c r="S65" s="167"/>
      <c r="T65" s="167"/>
      <c r="U65" s="167"/>
      <c r="V65" s="167"/>
      <c r="W65" s="167"/>
      <c r="X65" s="167"/>
      <c r="Y65" s="167"/>
      <c r="Z65" s="167"/>
      <c r="AA65" s="167"/>
      <c r="AB65" s="167"/>
      <c r="AC65" s="167"/>
      <c r="AD65" s="167"/>
      <c r="AE65" s="167"/>
      <c r="AF65" s="167"/>
      <c r="AG65" s="167"/>
      <c r="AH65" s="167"/>
      <c r="AI65" s="167"/>
      <c r="AJ65" s="167"/>
      <c r="AK65" s="167"/>
      <c r="AL65" s="167"/>
      <c r="AM65" s="167"/>
      <c r="AN65" s="167"/>
      <c r="AO65" s="167"/>
      <c r="AP65" s="167"/>
      <c r="AQ65" s="167"/>
      <c r="AR65" s="167"/>
      <c r="AS65" s="167"/>
      <c r="AT65" s="167"/>
      <c r="AU65" s="167"/>
      <c r="AV65" s="167"/>
      <c r="AW65" s="167"/>
      <c r="AX65" s="167"/>
      <c r="AY65" s="167"/>
      <c r="AZ65" s="167"/>
      <c r="BA65" s="167"/>
      <c r="BB65" s="167"/>
      <c r="BC65" s="167"/>
      <c r="BD65" s="167"/>
      <c r="BE65" s="167"/>
      <c r="BF65" s="167"/>
      <c r="BG65" s="167"/>
      <c r="BH65" s="167"/>
      <c r="BI65" s="167"/>
      <c r="BJ65" s="167"/>
      <c r="BK65" s="167"/>
      <c r="BL65" s="167"/>
      <c r="BM65" s="167"/>
      <c r="BN65" s="167"/>
      <c r="BO65" s="167"/>
      <c r="BP65" s="167"/>
      <c r="BQ65" s="167"/>
      <c r="BR65" s="167"/>
      <c r="BS65" s="167"/>
      <c r="BT65" s="167"/>
      <c r="BU65" s="167"/>
      <c r="BV65" s="167"/>
      <c r="BW65" s="167"/>
      <c r="BX65" s="167"/>
      <c r="BY65" s="167"/>
      <c r="BZ65" s="167"/>
      <c r="CA65" s="167"/>
      <c r="CB65" s="167"/>
      <c r="CC65" s="167"/>
      <c r="CD65" s="167"/>
      <c r="CE65" s="167"/>
      <c r="CF65" s="167"/>
      <c r="CG65" s="167"/>
      <c r="CH65" s="167"/>
      <c r="CI65" s="167"/>
      <c r="CJ65" s="167"/>
      <c r="CK65" s="167"/>
    </row>
    <row r="66" spans="3:89" ht="11.25" customHeight="1" x14ac:dyDescent="0.2">
      <c r="C66" s="168" t="s">
        <v>330</v>
      </c>
      <c r="D66" s="168" t="s">
        <v>329</v>
      </c>
      <c r="E66" s="167"/>
      <c r="F66" s="167"/>
      <c r="G66" s="167"/>
      <c r="H66" s="167"/>
      <c r="I66" s="167"/>
      <c r="J66" s="167"/>
      <c r="K66" s="167"/>
      <c r="L66" s="167"/>
      <c r="M66" s="167"/>
      <c r="N66" s="167"/>
      <c r="O66" s="167"/>
      <c r="P66" s="167"/>
      <c r="Q66" s="167"/>
      <c r="R66" s="167"/>
      <c r="S66" s="167"/>
      <c r="T66" s="167"/>
      <c r="U66" s="167"/>
      <c r="V66" s="167"/>
      <c r="W66" s="167"/>
      <c r="X66" s="167"/>
      <c r="Y66" s="167"/>
      <c r="Z66" s="167"/>
      <c r="AA66" s="167"/>
      <c r="AB66" s="167"/>
      <c r="AC66" s="167"/>
      <c r="AD66" s="167"/>
      <c r="AE66" s="167"/>
      <c r="AF66" s="167"/>
      <c r="AG66" s="167"/>
      <c r="AH66" s="167"/>
      <c r="AI66" s="167"/>
      <c r="AJ66" s="167"/>
      <c r="AK66" s="167"/>
      <c r="AL66" s="167"/>
      <c r="AM66" s="167"/>
      <c r="AN66" s="167"/>
      <c r="AO66" s="167"/>
      <c r="AP66" s="167"/>
      <c r="AQ66" s="167"/>
      <c r="AR66" s="167"/>
      <c r="AS66" s="167"/>
      <c r="AT66" s="167"/>
      <c r="AU66" s="167"/>
      <c r="AV66" s="167"/>
      <c r="AW66" s="167"/>
      <c r="AX66" s="167"/>
      <c r="AY66" s="167"/>
      <c r="AZ66" s="167"/>
      <c r="BA66" s="167"/>
      <c r="BB66" s="167"/>
      <c r="BC66" s="167"/>
      <c r="BD66" s="167"/>
      <c r="BE66" s="167"/>
      <c r="BF66" s="167"/>
      <c r="BG66" s="167"/>
      <c r="BH66" s="167"/>
      <c r="BI66" s="167"/>
      <c r="BJ66" s="167"/>
      <c r="BK66" s="167"/>
      <c r="BL66" s="167"/>
      <c r="BM66" s="167"/>
      <c r="BN66" s="167"/>
      <c r="BO66" s="167"/>
      <c r="BP66" s="167"/>
      <c r="BQ66" s="167"/>
      <c r="BR66" s="167"/>
      <c r="BS66" s="167"/>
      <c r="BT66" s="167"/>
      <c r="BU66" s="167"/>
      <c r="BV66" s="167"/>
      <c r="BW66" s="167"/>
      <c r="BX66" s="167"/>
      <c r="BY66" s="167"/>
      <c r="BZ66" s="167"/>
      <c r="CA66" s="167"/>
      <c r="CB66" s="167"/>
      <c r="CC66" s="167"/>
      <c r="CD66" s="167"/>
      <c r="CE66" s="167"/>
      <c r="CF66" s="167"/>
      <c r="CG66" s="167"/>
      <c r="CH66" s="167"/>
      <c r="CI66" s="167"/>
      <c r="CJ66" s="167"/>
      <c r="CK66" s="167"/>
    </row>
    <row r="67" spans="3:89" ht="11.25" customHeight="1" x14ac:dyDescent="0.2">
      <c r="C67" s="164" t="s">
        <v>328</v>
      </c>
      <c r="D67" s="164" t="s">
        <v>328</v>
      </c>
      <c r="E67" s="96"/>
      <c r="F67" s="96"/>
      <c r="G67" s="163" t="str">
        <f t="shared" ref="G67:AL67" si="20">IFERROR(G38/G$9,"n/a")</f>
        <v>n/a</v>
      </c>
      <c r="H67" s="163" t="str">
        <f t="shared" si="20"/>
        <v>n/a</v>
      </c>
      <c r="I67" s="163" t="str">
        <f t="shared" si="20"/>
        <v>n/a</v>
      </c>
      <c r="J67" s="163" t="str">
        <f t="shared" si="20"/>
        <v>n/a</v>
      </c>
      <c r="K67" s="163" t="str">
        <f t="shared" si="20"/>
        <v>n/a</v>
      </c>
      <c r="L67" s="163" t="str">
        <f t="shared" si="20"/>
        <v>n/a</v>
      </c>
      <c r="M67" s="163" t="str">
        <f t="shared" si="20"/>
        <v>n/a</v>
      </c>
      <c r="N67" s="163" t="str">
        <f t="shared" si="20"/>
        <v>n/a</v>
      </c>
      <c r="O67" s="163" t="str">
        <f t="shared" si="20"/>
        <v>n/a</v>
      </c>
      <c r="P67" s="163" t="str">
        <f t="shared" si="20"/>
        <v>n/a</v>
      </c>
      <c r="Q67" s="163" t="str">
        <f t="shared" si="20"/>
        <v>n/a</v>
      </c>
      <c r="R67" s="163">
        <f t="shared" si="20"/>
        <v>304.81548158375733</v>
      </c>
      <c r="S67" s="163">
        <f t="shared" si="20"/>
        <v>0.98529267302879819</v>
      </c>
      <c r="T67" s="163">
        <f t="shared" si="20"/>
        <v>-28.106897413334124</v>
      </c>
      <c r="U67" s="163">
        <f t="shared" si="20"/>
        <v>-0.54247566496361299</v>
      </c>
      <c r="V67" s="163">
        <f t="shared" si="20"/>
        <v>2.7953982540731439</v>
      </c>
      <c r="W67" s="163">
        <f t="shared" si="20"/>
        <v>0.31973936634192301</v>
      </c>
      <c r="X67" s="163">
        <f t="shared" si="20"/>
        <v>-3.880221395735969</v>
      </c>
      <c r="Y67" s="163">
        <f t="shared" si="20"/>
        <v>-0.46623291322962607</v>
      </c>
      <c r="Z67" s="163">
        <f t="shared" si="20"/>
        <v>3.6170474079469739</v>
      </c>
      <c r="AA67" s="163">
        <f t="shared" si="20"/>
        <v>-4.6351915370536378</v>
      </c>
      <c r="AB67" s="163">
        <f t="shared" si="20"/>
        <v>-0.31900723837225975</v>
      </c>
      <c r="AC67" s="163">
        <f t="shared" si="20"/>
        <v>-5.298148921286586</v>
      </c>
      <c r="AD67" s="163">
        <f t="shared" si="20"/>
        <v>0.88068590975771255</v>
      </c>
      <c r="AE67" s="163">
        <f t="shared" si="20"/>
        <v>-0.45141503158278495</v>
      </c>
      <c r="AF67" s="163">
        <f t="shared" si="20"/>
        <v>0.94363837291455721</v>
      </c>
      <c r="AG67" s="163">
        <f t="shared" si="20"/>
        <v>2.4589103979131517</v>
      </c>
      <c r="AH67" s="163">
        <f t="shared" si="20"/>
        <v>5.8876881044985359</v>
      </c>
      <c r="AI67" s="163">
        <f t="shared" si="20"/>
        <v>1.4665720521368466</v>
      </c>
      <c r="AJ67" s="163">
        <f t="shared" si="20"/>
        <v>-5.24966639156123E-2</v>
      </c>
      <c r="AK67" s="163">
        <f t="shared" si="20"/>
        <v>-0.88311297816031786</v>
      </c>
      <c r="AL67" s="163">
        <f t="shared" si="20"/>
        <v>1.5474227916753545</v>
      </c>
      <c r="AM67" s="163">
        <f t="shared" ref="AM67:BR67" si="21">IFERROR(AM38/AM$9,"n/a")</f>
        <v>-4.9172661813400342</v>
      </c>
      <c r="AN67" s="163">
        <f t="shared" si="21"/>
        <v>1.9862205094786178</v>
      </c>
      <c r="AO67" s="163">
        <f t="shared" si="21"/>
        <v>-0.23009804508178114</v>
      </c>
      <c r="AP67" s="163">
        <f t="shared" si="21"/>
        <v>2.9234260394752414</v>
      </c>
      <c r="AQ67" s="163">
        <f t="shared" si="21"/>
        <v>-1.4629983172133676</v>
      </c>
      <c r="AR67" s="163">
        <f t="shared" si="21"/>
        <v>3.7701734616438434</v>
      </c>
      <c r="AS67" s="163">
        <f t="shared" si="21"/>
        <v>0.44011314603115059</v>
      </c>
      <c r="AT67" s="163">
        <f t="shared" si="21"/>
        <v>-0.77726729151133245</v>
      </c>
      <c r="AU67" s="163">
        <f t="shared" si="21"/>
        <v>-0.6087661077404336</v>
      </c>
      <c r="AV67" s="163">
        <f t="shared" si="21"/>
        <v>-64.961519519937525</v>
      </c>
      <c r="AW67" s="163">
        <f t="shared" si="21"/>
        <v>-0.29281598216120158</v>
      </c>
      <c r="AX67" s="163">
        <f t="shared" si="21"/>
        <v>0.6837306966958524</v>
      </c>
      <c r="AY67" s="163">
        <f t="shared" si="21"/>
        <v>1.1970665387894736E-2</v>
      </c>
      <c r="AZ67" s="163">
        <f t="shared" si="21"/>
        <v>-1.5680781751780808</v>
      </c>
      <c r="BA67" s="163">
        <f t="shared" si="21"/>
        <v>-1.6256883348855524</v>
      </c>
      <c r="BB67" s="163" t="str">
        <f t="shared" si="21"/>
        <v>n/a</v>
      </c>
      <c r="BC67" s="163" t="str">
        <f t="shared" si="21"/>
        <v>n/a</v>
      </c>
      <c r="BD67" s="163" t="str">
        <f t="shared" si="21"/>
        <v>n/a</v>
      </c>
      <c r="BE67" s="163" t="str">
        <f t="shared" si="21"/>
        <v>n/a</v>
      </c>
      <c r="BF67" s="163" t="str">
        <f t="shared" si="21"/>
        <v>n/a</v>
      </c>
      <c r="BG67" s="163" t="str">
        <f t="shared" si="21"/>
        <v>n/a</v>
      </c>
      <c r="BH67" s="163" t="str">
        <f t="shared" si="21"/>
        <v>n/a</v>
      </c>
      <c r="BI67" s="163" t="str">
        <f t="shared" si="21"/>
        <v>n/a</v>
      </c>
      <c r="BJ67" s="163" t="str">
        <f t="shared" si="21"/>
        <v>n/a</v>
      </c>
      <c r="BK67" s="163" t="str">
        <f t="shared" si="21"/>
        <v>n/a</v>
      </c>
      <c r="BL67" s="163" t="str">
        <f t="shared" si="21"/>
        <v>n/a</v>
      </c>
      <c r="BM67" s="163" t="str">
        <f t="shared" si="21"/>
        <v>n/a</v>
      </c>
      <c r="BN67" s="163" t="str">
        <f t="shared" si="21"/>
        <v>n/a</v>
      </c>
      <c r="BO67" s="163" t="str">
        <f t="shared" si="21"/>
        <v>n/a</v>
      </c>
      <c r="BP67" s="163" t="str">
        <f t="shared" si="21"/>
        <v>n/a</v>
      </c>
      <c r="BQ67" s="163" t="str">
        <f t="shared" si="21"/>
        <v>n/a</v>
      </c>
      <c r="BR67" s="163" t="str">
        <f t="shared" si="21"/>
        <v>n/a</v>
      </c>
      <c r="BS67" s="163" t="str">
        <f t="shared" ref="BS67:CK67" si="22">IFERROR(BS38/BS$9,"n/a")</f>
        <v>n/a</v>
      </c>
      <c r="BT67" s="163" t="str">
        <f t="shared" si="22"/>
        <v>n/a</v>
      </c>
      <c r="BU67" s="163" t="str">
        <f t="shared" si="22"/>
        <v>n/a</v>
      </c>
      <c r="BV67" s="163" t="str">
        <f t="shared" si="22"/>
        <v>n/a</v>
      </c>
      <c r="BW67" s="163" t="str">
        <f t="shared" si="22"/>
        <v>n/a</v>
      </c>
      <c r="BX67" s="163" t="str">
        <f t="shared" si="22"/>
        <v>n/a</v>
      </c>
      <c r="BY67" s="163" t="str">
        <f t="shared" si="22"/>
        <v>n/a</v>
      </c>
      <c r="BZ67" s="163" t="str">
        <f t="shared" si="22"/>
        <v>n/a</v>
      </c>
      <c r="CA67" s="163" t="str">
        <f t="shared" si="22"/>
        <v>n/a</v>
      </c>
      <c r="CB67" s="163" t="str">
        <f t="shared" si="22"/>
        <v>n/a</v>
      </c>
      <c r="CC67" s="163" t="str">
        <f t="shared" si="22"/>
        <v>n/a</v>
      </c>
      <c r="CD67" s="163" t="str">
        <f t="shared" si="22"/>
        <v>n/a</v>
      </c>
      <c r="CE67" s="163" t="str">
        <f t="shared" si="22"/>
        <v>n/a</v>
      </c>
      <c r="CF67" s="163" t="str">
        <f t="shared" si="22"/>
        <v>n/a</v>
      </c>
      <c r="CG67" s="163" t="str">
        <f t="shared" si="22"/>
        <v>n/a</v>
      </c>
      <c r="CH67" s="163" t="str">
        <f t="shared" si="22"/>
        <v>n/a</v>
      </c>
      <c r="CI67" s="163" t="str">
        <f t="shared" si="22"/>
        <v>n/a</v>
      </c>
      <c r="CJ67" s="163" t="str">
        <f t="shared" si="22"/>
        <v>n/a</v>
      </c>
      <c r="CK67" s="163" t="str">
        <f t="shared" si="22"/>
        <v>n/a</v>
      </c>
    </row>
    <row r="68" spans="3:89" ht="11.25" customHeight="1" x14ac:dyDescent="0.2">
      <c r="C68" s="164" t="s">
        <v>327</v>
      </c>
      <c r="D68" s="164" t="s">
        <v>327</v>
      </c>
      <c r="E68" s="96"/>
      <c r="F68" s="96"/>
      <c r="G68" s="163" t="str">
        <f t="shared" ref="G68:AL68" si="23">IFERROR((G38+G45)/G$9,"n/a")</f>
        <v>n/a</v>
      </c>
      <c r="H68" s="163" t="str">
        <f t="shared" si="23"/>
        <v>n/a</v>
      </c>
      <c r="I68" s="163" t="str">
        <f t="shared" si="23"/>
        <v>n/a</v>
      </c>
      <c r="J68" s="163" t="str">
        <f t="shared" si="23"/>
        <v>n/a</v>
      </c>
      <c r="K68" s="163" t="str">
        <f t="shared" si="23"/>
        <v>n/a</v>
      </c>
      <c r="L68" s="163" t="str">
        <f t="shared" si="23"/>
        <v>n/a</v>
      </c>
      <c r="M68" s="163" t="str">
        <f t="shared" si="23"/>
        <v>n/a</v>
      </c>
      <c r="N68" s="163" t="str">
        <f t="shared" si="23"/>
        <v>n/a</v>
      </c>
      <c r="O68" s="163" t="str">
        <f t="shared" si="23"/>
        <v>n/a</v>
      </c>
      <c r="P68" s="163" t="str">
        <f t="shared" si="23"/>
        <v>n/a</v>
      </c>
      <c r="Q68" s="163" t="str">
        <f t="shared" si="23"/>
        <v>n/a</v>
      </c>
      <c r="R68" s="163">
        <f t="shared" si="23"/>
        <v>40.241875123121687</v>
      </c>
      <c r="S68" s="163">
        <f t="shared" si="23"/>
        <v>0.39852490581878025</v>
      </c>
      <c r="T68" s="163">
        <f t="shared" si="23"/>
        <v>-95.375647752826893</v>
      </c>
      <c r="U68" s="163">
        <f t="shared" si="23"/>
        <v>-0.16352229701505083</v>
      </c>
      <c r="V68" s="163">
        <f t="shared" si="23"/>
        <v>0.17502318941415254</v>
      </c>
      <c r="W68" s="163">
        <f t="shared" si="23"/>
        <v>-2.7424866451708944E-2</v>
      </c>
      <c r="X68" s="163">
        <f t="shared" si="23"/>
        <v>-0.51754582672161042</v>
      </c>
      <c r="Y68" s="163">
        <f t="shared" si="23"/>
        <v>-2.3409591331031078E-2</v>
      </c>
      <c r="Z68" s="163">
        <f t="shared" si="23"/>
        <v>1.9900989754897493E-2</v>
      </c>
      <c r="AA68" s="163">
        <f t="shared" si="23"/>
        <v>-0.13686816938039062</v>
      </c>
      <c r="AB68" s="163">
        <f t="shared" si="23"/>
        <v>-5.2461584366341414E-2</v>
      </c>
      <c r="AC68" s="163">
        <f t="shared" si="23"/>
        <v>0.20703734552057615</v>
      </c>
      <c r="AD68" s="163">
        <f t="shared" si="23"/>
        <v>-0.12757645475451529</v>
      </c>
      <c r="AE68" s="163">
        <f t="shared" si="23"/>
        <v>-0.10444494453390016</v>
      </c>
      <c r="AF68" s="163">
        <f t="shared" si="23"/>
        <v>0.19501882293324421</v>
      </c>
      <c r="AG68" s="163">
        <f t="shared" si="23"/>
        <v>8.2603133823224653</v>
      </c>
      <c r="AH68" s="163">
        <f t="shared" si="23"/>
        <v>-0.36441034820954077</v>
      </c>
      <c r="AI68" s="163">
        <f t="shared" si="23"/>
        <v>-0.23766999138601955</v>
      </c>
      <c r="AJ68" s="163">
        <f t="shared" si="23"/>
        <v>5.6080240454434924E-2</v>
      </c>
      <c r="AK68" s="163">
        <f t="shared" si="23"/>
        <v>4.8954210322901141E-2</v>
      </c>
      <c r="AL68" s="163">
        <f t="shared" si="23"/>
        <v>-3.491369023118257E-2</v>
      </c>
      <c r="AM68" s="163">
        <f t="shared" ref="AM68:BR68" si="24">IFERROR((AM38+AM45)/AM$9,"n/a")</f>
        <v>0.47408806798620262</v>
      </c>
      <c r="AN68" s="163">
        <f t="shared" si="24"/>
        <v>0.83796559145407223</v>
      </c>
      <c r="AO68" s="163">
        <f t="shared" si="24"/>
        <v>-6.2155214712090049E-3</v>
      </c>
      <c r="AP68" s="163">
        <f t="shared" si="24"/>
        <v>-0.2103817986084825</v>
      </c>
      <c r="AQ68" s="163">
        <f t="shared" si="24"/>
        <v>-0.18234102798531984</v>
      </c>
      <c r="AR68" s="163">
        <f t="shared" si="24"/>
        <v>1.5366888980630729</v>
      </c>
      <c r="AS68" s="163">
        <f t="shared" si="24"/>
        <v>-0.46308513450616284</v>
      </c>
      <c r="AT68" s="163">
        <f t="shared" si="24"/>
        <v>-0.13112791943483323</v>
      </c>
      <c r="AU68" s="163">
        <f t="shared" si="24"/>
        <v>-0.10064054505548692</v>
      </c>
      <c r="AV68" s="163">
        <f t="shared" si="24"/>
        <v>-7.7247576401565521</v>
      </c>
      <c r="AW68" s="163">
        <f t="shared" si="24"/>
        <v>-4.4771235840355764E-2</v>
      </c>
      <c r="AX68" s="163">
        <f t="shared" si="24"/>
        <v>-0.14845690289868724</v>
      </c>
      <c r="AY68" s="163">
        <f t="shared" si="24"/>
        <v>-6.839680241643209E-2</v>
      </c>
      <c r="AZ68" s="163">
        <f t="shared" si="24"/>
        <v>-1.3973723401416222E-2</v>
      </c>
      <c r="BA68" s="163">
        <f t="shared" si="24"/>
        <v>-0.86524184349499778</v>
      </c>
      <c r="BB68" s="163" t="str">
        <f t="shared" si="24"/>
        <v>n/a</v>
      </c>
      <c r="BC68" s="163" t="str">
        <f t="shared" si="24"/>
        <v>n/a</v>
      </c>
      <c r="BD68" s="163" t="str">
        <f t="shared" si="24"/>
        <v>n/a</v>
      </c>
      <c r="BE68" s="163" t="str">
        <f t="shared" si="24"/>
        <v>n/a</v>
      </c>
      <c r="BF68" s="163" t="str">
        <f t="shared" si="24"/>
        <v>n/a</v>
      </c>
      <c r="BG68" s="163" t="str">
        <f t="shared" si="24"/>
        <v>n/a</v>
      </c>
      <c r="BH68" s="163" t="str">
        <f t="shared" si="24"/>
        <v>n/a</v>
      </c>
      <c r="BI68" s="163" t="str">
        <f t="shared" si="24"/>
        <v>n/a</v>
      </c>
      <c r="BJ68" s="163" t="str">
        <f t="shared" si="24"/>
        <v>n/a</v>
      </c>
      <c r="BK68" s="163" t="str">
        <f t="shared" si="24"/>
        <v>n/a</v>
      </c>
      <c r="BL68" s="163" t="str">
        <f t="shared" si="24"/>
        <v>n/a</v>
      </c>
      <c r="BM68" s="163" t="str">
        <f t="shared" si="24"/>
        <v>n/a</v>
      </c>
      <c r="BN68" s="163" t="str">
        <f t="shared" si="24"/>
        <v>n/a</v>
      </c>
      <c r="BO68" s="163" t="str">
        <f t="shared" si="24"/>
        <v>n/a</v>
      </c>
      <c r="BP68" s="163" t="str">
        <f t="shared" si="24"/>
        <v>n/a</v>
      </c>
      <c r="BQ68" s="163" t="str">
        <f t="shared" si="24"/>
        <v>n/a</v>
      </c>
      <c r="BR68" s="163" t="str">
        <f t="shared" si="24"/>
        <v>n/a</v>
      </c>
      <c r="BS68" s="163" t="str">
        <f t="shared" ref="BS68:CK68" si="25">IFERROR((BS38+BS45)/BS$9,"n/a")</f>
        <v>n/a</v>
      </c>
      <c r="BT68" s="163" t="str">
        <f t="shared" si="25"/>
        <v>n/a</v>
      </c>
      <c r="BU68" s="163" t="str">
        <f t="shared" si="25"/>
        <v>n/a</v>
      </c>
      <c r="BV68" s="163" t="str">
        <f t="shared" si="25"/>
        <v>n/a</v>
      </c>
      <c r="BW68" s="163" t="str">
        <f t="shared" si="25"/>
        <v>n/a</v>
      </c>
      <c r="BX68" s="163" t="str">
        <f t="shared" si="25"/>
        <v>n/a</v>
      </c>
      <c r="BY68" s="163" t="str">
        <f t="shared" si="25"/>
        <v>n/a</v>
      </c>
      <c r="BZ68" s="163" t="str">
        <f t="shared" si="25"/>
        <v>n/a</v>
      </c>
      <c r="CA68" s="163" t="str">
        <f t="shared" si="25"/>
        <v>n/a</v>
      </c>
      <c r="CB68" s="163" t="str">
        <f t="shared" si="25"/>
        <v>n/a</v>
      </c>
      <c r="CC68" s="163" t="str">
        <f t="shared" si="25"/>
        <v>n/a</v>
      </c>
      <c r="CD68" s="163" t="str">
        <f t="shared" si="25"/>
        <v>n/a</v>
      </c>
      <c r="CE68" s="163" t="str">
        <f t="shared" si="25"/>
        <v>n/a</v>
      </c>
      <c r="CF68" s="163" t="str">
        <f t="shared" si="25"/>
        <v>n/a</v>
      </c>
      <c r="CG68" s="163" t="str">
        <f t="shared" si="25"/>
        <v>n/a</v>
      </c>
      <c r="CH68" s="163" t="str">
        <f t="shared" si="25"/>
        <v>n/a</v>
      </c>
      <c r="CI68" s="163" t="str">
        <f t="shared" si="25"/>
        <v>n/a</v>
      </c>
      <c r="CJ68" s="163" t="str">
        <f t="shared" si="25"/>
        <v>n/a</v>
      </c>
      <c r="CK68" s="163" t="str">
        <f t="shared" si="25"/>
        <v>n/a</v>
      </c>
    </row>
    <row r="69" spans="3:89" ht="4.5" customHeight="1" x14ac:dyDescent="0.2">
      <c r="C69" s="37"/>
      <c r="D69" s="37"/>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row>
    <row r="70" spans="3:89" ht="11.25" customHeight="1" x14ac:dyDescent="0.2">
      <c r="C70" s="76" t="str">
        <f>"Quelle: "&amp;Cockpit!$C$7</f>
        <v>Quelle: Datenraum/ eigene Analysen</v>
      </c>
      <c r="D70" s="76" t="str">
        <f>"Source: "&amp;Cockpit!$C$8</f>
        <v>Source: Virtual Data Room/ Company Information</v>
      </c>
      <c r="E70" s="127"/>
      <c r="F70" s="127"/>
      <c r="G70" s="127"/>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7"/>
      <c r="BZ70" s="127"/>
      <c r="CA70" s="127"/>
      <c r="CB70" s="127"/>
      <c r="CC70" s="127"/>
      <c r="CD70" s="127"/>
      <c r="CE70" s="127"/>
      <c r="CF70" s="127"/>
      <c r="CG70" s="127"/>
      <c r="CH70" s="127"/>
      <c r="CI70" s="127"/>
      <c r="CJ70" s="127"/>
      <c r="CK70" s="127"/>
    </row>
    <row r="71" spans="3:89" ht="11.25" customHeight="1" x14ac:dyDescent="0.2"/>
    <row r="72" spans="3:89" ht="11.25" customHeight="1" x14ac:dyDescent="0.2"/>
    <row r="73" spans="3:89" ht="11.25" customHeight="1" x14ac:dyDescent="0.25">
      <c r="E73" s="159" t="s">
        <v>326</v>
      </c>
      <c r="F73" s="159"/>
      <c r="G73" s="159"/>
      <c r="H73" s="159"/>
      <c r="I73" s="159"/>
      <c r="J73" s="159"/>
      <c r="K73" s="159"/>
      <c r="L73" s="159"/>
      <c r="M73" s="159"/>
      <c r="N73" s="159"/>
      <c r="O73" s="159"/>
      <c r="P73" s="159"/>
      <c r="Q73" s="159"/>
      <c r="R73" s="159"/>
      <c r="S73" s="159"/>
      <c r="T73" s="159"/>
      <c r="U73" s="159"/>
      <c r="V73" s="159"/>
      <c r="W73" s="159"/>
      <c r="X73" s="159"/>
      <c r="Y73" s="159"/>
      <c r="Z73" s="159"/>
      <c r="AA73" s="159"/>
      <c r="AB73" s="159"/>
      <c r="AC73" s="159"/>
      <c r="AD73" s="159"/>
      <c r="AE73" s="159"/>
      <c r="AF73" s="159"/>
      <c r="AG73" s="159"/>
      <c r="AH73" s="159"/>
      <c r="AI73" s="159"/>
      <c r="AJ73" s="159"/>
      <c r="AK73" s="159"/>
      <c r="AL73" s="159"/>
      <c r="AM73" s="159"/>
      <c r="AN73" s="159"/>
      <c r="AO73" s="159"/>
      <c r="AP73" s="159"/>
      <c r="AQ73" s="159"/>
      <c r="AR73" s="159"/>
      <c r="AS73" s="159"/>
      <c r="AT73" s="159"/>
      <c r="AU73" s="159"/>
      <c r="AV73" s="159"/>
      <c r="AW73" s="159"/>
      <c r="AX73" s="159"/>
      <c r="AY73" s="159"/>
      <c r="AZ73" s="159"/>
      <c r="BA73" s="159"/>
      <c r="BB73" s="159"/>
      <c r="BC73" s="159"/>
      <c r="BD73" s="159"/>
      <c r="BE73" s="159"/>
      <c r="BF73" s="159"/>
      <c r="BG73" s="159"/>
      <c r="BH73" s="159"/>
      <c r="BI73" s="159"/>
      <c r="BJ73" s="159"/>
      <c r="BK73" s="159"/>
      <c r="BL73" s="159"/>
      <c r="BM73" s="159"/>
      <c r="BN73" s="159"/>
      <c r="BO73" s="159"/>
      <c r="BP73" s="159"/>
      <c r="BQ73" s="159"/>
      <c r="BR73" s="159"/>
      <c r="BS73" s="159"/>
      <c r="BT73" s="159"/>
      <c r="BU73" s="159"/>
      <c r="BV73" s="159"/>
      <c r="BW73" s="159"/>
      <c r="BX73" s="159"/>
      <c r="BY73" s="159"/>
      <c r="BZ73" s="159"/>
      <c r="CA73" s="159"/>
      <c r="CB73" s="159"/>
      <c r="CC73" s="159"/>
      <c r="CD73" s="159"/>
      <c r="CE73" s="159"/>
      <c r="CF73" s="159"/>
      <c r="CG73" s="159"/>
      <c r="CH73" s="159"/>
      <c r="CI73" s="159"/>
      <c r="CJ73" s="159"/>
      <c r="CK73" s="159"/>
    </row>
    <row r="74" spans="3:89" x14ac:dyDescent="0.2">
      <c r="C74" s="72" t="s">
        <v>325</v>
      </c>
      <c r="D74" s="72" t="s">
        <v>324</v>
      </c>
      <c r="E74" s="71">
        <f>'Lead NA'!E43</f>
        <v>0</v>
      </c>
      <c r="F74" s="71"/>
      <c r="G74" s="71"/>
      <c r="H74" s="71"/>
      <c r="I74" s="71"/>
      <c r="J74" s="71"/>
      <c r="K74" s="71"/>
      <c r="L74" s="71"/>
      <c r="M74" s="71"/>
      <c r="N74" s="71"/>
      <c r="O74" s="71"/>
      <c r="P74" s="71"/>
      <c r="Q74" s="71">
        <f>'Lead NA'!F43</f>
        <v>3008.3486599999997</v>
      </c>
      <c r="R74" s="71"/>
      <c r="S74" s="71"/>
      <c r="T74" s="71"/>
      <c r="U74" s="71"/>
      <c r="V74" s="71"/>
      <c r="W74" s="71"/>
      <c r="X74" s="71"/>
      <c r="Y74" s="71"/>
      <c r="Z74" s="71"/>
      <c r="AA74" s="71"/>
      <c r="AB74" s="71"/>
      <c r="AC74" s="71">
        <f>'Lead NA'!G43</f>
        <v>2715.5673000000002</v>
      </c>
      <c r="AD74" s="71"/>
      <c r="AE74" s="71"/>
      <c r="AF74" s="71"/>
      <c r="AG74" s="71"/>
      <c r="AH74" s="71"/>
      <c r="AI74" s="71"/>
      <c r="AJ74" s="71"/>
      <c r="AK74" s="71"/>
      <c r="AL74" s="71"/>
      <c r="AM74" s="71"/>
      <c r="AN74" s="71"/>
      <c r="AO74" s="71">
        <f>'Lead NA'!H43</f>
        <v>1004.06084</v>
      </c>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c r="CC74" s="71"/>
      <c r="CD74" s="71"/>
      <c r="CE74" s="71"/>
      <c r="CF74" s="71"/>
      <c r="CG74" s="71"/>
      <c r="CH74" s="71"/>
      <c r="CI74" s="71"/>
      <c r="CJ74" s="71"/>
      <c r="CK74" s="71"/>
    </row>
    <row r="75" spans="3:89" x14ac:dyDescent="0.2">
      <c r="C75" s="70" t="s">
        <v>233</v>
      </c>
      <c r="D75" s="69" t="s">
        <v>233</v>
      </c>
      <c r="E75" s="158">
        <f>E74-E64</f>
        <v>0</v>
      </c>
      <c r="F75" s="158"/>
      <c r="G75" s="158"/>
      <c r="H75" s="158"/>
      <c r="I75" s="158"/>
      <c r="J75" s="158"/>
      <c r="K75" s="158"/>
      <c r="L75" s="158"/>
      <c r="M75" s="158"/>
      <c r="N75" s="158"/>
      <c r="O75" s="158"/>
      <c r="P75" s="158"/>
      <c r="Q75" s="68">
        <f>Q64-Q74</f>
        <v>-7608.7346099999995</v>
      </c>
      <c r="R75" s="158"/>
      <c r="S75" s="158"/>
      <c r="T75" s="158"/>
      <c r="U75" s="158"/>
      <c r="V75" s="158"/>
      <c r="W75" s="158"/>
      <c r="X75" s="158"/>
      <c r="Y75" s="158"/>
      <c r="Z75" s="158"/>
      <c r="AA75" s="158"/>
      <c r="AB75" s="158"/>
      <c r="AC75" s="158">
        <f>AC74-AC64</f>
        <v>7108.8774600000015</v>
      </c>
      <c r="AD75" s="158"/>
      <c r="AE75" s="158"/>
      <c r="AF75" s="158"/>
      <c r="AG75" s="158"/>
      <c r="AH75" s="158"/>
      <c r="AI75" s="158"/>
      <c r="AJ75" s="158"/>
      <c r="AK75" s="158"/>
      <c r="AL75" s="158"/>
      <c r="AM75" s="158"/>
      <c r="AN75" s="158"/>
      <c r="AO75" s="158">
        <f>AO74-AO64</f>
        <v>4341.0421199999982</v>
      </c>
      <c r="AP75" s="158"/>
      <c r="AQ75" s="158"/>
      <c r="AR75" s="158"/>
      <c r="AS75" s="158"/>
      <c r="AT75" s="158"/>
      <c r="AU75" s="158"/>
      <c r="AV75" s="158"/>
      <c r="AW75" s="158"/>
      <c r="AX75" s="158"/>
      <c r="AY75" s="158"/>
      <c r="AZ75" s="158"/>
      <c r="BA75" s="158"/>
      <c r="BB75" s="158"/>
      <c r="BC75" s="158"/>
      <c r="BD75" s="158"/>
      <c r="BE75" s="158"/>
      <c r="BF75" s="158"/>
      <c r="BG75" s="158"/>
      <c r="BH75" s="158"/>
      <c r="BI75" s="158"/>
      <c r="BJ75" s="158"/>
      <c r="BK75" s="158"/>
      <c r="BL75" s="158"/>
      <c r="BM75" s="158"/>
      <c r="BN75" s="158"/>
      <c r="BO75" s="158"/>
      <c r="BP75" s="158"/>
      <c r="BQ75" s="158"/>
      <c r="BR75" s="158"/>
      <c r="BS75" s="158"/>
      <c r="BT75" s="158"/>
      <c r="BU75" s="158"/>
      <c r="BV75" s="158"/>
      <c r="BW75" s="158"/>
      <c r="BX75" s="158"/>
      <c r="BY75" s="158"/>
      <c r="BZ75" s="158"/>
      <c r="CA75" s="158"/>
      <c r="CB75" s="158"/>
      <c r="CC75" s="158"/>
      <c r="CD75" s="158"/>
      <c r="CE75" s="158"/>
      <c r="CF75" s="158"/>
      <c r="CG75" s="158"/>
      <c r="CH75" s="158"/>
      <c r="CI75" s="158"/>
      <c r="CJ75" s="158"/>
      <c r="CK75" s="158"/>
    </row>
    <row r="76" spans="3:89" x14ac:dyDescent="0.2">
      <c r="Q76" s="1">
        <f>'Lead NA'!F23-'Lead NA'!E23</f>
        <v>2931.19749</v>
      </c>
      <c r="AC76" s="1">
        <f>'Lead NA'!G23-'Lead NA'!F23</f>
        <v>408.9953900000005</v>
      </c>
      <c r="AO76" s="1">
        <f>'Lead NA'!H23-'Lead NA'!G23</f>
        <v>1234.05411</v>
      </c>
    </row>
    <row r="77" spans="3:89" x14ac:dyDescent="0.2">
      <c r="C77" s="70" t="s">
        <v>760</v>
      </c>
      <c r="D77" s="70" t="s">
        <v>760</v>
      </c>
      <c r="E77" s="158"/>
      <c r="F77" s="158"/>
      <c r="G77" s="158"/>
      <c r="H77" s="158"/>
      <c r="I77" s="158"/>
      <c r="J77" s="158"/>
      <c r="K77" s="158"/>
      <c r="L77" s="158"/>
      <c r="M77" s="158"/>
      <c r="N77" s="158"/>
      <c r="O77" s="158"/>
      <c r="P77" s="158"/>
      <c r="Q77" s="68">
        <f>Q20-Q76</f>
        <v>-5862.39498</v>
      </c>
      <c r="R77" s="158"/>
      <c r="S77" s="158"/>
      <c r="T77" s="158"/>
      <c r="U77" s="158"/>
      <c r="V77" s="158"/>
      <c r="W77" s="158"/>
      <c r="X77" s="158"/>
      <c r="Y77" s="158"/>
      <c r="Z77" s="158"/>
      <c r="AA77" s="158"/>
      <c r="AB77" s="158"/>
      <c r="AC77" s="68">
        <f>AC20-AC76</f>
        <v>666.21480999999903</v>
      </c>
      <c r="AD77" s="158"/>
      <c r="AE77" s="158"/>
      <c r="AF77" s="158"/>
      <c r="AG77" s="158"/>
      <c r="AH77" s="158"/>
      <c r="AI77" s="158"/>
      <c r="AJ77" s="158"/>
      <c r="AK77" s="158"/>
      <c r="AL77" s="158"/>
      <c r="AM77" s="158"/>
      <c r="AN77" s="158"/>
      <c r="AO77" s="68">
        <f>AO20-AO76</f>
        <v>-2620.7573100000004</v>
      </c>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c r="BW77" s="158"/>
      <c r="BX77" s="158"/>
      <c r="BY77" s="158"/>
      <c r="BZ77" s="158"/>
      <c r="CA77" s="158"/>
      <c r="CB77" s="158"/>
      <c r="CC77" s="158"/>
      <c r="CD77" s="158"/>
      <c r="CE77" s="158"/>
      <c r="CF77" s="158"/>
      <c r="CG77" s="158"/>
      <c r="CH77" s="158"/>
      <c r="CI77" s="158"/>
      <c r="CJ77" s="158"/>
      <c r="CK77" s="158"/>
    </row>
    <row r="78" spans="3:89" x14ac:dyDescent="0.2">
      <c r="Q78" s="1">
        <f>'Lead NA'!F41-'Lead NA'!E41</f>
        <v>-912.75600999999983</v>
      </c>
      <c r="AC78" s="1">
        <f>'Lead NA'!G41-'Lead NA'!F41</f>
        <v>559.97302000000025</v>
      </c>
      <c r="AO78" s="1">
        <f>'Lead NA'!H41-'Lead NA'!G41</f>
        <v>71.756829999999184</v>
      </c>
    </row>
    <row r="79" spans="3:89" x14ac:dyDescent="0.2">
      <c r="C79" s="70" t="s">
        <v>761</v>
      </c>
      <c r="D79" s="70" t="s">
        <v>761</v>
      </c>
      <c r="E79" s="158"/>
      <c r="F79" s="158"/>
      <c r="G79" s="158"/>
      <c r="H79" s="158"/>
      <c r="I79" s="158"/>
      <c r="J79" s="158"/>
      <c r="K79" s="158"/>
      <c r="L79" s="158"/>
      <c r="M79" s="158"/>
      <c r="N79" s="158"/>
      <c r="O79" s="158"/>
      <c r="P79" s="158"/>
      <c r="Q79" s="68">
        <f>Q37-Q78</f>
        <v>1825.5120199999997</v>
      </c>
      <c r="R79" s="158"/>
      <c r="S79" s="158"/>
      <c r="T79" s="158"/>
      <c r="U79" s="158"/>
      <c r="V79" s="158"/>
      <c r="W79" s="158"/>
      <c r="X79" s="158"/>
      <c r="Y79" s="158"/>
      <c r="Z79" s="158"/>
      <c r="AA79" s="158"/>
      <c r="AB79" s="158"/>
      <c r="AC79" s="68">
        <f>AC37-AC78</f>
        <v>-744.90499000000057</v>
      </c>
      <c r="AD79" s="158"/>
      <c r="AE79" s="158"/>
      <c r="AF79" s="158"/>
      <c r="AG79" s="158"/>
      <c r="AH79" s="158"/>
      <c r="AI79" s="158"/>
      <c r="AJ79" s="158"/>
      <c r="AK79" s="158"/>
      <c r="AL79" s="158"/>
      <c r="AM79" s="158"/>
      <c r="AN79" s="158"/>
      <c r="AO79" s="68">
        <f>AO37-AO78</f>
        <v>-146.728139999999</v>
      </c>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c r="BW79" s="158"/>
      <c r="BX79" s="158"/>
      <c r="BY79" s="158"/>
      <c r="BZ79" s="158"/>
      <c r="CA79" s="158"/>
      <c r="CB79" s="158"/>
      <c r="CC79" s="158"/>
      <c r="CD79" s="158"/>
      <c r="CE79" s="158"/>
      <c r="CF79" s="158"/>
      <c r="CG79" s="158"/>
      <c r="CH79" s="158"/>
      <c r="CI79" s="158"/>
      <c r="CJ79" s="158"/>
      <c r="CK79" s="158"/>
    </row>
  </sheetData>
  <conditionalFormatting sqref="E75:CK75">
    <cfRule type="cellIs" dxfId="166" priority="43" operator="between">
      <formula>-1</formula>
      <formula>1</formula>
    </cfRule>
    <cfRule type="cellIs" dxfId="165" priority="44" operator="lessThan">
      <formula>-1</formula>
    </cfRule>
    <cfRule type="cellIs" dxfId="164" priority="45" operator="greaterThan">
      <formula>1</formula>
    </cfRule>
  </conditionalFormatting>
  <conditionalFormatting sqref="E77:CK77">
    <cfRule type="cellIs" dxfId="163" priority="16" operator="between">
      <formula>-1</formula>
      <formula>1</formula>
    </cfRule>
    <cfRule type="cellIs" dxfId="162" priority="17" operator="lessThan">
      <formula>-1</formula>
    </cfRule>
    <cfRule type="cellIs" dxfId="161" priority="18" operator="greaterThan">
      <formula>1</formula>
    </cfRule>
  </conditionalFormatting>
  <conditionalFormatting sqref="E79:CK79">
    <cfRule type="cellIs" dxfId="160" priority="7" operator="between">
      <formula>-1</formula>
      <formula>1</formula>
    </cfRule>
    <cfRule type="cellIs" dxfId="159" priority="8" operator="lessThan">
      <formula>-1</formula>
    </cfRule>
    <cfRule type="cellIs" dxfId="158" priority="9" operator="greaterThan">
      <formula>1</formula>
    </cfRule>
  </conditionalFormatting>
  <pageMargins left="0.7" right="0.7" top="0.78740157499999996" bottom="0.78740157499999996" header="0.3" footer="0.3"/>
  <pageSetup paperSize="9" scale="59" orientation="portrait" r:id="rId1"/>
  <colBreaks count="1" manualBreakCount="1">
    <brk id="91"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02F4-99E1-48EC-8C3D-BC1F9DBB65A8}">
  <dimension ref="B1:O22"/>
  <sheetViews>
    <sheetView topLeftCell="A2" workbookViewId="0"/>
  </sheetViews>
  <sheetFormatPr defaultColWidth="11.28515625" defaultRowHeight="12" outlineLevelRow="3" outlineLevelCol="2" x14ac:dyDescent="0.2"/>
  <cols>
    <col min="1" max="1" width="11.28515625" style="1"/>
    <col min="2" max="2" width="0.85546875" style="1" hidden="1" customWidth="1" outlineLevel="2"/>
    <col min="3" max="3" width="29.140625" style="1" hidden="1" customWidth="1" outlineLevel="2"/>
    <col min="4" max="4" width="29.140625" style="1" customWidth="1" collapsed="1"/>
    <col min="5" max="5" width="10.42578125" style="1" customWidth="1"/>
    <col min="6" max="9" width="9.42578125" style="1" customWidth="1"/>
    <col min="10" max="13" width="9.42578125" style="1" hidden="1" customWidth="1" outlineLevel="1"/>
    <col min="14" max="14" width="0.85546875" style="1" hidden="1" customWidth="1" outlineLevel="2"/>
    <col min="15" max="15" width="11.28515625" style="1" collapsed="1"/>
    <col min="16" max="16384" width="11.28515625" style="1"/>
  </cols>
  <sheetData>
    <row r="1" spans="3:13" hidden="1" outlineLevel="3" x14ac:dyDescent="0.2"/>
    <row r="2" spans="3:13" ht="11.25" customHeight="1" collapsed="1" x14ac:dyDescent="0.2"/>
    <row r="3" spans="3:13" ht="11.25" customHeight="1" x14ac:dyDescent="0.2"/>
    <row r="4" spans="3:13" ht="10.9" hidden="1" customHeight="1" outlineLevel="3" x14ac:dyDescent="0.2">
      <c r="C4" s="236" t="str">
        <f>Cockpit!$C$4</f>
        <v>Projekt Namur</v>
      </c>
      <c r="D4" s="230"/>
      <c r="E4" s="230"/>
      <c r="F4" s="234">
        <f>Cockpit!D39</f>
        <v>44926</v>
      </c>
      <c r="G4" s="234">
        <f>Cockpit!E39</f>
        <v>45291</v>
      </c>
      <c r="H4" s="234">
        <f>Cockpit!F39</f>
        <v>45657</v>
      </c>
      <c r="I4" s="234">
        <f>Cockpit!G39</f>
        <v>46022</v>
      </c>
      <c r="J4" s="234">
        <f>Cockpit!H39</f>
        <v>46022</v>
      </c>
      <c r="K4" s="234">
        <f>Cockpit!I39</f>
        <v>46387</v>
      </c>
      <c r="L4" s="234">
        <f>Cockpit!J39</f>
        <v>46752</v>
      </c>
      <c r="M4" s="234">
        <f>Cockpit!K39</f>
        <v>47118</v>
      </c>
    </row>
    <row r="5" spans="3:13" ht="11.25" hidden="1" customHeight="1" outlineLevel="3" x14ac:dyDescent="0.2">
      <c r="C5" s="236" t="str">
        <f>"in T"&amp;Cockpit!$C$5</f>
        <v>in TEUR</v>
      </c>
      <c r="D5" s="230"/>
      <c r="E5" s="230"/>
      <c r="F5" s="234" t="str">
        <f>Cockpit!D40</f>
        <v>IST</v>
      </c>
      <c r="G5" s="234" t="str">
        <f>Cockpit!E40</f>
        <v>IST</v>
      </c>
      <c r="H5" s="234" t="str">
        <f>Cockpit!F40</f>
        <v>IST</v>
      </c>
      <c r="I5" s="234" t="str">
        <f>Cockpit!G40</f>
        <v>IST</v>
      </c>
      <c r="J5" s="234" t="str">
        <f>Cockpit!H40</f>
        <v>Plan</v>
      </c>
      <c r="K5" s="234" t="str">
        <f>Cockpit!I40</f>
        <v>Plan</v>
      </c>
      <c r="L5" s="234" t="str">
        <f>Cockpit!J40</f>
        <v>Plan</v>
      </c>
      <c r="M5" s="234" t="str">
        <f>Cockpit!K40</f>
        <v>Plan</v>
      </c>
    </row>
    <row r="6" spans="3:13" ht="11.25" customHeight="1" collapsed="1" x14ac:dyDescent="0.2">
      <c r="C6" s="233"/>
      <c r="D6" s="232" t="str">
        <f>Cockpit!$C$4</f>
        <v>Projekt Namur</v>
      </c>
      <c r="E6" s="232"/>
      <c r="F6" s="261">
        <f>Cockpit!D39</f>
        <v>44926</v>
      </c>
      <c r="G6" s="261">
        <f>Cockpit!E39</f>
        <v>45291</v>
      </c>
      <c r="H6" s="261">
        <f>Cockpit!F39</f>
        <v>45657</v>
      </c>
      <c r="I6" s="261">
        <f>Cockpit!G39</f>
        <v>46022</v>
      </c>
      <c r="J6" s="261">
        <f>Cockpit!H39</f>
        <v>46022</v>
      </c>
      <c r="K6" s="261">
        <f>Cockpit!I39</f>
        <v>46387</v>
      </c>
      <c r="L6" s="261">
        <f>Cockpit!J39</f>
        <v>46752</v>
      </c>
      <c r="M6" s="261">
        <f>Cockpit!K39</f>
        <v>47118</v>
      </c>
    </row>
    <row r="7" spans="3:13" ht="11.25" customHeight="1" x14ac:dyDescent="0.2">
      <c r="C7" s="233"/>
      <c r="D7" s="232" t="str">
        <f>"in k"&amp;Cockpit!$C$5</f>
        <v>in kEUR</v>
      </c>
      <c r="E7" s="232"/>
      <c r="F7" s="261" t="str">
        <f>Cockpit!D40</f>
        <v>IST</v>
      </c>
      <c r="G7" s="261" t="str">
        <f>Cockpit!E40</f>
        <v>IST</v>
      </c>
      <c r="H7" s="261" t="str">
        <f>Cockpit!F40</f>
        <v>IST</v>
      </c>
      <c r="I7" s="261" t="str">
        <f>Cockpit!G40</f>
        <v>IST</v>
      </c>
      <c r="J7" s="261" t="str">
        <f>Cockpit!H40</f>
        <v>Plan</v>
      </c>
      <c r="K7" s="261" t="str">
        <f>Cockpit!I40</f>
        <v>Plan</v>
      </c>
      <c r="L7" s="261" t="str">
        <f>Cockpit!J40</f>
        <v>Plan</v>
      </c>
      <c r="M7" s="261" t="str">
        <f>Cockpit!K40</f>
        <v>Plan</v>
      </c>
    </row>
    <row r="8" spans="3:13" ht="4.5" customHeight="1" x14ac:dyDescent="0.2">
      <c r="C8" s="227"/>
      <c r="D8" s="123"/>
      <c r="E8" s="123"/>
      <c r="F8" s="156"/>
      <c r="G8" s="156"/>
      <c r="H8" s="156"/>
      <c r="I8" s="156"/>
      <c r="J8" s="156"/>
      <c r="K8" s="156"/>
      <c r="L8" s="156"/>
      <c r="M8" s="156"/>
    </row>
    <row r="9" spans="3:13" ht="11.25" customHeight="1" x14ac:dyDescent="0.2">
      <c r="C9" s="37" t="s">
        <v>209</v>
      </c>
      <c r="D9" s="37" t="s">
        <v>209</v>
      </c>
      <c r="E9" s="37"/>
      <c r="F9" s="36"/>
      <c r="G9" s="36"/>
      <c r="H9" s="36"/>
      <c r="I9" s="129"/>
      <c r="J9" s="128"/>
      <c r="K9" s="128"/>
      <c r="L9" s="128"/>
      <c r="M9" s="128"/>
    </row>
    <row r="10" spans="3:13" ht="11.25" customHeight="1" x14ac:dyDescent="0.2">
      <c r="C10" s="37" t="s">
        <v>208</v>
      </c>
      <c r="D10" s="37" t="s">
        <v>208</v>
      </c>
      <c r="E10" s="37"/>
      <c r="F10" s="36"/>
      <c r="G10" s="36"/>
      <c r="H10" s="36"/>
      <c r="I10" s="129"/>
      <c r="J10" s="128"/>
      <c r="K10" s="128"/>
      <c r="L10" s="128"/>
      <c r="M10" s="128"/>
    </row>
    <row r="11" spans="3:13" ht="11.25" customHeight="1" x14ac:dyDescent="0.2">
      <c r="C11" s="37" t="s">
        <v>207</v>
      </c>
      <c r="D11" s="37" t="s">
        <v>207</v>
      </c>
      <c r="E11" s="37"/>
      <c r="F11" s="36"/>
      <c r="G11" s="36"/>
      <c r="H11" s="36"/>
      <c r="I11" s="129"/>
      <c r="J11" s="128"/>
      <c r="K11" s="128"/>
      <c r="L11" s="128"/>
      <c r="M11" s="128"/>
    </row>
    <row r="12" spans="3:13" ht="11.25" customHeight="1" x14ac:dyDescent="0.2">
      <c r="C12" s="37" t="s">
        <v>206</v>
      </c>
      <c r="D12" s="37" t="s">
        <v>206</v>
      </c>
      <c r="E12" s="37"/>
      <c r="F12" s="36"/>
      <c r="G12" s="36"/>
      <c r="H12" s="36"/>
      <c r="I12" s="129"/>
      <c r="J12" s="128"/>
      <c r="K12" s="128"/>
      <c r="L12" s="128"/>
      <c r="M12" s="128"/>
    </row>
    <row r="13" spans="3:13" ht="11.25" customHeight="1" x14ac:dyDescent="0.2">
      <c r="C13" s="37" t="s">
        <v>449</v>
      </c>
      <c r="D13" s="37" t="s">
        <v>449</v>
      </c>
      <c r="E13" s="37"/>
      <c r="F13" s="36"/>
      <c r="G13" s="36"/>
      <c r="H13" s="36"/>
      <c r="I13" s="129"/>
      <c r="J13" s="128"/>
      <c r="K13" s="128"/>
      <c r="L13" s="128"/>
      <c r="M13" s="128"/>
    </row>
    <row r="14" spans="3:13" ht="11.25" customHeight="1" x14ac:dyDescent="0.2">
      <c r="C14" s="37" t="s">
        <v>447</v>
      </c>
      <c r="D14" s="37" t="s">
        <v>447</v>
      </c>
      <c r="E14" s="37"/>
      <c r="F14" s="36"/>
      <c r="G14" s="36"/>
      <c r="H14" s="36"/>
      <c r="I14" s="129"/>
      <c r="J14" s="128"/>
      <c r="K14" s="128"/>
      <c r="L14" s="128"/>
      <c r="M14" s="128"/>
    </row>
    <row r="15" spans="3:13" ht="11.25" customHeight="1" x14ac:dyDescent="0.2">
      <c r="C15" s="37" t="s">
        <v>445</v>
      </c>
      <c r="D15" s="37" t="s">
        <v>445</v>
      </c>
      <c r="E15" s="37"/>
      <c r="F15" s="127"/>
      <c r="G15" s="127"/>
      <c r="H15" s="127"/>
      <c r="I15" s="135"/>
      <c r="J15" s="134"/>
      <c r="K15" s="134"/>
      <c r="L15" s="134"/>
      <c r="M15" s="134"/>
    </row>
    <row r="16" spans="3:13" ht="11.25" customHeight="1" x14ac:dyDescent="0.2">
      <c r="C16" s="272" t="s">
        <v>610</v>
      </c>
      <c r="D16" s="272" t="s">
        <v>609</v>
      </c>
      <c r="E16" s="272"/>
      <c r="F16" s="147">
        <f t="shared" ref="F16:M16" si="0">SUM(F9:F15)</f>
        <v>0</v>
      </c>
      <c r="G16" s="147">
        <f t="shared" si="0"/>
        <v>0</v>
      </c>
      <c r="H16" s="147">
        <f t="shared" si="0"/>
        <v>0</v>
      </c>
      <c r="I16" s="146">
        <f t="shared" si="0"/>
        <v>0</v>
      </c>
      <c r="J16" s="145">
        <f t="shared" si="0"/>
        <v>0</v>
      </c>
      <c r="K16" s="145">
        <f t="shared" si="0"/>
        <v>0</v>
      </c>
      <c r="L16" s="145">
        <f t="shared" si="0"/>
        <v>0</v>
      </c>
      <c r="M16" s="145">
        <f t="shared" si="0"/>
        <v>0</v>
      </c>
    </row>
    <row r="17" spans="3:15" ht="11.25" customHeight="1" x14ac:dyDescent="0.2">
      <c r="C17" s="37"/>
      <c r="D17" s="37"/>
      <c r="E17" s="37"/>
      <c r="F17" s="36"/>
      <c r="G17" s="36"/>
      <c r="H17" s="36"/>
      <c r="I17" s="129"/>
      <c r="J17" s="128"/>
      <c r="K17" s="128"/>
      <c r="L17" s="128"/>
      <c r="M17" s="128"/>
    </row>
    <row r="18" spans="3:15" ht="11.25" customHeight="1" x14ac:dyDescent="0.2">
      <c r="C18" s="76" t="str">
        <f>"Quelle: "&amp;Cockpit!$C$7</f>
        <v>Quelle: Datenraum/ eigene Analysen</v>
      </c>
      <c r="D18" s="76" t="str">
        <f>"Source: "&amp;Cockpit!$C$8</f>
        <v>Source: Virtual Data Room/ Company Information</v>
      </c>
      <c r="E18" s="76"/>
      <c r="F18" s="127"/>
      <c r="G18" s="127"/>
      <c r="H18" s="127"/>
      <c r="I18" s="126"/>
      <c r="J18" s="125"/>
      <c r="K18" s="125"/>
      <c r="L18" s="125"/>
      <c r="M18" s="125"/>
    </row>
    <row r="19" spans="3:15" ht="11.25" customHeight="1" x14ac:dyDescent="0.2"/>
    <row r="20" spans="3:15" ht="11.25" customHeight="1" x14ac:dyDescent="0.2"/>
    <row r="21" spans="3:15" x14ac:dyDescent="0.2">
      <c r="C21" s="72" t="s">
        <v>569</v>
      </c>
      <c r="D21" s="72" t="s">
        <v>569</v>
      </c>
      <c r="E21" s="72"/>
      <c r="F21" s="71"/>
      <c r="G21" s="71"/>
      <c r="H21" s="71"/>
      <c r="I21" s="71"/>
      <c r="J21" s="71"/>
      <c r="K21" s="71"/>
      <c r="L21" s="71"/>
      <c r="M21" s="71"/>
      <c r="O21" s="49" t="s">
        <v>568</v>
      </c>
    </row>
    <row r="22" spans="3:15" x14ac:dyDescent="0.2">
      <c r="C22" s="70" t="s">
        <v>233</v>
      </c>
      <c r="D22" s="69" t="s">
        <v>233</v>
      </c>
      <c r="E22" s="70"/>
      <c r="F22" s="158">
        <f t="shared" ref="F22:M22" si="1">F21-F16</f>
        <v>0</v>
      </c>
      <c r="G22" s="158">
        <f t="shared" si="1"/>
        <v>0</v>
      </c>
      <c r="H22" s="158">
        <f t="shared" si="1"/>
        <v>0</v>
      </c>
      <c r="I22" s="158">
        <f t="shared" si="1"/>
        <v>0</v>
      </c>
      <c r="J22" s="158">
        <f t="shared" si="1"/>
        <v>0</v>
      </c>
      <c r="K22" s="158">
        <f t="shared" si="1"/>
        <v>0</v>
      </c>
      <c r="L22" s="158">
        <f t="shared" si="1"/>
        <v>0</v>
      </c>
      <c r="M22" s="158">
        <f t="shared" si="1"/>
        <v>0</v>
      </c>
    </row>
  </sheetData>
  <conditionalFormatting sqref="F22:M22">
    <cfRule type="cellIs" dxfId="157" priority="1" operator="between">
      <formula>-1</formula>
      <formula>1</formula>
    </cfRule>
    <cfRule type="cellIs" dxfId="156" priority="2" operator="lessThan">
      <formula>-1</formula>
    </cfRule>
    <cfRule type="cellIs" dxfId="155" priority="3" operator="greaterThan">
      <formula>1</formula>
    </cfRule>
  </conditionalFormatting>
  <pageMargins left="0.7" right="0.7" top="0.78740157499999996" bottom="0.78740157499999996" header="0.3" footer="0.3"/>
  <pageSetup paperSize="9" scale="62"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E8F1-4546-4BA1-BE4E-8F12FF90678B}">
  <sheetPr>
    <tabColor rgb="FFFF0000"/>
  </sheetPr>
  <dimension ref="B1:N30"/>
  <sheetViews>
    <sheetView topLeftCell="A2" workbookViewId="0"/>
  </sheetViews>
  <sheetFormatPr defaultColWidth="11.28515625" defaultRowHeight="12" outlineLevelRow="3" outlineLevelCol="2" x14ac:dyDescent="0.2"/>
  <cols>
    <col min="1" max="1" width="11.28515625" style="1"/>
    <col min="2" max="2" width="0.85546875" style="1" hidden="1" customWidth="1" outlineLevel="2"/>
    <col min="3" max="3" width="40.5703125" style="1" hidden="1" customWidth="1" outlineLevel="2"/>
    <col min="4" max="4" width="40.5703125" style="1" customWidth="1" collapsed="1"/>
    <col min="5" max="8" width="9.42578125" style="1" customWidth="1"/>
    <col min="9" max="12" width="9.42578125" style="1" hidden="1" customWidth="1" outlineLevel="1"/>
    <col min="13" max="13" width="0.85546875" style="1" hidden="1" customWidth="1" outlineLevel="2"/>
    <col min="14" max="14" width="11.28515625" style="1" collapsed="1"/>
    <col min="15" max="16384" width="11.28515625" style="1"/>
  </cols>
  <sheetData>
    <row r="1" spans="3:12" hidden="1" outlineLevel="3" x14ac:dyDescent="0.2"/>
    <row r="2" spans="3:12" collapsed="1" x14ac:dyDescent="0.2"/>
    <row r="3" spans="3:12" ht="11.25" customHeight="1" x14ac:dyDescent="0.2"/>
    <row r="4" spans="3:12" ht="11.25" hidden="1" customHeight="1" outlineLevel="3" x14ac:dyDescent="0.2">
      <c r="C4" s="236" t="str">
        <f>Cockpit!$C$4</f>
        <v>Projekt Namur</v>
      </c>
      <c r="D4" s="230"/>
      <c r="E4" s="302">
        <f>Cockpit!D39</f>
        <v>44926</v>
      </c>
      <c r="F4" s="302">
        <f>Cockpit!E39</f>
        <v>45291</v>
      </c>
      <c r="G4" s="302">
        <f>Cockpit!F39</f>
        <v>45657</v>
      </c>
      <c r="H4" s="302">
        <f>Cockpit!G39</f>
        <v>46022</v>
      </c>
      <c r="I4" s="302">
        <f>Cockpit!H39</f>
        <v>46022</v>
      </c>
      <c r="J4" s="302">
        <f>Cockpit!I39</f>
        <v>46387</v>
      </c>
      <c r="K4" s="302">
        <f>Cockpit!J39</f>
        <v>46752</v>
      </c>
      <c r="L4" s="302">
        <f>Cockpit!K39</f>
        <v>47118</v>
      </c>
    </row>
    <row r="5" spans="3:12" ht="11.25" hidden="1" customHeight="1" outlineLevel="3" x14ac:dyDescent="0.2">
      <c r="C5" s="236" t="str">
        <f>"in T"&amp;Cockpit!$C$5</f>
        <v>in TEUR</v>
      </c>
      <c r="D5" s="230"/>
      <c r="E5" s="234" t="s">
        <v>35</v>
      </c>
      <c r="F5" s="234" t="s">
        <v>35</v>
      </c>
      <c r="G5" s="234" t="s">
        <v>35</v>
      </c>
      <c r="H5" s="234" t="s">
        <v>35</v>
      </c>
      <c r="I5" s="234" t="s">
        <v>35</v>
      </c>
      <c r="J5" s="234" t="s">
        <v>35</v>
      </c>
      <c r="K5" s="234" t="s">
        <v>35</v>
      </c>
      <c r="L5" s="234" t="s">
        <v>35</v>
      </c>
    </row>
    <row r="6" spans="3:12" ht="11.25" customHeight="1" collapsed="1" x14ac:dyDescent="0.2">
      <c r="C6" s="233"/>
      <c r="D6" s="232" t="str">
        <f>Cockpit!$C$4</f>
        <v>Projekt Namur</v>
      </c>
      <c r="E6" s="301">
        <f>Cockpit!D39</f>
        <v>44926</v>
      </c>
      <c r="F6" s="301">
        <f>Cockpit!E39</f>
        <v>45291</v>
      </c>
      <c r="G6" s="301">
        <f>Cockpit!F39</f>
        <v>45657</v>
      </c>
      <c r="H6" s="301">
        <f>Cockpit!G39</f>
        <v>46022</v>
      </c>
      <c r="I6" s="301">
        <f>Cockpit!H39</f>
        <v>46022</v>
      </c>
      <c r="J6" s="301">
        <f>Cockpit!I39</f>
        <v>46387</v>
      </c>
      <c r="K6" s="301">
        <f>Cockpit!J39</f>
        <v>46752</v>
      </c>
      <c r="L6" s="301">
        <f>Cockpit!K39</f>
        <v>47118</v>
      </c>
    </row>
    <row r="7" spans="3:12" ht="11.25" customHeight="1" x14ac:dyDescent="0.2">
      <c r="C7" s="233"/>
      <c r="D7" s="232" t="str">
        <f>"in k"&amp;Cockpit!$C$5</f>
        <v>in kEUR</v>
      </c>
      <c r="E7" s="261" t="str">
        <f>Cockpit!D40</f>
        <v>IST</v>
      </c>
      <c r="F7" s="261" t="str">
        <f>Cockpit!E40</f>
        <v>IST</v>
      </c>
      <c r="G7" s="261" t="str">
        <f>Cockpit!F40</f>
        <v>IST</v>
      </c>
      <c r="H7" s="261" t="str">
        <f>Cockpit!G40</f>
        <v>IST</v>
      </c>
      <c r="I7" s="261" t="str">
        <f>Cockpit!H40</f>
        <v>Plan</v>
      </c>
      <c r="J7" s="261" t="str">
        <f>Cockpit!I40</f>
        <v>Plan</v>
      </c>
      <c r="K7" s="261" t="str">
        <f>Cockpit!J40</f>
        <v>Plan</v>
      </c>
      <c r="L7" s="261" t="str">
        <f>Cockpit!K40</f>
        <v>Plan</v>
      </c>
    </row>
    <row r="8" spans="3:12" ht="4.5" customHeight="1" x14ac:dyDescent="0.2">
      <c r="C8" s="138"/>
      <c r="D8" s="138"/>
      <c r="E8" s="36"/>
      <c r="F8" s="36"/>
      <c r="G8" s="36"/>
      <c r="H8" s="35"/>
      <c r="I8" s="278"/>
      <c r="J8" s="278"/>
      <c r="K8" s="278"/>
      <c r="L8" s="278"/>
    </row>
    <row r="9" spans="3:12" ht="11.25" customHeight="1" x14ac:dyDescent="0.2">
      <c r="C9" s="341" t="s">
        <v>629</v>
      </c>
      <c r="D9" s="341" t="s">
        <v>628</v>
      </c>
      <c r="E9" s="340"/>
      <c r="F9" s="340"/>
      <c r="G9" s="340"/>
      <c r="H9" s="339"/>
      <c r="I9" s="338"/>
      <c r="J9" s="338"/>
      <c r="K9" s="338"/>
      <c r="L9" s="338"/>
    </row>
    <row r="10" spans="3:12" ht="11.25" customHeight="1" x14ac:dyDescent="0.2">
      <c r="C10" s="341" t="s">
        <v>617</v>
      </c>
      <c r="D10" s="341" t="s">
        <v>616</v>
      </c>
      <c r="E10" s="340"/>
      <c r="F10" s="340"/>
      <c r="G10" s="340"/>
      <c r="H10" s="339"/>
      <c r="I10" s="338"/>
      <c r="J10" s="338"/>
      <c r="K10" s="338"/>
      <c r="L10" s="338"/>
    </row>
    <row r="11" spans="3:12" ht="11.25" customHeight="1" x14ac:dyDescent="0.2">
      <c r="C11" s="37" t="s">
        <v>627</v>
      </c>
      <c r="D11" s="37" t="s">
        <v>626</v>
      </c>
      <c r="E11" s="36">
        <f t="shared" ref="E11:L11" si="0">+SUM(E9:E10)</f>
        <v>0</v>
      </c>
      <c r="F11" s="36">
        <f t="shared" si="0"/>
        <v>0</v>
      </c>
      <c r="G11" s="36">
        <f t="shared" si="0"/>
        <v>0</v>
      </c>
      <c r="H11" s="129">
        <f t="shared" si="0"/>
        <v>0</v>
      </c>
      <c r="I11" s="128">
        <f t="shared" si="0"/>
        <v>0</v>
      </c>
      <c r="J11" s="128">
        <f t="shared" si="0"/>
        <v>0</v>
      </c>
      <c r="K11" s="128">
        <f t="shared" si="0"/>
        <v>0</v>
      </c>
      <c r="L11" s="128">
        <f t="shared" si="0"/>
        <v>0</v>
      </c>
    </row>
    <row r="12" spans="3:12" ht="11.25" customHeight="1" x14ac:dyDescent="0.2">
      <c r="C12" s="341" t="s">
        <v>625</v>
      </c>
      <c r="D12" s="341" t="s">
        <v>624</v>
      </c>
      <c r="E12" s="340"/>
      <c r="F12" s="340"/>
      <c r="G12" s="340"/>
      <c r="H12" s="339"/>
      <c r="I12" s="338"/>
      <c r="J12" s="338"/>
      <c r="K12" s="338"/>
      <c r="L12" s="338"/>
    </row>
    <row r="13" spans="3:12" ht="11.25" customHeight="1" x14ac:dyDescent="0.2">
      <c r="C13" s="341" t="s">
        <v>617</v>
      </c>
      <c r="D13" s="341" t="s">
        <v>616</v>
      </c>
      <c r="E13" s="340"/>
      <c r="F13" s="340"/>
      <c r="G13" s="340"/>
      <c r="H13" s="339"/>
      <c r="I13" s="338"/>
      <c r="J13" s="338"/>
      <c r="K13" s="338"/>
      <c r="L13" s="338"/>
    </row>
    <row r="14" spans="3:12" ht="11.25" customHeight="1" x14ac:dyDescent="0.2">
      <c r="C14" s="37" t="s">
        <v>209</v>
      </c>
      <c r="D14" s="37" t="s">
        <v>623</v>
      </c>
      <c r="E14" s="36">
        <f t="shared" ref="E14:L14" si="1">+SUM(E12:E13)</f>
        <v>0</v>
      </c>
      <c r="F14" s="36">
        <f t="shared" si="1"/>
        <v>0</v>
      </c>
      <c r="G14" s="36">
        <f t="shared" si="1"/>
        <v>0</v>
      </c>
      <c r="H14" s="129">
        <f t="shared" si="1"/>
        <v>0</v>
      </c>
      <c r="I14" s="128">
        <f t="shared" si="1"/>
        <v>0</v>
      </c>
      <c r="J14" s="128">
        <f t="shared" si="1"/>
        <v>0</v>
      </c>
      <c r="K14" s="128">
        <f t="shared" si="1"/>
        <v>0</v>
      </c>
      <c r="L14" s="128">
        <f t="shared" si="1"/>
        <v>0</v>
      </c>
    </row>
    <row r="15" spans="3:12" ht="11.25" customHeight="1" x14ac:dyDescent="0.2">
      <c r="C15" s="341" t="s">
        <v>622</v>
      </c>
      <c r="D15" s="341" t="s">
        <v>621</v>
      </c>
      <c r="E15" s="340"/>
      <c r="F15" s="340"/>
      <c r="G15" s="340"/>
      <c r="H15" s="339"/>
      <c r="I15" s="338"/>
      <c r="J15" s="338"/>
      <c r="K15" s="338"/>
      <c r="L15" s="338"/>
    </row>
    <row r="16" spans="3:12" ht="11.25" customHeight="1" x14ac:dyDescent="0.2">
      <c r="C16" s="341" t="s">
        <v>617</v>
      </c>
      <c r="D16" s="341" t="s">
        <v>616</v>
      </c>
      <c r="E16" s="340"/>
      <c r="F16" s="340"/>
      <c r="G16" s="340"/>
      <c r="H16" s="339"/>
      <c r="I16" s="338"/>
      <c r="J16" s="338"/>
      <c r="K16" s="338"/>
      <c r="L16" s="338"/>
    </row>
    <row r="17" spans="3:12" ht="11.25" customHeight="1" x14ac:dyDescent="0.2">
      <c r="C17" s="42" t="s">
        <v>208</v>
      </c>
      <c r="D17" s="42" t="s">
        <v>620</v>
      </c>
      <c r="E17" s="127">
        <f t="shared" ref="E17:L17" si="2">+SUM(E15:E16)</f>
        <v>0</v>
      </c>
      <c r="F17" s="127">
        <f t="shared" si="2"/>
        <v>0</v>
      </c>
      <c r="G17" s="127">
        <f t="shared" si="2"/>
        <v>0</v>
      </c>
      <c r="H17" s="135">
        <f t="shared" si="2"/>
        <v>0</v>
      </c>
      <c r="I17" s="134">
        <f t="shared" si="2"/>
        <v>0</v>
      </c>
      <c r="J17" s="134">
        <f t="shared" si="2"/>
        <v>0</v>
      </c>
      <c r="K17" s="134">
        <f t="shared" si="2"/>
        <v>0</v>
      </c>
      <c r="L17" s="134">
        <f t="shared" si="2"/>
        <v>0</v>
      </c>
    </row>
    <row r="18" spans="3:12" ht="11.25" customHeight="1" x14ac:dyDescent="0.2">
      <c r="C18" s="272" t="s">
        <v>619</v>
      </c>
      <c r="D18" s="272" t="s">
        <v>618</v>
      </c>
      <c r="E18" s="147">
        <f t="shared" ref="E18:L20" si="3">+E9+E12+E15</f>
        <v>0</v>
      </c>
      <c r="F18" s="147">
        <f t="shared" si="3"/>
        <v>0</v>
      </c>
      <c r="G18" s="147">
        <f t="shared" si="3"/>
        <v>0</v>
      </c>
      <c r="H18" s="146">
        <f t="shared" si="3"/>
        <v>0</v>
      </c>
      <c r="I18" s="145">
        <f t="shared" si="3"/>
        <v>0</v>
      </c>
      <c r="J18" s="145">
        <f t="shared" si="3"/>
        <v>0</v>
      </c>
      <c r="K18" s="145">
        <f t="shared" si="3"/>
        <v>0</v>
      </c>
      <c r="L18" s="145">
        <f t="shared" si="3"/>
        <v>0</v>
      </c>
    </row>
    <row r="19" spans="3:12" ht="11.25" customHeight="1" x14ac:dyDescent="0.2">
      <c r="C19" s="42" t="s">
        <v>617</v>
      </c>
      <c r="D19" s="42" t="s">
        <v>616</v>
      </c>
      <c r="E19" s="127">
        <f t="shared" si="3"/>
        <v>0</v>
      </c>
      <c r="F19" s="127">
        <f t="shared" si="3"/>
        <v>0</v>
      </c>
      <c r="G19" s="127">
        <f t="shared" si="3"/>
        <v>0</v>
      </c>
      <c r="H19" s="135">
        <f t="shared" si="3"/>
        <v>0</v>
      </c>
      <c r="I19" s="134">
        <f t="shared" si="3"/>
        <v>0</v>
      </c>
      <c r="J19" s="134">
        <f t="shared" si="3"/>
        <v>0</v>
      </c>
      <c r="K19" s="134">
        <f t="shared" si="3"/>
        <v>0</v>
      </c>
      <c r="L19" s="134">
        <f t="shared" si="3"/>
        <v>0</v>
      </c>
    </row>
    <row r="20" spans="3:12" ht="11.25" customHeight="1" x14ac:dyDescent="0.2">
      <c r="C20" s="272" t="s">
        <v>321</v>
      </c>
      <c r="D20" s="272" t="s">
        <v>615</v>
      </c>
      <c r="E20" s="147">
        <f t="shared" si="3"/>
        <v>0</v>
      </c>
      <c r="F20" s="147">
        <f t="shared" si="3"/>
        <v>0</v>
      </c>
      <c r="G20" s="147">
        <f t="shared" si="3"/>
        <v>0</v>
      </c>
      <c r="H20" s="146">
        <f t="shared" si="3"/>
        <v>0</v>
      </c>
      <c r="I20" s="145">
        <f t="shared" si="3"/>
        <v>0</v>
      </c>
      <c r="J20" s="145">
        <f t="shared" si="3"/>
        <v>0</v>
      </c>
      <c r="K20" s="145">
        <f t="shared" si="3"/>
        <v>0</v>
      </c>
      <c r="L20" s="145">
        <f t="shared" si="3"/>
        <v>0</v>
      </c>
    </row>
    <row r="21" spans="3:12" ht="4.1500000000000004" customHeight="1" x14ac:dyDescent="0.2">
      <c r="C21" s="37"/>
      <c r="D21" s="37"/>
      <c r="E21" s="36"/>
      <c r="F21" s="36"/>
      <c r="G21" s="36"/>
      <c r="H21" s="129"/>
      <c r="I21" s="128"/>
      <c r="J21" s="128"/>
      <c r="K21" s="128"/>
      <c r="L21" s="128"/>
    </row>
    <row r="22" spans="3:12" ht="11.65" customHeight="1" x14ac:dyDescent="0.2">
      <c r="C22" s="155" t="s">
        <v>614</v>
      </c>
      <c r="D22" s="155" t="s">
        <v>613</v>
      </c>
      <c r="E22" s="36"/>
      <c r="F22" s="36"/>
      <c r="G22" s="36"/>
      <c r="H22" s="129"/>
      <c r="I22" s="128"/>
      <c r="J22" s="128"/>
      <c r="K22" s="128"/>
      <c r="L22" s="128"/>
    </row>
    <row r="23" spans="3:12" ht="11.65" customHeight="1" x14ac:dyDescent="0.2">
      <c r="C23" s="37" t="s">
        <v>321</v>
      </c>
      <c r="D23" s="37" t="s">
        <v>320</v>
      </c>
      <c r="E23" s="337" t="str">
        <f t="shared" ref="E23:L23" si="4">IFERROR(E19/E18,"n/a")</f>
        <v>n/a</v>
      </c>
      <c r="F23" s="337" t="str">
        <f t="shared" si="4"/>
        <v>n/a</v>
      </c>
      <c r="G23" s="337" t="str">
        <f t="shared" si="4"/>
        <v>n/a</v>
      </c>
      <c r="H23" s="336" t="str">
        <f t="shared" si="4"/>
        <v>n/a</v>
      </c>
      <c r="I23" s="335" t="str">
        <f t="shared" si="4"/>
        <v>n/a</v>
      </c>
      <c r="J23" s="335" t="str">
        <f t="shared" si="4"/>
        <v>n/a</v>
      </c>
      <c r="K23" s="335" t="str">
        <f t="shared" si="4"/>
        <v>n/a</v>
      </c>
      <c r="L23" s="335" t="str">
        <f t="shared" si="4"/>
        <v>n/a</v>
      </c>
    </row>
    <row r="24" spans="3:12" ht="4.5" customHeight="1" x14ac:dyDescent="0.2">
      <c r="C24" s="37"/>
      <c r="D24" s="37"/>
      <c r="E24" s="36"/>
      <c r="F24" s="36"/>
      <c r="G24" s="36"/>
      <c r="H24" s="129"/>
      <c r="I24" s="128"/>
      <c r="J24" s="128"/>
      <c r="K24" s="128"/>
      <c r="L24" s="128"/>
    </row>
    <row r="25" spans="3:12" ht="11.65" customHeight="1" x14ac:dyDescent="0.2">
      <c r="C25" s="287" t="s">
        <v>612</v>
      </c>
      <c r="D25" s="287" t="s">
        <v>611</v>
      </c>
      <c r="E25" s="36"/>
      <c r="F25" s="36"/>
      <c r="G25" s="36"/>
      <c r="H25" s="129"/>
      <c r="I25" s="128"/>
      <c r="J25" s="128"/>
      <c r="K25" s="128"/>
      <c r="L25" s="128"/>
    </row>
    <row r="26" spans="3:12" ht="4.5" customHeight="1" x14ac:dyDescent="0.2">
      <c r="C26" s="37"/>
      <c r="D26" s="37"/>
      <c r="E26" s="36"/>
      <c r="F26" s="36"/>
      <c r="G26" s="36"/>
      <c r="H26" s="129"/>
      <c r="I26" s="128"/>
      <c r="J26" s="128"/>
      <c r="K26" s="128"/>
      <c r="L26" s="128"/>
    </row>
    <row r="27" spans="3:12" ht="11.25" customHeight="1" x14ac:dyDescent="0.2">
      <c r="C27" s="76" t="str">
        <f>"Quelle: "&amp;Cockpit!$C$7</f>
        <v>Quelle: Datenraum/ eigene Analysen</v>
      </c>
      <c r="D27" s="76" t="str">
        <f>"Source: "&amp;Cockpit!$C$8</f>
        <v>Source: Virtual Data Room/ Company Information</v>
      </c>
      <c r="E27" s="127"/>
      <c r="F27" s="127"/>
      <c r="G27" s="127"/>
      <c r="H27" s="126"/>
      <c r="I27" s="125"/>
      <c r="J27" s="125"/>
      <c r="K27" s="125"/>
      <c r="L27" s="125"/>
    </row>
    <row r="28" spans="3:12" ht="11.25" customHeight="1" x14ac:dyDescent="0.2"/>
    <row r="29" spans="3:12" x14ac:dyDescent="0.2">
      <c r="C29" s="72" t="s">
        <v>321</v>
      </c>
      <c r="D29" s="72" t="s">
        <v>320</v>
      </c>
      <c r="E29" s="71">
        <f>+'Lead NA'!F10</f>
        <v>980.83699999999999</v>
      </c>
      <c r="F29" s="71">
        <f>+'Lead NA'!G10</f>
        <v>715.17600000000004</v>
      </c>
      <c r="G29" s="71">
        <f>+'Lead NA'!H10</f>
        <v>826.46400000000006</v>
      </c>
      <c r="H29" s="71">
        <f>+'Lead NA'!I10</f>
        <v>600.38499999999999</v>
      </c>
      <c r="I29" s="71">
        <f>+'Lead NA'!J10</f>
        <v>0</v>
      </c>
      <c r="J29" s="71">
        <f>+'Lead NA'!K10</f>
        <v>0</v>
      </c>
      <c r="K29" s="71">
        <f>+'Lead NA'!L10</f>
        <v>0</v>
      </c>
      <c r="L29" s="71">
        <f>+'Lead NA'!M10</f>
        <v>0</v>
      </c>
    </row>
    <row r="30" spans="3:12" x14ac:dyDescent="0.2">
      <c r="C30" s="69" t="s">
        <v>233</v>
      </c>
      <c r="D30" s="69" t="s">
        <v>233</v>
      </c>
      <c r="E30" s="68">
        <f t="shared" ref="E30:L30" si="5">E29-E20</f>
        <v>980.83699999999999</v>
      </c>
      <c r="F30" s="68">
        <f t="shared" si="5"/>
        <v>715.17600000000004</v>
      </c>
      <c r="G30" s="68">
        <f t="shared" si="5"/>
        <v>826.46400000000006</v>
      </c>
      <c r="H30" s="68">
        <f t="shared" si="5"/>
        <v>600.38499999999999</v>
      </c>
      <c r="I30" s="68">
        <f t="shared" si="5"/>
        <v>0</v>
      </c>
      <c r="J30" s="68">
        <f t="shared" si="5"/>
        <v>0</v>
      </c>
      <c r="K30" s="68">
        <f t="shared" si="5"/>
        <v>0</v>
      </c>
      <c r="L30" s="68">
        <f t="shared" si="5"/>
        <v>0</v>
      </c>
    </row>
  </sheetData>
  <conditionalFormatting sqref="E30:L30">
    <cfRule type="cellIs" dxfId="154" priority="1" operator="between">
      <formula>-1</formula>
      <formula>1</formula>
    </cfRule>
    <cfRule type="cellIs" dxfId="153" priority="2" operator="lessThan">
      <formula>-1</formula>
    </cfRule>
    <cfRule type="cellIs" dxfId="152" priority="3" operator="greaterThan">
      <formula>1</formula>
    </cfRule>
  </conditionalFormatting>
  <pageMargins left="0.7" right="0.7" top="0.78740157499999996" bottom="0.78740157499999996" header="0.3" footer="0.3"/>
  <pageSetup paperSize="9" scale="62"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549D7-B8A0-4252-A4BA-702FBE897AA8}">
  <sheetPr>
    <tabColor rgb="FFFF0000"/>
  </sheetPr>
  <dimension ref="B1:AH56"/>
  <sheetViews>
    <sheetView topLeftCell="A2" workbookViewId="0"/>
  </sheetViews>
  <sheetFormatPr defaultColWidth="11.28515625" defaultRowHeight="11.45" customHeight="1" outlineLevelRow="3" outlineLevelCol="2" x14ac:dyDescent="0.2"/>
  <cols>
    <col min="1" max="1" width="11.28515625" style="1"/>
    <col min="2" max="2" width="0.85546875" style="1" hidden="1" customWidth="1" outlineLevel="2"/>
    <col min="3" max="3" width="35.5703125" style="1" hidden="1" customWidth="1" outlineLevel="2"/>
    <col min="4" max="4" width="35.5703125" style="1" customWidth="1" collapsed="1"/>
    <col min="5" max="7" width="9.42578125" style="1" customWidth="1"/>
    <col min="8" max="9" width="13.28515625" style="1" customWidth="1"/>
    <col min="10" max="10" width="9.42578125" style="1" customWidth="1"/>
    <col min="11" max="11" width="0.85546875" style="1" hidden="1" customWidth="1" outlineLevel="2"/>
    <col min="12" max="12" width="11.28515625" style="1" collapsed="1"/>
    <col min="13" max="13" width="0.85546875" style="1" hidden="1" customWidth="1" outlineLevel="2"/>
    <col min="14" max="14" width="35.5703125" style="1" hidden="1" customWidth="1" outlineLevel="2"/>
    <col min="15" max="15" width="35.5703125" style="1" customWidth="1" collapsed="1"/>
    <col min="16" max="18" width="9.42578125" style="1" customWidth="1"/>
    <col min="19" max="20" width="13.28515625" style="1" customWidth="1"/>
    <col min="21" max="21" width="9.42578125" style="1" customWidth="1"/>
    <col min="22" max="22" width="0.85546875" style="1" hidden="1" customWidth="1" outlineLevel="2"/>
    <col min="23" max="23" width="11.28515625" style="1" collapsed="1"/>
    <col min="24" max="24" width="0.85546875" style="1" hidden="1" customWidth="1" outlineLevel="2"/>
    <col min="25" max="25" width="35.5703125" style="1" hidden="1" customWidth="1" outlineLevel="2"/>
    <col min="26" max="26" width="35.5703125" style="1" customWidth="1" collapsed="1"/>
    <col min="27" max="29" width="9.42578125" style="1" customWidth="1"/>
    <col min="30" max="31" width="13.28515625" style="1" customWidth="1"/>
    <col min="32" max="32" width="9.42578125" style="1" customWidth="1"/>
    <col min="33" max="33" width="0.85546875" style="1" hidden="1" customWidth="1" outlineLevel="2"/>
    <col min="34" max="34" width="11.28515625" style="1" collapsed="1"/>
    <col min="35" max="16384" width="11.28515625" style="1"/>
  </cols>
  <sheetData>
    <row r="1" spans="3:32" ht="11.45" hidden="1" customHeight="1" outlineLevel="3" x14ac:dyDescent="0.2"/>
    <row r="2" spans="3:32" ht="11.45" customHeight="1" collapsed="1" x14ac:dyDescent="0.2"/>
    <row r="4" spans="3:32" ht="11.45" hidden="1" customHeight="1" outlineLevel="3" x14ac:dyDescent="0.2">
      <c r="C4" s="236" t="str">
        <f>Cockpit!$C$4</f>
        <v>Projekt Namur</v>
      </c>
      <c r="D4" s="236"/>
      <c r="E4" s="1015">
        <f>+'Lead NA'!F4</f>
        <v>44926</v>
      </c>
      <c r="F4" s="1015"/>
      <c r="G4" s="1015"/>
      <c r="H4" s="230"/>
      <c r="I4" s="230"/>
      <c r="J4" s="230">
        <f>E4</f>
        <v>44926</v>
      </c>
      <c r="N4" s="236" t="str">
        <f>Cockpit!$C$4</f>
        <v>Projekt Namur</v>
      </c>
      <c r="O4" s="236"/>
      <c r="P4" s="1015">
        <f>+'Lead NA'!G4</f>
        <v>45291</v>
      </c>
      <c r="Q4" s="1015"/>
      <c r="R4" s="1015"/>
      <c r="S4" s="230"/>
      <c r="T4" s="230"/>
      <c r="U4" s="230">
        <f>P4</f>
        <v>45291</v>
      </c>
      <c r="Y4" s="236" t="str">
        <f>Cockpit!$C$4</f>
        <v>Projekt Namur</v>
      </c>
      <c r="Z4" s="236"/>
      <c r="AA4" s="1015">
        <f>+'Lead NA'!H4</f>
        <v>45657</v>
      </c>
      <c r="AB4" s="1015"/>
      <c r="AC4" s="1015"/>
      <c r="AD4" s="230"/>
      <c r="AE4" s="230"/>
      <c r="AF4" s="230">
        <f>AA4</f>
        <v>45657</v>
      </c>
    </row>
    <row r="5" spans="3:32" ht="11.45" hidden="1" customHeight="1" outlineLevel="3" x14ac:dyDescent="0.2">
      <c r="C5" s="236"/>
      <c r="D5" s="236"/>
      <c r="E5" s="1015" t="str">
        <f>'Lead PL'!F5</f>
        <v>IST</v>
      </c>
      <c r="F5" s="1015"/>
      <c r="G5" s="1015"/>
      <c r="H5" s="230"/>
      <c r="I5" s="230"/>
      <c r="J5" s="230" t="str">
        <f>E5</f>
        <v>IST</v>
      </c>
      <c r="N5" s="236"/>
      <c r="O5" s="236"/>
      <c r="P5" s="1015" t="str">
        <f>'Lead PL'!G5</f>
        <v>IST</v>
      </c>
      <c r="Q5" s="1015"/>
      <c r="R5" s="1015"/>
      <c r="S5" s="230"/>
      <c r="T5" s="230"/>
      <c r="U5" s="230" t="str">
        <f>P5</f>
        <v>IST</v>
      </c>
      <c r="Y5" s="236"/>
      <c r="Z5" s="236"/>
      <c r="AA5" s="1015" t="str">
        <f>'Lead PL'!H5</f>
        <v>IST</v>
      </c>
      <c r="AB5" s="1015"/>
      <c r="AC5" s="1015"/>
      <c r="AD5" s="230"/>
      <c r="AE5" s="230"/>
      <c r="AF5" s="230" t="str">
        <f>AA5</f>
        <v>IST</v>
      </c>
    </row>
    <row r="6" spans="3:32" ht="11.45" hidden="1" customHeight="1" outlineLevel="3" x14ac:dyDescent="0.2">
      <c r="C6" s="236" t="str">
        <f>"in T"&amp;Cockpit!$C$5</f>
        <v>in TEUR</v>
      </c>
      <c r="D6" s="236"/>
      <c r="E6" s="230" t="s">
        <v>40</v>
      </c>
      <c r="F6" s="230" t="s">
        <v>39</v>
      </c>
      <c r="G6" s="230" t="s">
        <v>50</v>
      </c>
      <c r="H6" s="230" t="s">
        <v>640</v>
      </c>
      <c r="I6" s="230" t="s">
        <v>639</v>
      </c>
      <c r="J6" s="230" t="s">
        <v>638</v>
      </c>
      <c r="N6" s="236" t="str">
        <f>"in T"&amp;Cockpit!$C$5</f>
        <v>in TEUR</v>
      </c>
      <c r="O6" s="236"/>
      <c r="P6" s="230" t="s">
        <v>40</v>
      </c>
      <c r="Q6" s="230" t="s">
        <v>39</v>
      </c>
      <c r="R6" s="230" t="s">
        <v>50</v>
      </c>
      <c r="S6" s="230" t="s">
        <v>640</v>
      </c>
      <c r="T6" s="230" t="s">
        <v>639</v>
      </c>
      <c r="U6" s="230" t="s">
        <v>638</v>
      </c>
      <c r="Y6" s="236" t="str">
        <f>"in T"&amp;Cockpit!$C$5</f>
        <v>in TEUR</v>
      </c>
      <c r="Z6" s="236"/>
      <c r="AA6" s="230" t="s">
        <v>40</v>
      </c>
      <c r="AB6" s="230" t="s">
        <v>39</v>
      </c>
      <c r="AC6" s="230" t="s">
        <v>50</v>
      </c>
      <c r="AD6" s="230" t="s">
        <v>640</v>
      </c>
      <c r="AE6" s="230" t="s">
        <v>639</v>
      </c>
      <c r="AF6" s="230" t="s">
        <v>638</v>
      </c>
    </row>
    <row r="7" spans="3:32" ht="11.45" customHeight="1" collapsed="1" x14ac:dyDescent="0.2">
      <c r="C7" s="232"/>
      <c r="D7" s="232" t="str">
        <f>Cockpit!$C$4</f>
        <v>Projekt Namur</v>
      </c>
      <c r="E7" s="1016">
        <f>'Lead PL'!F6</f>
        <v>44926</v>
      </c>
      <c r="F7" s="1016"/>
      <c r="G7" s="1016"/>
      <c r="H7" s="350"/>
      <c r="I7" s="233"/>
      <c r="J7" s="38">
        <f>E7</f>
        <v>44926</v>
      </c>
      <c r="N7" s="232"/>
      <c r="O7" s="232" t="str">
        <f>Cockpit!$C$4</f>
        <v>Projekt Namur</v>
      </c>
      <c r="P7" s="1016">
        <f>'Lead PL'!G6</f>
        <v>45291</v>
      </c>
      <c r="Q7" s="1016"/>
      <c r="R7" s="1016"/>
      <c r="S7" s="233"/>
      <c r="T7" s="233"/>
      <c r="U7" s="38">
        <f>P7</f>
        <v>45291</v>
      </c>
      <c r="Y7" s="232"/>
      <c r="Z7" s="232" t="str">
        <f>Cockpit!$C$4</f>
        <v>Projekt Namur</v>
      </c>
      <c r="AA7" s="1016">
        <f>'Lead PL'!H6</f>
        <v>45657</v>
      </c>
      <c r="AB7" s="1016"/>
      <c r="AC7" s="1016"/>
      <c r="AD7" s="233"/>
      <c r="AE7" s="233"/>
      <c r="AF7" s="38">
        <f>AA7</f>
        <v>45657</v>
      </c>
    </row>
    <row r="8" spans="3:32" ht="11.45" customHeight="1" x14ac:dyDescent="0.2">
      <c r="C8" s="232"/>
      <c r="D8" s="232"/>
      <c r="E8" s="1017" t="str">
        <f>'Lead PL'!F7</f>
        <v>IST</v>
      </c>
      <c r="F8" s="1017"/>
      <c r="G8" s="1017"/>
      <c r="H8" s="233"/>
      <c r="I8" s="233"/>
      <c r="J8" s="233" t="str">
        <f>E8</f>
        <v>IST</v>
      </c>
      <c r="N8" s="232"/>
      <c r="O8" s="232"/>
      <c r="P8" s="1017" t="str">
        <f>'Lead PL'!G7</f>
        <v>IST</v>
      </c>
      <c r="Q8" s="1017"/>
      <c r="R8" s="1017"/>
      <c r="S8" s="233"/>
      <c r="T8" s="233"/>
      <c r="U8" s="233" t="str">
        <f>P8</f>
        <v>IST</v>
      </c>
      <c r="Y8" s="232"/>
      <c r="Z8" s="232"/>
      <c r="AA8" s="1017" t="str">
        <f>'Lead PL'!H7</f>
        <v>IST</v>
      </c>
      <c r="AB8" s="1017"/>
      <c r="AC8" s="1017"/>
      <c r="AD8" s="233"/>
      <c r="AE8" s="233"/>
      <c r="AF8" s="233" t="str">
        <f>AA8</f>
        <v>IST</v>
      </c>
    </row>
    <row r="9" spans="3:32" ht="11.45" customHeight="1" x14ac:dyDescent="0.2">
      <c r="C9" s="232"/>
      <c r="D9" s="232" t="str">
        <f>"in k"&amp;Cockpit!$C$5</f>
        <v>in kEUR</v>
      </c>
      <c r="E9" s="233" t="s">
        <v>40</v>
      </c>
      <c r="F9" s="233" t="s">
        <v>39</v>
      </c>
      <c r="G9" s="233" t="s">
        <v>50</v>
      </c>
      <c r="H9" s="233" t="s">
        <v>637</v>
      </c>
      <c r="I9" s="233" t="s">
        <v>636</v>
      </c>
      <c r="J9" s="233" t="s">
        <v>635</v>
      </c>
      <c r="N9" s="232"/>
      <c r="O9" s="232" t="str">
        <f>"in k"&amp;Cockpit!$C$5</f>
        <v>in kEUR</v>
      </c>
      <c r="P9" s="233" t="s">
        <v>40</v>
      </c>
      <c r="Q9" s="233" t="s">
        <v>39</v>
      </c>
      <c r="R9" s="233" t="s">
        <v>50</v>
      </c>
      <c r="S9" s="233" t="s">
        <v>637</v>
      </c>
      <c r="T9" s="233" t="s">
        <v>636</v>
      </c>
      <c r="U9" s="233" t="s">
        <v>635</v>
      </c>
      <c r="Y9" s="232"/>
      <c r="Z9" s="232" t="str">
        <f>"in k"&amp;Cockpit!$C$5</f>
        <v>in kEUR</v>
      </c>
      <c r="AA9" s="233" t="s">
        <v>40</v>
      </c>
      <c r="AB9" s="233" t="s">
        <v>39</v>
      </c>
      <c r="AC9" s="233" t="s">
        <v>50</v>
      </c>
      <c r="AD9" s="233" t="s">
        <v>637</v>
      </c>
      <c r="AE9" s="233" t="s">
        <v>636</v>
      </c>
      <c r="AF9" s="233" t="s">
        <v>635</v>
      </c>
    </row>
    <row r="10" spans="3:32" ht="4.5" customHeight="1" x14ac:dyDescent="0.2">
      <c r="C10" s="37"/>
      <c r="D10" s="37"/>
      <c r="E10" s="36"/>
      <c r="F10" s="36"/>
      <c r="G10" s="36"/>
      <c r="H10" s="278"/>
      <c r="I10" s="35"/>
      <c r="J10" s="36"/>
      <c r="L10" s="251"/>
      <c r="N10" s="37"/>
      <c r="O10" s="37"/>
      <c r="P10" s="36"/>
      <c r="Q10" s="36"/>
      <c r="R10" s="36"/>
      <c r="S10" s="278"/>
      <c r="T10" s="35"/>
      <c r="U10" s="36"/>
      <c r="W10" s="251"/>
      <c r="Y10" s="37"/>
      <c r="Z10" s="37"/>
      <c r="AA10" s="36"/>
      <c r="AB10" s="36"/>
      <c r="AC10" s="36"/>
      <c r="AD10" s="278"/>
      <c r="AE10" s="35"/>
      <c r="AF10" s="36"/>
    </row>
    <row r="11" spans="3:32" ht="11.45" customHeight="1" x14ac:dyDescent="0.2">
      <c r="C11" s="37" t="str">
        <f>+'Lead NA'!C9</f>
        <v>Immaterielle Vermögensgegenstände</v>
      </c>
      <c r="D11" s="37" t="str">
        <f>+'Lead NA'!D9</f>
        <v>Intangible assets</v>
      </c>
      <c r="E11" s="36"/>
      <c r="F11" s="36"/>
      <c r="G11" s="36"/>
      <c r="H11" s="324">
        <f t="shared" ref="H11:H16" si="0">SUM(E11:G11)</f>
        <v>0</v>
      </c>
      <c r="I11" s="129"/>
      <c r="J11" s="36">
        <f t="shared" ref="J11:J50" si="1">SUM(H11:I11)</f>
        <v>0</v>
      </c>
      <c r="L11" s="251"/>
      <c r="N11" s="37" t="str">
        <f t="shared" ref="N11:N50" si="2">C11</f>
        <v>Immaterielle Vermögensgegenstände</v>
      </c>
      <c r="O11" s="37" t="str">
        <f t="shared" ref="O11:O50" si="3">D11</f>
        <v>Intangible assets</v>
      </c>
      <c r="P11" s="36"/>
      <c r="Q11" s="36"/>
      <c r="R11" s="36"/>
      <c r="S11" s="324">
        <f t="shared" ref="S11:S16" si="4">SUM(P11:R11)</f>
        <v>0</v>
      </c>
      <c r="T11" s="129"/>
      <c r="U11" s="36">
        <f t="shared" ref="U11:U50" si="5">SUM(S11:T11)</f>
        <v>0</v>
      </c>
      <c r="W11" s="251"/>
      <c r="Y11" s="37" t="str">
        <f t="shared" ref="Y11:Y50" si="6">N11</f>
        <v>Immaterielle Vermögensgegenstände</v>
      </c>
      <c r="Z11" s="37" t="str">
        <f t="shared" ref="Z11:Z50" si="7">O11</f>
        <v>Intangible assets</v>
      </c>
      <c r="AA11" s="36"/>
      <c r="AB11" s="36"/>
      <c r="AC11" s="36"/>
      <c r="AD11" s="324">
        <f t="shared" ref="AD11:AD16" si="8">SUM(AA11:AC11)</f>
        <v>0</v>
      </c>
      <c r="AE11" s="129"/>
      <c r="AF11" s="36">
        <f t="shared" ref="AF11:AF50" si="9">SUM(AD11:AE11)</f>
        <v>0</v>
      </c>
    </row>
    <row r="12" spans="3:32" ht="11.45" customHeight="1" x14ac:dyDescent="0.2">
      <c r="C12" s="37" t="str">
        <f>+'Lead NA'!C10</f>
        <v>Sachanlagen</v>
      </c>
      <c r="D12" s="37" t="str">
        <f>+'Lead NA'!D10</f>
        <v>Tangible assets</v>
      </c>
      <c r="E12" s="36"/>
      <c r="F12" s="36"/>
      <c r="G12" s="36"/>
      <c r="H12" s="324">
        <f t="shared" si="0"/>
        <v>0</v>
      </c>
      <c r="I12" s="129"/>
      <c r="J12" s="36">
        <f t="shared" si="1"/>
        <v>0</v>
      </c>
      <c r="L12" s="251"/>
      <c r="N12" s="37" t="str">
        <f t="shared" si="2"/>
        <v>Sachanlagen</v>
      </c>
      <c r="O12" s="37" t="str">
        <f t="shared" si="3"/>
        <v>Tangible assets</v>
      </c>
      <c r="P12" s="36"/>
      <c r="Q12" s="36"/>
      <c r="R12" s="36"/>
      <c r="S12" s="324">
        <f t="shared" si="4"/>
        <v>0</v>
      </c>
      <c r="T12" s="129"/>
      <c r="U12" s="36">
        <f t="shared" si="5"/>
        <v>0</v>
      </c>
      <c r="W12" s="251"/>
      <c r="Y12" s="37" t="str">
        <f t="shared" si="6"/>
        <v>Sachanlagen</v>
      </c>
      <c r="Z12" s="37" t="str">
        <f t="shared" si="7"/>
        <v>Tangible assets</v>
      </c>
      <c r="AA12" s="36"/>
      <c r="AB12" s="36"/>
      <c r="AC12" s="36"/>
      <c r="AD12" s="324">
        <f t="shared" si="8"/>
        <v>0</v>
      </c>
      <c r="AE12" s="129"/>
      <c r="AF12" s="36">
        <f t="shared" si="9"/>
        <v>0</v>
      </c>
    </row>
    <row r="13" spans="3:32" ht="11.45" customHeight="1" x14ac:dyDescent="0.2">
      <c r="C13" s="37" t="str">
        <f>+'Lead NA'!C11</f>
        <v>Finanzanlagen</v>
      </c>
      <c r="D13" s="37" t="str">
        <f>+'Lead NA'!D11</f>
        <v>Financial assets</v>
      </c>
      <c r="E13" s="36"/>
      <c r="F13" s="36"/>
      <c r="G13" s="36"/>
      <c r="H13" s="324">
        <f t="shared" si="0"/>
        <v>0</v>
      </c>
      <c r="I13" s="129"/>
      <c r="J13" s="36">
        <f t="shared" si="1"/>
        <v>0</v>
      </c>
      <c r="L13" s="251"/>
      <c r="N13" s="37" t="str">
        <f t="shared" si="2"/>
        <v>Finanzanlagen</v>
      </c>
      <c r="O13" s="37" t="str">
        <f t="shared" si="3"/>
        <v>Financial assets</v>
      </c>
      <c r="P13" s="36"/>
      <c r="Q13" s="36"/>
      <c r="R13" s="36"/>
      <c r="S13" s="324">
        <f t="shared" si="4"/>
        <v>0</v>
      </c>
      <c r="T13" s="129"/>
      <c r="U13" s="36">
        <f t="shared" si="5"/>
        <v>0</v>
      </c>
      <c r="W13" s="251"/>
      <c r="Y13" s="37" t="str">
        <f t="shared" si="6"/>
        <v>Finanzanlagen</v>
      </c>
      <c r="Z13" s="37" t="str">
        <f t="shared" si="7"/>
        <v>Financial assets</v>
      </c>
      <c r="AA13" s="36"/>
      <c r="AB13" s="36"/>
      <c r="AC13" s="36"/>
      <c r="AD13" s="324">
        <f t="shared" si="8"/>
        <v>0</v>
      </c>
      <c r="AE13" s="129"/>
      <c r="AF13" s="36">
        <f t="shared" si="9"/>
        <v>0</v>
      </c>
    </row>
    <row r="14" spans="3:32" ht="11.45" hidden="1" customHeight="1" outlineLevel="2" x14ac:dyDescent="0.2">
      <c r="C14" s="37" t="str">
        <f>+'Lead NA'!C12</f>
        <v>Dummy 1</v>
      </c>
      <c r="D14" s="37" t="str">
        <f>+'Lead NA'!D12</f>
        <v>Dummy 1</v>
      </c>
      <c r="E14" s="36"/>
      <c r="F14" s="36"/>
      <c r="G14" s="36"/>
      <c r="H14" s="324">
        <f t="shared" si="0"/>
        <v>0</v>
      </c>
      <c r="I14" s="129"/>
      <c r="J14" s="36">
        <f t="shared" si="1"/>
        <v>0</v>
      </c>
      <c r="L14" s="251"/>
      <c r="N14" s="37" t="str">
        <f t="shared" si="2"/>
        <v>Dummy 1</v>
      </c>
      <c r="O14" s="37" t="str">
        <f t="shared" si="3"/>
        <v>Dummy 1</v>
      </c>
      <c r="P14" s="36"/>
      <c r="Q14" s="36"/>
      <c r="R14" s="36"/>
      <c r="S14" s="324">
        <f t="shared" si="4"/>
        <v>0</v>
      </c>
      <c r="T14" s="129"/>
      <c r="U14" s="36">
        <f t="shared" si="5"/>
        <v>0</v>
      </c>
      <c r="W14" s="251"/>
      <c r="Y14" s="37" t="str">
        <f t="shared" si="6"/>
        <v>Dummy 1</v>
      </c>
      <c r="Z14" s="37" t="str">
        <f t="shared" si="7"/>
        <v>Dummy 1</v>
      </c>
      <c r="AA14" s="36"/>
      <c r="AB14" s="36"/>
      <c r="AC14" s="36"/>
      <c r="AD14" s="324">
        <f t="shared" si="8"/>
        <v>0</v>
      </c>
      <c r="AE14" s="129"/>
      <c r="AF14" s="36">
        <f t="shared" si="9"/>
        <v>0</v>
      </c>
    </row>
    <row r="15" spans="3:32" ht="11.45" hidden="1" customHeight="1" outlineLevel="2" x14ac:dyDescent="0.2">
      <c r="C15" s="37" t="str">
        <f>+'Lead NA'!C13</f>
        <v>Dummy 2</v>
      </c>
      <c r="D15" s="37" t="str">
        <f>+'Lead NA'!D13</f>
        <v>Dummy 2</v>
      </c>
      <c r="E15" s="36"/>
      <c r="F15" s="36"/>
      <c r="G15" s="36"/>
      <c r="H15" s="324">
        <f t="shared" si="0"/>
        <v>0</v>
      </c>
      <c r="I15" s="129"/>
      <c r="J15" s="36">
        <f t="shared" si="1"/>
        <v>0</v>
      </c>
      <c r="L15" s="251"/>
      <c r="N15" s="37" t="str">
        <f t="shared" si="2"/>
        <v>Dummy 2</v>
      </c>
      <c r="O15" s="37" t="str">
        <f t="shared" si="3"/>
        <v>Dummy 2</v>
      </c>
      <c r="P15" s="36"/>
      <c r="Q15" s="36"/>
      <c r="R15" s="36"/>
      <c r="S15" s="324">
        <f t="shared" si="4"/>
        <v>0</v>
      </c>
      <c r="T15" s="129"/>
      <c r="U15" s="36">
        <f t="shared" si="5"/>
        <v>0</v>
      </c>
      <c r="W15" s="251"/>
      <c r="Y15" s="37" t="str">
        <f t="shared" si="6"/>
        <v>Dummy 2</v>
      </c>
      <c r="Z15" s="37" t="str">
        <f t="shared" si="7"/>
        <v>Dummy 2</v>
      </c>
      <c r="AA15" s="36"/>
      <c r="AB15" s="36"/>
      <c r="AC15" s="36"/>
      <c r="AD15" s="324">
        <f t="shared" si="8"/>
        <v>0</v>
      </c>
      <c r="AE15" s="129"/>
      <c r="AF15" s="36">
        <f t="shared" si="9"/>
        <v>0</v>
      </c>
    </row>
    <row r="16" spans="3:32" ht="11.45" hidden="1" customHeight="1" outlineLevel="2" x14ac:dyDescent="0.2">
      <c r="C16" s="42" t="str">
        <f>+'Lead NA'!C14</f>
        <v>Dummy 3</v>
      </c>
      <c r="D16" s="42" t="str">
        <f>+'Lead NA'!D14</f>
        <v>Dummy 3</v>
      </c>
      <c r="E16" s="127"/>
      <c r="F16" s="127"/>
      <c r="G16" s="127"/>
      <c r="H16" s="345">
        <f t="shared" si="0"/>
        <v>0</v>
      </c>
      <c r="I16" s="135"/>
      <c r="J16" s="127">
        <f t="shared" si="1"/>
        <v>0</v>
      </c>
      <c r="L16" s="251"/>
      <c r="N16" s="42" t="str">
        <f t="shared" si="2"/>
        <v>Dummy 3</v>
      </c>
      <c r="O16" s="42" t="str">
        <f t="shared" si="3"/>
        <v>Dummy 3</v>
      </c>
      <c r="P16" s="127"/>
      <c r="Q16" s="127"/>
      <c r="R16" s="127"/>
      <c r="S16" s="345">
        <f t="shared" si="4"/>
        <v>0</v>
      </c>
      <c r="T16" s="135"/>
      <c r="U16" s="127">
        <f t="shared" si="5"/>
        <v>0</v>
      </c>
      <c r="W16" s="251"/>
      <c r="Y16" s="42" t="str">
        <f t="shared" si="6"/>
        <v>Dummy 3</v>
      </c>
      <c r="Z16" s="42" t="str">
        <f t="shared" si="7"/>
        <v>Dummy 3</v>
      </c>
      <c r="AA16" s="127"/>
      <c r="AB16" s="127"/>
      <c r="AC16" s="127"/>
      <c r="AD16" s="345">
        <f t="shared" si="8"/>
        <v>0</v>
      </c>
      <c r="AE16" s="135"/>
      <c r="AF16" s="127">
        <f t="shared" si="9"/>
        <v>0</v>
      </c>
    </row>
    <row r="17" spans="3:33" ht="11.45" customHeight="1" collapsed="1" x14ac:dyDescent="0.2">
      <c r="C17" s="141" t="str">
        <f>+'Lead NA'!C15</f>
        <v>Anlagevermögen</v>
      </c>
      <c r="D17" s="141" t="str">
        <f>+'Lead NA'!D15</f>
        <v>Fixed assets</v>
      </c>
      <c r="E17" s="141">
        <f>SUM(E11:E16)</f>
        <v>0</v>
      </c>
      <c r="F17" s="141">
        <f>SUM(F11:F16)</f>
        <v>0</v>
      </c>
      <c r="G17" s="141">
        <f>SUM(G11:G16)</f>
        <v>0</v>
      </c>
      <c r="H17" s="344">
        <f>SUM(H11:H13)</f>
        <v>0</v>
      </c>
      <c r="I17" s="140">
        <f>SUM(I11:I16)</f>
        <v>0</v>
      </c>
      <c r="J17" s="141">
        <f t="shared" si="1"/>
        <v>0</v>
      </c>
      <c r="L17" s="251"/>
      <c r="N17" s="141" t="str">
        <f t="shared" si="2"/>
        <v>Anlagevermögen</v>
      </c>
      <c r="O17" s="141" t="str">
        <f t="shared" si="3"/>
        <v>Fixed assets</v>
      </c>
      <c r="P17" s="141">
        <f>SUM(P11:P16)</f>
        <v>0</v>
      </c>
      <c r="Q17" s="141">
        <f>SUM(Q11:Q16)</f>
        <v>0</v>
      </c>
      <c r="R17" s="141">
        <f>SUM(R11:R16)</f>
        <v>0</v>
      </c>
      <c r="S17" s="344">
        <f>SUM(S11:S13)</f>
        <v>0</v>
      </c>
      <c r="T17" s="140">
        <f>SUM(T11:T16)</f>
        <v>0</v>
      </c>
      <c r="U17" s="141">
        <f t="shared" si="5"/>
        <v>0</v>
      </c>
      <c r="W17" s="251"/>
      <c r="Y17" s="141" t="str">
        <f t="shared" si="6"/>
        <v>Anlagevermögen</v>
      </c>
      <c r="Z17" s="141" t="str">
        <f t="shared" si="7"/>
        <v>Fixed assets</v>
      </c>
      <c r="AA17" s="141">
        <f>SUM(AA11:AA16)</f>
        <v>0</v>
      </c>
      <c r="AB17" s="141">
        <f>SUM(AB11:AB16)</f>
        <v>0</v>
      </c>
      <c r="AC17" s="141">
        <f>SUM(AC11:AC16)</f>
        <v>0</v>
      </c>
      <c r="AD17" s="344">
        <f>SUM(AD11:AD13)</f>
        <v>0</v>
      </c>
      <c r="AE17" s="140">
        <f>SUM(AE11:AE16)</f>
        <v>0</v>
      </c>
      <c r="AF17" s="141">
        <f t="shared" si="9"/>
        <v>0</v>
      </c>
      <c r="AG17" s="343"/>
    </row>
    <row r="18" spans="3:33" ht="11.45" customHeight="1" x14ac:dyDescent="0.2">
      <c r="C18" s="37" t="str">
        <f>+'Lead NA'!C16</f>
        <v>Vorräte</v>
      </c>
      <c r="D18" s="37" t="str">
        <f>+'Lead NA'!D16</f>
        <v>Inventories</v>
      </c>
      <c r="E18" s="36"/>
      <c r="F18" s="36"/>
      <c r="G18" s="36"/>
      <c r="H18" s="324">
        <f t="shared" ref="H18:H23" si="10">SUM(E18:G18)</f>
        <v>0</v>
      </c>
      <c r="I18" s="129"/>
      <c r="J18" s="36">
        <f t="shared" si="1"/>
        <v>0</v>
      </c>
      <c r="L18" s="251"/>
      <c r="N18" s="37" t="str">
        <f t="shared" si="2"/>
        <v>Vorräte</v>
      </c>
      <c r="O18" s="37" t="str">
        <f t="shared" si="3"/>
        <v>Inventories</v>
      </c>
      <c r="P18" s="36"/>
      <c r="Q18" s="36"/>
      <c r="R18" s="36"/>
      <c r="S18" s="324">
        <f t="shared" ref="S18:S23" si="11">SUM(P18:R18)</f>
        <v>0</v>
      </c>
      <c r="T18" s="129"/>
      <c r="U18" s="36">
        <f t="shared" si="5"/>
        <v>0</v>
      </c>
      <c r="W18" s="251"/>
      <c r="Y18" s="37" t="str">
        <f t="shared" si="6"/>
        <v>Vorräte</v>
      </c>
      <c r="Z18" s="37" t="str">
        <f t="shared" si="7"/>
        <v>Inventories</v>
      </c>
      <c r="AA18" s="36"/>
      <c r="AB18" s="36"/>
      <c r="AC18" s="36"/>
      <c r="AD18" s="324">
        <f t="shared" ref="AD18:AD23" si="12">SUM(AA18:AC18)</f>
        <v>0</v>
      </c>
      <c r="AE18" s="129"/>
      <c r="AF18" s="36">
        <f t="shared" si="9"/>
        <v>0</v>
      </c>
    </row>
    <row r="19" spans="3:33" ht="11.45" customHeight="1" x14ac:dyDescent="0.2">
      <c r="C19" s="37" t="str">
        <f>+'Lead NA'!C17</f>
        <v>Forderungen aus LuL</v>
      </c>
      <c r="D19" s="37" t="str">
        <f>+'Lead NA'!D17</f>
        <v>Trade receivables</v>
      </c>
      <c r="E19" s="36"/>
      <c r="F19" s="36"/>
      <c r="G19" s="36"/>
      <c r="H19" s="324">
        <f t="shared" si="10"/>
        <v>0</v>
      </c>
      <c r="I19" s="129"/>
      <c r="J19" s="36">
        <f t="shared" si="1"/>
        <v>0</v>
      </c>
      <c r="L19" s="251"/>
      <c r="N19" s="37" t="str">
        <f t="shared" si="2"/>
        <v>Forderungen aus LuL</v>
      </c>
      <c r="O19" s="37" t="str">
        <f t="shared" si="3"/>
        <v>Trade receivables</v>
      </c>
      <c r="P19" s="36"/>
      <c r="Q19" s="36"/>
      <c r="R19" s="36"/>
      <c r="S19" s="324">
        <f t="shared" si="11"/>
        <v>0</v>
      </c>
      <c r="T19" s="129"/>
      <c r="U19" s="36">
        <f t="shared" si="5"/>
        <v>0</v>
      </c>
      <c r="W19" s="251"/>
      <c r="Y19" s="37" t="str">
        <f t="shared" si="6"/>
        <v>Forderungen aus LuL</v>
      </c>
      <c r="Z19" s="37" t="str">
        <f t="shared" si="7"/>
        <v>Trade receivables</v>
      </c>
      <c r="AA19" s="36"/>
      <c r="AB19" s="36"/>
      <c r="AC19" s="36"/>
      <c r="AD19" s="324">
        <f t="shared" si="12"/>
        <v>0</v>
      </c>
      <c r="AE19" s="129"/>
      <c r="AF19" s="36">
        <f t="shared" si="9"/>
        <v>0</v>
      </c>
    </row>
    <row r="20" spans="3:33" ht="11.45" customHeight="1" x14ac:dyDescent="0.2">
      <c r="C20" s="37" t="str">
        <f>+'Lead NA'!C18</f>
        <v>Verbindlichkeiten aus LuL</v>
      </c>
      <c r="D20" s="37" t="str">
        <f>+'Lead NA'!D18</f>
        <v>Trade payables</v>
      </c>
      <c r="E20" s="36"/>
      <c r="F20" s="36"/>
      <c r="G20" s="36"/>
      <c r="H20" s="324">
        <f t="shared" si="10"/>
        <v>0</v>
      </c>
      <c r="I20" s="129"/>
      <c r="J20" s="36">
        <f t="shared" si="1"/>
        <v>0</v>
      </c>
      <c r="L20" s="251"/>
      <c r="N20" s="37" t="str">
        <f t="shared" si="2"/>
        <v>Verbindlichkeiten aus LuL</v>
      </c>
      <c r="O20" s="37" t="str">
        <f t="shared" si="3"/>
        <v>Trade payables</v>
      </c>
      <c r="P20" s="36"/>
      <c r="Q20" s="36"/>
      <c r="R20" s="36"/>
      <c r="S20" s="324">
        <f t="shared" si="11"/>
        <v>0</v>
      </c>
      <c r="T20" s="129"/>
      <c r="U20" s="36">
        <f t="shared" si="5"/>
        <v>0</v>
      </c>
      <c r="W20" s="251"/>
      <c r="Y20" s="37" t="str">
        <f t="shared" si="6"/>
        <v>Verbindlichkeiten aus LuL</v>
      </c>
      <c r="Z20" s="37" t="str">
        <f t="shared" si="7"/>
        <v>Trade payables</v>
      </c>
      <c r="AA20" s="36"/>
      <c r="AB20" s="36"/>
      <c r="AC20" s="36"/>
      <c r="AD20" s="324">
        <f t="shared" si="12"/>
        <v>0</v>
      </c>
      <c r="AE20" s="129"/>
      <c r="AF20" s="36">
        <f t="shared" si="9"/>
        <v>0</v>
      </c>
    </row>
    <row r="21" spans="3:33" ht="11.45" hidden="1" customHeight="1" outlineLevel="2" x14ac:dyDescent="0.2">
      <c r="C21" s="37" t="str">
        <f>+'Lead NA'!C20</f>
        <v>Dummy 1</v>
      </c>
      <c r="D21" s="37" t="str">
        <f>+'Lead NA'!D20</f>
        <v>Dummy 1</v>
      </c>
      <c r="E21" s="36"/>
      <c r="F21" s="36"/>
      <c r="G21" s="36"/>
      <c r="H21" s="324">
        <f t="shared" si="10"/>
        <v>0</v>
      </c>
      <c r="I21" s="129"/>
      <c r="J21" s="36">
        <f t="shared" si="1"/>
        <v>0</v>
      </c>
      <c r="L21" s="251"/>
      <c r="N21" s="37" t="str">
        <f t="shared" si="2"/>
        <v>Dummy 1</v>
      </c>
      <c r="O21" s="37" t="str">
        <f t="shared" si="3"/>
        <v>Dummy 1</v>
      </c>
      <c r="P21" s="36"/>
      <c r="Q21" s="36"/>
      <c r="R21" s="36"/>
      <c r="S21" s="324">
        <f t="shared" si="11"/>
        <v>0</v>
      </c>
      <c r="T21" s="129"/>
      <c r="U21" s="36">
        <f t="shared" si="5"/>
        <v>0</v>
      </c>
      <c r="W21" s="251"/>
      <c r="Y21" s="37" t="str">
        <f t="shared" si="6"/>
        <v>Dummy 1</v>
      </c>
      <c r="Z21" s="37" t="str">
        <f t="shared" si="7"/>
        <v>Dummy 1</v>
      </c>
      <c r="AA21" s="36"/>
      <c r="AB21" s="36"/>
      <c r="AC21" s="36"/>
      <c r="AD21" s="324">
        <f t="shared" si="12"/>
        <v>0</v>
      </c>
      <c r="AE21" s="129"/>
      <c r="AF21" s="36">
        <f t="shared" si="9"/>
        <v>0</v>
      </c>
    </row>
    <row r="22" spans="3:33" ht="11.45" hidden="1" customHeight="1" outlineLevel="2" x14ac:dyDescent="0.2">
      <c r="C22" s="37" t="str">
        <f>+'Lead NA'!C21</f>
        <v>Dummy 2</v>
      </c>
      <c r="D22" s="37" t="str">
        <f>+'Lead NA'!D21</f>
        <v>Dummy 2</v>
      </c>
      <c r="E22" s="36"/>
      <c r="F22" s="36"/>
      <c r="G22" s="36"/>
      <c r="H22" s="324">
        <f t="shared" si="10"/>
        <v>0</v>
      </c>
      <c r="I22" s="129"/>
      <c r="J22" s="36">
        <f t="shared" si="1"/>
        <v>0</v>
      </c>
      <c r="L22" s="251"/>
      <c r="N22" s="37" t="str">
        <f t="shared" si="2"/>
        <v>Dummy 2</v>
      </c>
      <c r="O22" s="37" t="str">
        <f t="shared" si="3"/>
        <v>Dummy 2</v>
      </c>
      <c r="P22" s="36"/>
      <c r="Q22" s="36"/>
      <c r="R22" s="36"/>
      <c r="S22" s="324">
        <f t="shared" si="11"/>
        <v>0</v>
      </c>
      <c r="T22" s="129"/>
      <c r="U22" s="36">
        <f t="shared" si="5"/>
        <v>0</v>
      </c>
      <c r="W22" s="251"/>
      <c r="Y22" s="37" t="str">
        <f t="shared" si="6"/>
        <v>Dummy 2</v>
      </c>
      <c r="Z22" s="37" t="str">
        <f t="shared" si="7"/>
        <v>Dummy 2</v>
      </c>
      <c r="AA22" s="36"/>
      <c r="AB22" s="36"/>
      <c r="AC22" s="36"/>
      <c r="AD22" s="324">
        <f t="shared" si="12"/>
        <v>0</v>
      </c>
      <c r="AE22" s="129"/>
      <c r="AF22" s="36">
        <f t="shared" si="9"/>
        <v>0</v>
      </c>
    </row>
    <row r="23" spans="3:33" ht="11.45" hidden="1" customHeight="1" outlineLevel="2" x14ac:dyDescent="0.2">
      <c r="C23" s="42" t="str">
        <f>+'Lead NA'!C22</f>
        <v>Dummy 3</v>
      </c>
      <c r="D23" s="42" t="str">
        <f>+'Lead NA'!D22</f>
        <v>Dummy 3</v>
      </c>
      <c r="E23" s="127"/>
      <c r="F23" s="127"/>
      <c r="G23" s="127"/>
      <c r="H23" s="345">
        <f t="shared" si="10"/>
        <v>0</v>
      </c>
      <c r="I23" s="135"/>
      <c r="J23" s="127">
        <f t="shared" si="1"/>
        <v>0</v>
      </c>
      <c r="L23" s="251"/>
      <c r="N23" s="42" t="str">
        <f t="shared" si="2"/>
        <v>Dummy 3</v>
      </c>
      <c r="O23" s="42" t="str">
        <f t="shared" si="3"/>
        <v>Dummy 3</v>
      </c>
      <c r="P23" s="127"/>
      <c r="Q23" s="127"/>
      <c r="R23" s="127"/>
      <c r="S23" s="345">
        <f t="shared" si="11"/>
        <v>0</v>
      </c>
      <c r="T23" s="135"/>
      <c r="U23" s="127">
        <f t="shared" si="5"/>
        <v>0</v>
      </c>
      <c r="W23" s="251"/>
      <c r="Y23" s="42" t="str">
        <f t="shared" si="6"/>
        <v>Dummy 3</v>
      </c>
      <c r="Z23" s="42" t="str">
        <f t="shared" si="7"/>
        <v>Dummy 3</v>
      </c>
      <c r="AA23" s="127"/>
      <c r="AB23" s="127"/>
      <c r="AC23" s="127"/>
      <c r="AD23" s="345">
        <f t="shared" si="12"/>
        <v>0</v>
      </c>
      <c r="AE23" s="135"/>
      <c r="AF23" s="127">
        <f t="shared" si="9"/>
        <v>0</v>
      </c>
    </row>
    <row r="24" spans="3:33" ht="11.45" customHeight="1" collapsed="1" x14ac:dyDescent="0.2">
      <c r="C24" s="141" t="str">
        <f>+'Lead NA'!C23</f>
        <v>Trade Working Capital</v>
      </c>
      <c r="D24" s="141" t="str">
        <f>+'Lead NA'!D23</f>
        <v>Trade working capital</v>
      </c>
      <c r="E24" s="141">
        <f>SUM(E18:E23)</f>
        <v>0</v>
      </c>
      <c r="F24" s="141">
        <f>SUM(F18:F23)</f>
        <v>0</v>
      </c>
      <c r="G24" s="141">
        <f>SUM(G18:G23)</f>
        <v>0</v>
      </c>
      <c r="H24" s="344">
        <f>SUM(H18:H20)</f>
        <v>0</v>
      </c>
      <c r="I24" s="140">
        <f>SUM(I18:I23)</f>
        <v>0</v>
      </c>
      <c r="J24" s="141">
        <f t="shared" si="1"/>
        <v>0</v>
      </c>
      <c r="L24" s="251"/>
      <c r="N24" s="141" t="str">
        <f t="shared" si="2"/>
        <v>Trade Working Capital</v>
      </c>
      <c r="O24" s="141" t="str">
        <f t="shared" si="3"/>
        <v>Trade working capital</v>
      </c>
      <c r="P24" s="141">
        <f>SUM(P18:P23)</f>
        <v>0</v>
      </c>
      <c r="Q24" s="141">
        <f>SUM(Q18:Q23)</f>
        <v>0</v>
      </c>
      <c r="R24" s="141">
        <f>SUM(R18:R23)</f>
        <v>0</v>
      </c>
      <c r="S24" s="344">
        <f>SUM(S18:S20)</f>
        <v>0</v>
      </c>
      <c r="T24" s="140">
        <f>SUM(T18:T23)</f>
        <v>0</v>
      </c>
      <c r="U24" s="141">
        <f t="shared" si="5"/>
        <v>0</v>
      </c>
      <c r="W24" s="251"/>
      <c r="Y24" s="141" t="str">
        <f t="shared" si="6"/>
        <v>Trade Working Capital</v>
      </c>
      <c r="Z24" s="141" t="str">
        <f t="shared" si="7"/>
        <v>Trade working capital</v>
      </c>
      <c r="AA24" s="141">
        <f>SUM(AA18:AA23)</f>
        <v>0</v>
      </c>
      <c r="AB24" s="141">
        <f>SUM(AB18:AB23)</f>
        <v>0</v>
      </c>
      <c r="AC24" s="141">
        <f>SUM(AC18:AC23)</f>
        <v>0</v>
      </c>
      <c r="AD24" s="344">
        <f>SUM(AD18:AD20)</f>
        <v>0</v>
      </c>
      <c r="AE24" s="140">
        <f>SUM(AE18:AE23)</f>
        <v>0</v>
      </c>
      <c r="AF24" s="141">
        <f t="shared" si="9"/>
        <v>0</v>
      </c>
      <c r="AG24" s="343"/>
    </row>
    <row r="25" spans="3:33" ht="11.45" customHeight="1" x14ac:dyDescent="0.2">
      <c r="C25" s="37" t="str">
        <f>+'Lead NA'!C24</f>
        <v>Sonstige Vermögensgegenstände</v>
      </c>
      <c r="D25" s="37" t="str">
        <f>+'Lead NA'!D24</f>
        <v>Other assets</v>
      </c>
      <c r="E25" s="36"/>
      <c r="F25" s="36"/>
      <c r="G25" s="36"/>
      <c r="H25" s="324">
        <f>SUM(E25:G25)</f>
        <v>0</v>
      </c>
      <c r="I25" s="129"/>
      <c r="J25" s="36">
        <f t="shared" si="1"/>
        <v>0</v>
      </c>
      <c r="L25" s="251"/>
      <c r="N25" s="37" t="str">
        <f t="shared" si="2"/>
        <v>Sonstige Vermögensgegenstände</v>
      </c>
      <c r="O25" s="37" t="str">
        <f t="shared" si="3"/>
        <v>Other assets</v>
      </c>
      <c r="P25" s="36"/>
      <c r="Q25" s="36"/>
      <c r="R25" s="36"/>
      <c r="S25" s="324">
        <f>SUM(P25:R25)</f>
        <v>0</v>
      </c>
      <c r="T25" s="129"/>
      <c r="U25" s="36">
        <f t="shared" si="5"/>
        <v>0</v>
      </c>
      <c r="W25" s="251"/>
      <c r="Y25" s="37" t="str">
        <f t="shared" si="6"/>
        <v>Sonstige Vermögensgegenstände</v>
      </c>
      <c r="Z25" s="37" t="str">
        <f t="shared" si="7"/>
        <v>Other assets</v>
      </c>
      <c r="AA25" s="36"/>
      <c r="AB25" s="36"/>
      <c r="AC25" s="36"/>
      <c r="AD25" s="324">
        <f>SUM(AA25:AC25)</f>
        <v>0</v>
      </c>
      <c r="AE25" s="129"/>
      <c r="AF25" s="36">
        <f t="shared" si="9"/>
        <v>0</v>
      </c>
    </row>
    <row r="26" spans="3:33" ht="11.45" customHeight="1" x14ac:dyDescent="0.2">
      <c r="C26" s="37" t="str">
        <f>+'Lead NA'!C25</f>
        <v>Aktive Rechnungsabgrenzungsposten</v>
      </c>
      <c r="D26" s="37" t="str">
        <f>+'Lead NA'!D25</f>
        <v>Prepaid expenses</v>
      </c>
      <c r="E26" s="36"/>
      <c r="F26" s="36"/>
      <c r="G26" s="36"/>
      <c r="H26" s="324">
        <f>SUM(E26:G26)</f>
        <v>0</v>
      </c>
      <c r="I26" s="129"/>
      <c r="J26" s="36">
        <f t="shared" si="1"/>
        <v>0</v>
      </c>
      <c r="L26" s="251"/>
      <c r="N26" s="37" t="str">
        <f t="shared" si="2"/>
        <v>Aktive Rechnungsabgrenzungsposten</v>
      </c>
      <c r="O26" s="37" t="str">
        <f t="shared" si="3"/>
        <v>Prepaid expenses</v>
      </c>
      <c r="P26" s="36"/>
      <c r="Q26" s="36"/>
      <c r="R26" s="36"/>
      <c r="S26" s="324">
        <f>SUM(P26:R26)</f>
        <v>0</v>
      </c>
      <c r="T26" s="129"/>
      <c r="U26" s="36">
        <f t="shared" si="5"/>
        <v>0</v>
      </c>
      <c r="W26" s="251"/>
      <c r="Y26" s="37" t="str">
        <f t="shared" si="6"/>
        <v>Aktive Rechnungsabgrenzungsposten</v>
      </c>
      <c r="Z26" s="37" t="str">
        <f t="shared" si="7"/>
        <v>Prepaid expenses</v>
      </c>
      <c r="AA26" s="36"/>
      <c r="AB26" s="36"/>
      <c r="AC26" s="36"/>
      <c r="AD26" s="324">
        <f>SUM(AA26:AC26)</f>
        <v>0</v>
      </c>
      <c r="AE26" s="129"/>
      <c r="AF26" s="36">
        <f t="shared" si="9"/>
        <v>0</v>
      </c>
    </row>
    <row r="27" spans="3:33" ht="11.45" hidden="1" customHeight="1" outlineLevel="2" x14ac:dyDescent="0.2">
      <c r="C27" s="37" t="str">
        <f>+'Lead NA'!C27</f>
        <v>Dummy 2</v>
      </c>
      <c r="D27" s="37">
        <f>+'Lead NA'!D27</f>
        <v>0</v>
      </c>
      <c r="E27" s="36"/>
      <c r="F27" s="36"/>
      <c r="G27" s="36"/>
      <c r="H27" s="324">
        <f>SUM(E27:G27)</f>
        <v>0</v>
      </c>
      <c r="I27" s="129"/>
      <c r="J27" s="36">
        <f t="shared" si="1"/>
        <v>0</v>
      </c>
      <c r="L27" s="251"/>
      <c r="N27" s="37" t="str">
        <f t="shared" si="2"/>
        <v>Dummy 2</v>
      </c>
      <c r="O27" s="37">
        <f t="shared" si="3"/>
        <v>0</v>
      </c>
      <c r="P27" s="36"/>
      <c r="Q27" s="36"/>
      <c r="R27" s="36"/>
      <c r="S27" s="324">
        <f>SUM(P27:R27)</f>
        <v>0</v>
      </c>
      <c r="T27" s="129"/>
      <c r="U27" s="36">
        <f t="shared" si="5"/>
        <v>0</v>
      </c>
      <c r="W27" s="251"/>
      <c r="Y27" s="37" t="str">
        <f t="shared" si="6"/>
        <v>Dummy 2</v>
      </c>
      <c r="Z27" s="37">
        <f t="shared" si="7"/>
        <v>0</v>
      </c>
      <c r="AA27" s="36"/>
      <c r="AB27" s="36"/>
      <c r="AC27" s="36"/>
      <c r="AD27" s="324">
        <f>SUM(AA27:AC27)</f>
        <v>0</v>
      </c>
      <c r="AE27" s="129"/>
      <c r="AF27" s="36">
        <f t="shared" si="9"/>
        <v>0</v>
      </c>
    </row>
    <row r="28" spans="3:33" ht="11.45" hidden="1" customHeight="1" outlineLevel="2" x14ac:dyDescent="0.2">
      <c r="C28" s="37" t="str">
        <f>+'Lead NA'!C28</f>
        <v>Dummy 2</v>
      </c>
      <c r="D28" s="37" t="str">
        <f>+'Lead NA'!D28</f>
        <v>Dummy 2</v>
      </c>
      <c r="E28" s="36"/>
      <c r="F28" s="36"/>
      <c r="G28" s="36"/>
      <c r="H28" s="324">
        <f>SUM(E28:G28)</f>
        <v>0</v>
      </c>
      <c r="I28" s="129"/>
      <c r="J28" s="36">
        <f t="shared" si="1"/>
        <v>0</v>
      </c>
      <c r="L28" s="251"/>
      <c r="N28" s="37" t="str">
        <f t="shared" si="2"/>
        <v>Dummy 2</v>
      </c>
      <c r="O28" s="37" t="str">
        <f t="shared" si="3"/>
        <v>Dummy 2</v>
      </c>
      <c r="P28" s="36"/>
      <c r="Q28" s="36"/>
      <c r="R28" s="36"/>
      <c r="S28" s="324">
        <f>SUM(P28:R28)</f>
        <v>0</v>
      </c>
      <c r="T28" s="129"/>
      <c r="U28" s="36">
        <f t="shared" si="5"/>
        <v>0</v>
      </c>
      <c r="W28" s="251"/>
      <c r="Y28" s="37" t="str">
        <f t="shared" si="6"/>
        <v>Dummy 2</v>
      </c>
      <c r="Z28" s="37" t="str">
        <f t="shared" si="7"/>
        <v>Dummy 2</v>
      </c>
      <c r="AA28" s="36"/>
      <c r="AB28" s="36"/>
      <c r="AC28" s="36"/>
      <c r="AD28" s="324">
        <f>SUM(AA28:AC28)</f>
        <v>0</v>
      </c>
      <c r="AE28" s="129"/>
      <c r="AF28" s="36">
        <f t="shared" si="9"/>
        <v>0</v>
      </c>
    </row>
    <row r="29" spans="3:33" ht="11.45" hidden="1" customHeight="1" outlineLevel="2" x14ac:dyDescent="0.2">
      <c r="C29" s="37" t="str">
        <f>+'Lead NA'!C29</f>
        <v>Dummy 3</v>
      </c>
      <c r="D29" s="37" t="str">
        <f>+'Lead NA'!D29</f>
        <v>Dummy 3</v>
      </c>
      <c r="E29" s="36"/>
      <c r="F29" s="36"/>
      <c r="G29" s="36"/>
      <c r="H29" s="324">
        <f>SUM(E29:G29)</f>
        <v>0</v>
      </c>
      <c r="I29" s="129"/>
      <c r="J29" s="36">
        <f t="shared" si="1"/>
        <v>0</v>
      </c>
      <c r="L29" s="251"/>
      <c r="N29" s="37" t="str">
        <f t="shared" si="2"/>
        <v>Dummy 3</v>
      </c>
      <c r="O29" s="37" t="str">
        <f t="shared" si="3"/>
        <v>Dummy 3</v>
      </c>
      <c r="P29" s="36"/>
      <c r="Q29" s="36"/>
      <c r="R29" s="36"/>
      <c r="S29" s="324">
        <f>SUM(P29:R29)</f>
        <v>0</v>
      </c>
      <c r="T29" s="129"/>
      <c r="U29" s="36">
        <f t="shared" si="5"/>
        <v>0</v>
      </c>
      <c r="W29" s="251"/>
      <c r="Y29" s="37" t="str">
        <f t="shared" si="6"/>
        <v>Dummy 3</v>
      </c>
      <c r="Z29" s="37" t="str">
        <f t="shared" si="7"/>
        <v>Dummy 3</v>
      </c>
      <c r="AA29" s="36"/>
      <c r="AB29" s="36"/>
      <c r="AC29" s="36"/>
      <c r="AD29" s="324">
        <f>SUM(AA29:AC29)</f>
        <v>0</v>
      </c>
      <c r="AE29" s="129"/>
      <c r="AF29" s="36">
        <f t="shared" si="9"/>
        <v>0</v>
      </c>
    </row>
    <row r="30" spans="3:33" ht="11.45" customHeight="1" collapsed="1" x14ac:dyDescent="0.2">
      <c r="C30" s="155" t="str">
        <f>+'Lead NA'!C30</f>
        <v>Sonstige Aktiva</v>
      </c>
      <c r="D30" s="155" t="str">
        <f>+'Lead NA'!D30</f>
        <v>Other assets</v>
      </c>
      <c r="E30" s="154">
        <f>SUM(E25:E29)</f>
        <v>0</v>
      </c>
      <c r="F30" s="154">
        <f>SUM(F25:F29)</f>
        <v>0</v>
      </c>
      <c r="G30" s="154">
        <f>SUM(G25:G29)</f>
        <v>0</v>
      </c>
      <c r="H30" s="349">
        <f>SUM(H25:H26)</f>
        <v>0</v>
      </c>
      <c r="I30" s="153">
        <f>SUM(I25:I29)</f>
        <v>0</v>
      </c>
      <c r="J30" s="154">
        <f t="shared" si="1"/>
        <v>0</v>
      </c>
      <c r="L30" s="251"/>
      <c r="N30" s="155" t="str">
        <f t="shared" si="2"/>
        <v>Sonstige Aktiva</v>
      </c>
      <c r="O30" s="155" t="str">
        <f t="shared" si="3"/>
        <v>Other assets</v>
      </c>
      <c r="P30" s="154">
        <f>SUM(P25:P29)</f>
        <v>0</v>
      </c>
      <c r="Q30" s="154">
        <f>SUM(Q25:Q29)</f>
        <v>0</v>
      </c>
      <c r="R30" s="154">
        <f>SUM(R25:R29)</f>
        <v>0</v>
      </c>
      <c r="S30" s="349">
        <f>SUM(S25:S26)</f>
        <v>0</v>
      </c>
      <c r="T30" s="153">
        <f>SUM(T25:T29)</f>
        <v>0</v>
      </c>
      <c r="U30" s="154">
        <f t="shared" si="5"/>
        <v>0</v>
      </c>
      <c r="W30" s="251"/>
      <c r="Y30" s="155" t="str">
        <f t="shared" si="6"/>
        <v>Sonstige Aktiva</v>
      </c>
      <c r="Z30" s="155" t="str">
        <f t="shared" si="7"/>
        <v>Other assets</v>
      </c>
      <c r="AA30" s="154">
        <f>SUM(AA25:AA29)</f>
        <v>0</v>
      </c>
      <c r="AB30" s="154">
        <f>SUM(AB25:AB29)</f>
        <v>0</v>
      </c>
      <c r="AC30" s="154">
        <f>SUM(AC25:AC29)</f>
        <v>0</v>
      </c>
      <c r="AD30" s="349">
        <f>SUM(AD25:AD26)</f>
        <v>0</v>
      </c>
      <c r="AE30" s="153">
        <f>SUM(AE25:AE29)</f>
        <v>0</v>
      </c>
      <c r="AF30" s="154">
        <f t="shared" si="9"/>
        <v>0</v>
      </c>
    </row>
    <row r="31" spans="3:33" ht="11.45" customHeight="1" x14ac:dyDescent="0.2">
      <c r="C31" s="37" t="str">
        <f>+'Lead NA'!C31</f>
        <v>Sonstige Rückstellungen</v>
      </c>
      <c r="D31" s="37" t="str">
        <f>+'Lead NA'!D31</f>
        <v>Other provisions</v>
      </c>
      <c r="E31" s="36"/>
      <c r="F31" s="36"/>
      <c r="G31" s="36"/>
      <c r="H31" s="324">
        <f>SUM(E31:G31)</f>
        <v>0</v>
      </c>
      <c r="I31" s="129"/>
      <c r="J31" s="36">
        <f t="shared" si="1"/>
        <v>0</v>
      </c>
      <c r="L31" s="251"/>
      <c r="N31" s="37" t="str">
        <f t="shared" si="2"/>
        <v>Sonstige Rückstellungen</v>
      </c>
      <c r="O31" s="37" t="str">
        <f t="shared" si="3"/>
        <v>Other provisions</v>
      </c>
      <c r="P31" s="36"/>
      <c r="Q31" s="36"/>
      <c r="R31" s="36"/>
      <c r="S31" s="324">
        <f>SUM(P31:R31)</f>
        <v>0</v>
      </c>
      <c r="T31" s="129"/>
      <c r="U31" s="36">
        <f t="shared" si="5"/>
        <v>0</v>
      </c>
      <c r="W31" s="251"/>
      <c r="Y31" s="37" t="str">
        <f t="shared" si="6"/>
        <v>Sonstige Rückstellungen</v>
      </c>
      <c r="Z31" s="37" t="str">
        <f t="shared" si="7"/>
        <v>Other provisions</v>
      </c>
      <c r="AA31" s="36"/>
      <c r="AB31" s="36"/>
      <c r="AC31" s="36"/>
      <c r="AD31" s="324">
        <f>SUM(AA31:AC31)</f>
        <v>0</v>
      </c>
      <c r="AE31" s="129"/>
      <c r="AF31" s="36">
        <f t="shared" si="9"/>
        <v>0</v>
      </c>
    </row>
    <row r="32" spans="3:33" ht="11.45" customHeight="1" x14ac:dyDescent="0.2">
      <c r="C32" s="37" t="str">
        <f>+'Lead NA'!C32</f>
        <v>Sonstige Verbindlichkeiten</v>
      </c>
      <c r="D32" s="37" t="str">
        <f>+'Lead NA'!D32</f>
        <v>Other liabilities</v>
      </c>
      <c r="E32" s="36"/>
      <c r="F32" s="36"/>
      <c r="G32" s="36"/>
      <c r="H32" s="324">
        <f>SUM(E32:G32)</f>
        <v>0</v>
      </c>
      <c r="I32" s="129"/>
      <c r="J32" s="36">
        <f t="shared" si="1"/>
        <v>0</v>
      </c>
      <c r="L32" s="251"/>
      <c r="N32" s="37" t="str">
        <f t="shared" si="2"/>
        <v>Sonstige Verbindlichkeiten</v>
      </c>
      <c r="O32" s="37" t="str">
        <f t="shared" si="3"/>
        <v>Other liabilities</v>
      </c>
      <c r="P32" s="36"/>
      <c r="Q32" s="36"/>
      <c r="R32" s="36"/>
      <c r="S32" s="324">
        <f>SUM(P32:R32)</f>
        <v>0</v>
      </c>
      <c r="T32" s="129"/>
      <c r="U32" s="36">
        <f t="shared" si="5"/>
        <v>0</v>
      </c>
      <c r="W32" s="251"/>
      <c r="Y32" s="37" t="str">
        <f t="shared" si="6"/>
        <v>Sonstige Verbindlichkeiten</v>
      </c>
      <c r="Z32" s="37" t="str">
        <f t="shared" si="7"/>
        <v>Other liabilities</v>
      </c>
      <c r="AA32" s="36"/>
      <c r="AB32" s="36"/>
      <c r="AC32" s="36"/>
      <c r="AD32" s="324">
        <f>SUM(AA32:AC32)</f>
        <v>0</v>
      </c>
      <c r="AE32" s="129"/>
      <c r="AF32" s="36">
        <f t="shared" si="9"/>
        <v>0</v>
      </c>
    </row>
    <row r="33" spans="3:33" ht="11.45" hidden="1" customHeight="1" outlineLevel="2" x14ac:dyDescent="0.2">
      <c r="C33" s="37" t="str">
        <f>+'Lead NA'!C34</f>
        <v>Dummy 1</v>
      </c>
      <c r="D33" s="37" t="str">
        <f>+'Lead NA'!D34</f>
        <v>Liabilities to affiliated/ participating companies</v>
      </c>
      <c r="E33" s="36"/>
      <c r="F33" s="36"/>
      <c r="G33" s="36"/>
      <c r="H33" s="324">
        <f>SUM(E33:G33)</f>
        <v>0</v>
      </c>
      <c r="I33" s="129"/>
      <c r="J33" s="36">
        <f t="shared" si="1"/>
        <v>0</v>
      </c>
      <c r="L33" s="251"/>
      <c r="N33" s="37" t="str">
        <f t="shared" si="2"/>
        <v>Dummy 1</v>
      </c>
      <c r="O33" s="37" t="str">
        <f t="shared" si="3"/>
        <v>Liabilities to affiliated/ participating companies</v>
      </c>
      <c r="P33" s="36"/>
      <c r="Q33" s="36"/>
      <c r="R33" s="36"/>
      <c r="S33" s="324">
        <f>SUM(P33:R33)</f>
        <v>0</v>
      </c>
      <c r="T33" s="129"/>
      <c r="U33" s="36">
        <f t="shared" si="5"/>
        <v>0</v>
      </c>
      <c r="W33" s="251"/>
      <c r="Y33" s="37" t="str">
        <f t="shared" si="6"/>
        <v>Dummy 1</v>
      </c>
      <c r="Z33" s="37" t="str">
        <f t="shared" si="7"/>
        <v>Liabilities to affiliated/ participating companies</v>
      </c>
      <c r="AA33" s="36"/>
      <c r="AB33" s="36"/>
      <c r="AC33" s="36"/>
      <c r="AD33" s="324">
        <f>SUM(AA33:AC33)</f>
        <v>0</v>
      </c>
      <c r="AE33" s="129"/>
      <c r="AF33" s="36">
        <f t="shared" si="9"/>
        <v>0</v>
      </c>
    </row>
    <row r="34" spans="3:33" ht="11.45" hidden="1" customHeight="1" outlineLevel="2" x14ac:dyDescent="0.2">
      <c r="C34" s="37" t="str">
        <f>+'Lead NA'!C35</f>
        <v>Dummy 1</v>
      </c>
      <c r="D34" s="37" t="str">
        <f>+'Lead NA'!D35</f>
        <v>Liabilities to shareholders</v>
      </c>
      <c r="E34" s="36"/>
      <c r="F34" s="36"/>
      <c r="G34" s="36"/>
      <c r="H34" s="324">
        <f>SUM(E34:G34)</f>
        <v>0</v>
      </c>
      <c r="I34" s="129"/>
      <c r="J34" s="36">
        <f t="shared" si="1"/>
        <v>0</v>
      </c>
      <c r="L34" s="251"/>
      <c r="N34" s="37" t="str">
        <f t="shared" si="2"/>
        <v>Dummy 1</v>
      </c>
      <c r="O34" s="37" t="str">
        <f t="shared" si="3"/>
        <v>Liabilities to shareholders</v>
      </c>
      <c r="P34" s="36"/>
      <c r="Q34" s="36"/>
      <c r="R34" s="36"/>
      <c r="S34" s="324">
        <f>SUM(P34:R34)</f>
        <v>0</v>
      </c>
      <c r="T34" s="129"/>
      <c r="U34" s="36">
        <f t="shared" si="5"/>
        <v>0</v>
      </c>
      <c r="W34" s="251"/>
      <c r="Y34" s="37" t="str">
        <f t="shared" si="6"/>
        <v>Dummy 1</v>
      </c>
      <c r="Z34" s="37" t="str">
        <f t="shared" si="7"/>
        <v>Liabilities to shareholders</v>
      </c>
      <c r="AA34" s="36"/>
      <c r="AB34" s="36"/>
      <c r="AC34" s="36"/>
      <c r="AD34" s="324">
        <f>SUM(AA34:AC34)</f>
        <v>0</v>
      </c>
      <c r="AE34" s="129"/>
      <c r="AF34" s="36">
        <f t="shared" si="9"/>
        <v>0</v>
      </c>
    </row>
    <row r="35" spans="3:33" ht="11.45" hidden="1" customHeight="1" outlineLevel="2" x14ac:dyDescent="0.2">
      <c r="C35" s="37" t="str">
        <f>+'Lead NA'!C39</f>
        <v>Dummy 3</v>
      </c>
      <c r="D35" s="37" t="str">
        <f>+'Lead NA'!D39</f>
        <v>Dummy 3</v>
      </c>
      <c r="E35" s="36"/>
      <c r="F35" s="36"/>
      <c r="G35" s="36"/>
      <c r="H35" s="324">
        <f>SUM(E35:G35)</f>
        <v>0</v>
      </c>
      <c r="I35" s="129"/>
      <c r="J35" s="36">
        <f t="shared" si="1"/>
        <v>0</v>
      </c>
      <c r="L35" s="251"/>
      <c r="N35" s="37" t="str">
        <f t="shared" si="2"/>
        <v>Dummy 3</v>
      </c>
      <c r="O35" s="37" t="str">
        <f t="shared" si="3"/>
        <v>Dummy 3</v>
      </c>
      <c r="P35" s="36"/>
      <c r="Q35" s="36"/>
      <c r="R35" s="36"/>
      <c r="S35" s="324">
        <f>SUM(P35:R35)</f>
        <v>0</v>
      </c>
      <c r="T35" s="129"/>
      <c r="U35" s="36">
        <f t="shared" si="5"/>
        <v>0</v>
      </c>
      <c r="W35" s="251"/>
      <c r="Y35" s="37" t="str">
        <f t="shared" si="6"/>
        <v>Dummy 3</v>
      </c>
      <c r="Z35" s="37" t="str">
        <f t="shared" si="7"/>
        <v>Dummy 3</v>
      </c>
      <c r="AA35" s="36"/>
      <c r="AB35" s="36"/>
      <c r="AC35" s="36"/>
      <c r="AD35" s="324">
        <f>SUM(AA35:AC35)</f>
        <v>0</v>
      </c>
      <c r="AE35" s="129"/>
      <c r="AF35" s="36">
        <f t="shared" si="9"/>
        <v>0</v>
      </c>
    </row>
    <row r="36" spans="3:33" ht="11.45" customHeight="1" collapsed="1" x14ac:dyDescent="0.2">
      <c r="C36" s="151" t="str">
        <f>+'Lead NA'!C40</f>
        <v>Sonstige Passiva</v>
      </c>
      <c r="D36" s="151" t="str">
        <f>+'Lead NA'!D40</f>
        <v>Other liabilities</v>
      </c>
      <c r="E36" s="150">
        <f>SUM(E31:E35)</f>
        <v>0</v>
      </c>
      <c r="F36" s="150">
        <f>SUM(F31:F35)</f>
        <v>0</v>
      </c>
      <c r="G36" s="150">
        <f>SUM(G31:G35)</f>
        <v>0</v>
      </c>
      <c r="H36" s="348">
        <f>SUM(H31:H32)</f>
        <v>0</v>
      </c>
      <c r="I36" s="149">
        <f>SUM(I31:I35)</f>
        <v>0</v>
      </c>
      <c r="J36" s="150">
        <f t="shared" si="1"/>
        <v>0</v>
      </c>
      <c r="L36" s="251"/>
      <c r="N36" s="151" t="str">
        <f t="shared" si="2"/>
        <v>Sonstige Passiva</v>
      </c>
      <c r="O36" s="151" t="str">
        <f t="shared" si="3"/>
        <v>Other liabilities</v>
      </c>
      <c r="P36" s="150">
        <f>SUM(P31:P35)</f>
        <v>0</v>
      </c>
      <c r="Q36" s="150">
        <f>SUM(Q31:Q35)</f>
        <v>0</v>
      </c>
      <c r="R36" s="150">
        <f>SUM(R31:R35)</f>
        <v>0</v>
      </c>
      <c r="S36" s="348">
        <f>SUM(S31:S32)</f>
        <v>0</v>
      </c>
      <c r="T36" s="149">
        <f>SUM(T31:T35)</f>
        <v>0</v>
      </c>
      <c r="U36" s="150">
        <f t="shared" si="5"/>
        <v>0</v>
      </c>
      <c r="W36" s="251"/>
      <c r="Y36" s="151" t="str">
        <f t="shared" si="6"/>
        <v>Sonstige Passiva</v>
      </c>
      <c r="Z36" s="151" t="str">
        <f t="shared" si="7"/>
        <v>Other liabilities</v>
      </c>
      <c r="AA36" s="150">
        <f>SUM(AA31:AA35)</f>
        <v>0</v>
      </c>
      <c r="AB36" s="150">
        <f>SUM(AB31:AB35)</f>
        <v>0</v>
      </c>
      <c r="AC36" s="150">
        <f>SUM(AC31:AC35)</f>
        <v>0</v>
      </c>
      <c r="AD36" s="348">
        <f>SUM(AD31:AD32)</f>
        <v>0</v>
      </c>
      <c r="AE36" s="149">
        <f>SUM(AE31:AE35)</f>
        <v>0</v>
      </c>
      <c r="AF36" s="150">
        <f t="shared" si="9"/>
        <v>0</v>
      </c>
    </row>
    <row r="37" spans="3:33" ht="11.45" customHeight="1" x14ac:dyDescent="0.2">
      <c r="C37" s="172" t="str">
        <f>+'Lead NA'!C41</f>
        <v>Other Working Capital</v>
      </c>
      <c r="D37" s="172" t="str">
        <f>+'Lead NA'!D41</f>
        <v>Other working capital</v>
      </c>
      <c r="E37" s="172">
        <f>E36+E30</f>
        <v>0</v>
      </c>
      <c r="F37" s="172">
        <f>F36+F30</f>
        <v>0</v>
      </c>
      <c r="G37" s="172">
        <f>G36+G30</f>
        <v>0</v>
      </c>
      <c r="H37" s="347">
        <f>SUM(H30,H36)</f>
        <v>0</v>
      </c>
      <c r="I37" s="170">
        <f>I36+I30</f>
        <v>0</v>
      </c>
      <c r="J37" s="172">
        <f t="shared" si="1"/>
        <v>0</v>
      </c>
      <c r="L37" s="251"/>
      <c r="N37" s="172" t="str">
        <f t="shared" si="2"/>
        <v>Other Working Capital</v>
      </c>
      <c r="O37" s="172" t="str">
        <f t="shared" si="3"/>
        <v>Other working capital</v>
      </c>
      <c r="P37" s="172">
        <f>P36+P30</f>
        <v>0</v>
      </c>
      <c r="Q37" s="172">
        <f>Q36+Q30</f>
        <v>0</v>
      </c>
      <c r="R37" s="172">
        <f>R36+R30</f>
        <v>0</v>
      </c>
      <c r="S37" s="347">
        <f>SUM(S30,S36)</f>
        <v>0</v>
      </c>
      <c r="T37" s="170">
        <f>T36+T30</f>
        <v>0</v>
      </c>
      <c r="U37" s="172">
        <f t="shared" si="5"/>
        <v>0</v>
      </c>
      <c r="W37" s="251"/>
      <c r="Y37" s="172" t="str">
        <f t="shared" si="6"/>
        <v>Other Working Capital</v>
      </c>
      <c r="Z37" s="172" t="str">
        <f t="shared" si="7"/>
        <v>Other working capital</v>
      </c>
      <c r="AA37" s="172">
        <f>AA36+AA30</f>
        <v>0</v>
      </c>
      <c r="AB37" s="172">
        <f>AB36+AB30</f>
        <v>0</v>
      </c>
      <c r="AC37" s="172">
        <f>AC36+AC30</f>
        <v>0</v>
      </c>
      <c r="AD37" s="347">
        <f>SUM(AD30,AD36)</f>
        <v>0</v>
      </c>
      <c r="AE37" s="170">
        <f>AE36+AE30</f>
        <v>0</v>
      </c>
      <c r="AF37" s="172">
        <f t="shared" si="9"/>
        <v>0</v>
      </c>
    </row>
    <row r="38" spans="3:33" ht="11.45" customHeight="1" x14ac:dyDescent="0.2">
      <c r="C38" s="144" t="str">
        <f>+'Lead NA'!C42</f>
        <v>Net Working Capital</v>
      </c>
      <c r="D38" s="144" t="str">
        <f>+'Lead NA'!D42</f>
        <v>Net working capital</v>
      </c>
      <c r="E38" s="144">
        <f>E37+E24</f>
        <v>0</v>
      </c>
      <c r="F38" s="144">
        <f>F37+F24</f>
        <v>0</v>
      </c>
      <c r="G38" s="144">
        <f>G37+G24</f>
        <v>0</v>
      </c>
      <c r="H38" s="346">
        <f t="shared" ref="H38:H43" si="13">SUM(E38:G38)</f>
        <v>0</v>
      </c>
      <c r="I38" s="143">
        <f>I37+I24</f>
        <v>0</v>
      </c>
      <c r="J38" s="144">
        <f t="shared" si="1"/>
        <v>0</v>
      </c>
      <c r="L38" s="251"/>
      <c r="N38" s="144" t="str">
        <f t="shared" si="2"/>
        <v>Net Working Capital</v>
      </c>
      <c r="O38" s="144" t="str">
        <f t="shared" si="3"/>
        <v>Net working capital</v>
      </c>
      <c r="P38" s="144">
        <f>P37+P24</f>
        <v>0</v>
      </c>
      <c r="Q38" s="144">
        <f>Q37+Q24</f>
        <v>0</v>
      </c>
      <c r="R38" s="144">
        <f>R37+R24</f>
        <v>0</v>
      </c>
      <c r="S38" s="346">
        <f t="shared" ref="S38:S43" si="14">SUM(P38:R38)</f>
        <v>0</v>
      </c>
      <c r="T38" s="143">
        <f>T37+T24</f>
        <v>0</v>
      </c>
      <c r="U38" s="144">
        <f t="shared" si="5"/>
        <v>0</v>
      </c>
      <c r="W38" s="251"/>
      <c r="Y38" s="144" t="str">
        <f t="shared" si="6"/>
        <v>Net Working Capital</v>
      </c>
      <c r="Z38" s="144" t="str">
        <f t="shared" si="7"/>
        <v>Net working capital</v>
      </c>
      <c r="AA38" s="144">
        <f>AA37+AA24</f>
        <v>0</v>
      </c>
      <c r="AB38" s="144">
        <f>AB37+AB24</f>
        <v>0</v>
      </c>
      <c r="AC38" s="144">
        <f>AC37+AC24</f>
        <v>0</v>
      </c>
      <c r="AD38" s="346">
        <f t="shared" ref="AD38:AD43" si="15">SUM(AA38:AC38)</f>
        <v>0</v>
      </c>
      <c r="AE38" s="143">
        <f>AE37+AE24</f>
        <v>0</v>
      </c>
      <c r="AF38" s="144">
        <f t="shared" si="9"/>
        <v>0</v>
      </c>
    </row>
    <row r="39" spans="3:33" ht="11.45" customHeight="1" x14ac:dyDescent="0.2">
      <c r="C39" s="37" t="str">
        <f>+'Lead NA'!C43</f>
        <v>Liquide Mittel</v>
      </c>
      <c r="D39" s="37" t="str">
        <f>+'Lead NA'!D43</f>
        <v>Cash</v>
      </c>
      <c r="E39" s="36"/>
      <c r="F39" s="36"/>
      <c r="G39" s="36"/>
      <c r="H39" s="324">
        <f t="shared" si="13"/>
        <v>0</v>
      </c>
      <c r="I39" s="129"/>
      <c r="J39" s="36">
        <f t="shared" si="1"/>
        <v>0</v>
      </c>
      <c r="L39" s="251"/>
      <c r="N39" s="37" t="str">
        <f t="shared" si="2"/>
        <v>Liquide Mittel</v>
      </c>
      <c r="O39" s="37" t="str">
        <f t="shared" si="3"/>
        <v>Cash</v>
      </c>
      <c r="P39" s="36"/>
      <c r="Q39" s="36"/>
      <c r="R39" s="36"/>
      <c r="S39" s="324">
        <f t="shared" si="14"/>
        <v>0</v>
      </c>
      <c r="T39" s="129"/>
      <c r="U39" s="36">
        <f t="shared" si="5"/>
        <v>0</v>
      </c>
      <c r="W39" s="251"/>
      <c r="Y39" s="37" t="str">
        <f t="shared" si="6"/>
        <v>Liquide Mittel</v>
      </c>
      <c r="Z39" s="37" t="str">
        <f t="shared" si="7"/>
        <v>Cash</v>
      </c>
      <c r="AA39" s="36"/>
      <c r="AB39" s="36"/>
      <c r="AC39" s="36"/>
      <c r="AD39" s="324">
        <f t="shared" si="15"/>
        <v>0</v>
      </c>
      <c r="AE39" s="129"/>
      <c r="AF39" s="36">
        <f t="shared" si="9"/>
        <v>0</v>
      </c>
    </row>
    <row r="40" spans="3:33" ht="11.45" customHeight="1" x14ac:dyDescent="0.2">
      <c r="C40" s="37" t="str">
        <f>+'Lead NA'!C44</f>
        <v>Verbindlichkeiten ggü.Kreditinstituten</v>
      </c>
      <c r="D40" s="37" t="str">
        <f>+'Lead NA'!D44</f>
        <v>Liabilities to banks</v>
      </c>
      <c r="E40" s="36"/>
      <c r="F40" s="36"/>
      <c r="G40" s="36"/>
      <c r="H40" s="324">
        <f t="shared" si="13"/>
        <v>0</v>
      </c>
      <c r="I40" s="129"/>
      <c r="J40" s="36">
        <f t="shared" si="1"/>
        <v>0</v>
      </c>
      <c r="L40" s="251"/>
      <c r="N40" s="37" t="str">
        <f t="shared" si="2"/>
        <v>Verbindlichkeiten ggü.Kreditinstituten</v>
      </c>
      <c r="O40" s="37" t="str">
        <f t="shared" si="3"/>
        <v>Liabilities to banks</v>
      </c>
      <c r="P40" s="36"/>
      <c r="Q40" s="36"/>
      <c r="R40" s="36"/>
      <c r="S40" s="324">
        <f t="shared" si="14"/>
        <v>0</v>
      </c>
      <c r="T40" s="129"/>
      <c r="U40" s="36">
        <f t="shared" si="5"/>
        <v>0</v>
      </c>
      <c r="W40" s="251"/>
      <c r="Y40" s="37" t="str">
        <f t="shared" si="6"/>
        <v>Verbindlichkeiten ggü.Kreditinstituten</v>
      </c>
      <c r="Z40" s="37" t="str">
        <f t="shared" si="7"/>
        <v>Liabilities to banks</v>
      </c>
      <c r="AA40" s="36"/>
      <c r="AB40" s="36"/>
      <c r="AC40" s="36"/>
      <c r="AD40" s="324">
        <f t="shared" si="15"/>
        <v>0</v>
      </c>
      <c r="AE40" s="129"/>
      <c r="AF40" s="36">
        <f t="shared" si="9"/>
        <v>0</v>
      </c>
    </row>
    <row r="41" spans="3:33" ht="11.45" hidden="1" customHeight="1" outlineLevel="2" x14ac:dyDescent="0.2">
      <c r="C41" s="37" t="str">
        <f>+'Lead NA'!C46</f>
        <v>Steuerrückstellungen</v>
      </c>
      <c r="D41" s="37" t="str">
        <f>+'Lead NA'!D46</f>
        <v>Tax provisions</v>
      </c>
      <c r="E41" s="36"/>
      <c r="F41" s="36"/>
      <c r="G41" s="36"/>
      <c r="H41" s="324">
        <f t="shared" si="13"/>
        <v>0</v>
      </c>
      <c r="I41" s="129"/>
      <c r="J41" s="36">
        <f t="shared" si="1"/>
        <v>0</v>
      </c>
      <c r="L41" s="251"/>
      <c r="N41" s="37" t="str">
        <f t="shared" si="2"/>
        <v>Steuerrückstellungen</v>
      </c>
      <c r="O41" s="37" t="str">
        <f t="shared" si="3"/>
        <v>Tax provisions</v>
      </c>
      <c r="P41" s="36"/>
      <c r="Q41" s="36"/>
      <c r="R41" s="36"/>
      <c r="S41" s="324">
        <f t="shared" si="14"/>
        <v>0</v>
      </c>
      <c r="T41" s="129"/>
      <c r="U41" s="36">
        <f t="shared" si="5"/>
        <v>0</v>
      </c>
      <c r="W41" s="251"/>
      <c r="Y41" s="37" t="str">
        <f t="shared" si="6"/>
        <v>Steuerrückstellungen</v>
      </c>
      <c r="Z41" s="37" t="str">
        <f t="shared" si="7"/>
        <v>Tax provisions</v>
      </c>
      <c r="AA41" s="36"/>
      <c r="AB41" s="36"/>
      <c r="AC41" s="36"/>
      <c r="AD41" s="324">
        <f t="shared" si="15"/>
        <v>0</v>
      </c>
      <c r="AE41" s="129"/>
      <c r="AF41" s="36">
        <f t="shared" si="9"/>
        <v>0</v>
      </c>
    </row>
    <row r="42" spans="3:33" ht="11.45" hidden="1" customHeight="1" outlineLevel="2" x14ac:dyDescent="0.2">
      <c r="C42" s="37" t="str">
        <f>+'Lead NA'!C47</f>
        <v>Dummy 1</v>
      </c>
      <c r="D42" s="37" t="str">
        <f>+'Lead NA'!D47</f>
        <v>Other provisions</v>
      </c>
      <c r="E42" s="36"/>
      <c r="F42" s="36"/>
      <c r="G42" s="36"/>
      <c r="H42" s="324">
        <f t="shared" si="13"/>
        <v>0</v>
      </c>
      <c r="I42" s="129"/>
      <c r="J42" s="36">
        <f t="shared" si="1"/>
        <v>0</v>
      </c>
      <c r="L42" s="251"/>
      <c r="N42" s="37" t="str">
        <f t="shared" si="2"/>
        <v>Dummy 1</v>
      </c>
      <c r="O42" s="37" t="str">
        <f t="shared" si="3"/>
        <v>Other provisions</v>
      </c>
      <c r="P42" s="36"/>
      <c r="Q42" s="36"/>
      <c r="R42" s="36"/>
      <c r="S42" s="324">
        <f t="shared" si="14"/>
        <v>0</v>
      </c>
      <c r="T42" s="129"/>
      <c r="U42" s="36">
        <f t="shared" si="5"/>
        <v>0</v>
      </c>
      <c r="W42" s="251"/>
      <c r="Y42" s="37" t="str">
        <f t="shared" si="6"/>
        <v>Dummy 1</v>
      </c>
      <c r="Z42" s="37" t="str">
        <f t="shared" si="7"/>
        <v>Other provisions</v>
      </c>
      <c r="AA42" s="36"/>
      <c r="AB42" s="36"/>
      <c r="AC42" s="36"/>
      <c r="AD42" s="324">
        <f t="shared" si="15"/>
        <v>0</v>
      </c>
      <c r="AE42" s="129"/>
      <c r="AF42" s="36">
        <f t="shared" si="9"/>
        <v>0</v>
      </c>
    </row>
    <row r="43" spans="3:33" ht="11.45" hidden="1" customHeight="1" outlineLevel="2" x14ac:dyDescent="0.2">
      <c r="C43" s="42" t="str">
        <f>+'Lead NA'!C48</f>
        <v>Sonstige Wertpapiere</v>
      </c>
      <c r="D43" s="42" t="str">
        <f>+'Lead NA'!D48</f>
        <v>Short-term securities</v>
      </c>
      <c r="E43" s="127"/>
      <c r="F43" s="127"/>
      <c r="G43" s="127"/>
      <c r="H43" s="345">
        <f t="shared" si="13"/>
        <v>0</v>
      </c>
      <c r="I43" s="135"/>
      <c r="J43" s="127">
        <f t="shared" si="1"/>
        <v>0</v>
      </c>
      <c r="L43" s="251"/>
      <c r="N43" s="42" t="str">
        <f t="shared" si="2"/>
        <v>Sonstige Wertpapiere</v>
      </c>
      <c r="O43" s="42" t="str">
        <f t="shared" si="3"/>
        <v>Short-term securities</v>
      </c>
      <c r="P43" s="127"/>
      <c r="Q43" s="127"/>
      <c r="R43" s="127"/>
      <c r="S43" s="345">
        <f t="shared" si="14"/>
        <v>0</v>
      </c>
      <c r="T43" s="135"/>
      <c r="U43" s="127">
        <f t="shared" si="5"/>
        <v>0</v>
      </c>
      <c r="W43" s="251"/>
      <c r="Y43" s="42" t="str">
        <f t="shared" si="6"/>
        <v>Sonstige Wertpapiere</v>
      </c>
      <c r="Z43" s="42" t="str">
        <f t="shared" si="7"/>
        <v>Short-term securities</v>
      </c>
      <c r="AA43" s="127"/>
      <c r="AB43" s="127"/>
      <c r="AC43" s="127"/>
      <c r="AD43" s="345">
        <f t="shared" si="15"/>
        <v>0</v>
      </c>
      <c r="AE43" s="135"/>
      <c r="AF43" s="127">
        <f t="shared" si="9"/>
        <v>0</v>
      </c>
    </row>
    <row r="44" spans="3:33" ht="11.45" customHeight="1" collapsed="1" x14ac:dyDescent="0.2">
      <c r="C44" s="141" t="str">
        <f>+'Lead NA'!C49</f>
        <v>Netto-Finanzvermögen / -Verbindlichkeiten</v>
      </c>
      <c r="D44" s="141" t="str">
        <f>+'Lead NA'!D49</f>
        <v>Net cash / Net debt</v>
      </c>
      <c r="E44" s="141">
        <f>SUM(E39:E43)</f>
        <v>0</v>
      </c>
      <c r="F44" s="141">
        <f>SUM(F39:F43)</f>
        <v>0</v>
      </c>
      <c r="G44" s="141">
        <f>SUM(G39:G43)</f>
        <v>0</v>
      </c>
      <c r="H44" s="344">
        <f>SUM(H39:H40)</f>
        <v>0</v>
      </c>
      <c r="I44" s="140">
        <f>SUM(I39:I43)</f>
        <v>0</v>
      </c>
      <c r="J44" s="141">
        <f t="shared" si="1"/>
        <v>0</v>
      </c>
      <c r="L44" s="251"/>
      <c r="N44" s="141" t="str">
        <f t="shared" si="2"/>
        <v>Netto-Finanzvermögen / -Verbindlichkeiten</v>
      </c>
      <c r="O44" s="141" t="str">
        <f t="shared" si="3"/>
        <v>Net cash / Net debt</v>
      </c>
      <c r="P44" s="141">
        <f>SUM(P39:P43)</f>
        <v>0</v>
      </c>
      <c r="Q44" s="141">
        <f>SUM(Q39:Q43)</f>
        <v>0</v>
      </c>
      <c r="R44" s="141">
        <f>SUM(R39:R43)</f>
        <v>0</v>
      </c>
      <c r="S44" s="344">
        <f>SUM(S39:S40)</f>
        <v>0</v>
      </c>
      <c r="T44" s="140">
        <f>SUM(T39:T43)</f>
        <v>0</v>
      </c>
      <c r="U44" s="141">
        <f t="shared" si="5"/>
        <v>0</v>
      </c>
      <c r="W44" s="251"/>
      <c r="Y44" s="141" t="str">
        <f t="shared" si="6"/>
        <v>Netto-Finanzvermögen / -Verbindlichkeiten</v>
      </c>
      <c r="Z44" s="141" t="str">
        <f t="shared" si="7"/>
        <v>Net cash / Net debt</v>
      </c>
      <c r="AA44" s="141">
        <f>SUM(AA39:AA43)</f>
        <v>0</v>
      </c>
      <c r="AB44" s="141">
        <f>SUM(AB39:AB43)</f>
        <v>0</v>
      </c>
      <c r="AC44" s="141">
        <f>SUM(AC39:AC43)</f>
        <v>0</v>
      </c>
      <c r="AD44" s="344">
        <f>SUM(AD39:AD40)</f>
        <v>0</v>
      </c>
      <c r="AE44" s="140">
        <f>SUM(AE39:AE43)</f>
        <v>0</v>
      </c>
      <c r="AF44" s="141">
        <f t="shared" si="9"/>
        <v>0</v>
      </c>
      <c r="AG44" s="343"/>
    </row>
    <row r="45" spans="3:33" ht="11.45" customHeight="1" x14ac:dyDescent="0.2">
      <c r="C45" s="37" t="e">
        <f>+'Lead NA'!#REF!</f>
        <v>#REF!</v>
      </c>
      <c r="D45" s="37" t="e">
        <f>+'Lead NA'!#REF!</f>
        <v>#REF!</v>
      </c>
      <c r="E45" s="36"/>
      <c r="F45" s="36"/>
      <c r="G45" s="36"/>
      <c r="H45" s="324">
        <f>SUM(E45:G45)</f>
        <v>0</v>
      </c>
      <c r="I45" s="129"/>
      <c r="J45" s="36">
        <f t="shared" si="1"/>
        <v>0</v>
      </c>
      <c r="L45" s="251"/>
      <c r="N45" s="37" t="e">
        <f t="shared" si="2"/>
        <v>#REF!</v>
      </c>
      <c r="O45" s="37" t="e">
        <f t="shared" si="3"/>
        <v>#REF!</v>
      </c>
      <c r="P45" s="36"/>
      <c r="Q45" s="36"/>
      <c r="R45" s="36"/>
      <c r="S45" s="324">
        <f>SUM(P45:R45)</f>
        <v>0</v>
      </c>
      <c r="T45" s="129"/>
      <c r="U45" s="36">
        <f t="shared" si="5"/>
        <v>0</v>
      </c>
      <c r="W45" s="251"/>
      <c r="Y45" s="37" t="e">
        <f t="shared" si="6"/>
        <v>#REF!</v>
      </c>
      <c r="Z45" s="37" t="e">
        <f t="shared" si="7"/>
        <v>#REF!</v>
      </c>
      <c r="AA45" s="36"/>
      <c r="AB45" s="36"/>
      <c r="AC45" s="36"/>
      <c r="AD45" s="324">
        <f>SUM(AA45:AC45)</f>
        <v>0</v>
      </c>
      <c r="AE45" s="129"/>
      <c r="AF45" s="36">
        <f t="shared" si="9"/>
        <v>0</v>
      </c>
    </row>
    <row r="46" spans="3:33" ht="11.45" customHeight="1" x14ac:dyDescent="0.2">
      <c r="C46" s="37" t="str">
        <f>+'Lead NA'!C50</f>
        <v>Passive latente Steuern</v>
      </c>
      <c r="D46" s="37" t="str">
        <f>+'Lead NA'!D50</f>
        <v>Deferred tax liabilities</v>
      </c>
      <c r="E46" s="36"/>
      <c r="F46" s="36"/>
      <c r="G46" s="36"/>
      <c r="H46" s="324">
        <f>SUM(E46:G46)</f>
        <v>0</v>
      </c>
      <c r="I46" s="129"/>
      <c r="J46" s="36">
        <f t="shared" si="1"/>
        <v>0</v>
      </c>
      <c r="L46" s="251"/>
      <c r="N46" s="37" t="str">
        <f t="shared" si="2"/>
        <v>Passive latente Steuern</v>
      </c>
      <c r="O46" s="37" t="str">
        <f t="shared" si="3"/>
        <v>Deferred tax liabilities</v>
      </c>
      <c r="P46" s="36"/>
      <c r="Q46" s="36"/>
      <c r="R46" s="36"/>
      <c r="S46" s="324">
        <f>SUM(P46:R46)</f>
        <v>0</v>
      </c>
      <c r="T46" s="129"/>
      <c r="U46" s="36">
        <f t="shared" si="5"/>
        <v>0</v>
      </c>
      <c r="W46" s="251"/>
      <c r="Y46" s="37" t="str">
        <f t="shared" si="6"/>
        <v>Passive latente Steuern</v>
      </c>
      <c r="Z46" s="37" t="str">
        <f t="shared" si="7"/>
        <v>Deferred tax liabilities</v>
      </c>
      <c r="AA46" s="36"/>
      <c r="AB46" s="36"/>
      <c r="AC46" s="36"/>
      <c r="AD46" s="324">
        <f>SUM(AA46:AC46)</f>
        <v>0</v>
      </c>
      <c r="AE46" s="129"/>
      <c r="AF46" s="36">
        <f t="shared" si="9"/>
        <v>0</v>
      </c>
    </row>
    <row r="47" spans="3:33" ht="11.45" hidden="1" customHeight="1" outlineLevel="2" x14ac:dyDescent="0.2">
      <c r="C47" s="37" t="str">
        <f>+'Lead NA'!C51</f>
        <v>Dummy 1</v>
      </c>
      <c r="D47" s="37" t="str">
        <f>+'Lead NA'!D51</f>
        <v>Dummy 1</v>
      </c>
      <c r="E47" s="36"/>
      <c r="F47" s="36"/>
      <c r="G47" s="36"/>
      <c r="H47" s="324">
        <f>SUM(E47:G47)</f>
        <v>0</v>
      </c>
      <c r="I47" s="129"/>
      <c r="J47" s="36">
        <f t="shared" si="1"/>
        <v>0</v>
      </c>
      <c r="L47" s="251"/>
      <c r="N47" s="37" t="str">
        <f t="shared" si="2"/>
        <v>Dummy 1</v>
      </c>
      <c r="O47" s="37" t="str">
        <f t="shared" si="3"/>
        <v>Dummy 1</v>
      </c>
      <c r="P47" s="36"/>
      <c r="Q47" s="36"/>
      <c r="R47" s="36"/>
      <c r="S47" s="324">
        <f>SUM(P47:R47)</f>
        <v>0</v>
      </c>
      <c r="T47" s="129"/>
      <c r="U47" s="36">
        <f t="shared" si="5"/>
        <v>0</v>
      </c>
      <c r="W47" s="251"/>
      <c r="Y47" s="37" t="str">
        <f t="shared" si="6"/>
        <v>Dummy 1</v>
      </c>
      <c r="Z47" s="37" t="str">
        <f t="shared" si="7"/>
        <v>Dummy 1</v>
      </c>
      <c r="AA47" s="36"/>
      <c r="AB47" s="36"/>
      <c r="AC47" s="36"/>
      <c r="AD47" s="324">
        <f>SUM(AA47:AC47)</f>
        <v>0</v>
      </c>
      <c r="AE47" s="129"/>
      <c r="AF47" s="36">
        <f t="shared" si="9"/>
        <v>0</v>
      </c>
    </row>
    <row r="48" spans="3:33" ht="11.45" hidden="1" customHeight="1" outlineLevel="2" x14ac:dyDescent="0.2">
      <c r="C48" s="37" t="str">
        <f>+'Lead NA'!C52</f>
        <v>Dummy 2</v>
      </c>
      <c r="D48" s="37" t="str">
        <f>+'Lead NA'!D52</f>
        <v>Dummy 2</v>
      </c>
      <c r="E48" s="36"/>
      <c r="F48" s="36"/>
      <c r="G48" s="36"/>
      <c r="H48" s="324">
        <f>SUM(E48:G48)</f>
        <v>0</v>
      </c>
      <c r="I48" s="129"/>
      <c r="J48" s="36">
        <f t="shared" si="1"/>
        <v>0</v>
      </c>
      <c r="L48" s="251"/>
      <c r="N48" s="37" t="str">
        <f t="shared" si="2"/>
        <v>Dummy 2</v>
      </c>
      <c r="O48" s="37" t="str">
        <f t="shared" si="3"/>
        <v>Dummy 2</v>
      </c>
      <c r="P48" s="36"/>
      <c r="Q48" s="36"/>
      <c r="R48" s="36"/>
      <c r="S48" s="324">
        <f>SUM(P48:R48)</f>
        <v>0</v>
      </c>
      <c r="T48" s="129"/>
      <c r="U48" s="36">
        <f t="shared" si="5"/>
        <v>0</v>
      </c>
      <c r="W48" s="251"/>
      <c r="Y48" s="37" t="str">
        <f t="shared" si="6"/>
        <v>Dummy 2</v>
      </c>
      <c r="Z48" s="37" t="str">
        <f t="shared" si="7"/>
        <v>Dummy 2</v>
      </c>
      <c r="AA48" s="36"/>
      <c r="AB48" s="36"/>
      <c r="AC48" s="36"/>
      <c r="AD48" s="324">
        <f>SUM(AA48:AC48)</f>
        <v>0</v>
      </c>
      <c r="AE48" s="129"/>
      <c r="AF48" s="36">
        <f t="shared" si="9"/>
        <v>0</v>
      </c>
    </row>
    <row r="49" spans="3:32" ht="11.45" hidden="1" customHeight="1" outlineLevel="2" x14ac:dyDescent="0.2">
      <c r="C49" s="37" t="str">
        <f>+'Lead NA'!C53</f>
        <v>Dummy 3</v>
      </c>
      <c r="D49" s="37" t="str">
        <f>+'Lead NA'!D53</f>
        <v>Dummy 3</v>
      </c>
      <c r="E49" s="36"/>
      <c r="F49" s="36"/>
      <c r="G49" s="36"/>
      <c r="H49" s="324">
        <f>SUM(E49:G49)</f>
        <v>0</v>
      </c>
      <c r="I49" s="129"/>
      <c r="J49" s="36">
        <f t="shared" si="1"/>
        <v>0</v>
      </c>
      <c r="L49" s="251"/>
      <c r="N49" s="37" t="str">
        <f t="shared" si="2"/>
        <v>Dummy 3</v>
      </c>
      <c r="O49" s="37" t="str">
        <f t="shared" si="3"/>
        <v>Dummy 3</v>
      </c>
      <c r="P49" s="36"/>
      <c r="Q49" s="36"/>
      <c r="R49" s="36"/>
      <c r="S49" s="324">
        <f>SUM(P49:R49)</f>
        <v>0</v>
      </c>
      <c r="T49" s="129"/>
      <c r="U49" s="36">
        <f t="shared" si="5"/>
        <v>0</v>
      </c>
      <c r="W49" s="251"/>
      <c r="Y49" s="37" t="str">
        <f t="shared" si="6"/>
        <v>Dummy 3</v>
      </c>
      <c r="Z49" s="37" t="str">
        <f t="shared" si="7"/>
        <v>Dummy 3</v>
      </c>
      <c r="AA49" s="36"/>
      <c r="AB49" s="36"/>
      <c r="AC49" s="36"/>
      <c r="AD49" s="324">
        <f>SUM(AA49:AC49)</f>
        <v>0</v>
      </c>
      <c r="AE49" s="129"/>
      <c r="AF49" s="36">
        <f t="shared" si="9"/>
        <v>0</v>
      </c>
    </row>
    <row r="50" spans="3:32" ht="11.45" customHeight="1" collapsed="1" x14ac:dyDescent="0.2">
      <c r="C50" s="271" t="str">
        <f>+'Lead NA'!C54</f>
        <v>Nettovermögen (Eigenkapital)</v>
      </c>
      <c r="D50" s="133" t="str">
        <f>+'Lead NA'!D54</f>
        <v>Net assets (Equity)</v>
      </c>
      <c r="E50" s="132">
        <f>SUM(E45:E49)+E44+E38+E17</f>
        <v>0</v>
      </c>
      <c r="F50" s="132">
        <f>SUM(F45:F49)+F44+F38+F17</f>
        <v>0</v>
      </c>
      <c r="G50" s="132">
        <f>SUM(G45:G49)+G44+G38+G17</f>
        <v>0</v>
      </c>
      <c r="H50" s="342">
        <f>SUM(H45:H49)+H44+H38+H17</f>
        <v>0</v>
      </c>
      <c r="I50" s="131">
        <f>SUM(I45:I49)+I44+I38+I17</f>
        <v>0</v>
      </c>
      <c r="J50" s="132">
        <f t="shared" si="1"/>
        <v>0</v>
      </c>
      <c r="L50" s="251"/>
      <c r="N50" s="271" t="str">
        <f t="shared" si="2"/>
        <v>Nettovermögen (Eigenkapital)</v>
      </c>
      <c r="O50" s="133" t="str">
        <f t="shared" si="3"/>
        <v>Net assets (Equity)</v>
      </c>
      <c r="P50" s="132">
        <f>SUM(P45:P49)+P44+P38+P17</f>
        <v>0</v>
      </c>
      <c r="Q50" s="132">
        <f>SUM(Q45:Q49)+Q44+Q38+Q17</f>
        <v>0</v>
      </c>
      <c r="R50" s="132">
        <f>SUM(R45:R49)+R44+R38+R17</f>
        <v>0</v>
      </c>
      <c r="S50" s="342">
        <f>SUM(S45:S49)+S44+S38+S17</f>
        <v>0</v>
      </c>
      <c r="T50" s="131">
        <f>SUM(T45:T49)+T44+T38+T17</f>
        <v>0</v>
      </c>
      <c r="U50" s="132">
        <f t="shared" si="5"/>
        <v>0</v>
      </c>
      <c r="W50" s="251"/>
      <c r="Y50" s="271" t="str">
        <f t="shared" si="6"/>
        <v>Nettovermögen (Eigenkapital)</v>
      </c>
      <c r="Z50" s="133" t="str">
        <f t="shared" si="7"/>
        <v>Net assets (Equity)</v>
      </c>
      <c r="AA50" s="132">
        <f>SUM(AA45:AA49)+AA44+AA38+AA17</f>
        <v>0</v>
      </c>
      <c r="AB50" s="132">
        <f>SUM(AB45:AB49)+AB44+AB38+AB17</f>
        <v>0</v>
      </c>
      <c r="AC50" s="132">
        <f>SUM(AC45:AC49)+AC44+AC38+AC17</f>
        <v>0</v>
      </c>
      <c r="AD50" s="342">
        <f>SUM(AD45:AD49)+AD44+AD38+AD17</f>
        <v>0</v>
      </c>
      <c r="AE50" s="131">
        <f>SUM(AE45:AE49)+AE44+AE38+AE17</f>
        <v>0</v>
      </c>
      <c r="AF50" s="132">
        <f t="shared" si="9"/>
        <v>0</v>
      </c>
    </row>
    <row r="51" spans="3:32" ht="4.5" customHeight="1" x14ac:dyDescent="0.2">
      <c r="C51" s="82"/>
      <c r="D51" s="82"/>
      <c r="E51" s="36"/>
      <c r="F51" s="36"/>
      <c r="G51" s="36"/>
      <c r="H51" s="324"/>
      <c r="I51" s="129"/>
      <c r="J51" s="36"/>
      <c r="L51" s="251"/>
      <c r="N51" s="82"/>
      <c r="O51" s="82"/>
      <c r="P51" s="36"/>
      <c r="Q51" s="36"/>
      <c r="R51" s="36"/>
      <c r="S51" s="324"/>
      <c r="T51" s="129"/>
      <c r="U51" s="36"/>
      <c r="W51" s="251"/>
      <c r="Y51" s="82"/>
      <c r="Z51" s="82"/>
      <c r="AA51" s="36"/>
      <c r="AB51" s="36"/>
      <c r="AC51" s="36"/>
      <c r="AD51" s="324"/>
      <c r="AE51" s="129"/>
      <c r="AF51" s="36"/>
    </row>
    <row r="52" spans="3:32" ht="11.45" customHeight="1" x14ac:dyDescent="0.2">
      <c r="C52" s="76" t="str">
        <f>"Quelle: "&amp;Cockpit!$C$7</f>
        <v>Quelle: Datenraum/ eigene Analysen</v>
      </c>
      <c r="D52" s="76" t="str">
        <f>"Source: "&amp;Cockpit!$C$8</f>
        <v>Source: Virtual Data Room/ Company Information</v>
      </c>
      <c r="E52" s="127"/>
      <c r="F52" s="127"/>
      <c r="G52" s="127"/>
      <c r="H52" s="125"/>
      <c r="I52" s="126"/>
      <c r="J52" s="127"/>
      <c r="L52" s="251"/>
      <c r="N52" s="76" t="str">
        <f>"Quelle: "&amp;Cockpit!$C$7</f>
        <v>Quelle: Datenraum/ eigene Analysen</v>
      </c>
      <c r="O52" s="76" t="str">
        <f>"Source: "&amp;Cockpit!$C$8</f>
        <v>Source: Virtual Data Room/ Company Information</v>
      </c>
      <c r="P52" s="127"/>
      <c r="Q52" s="127"/>
      <c r="R52" s="127"/>
      <c r="S52" s="125"/>
      <c r="T52" s="126"/>
      <c r="U52" s="127"/>
      <c r="W52" s="251"/>
      <c r="Y52" s="76" t="str">
        <f>"Quelle: "&amp;Cockpit!$C$7</f>
        <v>Quelle: Datenraum/ eigene Analysen</v>
      </c>
      <c r="Z52" s="76" t="str">
        <f>"Source: "&amp;Cockpit!$C$8</f>
        <v>Source: Virtual Data Room/ Company Information</v>
      </c>
      <c r="AA52" s="127"/>
      <c r="AB52" s="127"/>
      <c r="AC52" s="127"/>
      <c r="AD52" s="125"/>
      <c r="AE52" s="126"/>
      <c r="AF52" s="127"/>
    </row>
    <row r="53" spans="3:32" ht="11.45" customHeight="1" x14ac:dyDescent="0.2">
      <c r="C53" s="251"/>
      <c r="D53" s="251"/>
      <c r="E53" s="251"/>
      <c r="F53" s="251"/>
      <c r="G53" s="251"/>
      <c r="H53" s="251"/>
      <c r="I53" s="251"/>
      <c r="J53" s="251"/>
      <c r="L53" s="251"/>
      <c r="N53" s="251"/>
      <c r="O53" s="251"/>
      <c r="P53" s="251"/>
      <c r="Q53" s="251"/>
      <c r="R53" s="251"/>
      <c r="S53" s="251"/>
      <c r="T53" s="251"/>
      <c r="U53" s="251"/>
      <c r="W53" s="251"/>
      <c r="Y53" s="251"/>
      <c r="Z53" s="251"/>
      <c r="AA53" s="251"/>
      <c r="AB53" s="251"/>
      <c r="AC53" s="251"/>
      <c r="AD53" s="251"/>
      <c r="AE53" s="251"/>
      <c r="AF53" s="251"/>
    </row>
    <row r="55" spans="3:32" ht="11.45" customHeight="1" x14ac:dyDescent="0.2">
      <c r="C55" s="72" t="s">
        <v>235</v>
      </c>
      <c r="D55" s="72" t="s">
        <v>634</v>
      </c>
      <c r="E55" s="71"/>
      <c r="F55" s="71"/>
      <c r="G55" s="71"/>
      <c r="H55" s="71"/>
      <c r="I55" s="71"/>
      <c r="J55" s="71"/>
      <c r="O55" s="72" t="s">
        <v>634</v>
      </c>
      <c r="P55" s="71"/>
      <c r="Q55" s="71"/>
      <c r="R55" s="71"/>
      <c r="S55" s="71"/>
      <c r="T55" s="71"/>
      <c r="U55" s="71"/>
      <c r="Z55" s="72" t="s">
        <v>634</v>
      </c>
      <c r="AA55" s="71"/>
      <c r="AB55" s="71"/>
      <c r="AC55" s="71"/>
      <c r="AD55" s="71"/>
      <c r="AE55" s="71"/>
      <c r="AF55" s="71"/>
    </row>
    <row r="56" spans="3:32" ht="11.45" customHeight="1" x14ac:dyDescent="0.2">
      <c r="C56" s="70" t="s">
        <v>233</v>
      </c>
      <c r="D56" s="69" t="s">
        <v>233</v>
      </c>
      <c r="E56" s="68">
        <f t="shared" ref="E56:J56" si="16">E55-E50</f>
        <v>0</v>
      </c>
      <c r="F56" s="68">
        <f t="shared" si="16"/>
        <v>0</v>
      </c>
      <c r="G56" s="68">
        <f t="shared" si="16"/>
        <v>0</v>
      </c>
      <c r="H56" s="68">
        <f t="shared" si="16"/>
        <v>0</v>
      </c>
      <c r="I56" s="68">
        <f t="shared" si="16"/>
        <v>0</v>
      </c>
      <c r="J56" s="68">
        <f t="shared" si="16"/>
        <v>0</v>
      </c>
      <c r="O56" s="69" t="s">
        <v>233</v>
      </c>
      <c r="P56" s="68">
        <f t="shared" ref="P56:U56" si="17">P55-P50</f>
        <v>0</v>
      </c>
      <c r="Q56" s="68">
        <f t="shared" si="17"/>
        <v>0</v>
      </c>
      <c r="R56" s="68">
        <f t="shared" si="17"/>
        <v>0</v>
      </c>
      <c r="S56" s="68">
        <f t="shared" si="17"/>
        <v>0</v>
      </c>
      <c r="T56" s="68">
        <f t="shared" si="17"/>
        <v>0</v>
      </c>
      <c r="U56" s="68">
        <f t="shared" si="17"/>
        <v>0</v>
      </c>
      <c r="Z56" s="69" t="s">
        <v>233</v>
      </c>
      <c r="AA56" s="68">
        <f t="shared" ref="AA56:AF56" si="18">AA55-AA50</f>
        <v>0</v>
      </c>
      <c r="AB56" s="68">
        <f t="shared" si="18"/>
        <v>0</v>
      </c>
      <c r="AC56" s="68">
        <f t="shared" si="18"/>
        <v>0</v>
      </c>
      <c r="AD56" s="68">
        <f t="shared" si="18"/>
        <v>0</v>
      </c>
      <c r="AE56" s="68">
        <f t="shared" si="18"/>
        <v>0</v>
      </c>
      <c r="AF56" s="68">
        <f t="shared" si="18"/>
        <v>0</v>
      </c>
    </row>
  </sheetData>
  <mergeCells count="12">
    <mergeCell ref="E7:G7"/>
    <mergeCell ref="P7:R7"/>
    <mergeCell ref="AA7:AC7"/>
    <mergeCell ref="E8:G8"/>
    <mergeCell ref="P8:R8"/>
    <mergeCell ref="AA8:AC8"/>
    <mergeCell ref="E4:G4"/>
    <mergeCell ref="P4:R4"/>
    <mergeCell ref="AA4:AC4"/>
    <mergeCell ref="E5:G5"/>
    <mergeCell ref="P5:R5"/>
    <mergeCell ref="AA5:AC5"/>
  </mergeCells>
  <conditionalFormatting sqref="E56:J56">
    <cfRule type="cellIs" dxfId="151" priority="7" operator="between">
      <formula>-1</formula>
      <formula>1</formula>
    </cfRule>
    <cfRule type="cellIs" dxfId="150" priority="8" operator="lessThan">
      <formula>-1</formula>
    </cfRule>
    <cfRule type="cellIs" dxfId="149" priority="9" operator="greaterThan">
      <formula>1</formula>
    </cfRule>
  </conditionalFormatting>
  <conditionalFormatting sqref="P56:U56">
    <cfRule type="cellIs" dxfId="148" priority="4" operator="between">
      <formula>-1</formula>
      <formula>1</formula>
    </cfRule>
    <cfRule type="cellIs" dxfId="147" priority="5" operator="lessThan">
      <formula>-1</formula>
    </cfRule>
    <cfRule type="cellIs" dxfId="146" priority="6" operator="greaterThan">
      <formula>1</formula>
    </cfRule>
  </conditionalFormatting>
  <conditionalFormatting sqref="AA56:AF56">
    <cfRule type="cellIs" dxfId="145" priority="1" operator="between">
      <formula>-1</formula>
      <formula>1</formula>
    </cfRule>
    <cfRule type="cellIs" dxfId="144" priority="2" operator="lessThan">
      <formula>-1</formula>
    </cfRule>
    <cfRule type="cellIs" dxfId="143" priority="3" operator="greaterThan">
      <formula>1</formula>
    </cfRule>
  </conditionalFormatting>
  <pageMargins left="0.7" right="0.7" top="0.78740157499999996" bottom="0.78740157499999996"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5F5D1-2C67-4CC7-A839-8B611BABB32B}">
  <sheetPr>
    <tabColor rgb="FFFF0000"/>
  </sheetPr>
  <dimension ref="B1:AH49"/>
  <sheetViews>
    <sheetView topLeftCell="A2" workbookViewId="0"/>
  </sheetViews>
  <sheetFormatPr defaultColWidth="11.28515625" defaultRowHeight="12" outlineLevelRow="3" outlineLevelCol="2" x14ac:dyDescent="0.2"/>
  <cols>
    <col min="1" max="1" width="11.28515625" style="1"/>
    <col min="2" max="2" width="0.85546875" style="1" hidden="1" customWidth="1" outlineLevel="2"/>
    <col min="3" max="3" width="35.5703125" style="1" hidden="1" customWidth="1" outlineLevel="2"/>
    <col min="4" max="4" width="35.5703125" style="1" customWidth="1" collapsed="1"/>
    <col min="5" max="7" width="9.42578125" style="1" customWidth="1"/>
    <col min="8" max="9" width="13.28515625" style="1" customWidth="1"/>
    <col min="10" max="10" width="9.42578125" style="1" customWidth="1"/>
    <col min="11" max="11" width="0.85546875" style="1" hidden="1" customWidth="1" outlineLevel="2"/>
    <col min="12" max="12" width="11.28515625" style="1" collapsed="1"/>
    <col min="13" max="13" width="0.85546875" style="1" hidden="1" customWidth="1" outlineLevel="2"/>
    <col min="14" max="14" width="35.5703125" style="1" hidden="1" customWidth="1" outlineLevel="2"/>
    <col min="15" max="15" width="35.5703125" style="1" customWidth="1" collapsed="1"/>
    <col min="16" max="18" width="9.42578125" style="1" customWidth="1"/>
    <col min="19" max="20" width="13.28515625" style="1" customWidth="1"/>
    <col min="21" max="21" width="9.42578125" style="1" customWidth="1"/>
    <col min="22" max="22" width="0.85546875" style="1" hidden="1" customWidth="1" outlineLevel="2"/>
    <col min="23" max="23" width="11.28515625" style="1" collapsed="1"/>
    <col min="24" max="24" width="0.85546875" style="1" hidden="1" customWidth="1" outlineLevel="2"/>
    <col min="25" max="25" width="35.5703125" style="1" hidden="1" customWidth="1" outlineLevel="2"/>
    <col min="26" max="26" width="35.5703125" style="1" customWidth="1" collapsed="1"/>
    <col min="27" max="29" width="9.42578125" style="1" customWidth="1"/>
    <col min="30" max="31" width="13.28515625" style="1" customWidth="1"/>
    <col min="32" max="32" width="9.42578125" style="1" customWidth="1"/>
    <col min="33" max="33" width="0.85546875" style="1" hidden="1" customWidth="1" outlineLevel="2"/>
    <col min="34" max="34" width="11.28515625" style="1" collapsed="1"/>
    <col min="35" max="16384" width="11.28515625" style="1"/>
  </cols>
  <sheetData>
    <row r="1" spans="2:33" hidden="1" outlineLevel="3" x14ac:dyDescent="0.2"/>
    <row r="2" spans="2:33" collapsed="1" x14ac:dyDescent="0.2"/>
    <row r="3" spans="2:33" ht="11.25" customHeight="1" x14ac:dyDescent="0.2">
      <c r="B3" s="251"/>
      <c r="K3" s="251"/>
      <c r="M3" s="251"/>
      <c r="V3" s="251"/>
      <c r="X3" s="251"/>
      <c r="AG3" s="251"/>
    </row>
    <row r="4" spans="2:33" ht="11.25" hidden="1" customHeight="1" outlineLevel="3" x14ac:dyDescent="0.2">
      <c r="B4" s="251"/>
      <c r="C4" s="236" t="str">
        <f>Cockpit!$C$4</f>
        <v>Projekt Namur</v>
      </c>
      <c r="D4" s="236"/>
      <c r="E4" s="1015">
        <f>'Lead PL'!F4</f>
        <v>44926</v>
      </c>
      <c r="F4" s="1015"/>
      <c r="G4" s="1015"/>
      <c r="H4" s="230"/>
      <c r="I4" s="230"/>
      <c r="J4" s="230">
        <f>E4</f>
        <v>44926</v>
      </c>
      <c r="K4" s="251"/>
      <c r="M4" s="251"/>
      <c r="N4" s="236" t="str">
        <f>Cockpit!$C$4</f>
        <v>Projekt Namur</v>
      </c>
      <c r="O4" s="236"/>
      <c r="P4" s="1015">
        <f>'Lead PL'!G4</f>
        <v>45291</v>
      </c>
      <c r="Q4" s="1015"/>
      <c r="R4" s="1015"/>
      <c r="S4" s="230"/>
      <c r="T4" s="230"/>
      <c r="U4" s="230">
        <f>P4</f>
        <v>45291</v>
      </c>
      <c r="V4" s="251"/>
      <c r="X4" s="251"/>
      <c r="Y4" s="236" t="str">
        <f>Cockpit!$C$4</f>
        <v>Projekt Namur</v>
      </c>
      <c r="Z4" s="236"/>
      <c r="AA4" s="1015">
        <f>'Lead PL'!H4</f>
        <v>45657</v>
      </c>
      <c r="AB4" s="1015"/>
      <c r="AC4" s="1015"/>
      <c r="AD4" s="230"/>
      <c r="AE4" s="230"/>
      <c r="AF4" s="230">
        <f>AA4</f>
        <v>45657</v>
      </c>
      <c r="AG4" s="251"/>
    </row>
    <row r="5" spans="2:33" ht="11.25" hidden="1" customHeight="1" outlineLevel="3" x14ac:dyDescent="0.2">
      <c r="B5" s="251"/>
      <c r="C5" s="236"/>
      <c r="D5" s="236"/>
      <c r="E5" s="1015" t="str">
        <f>'Lead PL'!F5</f>
        <v>IST</v>
      </c>
      <c r="F5" s="1015"/>
      <c r="G5" s="1015"/>
      <c r="H5" s="230"/>
      <c r="I5" s="230"/>
      <c r="J5" s="230" t="str">
        <f>E5</f>
        <v>IST</v>
      </c>
      <c r="K5" s="251"/>
      <c r="M5" s="251"/>
      <c r="N5" s="236"/>
      <c r="O5" s="236"/>
      <c r="P5" s="1015" t="str">
        <f>'Lead PL'!G5</f>
        <v>IST</v>
      </c>
      <c r="Q5" s="1015"/>
      <c r="R5" s="1015"/>
      <c r="S5" s="230"/>
      <c r="T5" s="230"/>
      <c r="U5" s="230" t="str">
        <f>P5</f>
        <v>IST</v>
      </c>
      <c r="V5" s="251"/>
      <c r="X5" s="251"/>
      <c r="Y5" s="236"/>
      <c r="Z5" s="236"/>
      <c r="AA5" s="1015" t="str">
        <f>'Lead PL'!H5</f>
        <v>IST</v>
      </c>
      <c r="AB5" s="1015"/>
      <c r="AC5" s="1015"/>
      <c r="AD5" s="230"/>
      <c r="AE5" s="230"/>
      <c r="AF5" s="230" t="str">
        <f>AA5</f>
        <v>IST</v>
      </c>
      <c r="AG5" s="251"/>
    </row>
    <row r="6" spans="2:33" ht="11.25" hidden="1" customHeight="1" outlineLevel="3" x14ac:dyDescent="0.2">
      <c r="B6" s="251"/>
      <c r="C6" s="236" t="str">
        <f>"in T"&amp;Cockpit!$C$5</f>
        <v>in TEUR</v>
      </c>
      <c r="D6" s="236"/>
      <c r="E6" s="230" t="s">
        <v>40</v>
      </c>
      <c r="F6" s="230" t="s">
        <v>39</v>
      </c>
      <c r="G6" s="230" t="s">
        <v>50</v>
      </c>
      <c r="H6" s="230" t="s">
        <v>640</v>
      </c>
      <c r="I6" s="230" t="s">
        <v>639</v>
      </c>
      <c r="J6" s="230" t="s">
        <v>638</v>
      </c>
      <c r="K6" s="251"/>
      <c r="M6" s="251"/>
      <c r="N6" s="236" t="str">
        <f>"in T"&amp;Cockpit!$C$5</f>
        <v>in TEUR</v>
      </c>
      <c r="O6" s="236"/>
      <c r="P6" s="230" t="s">
        <v>40</v>
      </c>
      <c r="Q6" s="230" t="s">
        <v>39</v>
      </c>
      <c r="R6" s="230" t="s">
        <v>50</v>
      </c>
      <c r="S6" s="230" t="s">
        <v>640</v>
      </c>
      <c r="T6" s="230" t="s">
        <v>639</v>
      </c>
      <c r="U6" s="230" t="s">
        <v>638</v>
      </c>
      <c r="V6" s="251"/>
      <c r="X6" s="251"/>
      <c r="Y6" s="236" t="str">
        <f>"in T"&amp;Cockpit!$C$5</f>
        <v>in TEUR</v>
      </c>
      <c r="Z6" s="236"/>
      <c r="AA6" s="230" t="s">
        <v>40</v>
      </c>
      <c r="AB6" s="230" t="s">
        <v>39</v>
      </c>
      <c r="AC6" s="230" t="s">
        <v>50</v>
      </c>
      <c r="AD6" s="230" t="s">
        <v>640</v>
      </c>
      <c r="AE6" s="230" t="s">
        <v>639</v>
      </c>
      <c r="AF6" s="230" t="s">
        <v>638</v>
      </c>
      <c r="AG6" s="251"/>
    </row>
    <row r="7" spans="2:33" ht="11.25" customHeight="1" collapsed="1" x14ac:dyDescent="0.2">
      <c r="B7" s="251"/>
      <c r="C7" s="232"/>
      <c r="D7" s="232" t="str">
        <f>Cockpit!$C$4</f>
        <v>Projekt Namur</v>
      </c>
      <c r="E7" s="1017">
        <f>'Lead PL'!F6</f>
        <v>44926</v>
      </c>
      <c r="F7" s="1017"/>
      <c r="G7" s="1017"/>
      <c r="H7" s="233"/>
      <c r="I7" s="233"/>
      <c r="J7" s="233">
        <f>E7</f>
        <v>44926</v>
      </c>
      <c r="K7" s="251"/>
      <c r="M7" s="251"/>
      <c r="N7" s="232"/>
      <c r="O7" s="232" t="str">
        <f>Cockpit!$C$4</f>
        <v>Projekt Namur</v>
      </c>
      <c r="P7" s="1017">
        <f>'Lead PL'!G6</f>
        <v>45291</v>
      </c>
      <c r="Q7" s="1017"/>
      <c r="R7" s="1017"/>
      <c r="S7" s="233"/>
      <c r="T7" s="233"/>
      <c r="U7" s="233">
        <f>P7</f>
        <v>45291</v>
      </c>
      <c r="V7" s="251"/>
      <c r="X7" s="251"/>
      <c r="Y7" s="232"/>
      <c r="Z7" s="232" t="str">
        <f>Cockpit!$C$4</f>
        <v>Projekt Namur</v>
      </c>
      <c r="AA7" s="1017">
        <f>'Lead PL'!H6</f>
        <v>45657</v>
      </c>
      <c r="AB7" s="1017"/>
      <c r="AC7" s="1017"/>
      <c r="AD7" s="233"/>
      <c r="AE7" s="233"/>
      <c r="AF7" s="233">
        <f>AA7</f>
        <v>45657</v>
      </c>
      <c r="AG7" s="251"/>
    </row>
    <row r="8" spans="2:33" ht="11.25" customHeight="1" x14ac:dyDescent="0.2">
      <c r="B8" s="251"/>
      <c r="C8" s="232"/>
      <c r="D8" s="232"/>
      <c r="E8" s="1017" t="str">
        <f>'Lead PL'!F7</f>
        <v>IST</v>
      </c>
      <c r="F8" s="1017"/>
      <c r="G8" s="1017"/>
      <c r="H8" s="233"/>
      <c r="I8" s="233"/>
      <c r="J8" s="233" t="str">
        <f>E8</f>
        <v>IST</v>
      </c>
      <c r="K8" s="251"/>
      <c r="M8" s="251"/>
      <c r="N8" s="232"/>
      <c r="O8" s="232"/>
      <c r="P8" s="1017" t="str">
        <f>'Lead PL'!G7</f>
        <v>IST</v>
      </c>
      <c r="Q8" s="1017"/>
      <c r="R8" s="1017"/>
      <c r="S8" s="233"/>
      <c r="T8" s="233"/>
      <c r="U8" s="233" t="str">
        <f>P8</f>
        <v>IST</v>
      </c>
      <c r="V8" s="251"/>
      <c r="X8" s="251"/>
      <c r="Y8" s="232"/>
      <c r="Z8" s="232"/>
      <c r="AA8" s="1017" t="str">
        <f>'Lead PL'!H7</f>
        <v>IST</v>
      </c>
      <c r="AB8" s="1017"/>
      <c r="AC8" s="1017"/>
      <c r="AD8" s="233"/>
      <c r="AE8" s="233"/>
      <c r="AF8" s="233" t="str">
        <f>AA8</f>
        <v>IST</v>
      </c>
      <c r="AG8" s="251"/>
    </row>
    <row r="9" spans="2:33" ht="11.25" customHeight="1" x14ac:dyDescent="0.2">
      <c r="B9" s="251"/>
      <c r="C9" s="232"/>
      <c r="D9" s="232" t="str">
        <f>"in k"&amp;Cockpit!$C$5</f>
        <v>in kEUR</v>
      </c>
      <c r="E9" s="233" t="s">
        <v>40</v>
      </c>
      <c r="F9" s="233" t="s">
        <v>39</v>
      </c>
      <c r="G9" s="233" t="s">
        <v>50</v>
      </c>
      <c r="H9" s="233" t="s">
        <v>637</v>
      </c>
      <c r="I9" s="233" t="s">
        <v>636</v>
      </c>
      <c r="J9" s="233" t="s">
        <v>635</v>
      </c>
      <c r="K9" s="251"/>
      <c r="M9" s="251"/>
      <c r="N9" s="232"/>
      <c r="O9" s="232" t="str">
        <f>"in k"&amp;Cockpit!$C$5</f>
        <v>in kEUR</v>
      </c>
      <c r="P9" s="233" t="s">
        <v>40</v>
      </c>
      <c r="Q9" s="233" t="s">
        <v>39</v>
      </c>
      <c r="R9" s="233" t="s">
        <v>50</v>
      </c>
      <c r="S9" s="233" t="s">
        <v>637</v>
      </c>
      <c r="T9" s="233" t="s">
        <v>636</v>
      </c>
      <c r="U9" s="233" t="s">
        <v>635</v>
      </c>
      <c r="V9" s="251"/>
      <c r="X9" s="251"/>
      <c r="Y9" s="232"/>
      <c r="Z9" s="232" t="str">
        <f>"in k"&amp;Cockpit!$C$5</f>
        <v>in kEUR</v>
      </c>
      <c r="AA9" s="233" t="s">
        <v>40</v>
      </c>
      <c r="AB9" s="233" t="s">
        <v>39</v>
      </c>
      <c r="AC9" s="233" t="s">
        <v>50</v>
      </c>
      <c r="AD9" s="233" t="s">
        <v>637</v>
      </c>
      <c r="AE9" s="233" t="s">
        <v>636</v>
      </c>
      <c r="AF9" s="233" t="s">
        <v>635</v>
      </c>
      <c r="AG9" s="251"/>
    </row>
    <row r="10" spans="2:33" ht="4.5" customHeight="1" x14ac:dyDescent="0.2">
      <c r="B10" s="251"/>
      <c r="C10" s="37"/>
      <c r="D10" s="37"/>
      <c r="E10" s="36"/>
      <c r="F10" s="36"/>
      <c r="G10" s="36"/>
      <c r="H10" s="278"/>
      <c r="I10" s="35"/>
      <c r="J10" s="36"/>
      <c r="K10" s="251"/>
      <c r="L10" s="251"/>
      <c r="M10" s="251"/>
      <c r="N10" s="37"/>
      <c r="O10" s="37"/>
      <c r="P10" s="36"/>
      <c r="Q10" s="36"/>
      <c r="R10" s="36"/>
      <c r="S10" s="278"/>
      <c r="T10" s="35"/>
      <c r="U10" s="36"/>
      <c r="V10" s="251"/>
      <c r="W10" s="251"/>
      <c r="X10" s="251"/>
      <c r="Y10" s="37"/>
      <c r="Z10" s="37"/>
      <c r="AA10" s="36"/>
      <c r="AB10" s="36"/>
      <c r="AC10" s="36"/>
      <c r="AD10" s="278"/>
      <c r="AE10" s="35"/>
      <c r="AF10" s="36"/>
      <c r="AG10" s="251"/>
    </row>
    <row r="11" spans="2:33" ht="11.25" customHeight="1" x14ac:dyDescent="0.2">
      <c r="B11" s="251"/>
      <c r="C11" s="37" t="str">
        <f>+'Lead PL'!C9</f>
        <v>Umsatzerlöse</v>
      </c>
      <c r="D11" s="37" t="str">
        <f>+'Lead PL'!D9</f>
        <v>Revenues</v>
      </c>
      <c r="E11" s="36"/>
      <c r="F11" s="36"/>
      <c r="G11" s="36"/>
      <c r="H11" s="324">
        <f>SUM(E11:G11)</f>
        <v>0</v>
      </c>
      <c r="I11" s="129"/>
      <c r="J11" s="36">
        <f t="shared" ref="J11:J43" si="0">SUM(H11:I11)</f>
        <v>0</v>
      </c>
      <c r="K11" s="251"/>
      <c r="L11" s="251"/>
      <c r="M11" s="251"/>
      <c r="N11" s="37" t="str">
        <f t="shared" ref="N11:N43" si="1">C11</f>
        <v>Umsatzerlöse</v>
      </c>
      <c r="O11" s="37" t="str">
        <f t="shared" ref="O11:O43" si="2">D11</f>
        <v>Revenues</v>
      </c>
      <c r="P11" s="36"/>
      <c r="Q11" s="36"/>
      <c r="R11" s="36"/>
      <c r="S11" s="324">
        <f>SUM(P11:R11)</f>
        <v>0</v>
      </c>
      <c r="T11" s="129"/>
      <c r="U11" s="36">
        <f t="shared" ref="U11:U43" si="3">SUM(S11:T11)</f>
        <v>0</v>
      </c>
      <c r="V11" s="251"/>
      <c r="W11" s="251"/>
      <c r="X11" s="251"/>
      <c r="Y11" s="37" t="str">
        <f t="shared" ref="Y11:Y43" si="4">N11</f>
        <v>Umsatzerlöse</v>
      </c>
      <c r="Z11" s="37" t="str">
        <f t="shared" ref="Z11:Z43" si="5">O11</f>
        <v>Revenues</v>
      </c>
      <c r="AA11" s="36"/>
      <c r="AB11" s="36"/>
      <c r="AC11" s="36"/>
      <c r="AD11" s="324">
        <f>SUM(AA11:AC11)</f>
        <v>0</v>
      </c>
      <c r="AE11" s="129"/>
      <c r="AF11" s="36">
        <f t="shared" ref="AF11:AF43" si="6">SUM(AD11:AE11)</f>
        <v>0</v>
      </c>
      <c r="AG11" s="251"/>
    </row>
    <row r="12" spans="2:33" ht="11.25" hidden="1" customHeight="1" outlineLevel="2" x14ac:dyDescent="0.2">
      <c r="B12" s="251"/>
      <c r="C12" s="37" t="str">
        <f>+'Lead PL'!C19</f>
        <v>Bestandsveränderung</v>
      </c>
      <c r="D12" s="37" t="str">
        <f>+'Lead PL'!D19</f>
        <v>Change in inventory</v>
      </c>
      <c r="E12" s="36"/>
      <c r="F12" s="36"/>
      <c r="G12" s="36"/>
      <c r="H12" s="324">
        <f>SUM(E12:G12)</f>
        <v>0</v>
      </c>
      <c r="I12" s="129"/>
      <c r="J12" s="36">
        <f t="shared" si="0"/>
        <v>0</v>
      </c>
      <c r="K12" s="251"/>
      <c r="L12" s="251"/>
      <c r="M12" s="251"/>
      <c r="N12" s="37" t="str">
        <f t="shared" si="1"/>
        <v>Bestandsveränderung</v>
      </c>
      <c r="O12" s="37" t="str">
        <f t="shared" si="2"/>
        <v>Change in inventory</v>
      </c>
      <c r="P12" s="36"/>
      <c r="Q12" s="36"/>
      <c r="R12" s="36"/>
      <c r="S12" s="324">
        <f>SUM(P12:R12)</f>
        <v>0</v>
      </c>
      <c r="T12" s="129"/>
      <c r="U12" s="36">
        <f t="shared" si="3"/>
        <v>0</v>
      </c>
      <c r="V12" s="251"/>
      <c r="W12" s="251"/>
      <c r="X12" s="251"/>
      <c r="Y12" s="37" t="str">
        <f t="shared" si="4"/>
        <v>Bestandsveränderung</v>
      </c>
      <c r="Z12" s="37" t="str">
        <f t="shared" si="5"/>
        <v>Change in inventory</v>
      </c>
      <c r="AA12" s="36"/>
      <c r="AB12" s="36"/>
      <c r="AC12" s="36"/>
      <c r="AD12" s="324">
        <f>SUM(AA12:AC12)</f>
        <v>0</v>
      </c>
      <c r="AE12" s="129"/>
      <c r="AF12" s="36">
        <f t="shared" si="6"/>
        <v>0</v>
      </c>
      <c r="AG12" s="251"/>
    </row>
    <row r="13" spans="2:33" ht="11.25" hidden="1" customHeight="1" outlineLevel="2" x14ac:dyDescent="0.2">
      <c r="B13" s="251"/>
      <c r="C13" s="37" t="str">
        <f>+'Lead PL'!C22</f>
        <v>Dummy 2</v>
      </c>
      <c r="D13" s="37" t="str">
        <f>+'Lead PL'!D22</f>
        <v>Dummy 2</v>
      </c>
      <c r="E13" s="36"/>
      <c r="F13" s="36"/>
      <c r="G13" s="36"/>
      <c r="H13" s="324">
        <f>SUM(E13:G13)</f>
        <v>0</v>
      </c>
      <c r="I13" s="129"/>
      <c r="J13" s="36">
        <f t="shared" si="0"/>
        <v>0</v>
      </c>
      <c r="K13" s="251"/>
      <c r="L13" s="251"/>
      <c r="M13" s="251"/>
      <c r="N13" s="37" t="str">
        <f t="shared" si="1"/>
        <v>Dummy 2</v>
      </c>
      <c r="O13" s="37" t="str">
        <f t="shared" si="2"/>
        <v>Dummy 2</v>
      </c>
      <c r="P13" s="36"/>
      <c r="Q13" s="36"/>
      <c r="R13" s="36"/>
      <c r="S13" s="324">
        <f>SUM(P13:R13)</f>
        <v>0</v>
      </c>
      <c r="T13" s="129"/>
      <c r="U13" s="36">
        <f t="shared" si="3"/>
        <v>0</v>
      </c>
      <c r="V13" s="251"/>
      <c r="W13" s="251"/>
      <c r="X13" s="251"/>
      <c r="Y13" s="37" t="str">
        <f t="shared" si="4"/>
        <v>Dummy 2</v>
      </c>
      <c r="Z13" s="37" t="str">
        <f t="shared" si="5"/>
        <v>Dummy 2</v>
      </c>
      <c r="AA13" s="36"/>
      <c r="AB13" s="36"/>
      <c r="AC13" s="36"/>
      <c r="AD13" s="324">
        <f>SUM(AA13:AC13)</f>
        <v>0</v>
      </c>
      <c r="AE13" s="129"/>
      <c r="AF13" s="36">
        <f t="shared" si="6"/>
        <v>0</v>
      </c>
      <c r="AG13" s="251"/>
    </row>
    <row r="14" spans="2:33" ht="11.25" hidden="1" customHeight="1" outlineLevel="2" x14ac:dyDescent="0.2">
      <c r="B14" s="251"/>
      <c r="C14" s="37" t="str">
        <f>+'Lead PL'!C23</f>
        <v>Dummy 3</v>
      </c>
      <c r="D14" s="37" t="str">
        <f>+'Lead PL'!D23</f>
        <v>Dummy 3</v>
      </c>
      <c r="E14" s="36"/>
      <c r="F14" s="36"/>
      <c r="G14" s="36"/>
      <c r="H14" s="324">
        <f>SUM(E14:G14)</f>
        <v>0</v>
      </c>
      <c r="I14" s="129"/>
      <c r="J14" s="36">
        <f t="shared" si="0"/>
        <v>0</v>
      </c>
      <c r="K14" s="251"/>
      <c r="L14" s="251"/>
      <c r="M14" s="251"/>
      <c r="N14" s="37" t="str">
        <f t="shared" si="1"/>
        <v>Dummy 3</v>
      </c>
      <c r="O14" s="37" t="str">
        <f t="shared" si="2"/>
        <v>Dummy 3</v>
      </c>
      <c r="P14" s="36"/>
      <c r="Q14" s="36"/>
      <c r="R14" s="36"/>
      <c r="S14" s="324">
        <f>SUM(P14:R14)</f>
        <v>0</v>
      </c>
      <c r="T14" s="129"/>
      <c r="U14" s="36">
        <f t="shared" si="3"/>
        <v>0</v>
      </c>
      <c r="V14" s="251"/>
      <c r="W14" s="251"/>
      <c r="X14" s="251"/>
      <c r="Y14" s="37" t="str">
        <f t="shared" si="4"/>
        <v>Dummy 3</v>
      </c>
      <c r="Z14" s="37" t="str">
        <f t="shared" si="5"/>
        <v>Dummy 3</v>
      </c>
      <c r="AA14" s="36"/>
      <c r="AB14" s="36"/>
      <c r="AC14" s="36"/>
      <c r="AD14" s="324">
        <f>SUM(AA14:AC14)</f>
        <v>0</v>
      </c>
      <c r="AE14" s="129"/>
      <c r="AF14" s="36">
        <f t="shared" si="6"/>
        <v>0</v>
      </c>
      <c r="AG14" s="251"/>
    </row>
    <row r="15" spans="2:33" ht="11.25" customHeight="1" collapsed="1" x14ac:dyDescent="0.2">
      <c r="B15" s="251"/>
      <c r="C15" s="141" t="str">
        <f>+'Lead PL'!C24</f>
        <v>Gesamtleistung</v>
      </c>
      <c r="D15" s="141" t="str">
        <f>+'Lead PL'!D24</f>
        <v>Total output</v>
      </c>
      <c r="E15" s="141">
        <f>SUM(E11:E14)</f>
        <v>0</v>
      </c>
      <c r="F15" s="141">
        <f>SUM(F11:F14)</f>
        <v>0</v>
      </c>
      <c r="G15" s="141">
        <f>SUM(G11:G14)</f>
        <v>0</v>
      </c>
      <c r="H15" s="344">
        <f>SUM(H11)</f>
        <v>0</v>
      </c>
      <c r="I15" s="140">
        <f>SUM(I11:I14)</f>
        <v>0</v>
      </c>
      <c r="J15" s="141">
        <f t="shared" si="0"/>
        <v>0</v>
      </c>
      <c r="K15" s="251"/>
      <c r="L15" s="251"/>
      <c r="M15" s="251"/>
      <c r="N15" s="141" t="str">
        <f t="shared" si="1"/>
        <v>Gesamtleistung</v>
      </c>
      <c r="O15" s="141" t="str">
        <f t="shared" si="2"/>
        <v>Total output</v>
      </c>
      <c r="P15" s="141">
        <f>SUM(P11:P14)</f>
        <v>0</v>
      </c>
      <c r="Q15" s="141">
        <f>SUM(Q11:Q14)</f>
        <v>0</v>
      </c>
      <c r="R15" s="141">
        <f>SUM(R11:R14)</f>
        <v>0</v>
      </c>
      <c r="S15" s="344">
        <f>SUM(S11)</f>
        <v>0</v>
      </c>
      <c r="T15" s="140">
        <f>SUM(T11:T14)</f>
        <v>0</v>
      </c>
      <c r="U15" s="141">
        <f t="shared" si="3"/>
        <v>0</v>
      </c>
      <c r="V15" s="251"/>
      <c r="W15" s="251"/>
      <c r="X15" s="251"/>
      <c r="Y15" s="141" t="str">
        <f t="shared" si="4"/>
        <v>Gesamtleistung</v>
      </c>
      <c r="Z15" s="141" t="str">
        <f t="shared" si="5"/>
        <v>Total output</v>
      </c>
      <c r="AA15" s="141">
        <f>SUM(AA11:AA14)</f>
        <v>0</v>
      </c>
      <c r="AB15" s="141">
        <f>SUM(AB11:AB14)</f>
        <v>0</v>
      </c>
      <c r="AC15" s="141">
        <f>SUM(AC11:AC14)</f>
        <v>0</v>
      </c>
      <c r="AD15" s="344">
        <f>SUM(AD11)</f>
        <v>0</v>
      </c>
      <c r="AE15" s="140">
        <f>SUM(AE11:AE14)</f>
        <v>0</v>
      </c>
      <c r="AF15" s="141">
        <f t="shared" si="6"/>
        <v>0</v>
      </c>
      <c r="AG15" s="251"/>
    </row>
    <row r="16" spans="2:33" ht="11.25" customHeight="1" x14ac:dyDescent="0.2">
      <c r="B16" s="251"/>
      <c r="C16" s="37" t="str">
        <f>+'Lead PL'!C25</f>
        <v>Materialaufwand</v>
      </c>
      <c r="D16" s="37" t="str">
        <f>+'Lead PL'!D25</f>
        <v>Cost of materials</v>
      </c>
      <c r="E16" s="36"/>
      <c r="F16" s="36"/>
      <c r="G16" s="36"/>
      <c r="H16" s="324">
        <f>SUM(E16:G16)</f>
        <v>0</v>
      </c>
      <c r="I16" s="129"/>
      <c r="J16" s="36">
        <f t="shared" si="0"/>
        <v>0</v>
      </c>
      <c r="K16" s="251"/>
      <c r="L16" s="251"/>
      <c r="M16" s="251"/>
      <c r="N16" s="37" t="str">
        <f t="shared" si="1"/>
        <v>Materialaufwand</v>
      </c>
      <c r="O16" s="37" t="str">
        <f t="shared" si="2"/>
        <v>Cost of materials</v>
      </c>
      <c r="P16" s="36"/>
      <c r="Q16" s="36"/>
      <c r="R16" s="36"/>
      <c r="S16" s="324">
        <f>SUM(P16:R16)</f>
        <v>0</v>
      </c>
      <c r="T16" s="129"/>
      <c r="U16" s="36">
        <f t="shared" si="3"/>
        <v>0</v>
      </c>
      <c r="V16" s="251"/>
      <c r="W16" s="251"/>
      <c r="X16" s="251"/>
      <c r="Y16" s="37" t="str">
        <f t="shared" si="4"/>
        <v>Materialaufwand</v>
      </c>
      <c r="Z16" s="37" t="str">
        <f t="shared" si="5"/>
        <v>Cost of materials</v>
      </c>
      <c r="AA16" s="36"/>
      <c r="AB16" s="36"/>
      <c r="AC16" s="36"/>
      <c r="AD16" s="324">
        <f>SUM(AA16:AC16)</f>
        <v>0</v>
      </c>
      <c r="AE16" s="129"/>
      <c r="AF16" s="36">
        <f t="shared" si="6"/>
        <v>0</v>
      </c>
      <c r="AG16" s="251"/>
    </row>
    <row r="17" spans="2:33" ht="11.25" hidden="1" customHeight="1" outlineLevel="2" x14ac:dyDescent="0.2">
      <c r="B17" s="251"/>
      <c r="C17" s="37" t="str">
        <f>+'Lead PL'!C26</f>
        <v>RHB-Aufwand</v>
      </c>
      <c r="D17" s="37" t="str">
        <f>+'Lead PL'!D26</f>
        <v>Dummy 1</v>
      </c>
      <c r="E17" s="36"/>
      <c r="F17" s="36"/>
      <c r="G17" s="36"/>
      <c r="H17" s="324">
        <f>SUM(E17:G17)</f>
        <v>0</v>
      </c>
      <c r="I17" s="129"/>
      <c r="J17" s="36">
        <f t="shared" si="0"/>
        <v>0</v>
      </c>
      <c r="K17" s="251"/>
      <c r="L17" s="251"/>
      <c r="M17" s="251"/>
      <c r="N17" s="37" t="str">
        <f t="shared" si="1"/>
        <v>RHB-Aufwand</v>
      </c>
      <c r="O17" s="37" t="str">
        <f t="shared" si="2"/>
        <v>Dummy 1</v>
      </c>
      <c r="P17" s="36"/>
      <c r="Q17" s="36"/>
      <c r="R17" s="36"/>
      <c r="S17" s="324">
        <f>SUM(P17:R17)</f>
        <v>0</v>
      </c>
      <c r="T17" s="129"/>
      <c r="U17" s="36">
        <f t="shared" si="3"/>
        <v>0</v>
      </c>
      <c r="V17" s="251"/>
      <c r="W17" s="251"/>
      <c r="X17" s="251"/>
      <c r="Y17" s="37" t="str">
        <f t="shared" si="4"/>
        <v>RHB-Aufwand</v>
      </c>
      <c r="Z17" s="37" t="str">
        <f t="shared" si="5"/>
        <v>Dummy 1</v>
      </c>
      <c r="AA17" s="36"/>
      <c r="AB17" s="36"/>
      <c r="AC17" s="36"/>
      <c r="AD17" s="324">
        <f>SUM(AA17:AC17)</f>
        <v>0</v>
      </c>
      <c r="AE17" s="129"/>
      <c r="AF17" s="36">
        <f t="shared" si="6"/>
        <v>0</v>
      </c>
      <c r="AG17" s="251"/>
    </row>
    <row r="18" spans="2:33" ht="11.25" hidden="1" customHeight="1" outlineLevel="2" x14ac:dyDescent="0.2">
      <c r="B18" s="251"/>
      <c r="C18" s="37" t="str">
        <f>+'Lead PL'!C27</f>
        <v>Fremdleistungen</v>
      </c>
      <c r="D18" s="37" t="str">
        <f>+'Lead PL'!D27</f>
        <v>Dummy 2</v>
      </c>
      <c r="E18" s="36"/>
      <c r="F18" s="36"/>
      <c r="G18" s="36"/>
      <c r="H18" s="324">
        <f>SUM(E18:G18)</f>
        <v>0</v>
      </c>
      <c r="I18" s="129"/>
      <c r="J18" s="36">
        <f t="shared" si="0"/>
        <v>0</v>
      </c>
      <c r="K18" s="251"/>
      <c r="L18" s="251"/>
      <c r="M18" s="251"/>
      <c r="N18" s="37" t="str">
        <f t="shared" si="1"/>
        <v>Fremdleistungen</v>
      </c>
      <c r="O18" s="37" t="str">
        <f t="shared" si="2"/>
        <v>Dummy 2</v>
      </c>
      <c r="P18" s="36"/>
      <c r="Q18" s="36"/>
      <c r="R18" s="36"/>
      <c r="S18" s="324">
        <f>SUM(P18:R18)</f>
        <v>0</v>
      </c>
      <c r="T18" s="129"/>
      <c r="U18" s="36">
        <f t="shared" si="3"/>
        <v>0</v>
      </c>
      <c r="V18" s="251"/>
      <c r="W18" s="251"/>
      <c r="X18" s="251"/>
      <c r="Y18" s="37" t="str">
        <f t="shared" si="4"/>
        <v>Fremdleistungen</v>
      </c>
      <c r="Z18" s="37" t="str">
        <f t="shared" si="5"/>
        <v>Dummy 2</v>
      </c>
      <c r="AA18" s="36"/>
      <c r="AB18" s="36"/>
      <c r="AC18" s="36"/>
      <c r="AD18" s="324">
        <f>SUM(AA18:AC18)</f>
        <v>0</v>
      </c>
      <c r="AE18" s="129"/>
      <c r="AF18" s="36">
        <f t="shared" si="6"/>
        <v>0</v>
      </c>
      <c r="AG18" s="251"/>
    </row>
    <row r="19" spans="2:33" ht="11.25" hidden="1" customHeight="1" outlineLevel="2" x14ac:dyDescent="0.2">
      <c r="B19" s="251"/>
      <c r="C19" s="42" t="str">
        <f>+'Lead PL'!C28</f>
        <v>Dummy 3</v>
      </c>
      <c r="D19" s="42" t="str">
        <f>+'Lead PL'!D28</f>
        <v>Dummy 3</v>
      </c>
      <c r="E19" s="127"/>
      <c r="F19" s="127"/>
      <c r="G19" s="127"/>
      <c r="H19" s="345">
        <f>SUM(E19:G19)</f>
        <v>0</v>
      </c>
      <c r="I19" s="135"/>
      <c r="J19" s="127">
        <f t="shared" si="0"/>
        <v>0</v>
      </c>
      <c r="K19" s="251"/>
      <c r="L19" s="251"/>
      <c r="M19" s="251"/>
      <c r="N19" s="42" t="str">
        <f t="shared" si="1"/>
        <v>Dummy 3</v>
      </c>
      <c r="O19" s="42" t="str">
        <f t="shared" si="2"/>
        <v>Dummy 3</v>
      </c>
      <c r="P19" s="127"/>
      <c r="Q19" s="127"/>
      <c r="R19" s="127"/>
      <c r="S19" s="345">
        <f>SUM(P19:R19)</f>
        <v>0</v>
      </c>
      <c r="T19" s="135"/>
      <c r="U19" s="127">
        <f t="shared" si="3"/>
        <v>0</v>
      </c>
      <c r="V19" s="251"/>
      <c r="W19" s="251"/>
      <c r="X19" s="251"/>
      <c r="Y19" s="42" t="str">
        <f t="shared" si="4"/>
        <v>Dummy 3</v>
      </c>
      <c r="Z19" s="42" t="str">
        <f t="shared" si="5"/>
        <v>Dummy 3</v>
      </c>
      <c r="AA19" s="127"/>
      <c r="AB19" s="127"/>
      <c r="AC19" s="127"/>
      <c r="AD19" s="345">
        <f>SUM(AA19:AC19)</f>
        <v>0</v>
      </c>
      <c r="AE19" s="135"/>
      <c r="AF19" s="127">
        <f t="shared" si="6"/>
        <v>0</v>
      </c>
      <c r="AG19" s="251"/>
    </row>
    <row r="20" spans="2:33" ht="11.25" customHeight="1" collapsed="1" x14ac:dyDescent="0.2">
      <c r="B20" s="251"/>
      <c r="C20" s="141" t="str">
        <f>+'Lead PL'!C29</f>
        <v>Rohergebnis</v>
      </c>
      <c r="D20" s="141" t="str">
        <f>+'Lead PL'!D29</f>
        <v>Gross profit</v>
      </c>
      <c r="E20" s="141">
        <f>SUM(E15:E19)</f>
        <v>0</v>
      </c>
      <c r="F20" s="141">
        <f>SUM(F15:F19)</f>
        <v>0</v>
      </c>
      <c r="G20" s="141">
        <f>SUM(G15:G19)</f>
        <v>0</v>
      </c>
      <c r="H20" s="344">
        <f>SUM(H15:H16)</f>
        <v>0</v>
      </c>
      <c r="I20" s="140">
        <f>SUM(I15:I19)</f>
        <v>0</v>
      </c>
      <c r="J20" s="141">
        <f t="shared" si="0"/>
        <v>0</v>
      </c>
      <c r="K20" s="251"/>
      <c r="L20" s="251"/>
      <c r="M20" s="251"/>
      <c r="N20" s="141" t="str">
        <f t="shared" si="1"/>
        <v>Rohergebnis</v>
      </c>
      <c r="O20" s="141" t="str">
        <f t="shared" si="2"/>
        <v>Gross profit</v>
      </c>
      <c r="P20" s="141">
        <f>SUM(P15:P19)</f>
        <v>0</v>
      </c>
      <c r="Q20" s="141">
        <f>SUM(Q15:Q19)</f>
        <v>0</v>
      </c>
      <c r="R20" s="141">
        <f>SUM(R15:R19)</f>
        <v>0</v>
      </c>
      <c r="S20" s="344">
        <f>SUM(S15:S16)</f>
        <v>0</v>
      </c>
      <c r="T20" s="140">
        <f>SUM(T15:T19)</f>
        <v>0</v>
      </c>
      <c r="U20" s="141">
        <f t="shared" si="3"/>
        <v>0</v>
      </c>
      <c r="V20" s="251"/>
      <c r="W20" s="251"/>
      <c r="X20" s="251"/>
      <c r="Y20" s="141" t="str">
        <f t="shared" si="4"/>
        <v>Rohergebnis</v>
      </c>
      <c r="Z20" s="141" t="str">
        <f t="shared" si="5"/>
        <v>Gross profit</v>
      </c>
      <c r="AA20" s="141">
        <f>SUM(AA15:AA19)</f>
        <v>0</v>
      </c>
      <c r="AB20" s="141">
        <f>SUM(AB15:AB19)</f>
        <v>0</v>
      </c>
      <c r="AC20" s="141">
        <f>SUM(AC15:AC19)</f>
        <v>0</v>
      </c>
      <c r="AD20" s="344">
        <f>SUM(AD15:AD16)</f>
        <v>0</v>
      </c>
      <c r="AE20" s="140">
        <f>SUM(AE15:AE19)</f>
        <v>0</v>
      </c>
      <c r="AF20" s="141">
        <f t="shared" si="6"/>
        <v>0</v>
      </c>
      <c r="AG20" s="251"/>
    </row>
    <row r="21" spans="2:33" ht="11.25" customHeight="1" x14ac:dyDescent="0.2">
      <c r="B21" s="251"/>
      <c r="C21" s="37" t="str">
        <f>+'Lead PL'!C30</f>
        <v>Personalaufwand</v>
      </c>
      <c r="D21" s="37" t="str">
        <f>+'Lead PL'!D30</f>
        <v>Personnel expenses</v>
      </c>
      <c r="E21" s="36"/>
      <c r="F21" s="36"/>
      <c r="G21" s="36"/>
      <c r="H21" s="324">
        <f t="shared" ref="H21:H26" si="7">SUM(E21:G21)</f>
        <v>0</v>
      </c>
      <c r="I21" s="129"/>
      <c r="J21" s="36">
        <f t="shared" si="0"/>
        <v>0</v>
      </c>
      <c r="K21" s="251"/>
      <c r="L21" s="251"/>
      <c r="M21" s="251"/>
      <c r="N21" s="37" t="str">
        <f t="shared" si="1"/>
        <v>Personalaufwand</v>
      </c>
      <c r="O21" s="37" t="str">
        <f t="shared" si="2"/>
        <v>Personnel expenses</v>
      </c>
      <c r="P21" s="36"/>
      <c r="Q21" s="36"/>
      <c r="R21" s="36"/>
      <c r="S21" s="324">
        <f t="shared" ref="S21:S26" si="8">SUM(P21:R21)</f>
        <v>0</v>
      </c>
      <c r="T21" s="129"/>
      <c r="U21" s="36">
        <f t="shared" si="3"/>
        <v>0</v>
      </c>
      <c r="V21" s="251"/>
      <c r="W21" s="251"/>
      <c r="X21" s="251"/>
      <c r="Y21" s="37" t="str">
        <f t="shared" si="4"/>
        <v>Personalaufwand</v>
      </c>
      <c r="Z21" s="37" t="str">
        <f t="shared" si="5"/>
        <v>Personnel expenses</v>
      </c>
      <c r="AA21" s="36"/>
      <c r="AB21" s="36"/>
      <c r="AC21" s="36"/>
      <c r="AD21" s="324">
        <f t="shared" ref="AD21:AD26" si="9">SUM(AA21:AC21)</f>
        <v>0</v>
      </c>
      <c r="AE21" s="129"/>
      <c r="AF21" s="36">
        <f t="shared" si="6"/>
        <v>0</v>
      </c>
      <c r="AG21" s="251"/>
    </row>
    <row r="22" spans="2:33" ht="11.25" customHeight="1" x14ac:dyDescent="0.2">
      <c r="B22" s="251"/>
      <c r="C22" s="37" t="str">
        <f>+'Lead PL'!C31</f>
        <v>Miet- und Grundstücksaufwendungen</v>
      </c>
      <c r="D22" s="37" t="str">
        <f>+'Lead PL'!D31</f>
        <v>Premise costs</v>
      </c>
      <c r="E22" s="36"/>
      <c r="F22" s="36"/>
      <c r="G22" s="36"/>
      <c r="H22" s="324">
        <f t="shared" si="7"/>
        <v>0</v>
      </c>
      <c r="I22" s="129"/>
      <c r="J22" s="36">
        <f t="shared" si="0"/>
        <v>0</v>
      </c>
      <c r="K22" s="251"/>
      <c r="L22" s="251"/>
      <c r="M22" s="251"/>
      <c r="N22" s="37" t="str">
        <f t="shared" si="1"/>
        <v>Miet- und Grundstücksaufwendungen</v>
      </c>
      <c r="O22" s="37" t="str">
        <f t="shared" si="2"/>
        <v>Premise costs</v>
      </c>
      <c r="P22" s="36"/>
      <c r="Q22" s="36"/>
      <c r="R22" s="36"/>
      <c r="S22" s="324">
        <f t="shared" si="8"/>
        <v>0</v>
      </c>
      <c r="T22" s="129"/>
      <c r="U22" s="36">
        <f t="shared" si="3"/>
        <v>0</v>
      </c>
      <c r="V22" s="251"/>
      <c r="W22" s="251"/>
      <c r="X22" s="251"/>
      <c r="Y22" s="37" t="str">
        <f t="shared" si="4"/>
        <v>Miet- und Grundstücksaufwendungen</v>
      </c>
      <c r="Z22" s="37" t="str">
        <f t="shared" si="5"/>
        <v>Premise costs</v>
      </c>
      <c r="AA22" s="36"/>
      <c r="AB22" s="36"/>
      <c r="AC22" s="36"/>
      <c r="AD22" s="324">
        <f t="shared" si="9"/>
        <v>0</v>
      </c>
      <c r="AE22" s="129"/>
      <c r="AF22" s="36">
        <f t="shared" si="6"/>
        <v>0</v>
      </c>
      <c r="AG22" s="251"/>
    </row>
    <row r="23" spans="2:33" ht="11.25" customHeight="1" x14ac:dyDescent="0.2">
      <c r="B23" s="251"/>
      <c r="C23" s="37" t="str">
        <f>+'Lead PL'!C38</f>
        <v>Sonstige betriebliche Erträge</v>
      </c>
      <c r="D23" s="37" t="str">
        <f>+'Lead PL'!D38</f>
        <v>Other operating income</v>
      </c>
      <c r="E23" s="36"/>
      <c r="F23" s="36"/>
      <c r="G23" s="36"/>
      <c r="H23" s="324">
        <f t="shared" si="7"/>
        <v>0</v>
      </c>
      <c r="I23" s="129"/>
      <c r="J23" s="36">
        <f t="shared" si="0"/>
        <v>0</v>
      </c>
      <c r="K23" s="251"/>
      <c r="L23" s="251"/>
      <c r="M23" s="251"/>
      <c r="N23" s="37" t="str">
        <f t="shared" si="1"/>
        <v>Sonstige betriebliche Erträge</v>
      </c>
      <c r="O23" s="37" t="str">
        <f t="shared" si="2"/>
        <v>Other operating income</v>
      </c>
      <c r="P23" s="36"/>
      <c r="Q23" s="36"/>
      <c r="R23" s="36"/>
      <c r="S23" s="324">
        <f t="shared" si="8"/>
        <v>0</v>
      </c>
      <c r="T23" s="129"/>
      <c r="U23" s="36">
        <f t="shared" si="3"/>
        <v>0</v>
      </c>
      <c r="V23" s="251"/>
      <c r="W23" s="251"/>
      <c r="X23" s="251"/>
      <c r="Y23" s="37" t="str">
        <f t="shared" si="4"/>
        <v>Sonstige betriebliche Erträge</v>
      </c>
      <c r="Z23" s="37" t="str">
        <f t="shared" si="5"/>
        <v>Other operating income</v>
      </c>
      <c r="AA23" s="36"/>
      <c r="AB23" s="36"/>
      <c r="AC23" s="36"/>
      <c r="AD23" s="324">
        <f t="shared" si="9"/>
        <v>0</v>
      </c>
      <c r="AE23" s="129"/>
      <c r="AF23" s="36">
        <f t="shared" si="6"/>
        <v>0</v>
      </c>
      <c r="AG23" s="251"/>
    </row>
    <row r="24" spans="2:33" ht="11.25" hidden="1" customHeight="1" outlineLevel="2" x14ac:dyDescent="0.2">
      <c r="B24" s="251"/>
      <c r="C24" s="37" t="str">
        <f>+'Lead PL'!C39</f>
        <v>Sonstige betriebliche Aufwendungen</v>
      </c>
      <c r="D24" s="37" t="str">
        <f>+'Lead PL'!D39</f>
        <v>Other operating expenses</v>
      </c>
      <c r="E24" s="36"/>
      <c r="F24" s="36"/>
      <c r="G24" s="36"/>
      <c r="H24" s="324">
        <f t="shared" si="7"/>
        <v>0</v>
      </c>
      <c r="I24" s="129"/>
      <c r="J24" s="36">
        <f t="shared" si="0"/>
        <v>0</v>
      </c>
      <c r="K24" s="251"/>
      <c r="L24" s="251"/>
      <c r="M24" s="251"/>
      <c r="N24" s="37" t="str">
        <f t="shared" si="1"/>
        <v>Sonstige betriebliche Aufwendungen</v>
      </c>
      <c r="O24" s="37" t="str">
        <f t="shared" si="2"/>
        <v>Other operating expenses</v>
      </c>
      <c r="P24" s="36"/>
      <c r="Q24" s="36"/>
      <c r="R24" s="36"/>
      <c r="S24" s="324">
        <f t="shared" si="8"/>
        <v>0</v>
      </c>
      <c r="T24" s="129"/>
      <c r="U24" s="36">
        <f t="shared" si="3"/>
        <v>0</v>
      </c>
      <c r="V24" s="251"/>
      <c r="W24" s="251"/>
      <c r="X24" s="251"/>
      <c r="Y24" s="37" t="str">
        <f t="shared" si="4"/>
        <v>Sonstige betriebliche Aufwendungen</v>
      </c>
      <c r="Z24" s="37" t="str">
        <f t="shared" si="5"/>
        <v>Other operating expenses</v>
      </c>
      <c r="AA24" s="36"/>
      <c r="AB24" s="36"/>
      <c r="AC24" s="36"/>
      <c r="AD24" s="324">
        <f t="shared" si="9"/>
        <v>0</v>
      </c>
      <c r="AE24" s="129"/>
      <c r="AF24" s="36">
        <f t="shared" si="6"/>
        <v>0</v>
      </c>
      <c r="AG24" s="251"/>
    </row>
    <row r="25" spans="2:33" ht="11.25" hidden="1" customHeight="1" outlineLevel="2" x14ac:dyDescent="0.2">
      <c r="B25" s="251"/>
      <c r="C25" s="37" t="str">
        <f>+'Lead PL'!C40</f>
        <v>Dummy 1</v>
      </c>
      <c r="D25" s="37" t="str">
        <f>+'Lead PL'!D40</f>
        <v>Dummy 1</v>
      </c>
      <c r="E25" s="36"/>
      <c r="F25" s="36"/>
      <c r="G25" s="36"/>
      <c r="H25" s="324">
        <f t="shared" si="7"/>
        <v>0</v>
      </c>
      <c r="I25" s="129"/>
      <c r="J25" s="36">
        <f t="shared" si="0"/>
        <v>0</v>
      </c>
      <c r="K25" s="251"/>
      <c r="L25" s="251"/>
      <c r="M25" s="251"/>
      <c r="N25" s="37" t="str">
        <f t="shared" si="1"/>
        <v>Dummy 1</v>
      </c>
      <c r="O25" s="37" t="str">
        <f t="shared" si="2"/>
        <v>Dummy 1</v>
      </c>
      <c r="P25" s="36"/>
      <c r="Q25" s="36"/>
      <c r="R25" s="36"/>
      <c r="S25" s="324">
        <f t="shared" si="8"/>
        <v>0</v>
      </c>
      <c r="T25" s="129"/>
      <c r="U25" s="36">
        <f t="shared" si="3"/>
        <v>0</v>
      </c>
      <c r="V25" s="251"/>
      <c r="W25" s="251"/>
      <c r="X25" s="251"/>
      <c r="Y25" s="37" t="str">
        <f t="shared" si="4"/>
        <v>Dummy 1</v>
      </c>
      <c r="Z25" s="37" t="str">
        <f t="shared" si="5"/>
        <v>Dummy 1</v>
      </c>
      <c r="AA25" s="36"/>
      <c r="AB25" s="36"/>
      <c r="AC25" s="36"/>
      <c r="AD25" s="324">
        <f t="shared" si="9"/>
        <v>0</v>
      </c>
      <c r="AE25" s="129"/>
      <c r="AF25" s="36">
        <f t="shared" si="6"/>
        <v>0</v>
      </c>
      <c r="AG25" s="251"/>
    </row>
    <row r="26" spans="2:33" ht="11.25" hidden="1" customHeight="1" outlineLevel="2" x14ac:dyDescent="0.2">
      <c r="B26" s="251"/>
      <c r="C26" s="42" t="str">
        <f>+'Lead PL'!C41</f>
        <v>Dummy 2</v>
      </c>
      <c r="D26" s="42" t="str">
        <f>+'Lead PL'!D41</f>
        <v>Dummy 2</v>
      </c>
      <c r="E26" s="127"/>
      <c r="F26" s="127"/>
      <c r="G26" s="127"/>
      <c r="H26" s="345">
        <f t="shared" si="7"/>
        <v>0</v>
      </c>
      <c r="I26" s="135"/>
      <c r="J26" s="127">
        <f t="shared" si="0"/>
        <v>0</v>
      </c>
      <c r="K26" s="251"/>
      <c r="L26" s="251"/>
      <c r="M26" s="251"/>
      <c r="N26" s="42" t="str">
        <f t="shared" si="1"/>
        <v>Dummy 2</v>
      </c>
      <c r="O26" s="42" t="str">
        <f t="shared" si="2"/>
        <v>Dummy 2</v>
      </c>
      <c r="P26" s="127"/>
      <c r="Q26" s="127"/>
      <c r="R26" s="127"/>
      <c r="S26" s="345">
        <f t="shared" si="8"/>
        <v>0</v>
      </c>
      <c r="T26" s="135"/>
      <c r="U26" s="127">
        <f t="shared" si="3"/>
        <v>0</v>
      </c>
      <c r="V26" s="251"/>
      <c r="W26" s="251"/>
      <c r="X26" s="251"/>
      <c r="Y26" s="42" t="str">
        <f t="shared" si="4"/>
        <v>Dummy 2</v>
      </c>
      <c r="Z26" s="42" t="str">
        <f t="shared" si="5"/>
        <v>Dummy 2</v>
      </c>
      <c r="AA26" s="127"/>
      <c r="AB26" s="127"/>
      <c r="AC26" s="127"/>
      <c r="AD26" s="345">
        <f t="shared" si="9"/>
        <v>0</v>
      </c>
      <c r="AE26" s="135"/>
      <c r="AF26" s="127">
        <f t="shared" si="6"/>
        <v>0</v>
      </c>
      <c r="AG26" s="251"/>
    </row>
    <row r="27" spans="2:33" ht="11.25" customHeight="1" collapsed="1" x14ac:dyDescent="0.2">
      <c r="B27" s="251"/>
      <c r="C27" s="141" t="str">
        <f>+'Lead PL'!C43</f>
        <v>EBITDA</v>
      </c>
      <c r="D27" s="141" t="str">
        <f>+'Lead PL'!D43</f>
        <v>EBITDA</v>
      </c>
      <c r="E27" s="141">
        <f>SUM(E20:E26)</f>
        <v>0</v>
      </c>
      <c r="F27" s="141">
        <f>SUM(F20:F26)</f>
        <v>0</v>
      </c>
      <c r="G27" s="141">
        <f>SUM(G20:G26)</f>
        <v>0</v>
      </c>
      <c r="H27" s="344">
        <f>SUM(H20:H23)</f>
        <v>0</v>
      </c>
      <c r="I27" s="140">
        <f>SUM(I20:I26)</f>
        <v>0</v>
      </c>
      <c r="J27" s="141">
        <f t="shared" si="0"/>
        <v>0</v>
      </c>
      <c r="K27" s="251"/>
      <c r="L27" s="251"/>
      <c r="M27" s="251"/>
      <c r="N27" s="141" t="str">
        <f t="shared" si="1"/>
        <v>EBITDA</v>
      </c>
      <c r="O27" s="141" t="str">
        <f t="shared" si="2"/>
        <v>EBITDA</v>
      </c>
      <c r="P27" s="141">
        <f>SUM(P20:P26)</f>
        <v>0</v>
      </c>
      <c r="Q27" s="141">
        <f>SUM(Q20:Q26)</f>
        <v>0</v>
      </c>
      <c r="R27" s="141">
        <f>SUM(R20:R26)</f>
        <v>0</v>
      </c>
      <c r="S27" s="344">
        <f>SUM(S20:S23)</f>
        <v>0</v>
      </c>
      <c r="T27" s="140">
        <f>SUM(T20:T26)</f>
        <v>0</v>
      </c>
      <c r="U27" s="141">
        <f t="shared" si="3"/>
        <v>0</v>
      </c>
      <c r="V27" s="251"/>
      <c r="W27" s="251"/>
      <c r="X27" s="251"/>
      <c r="Y27" s="141" t="str">
        <f t="shared" si="4"/>
        <v>EBITDA</v>
      </c>
      <c r="Z27" s="141" t="str">
        <f t="shared" si="5"/>
        <v>EBITDA</v>
      </c>
      <c r="AA27" s="141">
        <f>SUM(AA20:AA26)</f>
        <v>0</v>
      </c>
      <c r="AB27" s="141">
        <f>SUM(AB20:AB26)</f>
        <v>0</v>
      </c>
      <c r="AC27" s="141">
        <f>SUM(AC20:AC26)</f>
        <v>0</v>
      </c>
      <c r="AD27" s="344">
        <f>SUM(AD20:AD23)</f>
        <v>0</v>
      </c>
      <c r="AE27" s="140">
        <f>SUM(AE20:AE26)</f>
        <v>0</v>
      </c>
      <c r="AF27" s="141">
        <f t="shared" si="6"/>
        <v>0</v>
      </c>
      <c r="AG27" s="251"/>
    </row>
    <row r="28" spans="2:33" ht="11.25" customHeight="1" x14ac:dyDescent="0.2">
      <c r="B28" s="251"/>
      <c r="C28" s="37" t="str">
        <f>+'Lead PL'!C44</f>
        <v>Abschreibungen</v>
      </c>
      <c r="D28" s="37" t="str">
        <f>+'Lead PL'!D44</f>
        <v>Depreciation</v>
      </c>
      <c r="E28" s="36"/>
      <c r="F28" s="36"/>
      <c r="G28" s="36"/>
      <c r="H28" s="324">
        <f>SUM(E28:G28)</f>
        <v>0</v>
      </c>
      <c r="I28" s="129"/>
      <c r="J28" s="36">
        <f t="shared" si="0"/>
        <v>0</v>
      </c>
      <c r="K28" s="251"/>
      <c r="L28" s="251"/>
      <c r="M28" s="251"/>
      <c r="N28" s="37" t="str">
        <f t="shared" si="1"/>
        <v>Abschreibungen</v>
      </c>
      <c r="O28" s="37" t="str">
        <f t="shared" si="2"/>
        <v>Depreciation</v>
      </c>
      <c r="P28" s="36"/>
      <c r="Q28" s="36"/>
      <c r="R28" s="36"/>
      <c r="S28" s="324">
        <f>SUM(P28:R28)</f>
        <v>0</v>
      </c>
      <c r="T28" s="129"/>
      <c r="U28" s="36">
        <f t="shared" si="3"/>
        <v>0</v>
      </c>
      <c r="V28" s="251"/>
      <c r="W28" s="251"/>
      <c r="X28" s="251"/>
      <c r="Y28" s="37" t="str">
        <f t="shared" si="4"/>
        <v>Abschreibungen</v>
      </c>
      <c r="Z28" s="37" t="str">
        <f t="shared" si="5"/>
        <v>Depreciation</v>
      </c>
      <c r="AA28" s="36"/>
      <c r="AB28" s="36"/>
      <c r="AC28" s="36"/>
      <c r="AD28" s="324">
        <f>SUM(AA28:AC28)</f>
        <v>0</v>
      </c>
      <c r="AE28" s="129"/>
      <c r="AF28" s="36">
        <f t="shared" si="6"/>
        <v>0</v>
      </c>
      <c r="AG28" s="251"/>
    </row>
    <row r="29" spans="2:33" ht="11.25" hidden="1" customHeight="1" outlineLevel="2" x14ac:dyDescent="0.2">
      <c r="B29" s="251"/>
      <c r="C29" s="37" t="str">
        <f>+'Lead PL'!C45</f>
        <v>Dummy 1</v>
      </c>
      <c r="D29" s="37" t="str">
        <f>+'Lead PL'!D45</f>
        <v>Dummy 1</v>
      </c>
      <c r="E29" s="36"/>
      <c r="F29" s="36"/>
      <c r="G29" s="36"/>
      <c r="H29" s="324">
        <f>SUM(E29:G29)</f>
        <v>0</v>
      </c>
      <c r="I29" s="129"/>
      <c r="J29" s="36">
        <f t="shared" si="0"/>
        <v>0</v>
      </c>
      <c r="K29" s="251"/>
      <c r="L29" s="251"/>
      <c r="M29" s="251"/>
      <c r="N29" s="37" t="str">
        <f t="shared" si="1"/>
        <v>Dummy 1</v>
      </c>
      <c r="O29" s="37" t="str">
        <f t="shared" si="2"/>
        <v>Dummy 1</v>
      </c>
      <c r="P29" s="36"/>
      <c r="Q29" s="36"/>
      <c r="R29" s="36"/>
      <c r="S29" s="324">
        <f>SUM(P29:R29)</f>
        <v>0</v>
      </c>
      <c r="T29" s="129"/>
      <c r="U29" s="36">
        <f t="shared" si="3"/>
        <v>0</v>
      </c>
      <c r="V29" s="251"/>
      <c r="W29" s="251"/>
      <c r="X29" s="251"/>
      <c r="Y29" s="37" t="str">
        <f t="shared" si="4"/>
        <v>Dummy 1</v>
      </c>
      <c r="Z29" s="37" t="str">
        <f t="shared" si="5"/>
        <v>Dummy 1</v>
      </c>
      <c r="AA29" s="36"/>
      <c r="AB29" s="36"/>
      <c r="AC29" s="36"/>
      <c r="AD29" s="324">
        <f>SUM(AA29:AC29)</f>
        <v>0</v>
      </c>
      <c r="AE29" s="129"/>
      <c r="AF29" s="36">
        <f t="shared" si="6"/>
        <v>0</v>
      </c>
      <c r="AG29" s="251"/>
    </row>
    <row r="30" spans="2:33" ht="11.25" hidden="1" customHeight="1" outlineLevel="2" x14ac:dyDescent="0.2">
      <c r="B30" s="251"/>
      <c r="C30" s="37" t="str">
        <f>+'Lead PL'!C46</f>
        <v>Dummy 2</v>
      </c>
      <c r="D30" s="37" t="str">
        <f>+'Lead PL'!D46</f>
        <v>Dummy 2</v>
      </c>
      <c r="E30" s="36"/>
      <c r="F30" s="36"/>
      <c r="G30" s="36"/>
      <c r="H30" s="324">
        <f>SUM(E30:G30)</f>
        <v>0</v>
      </c>
      <c r="I30" s="129"/>
      <c r="J30" s="36">
        <f t="shared" si="0"/>
        <v>0</v>
      </c>
      <c r="K30" s="251"/>
      <c r="L30" s="251"/>
      <c r="M30" s="251"/>
      <c r="N30" s="37" t="str">
        <f t="shared" si="1"/>
        <v>Dummy 2</v>
      </c>
      <c r="O30" s="37" t="str">
        <f t="shared" si="2"/>
        <v>Dummy 2</v>
      </c>
      <c r="P30" s="36"/>
      <c r="Q30" s="36"/>
      <c r="R30" s="36"/>
      <c r="S30" s="324">
        <f>SUM(P30:R30)</f>
        <v>0</v>
      </c>
      <c r="T30" s="129"/>
      <c r="U30" s="36">
        <f t="shared" si="3"/>
        <v>0</v>
      </c>
      <c r="V30" s="251"/>
      <c r="W30" s="251"/>
      <c r="X30" s="251"/>
      <c r="Y30" s="37" t="str">
        <f t="shared" si="4"/>
        <v>Dummy 2</v>
      </c>
      <c r="Z30" s="37" t="str">
        <f t="shared" si="5"/>
        <v>Dummy 2</v>
      </c>
      <c r="AA30" s="36"/>
      <c r="AB30" s="36"/>
      <c r="AC30" s="36"/>
      <c r="AD30" s="324">
        <f>SUM(AA30:AC30)</f>
        <v>0</v>
      </c>
      <c r="AE30" s="129"/>
      <c r="AF30" s="36">
        <f t="shared" si="6"/>
        <v>0</v>
      </c>
      <c r="AG30" s="251"/>
    </row>
    <row r="31" spans="2:33" ht="11.25" hidden="1" customHeight="1" outlineLevel="2" x14ac:dyDescent="0.2">
      <c r="B31" s="251"/>
      <c r="C31" s="42" t="str">
        <f>+'Lead PL'!C47</f>
        <v>Dummy 3</v>
      </c>
      <c r="D31" s="42" t="str">
        <f>+'Lead PL'!D47</f>
        <v>Dummy 3</v>
      </c>
      <c r="E31" s="127"/>
      <c r="F31" s="127"/>
      <c r="G31" s="127"/>
      <c r="H31" s="345">
        <f>SUM(E31:G31)</f>
        <v>0</v>
      </c>
      <c r="I31" s="135"/>
      <c r="J31" s="127">
        <f t="shared" si="0"/>
        <v>0</v>
      </c>
      <c r="K31" s="251"/>
      <c r="L31" s="251"/>
      <c r="M31" s="251"/>
      <c r="N31" s="42" t="str">
        <f t="shared" si="1"/>
        <v>Dummy 3</v>
      </c>
      <c r="O31" s="42" t="str">
        <f t="shared" si="2"/>
        <v>Dummy 3</v>
      </c>
      <c r="P31" s="127"/>
      <c r="Q31" s="127"/>
      <c r="R31" s="127"/>
      <c r="S31" s="345">
        <f>SUM(P31:R31)</f>
        <v>0</v>
      </c>
      <c r="T31" s="135"/>
      <c r="U31" s="127">
        <f t="shared" si="3"/>
        <v>0</v>
      </c>
      <c r="V31" s="251"/>
      <c r="W31" s="251"/>
      <c r="X31" s="251"/>
      <c r="Y31" s="42" t="str">
        <f t="shared" si="4"/>
        <v>Dummy 3</v>
      </c>
      <c r="Z31" s="42" t="str">
        <f t="shared" si="5"/>
        <v>Dummy 3</v>
      </c>
      <c r="AA31" s="127"/>
      <c r="AB31" s="127"/>
      <c r="AC31" s="127"/>
      <c r="AD31" s="345">
        <f>SUM(AA31:AC31)</f>
        <v>0</v>
      </c>
      <c r="AE31" s="135"/>
      <c r="AF31" s="127">
        <f t="shared" si="6"/>
        <v>0</v>
      </c>
      <c r="AG31" s="251"/>
    </row>
    <row r="32" spans="2:33" ht="11.25" customHeight="1" collapsed="1" x14ac:dyDescent="0.2">
      <c r="B32" s="251"/>
      <c r="C32" s="141" t="str">
        <f>+'Lead PL'!C48</f>
        <v>EBIT</v>
      </c>
      <c r="D32" s="141" t="str">
        <f>+'Lead PL'!D48</f>
        <v>EBIT</v>
      </c>
      <c r="E32" s="141">
        <f>SUM(E27:E31)</f>
        <v>0</v>
      </c>
      <c r="F32" s="141">
        <f>SUM(F27:F31)</f>
        <v>0</v>
      </c>
      <c r="G32" s="141">
        <f>SUM(G27:G31)</f>
        <v>0</v>
      </c>
      <c r="H32" s="344">
        <f>SUM(H27:H28)</f>
        <v>0</v>
      </c>
      <c r="I32" s="140">
        <f>SUM(I27:I31)</f>
        <v>0</v>
      </c>
      <c r="J32" s="141">
        <f t="shared" si="0"/>
        <v>0</v>
      </c>
      <c r="K32" s="251"/>
      <c r="L32" s="251"/>
      <c r="M32" s="251"/>
      <c r="N32" s="141" t="str">
        <f t="shared" si="1"/>
        <v>EBIT</v>
      </c>
      <c r="O32" s="141" t="str">
        <f t="shared" si="2"/>
        <v>EBIT</v>
      </c>
      <c r="P32" s="141">
        <f>SUM(P27:P31)</f>
        <v>0</v>
      </c>
      <c r="Q32" s="141">
        <f>SUM(Q27:Q31)</f>
        <v>0</v>
      </c>
      <c r="R32" s="141">
        <f>SUM(R27:R31)</f>
        <v>0</v>
      </c>
      <c r="S32" s="344">
        <f>SUM(S27:S28)</f>
        <v>0</v>
      </c>
      <c r="T32" s="140">
        <f>SUM(T27:T31)</f>
        <v>0</v>
      </c>
      <c r="U32" s="141">
        <f t="shared" si="3"/>
        <v>0</v>
      </c>
      <c r="V32" s="251"/>
      <c r="W32" s="251"/>
      <c r="X32" s="251"/>
      <c r="Y32" s="141" t="str">
        <f t="shared" si="4"/>
        <v>EBIT</v>
      </c>
      <c r="Z32" s="141" t="str">
        <f t="shared" si="5"/>
        <v>EBIT</v>
      </c>
      <c r="AA32" s="141">
        <f>SUM(AA27:AA31)</f>
        <v>0</v>
      </c>
      <c r="AB32" s="141">
        <f>SUM(AB27:AB31)</f>
        <v>0</v>
      </c>
      <c r="AC32" s="141">
        <f>SUM(AC27:AC31)</f>
        <v>0</v>
      </c>
      <c r="AD32" s="344">
        <f>SUM(AD27:AD28)</f>
        <v>0</v>
      </c>
      <c r="AE32" s="140">
        <f>SUM(AE27:AE31)</f>
        <v>0</v>
      </c>
      <c r="AF32" s="141">
        <f t="shared" si="6"/>
        <v>0</v>
      </c>
      <c r="AG32" s="251"/>
    </row>
    <row r="33" spans="2:33" ht="11.25" customHeight="1" outlineLevel="1" x14ac:dyDescent="0.2">
      <c r="B33" s="251"/>
      <c r="C33" s="138" t="str">
        <f>+'Lead PL'!C49</f>
        <v>Beteiligungsergebnis</v>
      </c>
      <c r="D33" s="138" t="str">
        <f>+'Lead PL'!D49</f>
        <v>Investment income</v>
      </c>
      <c r="E33" s="36"/>
      <c r="F33" s="36"/>
      <c r="G33" s="36"/>
      <c r="H33" s="324">
        <f t="shared" ref="H33:H38" si="10">SUM(E33:G33)</f>
        <v>0</v>
      </c>
      <c r="I33" s="129"/>
      <c r="J33" s="36">
        <f t="shared" si="0"/>
        <v>0</v>
      </c>
      <c r="K33" s="251"/>
      <c r="L33" s="251"/>
      <c r="M33" s="251"/>
      <c r="N33" s="138" t="str">
        <f t="shared" si="1"/>
        <v>Beteiligungsergebnis</v>
      </c>
      <c r="O33" s="138" t="str">
        <f t="shared" si="2"/>
        <v>Investment income</v>
      </c>
      <c r="P33" s="36"/>
      <c r="Q33" s="36"/>
      <c r="R33" s="36"/>
      <c r="S33" s="324">
        <f t="shared" ref="S33:S38" si="11">SUM(P33:R33)</f>
        <v>0</v>
      </c>
      <c r="T33" s="129"/>
      <c r="U33" s="36">
        <f t="shared" si="3"/>
        <v>0</v>
      </c>
      <c r="V33" s="251"/>
      <c r="W33" s="251"/>
      <c r="X33" s="251"/>
      <c r="Y33" s="138" t="str">
        <f t="shared" si="4"/>
        <v>Beteiligungsergebnis</v>
      </c>
      <c r="Z33" s="138" t="str">
        <f t="shared" si="5"/>
        <v>Investment income</v>
      </c>
      <c r="AA33" s="36"/>
      <c r="AB33" s="36"/>
      <c r="AC33" s="36"/>
      <c r="AD33" s="324">
        <f t="shared" ref="AD33:AD38" si="12">SUM(AA33:AC33)</f>
        <v>0</v>
      </c>
      <c r="AE33" s="129"/>
      <c r="AF33" s="36">
        <f t="shared" si="6"/>
        <v>0</v>
      </c>
      <c r="AG33" s="251"/>
    </row>
    <row r="34" spans="2:33" ht="11.25" customHeight="1" outlineLevel="1" x14ac:dyDescent="0.2">
      <c r="B34" s="251"/>
      <c r="C34" s="138" t="str">
        <f>+'Lead PL'!C50</f>
        <v>Zinserträge</v>
      </c>
      <c r="D34" s="138" t="str">
        <f>+'Lead PL'!D50</f>
        <v>Interest income</v>
      </c>
      <c r="E34" s="36"/>
      <c r="F34" s="36"/>
      <c r="G34" s="36"/>
      <c r="H34" s="324">
        <f t="shared" si="10"/>
        <v>0</v>
      </c>
      <c r="I34" s="129"/>
      <c r="J34" s="36">
        <f t="shared" si="0"/>
        <v>0</v>
      </c>
      <c r="K34" s="251"/>
      <c r="L34" s="251"/>
      <c r="M34" s="251"/>
      <c r="N34" s="138" t="str">
        <f t="shared" si="1"/>
        <v>Zinserträge</v>
      </c>
      <c r="O34" s="138" t="str">
        <f t="shared" si="2"/>
        <v>Interest income</v>
      </c>
      <c r="P34" s="36"/>
      <c r="Q34" s="36"/>
      <c r="R34" s="36"/>
      <c r="S34" s="324">
        <f t="shared" si="11"/>
        <v>0</v>
      </c>
      <c r="T34" s="129"/>
      <c r="U34" s="36">
        <f t="shared" si="3"/>
        <v>0</v>
      </c>
      <c r="V34" s="251"/>
      <c r="W34" s="251"/>
      <c r="X34" s="251"/>
      <c r="Y34" s="138" t="str">
        <f t="shared" si="4"/>
        <v>Zinserträge</v>
      </c>
      <c r="Z34" s="138" t="str">
        <f t="shared" si="5"/>
        <v>Interest income</v>
      </c>
      <c r="AA34" s="36"/>
      <c r="AB34" s="36"/>
      <c r="AC34" s="36"/>
      <c r="AD34" s="324">
        <f t="shared" si="12"/>
        <v>0</v>
      </c>
      <c r="AE34" s="129"/>
      <c r="AF34" s="36">
        <f t="shared" si="6"/>
        <v>0</v>
      </c>
      <c r="AG34" s="251"/>
    </row>
    <row r="35" spans="2:33" ht="11.25" customHeight="1" outlineLevel="1" x14ac:dyDescent="0.2">
      <c r="B35" s="251"/>
      <c r="C35" s="138" t="str">
        <f>+'Lead PL'!C51</f>
        <v>Zinsaufwendungen</v>
      </c>
      <c r="D35" s="138" t="str">
        <f>+'Lead PL'!D51</f>
        <v>Interest expenses</v>
      </c>
      <c r="E35" s="36"/>
      <c r="F35" s="36"/>
      <c r="G35" s="36"/>
      <c r="H35" s="324">
        <f t="shared" si="10"/>
        <v>0</v>
      </c>
      <c r="I35" s="129"/>
      <c r="J35" s="36">
        <f t="shared" si="0"/>
        <v>0</v>
      </c>
      <c r="K35" s="251"/>
      <c r="L35" s="251"/>
      <c r="M35" s="251"/>
      <c r="N35" s="138" t="str">
        <f t="shared" si="1"/>
        <v>Zinsaufwendungen</v>
      </c>
      <c r="O35" s="138" t="str">
        <f t="shared" si="2"/>
        <v>Interest expenses</v>
      </c>
      <c r="P35" s="36"/>
      <c r="Q35" s="36"/>
      <c r="R35" s="36"/>
      <c r="S35" s="324">
        <f t="shared" si="11"/>
        <v>0</v>
      </c>
      <c r="T35" s="129"/>
      <c r="U35" s="36">
        <f t="shared" si="3"/>
        <v>0</v>
      </c>
      <c r="V35" s="251"/>
      <c r="W35" s="251"/>
      <c r="X35" s="251"/>
      <c r="Y35" s="138" t="str">
        <f t="shared" si="4"/>
        <v>Zinsaufwendungen</v>
      </c>
      <c r="Z35" s="138" t="str">
        <f t="shared" si="5"/>
        <v>Interest expenses</v>
      </c>
      <c r="AA35" s="36"/>
      <c r="AB35" s="36"/>
      <c r="AC35" s="36"/>
      <c r="AD35" s="324">
        <f t="shared" si="12"/>
        <v>0</v>
      </c>
      <c r="AE35" s="129"/>
      <c r="AF35" s="36">
        <f t="shared" si="6"/>
        <v>0</v>
      </c>
      <c r="AG35" s="251"/>
    </row>
    <row r="36" spans="2:33" ht="11.25" hidden="1" customHeight="1" outlineLevel="2" x14ac:dyDescent="0.2">
      <c r="B36" s="251"/>
      <c r="C36" s="138" t="str">
        <f>+'Lead PL'!C52</f>
        <v>Abschreibungen auf Finanzanlagen</v>
      </c>
      <c r="D36" s="138" t="str">
        <f>+'Lead PL'!D52</f>
        <v>Abschreibungn auf Finanzanlagen</v>
      </c>
      <c r="E36" s="36"/>
      <c r="F36" s="36"/>
      <c r="G36" s="36"/>
      <c r="H36" s="324">
        <f t="shared" si="10"/>
        <v>0</v>
      </c>
      <c r="I36" s="129"/>
      <c r="J36" s="36">
        <f t="shared" si="0"/>
        <v>0</v>
      </c>
      <c r="K36" s="251"/>
      <c r="L36" s="251"/>
      <c r="M36" s="251"/>
      <c r="N36" s="138" t="str">
        <f t="shared" si="1"/>
        <v>Abschreibungen auf Finanzanlagen</v>
      </c>
      <c r="O36" s="138" t="str">
        <f t="shared" si="2"/>
        <v>Abschreibungn auf Finanzanlagen</v>
      </c>
      <c r="P36" s="36"/>
      <c r="Q36" s="36"/>
      <c r="R36" s="36"/>
      <c r="S36" s="324">
        <f t="shared" si="11"/>
        <v>0</v>
      </c>
      <c r="T36" s="129"/>
      <c r="U36" s="36">
        <f t="shared" si="3"/>
        <v>0</v>
      </c>
      <c r="V36" s="251"/>
      <c r="W36" s="251"/>
      <c r="X36" s="251"/>
      <c r="Y36" s="138" t="str">
        <f t="shared" si="4"/>
        <v>Abschreibungen auf Finanzanlagen</v>
      </c>
      <c r="Z36" s="138" t="str">
        <f t="shared" si="5"/>
        <v>Abschreibungn auf Finanzanlagen</v>
      </c>
      <c r="AA36" s="36"/>
      <c r="AB36" s="36"/>
      <c r="AC36" s="36"/>
      <c r="AD36" s="324">
        <f t="shared" si="12"/>
        <v>0</v>
      </c>
      <c r="AE36" s="129"/>
      <c r="AF36" s="36">
        <f t="shared" si="6"/>
        <v>0</v>
      </c>
      <c r="AG36" s="251"/>
    </row>
    <row r="37" spans="2:33" ht="11.25" hidden="1" customHeight="1" outlineLevel="2" x14ac:dyDescent="0.2">
      <c r="B37" s="251"/>
      <c r="C37" s="138" t="str">
        <f>+'Lead PL'!C53</f>
        <v>Dummy 2</v>
      </c>
      <c r="D37" s="138" t="str">
        <f>+'Lead PL'!D53</f>
        <v>Dummy 2</v>
      </c>
      <c r="E37" s="36"/>
      <c r="F37" s="36"/>
      <c r="G37" s="36"/>
      <c r="H37" s="324">
        <f t="shared" si="10"/>
        <v>0</v>
      </c>
      <c r="I37" s="129"/>
      <c r="J37" s="36">
        <f t="shared" si="0"/>
        <v>0</v>
      </c>
      <c r="K37" s="251"/>
      <c r="L37" s="251"/>
      <c r="M37" s="251"/>
      <c r="N37" s="138" t="str">
        <f t="shared" si="1"/>
        <v>Dummy 2</v>
      </c>
      <c r="O37" s="138" t="str">
        <f t="shared" si="2"/>
        <v>Dummy 2</v>
      </c>
      <c r="P37" s="36"/>
      <c r="Q37" s="36"/>
      <c r="R37" s="36"/>
      <c r="S37" s="324">
        <f t="shared" si="11"/>
        <v>0</v>
      </c>
      <c r="T37" s="129"/>
      <c r="U37" s="36">
        <f t="shared" si="3"/>
        <v>0</v>
      </c>
      <c r="V37" s="251"/>
      <c r="W37" s="251"/>
      <c r="X37" s="251"/>
      <c r="Y37" s="138" t="str">
        <f t="shared" si="4"/>
        <v>Dummy 2</v>
      </c>
      <c r="Z37" s="138" t="str">
        <f t="shared" si="5"/>
        <v>Dummy 2</v>
      </c>
      <c r="AA37" s="36"/>
      <c r="AB37" s="36"/>
      <c r="AC37" s="36"/>
      <c r="AD37" s="324">
        <f t="shared" si="12"/>
        <v>0</v>
      </c>
      <c r="AE37" s="129"/>
      <c r="AF37" s="36">
        <f t="shared" si="6"/>
        <v>0</v>
      </c>
      <c r="AG37" s="251"/>
    </row>
    <row r="38" spans="2:33" ht="11.25" hidden="1" customHeight="1" outlineLevel="2" x14ac:dyDescent="0.2">
      <c r="B38" s="251"/>
      <c r="C38" s="138" t="str">
        <f>+'Lead PL'!C54</f>
        <v>Dummy 3</v>
      </c>
      <c r="D38" s="138" t="str">
        <f>+'Lead PL'!D54</f>
        <v>Dummy 3</v>
      </c>
      <c r="E38" s="36"/>
      <c r="F38" s="36"/>
      <c r="G38" s="36"/>
      <c r="H38" s="324">
        <f t="shared" si="10"/>
        <v>0</v>
      </c>
      <c r="I38" s="129"/>
      <c r="J38" s="36">
        <f t="shared" si="0"/>
        <v>0</v>
      </c>
      <c r="K38" s="251"/>
      <c r="L38" s="251"/>
      <c r="M38" s="251"/>
      <c r="N38" s="138" t="str">
        <f t="shared" si="1"/>
        <v>Dummy 3</v>
      </c>
      <c r="O38" s="138" t="str">
        <f t="shared" si="2"/>
        <v>Dummy 3</v>
      </c>
      <c r="P38" s="36"/>
      <c r="Q38" s="36"/>
      <c r="R38" s="36"/>
      <c r="S38" s="324">
        <f t="shared" si="11"/>
        <v>0</v>
      </c>
      <c r="T38" s="129"/>
      <c r="U38" s="36">
        <f t="shared" si="3"/>
        <v>0</v>
      </c>
      <c r="V38" s="251"/>
      <c r="W38" s="251"/>
      <c r="X38" s="251"/>
      <c r="Y38" s="138" t="str">
        <f t="shared" si="4"/>
        <v>Dummy 3</v>
      </c>
      <c r="Z38" s="138" t="str">
        <f t="shared" si="5"/>
        <v>Dummy 3</v>
      </c>
      <c r="AA38" s="36"/>
      <c r="AB38" s="36"/>
      <c r="AC38" s="36"/>
      <c r="AD38" s="324">
        <f t="shared" si="12"/>
        <v>0</v>
      </c>
      <c r="AE38" s="129"/>
      <c r="AF38" s="36">
        <f t="shared" si="6"/>
        <v>0</v>
      </c>
      <c r="AG38" s="251"/>
    </row>
    <row r="39" spans="2:33" ht="11.25" customHeight="1" x14ac:dyDescent="0.2">
      <c r="B39" s="251"/>
      <c r="C39" s="42" t="str">
        <f>+'Lead PL'!C55</f>
        <v>Finanzergebnis</v>
      </c>
      <c r="D39" s="42" t="str">
        <f>+'Lead PL'!D55</f>
        <v>Financial result</v>
      </c>
      <c r="E39" s="127">
        <f>SUM(E33:E38)</f>
        <v>0</v>
      </c>
      <c r="F39" s="127">
        <f>SUM(F33:F38)</f>
        <v>0</v>
      </c>
      <c r="G39" s="127">
        <f>SUM(G33:G38)</f>
        <v>0</v>
      </c>
      <c r="H39" s="345">
        <f>SUM(H33:H35)</f>
        <v>0</v>
      </c>
      <c r="I39" s="135">
        <f>SUM(I33:I38)</f>
        <v>0</v>
      </c>
      <c r="J39" s="127">
        <f t="shared" si="0"/>
        <v>0</v>
      </c>
      <c r="K39" s="251"/>
      <c r="L39" s="251"/>
      <c r="M39" s="251"/>
      <c r="N39" s="42" t="str">
        <f t="shared" si="1"/>
        <v>Finanzergebnis</v>
      </c>
      <c r="O39" s="42" t="str">
        <f t="shared" si="2"/>
        <v>Financial result</v>
      </c>
      <c r="P39" s="127">
        <f>SUM(P33:P38)</f>
        <v>0</v>
      </c>
      <c r="Q39" s="127">
        <f>SUM(Q33:Q38)</f>
        <v>0</v>
      </c>
      <c r="R39" s="127">
        <f>SUM(R33:R38)</f>
        <v>0</v>
      </c>
      <c r="S39" s="345">
        <f>SUM(S33:S35)</f>
        <v>0</v>
      </c>
      <c r="T39" s="135">
        <f>SUM(T33:T38)</f>
        <v>0</v>
      </c>
      <c r="U39" s="127">
        <f t="shared" si="3"/>
        <v>0</v>
      </c>
      <c r="V39" s="251"/>
      <c r="W39" s="251"/>
      <c r="X39" s="251"/>
      <c r="Y39" s="42" t="str">
        <f t="shared" si="4"/>
        <v>Finanzergebnis</v>
      </c>
      <c r="Z39" s="42" t="str">
        <f t="shared" si="5"/>
        <v>Financial result</v>
      </c>
      <c r="AA39" s="127">
        <f>SUM(AA33:AA38)</f>
        <v>0</v>
      </c>
      <c r="AB39" s="127">
        <f>SUM(AB33:AB38)</f>
        <v>0</v>
      </c>
      <c r="AC39" s="127">
        <f>SUM(AC33:AC38)</f>
        <v>0</v>
      </c>
      <c r="AD39" s="345">
        <f>SUM(AD33:AD35)</f>
        <v>0</v>
      </c>
      <c r="AE39" s="135">
        <f>SUM(AE33:AE38)</f>
        <v>0</v>
      </c>
      <c r="AF39" s="127">
        <f t="shared" si="6"/>
        <v>0</v>
      </c>
      <c r="AG39" s="251"/>
    </row>
    <row r="40" spans="2:33" ht="11.25" customHeight="1" x14ac:dyDescent="0.2">
      <c r="B40" s="251"/>
      <c r="C40" s="144" t="str">
        <f>+'Lead PL'!C56</f>
        <v>EBT</v>
      </c>
      <c r="D40" s="144" t="str">
        <f>+'Lead PL'!D56</f>
        <v>EBT</v>
      </c>
      <c r="E40" s="144">
        <f>E39+E32</f>
        <v>0</v>
      </c>
      <c r="F40" s="144">
        <f>F39+F32</f>
        <v>0</v>
      </c>
      <c r="G40" s="144">
        <f>G39+G32</f>
        <v>0</v>
      </c>
      <c r="H40" s="346">
        <f>SUM(H32,H39)</f>
        <v>0</v>
      </c>
      <c r="I40" s="143">
        <f>I39+I32</f>
        <v>0</v>
      </c>
      <c r="J40" s="144">
        <f t="shared" si="0"/>
        <v>0</v>
      </c>
      <c r="K40" s="251"/>
      <c r="L40" s="251"/>
      <c r="M40" s="251"/>
      <c r="N40" s="144" t="str">
        <f t="shared" si="1"/>
        <v>EBT</v>
      </c>
      <c r="O40" s="144" t="str">
        <f t="shared" si="2"/>
        <v>EBT</v>
      </c>
      <c r="P40" s="144">
        <f>P39+P32</f>
        <v>0</v>
      </c>
      <c r="Q40" s="144">
        <f>Q39+Q32</f>
        <v>0</v>
      </c>
      <c r="R40" s="144">
        <f>R39+R32</f>
        <v>0</v>
      </c>
      <c r="S40" s="346">
        <f>SUM(S32,S39)</f>
        <v>0</v>
      </c>
      <c r="T40" s="143">
        <f>T39+T32</f>
        <v>0</v>
      </c>
      <c r="U40" s="144">
        <f t="shared" si="3"/>
        <v>0</v>
      </c>
      <c r="V40" s="251"/>
      <c r="W40" s="251"/>
      <c r="X40" s="251"/>
      <c r="Y40" s="144" t="str">
        <f t="shared" si="4"/>
        <v>EBT</v>
      </c>
      <c r="Z40" s="144" t="str">
        <f t="shared" si="5"/>
        <v>EBT</v>
      </c>
      <c r="AA40" s="144">
        <f>AA39+AA32</f>
        <v>0</v>
      </c>
      <c r="AB40" s="144">
        <f>AB39+AB32</f>
        <v>0</v>
      </c>
      <c r="AC40" s="144">
        <f>AC39+AC32</f>
        <v>0</v>
      </c>
      <c r="AD40" s="346">
        <f>SUM(AD32,AD39)</f>
        <v>0</v>
      </c>
      <c r="AE40" s="143">
        <f>AE39+AE32</f>
        <v>0</v>
      </c>
      <c r="AF40" s="144">
        <f t="shared" si="6"/>
        <v>0</v>
      </c>
      <c r="AG40" s="251"/>
    </row>
    <row r="41" spans="2:33" ht="11.25" customHeight="1" x14ac:dyDescent="0.2">
      <c r="B41" s="251"/>
      <c r="C41" s="37" t="str">
        <f>+'Lead PL'!C57</f>
        <v>Ertragssteuern</v>
      </c>
      <c r="D41" s="37" t="str">
        <f>+'Lead PL'!D57</f>
        <v>Income taxes</v>
      </c>
      <c r="E41" s="36"/>
      <c r="F41" s="36"/>
      <c r="G41" s="36"/>
      <c r="H41" s="324">
        <f>SUM(E41:G41)</f>
        <v>0</v>
      </c>
      <c r="I41" s="129"/>
      <c r="J41" s="36">
        <f t="shared" si="0"/>
        <v>0</v>
      </c>
      <c r="K41" s="251"/>
      <c r="L41" s="251"/>
      <c r="M41" s="251"/>
      <c r="N41" s="37" t="str">
        <f t="shared" si="1"/>
        <v>Ertragssteuern</v>
      </c>
      <c r="O41" s="37" t="str">
        <f t="shared" si="2"/>
        <v>Income taxes</v>
      </c>
      <c r="P41" s="36"/>
      <c r="Q41" s="36"/>
      <c r="R41" s="36"/>
      <c r="S41" s="324">
        <f>SUM(P41:R41)</f>
        <v>0</v>
      </c>
      <c r="T41" s="129"/>
      <c r="U41" s="36">
        <f t="shared" si="3"/>
        <v>0</v>
      </c>
      <c r="V41" s="251"/>
      <c r="W41" s="251"/>
      <c r="X41" s="251"/>
      <c r="Y41" s="37" t="str">
        <f t="shared" si="4"/>
        <v>Ertragssteuern</v>
      </c>
      <c r="Z41" s="37" t="str">
        <f t="shared" si="5"/>
        <v>Income taxes</v>
      </c>
      <c r="AA41" s="36"/>
      <c r="AB41" s="36"/>
      <c r="AC41" s="36"/>
      <c r="AD41" s="324">
        <f>SUM(AA41:AC41)</f>
        <v>0</v>
      </c>
      <c r="AE41" s="129"/>
      <c r="AF41" s="36">
        <f t="shared" si="6"/>
        <v>0</v>
      </c>
      <c r="AG41" s="251"/>
    </row>
    <row r="42" spans="2:33" ht="11.25" customHeight="1" x14ac:dyDescent="0.2">
      <c r="B42" s="251"/>
      <c r="C42" s="42" t="str">
        <f>+'Lead PL'!C58</f>
        <v>Sonstige Steuern</v>
      </c>
      <c r="D42" s="42" t="str">
        <f>+'Lead PL'!D58</f>
        <v>Other taxes</v>
      </c>
      <c r="E42" s="127"/>
      <c r="F42" s="127"/>
      <c r="G42" s="127"/>
      <c r="H42" s="345">
        <f>SUM(E42:G42)</f>
        <v>0</v>
      </c>
      <c r="I42" s="135"/>
      <c r="J42" s="127">
        <f t="shared" si="0"/>
        <v>0</v>
      </c>
      <c r="K42" s="251"/>
      <c r="L42" s="251"/>
      <c r="M42" s="251"/>
      <c r="N42" s="42" t="str">
        <f t="shared" si="1"/>
        <v>Sonstige Steuern</v>
      </c>
      <c r="O42" s="42" t="str">
        <f t="shared" si="2"/>
        <v>Other taxes</v>
      </c>
      <c r="P42" s="127"/>
      <c r="Q42" s="127"/>
      <c r="R42" s="127"/>
      <c r="S42" s="345">
        <f>SUM(P42:R42)</f>
        <v>0</v>
      </c>
      <c r="T42" s="135"/>
      <c r="U42" s="127">
        <f t="shared" si="3"/>
        <v>0</v>
      </c>
      <c r="V42" s="251"/>
      <c r="W42" s="251"/>
      <c r="X42" s="251"/>
      <c r="Y42" s="42" t="str">
        <f t="shared" si="4"/>
        <v>Sonstige Steuern</v>
      </c>
      <c r="Z42" s="42" t="str">
        <f t="shared" si="5"/>
        <v>Other taxes</v>
      </c>
      <c r="AA42" s="127"/>
      <c r="AB42" s="127"/>
      <c r="AC42" s="127"/>
      <c r="AD42" s="345">
        <f>SUM(AA42:AC42)</f>
        <v>0</v>
      </c>
      <c r="AE42" s="135"/>
      <c r="AF42" s="127">
        <f t="shared" si="6"/>
        <v>0</v>
      </c>
      <c r="AG42" s="251"/>
    </row>
    <row r="43" spans="2:33" ht="11.25" customHeight="1" x14ac:dyDescent="0.2">
      <c r="B43" s="251"/>
      <c r="C43" s="174" t="str">
        <f>+'Lead PL'!C59</f>
        <v>Jahresüberschuss</v>
      </c>
      <c r="D43" s="174" t="str">
        <f>+'Lead PL'!D59</f>
        <v>Profit / Loss</v>
      </c>
      <c r="E43" s="172">
        <f>SUM(E40:E42)</f>
        <v>0</v>
      </c>
      <c r="F43" s="172">
        <f>SUM(F40:F42)</f>
        <v>0</v>
      </c>
      <c r="G43" s="172">
        <f>SUM(G40:G42)</f>
        <v>0</v>
      </c>
      <c r="H43" s="347">
        <f>SUM(H40:H42)</f>
        <v>0</v>
      </c>
      <c r="I43" s="170">
        <f>SUM(I40:I42)</f>
        <v>0</v>
      </c>
      <c r="J43" s="172">
        <f t="shared" si="0"/>
        <v>0</v>
      </c>
      <c r="K43" s="251"/>
      <c r="L43" s="251"/>
      <c r="M43" s="251"/>
      <c r="N43" s="174" t="str">
        <f t="shared" si="1"/>
        <v>Jahresüberschuss</v>
      </c>
      <c r="O43" s="174" t="str">
        <f t="shared" si="2"/>
        <v>Profit / Loss</v>
      </c>
      <c r="P43" s="172">
        <f>SUM(P40:P42)</f>
        <v>0</v>
      </c>
      <c r="Q43" s="172">
        <f>SUM(Q40:Q42)</f>
        <v>0</v>
      </c>
      <c r="R43" s="172">
        <f>SUM(R40:R42)</f>
        <v>0</v>
      </c>
      <c r="S43" s="347">
        <f>SUM(S40:S42)</f>
        <v>0</v>
      </c>
      <c r="T43" s="170">
        <f>SUM(T40:T42)</f>
        <v>0</v>
      </c>
      <c r="U43" s="172">
        <f t="shared" si="3"/>
        <v>0</v>
      </c>
      <c r="V43" s="251"/>
      <c r="W43" s="251"/>
      <c r="X43" s="251"/>
      <c r="Y43" s="174" t="str">
        <f t="shared" si="4"/>
        <v>Jahresüberschuss</v>
      </c>
      <c r="Z43" s="174" t="str">
        <f t="shared" si="5"/>
        <v>Profit / Loss</v>
      </c>
      <c r="AA43" s="172">
        <f>SUM(AA40:AA42)</f>
        <v>0</v>
      </c>
      <c r="AB43" s="172">
        <f>SUM(AB40:AB42)</f>
        <v>0</v>
      </c>
      <c r="AC43" s="172">
        <f>SUM(AC40:AC42)</f>
        <v>0</v>
      </c>
      <c r="AD43" s="347">
        <f>SUM(AD40:AD42)</f>
        <v>0</v>
      </c>
      <c r="AE43" s="170">
        <f>SUM(AE40:AE42)</f>
        <v>0</v>
      </c>
      <c r="AF43" s="172">
        <f t="shared" si="6"/>
        <v>0</v>
      </c>
      <c r="AG43" s="251"/>
    </row>
    <row r="44" spans="2:33" ht="4.5" customHeight="1" x14ac:dyDescent="0.2">
      <c r="B44" s="251"/>
      <c r="C44" s="82"/>
      <c r="D44" s="82"/>
      <c r="E44" s="36"/>
      <c r="F44" s="36"/>
      <c r="G44" s="36"/>
      <c r="H44" s="324"/>
      <c r="I44" s="129"/>
      <c r="J44" s="36"/>
      <c r="K44" s="251"/>
      <c r="L44" s="251"/>
      <c r="M44" s="251"/>
      <c r="N44" s="82"/>
      <c r="O44" s="82"/>
      <c r="P44" s="36"/>
      <c r="Q44" s="36"/>
      <c r="R44" s="36"/>
      <c r="S44" s="324"/>
      <c r="T44" s="129"/>
      <c r="U44" s="36"/>
      <c r="V44" s="251"/>
      <c r="W44" s="251"/>
      <c r="X44" s="251"/>
      <c r="Y44" s="82"/>
      <c r="Z44" s="82"/>
      <c r="AA44" s="36"/>
      <c r="AB44" s="36"/>
      <c r="AC44" s="36"/>
      <c r="AD44" s="324"/>
      <c r="AE44" s="129"/>
      <c r="AF44" s="36"/>
      <c r="AG44" s="251"/>
    </row>
    <row r="45" spans="2:33" ht="11.25" customHeight="1" x14ac:dyDescent="0.2">
      <c r="B45" s="251"/>
      <c r="C45" s="76" t="str">
        <f>"Quelle: "&amp;Cockpit!$C$7</f>
        <v>Quelle: Datenraum/ eigene Analysen</v>
      </c>
      <c r="D45" s="76" t="str">
        <f>"Source: "&amp;Cockpit!$C$8</f>
        <v>Source: Virtual Data Room/ Company Information</v>
      </c>
      <c r="E45" s="76"/>
      <c r="F45" s="76"/>
      <c r="G45" s="76"/>
      <c r="H45" s="125"/>
      <c r="I45" s="126"/>
      <c r="J45" s="127"/>
      <c r="K45" s="251"/>
      <c r="L45" s="251"/>
      <c r="M45" s="251"/>
      <c r="N45" s="76" t="str">
        <f>"Quelle: "&amp;Cockpit!$C$7</f>
        <v>Quelle: Datenraum/ eigene Analysen</v>
      </c>
      <c r="O45" s="76" t="str">
        <f>"Source: "&amp;Cockpit!$C$8</f>
        <v>Source: Virtual Data Room/ Company Information</v>
      </c>
      <c r="P45" s="76"/>
      <c r="Q45" s="76"/>
      <c r="R45" s="76"/>
      <c r="S45" s="125"/>
      <c r="T45" s="126"/>
      <c r="U45" s="127"/>
      <c r="V45" s="251"/>
      <c r="W45" s="251"/>
      <c r="X45" s="251"/>
      <c r="Y45" s="76" t="str">
        <f>"Quelle: "&amp;Cockpit!$C$7</f>
        <v>Quelle: Datenraum/ eigene Analysen</v>
      </c>
      <c r="Z45" s="76" t="str">
        <f>"Source: "&amp;Cockpit!$C$8</f>
        <v>Source: Virtual Data Room/ Company Information</v>
      </c>
      <c r="AA45" s="76"/>
      <c r="AB45" s="76"/>
      <c r="AC45" s="76"/>
      <c r="AD45" s="125"/>
      <c r="AE45" s="126"/>
      <c r="AF45" s="127"/>
      <c r="AG45" s="251"/>
    </row>
    <row r="46" spans="2:33" ht="11.25" customHeight="1" x14ac:dyDescent="0.2">
      <c r="B46" s="251"/>
      <c r="C46" s="251"/>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251"/>
      <c r="AB46" s="251"/>
      <c r="AC46" s="251"/>
      <c r="AD46" s="251"/>
      <c r="AE46" s="251"/>
      <c r="AF46" s="251"/>
      <c r="AG46" s="251"/>
    </row>
    <row r="47" spans="2:33" ht="11.25" customHeight="1" x14ac:dyDescent="0.2"/>
    <row r="48" spans="2:33" x14ac:dyDescent="0.2">
      <c r="C48" s="72" t="s">
        <v>235</v>
      </c>
      <c r="D48" s="72" t="s">
        <v>234</v>
      </c>
      <c r="E48" s="71"/>
      <c r="F48" s="71"/>
      <c r="G48" s="71"/>
      <c r="H48" s="71"/>
      <c r="I48" s="71"/>
      <c r="J48" s="71"/>
      <c r="O48" s="72" t="s">
        <v>234</v>
      </c>
      <c r="P48" s="71"/>
      <c r="Q48" s="71"/>
      <c r="R48" s="71"/>
      <c r="S48" s="71"/>
      <c r="T48" s="71"/>
      <c r="U48" s="71"/>
      <c r="Z48" s="72" t="s">
        <v>234</v>
      </c>
      <c r="AA48" s="71"/>
      <c r="AB48" s="71"/>
      <c r="AC48" s="71"/>
      <c r="AD48" s="71"/>
      <c r="AE48" s="71"/>
      <c r="AF48" s="71"/>
    </row>
    <row r="49" spans="3:32" x14ac:dyDescent="0.2">
      <c r="C49" s="70" t="s">
        <v>233</v>
      </c>
      <c r="D49" s="69" t="s">
        <v>233</v>
      </c>
      <c r="E49" s="68">
        <f t="shared" ref="E49:J49" si="13">E48-E43</f>
        <v>0</v>
      </c>
      <c r="F49" s="68">
        <f t="shared" si="13"/>
        <v>0</v>
      </c>
      <c r="G49" s="68">
        <f t="shared" si="13"/>
        <v>0</v>
      </c>
      <c r="H49" s="68">
        <f t="shared" si="13"/>
        <v>0</v>
      </c>
      <c r="I49" s="68">
        <f t="shared" si="13"/>
        <v>0</v>
      </c>
      <c r="J49" s="68">
        <f t="shared" si="13"/>
        <v>0</v>
      </c>
      <c r="O49" s="69" t="s">
        <v>233</v>
      </c>
      <c r="P49" s="68">
        <f t="shared" ref="P49:U49" si="14">P48-P43</f>
        <v>0</v>
      </c>
      <c r="Q49" s="68">
        <f t="shared" si="14"/>
        <v>0</v>
      </c>
      <c r="R49" s="68">
        <f t="shared" si="14"/>
        <v>0</v>
      </c>
      <c r="S49" s="68">
        <f t="shared" si="14"/>
        <v>0</v>
      </c>
      <c r="T49" s="68">
        <f t="shared" si="14"/>
        <v>0</v>
      </c>
      <c r="U49" s="68">
        <f t="shared" si="14"/>
        <v>0</v>
      </c>
      <c r="Z49" s="69" t="s">
        <v>233</v>
      </c>
      <c r="AA49" s="68">
        <f t="shared" ref="AA49:AF49" si="15">AA48-AA43</f>
        <v>0</v>
      </c>
      <c r="AB49" s="68">
        <f t="shared" si="15"/>
        <v>0</v>
      </c>
      <c r="AC49" s="68">
        <f t="shared" si="15"/>
        <v>0</v>
      </c>
      <c r="AD49" s="68">
        <f t="shared" si="15"/>
        <v>0</v>
      </c>
      <c r="AE49" s="68">
        <f t="shared" si="15"/>
        <v>0</v>
      </c>
      <c r="AF49" s="68">
        <f t="shared" si="15"/>
        <v>0</v>
      </c>
    </row>
  </sheetData>
  <mergeCells count="12">
    <mergeCell ref="E7:G7"/>
    <mergeCell ref="P7:R7"/>
    <mergeCell ref="AA7:AC7"/>
    <mergeCell ref="E8:G8"/>
    <mergeCell ref="P8:R8"/>
    <mergeCell ref="AA8:AC8"/>
    <mergeCell ref="E4:G4"/>
    <mergeCell ref="P4:R4"/>
    <mergeCell ref="AA4:AC4"/>
    <mergeCell ref="E5:G5"/>
    <mergeCell ref="P5:R5"/>
    <mergeCell ref="AA5:AC5"/>
  </mergeCells>
  <conditionalFormatting sqref="E49:J49">
    <cfRule type="cellIs" dxfId="142" priority="37" operator="between">
      <formula>-1</formula>
      <formula>1</formula>
    </cfRule>
    <cfRule type="cellIs" dxfId="141" priority="38" operator="lessThan">
      <formula>-1</formula>
    </cfRule>
    <cfRule type="cellIs" dxfId="140" priority="39" operator="greaterThan">
      <formula>1</formula>
    </cfRule>
  </conditionalFormatting>
  <conditionalFormatting sqref="P49:U49">
    <cfRule type="cellIs" dxfId="139" priority="19" operator="between">
      <formula>-1</formula>
      <formula>1</formula>
    </cfRule>
    <cfRule type="cellIs" dxfId="138" priority="20" operator="lessThan">
      <formula>-1</formula>
    </cfRule>
    <cfRule type="cellIs" dxfId="137" priority="21" operator="greaterThan">
      <formula>1</formula>
    </cfRule>
  </conditionalFormatting>
  <conditionalFormatting sqref="AA49:AF49">
    <cfRule type="cellIs" dxfId="136" priority="1" operator="between">
      <formula>-1</formula>
      <formula>1</formula>
    </cfRule>
    <cfRule type="cellIs" dxfId="135" priority="2" operator="lessThan">
      <formula>-1</formula>
    </cfRule>
    <cfRule type="cellIs" dxfId="134" priority="3" operator="greaterThan">
      <formula>1</formula>
    </cfRule>
  </conditionalFormatting>
  <pageMargins left="0.7" right="0.7" top="0.78740157499999996" bottom="0.78740157499999996"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D2FF-51EF-45C3-9289-DE41AD40994F}">
  <sheetPr>
    <tabColor rgb="FFFF0000"/>
  </sheetPr>
  <dimension ref="B1:T85"/>
  <sheetViews>
    <sheetView topLeftCell="A2" workbookViewId="0"/>
  </sheetViews>
  <sheetFormatPr defaultColWidth="11.28515625" defaultRowHeight="12" outlineLevelRow="3" outlineLevelCol="2" x14ac:dyDescent="0.2"/>
  <cols>
    <col min="1" max="1" width="11.28515625" style="1"/>
    <col min="2" max="2" width="0.85546875" style="1" hidden="1" customWidth="1" outlineLevel="2"/>
    <col min="3" max="3" width="29.140625" style="1" hidden="1" customWidth="1" outlineLevel="2"/>
    <col min="4" max="4" width="29.140625" style="1" customWidth="1" collapsed="1"/>
    <col min="5" max="5" width="9.42578125" style="249" customWidth="1"/>
    <col min="6" max="8" width="9.42578125" style="1" customWidth="1"/>
    <col min="9" max="9" width="0.85546875" style="1" customWidth="1"/>
    <col min="10" max="10" width="9.42578125" style="249" customWidth="1"/>
    <col min="11" max="13" width="9.42578125" style="1" customWidth="1"/>
    <col min="14" max="14" width="0.85546875" style="1" customWidth="1"/>
    <col min="15" max="15" width="9.42578125" style="249" customWidth="1"/>
    <col min="16" max="18" width="9.42578125" style="1" customWidth="1"/>
    <col min="19" max="19" width="0.85546875" style="1" hidden="1" customWidth="1" outlineLevel="2"/>
    <col min="20" max="20" width="11.28515625" style="1" collapsed="1"/>
    <col min="21" max="16384" width="11.28515625" style="1"/>
  </cols>
  <sheetData>
    <row r="1" spans="2:19" hidden="1" outlineLevel="3" x14ac:dyDescent="0.2"/>
    <row r="2" spans="2:19" ht="11.25" customHeight="1" collapsed="1" x14ac:dyDescent="0.2"/>
    <row r="3" spans="2:19" ht="10.5" customHeight="1" x14ac:dyDescent="0.2">
      <c r="B3" s="251"/>
      <c r="S3" s="251"/>
    </row>
    <row r="4" spans="2:19" ht="11.25" hidden="1" customHeight="1" outlineLevel="3" x14ac:dyDescent="0.2">
      <c r="B4" s="251"/>
      <c r="C4" s="236" t="str">
        <f>Cockpit!$C$4</f>
        <v>Projekt Namur</v>
      </c>
      <c r="D4" s="236"/>
      <c r="E4" s="1000">
        <f>'Lead PL'!F6</f>
        <v>44926</v>
      </c>
      <c r="F4" s="1000"/>
      <c r="G4" s="1000"/>
      <c r="H4" s="1000"/>
      <c r="I4" s="363"/>
      <c r="J4" s="1000">
        <f>'Lead PL'!G6</f>
        <v>45291</v>
      </c>
      <c r="K4" s="1000"/>
      <c r="L4" s="1000"/>
      <c r="M4" s="1000"/>
      <c r="N4" s="363"/>
      <c r="O4" s="1000">
        <f>'Lead PL'!H6</f>
        <v>45657</v>
      </c>
      <c r="P4" s="1000"/>
      <c r="Q4" s="1000"/>
      <c r="R4" s="1000"/>
      <c r="S4" s="251"/>
    </row>
    <row r="5" spans="2:19" ht="11.25" hidden="1" customHeight="1" outlineLevel="3" x14ac:dyDescent="0.2">
      <c r="B5" s="251"/>
      <c r="C5" s="236"/>
      <c r="D5" s="236"/>
      <c r="E5" s="362" t="str">
        <f>Cockpit!$C$27</f>
        <v>Plan</v>
      </c>
      <c r="F5" s="361" t="str">
        <f>Cockpit!$C$19</f>
        <v>IST</v>
      </c>
      <c r="G5" s="1018" t="s">
        <v>650</v>
      </c>
      <c r="H5" s="1018"/>
      <c r="I5" s="360"/>
      <c r="J5" s="362" t="str">
        <f>Cockpit!$C$27</f>
        <v>Plan</v>
      </c>
      <c r="K5" s="361" t="str">
        <f>Cockpit!$C$19</f>
        <v>IST</v>
      </c>
      <c r="L5" s="1018" t="s">
        <v>650</v>
      </c>
      <c r="M5" s="1018"/>
      <c r="N5" s="360"/>
      <c r="O5" s="362" t="str">
        <f>Cockpit!$C$27</f>
        <v>Plan</v>
      </c>
      <c r="P5" s="361" t="str">
        <f>Cockpit!$C$19</f>
        <v>IST</v>
      </c>
      <c r="Q5" s="1018" t="s">
        <v>650</v>
      </c>
      <c r="R5" s="1018"/>
      <c r="S5" s="251"/>
    </row>
    <row r="6" spans="2:19" ht="11.25" hidden="1" customHeight="1" outlineLevel="3" x14ac:dyDescent="0.2">
      <c r="B6" s="251"/>
      <c r="C6" s="236" t="str">
        <f>"in T"&amp;Cockpit!$C$5</f>
        <v>in TEUR</v>
      </c>
      <c r="D6" s="236"/>
      <c r="E6" s="359">
        <f>$E$7</f>
        <v>44926</v>
      </c>
      <c r="F6" s="358">
        <f>$E$7</f>
        <v>44926</v>
      </c>
      <c r="G6" s="357" t="str">
        <f>$C$6</f>
        <v>in TEUR</v>
      </c>
      <c r="H6" s="357" t="s">
        <v>648</v>
      </c>
      <c r="I6" s="360"/>
      <c r="J6" s="359">
        <f>$J$7</f>
        <v>45291</v>
      </c>
      <c r="K6" s="358">
        <f>$J$7</f>
        <v>45291</v>
      </c>
      <c r="L6" s="357" t="str">
        <f>$C$6</f>
        <v>in TEUR</v>
      </c>
      <c r="M6" s="357" t="s">
        <v>648</v>
      </c>
      <c r="N6" s="360"/>
      <c r="O6" s="359">
        <f>$O$7</f>
        <v>45657</v>
      </c>
      <c r="P6" s="358">
        <f>$O$7</f>
        <v>45657</v>
      </c>
      <c r="Q6" s="357" t="str">
        <f>$C$6</f>
        <v>in TEUR</v>
      </c>
      <c r="R6" s="357" t="s">
        <v>648</v>
      </c>
      <c r="S6" s="251"/>
    </row>
    <row r="7" spans="2:19" ht="11.25" customHeight="1" collapsed="1" x14ac:dyDescent="0.2">
      <c r="B7" s="251"/>
      <c r="C7" s="232"/>
      <c r="D7" s="232" t="str">
        <f>Cockpit!$C$4</f>
        <v>Projekt Namur</v>
      </c>
      <c r="E7" s="1019">
        <f>'Lead PL'!F6</f>
        <v>44926</v>
      </c>
      <c r="F7" s="1019"/>
      <c r="G7" s="1019"/>
      <c r="H7" s="1019"/>
      <c r="I7" s="263"/>
      <c r="J7" s="1019">
        <f>'Lead PL'!G6</f>
        <v>45291</v>
      </c>
      <c r="K7" s="1019"/>
      <c r="L7" s="1019"/>
      <c r="M7" s="1019"/>
      <c r="N7" s="263"/>
      <c r="O7" s="1019">
        <f>'Lead PL'!H6</f>
        <v>45657</v>
      </c>
      <c r="P7" s="1019"/>
      <c r="Q7" s="1019"/>
      <c r="R7" s="1019"/>
      <c r="S7" s="251"/>
    </row>
    <row r="8" spans="2:19" ht="11.25" customHeight="1" x14ac:dyDescent="0.2">
      <c r="B8" s="251"/>
      <c r="C8" s="232"/>
      <c r="D8" s="232"/>
      <c r="E8" s="354" t="str">
        <f>Cockpit!$C$27</f>
        <v>Plan</v>
      </c>
      <c r="F8" s="355" t="str">
        <f>Cockpit!$C$19</f>
        <v>IST</v>
      </c>
      <c r="G8" s="1020" t="s">
        <v>649</v>
      </c>
      <c r="H8" s="1020"/>
      <c r="I8" s="356"/>
      <c r="J8" s="354" t="str">
        <f>Cockpit!$C$27</f>
        <v>Plan</v>
      </c>
      <c r="K8" s="355" t="str">
        <f>Cockpit!$C$19</f>
        <v>IST</v>
      </c>
      <c r="L8" s="1020" t="s">
        <v>649</v>
      </c>
      <c r="M8" s="1020"/>
      <c r="N8" s="356"/>
      <c r="O8" s="354" t="str">
        <f>Cockpit!$C$27</f>
        <v>Plan</v>
      </c>
      <c r="P8" s="355" t="str">
        <f>Cockpit!$C$19</f>
        <v>IST</v>
      </c>
      <c r="Q8" s="1020" t="s">
        <v>649</v>
      </c>
      <c r="R8" s="1020"/>
      <c r="S8" s="251"/>
    </row>
    <row r="9" spans="2:19" ht="11.25" customHeight="1" x14ac:dyDescent="0.2">
      <c r="B9" s="251"/>
      <c r="C9" s="232"/>
      <c r="D9" s="232" t="str">
        <f>"in k"&amp;Cockpit!$C$5</f>
        <v>in kEUR</v>
      </c>
      <c r="E9" s="354">
        <f>$E$7</f>
        <v>44926</v>
      </c>
      <c r="F9" s="233">
        <f>$E$7</f>
        <v>44926</v>
      </c>
      <c r="G9" s="233" t="str">
        <f>$D$9</f>
        <v>in kEUR</v>
      </c>
      <c r="H9" s="233" t="s">
        <v>648</v>
      </c>
      <c r="I9" s="260"/>
      <c r="J9" s="354">
        <f>$J$7</f>
        <v>45291</v>
      </c>
      <c r="K9" s="233">
        <f>$J$7</f>
        <v>45291</v>
      </c>
      <c r="L9" s="233" t="str">
        <f>$D9</f>
        <v>in kEUR</v>
      </c>
      <c r="M9" s="233" t="s">
        <v>648</v>
      </c>
      <c r="N9" s="260"/>
      <c r="O9" s="354">
        <f>$O$7</f>
        <v>45657</v>
      </c>
      <c r="P9" s="233">
        <f>$O$7</f>
        <v>45657</v>
      </c>
      <c r="Q9" s="233" t="str">
        <f>$D$9</f>
        <v>in kEUR</v>
      </c>
      <c r="R9" s="233" t="s">
        <v>648</v>
      </c>
      <c r="S9" s="251"/>
    </row>
    <row r="10" spans="2:19" ht="4.5" customHeight="1" x14ac:dyDescent="0.2">
      <c r="B10" s="251"/>
      <c r="C10" s="37"/>
      <c r="D10" s="37"/>
      <c r="E10" s="37"/>
      <c r="F10" s="37"/>
      <c r="G10" s="37"/>
      <c r="H10" s="37"/>
      <c r="I10" s="37"/>
      <c r="J10" s="37"/>
      <c r="K10" s="37"/>
      <c r="L10" s="37"/>
      <c r="M10" s="37"/>
      <c r="N10" s="37"/>
      <c r="O10" s="37"/>
      <c r="P10" s="37"/>
      <c r="Q10" s="37"/>
      <c r="R10" s="37"/>
      <c r="S10" s="251"/>
    </row>
    <row r="11" spans="2:19" ht="11.25" customHeight="1" x14ac:dyDescent="0.2">
      <c r="B11" s="251"/>
      <c r="C11" s="37" t="str">
        <f>'Lead PL'!C9</f>
        <v>Umsatzerlöse</v>
      </c>
      <c r="D11" s="37" t="str">
        <f>'Lead PL'!D9</f>
        <v>Revenues</v>
      </c>
      <c r="E11" s="128"/>
      <c r="F11" s="36"/>
      <c r="G11" s="36">
        <f t="shared" ref="G11:G43" si="0">F11-E11</f>
        <v>0</v>
      </c>
      <c r="H11" s="81" t="str">
        <f t="shared" ref="H11:H43" si="1">IFERROR(F11/E11,"n/a")</f>
        <v>n/a</v>
      </c>
      <c r="I11" s="36"/>
      <c r="J11" s="128"/>
      <c r="K11" s="36"/>
      <c r="L11" s="36">
        <f t="shared" ref="L11:L43" si="2">K11-J11</f>
        <v>0</v>
      </c>
      <c r="M11" s="81" t="str">
        <f t="shared" ref="M11:M43" si="3">IFERROR(K11/J11,"n/a")</f>
        <v>n/a</v>
      </c>
      <c r="N11" s="36"/>
      <c r="O11" s="128"/>
      <c r="P11" s="36"/>
      <c r="Q11" s="36">
        <f t="shared" ref="Q11:Q43" si="4">P11-O11</f>
        <v>0</v>
      </c>
      <c r="R11" s="81" t="str">
        <f t="shared" ref="R11:R43" si="5">IFERROR(P11/O11,"n/a")</f>
        <v>n/a</v>
      </c>
      <c r="S11" s="251"/>
    </row>
    <row r="12" spans="2:19" ht="11.25" hidden="1" customHeight="1" outlineLevel="2" x14ac:dyDescent="0.2">
      <c r="B12" s="251"/>
      <c r="C12" s="37" t="str">
        <f>'Lead PL'!C19</f>
        <v>Bestandsveränderung</v>
      </c>
      <c r="D12" s="37" t="str">
        <f>'Lead PL'!D19</f>
        <v>Change in inventory</v>
      </c>
      <c r="E12" s="128"/>
      <c r="F12" s="36"/>
      <c r="G12" s="36">
        <f t="shared" si="0"/>
        <v>0</v>
      </c>
      <c r="H12" s="81" t="str">
        <f t="shared" si="1"/>
        <v>n/a</v>
      </c>
      <c r="I12" s="36"/>
      <c r="J12" s="128"/>
      <c r="K12" s="36"/>
      <c r="L12" s="36">
        <f t="shared" si="2"/>
        <v>0</v>
      </c>
      <c r="M12" s="81" t="str">
        <f t="shared" si="3"/>
        <v>n/a</v>
      </c>
      <c r="N12" s="36"/>
      <c r="O12" s="128"/>
      <c r="P12" s="36"/>
      <c r="Q12" s="36">
        <f t="shared" si="4"/>
        <v>0</v>
      </c>
      <c r="R12" s="81" t="str">
        <f t="shared" si="5"/>
        <v>n/a</v>
      </c>
      <c r="S12" s="251"/>
    </row>
    <row r="13" spans="2:19" ht="11.25" hidden="1" customHeight="1" outlineLevel="2" x14ac:dyDescent="0.2">
      <c r="B13" s="251"/>
      <c r="C13" s="37" t="str">
        <f>'Lead PL'!C22</f>
        <v>Dummy 2</v>
      </c>
      <c r="D13" s="37" t="str">
        <f>'Lead PL'!D22</f>
        <v>Dummy 2</v>
      </c>
      <c r="E13" s="128"/>
      <c r="F13" s="36"/>
      <c r="G13" s="36">
        <f t="shared" si="0"/>
        <v>0</v>
      </c>
      <c r="H13" s="81" t="str">
        <f t="shared" si="1"/>
        <v>n/a</v>
      </c>
      <c r="I13" s="36"/>
      <c r="J13" s="128"/>
      <c r="K13" s="36"/>
      <c r="L13" s="36">
        <f t="shared" si="2"/>
        <v>0</v>
      </c>
      <c r="M13" s="81" t="str">
        <f t="shared" si="3"/>
        <v>n/a</v>
      </c>
      <c r="N13" s="36"/>
      <c r="O13" s="128"/>
      <c r="P13" s="36"/>
      <c r="Q13" s="36">
        <f t="shared" si="4"/>
        <v>0</v>
      </c>
      <c r="R13" s="81" t="str">
        <f t="shared" si="5"/>
        <v>n/a</v>
      </c>
      <c r="S13" s="251"/>
    </row>
    <row r="14" spans="2:19" ht="11.25" hidden="1" customHeight="1" outlineLevel="2" x14ac:dyDescent="0.2">
      <c r="B14" s="251"/>
      <c r="C14" s="42" t="str">
        <f>'Lead PL'!C23</f>
        <v>Dummy 3</v>
      </c>
      <c r="D14" s="42" t="str">
        <f>'Lead PL'!D23</f>
        <v>Dummy 3</v>
      </c>
      <c r="E14" s="134"/>
      <c r="F14" s="127"/>
      <c r="G14" s="127">
        <f t="shared" si="0"/>
        <v>0</v>
      </c>
      <c r="H14" s="41" t="str">
        <f t="shared" si="1"/>
        <v>n/a</v>
      </c>
      <c r="I14" s="36"/>
      <c r="J14" s="134"/>
      <c r="K14" s="127"/>
      <c r="L14" s="127">
        <f t="shared" si="2"/>
        <v>0</v>
      </c>
      <c r="M14" s="41" t="str">
        <f t="shared" si="3"/>
        <v>n/a</v>
      </c>
      <c r="N14" s="36"/>
      <c r="O14" s="134"/>
      <c r="P14" s="127"/>
      <c r="Q14" s="127">
        <f t="shared" si="4"/>
        <v>0</v>
      </c>
      <c r="R14" s="41" t="str">
        <f t="shared" si="5"/>
        <v>n/a</v>
      </c>
      <c r="S14" s="251"/>
    </row>
    <row r="15" spans="2:19" ht="11.25" customHeight="1" collapsed="1" x14ac:dyDescent="0.2">
      <c r="B15" s="251"/>
      <c r="C15" s="257" t="str">
        <f>'Lead PL'!C24</f>
        <v>Gesamtleistung</v>
      </c>
      <c r="D15" s="257" t="str">
        <f>'Lead PL'!D24</f>
        <v>Total output</v>
      </c>
      <c r="E15" s="139">
        <f>SUM(E11:E14)</f>
        <v>0</v>
      </c>
      <c r="F15" s="141">
        <f>SUM(F11:F14)</f>
        <v>0</v>
      </c>
      <c r="G15" s="141">
        <f t="shared" si="0"/>
        <v>0</v>
      </c>
      <c r="H15" s="244" t="str">
        <f t="shared" si="1"/>
        <v>n/a</v>
      </c>
      <c r="I15" s="36"/>
      <c r="J15" s="139">
        <f>SUM(J11:J14)</f>
        <v>0</v>
      </c>
      <c r="K15" s="141">
        <f>SUM(K11:K14)</f>
        <v>0</v>
      </c>
      <c r="L15" s="141">
        <f t="shared" si="2"/>
        <v>0</v>
      </c>
      <c r="M15" s="244" t="str">
        <f t="shared" si="3"/>
        <v>n/a</v>
      </c>
      <c r="N15" s="36"/>
      <c r="O15" s="139">
        <f>SUM(O11:O14)</f>
        <v>0</v>
      </c>
      <c r="P15" s="141">
        <f>SUM(P11:P14)</f>
        <v>0</v>
      </c>
      <c r="Q15" s="141">
        <f t="shared" si="4"/>
        <v>0</v>
      </c>
      <c r="R15" s="244" t="str">
        <f t="shared" si="5"/>
        <v>n/a</v>
      </c>
      <c r="S15" s="251"/>
    </row>
    <row r="16" spans="2:19" ht="11.25" customHeight="1" x14ac:dyDescent="0.2">
      <c r="B16" s="251"/>
      <c r="C16" s="37" t="str">
        <f>'Lead PL'!C25</f>
        <v>Materialaufwand</v>
      </c>
      <c r="D16" s="37" t="str">
        <f>'Lead PL'!D25</f>
        <v>Cost of materials</v>
      </c>
      <c r="E16" s="128"/>
      <c r="F16" s="36"/>
      <c r="G16" s="36">
        <f t="shared" si="0"/>
        <v>0</v>
      </c>
      <c r="H16" s="81" t="str">
        <f t="shared" si="1"/>
        <v>n/a</v>
      </c>
      <c r="I16" s="36"/>
      <c r="J16" s="128"/>
      <c r="K16" s="36"/>
      <c r="L16" s="36">
        <f t="shared" si="2"/>
        <v>0</v>
      </c>
      <c r="M16" s="81" t="str">
        <f t="shared" si="3"/>
        <v>n/a</v>
      </c>
      <c r="N16" s="36"/>
      <c r="O16" s="128"/>
      <c r="P16" s="36"/>
      <c r="Q16" s="36">
        <f t="shared" si="4"/>
        <v>0</v>
      </c>
      <c r="R16" s="81" t="str">
        <f t="shared" si="5"/>
        <v>n/a</v>
      </c>
      <c r="S16" s="251"/>
    </row>
    <row r="17" spans="2:19" ht="11.25" hidden="1" customHeight="1" outlineLevel="2" x14ac:dyDescent="0.2">
      <c r="B17" s="251"/>
      <c r="C17" s="37" t="str">
        <f>'Lead PL'!C26</f>
        <v>RHB-Aufwand</v>
      </c>
      <c r="D17" s="37" t="str">
        <f>'Lead PL'!D26</f>
        <v>Dummy 1</v>
      </c>
      <c r="E17" s="128"/>
      <c r="F17" s="36"/>
      <c r="G17" s="36">
        <f t="shared" si="0"/>
        <v>0</v>
      </c>
      <c r="H17" s="81" t="str">
        <f t="shared" si="1"/>
        <v>n/a</v>
      </c>
      <c r="I17" s="36"/>
      <c r="J17" s="128"/>
      <c r="K17" s="36"/>
      <c r="L17" s="36">
        <f t="shared" si="2"/>
        <v>0</v>
      </c>
      <c r="M17" s="81" t="str">
        <f t="shared" si="3"/>
        <v>n/a</v>
      </c>
      <c r="N17" s="36"/>
      <c r="O17" s="128"/>
      <c r="P17" s="36"/>
      <c r="Q17" s="36">
        <f t="shared" si="4"/>
        <v>0</v>
      </c>
      <c r="R17" s="81" t="str">
        <f t="shared" si="5"/>
        <v>n/a</v>
      </c>
      <c r="S17" s="251"/>
    </row>
    <row r="18" spans="2:19" ht="11.25" hidden="1" customHeight="1" outlineLevel="2" x14ac:dyDescent="0.2">
      <c r="B18" s="251"/>
      <c r="C18" s="37" t="str">
        <f>'Lead PL'!C27</f>
        <v>Fremdleistungen</v>
      </c>
      <c r="D18" s="37" t="str">
        <f>'Lead PL'!D27</f>
        <v>Dummy 2</v>
      </c>
      <c r="E18" s="128"/>
      <c r="F18" s="36"/>
      <c r="G18" s="36">
        <f t="shared" si="0"/>
        <v>0</v>
      </c>
      <c r="H18" s="81" t="str">
        <f t="shared" si="1"/>
        <v>n/a</v>
      </c>
      <c r="I18" s="36"/>
      <c r="J18" s="128"/>
      <c r="K18" s="36"/>
      <c r="L18" s="36">
        <f t="shared" si="2"/>
        <v>0</v>
      </c>
      <c r="M18" s="81" t="str">
        <f t="shared" si="3"/>
        <v>n/a</v>
      </c>
      <c r="N18" s="36"/>
      <c r="O18" s="128"/>
      <c r="P18" s="36"/>
      <c r="Q18" s="36">
        <f t="shared" si="4"/>
        <v>0</v>
      </c>
      <c r="R18" s="81" t="str">
        <f t="shared" si="5"/>
        <v>n/a</v>
      </c>
      <c r="S18" s="251"/>
    </row>
    <row r="19" spans="2:19" ht="11.25" hidden="1" customHeight="1" outlineLevel="2" x14ac:dyDescent="0.2">
      <c r="B19" s="251"/>
      <c r="C19" s="42" t="str">
        <f>'Lead PL'!C28</f>
        <v>Dummy 3</v>
      </c>
      <c r="D19" s="42" t="str">
        <f>'Lead PL'!D28</f>
        <v>Dummy 3</v>
      </c>
      <c r="E19" s="134"/>
      <c r="F19" s="127"/>
      <c r="G19" s="127">
        <f t="shared" si="0"/>
        <v>0</v>
      </c>
      <c r="H19" s="41" t="str">
        <f t="shared" si="1"/>
        <v>n/a</v>
      </c>
      <c r="I19" s="36"/>
      <c r="J19" s="134"/>
      <c r="K19" s="127"/>
      <c r="L19" s="127">
        <f t="shared" si="2"/>
        <v>0</v>
      </c>
      <c r="M19" s="41" t="str">
        <f t="shared" si="3"/>
        <v>n/a</v>
      </c>
      <c r="N19" s="36"/>
      <c r="O19" s="134"/>
      <c r="P19" s="127"/>
      <c r="Q19" s="127">
        <f t="shared" si="4"/>
        <v>0</v>
      </c>
      <c r="R19" s="41" t="str">
        <f t="shared" si="5"/>
        <v>n/a</v>
      </c>
      <c r="S19" s="251"/>
    </row>
    <row r="20" spans="2:19" ht="11.25" customHeight="1" collapsed="1" x14ac:dyDescent="0.2">
      <c r="B20" s="251"/>
      <c r="C20" s="257" t="str">
        <f>'Lead PL'!C29</f>
        <v>Rohergebnis</v>
      </c>
      <c r="D20" s="257" t="str">
        <f>'Lead PL'!D29</f>
        <v>Gross profit</v>
      </c>
      <c r="E20" s="139">
        <f>SUM(E15:E19)</f>
        <v>0</v>
      </c>
      <c r="F20" s="141">
        <f>SUM(F15:F19)</f>
        <v>0</v>
      </c>
      <c r="G20" s="141">
        <f t="shared" si="0"/>
        <v>0</v>
      </c>
      <c r="H20" s="244" t="str">
        <f t="shared" si="1"/>
        <v>n/a</v>
      </c>
      <c r="I20" s="36"/>
      <c r="J20" s="139">
        <f>SUM(J15:J19)</f>
        <v>0</v>
      </c>
      <c r="K20" s="141">
        <f>SUM(K15:K19)</f>
        <v>0</v>
      </c>
      <c r="L20" s="141">
        <f t="shared" si="2"/>
        <v>0</v>
      </c>
      <c r="M20" s="244" t="str">
        <f t="shared" si="3"/>
        <v>n/a</v>
      </c>
      <c r="N20" s="36"/>
      <c r="O20" s="139">
        <f>SUM(O15:O19)</f>
        <v>0</v>
      </c>
      <c r="P20" s="141">
        <f>SUM(P15:P19)</f>
        <v>0</v>
      </c>
      <c r="Q20" s="141">
        <f t="shared" si="4"/>
        <v>0</v>
      </c>
      <c r="R20" s="244" t="str">
        <f t="shared" si="5"/>
        <v>n/a</v>
      </c>
      <c r="S20" s="251"/>
    </row>
    <row r="21" spans="2:19" ht="11.25" customHeight="1" x14ac:dyDescent="0.2">
      <c r="B21" s="251"/>
      <c r="C21" s="37" t="str">
        <f>'Lead PL'!C30</f>
        <v>Personalaufwand</v>
      </c>
      <c r="D21" s="37" t="str">
        <f>'Lead PL'!D30</f>
        <v>Personnel expenses</v>
      </c>
      <c r="E21" s="128"/>
      <c r="F21" s="36"/>
      <c r="G21" s="36">
        <f t="shared" si="0"/>
        <v>0</v>
      </c>
      <c r="H21" s="81" t="str">
        <f t="shared" si="1"/>
        <v>n/a</v>
      </c>
      <c r="I21" s="36"/>
      <c r="J21" s="128"/>
      <c r="K21" s="36"/>
      <c r="L21" s="36">
        <f t="shared" si="2"/>
        <v>0</v>
      </c>
      <c r="M21" s="81" t="str">
        <f t="shared" si="3"/>
        <v>n/a</v>
      </c>
      <c r="N21" s="36"/>
      <c r="O21" s="128"/>
      <c r="P21" s="36"/>
      <c r="Q21" s="36">
        <f t="shared" si="4"/>
        <v>0</v>
      </c>
      <c r="R21" s="81" t="str">
        <f t="shared" si="5"/>
        <v>n/a</v>
      </c>
      <c r="S21" s="251"/>
    </row>
    <row r="22" spans="2:19" ht="11.25" customHeight="1" x14ac:dyDescent="0.2">
      <c r="B22" s="251"/>
      <c r="C22" s="37" t="str">
        <f>'Lead PL'!C31</f>
        <v>Miet- und Grundstücksaufwendungen</v>
      </c>
      <c r="D22" s="37" t="str">
        <f>'Lead PL'!D31</f>
        <v>Premise costs</v>
      </c>
      <c r="E22" s="128"/>
      <c r="F22" s="36"/>
      <c r="G22" s="36">
        <f t="shared" si="0"/>
        <v>0</v>
      </c>
      <c r="H22" s="81" t="str">
        <f t="shared" si="1"/>
        <v>n/a</v>
      </c>
      <c r="I22" s="36"/>
      <c r="J22" s="128"/>
      <c r="K22" s="36"/>
      <c r="L22" s="36">
        <f t="shared" si="2"/>
        <v>0</v>
      </c>
      <c r="M22" s="81" t="str">
        <f t="shared" si="3"/>
        <v>n/a</v>
      </c>
      <c r="N22" s="36"/>
      <c r="O22" s="128"/>
      <c r="P22" s="36"/>
      <c r="Q22" s="36">
        <f t="shared" si="4"/>
        <v>0</v>
      </c>
      <c r="R22" s="81" t="str">
        <f t="shared" si="5"/>
        <v>n/a</v>
      </c>
      <c r="S22" s="251"/>
    </row>
    <row r="23" spans="2:19" ht="11.25" customHeight="1" x14ac:dyDescent="0.2">
      <c r="B23" s="251"/>
      <c r="C23" s="37" t="str">
        <f>'Lead PL'!C38</f>
        <v>Sonstige betriebliche Erträge</v>
      </c>
      <c r="D23" s="37" t="str">
        <f>'Lead PL'!D38</f>
        <v>Other operating income</v>
      </c>
      <c r="E23" s="128"/>
      <c r="F23" s="36"/>
      <c r="G23" s="36">
        <f t="shared" si="0"/>
        <v>0</v>
      </c>
      <c r="H23" s="81" t="str">
        <f t="shared" si="1"/>
        <v>n/a</v>
      </c>
      <c r="I23" s="36"/>
      <c r="J23" s="128"/>
      <c r="K23" s="36"/>
      <c r="L23" s="36">
        <f t="shared" si="2"/>
        <v>0</v>
      </c>
      <c r="M23" s="81" t="str">
        <f t="shared" si="3"/>
        <v>n/a</v>
      </c>
      <c r="N23" s="36"/>
      <c r="O23" s="128"/>
      <c r="P23" s="36"/>
      <c r="Q23" s="36">
        <f t="shared" si="4"/>
        <v>0</v>
      </c>
      <c r="R23" s="81" t="str">
        <f t="shared" si="5"/>
        <v>n/a</v>
      </c>
      <c r="S23" s="251"/>
    </row>
    <row r="24" spans="2:19" ht="11.25" hidden="1" customHeight="1" outlineLevel="2" x14ac:dyDescent="0.2">
      <c r="B24" s="251"/>
      <c r="C24" s="37" t="str">
        <f>'Lead PL'!C39</f>
        <v>Sonstige betriebliche Aufwendungen</v>
      </c>
      <c r="D24" s="37" t="str">
        <f>'Lead PL'!D39</f>
        <v>Other operating expenses</v>
      </c>
      <c r="E24" s="128"/>
      <c r="F24" s="36"/>
      <c r="G24" s="36">
        <f t="shared" si="0"/>
        <v>0</v>
      </c>
      <c r="H24" s="81" t="str">
        <f t="shared" si="1"/>
        <v>n/a</v>
      </c>
      <c r="I24" s="36"/>
      <c r="J24" s="128"/>
      <c r="K24" s="36"/>
      <c r="L24" s="36">
        <f t="shared" si="2"/>
        <v>0</v>
      </c>
      <c r="M24" s="81" t="str">
        <f t="shared" si="3"/>
        <v>n/a</v>
      </c>
      <c r="N24" s="36"/>
      <c r="O24" s="128"/>
      <c r="P24" s="36"/>
      <c r="Q24" s="36">
        <f t="shared" si="4"/>
        <v>0</v>
      </c>
      <c r="R24" s="81" t="str">
        <f t="shared" si="5"/>
        <v>n/a</v>
      </c>
      <c r="S24" s="251"/>
    </row>
    <row r="25" spans="2:19" ht="11.25" hidden="1" customHeight="1" outlineLevel="2" x14ac:dyDescent="0.2">
      <c r="B25" s="251"/>
      <c r="C25" s="37" t="str">
        <f>'Lead PL'!C40</f>
        <v>Dummy 1</v>
      </c>
      <c r="D25" s="37" t="str">
        <f>'Lead PL'!D40</f>
        <v>Dummy 1</v>
      </c>
      <c r="E25" s="128"/>
      <c r="F25" s="36"/>
      <c r="G25" s="36">
        <f t="shared" si="0"/>
        <v>0</v>
      </c>
      <c r="H25" s="81" t="str">
        <f t="shared" si="1"/>
        <v>n/a</v>
      </c>
      <c r="I25" s="36"/>
      <c r="J25" s="128"/>
      <c r="K25" s="36"/>
      <c r="L25" s="36">
        <f t="shared" si="2"/>
        <v>0</v>
      </c>
      <c r="M25" s="81" t="str">
        <f t="shared" si="3"/>
        <v>n/a</v>
      </c>
      <c r="N25" s="36"/>
      <c r="O25" s="128"/>
      <c r="P25" s="36"/>
      <c r="Q25" s="36">
        <f t="shared" si="4"/>
        <v>0</v>
      </c>
      <c r="R25" s="81" t="str">
        <f t="shared" si="5"/>
        <v>n/a</v>
      </c>
      <c r="S25" s="251"/>
    </row>
    <row r="26" spans="2:19" ht="11.25" hidden="1" customHeight="1" outlineLevel="2" x14ac:dyDescent="0.2">
      <c r="B26" s="251"/>
      <c r="C26" s="42" t="str">
        <f>'Lead PL'!C41</f>
        <v>Dummy 2</v>
      </c>
      <c r="D26" s="42" t="str">
        <f>'Lead PL'!D41</f>
        <v>Dummy 2</v>
      </c>
      <c r="E26" s="134"/>
      <c r="F26" s="127"/>
      <c r="G26" s="127">
        <f t="shared" si="0"/>
        <v>0</v>
      </c>
      <c r="H26" s="41" t="str">
        <f t="shared" si="1"/>
        <v>n/a</v>
      </c>
      <c r="I26" s="36"/>
      <c r="J26" s="134"/>
      <c r="K26" s="127"/>
      <c r="L26" s="127">
        <f t="shared" si="2"/>
        <v>0</v>
      </c>
      <c r="M26" s="41" t="str">
        <f t="shared" si="3"/>
        <v>n/a</v>
      </c>
      <c r="N26" s="36"/>
      <c r="O26" s="134"/>
      <c r="P26" s="127"/>
      <c r="Q26" s="127">
        <f t="shared" si="4"/>
        <v>0</v>
      </c>
      <c r="R26" s="41" t="str">
        <f t="shared" si="5"/>
        <v>n/a</v>
      </c>
      <c r="S26" s="251"/>
    </row>
    <row r="27" spans="2:19" ht="11.25" customHeight="1" collapsed="1" x14ac:dyDescent="0.2">
      <c r="B27" s="251"/>
      <c r="C27" s="257" t="str">
        <f>'Lead PL'!C43</f>
        <v>EBITDA</v>
      </c>
      <c r="D27" s="257" t="str">
        <f>'Lead PL'!D43</f>
        <v>EBITDA</v>
      </c>
      <c r="E27" s="139">
        <f>SUM(E20:E26)</f>
        <v>0</v>
      </c>
      <c r="F27" s="141">
        <f>SUM(F20:F26)</f>
        <v>0</v>
      </c>
      <c r="G27" s="141">
        <f t="shared" si="0"/>
        <v>0</v>
      </c>
      <c r="H27" s="244" t="str">
        <f t="shared" si="1"/>
        <v>n/a</v>
      </c>
      <c r="I27" s="36"/>
      <c r="J27" s="139">
        <f>SUM(J20:J26)</f>
        <v>0</v>
      </c>
      <c r="K27" s="141">
        <f>SUM(K20:K26)</f>
        <v>0</v>
      </c>
      <c r="L27" s="141">
        <f t="shared" si="2"/>
        <v>0</v>
      </c>
      <c r="M27" s="244" t="str">
        <f t="shared" si="3"/>
        <v>n/a</v>
      </c>
      <c r="N27" s="36"/>
      <c r="O27" s="139">
        <f>SUM(O20:O26)</f>
        <v>0</v>
      </c>
      <c r="P27" s="141">
        <f>SUM(P20:P26)</f>
        <v>0</v>
      </c>
      <c r="Q27" s="141">
        <f t="shared" si="4"/>
        <v>0</v>
      </c>
      <c r="R27" s="244" t="str">
        <f t="shared" si="5"/>
        <v>n/a</v>
      </c>
      <c r="S27" s="251"/>
    </row>
    <row r="28" spans="2:19" ht="11.25" customHeight="1" x14ac:dyDescent="0.2">
      <c r="B28" s="251"/>
      <c r="C28" s="37" t="str">
        <f>'Lead PL'!C44</f>
        <v>Abschreibungen</v>
      </c>
      <c r="D28" s="37" t="str">
        <f>'Lead PL'!D44</f>
        <v>Depreciation</v>
      </c>
      <c r="E28" s="128"/>
      <c r="F28" s="36"/>
      <c r="G28" s="36">
        <f t="shared" si="0"/>
        <v>0</v>
      </c>
      <c r="H28" s="81" t="str">
        <f t="shared" si="1"/>
        <v>n/a</v>
      </c>
      <c r="I28" s="36"/>
      <c r="J28" s="128"/>
      <c r="K28" s="36"/>
      <c r="L28" s="36">
        <f t="shared" si="2"/>
        <v>0</v>
      </c>
      <c r="M28" s="81" t="str">
        <f t="shared" si="3"/>
        <v>n/a</v>
      </c>
      <c r="N28" s="36"/>
      <c r="O28" s="128"/>
      <c r="P28" s="36"/>
      <c r="Q28" s="36">
        <f t="shared" si="4"/>
        <v>0</v>
      </c>
      <c r="R28" s="81" t="str">
        <f t="shared" si="5"/>
        <v>n/a</v>
      </c>
      <c r="S28" s="251"/>
    </row>
    <row r="29" spans="2:19" ht="11.25" hidden="1" customHeight="1" outlineLevel="2" x14ac:dyDescent="0.2">
      <c r="B29" s="251"/>
      <c r="C29" s="37" t="str">
        <f>'Lead PL'!C45</f>
        <v>Dummy 1</v>
      </c>
      <c r="D29" s="37" t="str">
        <f>'Lead PL'!D45</f>
        <v>Dummy 1</v>
      </c>
      <c r="E29" s="128"/>
      <c r="F29" s="36"/>
      <c r="G29" s="36">
        <f t="shared" si="0"/>
        <v>0</v>
      </c>
      <c r="H29" s="81" t="str">
        <f t="shared" si="1"/>
        <v>n/a</v>
      </c>
      <c r="I29" s="36"/>
      <c r="J29" s="128"/>
      <c r="K29" s="36"/>
      <c r="L29" s="36">
        <f t="shared" si="2"/>
        <v>0</v>
      </c>
      <c r="M29" s="81" t="str">
        <f t="shared" si="3"/>
        <v>n/a</v>
      </c>
      <c r="N29" s="36"/>
      <c r="O29" s="128"/>
      <c r="P29" s="36"/>
      <c r="Q29" s="36">
        <f t="shared" si="4"/>
        <v>0</v>
      </c>
      <c r="R29" s="81" t="str">
        <f t="shared" si="5"/>
        <v>n/a</v>
      </c>
      <c r="S29" s="251"/>
    </row>
    <row r="30" spans="2:19" ht="11.25" hidden="1" customHeight="1" outlineLevel="2" x14ac:dyDescent="0.2">
      <c r="B30" s="251"/>
      <c r="C30" s="37" t="str">
        <f>'Lead PL'!C46</f>
        <v>Dummy 2</v>
      </c>
      <c r="D30" s="37" t="str">
        <f>'Lead PL'!D46</f>
        <v>Dummy 2</v>
      </c>
      <c r="E30" s="128"/>
      <c r="F30" s="36"/>
      <c r="G30" s="36">
        <f t="shared" si="0"/>
        <v>0</v>
      </c>
      <c r="H30" s="81" t="str">
        <f t="shared" si="1"/>
        <v>n/a</v>
      </c>
      <c r="I30" s="36"/>
      <c r="J30" s="128"/>
      <c r="K30" s="36"/>
      <c r="L30" s="36">
        <f t="shared" si="2"/>
        <v>0</v>
      </c>
      <c r="M30" s="81" t="str">
        <f t="shared" si="3"/>
        <v>n/a</v>
      </c>
      <c r="N30" s="36"/>
      <c r="O30" s="128"/>
      <c r="P30" s="36"/>
      <c r="Q30" s="36">
        <f t="shared" si="4"/>
        <v>0</v>
      </c>
      <c r="R30" s="81" t="str">
        <f t="shared" si="5"/>
        <v>n/a</v>
      </c>
      <c r="S30" s="251"/>
    </row>
    <row r="31" spans="2:19" ht="11.25" hidden="1" customHeight="1" outlineLevel="2" x14ac:dyDescent="0.2">
      <c r="B31" s="251"/>
      <c r="C31" s="42" t="str">
        <f>'Lead PL'!C47</f>
        <v>Dummy 3</v>
      </c>
      <c r="D31" s="42" t="str">
        <f>'Lead PL'!D47</f>
        <v>Dummy 3</v>
      </c>
      <c r="E31" s="134"/>
      <c r="F31" s="127"/>
      <c r="G31" s="127">
        <f t="shared" si="0"/>
        <v>0</v>
      </c>
      <c r="H31" s="41" t="str">
        <f t="shared" si="1"/>
        <v>n/a</v>
      </c>
      <c r="I31" s="36"/>
      <c r="J31" s="134"/>
      <c r="K31" s="127"/>
      <c r="L31" s="127">
        <f t="shared" si="2"/>
        <v>0</v>
      </c>
      <c r="M31" s="41" t="str">
        <f t="shared" si="3"/>
        <v>n/a</v>
      </c>
      <c r="N31" s="36"/>
      <c r="O31" s="134"/>
      <c r="P31" s="127"/>
      <c r="Q31" s="127">
        <f t="shared" si="4"/>
        <v>0</v>
      </c>
      <c r="R31" s="41" t="str">
        <f t="shared" si="5"/>
        <v>n/a</v>
      </c>
      <c r="S31" s="251"/>
    </row>
    <row r="32" spans="2:19" ht="11.25" customHeight="1" collapsed="1" x14ac:dyDescent="0.2">
      <c r="B32" s="251"/>
      <c r="C32" s="257" t="str">
        <f>'Lead PL'!C48</f>
        <v>EBIT</v>
      </c>
      <c r="D32" s="257" t="str">
        <f>'Lead PL'!D48</f>
        <v>EBIT</v>
      </c>
      <c r="E32" s="139">
        <f>SUM(E27:E31)</f>
        <v>0</v>
      </c>
      <c r="F32" s="141">
        <f>SUM(F27:F31)</f>
        <v>0</v>
      </c>
      <c r="G32" s="141">
        <f t="shared" si="0"/>
        <v>0</v>
      </c>
      <c r="H32" s="244" t="str">
        <f t="shared" si="1"/>
        <v>n/a</v>
      </c>
      <c r="I32" s="36"/>
      <c r="J32" s="139">
        <f>SUM(J27:J31)</f>
        <v>0</v>
      </c>
      <c r="K32" s="141">
        <f>SUM(K27:K31)</f>
        <v>0</v>
      </c>
      <c r="L32" s="141">
        <f t="shared" si="2"/>
        <v>0</v>
      </c>
      <c r="M32" s="244" t="str">
        <f t="shared" si="3"/>
        <v>n/a</v>
      </c>
      <c r="N32" s="36"/>
      <c r="O32" s="139">
        <f>SUM(O27:O31)</f>
        <v>0</v>
      </c>
      <c r="P32" s="141">
        <f>SUM(P27:P31)</f>
        <v>0</v>
      </c>
      <c r="Q32" s="141">
        <f t="shared" si="4"/>
        <v>0</v>
      </c>
      <c r="R32" s="244" t="str">
        <f t="shared" si="5"/>
        <v>n/a</v>
      </c>
      <c r="S32" s="251"/>
    </row>
    <row r="33" spans="2:19" ht="11.25" customHeight="1" outlineLevel="1" x14ac:dyDescent="0.2">
      <c r="B33" s="251"/>
      <c r="C33" s="138" t="str">
        <f>'Lead PL'!C49</f>
        <v>Beteiligungsergebnis</v>
      </c>
      <c r="D33" s="138" t="str">
        <f>'Lead PL'!D49</f>
        <v>Investment income</v>
      </c>
      <c r="E33" s="128"/>
      <c r="F33" s="36"/>
      <c r="G33" s="36">
        <f t="shared" si="0"/>
        <v>0</v>
      </c>
      <c r="H33" s="81" t="str">
        <f t="shared" si="1"/>
        <v>n/a</v>
      </c>
      <c r="I33" s="36"/>
      <c r="J33" s="128"/>
      <c r="K33" s="36"/>
      <c r="L33" s="36">
        <f t="shared" si="2"/>
        <v>0</v>
      </c>
      <c r="M33" s="81" t="str">
        <f t="shared" si="3"/>
        <v>n/a</v>
      </c>
      <c r="N33" s="36"/>
      <c r="O33" s="128"/>
      <c r="P33" s="36"/>
      <c r="Q33" s="36">
        <f t="shared" si="4"/>
        <v>0</v>
      </c>
      <c r="R33" s="81" t="str">
        <f t="shared" si="5"/>
        <v>n/a</v>
      </c>
      <c r="S33" s="251"/>
    </row>
    <row r="34" spans="2:19" ht="11.25" customHeight="1" outlineLevel="1" x14ac:dyDescent="0.2">
      <c r="B34" s="251"/>
      <c r="C34" s="138" t="str">
        <f>'Lead PL'!C50</f>
        <v>Zinserträge</v>
      </c>
      <c r="D34" s="138" t="str">
        <f>'Lead PL'!D50</f>
        <v>Interest income</v>
      </c>
      <c r="E34" s="128"/>
      <c r="F34" s="36"/>
      <c r="G34" s="36">
        <f t="shared" si="0"/>
        <v>0</v>
      </c>
      <c r="H34" s="81" t="str">
        <f t="shared" si="1"/>
        <v>n/a</v>
      </c>
      <c r="I34" s="36"/>
      <c r="J34" s="128"/>
      <c r="K34" s="36"/>
      <c r="L34" s="36">
        <f t="shared" si="2"/>
        <v>0</v>
      </c>
      <c r="M34" s="81" t="str">
        <f t="shared" si="3"/>
        <v>n/a</v>
      </c>
      <c r="N34" s="36"/>
      <c r="O34" s="128"/>
      <c r="P34" s="36"/>
      <c r="Q34" s="36">
        <f t="shared" si="4"/>
        <v>0</v>
      </c>
      <c r="R34" s="81" t="str">
        <f t="shared" si="5"/>
        <v>n/a</v>
      </c>
      <c r="S34" s="251"/>
    </row>
    <row r="35" spans="2:19" ht="11.25" customHeight="1" outlineLevel="1" x14ac:dyDescent="0.2">
      <c r="B35" s="251"/>
      <c r="C35" s="138" t="str">
        <f>'Lead PL'!C51</f>
        <v>Zinsaufwendungen</v>
      </c>
      <c r="D35" s="138" t="str">
        <f>'Lead PL'!D51</f>
        <v>Interest expenses</v>
      </c>
      <c r="E35" s="128"/>
      <c r="F35" s="36"/>
      <c r="G35" s="36">
        <f t="shared" si="0"/>
        <v>0</v>
      </c>
      <c r="H35" s="81" t="str">
        <f t="shared" si="1"/>
        <v>n/a</v>
      </c>
      <c r="I35" s="36"/>
      <c r="J35" s="128"/>
      <c r="K35" s="36"/>
      <c r="L35" s="36">
        <f t="shared" si="2"/>
        <v>0</v>
      </c>
      <c r="M35" s="81" t="str">
        <f t="shared" si="3"/>
        <v>n/a</v>
      </c>
      <c r="N35" s="36"/>
      <c r="O35" s="128"/>
      <c r="P35" s="36"/>
      <c r="Q35" s="36">
        <f t="shared" si="4"/>
        <v>0</v>
      </c>
      <c r="R35" s="81" t="str">
        <f t="shared" si="5"/>
        <v>n/a</v>
      </c>
      <c r="S35" s="251"/>
    </row>
    <row r="36" spans="2:19" ht="11.25" hidden="1" customHeight="1" outlineLevel="2" x14ac:dyDescent="0.2">
      <c r="B36" s="251"/>
      <c r="C36" s="138" t="str">
        <f>'Lead PL'!C52</f>
        <v>Abschreibungen auf Finanzanlagen</v>
      </c>
      <c r="D36" s="138" t="str">
        <f>'Lead PL'!D52</f>
        <v>Abschreibungn auf Finanzanlagen</v>
      </c>
      <c r="E36" s="128"/>
      <c r="F36" s="36"/>
      <c r="G36" s="36">
        <f t="shared" si="0"/>
        <v>0</v>
      </c>
      <c r="H36" s="81" t="str">
        <f t="shared" si="1"/>
        <v>n/a</v>
      </c>
      <c r="I36" s="36"/>
      <c r="J36" s="128"/>
      <c r="K36" s="36"/>
      <c r="L36" s="36">
        <f t="shared" si="2"/>
        <v>0</v>
      </c>
      <c r="M36" s="81" t="str">
        <f t="shared" si="3"/>
        <v>n/a</v>
      </c>
      <c r="N36" s="36"/>
      <c r="O36" s="128"/>
      <c r="P36" s="36"/>
      <c r="Q36" s="36">
        <f t="shared" si="4"/>
        <v>0</v>
      </c>
      <c r="R36" s="81" t="str">
        <f t="shared" si="5"/>
        <v>n/a</v>
      </c>
      <c r="S36" s="251"/>
    </row>
    <row r="37" spans="2:19" ht="11.25" hidden="1" customHeight="1" outlineLevel="2" x14ac:dyDescent="0.2">
      <c r="B37" s="251"/>
      <c r="C37" s="138" t="str">
        <f>'Lead PL'!C53</f>
        <v>Dummy 2</v>
      </c>
      <c r="D37" s="138" t="str">
        <f>'Lead PL'!D53</f>
        <v>Dummy 2</v>
      </c>
      <c r="E37" s="128"/>
      <c r="F37" s="36"/>
      <c r="G37" s="36">
        <f t="shared" si="0"/>
        <v>0</v>
      </c>
      <c r="H37" s="81" t="str">
        <f t="shared" si="1"/>
        <v>n/a</v>
      </c>
      <c r="I37" s="36"/>
      <c r="J37" s="128"/>
      <c r="K37" s="36"/>
      <c r="L37" s="36">
        <f t="shared" si="2"/>
        <v>0</v>
      </c>
      <c r="M37" s="81" t="str">
        <f t="shared" si="3"/>
        <v>n/a</v>
      </c>
      <c r="N37" s="36"/>
      <c r="O37" s="128"/>
      <c r="P37" s="36"/>
      <c r="Q37" s="36">
        <f t="shared" si="4"/>
        <v>0</v>
      </c>
      <c r="R37" s="81" t="str">
        <f t="shared" si="5"/>
        <v>n/a</v>
      </c>
      <c r="S37" s="251"/>
    </row>
    <row r="38" spans="2:19" ht="11.25" hidden="1" customHeight="1" outlineLevel="2" x14ac:dyDescent="0.2">
      <c r="B38" s="251"/>
      <c r="C38" s="138" t="str">
        <f>'Lead PL'!C54</f>
        <v>Dummy 3</v>
      </c>
      <c r="D38" s="138" t="str">
        <f>'Lead PL'!D54</f>
        <v>Dummy 3</v>
      </c>
      <c r="E38" s="128"/>
      <c r="F38" s="36"/>
      <c r="G38" s="36">
        <f t="shared" si="0"/>
        <v>0</v>
      </c>
      <c r="H38" s="81" t="str">
        <f t="shared" si="1"/>
        <v>n/a</v>
      </c>
      <c r="I38" s="36"/>
      <c r="J38" s="128"/>
      <c r="K38" s="36"/>
      <c r="L38" s="36">
        <f t="shared" si="2"/>
        <v>0</v>
      </c>
      <c r="M38" s="81" t="str">
        <f t="shared" si="3"/>
        <v>n/a</v>
      </c>
      <c r="N38" s="36"/>
      <c r="O38" s="128"/>
      <c r="P38" s="36"/>
      <c r="Q38" s="36">
        <f t="shared" si="4"/>
        <v>0</v>
      </c>
      <c r="R38" s="81" t="str">
        <f t="shared" si="5"/>
        <v>n/a</v>
      </c>
      <c r="S38" s="251"/>
    </row>
    <row r="39" spans="2:19" ht="11.25" customHeight="1" x14ac:dyDescent="0.2">
      <c r="B39" s="251"/>
      <c r="C39" s="42" t="str">
        <f>'Lead PL'!C55</f>
        <v>Finanzergebnis</v>
      </c>
      <c r="D39" s="42" t="str">
        <f>'Lead PL'!D55</f>
        <v>Financial result</v>
      </c>
      <c r="E39" s="134">
        <f>SUM(E33:E38)</f>
        <v>0</v>
      </c>
      <c r="F39" s="127">
        <f>SUM(F33:F38)</f>
        <v>0</v>
      </c>
      <c r="G39" s="127">
        <f t="shared" si="0"/>
        <v>0</v>
      </c>
      <c r="H39" s="41" t="str">
        <f t="shared" si="1"/>
        <v>n/a</v>
      </c>
      <c r="I39" s="36"/>
      <c r="J39" s="134">
        <f>SUM(J33:J38)</f>
        <v>0</v>
      </c>
      <c r="K39" s="127">
        <f>SUM(K33:K38)</f>
        <v>0</v>
      </c>
      <c r="L39" s="127">
        <f t="shared" si="2"/>
        <v>0</v>
      </c>
      <c r="M39" s="41" t="str">
        <f t="shared" si="3"/>
        <v>n/a</v>
      </c>
      <c r="N39" s="36"/>
      <c r="O39" s="134">
        <f>SUM(O33:O38)</f>
        <v>0</v>
      </c>
      <c r="P39" s="127">
        <f>SUM(P33:P38)</f>
        <v>0</v>
      </c>
      <c r="Q39" s="127">
        <f t="shared" si="4"/>
        <v>0</v>
      </c>
      <c r="R39" s="41" t="str">
        <f t="shared" si="5"/>
        <v>n/a</v>
      </c>
      <c r="S39" s="251"/>
    </row>
    <row r="40" spans="2:19" ht="11.25" customHeight="1" x14ac:dyDescent="0.2">
      <c r="B40" s="251"/>
      <c r="C40" s="257" t="str">
        <f>'Lead PL'!C56</f>
        <v>EBT</v>
      </c>
      <c r="D40" s="257" t="str">
        <f>'Lead PL'!D56</f>
        <v>EBT</v>
      </c>
      <c r="E40" s="139">
        <f>E39+E32</f>
        <v>0</v>
      </c>
      <c r="F40" s="141">
        <f>F39+F32</f>
        <v>0</v>
      </c>
      <c r="G40" s="141">
        <f t="shared" si="0"/>
        <v>0</v>
      </c>
      <c r="H40" s="244" t="str">
        <f t="shared" si="1"/>
        <v>n/a</v>
      </c>
      <c r="I40" s="36"/>
      <c r="J40" s="139">
        <f>J39+J32</f>
        <v>0</v>
      </c>
      <c r="K40" s="141">
        <f>K39+K32</f>
        <v>0</v>
      </c>
      <c r="L40" s="141">
        <f t="shared" si="2"/>
        <v>0</v>
      </c>
      <c r="M40" s="244" t="str">
        <f t="shared" si="3"/>
        <v>n/a</v>
      </c>
      <c r="N40" s="36"/>
      <c r="O40" s="139">
        <f>O39+O32</f>
        <v>0</v>
      </c>
      <c r="P40" s="141">
        <f>P39+P32</f>
        <v>0</v>
      </c>
      <c r="Q40" s="141">
        <f t="shared" si="4"/>
        <v>0</v>
      </c>
      <c r="R40" s="244" t="str">
        <f t="shared" si="5"/>
        <v>n/a</v>
      </c>
      <c r="S40" s="251"/>
    </row>
    <row r="41" spans="2:19" ht="11.25" customHeight="1" x14ac:dyDescent="0.2">
      <c r="B41" s="251"/>
      <c r="C41" s="37" t="str">
        <f>'Lead PL'!C57</f>
        <v>Ertragssteuern</v>
      </c>
      <c r="D41" s="37" t="str">
        <f>'Lead PL'!D57</f>
        <v>Income taxes</v>
      </c>
      <c r="E41" s="128"/>
      <c r="F41" s="36"/>
      <c r="G41" s="36">
        <f t="shared" si="0"/>
        <v>0</v>
      </c>
      <c r="H41" s="81" t="str">
        <f t="shared" si="1"/>
        <v>n/a</v>
      </c>
      <c r="I41" s="36"/>
      <c r="J41" s="128"/>
      <c r="K41" s="36"/>
      <c r="L41" s="36">
        <f t="shared" si="2"/>
        <v>0</v>
      </c>
      <c r="M41" s="81" t="str">
        <f t="shared" si="3"/>
        <v>n/a</v>
      </c>
      <c r="N41" s="36"/>
      <c r="O41" s="128"/>
      <c r="P41" s="36"/>
      <c r="Q41" s="36">
        <f t="shared" si="4"/>
        <v>0</v>
      </c>
      <c r="R41" s="81" t="str">
        <f t="shared" si="5"/>
        <v>n/a</v>
      </c>
      <c r="S41" s="251"/>
    </row>
    <row r="42" spans="2:19" ht="11.25" customHeight="1" x14ac:dyDescent="0.2">
      <c r="B42" s="251"/>
      <c r="C42" s="42" t="str">
        <f>'Lead PL'!C58</f>
        <v>Sonstige Steuern</v>
      </c>
      <c r="D42" s="42" t="str">
        <f>'Lead PL'!D58</f>
        <v>Other taxes</v>
      </c>
      <c r="E42" s="134"/>
      <c r="F42" s="127"/>
      <c r="G42" s="127">
        <f t="shared" si="0"/>
        <v>0</v>
      </c>
      <c r="H42" s="41" t="str">
        <f t="shared" si="1"/>
        <v>n/a</v>
      </c>
      <c r="I42" s="36"/>
      <c r="J42" s="134"/>
      <c r="K42" s="127"/>
      <c r="L42" s="127">
        <f t="shared" si="2"/>
        <v>0</v>
      </c>
      <c r="M42" s="41" t="str">
        <f t="shared" si="3"/>
        <v>n/a</v>
      </c>
      <c r="N42" s="36"/>
      <c r="O42" s="134"/>
      <c r="P42" s="127"/>
      <c r="Q42" s="127">
        <f t="shared" si="4"/>
        <v>0</v>
      </c>
      <c r="R42" s="41" t="str">
        <f t="shared" si="5"/>
        <v>n/a</v>
      </c>
      <c r="S42" s="251"/>
    </row>
    <row r="43" spans="2:19" ht="11.25" customHeight="1" x14ac:dyDescent="0.2">
      <c r="B43" s="251"/>
      <c r="C43" s="133" t="str">
        <f>'Lead PL'!C59</f>
        <v>Jahresüberschuss</v>
      </c>
      <c r="D43" s="133" t="str">
        <f>'Lead PL'!D59</f>
        <v>Profit / Loss</v>
      </c>
      <c r="E43" s="145">
        <f>SUM(E40:E42)</f>
        <v>0</v>
      </c>
      <c r="F43" s="147">
        <f>SUM(F40:F42)</f>
        <v>0</v>
      </c>
      <c r="G43" s="147">
        <f t="shared" si="0"/>
        <v>0</v>
      </c>
      <c r="H43" s="246" t="str">
        <f t="shared" si="1"/>
        <v>n/a</v>
      </c>
      <c r="I43" s="36"/>
      <c r="J43" s="145">
        <f>SUM(J40:J42)</f>
        <v>0</v>
      </c>
      <c r="K43" s="147">
        <f>SUM(K40:K42)</f>
        <v>0</v>
      </c>
      <c r="L43" s="147">
        <f t="shared" si="2"/>
        <v>0</v>
      </c>
      <c r="M43" s="246" t="str">
        <f t="shared" si="3"/>
        <v>n/a</v>
      </c>
      <c r="N43" s="36"/>
      <c r="O43" s="145">
        <f>SUM(O40:O42)</f>
        <v>0</v>
      </c>
      <c r="P43" s="147">
        <f>SUM(P40:P42)</f>
        <v>0</v>
      </c>
      <c r="Q43" s="147">
        <f t="shared" si="4"/>
        <v>0</v>
      </c>
      <c r="R43" s="246" t="str">
        <f t="shared" si="5"/>
        <v>n/a</v>
      </c>
      <c r="S43" s="251"/>
    </row>
    <row r="44" spans="2:19" ht="4.5" customHeight="1" x14ac:dyDescent="0.2">
      <c r="B44" s="251"/>
      <c r="C44" s="37"/>
      <c r="D44" s="37"/>
      <c r="E44" s="128"/>
      <c r="F44" s="36"/>
      <c r="G44" s="36"/>
      <c r="H44" s="36"/>
      <c r="I44" s="36"/>
      <c r="J44" s="128"/>
      <c r="K44" s="36"/>
      <c r="L44" s="36"/>
      <c r="M44" s="36"/>
      <c r="N44" s="36"/>
      <c r="O44" s="128"/>
      <c r="P44" s="36"/>
      <c r="Q44" s="36"/>
      <c r="R44" s="36"/>
      <c r="S44" s="251"/>
    </row>
    <row r="45" spans="2:19" ht="11.25" customHeight="1" x14ac:dyDescent="0.2">
      <c r="B45" s="251"/>
      <c r="C45" s="90" t="str">
        <f>"In % der "&amp;C15</f>
        <v>In % der Gesamtleistung</v>
      </c>
      <c r="D45" s="90" t="str">
        <f>"In % of "&amp;D15</f>
        <v>In % of Total output</v>
      </c>
      <c r="E45" s="78"/>
      <c r="F45" s="36"/>
      <c r="G45" s="36"/>
      <c r="H45" s="36"/>
      <c r="I45" s="36"/>
      <c r="J45" s="78"/>
      <c r="K45" s="36"/>
      <c r="L45" s="36"/>
      <c r="M45" s="36"/>
      <c r="N45" s="36"/>
      <c r="O45" s="78"/>
      <c r="P45" s="36"/>
      <c r="Q45" s="36"/>
      <c r="R45" s="36"/>
      <c r="S45" s="251"/>
    </row>
    <row r="46" spans="2:19" ht="11.25" customHeight="1" x14ac:dyDescent="0.2">
      <c r="B46" s="251"/>
      <c r="C46" s="82" t="str">
        <f t="shared" ref="C46:D65" si="6">C11</f>
        <v>Umsatzerlöse</v>
      </c>
      <c r="D46" s="82" t="str">
        <f t="shared" si="6"/>
        <v>Revenues</v>
      </c>
      <c r="E46" s="78" t="str">
        <f t="shared" ref="E46:G65" si="7">IFERROR(E11/E$15,"n/a")</f>
        <v>n/a</v>
      </c>
      <c r="F46" s="81" t="str">
        <f t="shared" si="7"/>
        <v>n/a</v>
      </c>
      <c r="G46" s="81" t="str">
        <f t="shared" si="7"/>
        <v>n/a</v>
      </c>
      <c r="H46" s="36"/>
      <c r="I46" s="36"/>
      <c r="J46" s="78" t="str">
        <f t="shared" ref="J46:L65" si="8">IFERROR(J11/J$15,"n/a")</f>
        <v>n/a</v>
      </c>
      <c r="K46" s="81" t="str">
        <f t="shared" si="8"/>
        <v>n/a</v>
      </c>
      <c r="L46" s="81" t="str">
        <f t="shared" si="8"/>
        <v>n/a</v>
      </c>
      <c r="M46" s="36"/>
      <c r="N46" s="36"/>
      <c r="O46" s="78" t="str">
        <f t="shared" ref="O46:Q65" si="9">IFERROR(O11/O$15,"n/a")</f>
        <v>n/a</v>
      </c>
      <c r="P46" s="81" t="str">
        <f t="shared" si="9"/>
        <v>n/a</v>
      </c>
      <c r="Q46" s="81" t="str">
        <f t="shared" si="9"/>
        <v>n/a</v>
      </c>
      <c r="R46" s="36"/>
      <c r="S46" s="251"/>
    </row>
    <row r="47" spans="2:19" ht="11.25" hidden="1" customHeight="1" outlineLevel="2" x14ac:dyDescent="0.2">
      <c r="C47" s="82" t="str">
        <f t="shared" si="6"/>
        <v>Bestandsveränderung</v>
      </c>
      <c r="D47" s="82" t="str">
        <f t="shared" si="6"/>
        <v>Change in inventory</v>
      </c>
      <c r="E47" s="78" t="str">
        <f t="shared" si="7"/>
        <v>n/a</v>
      </c>
      <c r="F47" s="81" t="str">
        <f t="shared" si="7"/>
        <v>n/a</v>
      </c>
      <c r="G47" s="81" t="str">
        <f t="shared" si="7"/>
        <v>n/a</v>
      </c>
      <c r="H47" s="36"/>
      <c r="I47" s="36"/>
      <c r="J47" s="78" t="str">
        <f t="shared" si="8"/>
        <v>n/a</v>
      </c>
      <c r="K47" s="81" t="str">
        <f t="shared" si="8"/>
        <v>n/a</v>
      </c>
      <c r="L47" s="81" t="str">
        <f t="shared" si="8"/>
        <v>n/a</v>
      </c>
      <c r="M47" s="36"/>
      <c r="N47" s="36"/>
      <c r="O47" s="78" t="str">
        <f t="shared" si="9"/>
        <v>n/a</v>
      </c>
      <c r="P47" s="81" t="str">
        <f t="shared" si="9"/>
        <v>n/a</v>
      </c>
      <c r="Q47" s="81" t="str">
        <f t="shared" si="9"/>
        <v>n/a</v>
      </c>
      <c r="R47" s="36"/>
    </row>
    <row r="48" spans="2:19" ht="11.25" hidden="1" customHeight="1" outlineLevel="2" x14ac:dyDescent="0.2">
      <c r="C48" s="82" t="str">
        <f t="shared" si="6"/>
        <v>Dummy 2</v>
      </c>
      <c r="D48" s="82" t="str">
        <f t="shared" si="6"/>
        <v>Dummy 2</v>
      </c>
      <c r="E48" s="78" t="str">
        <f t="shared" si="7"/>
        <v>n/a</v>
      </c>
      <c r="F48" s="81" t="str">
        <f t="shared" si="7"/>
        <v>n/a</v>
      </c>
      <c r="G48" s="81" t="str">
        <f t="shared" si="7"/>
        <v>n/a</v>
      </c>
      <c r="H48" s="36"/>
      <c r="I48" s="36"/>
      <c r="J48" s="78" t="str">
        <f t="shared" si="8"/>
        <v>n/a</v>
      </c>
      <c r="K48" s="81" t="str">
        <f t="shared" si="8"/>
        <v>n/a</v>
      </c>
      <c r="L48" s="81" t="str">
        <f t="shared" si="8"/>
        <v>n/a</v>
      </c>
      <c r="M48" s="36"/>
      <c r="N48" s="36"/>
      <c r="O48" s="78" t="str">
        <f t="shared" si="9"/>
        <v>n/a</v>
      </c>
      <c r="P48" s="81" t="str">
        <f t="shared" si="9"/>
        <v>n/a</v>
      </c>
      <c r="Q48" s="81" t="str">
        <f t="shared" si="9"/>
        <v>n/a</v>
      </c>
      <c r="R48" s="36"/>
    </row>
    <row r="49" spans="3:18" ht="11.25" hidden="1" customHeight="1" outlineLevel="2" x14ac:dyDescent="0.2">
      <c r="C49" s="82" t="str">
        <f t="shared" si="6"/>
        <v>Dummy 3</v>
      </c>
      <c r="D49" s="82" t="str">
        <f t="shared" si="6"/>
        <v>Dummy 3</v>
      </c>
      <c r="E49" s="78" t="str">
        <f t="shared" si="7"/>
        <v>n/a</v>
      </c>
      <c r="F49" s="81" t="str">
        <f t="shared" si="7"/>
        <v>n/a</v>
      </c>
      <c r="G49" s="81" t="str">
        <f t="shared" si="7"/>
        <v>n/a</v>
      </c>
      <c r="H49" s="36"/>
      <c r="I49" s="36"/>
      <c r="J49" s="78" t="str">
        <f t="shared" si="8"/>
        <v>n/a</v>
      </c>
      <c r="K49" s="81" t="str">
        <f t="shared" si="8"/>
        <v>n/a</v>
      </c>
      <c r="L49" s="81" t="str">
        <f t="shared" si="8"/>
        <v>n/a</v>
      </c>
      <c r="M49" s="36"/>
      <c r="N49" s="36"/>
      <c r="O49" s="78" t="str">
        <f t="shared" si="9"/>
        <v>n/a</v>
      </c>
      <c r="P49" s="81" t="str">
        <f t="shared" si="9"/>
        <v>n/a</v>
      </c>
      <c r="Q49" s="81" t="str">
        <f t="shared" si="9"/>
        <v>n/a</v>
      </c>
      <c r="R49" s="36"/>
    </row>
    <row r="50" spans="3:18" ht="11.25" customHeight="1" collapsed="1" x14ac:dyDescent="0.2">
      <c r="C50" s="88" t="str">
        <f t="shared" si="6"/>
        <v>Gesamtleistung</v>
      </c>
      <c r="D50" s="88" t="str">
        <f t="shared" si="6"/>
        <v>Total output</v>
      </c>
      <c r="E50" s="84" t="str">
        <f t="shared" si="7"/>
        <v>n/a</v>
      </c>
      <c r="F50" s="87" t="str">
        <f t="shared" si="7"/>
        <v>n/a</v>
      </c>
      <c r="G50" s="87" t="str">
        <f t="shared" si="7"/>
        <v>n/a</v>
      </c>
      <c r="H50" s="36"/>
      <c r="I50" s="36"/>
      <c r="J50" s="84" t="str">
        <f t="shared" si="8"/>
        <v>n/a</v>
      </c>
      <c r="K50" s="87" t="str">
        <f t="shared" si="8"/>
        <v>n/a</v>
      </c>
      <c r="L50" s="87" t="str">
        <f t="shared" si="8"/>
        <v>n/a</v>
      </c>
      <c r="M50" s="36"/>
      <c r="N50" s="36"/>
      <c r="O50" s="84" t="str">
        <f t="shared" si="9"/>
        <v>n/a</v>
      </c>
      <c r="P50" s="87" t="str">
        <f t="shared" si="9"/>
        <v>n/a</v>
      </c>
      <c r="Q50" s="87" t="str">
        <f t="shared" si="9"/>
        <v>n/a</v>
      </c>
      <c r="R50" s="36"/>
    </row>
    <row r="51" spans="3:18" ht="11.25" customHeight="1" x14ac:dyDescent="0.2">
      <c r="C51" s="82" t="str">
        <f t="shared" si="6"/>
        <v>Materialaufwand</v>
      </c>
      <c r="D51" s="82" t="str">
        <f t="shared" si="6"/>
        <v>Cost of materials</v>
      </c>
      <c r="E51" s="78" t="str">
        <f t="shared" si="7"/>
        <v>n/a</v>
      </c>
      <c r="F51" s="81" t="str">
        <f t="shared" si="7"/>
        <v>n/a</v>
      </c>
      <c r="G51" s="81" t="str">
        <f t="shared" si="7"/>
        <v>n/a</v>
      </c>
      <c r="H51" s="36"/>
      <c r="I51" s="36"/>
      <c r="J51" s="78" t="str">
        <f t="shared" si="8"/>
        <v>n/a</v>
      </c>
      <c r="K51" s="81" t="str">
        <f t="shared" si="8"/>
        <v>n/a</v>
      </c>
      <c r="L51" s="81" t="str">
        <f t="shared" si="8"/>
        <v>n/a</v>
      </c>
      <c r="M51" s="36"/>
      <c r="N51" s="36"/>
      <c r="O51" s="78" t="str">
        <f t="shared" si="9"/>
        <v>n/a</v>
      </c>
      <c r="P51" s="81" t="str">
        <f t="shared" si="9"/>
        <v>n/a</v>
      </c>
      <c r="Q51" s="81" t="str">
        <f t="shared" si="9"/>
        <v>n/a</v>
      </c>
      <c r="R51" s="36"/>
    </row>
    <row r="52" spans="3:18" ht="11.25" hidden="1" customHeight="1" outlineLevel="2" x14ac:dyDescent="0.2">
      <c r="C52" s="82" t="str">
        <f t="shared" si="6"/>
        <v>RHB-Aufwand</v>
      </c>
      <c r="D52" s="82" t="str">
        <f t="shared" si="6"/>
        <v>Dummy 1</v>
      </c>
      <c r="E52" s="78" t="str">
        <f t="shared" si="7"/>
        <v>n/a</v>
      </c>
      <c r="F52" s="81" t="str">
        <f t="shared" si="7"/>
        <v>n/a</v>
      </c>
      <c r="G52" s="81" t="str">
        <f t="shared" si="7"/>
        <v>n/a</v>
      </c>
      <c r="H52" s="36"/>
      <c r="I52" s="36"/>
      <c r="J52" s="78" t="str">
        <f t="shared" si="8"/>
        <v>n/a</v>
      </c>
      <c r="K52" s="81" t="str">
        <f t="shared" si="8"/>
        <v>n/a</v>
      </c>
      <c r="L52" s="81" t="str">
        <f t="shared" si="8"/>
        <v>n/a</v>
      </c>
      <c r="M52" s="36"/>
      <c r="N52" s="36"/>
      <c r="O52" s="78" t="str">
        <f t="shared" si="9"/>
        <v>n/a</v>
      </c>
      <c r="P52" s="81" t="str">
        <f t="shared" si="9"/>
        <v>n/a</v>
      </c>
      <c r="Q52" s="81" t="str">
        <f t="shared" si="9"/>
        <v>n/a</v>
      </c>
      <c r="R52" s="36"/>
    </row>
    <row r="53" spans="3:18" ht="11.25" hidden="1" customHeight="1" outlineLevel="2" x14ac:dyDescent="0.2">
      <c r="C53" s="82" t="str">
        <f t="shared" si="6"/>
        <v>Fremdleistungen</v>
      </c>
      <c r="D53" s="82" t="str">
        <f t="shared" si="6"/>
        <v>Dummy 2</v>
      </c>
      <c r="E53" s="78" t="str">
        <f t="shared" si="7"/>
        <v>n/a</v>
      </c>
      <c r="F53" s="81" t="str">
        <f t="shared" si="7"/>
        <v>n/a</v>
      </c>
      <c r="G53" s="81" t="str">
        <f t="shared" si="7"/>
        <v>n/a</v>
      </c>
      <c r="H53" s="36"/>
      <c r="I53" s="36"/>
      <c r="J53" s="78" t="str">
        <f t="shared" si="8"/>
        <v>n/a</v>
      </c>
      <c r="K53" s="81" t="str">
        <f t="shared" si="8"/>
        <v>n/a</v>
      </c>
      <c r="L53" s="81" t="str">
        <f t="shared" si="8"/>
        <v>n/a</v>
      </c>
      <c r="M53" s="36"/>
      <c r="N53" s="36"/>
      <c r="O53" s="78" t="str">
        <f t="shared" si="9"/>
        <v>n/a</v>
      </c>
      <c r="P53" s="81" t="str">
        <f t="shared" si="9"/>
        <v>n/a</v>
      </c>
      <c r="Q53" s="81" t="str">
        <f t="shared" si="9"/>
        <v>n/a</v>
      </c>
      <c r="R53" s="36"/>
    </row>
    <row r="54" spans="3:18" ht="11.25" hidden="1" customHeight="1" outlineLevel="2" x14ac:dyDescent="0.2">
      <c r="C54" s="82" t="str">
        <f t="shared" si="6"/>
        <v>Dummy 3</v>
      </c>
      <c r="D54" s="82" t="str">
        <f t="shared" si="6"/>
        <v>Dummy 3</v>
      </c>
      <c r="E54" s="78" t="str">
        <f t="shared" si="7"/>
        <v>n/a</v>
      </c>
      <c r="F54" s="81" t="str">
        <f t="shared" si="7"/>
        <v>n/a</v>
      </c>
      <c r="G54" s="81" t="str">
        <f t="shared" si="7"/>
        <v>n/a</v>
      </c>
      <c r="H54" s="36"/>
      <c r="I54" s="36"/>
      <c r="J54" s="78" t="str">
        <f t="shared" si="8"/>
        <v>n/a</v>
      </c>
      <c r="K54" s="81" t="str">
        <f t="shared" si="8"/>
        <v>n/a</v>
      </c>
      <c r="L54" s="81" t="str">
        <f t="shared" si="8"/>
        <v>n/a</v>
      </c>
      <c r="M54" s="36"/>
      <c r="N54" s="36"/>
      <c r="O54" s="78" t="str">
        <f t="shared" si="9"/>
        <v>n/a</v>
      </c>
      <c r="P54" s="81" t="str">
        <f t="shared" si="9"/>
        <v>n/a</v>
      </c>
      <c r="Q54" s="81" t="str">
        <f t="shared" si="9"/>
        <v>n/a</v>
      </c>
      <c r="R54" s="36"/>
    </row>
    <row r="55" spans="3:18" ht="11.25" customHeight="1" collapsed="1" x14ac:dyDescent="0.2">
      <c r="C55" s="88" t="str">
        <f t="shared" si="6"/>
        <v>Rohergebnis</v>
      </c>
      <c r="D55" s="88" t="str">
        <f t="shared" si="6"/>
        <v>Gross profit</v>
      </c>
      <c r="E55" s="84" t="str">
        <f t="shared" si="7"/>
        <v>n/a</v>
      </c>
      <c r="F55" s="87" t="str">
        <f t="shared" si="7"/>
        <v>n/a</v>
      </c>
      <c r="G55" s="87" t="str">
        <f t="shared" si="7"/>
        <v>n/a</v>
      </c>
      <c r="H55" s="36"/>
      <c r="I55" s="36"/>
      <c r="J55" s="84" t="str">
        <f t="shared" si="8"/>
        <v>n/a</v>
      </c>
      <c r="K55" s="87" t="str">
        <f t="shared" si="8"/>
        <v>n/a</v>
      </c>
      <c r="L55" s="87" t="str">
        <f t="shared" si="8"/>
        <v>n/a</v>
      </c>
      <c r="M55" s="36"/>
      <c r="N55" s="36"/>
      <c r="O55" s="84" t="str">
        <f t="shared" si="9"/>
        <v>n/a</v>
      </c>
      <c r="P55" s="87" t="str">
        <f t="shared" si="9"/>
        <v>n/a</v>
      </c>
      <c r="Q55" s="87" t="str">
        <f t="shared" si="9"/>
        <v>n/a</v>
      </c>
      <c r="R55" s="36"/>
    </row>
    <row r="56" spans="3:18" ht="11.25" customHeight="1" x14ac:dyDescent="0.2">
      <c r="C56" s="82" t="str">
        <f t="shared" si="6"/>
        <v>Personalaufwand</v>
      </c>
      <c r="D56" s="82" t="str">
        <f t="shared" si="6"/>
        <v>Personnel expenses</v>
      </c>
      <c r="E56" s="78" t="str">
        <f t="shared" si="7"/>
        <v>n/a</v>
      </c>
      <c r="F56" s="81" t="str">
        <f t="shared" si="7"/>
        <v>n/a</v>
      </c>
      <c r="G56" s="81" t="str">
        <f t="shared" si="7"/>
        <v>n/a</v>
      </c>
      <c r="H56" s="36"/>
      <c r="I56" s="36"/>
      <c r="J56" s="78" t="str">
        <f t="shared" si="8"/>
        <v>n/a</v>
      </c>
      <c r="K56" s="81" t="str">
        <f t="shared" si="8"/>
        <v>n/a</v>
      </c>
      <c r="L56" s="81" t="str">
        <f t="shared" si="8"/>
        <v>n/a</v>
      </c>
      <c r="M56" s="36"/>
      <c r="N56" s="36"/>
      <c r="O56" s="78" t="str">
        <f t="shared" si="9"/>
        <v>n/a</v>
      </c>
      <c r="P56" s="81" t="str">
        <f t="shared" si="9"/>
        <v>n/a</v>
      </c>
      <c r="Q56" s="81" t="str">
        <f t="shared" si="9"/>
        <v>n/a</v>
      </c>
      <c r="R56" s="36"/>
    </row>
    <row r="57" spans="3:18" ht="11.25" customHeight="1" x14ac:dyDescent="0.2">
      <c r="C57" s="82" t="str">
        <f t="shared" si="6"/>
        <v>Miet- und Grundstücksaufwendungen</v>
      </c>
      <c r="D57" s="82" t="str">
        <f t="shared" si="6"/>
        <v>Premise costs</v>
      </c>
      <c r="E57" s="78" t="str">
        <f t="shared" si="7"/>
        <v>n/a</v>
      </c>
      <c r="F57" s="81" t="str">
        <f t="shared" si="7"/>
        <v>n/a</v>
      </c>
      <c r="G57" s="81" t="str">
        <f t="shared" si="7"/>
        <v>n/a</v>
      </c>
      <c r="H57" s="36"/>
      <c r="I57" s="36"/>
      <c r="J57" s="78" t="str">
        <f t="shared" si="8"/>
        <v>n/a</v>
      </c>
      <c r="K57" s="81" t="str">
        <f t="shared" si="8"/>
        <v>n/a</v>
      </c>
      <c r="L57" s="81" t="str">
        <f t="shared" si="8"/>
        <v>n/a</v>
      </c>
      <c r="M57" s="36"/>
      <c r="N57" s="36"/>
      <c r="O57" s="78" t="str">
        <f t="shared" si="9"/>
        <v>n/a</v>
      </c>
      <c r="P57" s="81" t="str">
        <f t="shared" si="9"/>
        <v>n/a</v>
      </c>
      <c r="Q57" s="81" t="str">
        <f t="shared" si="9"/>
        <v>n/a</v>
      </c>
      <c r="R57" s="36"/>
    </row>
    <row r="58" spans="3:18" ht="11.25" customHeight="1" x14ac:dyDescent="0.2">
      <c r="C58" s="82" t="str">
        <f t="shared" si="6"/>
        <v>Sonstige betriebliche Erträge</v>
      </c>
      <c r="D58" s="82" t="str">
        <f t="shared" si="6"/>
        <v>Other operating income</v>
      </c>
      <c r="E58" s="78" t="str">
        <f t="shared" si="7"/>
        <v>n/a</v>
      </c>
      <c r="F58" s="81" t="str">
        <f t="shared" si="7"/>
        <v>n/a</v>
      </c>
      <c r="G58" s="81" t="str">
        <f t="shared" si="7"/>
        <v>n/a</v>
      </c>
      <c r="H58" s="36"/>
      <c r="I58" s="36"/>
      <c r="J58" s="78" t="str">
        <f t="shared" si="8"/>
        <v>n/a</v>
      </c>
      <c r="K58" s="81" t="str">
        <f t="shared" si="8"/>
        <v>n/a</v>
      </c>
      <c r="L58" s="81" t="str">
        <f t="shared" si="8"/>
        <v>n/a</v>
      </c>
      <c r="M58" s="36"/>
      <c r="N58" s="36"/>
      <c r="O58" s="78" t="str">
        <f t="shared" si="9"/>
        <v>n/a</v>
      </c>
      <c r="P58" s="81" t="str">
        <f t="shared" si="9"/>
        <v>n/a</v>
      </c>
      <c r="Q58" s="81" t="str">
        <f t="shared" si="9"/>
        <v>n/a</v>
      </c>
      <c r="R58" s="36"/>
    </row>
    <row r="59" spans="3:18" ht="11.25" hidden="1" customHeight="1" outlineLevel="2" x14ac:dyDescent="0.2">
      <c r="C59" s="82" t="str">
        <f t="shared" si="6"/>
        <v>Sonstige betriebliche Aufwendungen</v>
      </c>
      <c r="D59" s="82" t="str">
        <f t="shared" si="6"/>
        <v>Other operating expenses</v>
      </c>
      <c r="E59" s="78" t="str">
        <f t="shared" si="7"/>
        <v>n/a</v>
      </c>
      <c r="F59" s="81" t="str">
        <f t="shared" si="7"/>
        <v>n/a</v>
      </c>
      <c r="G59" s="81" t="str">
        <f t="shared" si="7"/>
        <v>n/a</v>
      </c>
      <c r="H59" s="36"/>
      <c r="I59" s="36"/>
      <c r="J59" s="78" t="str">
        <f t="shared" si="8"/>
        <v>n/a</v>
      </c>
      <c r="K59" s="81" t="str">
        <f t="shared" si="8"/>
        <v>n/a</v>
      </c>
      <c r="L59" s="81" t="str">
        <f t="shared" si="8"/>
        <v>n/a</v>
      </c>
      <c r="M59" s="36"/>
      <c r="N59" s="36"/>
      <c r="O59" s="78" t="str">
        <f t="shared" si="9"/>
        <v>n/a</v>
      </c>
      <c r="P59" s="81" t="str">
        <f t="shared" si="9"/>
        <v>n/a</v>
      </c>
      <c r="Q59" s="81" t="str">
        <f t="shared" si="9"/>
        <v>n/a</v>
      </c>
      <c r="R59" s="36"/>
    </row>
    <row r="60" spans="3:18" ht="11.25" hidden="1" customHeight="1" outlineLevel="2" x14ac:dyDescent="0.2">
      <c r="C60" s="82" t="str">
        <f t="shared" si="6"/>
        <v>Dummy 1</v>
      </c>
      <c r="D60" s="82" t="str">
        <f t="shared" si="6"/>
        <v>Dummy 1</v>
      </c>
      <c r="E60" s="78" t="str">
        <f t="shared" si="7"/>
        <v>n/a</v>
      </c>
      <c r="F60" s="81" t="str">
        <f t="shared" si="7"/>
        <v>n/a</v>
      </c>
      <c r="G60" s="81" t="str">
        <f t="shared" si="7"/>
        <v>n/a</v>
      </c>
      <c r="H60" s="36"/>
      <c r="I60" s="36"/>
      <c r="J60" s="78" t="str">
        <f t="shared" si="8"/>
        <v>n/a</v>
      </c>
      <c r="K60" s="81" t="str">
        <f t="shared" si="8"/>
        <v>n/a</v>
      </c>
      <c r="L60" s="81" t="str">
        <f t="shared" si="8"/>
        <v>n/a</v>
      </c>
      <c r="M60" s="36"/>
      <c r="N60" s="36"/>
      <c r="O60" s="78" t="str">
        <f t="shared" si="9"/>
        <v>n/a</v>
      </c>
      <c r="P60" s="81" t="str">
        <f t="shared" si="9"/>
        <v>n/a</v>
      </c>
      <c r="Q60" s="81" t="str">
        <f t="shared" si="9"/>
        <v>n/a</v>
      </c>
      <c r="R60" s="36"/>
    </row>
    <row r="61" spans="3:18" ht="11.25" hidden="1" customHeight="1" outlineLevel="2" x14ac:dyDescent="0.2">
      <c r="C61" s="82" t="str">
        <f t="shared" si="6"/>
        <v>Dummy 2</v>
      </c>
      <c r="D61" s="82" t="str">
        <f t="shared" si="6"/>
        <v>Dummy 2</v>
      </c>
      <c r="E61" s="78" t="str">
        <f t="shared" si="7"/>
        <v>n/a</v>
      </c>
      <c r="F61" s="81" t="str">
        <f t="shared" si="7"/>
        <v>n/a</v>
      </c>
      <c r="G61" s="81" t="str">
        <f t="shared" si="7"/>
        <v>n/a</v>
      </c>
      <c r="H61" s="36"/>
      <c r="I61" s="36"/>
      <c r="J61" s="78" t="str">
        <f t="shared" si="8"/>
        <v>n/a</v>
      </c>
      <c r="K61" s="81" t="str">
        <f t="shared" si="8"/>
        <v>n/a</v>
      </c>
      <c r="L61" s="81" t="str">
        <f t="shared" si="8"/>
        <v>n/a</v>
      </c>
      <c r="M61" s="36"/>
      <c r="N61" s="36"/>
      <c r="O61" s="78" t="str">
        <f t="shared" si="9"/>
        <v>n/a</v>
      </c>
      <c r="P61" s="81" t="str">
        <f t="shared" si="9"/>
        <v>n/a</v>
      </c>
      <c r="Q61" s="81" t="str">
        <f t="shared" si="9"/>
        <v>n/a</v>
      </c>
      <c r="R61" s="36"/>
    </row>
    <row r="62" spans="3:18" ht="11.25" customHeight="1" collapsed="1" x14ac:dyDescent="0.2">
      <c r="C62" s="88" t="str">
        <f t="shared" si="6"/>
        <v>EBITDA</v>
      </c>
      <c r="D62" s="88" t="str">
        <f t="shared" si="6"/>
        <v>EBITDA</v>
      </c>
      <c r="E62" s="84" t="str">
        <f t="shared" si="7"/>
        <v>n/a</v>
      </c>
      <c r="F62" s="87" t="str">
        <f t="shared" si="7"/>
        <v>n/a</v>
      </c>
      <c r="G62" s="87" t="str">
        <f t="shared" si="7"/>
        <v>n/a</v>
      </c>
      <c r="H62" s="36"/>
      <c r="I62" s="36"/>
      <c r="J62" s="84" t="str">
        <f t="shared" si="8"/>
        <v>n/a</v>
      </c>
      <c r="K62" s="87" t="str">
        <f t="shared" si="8"/>
        <v>n/a</v>
      </c>
      <c r="L62" s="87" t="str">
        <f t="shared" si="8"/>
        <v>n/a</v>
      </c>
      <c r="M62" s="36"/>
      <c r="N62" s="36"/>
      <c r="O62" s="84" t="str">
        <f t="shared" si="9"/>
        <v>n/a</v>
      </c>
      <c r="P62" s="87" t="str">
        <f t="shared" si="9"/>
        <v>n/a</v>
      </c>
      <c r="Q62" s="87" t="str">
        <f t="shared" si="9"/>
        <v>n/a</v>
      </c>
      <c r="R62" s="36"/>
    </row>
    <row r="63" spans="3:18" ht="11.25" customHeight="1" x14ac:dyDescent="0.2">
      <c r="C63" s="82" t="str">
        <f t="shared" si="6"/>
        <v>Abschreibungen</v>
      </c>
      <c r="D63" s="82" t="str">
        <f t="shared" si="6"/>
        <v>Depreciation</v>
      </c>
      <c r="E63" s="78" t="str">
        <f t="shared" si="7"/>
        <v>n/a</v>
      </c>
      <c r="F63" s="81" t="str">
        <f t="shared" si="7"/>
        <v>n/a</v>
      </c>
      <c r="G63" s="81" t="str">
        <f t="shared" si="7"/>
        <v>n/a</v>
      </c>
      <c r="H63" s="36"/>
      <c r="I63" s="36"/>
      <c r="J63" s="78" t="str">
        <f t="shared" si="8"/>
        <v>n/a</v>
      </c>
      <c r="K63" s="81" t="str">
        <f t="shared" si="8"/>
        <v>n/a</v>
      </c>
      <c r="L63" s="81" t="str">
        <f t="shared" si="8"/>
        <v>n/a</v>
      </c>
      <c r="M63" s="36"/>
      <c r="N63" s="36"/>
      <c r="O63" s="78" t="str">
        <f t="shared" si="9"/>
        <v>n/a</v>
      </c>
      <c r="P63" s="81" t="str">
        <f t="shared" si="9"/>
        <v>n/a</v>
      </c>
      <c r="Q63" s="81" t="str">
        <f t="shared" si="9"/>
        <v>n/a</v>
      </c>
      <c r="R63" s="36"/>
    </row>
    <row r="64" spans="3:18" ht="11.25" hidden="1" customHeight="1" outlineLevel="2" x14ac:dyDescent="0.2">
      <c r="C64" s="82" t="str">
        <f t="shared" si="6"/>
        <v>Dummy 1</v>
      </c>
      <c r="D64" s="82" t="str">
        <f t="shared" si="6"/>
        <v>Dummy 1</v>
      </c>
      <c r="E64" s="78" t="str">
        <f t="shared" si="7"/>
        <v>n/a</v>
      </c>
      <c r="F64" s="81" t="str">
        <f t="shared" si="7"/>
        <v>n/a</v>
      </c>
      <c r="G64" s="81" t="str">
        <f t="shared" si="7"/>
        <v>n/a</v>
      </c>
      <c r="H64" s="36"/>
      <c r="I64" s="36"/>
      <c r="J64" s="78" t="str">
        <f t="shared" si="8"/>
        <v>n/a</v>
      </c>
      <c r="K64" s="81" t="str">
        <f t="shared" si="8"/>
        <v>n/a</v>
      </c>
      <c r="L64" s="81" t="str">
        <f t="shared" si="8"/>
        <v>n/a</v>
      </c>
      <c r="M64" s="36"/>
      <c r="N64" s="36"/>
      <c r="O64" s="78" t="str">
        <f t="shared" si="9"/>
        <v>n/a</v>
      </c>
      <c r="P64" s="81" t="str">
        <f t="shared" si="9"/>
        <v>n/a</v>
      </c>
      <c r="Q64" s="81" t="str">
        <f t="shared" si="9"/>
        <v>n/a</v>
      </c>
      <c r="R64" s="36"/>
    </row>
    <row r="65" spans="3:18" ht="11.25" hidden="1" customHeight="1" outlineLevel="2" x14ac:dyDescent="0.2">
      <c r="C65" s="82" t="str">
        <f t="shared" si="6"/>
        <v>Dummy 2</v>
      </c>
      <c r="D65" s="82" t="str">
        <f t="shared" si="6"/>
        <v>Dummy 2</v>
      </c>
      <c r="E65" s="78" t="str">
        <f t="shared" si="7"/>
        <v>n/a</v>
      </c>
      <c r="F65" s="81" t="str">
        <f t="shared" si="7"/>
        <v>n/a</v>
      </c>
      <c r="G65" s="81" t="str">
        <f t="shared" si="7"/>
        <v>n/a</v>
      </c>
      <c r="H65" s="36"/>
      <c r="I65" s="36"/>
      <c r="J65" s="78" t="str">
        <f t="shared" si="8"/>
        <v>n/a</v>
      </c>
      <c r="K65" s="81" t="str">
        <f t="shared" si="8"/>
        <v>n/a</v>
      </c>
      <c r="L65" s="81" t="str">
        <f t="shared" si="8"/>
        <v>n/a</v>
      </c>
      <c r="M65" s="36"/>
      <c r="N65" s="36"/>
      <c r="O65" s="78" t="str">
        <f t="shared" si="9"/>
        <v>n/a</v>
      </c>
      <c r="P65" s="81" t="str">
        <f t="shared" si="9"/>
        <v>n/a</v>
      </c>
      <c r="Q65" s="81" t="str">
        <f t="shared" si="9"/>
        <v>n/a</v>
      </c>
      <c r="R65" s="36"/>
    </row>
    <row r="66" spans="3:18" ht="11.25" hidden="1" customHeight="1" outlineLevel="2" x14ac:dyDescent="0.2">
      <c r="C66" s="82" t="str">
        <f t="shared" ref="C66:D78" si="10">C31</f>
        <v>Dummy 3</v>
      </c>
      <c r="D66" s="82" t="str">
        <f t="shared" si="10"/>
        <v>Dummy 3</v>
      </c>
      <c r="E66" s="78" t="str">
        <f t="shared" ref="E66:G78" si="11">IFERROR(E31/E$15,"n/a")</f>
        <v>n/a</v>
      </c>
      <c r="F66" s="81" t="str">
        <f t="shared" si="11"/>
        <v>n/a</v>
      </c>
      <c r="G66" s="81" t="str">
        <f t="shared" si="11"/>
        <v>n/a</v>
      </c>
      <c r="H66" s="36"/>
      <c r="I66" s="36"/>
      <c r="J66" s="78" t="str">
        <f t="shared" ref="J66:L78" si="12">IFERROR(J31/J$15,"n/a")</f>
        <v>n/a</v>
      </c>
      <c r="K66" s="81" t="str">
        <f t="shared" si="12"/>
        <v>n/a</v>
      </c>
      <c r="L66" s="81" t="str">
        <f t="shared" si="12"/>
        <v>n/a</v>
      </c>
      <c r="M66" s="36"/>
      <c r="N66" s="36"/>
      <c r="O66" s="78" t="str">
        <f t="shared" ref="O66:Q78" si="13">IFERROR(O31/O$15,"n/a")</f>
        <v>n/a</v>
      </c>
      <c r="P66" s="81" t="str">
        <f t="shared" si="13"/>
        <v>n/a</v>
      </c>
      <c r="Q66" s="81" t="str">
        <f t="shared" si="13"/>
        <v>n/a</v>
      </c>
      <c r="R66" s="36"/>
    </row>
    <row r="67" spans="3:18" ht="11.25" customHeight="1" collapsed="1" x14ac:dyDescent="0.2">
      <c r="C67" s="88" t="str">
        <f t="shared" si="10"/>
        <v>EBIT</v>
      </c>
      <c r="D67" s="88" t="str">
        <f t="shared" si="10"/>
        <v>EBIT</v>
      </c>
      <c r="E67" s="84" t="str">
        <f t="shared" si="11"/>
        <v>n/a</v>
      </c>
      <c r="F67" s="87" t="str">
        <f t="shared" si="11"/>
        <v>n/a</v>
      </c>
      <c r="G67" s="87" t="str">
        <f t="shared" si="11"/>
        <v>n/a</v>
      </c>
      <c r="H67" s="36"/>
      <c r="I67" s="36"/>
      <c r="J67" s="84" t="str">
        <f t="shared" si="12"/>
        <v>n/a</v>
      </c>
      <c r="K67" s="87" t="str">
        <f t="shared" si="12"/>
        <v>n/a</v>
      </c>
      <c r="L67" s="87" t="str">
        <f t="shared" si="12"/>
        <v>n/a</v>
      </c>
      <c r="M67" s="36"/>
      <c r="N67" s="36"/>
      <c r="O67" s="84" t="str">
        <f t="shared" si="13"/>
        <v>n/a</v>
      </c>
      <c r="P67" s="87" t="str">
        <f t="shared" si="13"/>
        <v>n/a</v>
      </c>
      <c r="Q67" s="87" t="str">
        <f t="shared" si="13"/>
        <v>n/a</v>
      </c>
      <c r="R67" s="36"/>
    </row>
    <row r="68" spans="3:18" ht="11.25" customHeight="1" outlineLevel="1" x14ac:dyDescent="0.2">
      <c r="C68" s="82" t="str">
        <f t="shared" si="10"/>
        <v>Beteiligungsergebnis</v>
      </c>
      <c r="D68" s="82" t="str">
        <f t="shared" si="10"/>
        <v>Investment income</v>
      </c>
      <c r="E68" s="78" t="str">
        <f t="shared" si="11"/>
        <v>n/a</v>
      </c>
      <c r="F68" s="81" t="str">
        <f t="shared" si="11"/>
        <v>n/a</v>
      </c>
      <c r="G68" s="81" t="str">
        <f t="shared" si="11"/>
        <v>n/a</v>
      </c>
      <c r="H68" s="36"/>
      <c r="I68" s="36"/>
      <c r="J68" s="78" t="str">
        <f t="shared" si="12"/>
        <v>n/a</v>
      </c>
      <c r="K68" s="81" t="str">
        <f t="shared" si="12"/>
        <v>n/a</v>
      </c>
      <c r="L68" s="81" t="str">
        <f t="shared" si="12"/>
        <v>n/a</v>
      </c>
      <c r="M68" s="36"/>
      <c r="N68" s="36"/>
      <c r="O68" s="78" t="str">
        <f t="shared" si="13"/>
        <v>n/a</v>
      </c>
      <c r="P68" s="81" t="str">
        <f t="shared" si="13"/>
        <v>n/a</v>
      </c>
      <c r="Q68" s="81" t="str">
        <f t="shared" si="13"/>
        <v>n/a</v>
      </c>
      <c r="R68" s="36"/>
    </row>
    <row r="69" spans="3:18" ht="11.25" customHeight="1" outlineLevel="1" x14ac:dyDescent="0.2">
      <c r="C69" s="82" t="str">
        <f t="shared" si="10"/>
        <v>Zinserträge</v>
      </c>
      <c r="D69" s="82" t="str">
        <f t="shared" si="10"/>
        <v>Interest income</v>
      </c>
      <c r="E69" s="78" t="str">
        <f t="shared" si="11"/>
        <v>n/a</v>
      </c>
      <c r="F69" s="81" t="str">
        <f t="shared" si="11"/>
        <v>n/a</v>
      </c>
      <c r="G69" s="81" t="str">
        <f t="shared" si="11"/>
        <v>n/a</v>
      </c>
      <c r="H69" s="36"/>
      <c r="I69" s="36"/>
      <c r="J69" s="78" t="str">
        <f t="shared" si="12"/>
        <v>n/a</v>
      </c>
      <c r="K69" s="81" t="str">
        <f t="shared" si="12"/>
        <v>n/a</v>
      </c>
      <c r="L69" s="81" t="str">
        <f t="shared" si="12"/>
        <v>n/a</v>
      </c>
      <c r="M69" s="36"/>
      <c r="N69" s="36"/>
      <c r="O69" s="78" t="str">
        <f t="shared" si="13"/>
        <v>n/a</v>
      </c>
      <c r="P69" s="81" t="str">
        <f t="shared" si="13"/>
        <v>n/a</v>
      </c>
      <c r="Q69" s="81" t="str">
        <f t="shared" si="13"/>
        <v>n/a</v>
      </c>
      <c r="R69" s="36"/>
    </row>
    <row r="70" spans="3:18" ht="11.25" customHeight="1" outlineLevel="1" x14ac:dyDescent="0.2">
      <c r="C70" s="82" t="str">
        <f t="shared" si="10"/>
        <v>Zinsaufwendungen</v>
      </c>
      <c r="D70" s="82" t="str">
        <f t="shared" si="10"/>
        <v>Interest expenses</v>
      </c>
      <c r="E70" s="78" t="str">
        <f t="shared" si="11"/>
        <v>n/a</v>
      </c>
      <c r="F70" s="81" t="str">
        <f t="shared" si="11"/>
        <v>n/a</v>
      </c>
      <c r="G70" s="81" t="str">
        <f t="shared" si="11"/>
        <v>n/a</v>
      </c>
      <c r="H70" s="36"/>
      <c r="I70" s="36"/>
      <c r="J70" s="78" t="str">
        <f t="shared" si="12"/>
        <v>n/a</v>
      </c>
      <c r="K70" s="81" t="str">
        <f t="shared" si="12"/>
        <v>n/a</v>
      </c>
      <c r="L70" s="81" t="str">
        <f t="shared" si="12"/>
        <v>n/a</v>
      </c>
      <c r="M70" s="36"/>
      <c r="N70" s="36"/>
      <c r="O70" s="78" t="str">
        <f t="shared" si="13"/>
        <v>n/a</v>
      </c>
      <c r="P70" s="81" t="str">
        <f t="shared" si="13"/>
        <v>n/a</v>
      </c>
      <c r="Q70" s="81" t="str">
        <f t="shared" si="13"/>
        <v>n/a</v>
      </c>
      <c r="R70" s="36"/>
    </row>
    <row r="71" spans="3:18" ht="11.25" hidden="1" customHeight="1" outlineLevel="2" x14ac:dyDescent="0.2">
      <c r="C71" s="82" t="str">
        <f t="shared" si="10"/>
        <v>Abschreibungen auf Finanzanlagen</v>
      </c>
      <c r="D71" s="82" t="str">
        <f t="shared" si="10"/>
        <v>Abschreibungn auf Finanzanlagen</v>
      </c>
      <c r="E71" s="78" t="str">
        <f t="shared" si="11"/>
        <v>n/a</v>
      </c>
      <c r="F71" s="81" t="str">
        <f t="shared" si="11"/>
        <v>n/a</v>
      </c>
      <c r="G71" s="81" t="str">
        <f t="shared" si="11"/>
        <v>n/a</v>
      </c>
      <c r="H71" s="36"/>
      <c r="I71" s="36"/>
      <c r="J71" s="78" t="str">
        <f t="shared" si="12"/>
        <v>n/a</v>
      </c>
      <c r="K71" s="81" t="str">
        <f t="shared" si="12"/>
        <v>n/a</v>
      </c>
      <c r="L71" s="81" t="str">
        <f t="shared" si="12"/>
        <v>n/a</v>
      </c>
      <c r="M71" s="36"/>
      <c r="N71" s="36"/>
      <c r="O71" s="78" t="str">
        <f t="shared" si="13"/>
        <v>n/a</v>
      </c>
      <c r="P71" s="81" t="str">
        <f t="shared" si="13"/>
        <v>n/a</v>
      </c>
      <c r="Q71" s="81" t="str">
        <f t="shared" si="13"/>
        <v>n/a</v>
      </c>
      <c r="R71" s="36"/>
    </row>
    <row r="72" spans="3:18" ht="11.25" hidden="1" customHeight="1" outlineLevel="2" x14ac:dyDescent="0.2">
      <c r="C72" s="82" t="str">
        <f t="shared" si="10"/>
        <v>Dummy 2</v>
      </c>
      <c r="D72" s="82" t="str">
        <f t="shared" si="10"/>
        <v>Dummy 2</v>
      </c>
      <c r="E72" s="78" t="str">
        <f t="shared" si="11"/>
        <v>n/a</v>
      </c>
      <c r="F72" s="81" t="str">
        <f t="shared" si="11"/>
        <v>n/a</v>
      </c>
      <c r="G72" s="81" t="str">
        <f t="shared" si="11"/>
        <v>n/a</v>
      </c>
      <c r="H72" s="36"/>
      <c r="I72" s="36"/>
      <c r="J72" s="78" t="str">
        <f t="shared" si="12"/>
        <v>n/a</v>
      </c>
      <c r="K72" s="81" t="str">
        <f t="shared" si="12"/>
        <v>n/a</v>
      </c>
      <c r="L72" s="81" t="str">
        <f t="shared" si="12"/>
        <v>n/a</v>
      </c>
      <c r="M72" s="36"/>
      <c r="N72" s="36"/>
      <c r="O72" s="78" t="str">
        <f t="shared" si="13"/>
        <v>n/a</v>
      </c>
      <c r="P72" s="81" t="str">
        <f t="shared" si="13"/>
        <v>n/a</v>
      </c>
      <c r="Q72" s="81" t="str">
        <f t="shared" si="13"/>
        <v>n/a</v>
      </c>
      <c r="R72" s="36"/>
    </row>
    <row r="73" spans="3:18" ht="11.25" hidden="1" customHeight="1" outlineLevel="2" x14ac:dyDescent="0.2">
      <c r="C73" s="82" t="str">
        <f t="shared" si="10"/>
        <v>Dummy 3</v>
      </c>
      <c r="D73" s="82" t="str">
        <f t="shared" si="10"/>
        <v>Dummy 3</v>
      </c>
      <c r="E73" s="78" t="str">
        <f t="shared" si="11"/>
        <v>n/a</v>
      </c>
      <c r="F73" s="81" t="str">
        <f t="shared" si="11"/>
        <v>n/a</v>
      </c>
      <c r="G73" s="81" t="str">
        <f t="shared" si="11"/>
        <v>n/a</v>
      </c>
      <c r="H73" s="36"/>
      <c r="I73" s="36"/>
      <c r="J73" s="78" t="str">
        <f t="shared" si="12"/>
        <v>n/a</v>
      </c>
      <c r="K73" s="81" t="str">
        <f t="shared" si="12"/>
        <v>n/a</v>
      </c>
      <c r="L73" s="81" t="str">
        <f t="shared" si="12"/>
        <v>n/a</v>
      </c>
      <c r="M73" s="36"/>
      <c r="N73" s="36"/>
      <c r="O73" s="78" t="str">
        <f t="shared" si="13"/>
        <v>n/a</v>
      </c>
      <c r="P73" s="81" t="str">
        <f t="shared" si="13"/>
        <v>n/a</v>
      </c>
      <c r="Q73" s="81" t="str">
        <f t="shared" si="13"/>
        <v>n/a</v>
      </c>
      <c r="R73" s="36"/>
    </row>
    <row r="74" spans="3:18" ht="11.25" customHeight="1" x14ac:dyDescent="0.2">
      <c r="C74" s="82" t="str">
        <f t="shared" si="10"/>
        <v>Finanzergebnis</v>
      </c>
      <c r="D74" s="82" t="str">
        <f t="shared" si="10"/>
        <v>Financial result</v>
      </c>
      <c r="E74" s="78" t="str">
        <f t="shared" si="11"/>
        <v>n/a</v>
      </c>
      <c r="F74" s="81" t="str">
        <f t="shared" si="11"/>
        <v>n/a</v>
      </c>
      <c r="G74" s="81" t="str">
        <f t="shared" si="11"/>
        <v>n/a</v>
      </c>
      <c r="H74" s="36"/>
      <c r="I74" s="36"/>
      <c r="J74" s="78" t="str">
        <f t="shared" si="12"/>
        <v>n/a</v>
      </c>
      <c r="K74" s="81" t="str">
        <f t="shared" si="12"/>
        <v>n/a</v>
      </c>
      <c r="L74" s="81" t="str">
        <f t="shared" si="12"/>
        <v>n/a</v>
      </c>
      <c r="M74" s="36"/>
      <c r="N74" s="36"/>
      <c r="O74" s="78" t="str">
        <f t="shared" si="13"/>
        <v>n/a</v>
      </c>
      <c r="P74" s="81" t="str">
        <f t="shared" si="13"/>
        <v>n/a</v>
      </c>
      <c r="Q74" s="81" t="str">
        <f t="shared" si="13"/>
        <v>n/a</v>
      </c>
      <c r="R74" s="36"/>
    </row>
    <row r="75" spans="3:18" ht="11.25" customHeight="1" x14ac:dyDescent="0.2">
      <c r="C75" s="88" t="str">
        <f t="shared" si="10"/>
        <v>EBT</v>
      </c>
      <c r="D75" s="88" t="str">
        <f t="shared" si="10"/>
        <v>EBT</v>
      </c>
      <c r="E75" s="84" t="str">
        <f t="shared" si="11"/>
        <v>n/a</v>
      </c>
      <c r="F75" s="87" t="str">
        <f t="shared" si="11"/>
        <v>n/a</v>
      </c>
      <c r="G75" s="87" t="str">
        <f t="shared" si="11"/>
        <v>n/a</v>
      </c>
      <c r="H75" s="36"/>
      <c r="I75" s="36"/>
      <c r="J75" s="84" t="str">
        <f t="shared" si="12"/>
        <v>n/a</v>
      </c>
      <c r="K75" s="87" t="str">
        <f t="shared" si="12"/>
        <v>n/a</v>
      </c>
      <c r="L75" s="87" t="str">
        <f t="shared" si="12"/>
        <v>n/a</v>
      </c>
      <c r="M75" s="36"/>
      <c r="N75" s="36"/>
      <c r="O75" s="84" t="str">
        <f t="shared" si="13"/>
        <v>n/a</v>
      </c>
      <c r="P75" s="87" t="str">
        <f t="shared" si="13"/>
        <v>n/a</v>
      </c>
      <c r="Q75" s="87" t="str">
        <f t="shared" si="13"/>
        <v>n/a</v>
      </c>
      <c r="R75" s="36"/>
    </row>
    <row r="76" spans="3:18" ht="11.25" customHeight="1" x14ac:dyDescent="0.2">
      <c r="C76" s="82" t="str">
        <f t="shared" si="10"/>
        <v>Ertragssteuern</v>
      </c>
      <c r="D76" s="82" t="str">
        <f t="shared" si="10"/>
        <v>Income taxes</v>
      </c>
      <c r="E76" s="78" t="str">
        <f t="shared" si="11"/>
        <v>n/a</v>
      </c>
      <c r="F76" s="81" t="str">
        <f t="shared" si="11"/>
        <v>n/a</v>
      </c>
      <c r="G76" s="81" t="str">
        <f t="shared" si="11"/>
        <v>n/a</v>
      </c>
      <c r="H76" s="36"/>
      <c r="I76" s="36"/>
      <c r="J76" s="78" t="str">
        <f t="shared" si="12"/>
        <v>n/a</v>
      </c>
      <c r="K76" s="81" t="str">
        <f t="shared" si="12"/>
        <v>n/a</v>
      </c>
      <c r="L76" s="81" t="str">
        <f t="shared" si="12"/>
        <v>n/a</v>
      </c>
      <c r="M76" s="36"/>
      <c r="N76" s="36"/>
      <c r="O76" s="78" t="str">
        <f t="shared" si="13"/>
        <v>n/a</v>
      </c>
      <c r="P76" s="81" t="str">
        <f t="shared" si="13"/>
        <v>n/a</v>
      </c>
      <c r="Q76" s="81" t="str">
        <f t="shared" si="13"/>
        <v>n/a</v>
      </c>
      <c r="R76" s="36"/>
    </row>
    <row r="77" spans="3:18" ht="11.25" customHeight="1" x14ac:dyDescent="0.2">
      <c r="C77" s="82" t="str">
        <f t="shared" si="10"/>
        <v>Sonstige Steuern</v>
      </c>
      <c r="D77" s="82" t="str">
        <f t="shared" si="10"/>
        <v>Other taxes</v>
      </c>
      <c r="E77" s="78" t="str">
        <f t="shared" si="11"/>
        <v>n/a</v>
      </c>
      <c r="F77" s="81" t="str">
        <f t="shared" si="11"/>
        <v>n/a</v>
      </c>
      <c r="G77" s="81" t="str">
        <f t="shared" si="11"/>
        <v>n/a</v>
      </c>
      <c r="H77" s="36"/>
      <c r="I77" s="36"/>
      <c r="J77" s="78" t="str">
        <f t="shared" si="12"/>
        <v>n/a</v>
      </c>
      <c r="K77" s="81" t="str">
        <f t="shared" si="12"/>
        <v>n/a</v>
      </c>
      <c r="L77" s="81" t="str">
        <f t="shared" si="12"/>
        <v>n/a</v>
      </c>
      <c r="M77" s="36"/>
      <c r="N77" s="36"/>
      <c r="O77" s="78" t="str">
        <f t="shared" si="13"/>
        <v>n/a</v>
      </c>
      <c r="P77" s="81" t="str">
        <f t="shared" si="13"/>
        <v>n/a</v>
      </c>
      <c r="Q77" s="81" t="str">
        <f t="shared" si="13"/>
        <v>n/a</v>
      </c>
      <c r="R77" s="36"/>
    </row>
    <row r="78" spans="3:18" ht="11.25" customHeight="1" x14ac:dyDescent="0.2">
      <c r="C78" s="88" t="str">
        <f t="shared" si="10"/>
        <v>Jahresüberschuss</v>
      </c>
      <c r="D78" s="88" t="str">
        <f t="shared" si="10"/>
        <v>Profit / Loss</v>
      </c>
      <c r="E78" s="84" t="str">
        <f t="shared" si="11"/>
        <v>n/a</v>
      </c>
      <c r="F78" s="87" t="str">
        <f t="shared" si="11"/>
        <v>n/a</v>
      </c>
      <c r="G78" s="87" t="str">
        <f t="shared" si="11"/>
        <v>n/a</v>
      </c>
      <c r="H78" s="36"/>
      <c r="I78" s="36"/>
      <c r="J78" s="84" t="str">
        <f t="shared" si="12"/>
        <v>n/a</v>
      </c>
      <c r="K78" s="87" t="str">
        <f t="shared" si="12"/>
        <v>n/a</v>
      </c>
      <c r="L78" s="87" t="str">
        <f t="shared" si="12"/>
        <v>n/a</v>
      </c>
      <c r="M78" s="36"/>
      <c r="N78" s="36"/>
      <c r="O78" s="84" t="str">
        <f t="shared" si="13"/>
        <v>n/a</v>
      </c>
      <c r="P78" s="87" t="str">
        <f t="shared" si="13"/>
        <v>n/a</v>
      </c>
      <c r="Q78" s="87" t="str">
        <f t="shared" si="13"/>
        <v>n/a</v>
      </c>
      <c r="R78" s="36"/>
    </row>
    <row r="79" spans="3:18" ht="4.5" customHeight="1" x14ac:dyDescent="0.2">
      <c r="C79" s="82"/>
      <c r="D79" s="82"/>
      <c r="E79" s="128"/>
      <c r="F79" s="81"/>
      <c r="G79" s="81"/>
      <c r="H79" s="36"/>
      <c r="I79" s="36"/>
      <c r="J79" s="128"/>
      <c r="K79" s="81"/>
      <c r="L79" s="81"/>
      <c r="M79" s="36"/>
      <c r="N79" s="36"/>
      <c r="O79" s="128"/>
      <c r="P79" s="81"/>
      <c r="Q79" s="81"/>
      <c r="R79" s="36"/>
    </row>
    <row r="80" spans="3:18" ht="11.25" customHeight="1" x14ac:dyDescent="0.2">
      <c r="C80" s="76" t="str">
        <f>"Quelle: "&amp;Cockpit!$C$7</f>
        <v>Quelle: Datenraum/ eigene Analysen</v>
      </c>
      <c r="D80" s="76" t="str">
        <f>"Source: "&amp;Cockpit!$C$8</f>
        <v>Source: Virtual Data Room/ Company Information</v>
      </c>
      <c r="E80" s="41"/>
      <c r="F80" s="41"/>
      <c r="G80" s="41"/>
      <c r="H80" s="41"/>
      <c r="I80" s="81"/>
      <c r="J80" s="41"/>
      <c r="K80" s="41"/>
      <c r="L80" s="41"/>
      <c r="M80" s="41"/>
      <c r="N80" s="81"/>
      <c r="O80" s="41"/>
      <c r="P80" s="41"/>
      <c r="Q80" s="41"/>
      <c r="R80" s="41"/>
    </row>
    <row r="81" spans="4:16" ht="11.25" customHeight="1" x14ac:dyDescent="0.2"/>
    <row r="82" spans="4:16" ht="11.25" customHeight="1" x14ac:dyDescent="0.2"/>
    <row r="84" spans="4:16" x14ac:dyDescent="0.2">
      <c r="D84" s="72" t="s">
        <v>647</v>
      </c>
      <c r="F84" s="71">
        <f>'Lead PL'!F59</f>
        <v>-5778.9981100000023</v>
      </c>
      <c r="K84" s="71">
        <f>'Lead PL'!G59</f>
        <v>-7243.865539999998</v>
      </c>
      <c r="P84" s="71">
        <f>'Lead PL'!H59</f>
        <v>-7402.8350900000014</v>
      </c>
    </row>
    <row r="85" spans="4:16" x14ac:dyDescent="0.2">
      <c r="D85" s="70" t="s">
        <v>233</v>
      </c>
      <c r="E85" s="353"/>
      <c r="F85" s="158">
        <f>F84-F43</f>
        <v>-5778.9981100000023</v>
      </c>
      <c r="G85" s="250"/>
      <c r="H85" s="250"/>
      <c r="I85" s="250"/>
      <c r="J85" s="353"/>
      <c r="K85" s="158">
        <f>K84-K43</f>
        <v>-7243.865539999998</v>
      </c>
      <c r="L85" s="250"/>
      <c r="M85" s="250"/>
      <c r="N85" s="250"/>
      <c r="O85" s="353"/>
      <c r="P85" s="158">
        <f>P84-P43</f>
        <v>-7402.8350900000014</v>
      </c>
    </row>
  </sheetData>
  <mergeCells count="12">
    <mergeCell ref="E7:H7"/>
    <mergeCell ref="J7:M7"/>
    <mergeCell ref="O7:R7"/>
    <mergeCell ref="G8:H8"/>
    <mergeCell ref="L8:M8"/>
    <mergeCell ref="Q8:R8"/>
    <mergeCell ref="E4:H4"/>
    <mergeCell ref="J4:M4"/>
    <mergeCell ref="O4:R4"/>
    <mergeCell ref="G5:H5"/>
    <mergeCell ref="L5:M5"/>
    <mergeCell ref="Q5:R5"/>
  </mergeCells>
  <conditionalFormatting sqref="A1:XFD1048576">
    <cfRule type="containsText" dxfId="133" priority="1" operator="containsText" text="Dummy">
      <formula>NOT(ISERROR(SEARCH("Dummy",A1)))</formula>
    </cfRule>
  </conditionalFormatting>
  <conditionalFormatting sqref="F85">
    <cfRule type="cellIs" dxfId="132" priority="8" operator="between">
      <formula>-1</formula>
      <formula>1</formula>
    </cfRule>
    <cfRule type="cellIs" dxfId="131" priority="9" operator="lessThan">
      <formula>-1</formula>
    </cfRule>
    <cfRule type="cellIs" dxfId="130" priority="10" operator="greaterThan">
      <formula>1</formula>
    </cfRule>
  </conditionalFormatting>
  <conditionalFormatting sqref="K85">
    <cfRule type="cellIs" dxfId="129" priority="5" operator="between">
      <formula>-1</formula>
      <formula>1</formula>
    </cfRule>
    <cfRule type="cellIs" dxfId="128" priority="6" operator="lessThan">
      <formula>-1</formula>
    </cfRule>
    <cfRule type="cellIs" dxfId="127" priority="7" operator="greaterThan">
      <formula>1</formula>
    </cfRule>
  </conditionalFormatting>
  <conditionalFormatting sqref="P85">
    <cfRule type="cellIs" dxfId="126" priority="2" operator="between">
      <formula>-1</formula>
      <formula>1</formula>
    </cfRule>
    <cfRule type="cellIs" dxfId="125" priority="3" operator="lessThan">
      <formula>-1</formula>
    </cfRule>
    <cfRule type="cellIs" dxfId="124" priority="4" operator="greaterThan">
      <formula>1</formula>
    </cfRule>
  </conditionalFormatting>
  <pageMargins left="0.7" right="0.7" top="0.78740157499999996" bottom="0.78740157499999996"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B453-84D6-4004-9D6C-A5D02901DCC9}">
  <sheetPr>
    <tabColor rgb="FF92D050"/>
  </sheetPr>
  <dimension ref="B1:Z53"/>
  <sheetViews>
    <sheetView topLeftCell="A2" workbookViewId="0"/>
  </sheetViews>
  <sheetFormatPr defaultColWidth="11.28515625" defaultRowHeight="11.45" customHeight="1" outlineLevelRow="3" outlineLevelCol="2" x14ac:dyDescent="0.2"/>
  <cols>
    <col min="1" max="1" width="11.28515625" style="1"/>
    <col min="2" max="2" width="0.85546875" style="1" customWidth="1" outlineLevel="2"/>
    <col min="3" max="3" width="29.140625" style="1" customWidth="1" outlineLevel="2"/>
    <col min="4" max="4" width="29.140625" style="1" customWidth="1" outlineLevel="1"/>
    <col min="5" max="7" width="14.140625" style="1" customWidth="1" outlineLevel="1"/>
    <col min="8" max="8" width="0.85546875" style="1" customWidth="1" outlineLevel="2"/>
    <col min="9" max="9" width="11.28515625" style="1"/>
    <col min="10" max="10" width="0.85546875" style="1" hidden="1" customWidth="1" outlineLevel="2"/>
    <col min="11" max="11" width="35.5703125" style="1" hidden="1" customWidth="1" outlineLevel="2"/>
    <col min="12" max="12" width="35.5703125" style="1" customWidth="1" collapsed="1"/>
    <col min="13" max="14" width="13.28515625" style="1" customWidth="1"/>
    <col min="15" max="15" width="9.42578125" style="1" customWidth="1"/>
    <col min="16" max="16" width="0.85546875" style="1" hidden="1" customWidth="1" outlineLevel="2"/>
    <col min="17" max="17" width="11.28515625" style="1" collapsed="1"/>
    <col min="18" max="18" width="0.85546875" style="1" hidden="1" customWidth="1" outlineLevel="2"/>
    <col min="19" max="19" width="35.5703125" style="1" hidden="1" customWidth="1" outlineLevel="2"/>
    <col min="20" max="20" width="35.5703125" style="1" customWidth="1" collapsed="1"/>
    <col min="21" max="22" width="13.28515625" style="1" customWidth="1"/>
    <col min="23" max="23" width="9.42578125" style="1" customWidth="1"/>
    <col min="24" max="24" width="0.85546875" style="1" hidden="1" customWidth="1" outlineLevel="2"/>
    <col min="25" max="25" width="11.28515625" style="1" collapsed="1"/>
    <col min="26" max="16384" width="11.28515625" style="1"/>
  </cols>
  <sheetData>
    <row r="1" spans="2:24" ht="11.45" hidden="1" customHeight="1" outlineLevel="3" x14ac:dyDescent="0.2"/>
    <row r="2" spans="2:24" ht="11.45" customHeight="1" collapsed="1" x14ac:dyDescent="0.2"/>
    <row r="3" spans="2:24" ht="11.45" customHeight="1" x14ac:dyDescent="0.2">
      <c r="B3" s="251"/>
      <c r="H3" s="251"/>
      <c r="J3" s="251"/>
      <c r="P3" s="251"/>
      <c r="R3" s="251"/>
      <c r="X3" s="251"/>
    </row>
    <row r="4" spans="2:24" ht="11.45" hidden="1" customHeight="1" outlineLevel="3" x14ac:dyDescent="0.2">
      <c r="B4" s="251"/>
      <c r="C4" s="236" t="str">
        <f>Cockpit!$C$4</f>
        <v>Projekt Namur</v>
      </c>
      <c r="D4" s="230"/>
      <c r="E4" s="230">
        <f>'Lead PL'!F4</f>
        <v>44926</v>
      </c>
      <c r="F4" s="230">
        <f>'Lead PL'!F4</f>
        <v>44926</v>
      </c>
      <c r="G4" s="230"/>
      <c r="H4" s="251"/>
      <c r="J4" s="251"/>
      <c r="K4" s="236" t="str">
        <f>Cockpit!$C$4</f>
        <v>Projekt Namur</v>
      </c>
      <c r="L4" s="230"/>
      <c r="M4" s="230">
        <f>'Lead PL'!G4</f>
        <v>45291</v>
      </c>
      <c r="N4" s="230">
        <f>'Lead PL'!G4</f>
        <v>45291</v>
      </c>
      <c r="O4" s="230"/>
      <c r="P4" s="251"/>
      <c r="R4" s="251"/>
      <c r="S4" s="236" t="str">
        <f>Cockpit!$C$4</f>
        <v>Projekt Namur</v>
      </c>
      <c r="T4" s="230"/>
      <c r="U4" s="230">
        <f>'Lead PL'!H4</f>
        <v>45657</v>
      </c>
      <c r="V4" s="230">
        <f>'Lead PL'!H4</f>
        <v>45657</v>
      </c>
      <c r="W4" s="230"/>
      <c r="X4" s="251"/>
    </row>
    <row r="5" spans="2:24" ht="11.45" hidden="1" customHeight="1" outlineLevel="3" x14ac:dyDescent="0.2">
      <c r="B5" s="251"/>
      <c r="C5" s="236"/>
      <c r="D5" s="230"/>
      <c r="E5" s="230" t="s">
        <v>644</v>
      </c>
      <c r="F5" s="230" t="s">
        <v>646</v>
      </c>
      <c r="G5" s="230"/>
      <c r="H5" s="251"/>
      <c r="J5" s="251"/>
      <c r="K5" s="236"/>
      <c r="L5" s="230"/>
      <c r="M5" s="230" t="s">
        <v>644</v>
      </c>
      <c r="N5" s="230" t="s">
        <v>646</v>
      </c>
      <c r="O5" s="230"/>
      <c r="P5" s="251"/>
      <c r="R5" s="251"/>
      <c r="S5" s="236"/>
      <c r="T5" s="230"/>
      <c r="U5" s="230" t="s">
        <v>644</v>
      </c>
      <c r="V5" s="230" t="s">
        <v>646</v>
      </c>
      <c r="W5" s="230"/>
      <c r="X5" s="251"/>
    </row>
    <row r="6" spans="2:24" ht="11.45" hidden="1" customHeight="1" outlineLevel="3" x14ac:dyDescent="0.2">
      <c r="B6" s="251"/>
      <c r="C6" s="236" t="str">
        <f>"in T"&amp;Cockpit!$C$5</f>
        <v>in TEUR</v>
      </c>
      <c r="D6" s="230"/>
      <c r="E6" s="230" t="s">
        <v>643</v>
      </c>
      <c r="F6" s="230" t="s">
        <v>645</v>
      </c>
      <c r="G6" s="230" t="s">
        <v>641</v>
      </c>
      <c r="H6" s="251"/>
      <c r="J6" s="251"/>
      <c r="K6" s="236" t="str">
        <f>"in T"&amp;Cockpit!$C$5</f>
        <v>in TEUR</v>
      </c>
      <c r="L6" s="230"/>
      <c r="M6" s="230" t="s">
        <v>643</v>
      </c>
      <c r="N6" s="230" t="s">
        <v>645</v>
      </c>
      <c r="O6" s="230" t="s">
        <v>641</v>
      </c>
      <c r="P6" s="251"/>
      <c r="R6" s="251"/>
      <c r="S6" s="236" t="str">
        <f>"in T"&amp;Cockpit!$C$5</f>
        <v>in TEUR</v>
      </c>
      <c r="T6" s="230"/>
      <c r="U6" s="230" t="s">
        <v>643</v>
      </c>
      <c r="V6" s="230" t="s">
        <v>645</v>
      </c>
      <c r="W6" s="230" t="s">
        <v>641</v>
      </c>
      <c r="X6" s="251"/>
    </row>
    <row r="7" spans="2:24" ht="11.45" customHeight="1" collapsed="1" x14ac:dyDescent="0.2">
      <c r="B7" s="251"/>
      <c r="C7" s="352"/>
      <c r="D7" s="232" t="str">
        <f>Cockpit!$C$4</f>
        <v>Projekt Namur</v>
      </c>
      <c r="E7" s="233">
        <f>'Lead PL'!F6</f>
        <v>44926</v>
      </c>
      <c r="F7" s="233">
        <f>'Lead PL'!F4</f>
        <v>44926</v>
      </c>
      <c r="G7" s="233"/>
      <c r="H7" s="251"/>
      <c r="J7" s="251"/>
      <c r="K7" s="352"/>
      <c r="L7" s="232" t="str">
        <f>Cockpit!$C$4</f>
        <v>Projekt Namur</v>
      </c>
      <c r="M7" s="233">
        <f>'Lead PL'!G6</f>
        <v>45291</v>
      </c>
      <c r="N7" s="233">
        <f>'Lead PL'!G6</f>
        <v>45291</v>
      </c>
      <c r="O7" s="233"/>
      <c r="P7" s="251"/>
      <c r="R7" s="251"/>
      <c r="S7" s="352"/>
      <c r="T7" s="232" t="str">
        <f>Cockpit!$C$4</f>
        <v>Projekt Namur</v>
      </c>
      <c r="U7" s="233">
        <f>'Lead PL'!H6</f>
        <v>45657</v>
      </c>
      <c r="V7" s="233">
        <f>'Lead PL'!H6</f>
        <v>45657</v>
      </c>
      <c r="W7" s="233"/>
      <c r="X7" s="251"/>
    </row>
    <row r="8" spans="2:24" ht="11.45" customHeight="1" x14ac:dyDescent="0.2">
      <c r="B8" s="251"/>
      <c r="C8" s="351"/>
      <c r="D8" s="232"/>
      <c r="E8" s="233" t="s">
        <v>644</v>
      </c>
      <c r="F8" s="233" t="s">
        <v>38</v>
      </c>
      <c r="G8" s="233"/>
      <c r="H8" s="251"/>
      <c r="J8" s="251"/>
      <c r="K8" s="351"/>
      <c r="L8" s="232"/>
      <c r="M8" s="233" t="s">
        <v>644</v>
      </c>
      <c r="N8" s="233" t="s">
        <v>38</v>
      </c>
      <c r="O8" s="233"/>
      <c r="P8" s="251"/>
      <c r="R8" s="251"/>
      <c r="S8" s="351"/>
      <c r="T8" s="232"/>
      <c r="U8" s="233" t="s">
        <v>644</v>
      </c>
      <c r="V8" s="233" t="s">
        <v>38</v>
      </c>
      <c r="W8" s="233"/>
      <c r="X8" s="251"/>
    </row>
    <row r="9" spans="2:24" ht="11.45" customHeight="1" x14ac:dyDescent="0.2">
      <c r="B9" s="251"/>
      <c r="C9" s="351"/>
      <c r="D9" s="232" t="str">
        <f>"in k"&amp;Cockpit!$C$5</f>
        <v>in kEUR</v>
      </c>
      <c r="E9" s="233" t="s">
        <v>643</v>
      </c>
      <c r="F9" s="233" t="s">
        <v>642</v>
      </c>
      <c r="G9" s="233" t="s">
        <v>641</v>
      </c>
      <c r="H9" s="251"/>
      <c r="J9" s="251"/>
      <c r="K9" s="351"/>
      <c r="L9" s="232" t="str">
        <f>"in k"&amp;Cockpit!$C$5</f>
        <v>in kEUR</v>
      </c>
      <c r="M9" s="233" t="s">
        <v>643</v>
      </c>
      <c r="N9" s="233" t="s">
        <v>642</v>
      </c>
      <c r="O9" s="233" t="s">
        <v>641</v>
      </c>
      <c r="P9" s="251"/>
      <c r="R9" s="251"/>
      <c r="S9" s="351"/>
      <c r="T9" s="232" t="str">
        <f>"in k"&amp;Cockpit!$C$5</f>
        <v>in kEUR</v>
      </c>
      <c r="U9" s="233" t="s">
        <v>643</v>
      </c>
      <c r="V9" s="233" t="s">
        <v>642</v>
      </c>
      <c r="W9" s="233" t="s">
        <v>641</v>
      </c>
      <c r="X9" s="251"/>
    </row>
    <row r="10" spans="2:24" ht="4.5" customHeight="1" x14ac:dyDescent="0.2">
      <c r="B10" s="251"/>
      <c r="C10" s="37"/>
      <c r="D10" s="37"/>
      <c r="E10" s="36"/>
      <c r="F10" s="36"/>
      <c r="G10" s="36"/>
      <c r="H10" s="251"/>
      <c r="J10" s="251"/>
      <c r="K10" s="37"/>
      <c r="L10" s="37"/>
      <c r="M10" s="36"/>
      <c r="N10" s="36"/>
      <c r="O10" s="36"/>
      <c r="P10" s="251"/>
      <c r="Q10" s="251"/>
      <c r="R10" s="251"/>
      <c r="S10" s="37"/>
      <c r="T10" s="37"/>
      <c r="U10" s="36"/>
      <c r="V10" s="36"/>
      <c r="W10" s="36"/>
      <c r="X10" s="251"/>
    </row>
    <row r="11" spans="2:24" ht="11.45" customHeight="1" x14ac:dyDescent="0.2">
      <c r="B11" s="251"/>
      <c r="C11" s="37" t="str">
        <f>+'Lead PL'!C9</f>
        <v>Umsatzerlöse</v>
      </c>
      <c r="D11" s="37" t="str">
        <f>+'Lead PL'!D9</f>
        <v>Revenues</v>
      </c>
      <c r="E11" s="36"/>
      <c r="F11" s="36"/>
      <c r="G11" s="36">
        <f t="shared" ref="G11:G47" si="0">F11-E11</f>
        <v>0</v>
      </c>
      <c r="H11" s="251"/>
      <c r="J11" s="251"/>
      <c r="K11" s="37" t="str">
        <f t="shared" ref="K11:K47" si="1">C11</f>
        <v>Umsatzerlöse</v>
      </c>
      <c r="L11" s="37" t="str">
        <f t="shared" ref="L11:L47" si="2">D11</f>
        <v>Revenues</v>
      </c>
      <c r="M11" s="36">
        <f>'Lead PL'!G9</f>
        <v>15316.24358</v>
      </c>
      <c r="N11" s="36">
        <f>'P&amp;L (Annual Report)'!F23/1000</f>
        <v>15317.63898</v>
      </c>
      <c r="O11" s="36">
        <f t="shared" ref="O11:O47" si="3">N11-M11</f>
        <v>1.3953999999994267</v>
      </c>
      <c r="P11" s="251"/>
      <c r="Q11" s="251"/>
      <c r="R11" s="251"/>
      <c r="S11" s="37" t="str">
        <f t="shared" ref="S11:S47" si="4">K11</f>
        <v>Umsatzerlöse</v>
      </c>
      <c r="T11" s="37" t="str">
        <f t="shared" ref="T11:T47" si="5">L11</f>
        <v>Revenues</v>
      </c>
      <c r="U11" s="36">
        <f>'Lead PL'!H9</f>
        <v>16659.963460000003</v>
      </c>
      <c r="V11" s="36">
        <f>'P&amp;L (Annual Report)'!G23/1000</f>
        <v>16663.420859999998</v>
      </c>
      <c r="W11" s="36">
        <f t="shared" ref="W11:W47" si="6">V11-U11</f>
        <v>3.4573999999956868</v>
      </c>
      <c r="X11" s="251"/>
    </row>
    <row r="12" spans="2:24" ht="11.45" hidden="1" customHeight="1" outlineLevel="2" x14ac:dyDescent="0.2">
      <c r="B12" s="251"/>
      <c r="C12" s="37" t="str">
        <f>+'Lead PL'!C19</f>
        <v>Bestandsveränderung</v>
      </c>
      <c r="D12" s="37" t="str">
        <f>+'Lead PL'!D19</f>
        <v>Change in inventory</v>
      </c>
      <c r="E12" s="36"/>
      <c r="F12" s="36"/>
      <c r="G12" s="36">
        <f t="shared" si="0"/>
        <v>0</v>
      </c>
      <c r="H12" s="251"/>
      <c r="J12" s="251"/>
      <c r="K12" s="37" t="str">
        <f t="shared" si="1"/>
        <v>Bestandsveränderung</v>
      </c>
      <c r="L12" s="37" t="str">
        <f t="shared" si="2"/>
        <v>Change in inventory</v>
      </c>
      <c r="M12" s="36">
        <f>'Lead PL'!G19</f>
        <v>199.57713000000001</v>
      </c>
      <c r="N12" s="36">
        <f>'P&amp;L (Annual Report)'!F28/1000</f>
        <v>199.57713000000001</v>
      </c>
      <c r="O12" s="36">
        <f t="shared" si="3"/>
        <v>0</v>
      </c>
      <c r="P12" s="251"/>
      <c r="Q12" s="251"/>
      <c r="R12" s="251"/>
      <c r="S12" s="37" t="str">
        <f t="shared" si="4"/>
        <v>Bestandsveränderung</v>
      </c>
      <c r="T12" s="37" t="str">
        <f t="shared" si="5"/>
        <v>Change in inventory</v>
      </c>
      <c r="U12" s="36">
        <f>'Lead PL'!H19</f>
        <v>350.79514</v>
      </c>
      <c r="V12" s="36">
        <f>'P&amp;L (Annual Report)'!G28/1000</f>
        <v>350.79514</v>
      </c>
      <c r="W12" s="36">
        <f t="shared" si="6"/>
        <v>0</v>
      </c>
      <c r="X12" s="251"/>
    </row>
    <row r="13" spans="2:24" ht="11.45" hidden="1" customHeight="1" outlineLevel="2" x14ac:dyDescent="0.2">
      <c r="B13" s="251"/>
      <c r="C13" s="37" t="str">
        <f>+'Lead PL'!C22</f>
        <v>Dummy 2</v>
      </c>
      <c r="D13" s="37" t="str">
        <f>+'Lead PL'!D22</f>
        <v>Dummy 2</v>
      </c>
      <c r="E13" s="36"/>
      <c r="F13" s="36"/>
      <c r="G13" s="36">
        <f t="shared" si="0"/>
        <v>0</v>
      </c>
      <c r="H13" s="251"/>
      <c r="J13" s="251"/>
      <c r="K13" s="37" t="str">
        <f t="shared" si="1"/>
        <v>Dummy 2</v>
      </c>
      <c r="L13" s="37" t="str">
        <f t="shared" si="2"/>
        <v>Dummy 2</v>
      </c>
      <c r="M13" s="36"/>
      <c r="N13" s="36"/>
      <c r="O13" s="36">
        <f t="shared" si="3"/>
        <v>0</v>
      </c>
      <c r="P13" s="251"/>
      <c r="Q13" s="251"/>
      <c r="R13" s="251"/>
      <c r="S13" s="37" t="str">
        <f t="shared" si="4"/>
        <v>Dummy 2</v>
      </c>
      <c r="T13" s="37" t="str">
        <f t="shared" si="5"/>
        <v>Dummy 2</v>
      </c>
      <c r="U13" s="36"/>
      <c r="V13" s="36"/>
      <c r="W13" s="36">
        <f t="shared" si="6"/>
        <v>0</v>
      </c>
      <c r="X13" s="251"/>
    </row>
    <row r="14" spans="2:24" ht="11.45" hidden="1" customHeight="1" outlineLevel="2" x14ac:dyDescent="0.2">
      <c r="B14" s="251"/>
      <c r="C14" s="42" t="str">
        <f>+'Lead PL'!C23</f>
        <v>Dummy 3</v>
      </c>
      <c r="D14" s="42" t="str">
        <f>+'Lead PL'!D23</f>
        <v>Dummy 3</v>
      </c>
      <c r="E14" s="127"/>
      <c r="F14" s="127"/>
      <c r="G14" s="127">
        <f t="shared" si="0"/>
        <v>0</v>
      </c>
      <c r="H14" s="251"/>
      <c r="J14" s="251"/>
      <c r="K14" s="42" t="str">
        <f t="shared" si="1"/>
        <v>Dummy 3</v>
      </c>
      <c r="L14" s="42" t="str">
        <f t="shared" si="2"/>
        <v>Dummy 3</v>
      </c>
      <c r="M14" s="127"/>
      <c r="N14" s="127"/>
      <c r="O14" s="127">
        <f t="shared" si="3"/>
        <v>0</v>
      </c>
      <c r="P14" s="251"/>
      <c r="Q14" s="251"/>
      <c r="R14" s="251"/>
      <c r="S14" s="42" t="str">
        <f t="shared" si="4"/>
        <v>Dummy 3</v>
      </c>
      <c r="T14" s="42" t="str">
        <f t="shared" si="5"/>
        <v>Dummy 3</v>
      </c>
      <c r="U14" s="127"/>
      <c r="V14" s="127"/>
      <c r="W14" s="127">
        <f t="shared" si="6"/>
        <v>0</v>
      </c>
      <c r="X14" s="251"/>
    </row>
    <row r="15" spans="2:24" ht="11.45" customHeight="1" collapsed="1" x14ac:dyDescent="0.2">
      <c r="B15" s="251"/>
      <c r="C15" s="141" t="str">
        <f>+'Lead PL'!C24</f>
        <v>Gesamtleistung</v>
      </c>
      <c r="D15" s="141" t="str">
        <f>+'Lead PL'!D24</f>
        <v>Total output</v>
      </c>
      <c r="E15" s="141">
        <f>SUM(E11:E14)</f>
        <v>0</v>
      </c>
      <c r="F15" s="141">
        <f>SUM(F11:F14)</f>
        <v>0</v>
      </c>
      <c r="G15" s="141">
        <f t="shared" si="0"/>
        <v>0</v>
      </c>
      <c r="H15" s="251"/>
      <c r="J15" s="251"/>
      <c r="K15" s="141" t="str">
        <f t="shared" si="1"/>
        <v>Gesamtleistung</v>
      </c>
      <c r="L15" s="141" t="str">
        <f t="shared" si="2"/>
        <v>Total output</v>
      </c>
      <c r="M15" s="141">
        <f>SUM(M11:M14)</f>
        <v>15515.82071</v>
      </c>
      <c r="N15" s="141">
        <f>SUM(N11:N14)</f>
        <v>15517.216109999999</v>
      </c>
      <c r="O15" s="141">
        <f t="shared" si="3"/>
        <v>1.3953999999994267</v>
      </c>
      <c r="P15" s="251"/>
      <c r="Q15" s="251"/>
      <c r="R15" s="251"/>
      <c r="S15" s="141" t="str">
        <f t="shared" si="4"/>
        <v>Gesamtleistung</v>
      </c>
      <c r="T15" s="141" t="str">
        <f t="shared" si="5"/>
        <v>Total output</v>
      </c>
      <c r="U15" s="141">
        <f>SUM(U11:U14)</f>
        <v>17010.758600000001</v>
      </c>
      <c r="V15" s="141">
        <f>SUM(V11:V14)</f>
        <v>17014.215999999997</v>
      </c>
      <c r="W15" s="141">
        <f t="shared" si="6"/>
        <v>3.4573999999956868</v>
      </c>
      <c r="X15" s="251"/>
    </row>
    <row r="16" spans="2:24" ht="11.45" customHeight="1" x14ac:dyDescent="0.2">
      <c r="B16" s="251"/>
      <c r="C16" s="37" t="str">
        <f>+'Lead PL'!C25</f>
        <v>Materialaufwand</v>
      </c>
      <c r="D16" s="37" t="str">
        <f>+'Lead PL'!D25</f>
        <v>Cost of materials</v>
      </c>
      <c r="E16" s="36"/>
      <c r="F16" s="36"/>
      <c r="G16" s="36">
        <f t="shared" si="0"/>
        <v>0</v>
      </c>
      <c r="H16" s="251"/>
      <c r="J16" s="251"/>
      <c r="K16" s="37" t="str">
        <f t="shared" si="1"/>
        <v>Materialaufwand</v>
      </c>
      <c r="L16" s="37" t="str">
        <f t="shared" si="2"/>
        <v>Cost of materials</v>
      </c>
      <c r="M16" s="36">
        <f>'Lead PL'!G25</f>
        <v>-8086.502379999999</v>
      </c>
      <c r="N16" s="36">
        <f>-'P&amp;L (Annual Report)'!F66/1000</f>
        <v>-8086.5023799999999</v>
      </c>
      <c r="O16" s="36">
        <f t="shared" si="3"/>
        <v>0</v>
      </c>
      <c r="P16" s="251"/>
      <c r="Q16" s="251"/>
      <c r="R16" s="251"/>
      <c r="S16" s="37" t="str">
        <f t="shared" si="4"/>
        <v>Materialaufwand</v>
      </c>
      <c r="T16" s="37" t="str">
        <f t="shared" si="5"/>
        <v>Cost of materials</v>
      </c>
      <c r="U16" s="36">
        <f>'Lead PL'!H25</f>
        <v>-8397.8873899999999</v>
      </c>
      <c r="V16" s="36">
        <f>-'P&amp;L (Annual Report)'!G66/1000</f>
        <v>-8397.8873899999999</v>
      </c>
      <c r="W16" s="36">
        <f t="shared" si="6"/>
        <v>0</v>
      </c>
      <c r="X16" s="251"/>
    </row>
    <row r="17" spans="2:26" ht="11.45" hidden="1" customHeight="1" outlineLevel="2" x14ac:dyDescent="0.2">
      <c r="B17" s="251"/>
      <c r="C17" s="37" t="str">
        <f>+'Lead PL'!C26</f>
        <v>RHB-Aufwand</v>
      </c>
      <c r="D17" s="37" t="str">
        <f>+'Lead PL'!D26</f>
        <v>Dummy 1</v>
      </c>
      <c r="E17" s="36"/>
      <c r="F17" s="36"/>
      <c r="G17" s="36">
        <f t="shared" si="0"/>
        <v>0</v>
      </c>
      <c r="H17" s="251"/>
      <c r="J17" s="251"/>
      <c r="K17" s="37" t="str">
        <f t="shared" si="1"/>
        <v>RHB-Aufwand</v>
      </c>
      <c r="L17" s="37" t="str">
        <f t="shared" si="2"/>
        <v>Dummy 1</v>
      </c>
      <c r="M17" s="36"/>
      <c r="N17" s="36"/>
      <c r="O17" s="36">
        <f t="shared" si="3"/>
        <v>0</v>
      </c>
      <c r="P17" s="251"/>
      <c r="Q17" s="251"/>
      <c r="R17" s="251"/>
      <c r="S17" s="37" t="str">
        <f t="shared" si="4"/>
        <v>RHB-Aufwand</v>
      </c>
      <c r="T17" s="37" t="str">
        <f t="shared" si="5"/>
        <v>Dummy 1</v>
      </c>
      <c r="U17" s="36"/>
      <c r="V17" s="36"/>
      <c r="W17" s="36">
        <f t="shared" si="6"/>
        <v>0</v>
      </c>
      <c r="X17" s="251"/>
    </row>
    <row r="18" spans="2:26" ht="11.45" hidden="1" customHeight="1" outlineLevel="2" x14ac:dyDescent="0.2">
      <c r="B18" s="251"/>
      <c r="C18" s="37" t="str">
        <f>+'Lead PL'!C27</f>
        <v>Fremdleistungen</v>
      </c>
      <c r="D18" s="37" t="str">
        <f>+'Lead PL'!D27</f>
        <v>Dummy 2</v>
      </c>
      <c r="E18" s="36"/>
      <c r="F18" s="36"/>
      <c r="G18" s="36">
        <f t="shared" si="0"/>
        <v>0</v>
      </c>
      <c r="H18" s="251"/>
      <c r="J18" s="251"/>
      <c r="K18" s="37" t="str">
        <f t="shared" si="1"/>
        <v>Fremdleistungen</v>
      </c>
      <c r="L18" s="37" t="str">
        <f t="shared" si="2"/>
        <v>Dummy 2</v>
      </c>
      <c r="M18" s="36"/>
      <c r="N18" s="36"/>
      <c r="O18" s="36">
        <f t="shared" si="3"/>
        <v>0</v>
      </c>
      <c r="P18" s="251"/>
      <c r="Q18" s="251"/>
      <c r="R18" s="251"/>
      <c r="S18" s="37" t="str">
        <f t="shared" si="4"/>
        <v>Fremdleistungen</v>
      </c>
      <c r="T18" s="37" t="str">
        <f t="shared" si="5"/>
        <v>Dummy 2</v>
      </c>
      <c r="U18" s="36"/>
      <c r="V18" s="36"/>
      <c r="W18" s="36">
        <f t="shared" si="6"/>
        <v>0</v>
      </c>
      <c r="X18" s="251"/>
    </row>
    <row r="19" spans="2:26" ht="11.45" hidden="1" customHeight="1" outlineLevel="2" x14ac:dyDescent="0.2">
      <c r="B19" s="251"/>
      <c r="C19" s="42" t="str">
        <f>+'Lead PL'!C28</f>
        <v>Dummy 3</v>
      </c>
      <c r="D19" s="42" t="str">
        <f>+'Lead PL'!D28</f>
        <v>Dummy 3</v>
      </c>
      <c r="E19" s="127"/>
      <c r="F19" s="127"/>
      <c r="G19" s="127">
        <f t="shared" si="0"/>
        <v>0</v>
      </c>
      <c r="H19" s="251"/>
      <c r="J19" s="251"/>
      <c r="K19" s="42" t="str">
        <f t="shared" si="1"/>
        <v>Dummy 3</v>
      </c>
      <c r="L19" s="42" t="str">
        <f t="shared" si="2"/>
        <v>Dummy 3</v>
      </c>
      <c r="M19" s="127"/>
      <c r="N19" s="127"/>
      <c r="O19" s="127">
        <f t="shared" si="3"/>
        <v>0</v>
      </c>
      <c r="P19" s="251"/>
      <c r="Q19" s="251"/>
      <c r="R19" s="251"/>
      <c r="S19" s="42" t="str">
        <f t="shared" si="4"/>
        <v>Dummy 3</v>
      </c>
      <c r="T19" s="42" t="str">
        <f t="shared" si="5"/>
        <v>Dummy 3</v>
      </c>
      <c r="U19" s="127"/>
      <c r="V19" s="127"/>
      <c r="W19" s="127">
        <f t="shared" si="6"/>
        <v>0</v>
      </c>
      <c r="X19" s="251"/>
    </row>
    <row r="20" spans="2:26" ht="11.45" customHeight="1" collapsed="1" x14ac:dyDescent="0.2">
      <c r="B20" s="251"/>
      <c r="C20" s="141" t="str">
        <f>+'Lead PL'!C29</f>
        <v>Rohergebnis</v>
      </c>
      <c r="D20" s="141" t="str">
        <f>+'Lead PL'!D29</f>
        <v>Gross profit</v>
      </c>
      <c r="E20" s="141">
        <f>SUM(E15:E19)</f>
        <v>0</v>
      </c>
      <c r="F20" s="141">
        <f>SUM(F15:F19)</f>
        <v>0</v>
      </c>
      <c r="G20" s="141">
        <f t="shared" si="0"/>
        <v>0</v>
      </c>
      <c r="H20" s="251"/>
      <c r="J20" s="251"/>
      <c r="K20" s="141" t="str">
        <f t="shared" si="1"/>
        <v>Rohergebnis</v>
      </c>
      <c r="L20" s="141" t="str">
        <f t="shared" si="2"/>
        <v>Gross profit</v>
      </c>
      <c r="M20" s="141">
        <f>SUM(M15:M19)</f>
        <v>7429.318330000001</v>
      </c>
      <c r="N20" s="141">
        <f>SUM(N15:N19)</f>
        <v>7430.7137299999995</v>
      </c>
      <c r="O20" s="141">
        <f t="shared" si="3"/>
        <v>1.3953999999985172</v>
      </c>
      <c r="P20" s="251"/>
      <c r="Q20" s="251"/>
      <c r="R20" s="251"/>
      <c r="S20" s="141" t="str">
        <f t="shared" si="4"/>
        <v>Rohergebnis</v>
      </c>
      <c r="T20" s="141" t="str">
        <f t="shared" si="5"/>
        <v>Gross profit</v>
      </c>
      <c r="U20" s="141">
        <f>SUM(U15:U19)</f>
        <v>8612.8712100000012</v>
      </c>
      <c r="V20" s="141">
        <f>SUM(V15:V19)</f>
        <v>8616.3286099999968</v>
      </c>
      <c r="W20" s="141">
        <f t="shared" si="6"/>
        <v>3.4573999999956868</v>
      </c>
      <c r="X20" s="251"/>
    </row>
    <row r="21" spans="2:26" ht="11.45" customHeight="1" x14ac:dyDescent="0.2">
      <c r="B21" s="251"/>
      <c r="C21" s="37" t="str">
        <f>+'Lead PL'!C30</f>
        <v>Personalaufwand</v>
      </c>
      <c r="D21" s="37" t="str">
        <f>+'Lead PL'!D30</f>
        <v>Personnel expenses</v>
      </c>
      <c r="E21" s="36"/>
      <c r="F21" s="36"/>
      <c r="G21" s="36">
        <f t="shared" si="0"/>
        <v>0</v>
      </c>
      <c r="H21" s="251"/>
      <c r="J21" s="251"/>
      <c r="K21" s="37" t="str">
        <f t="shared" si="1"/>
        <v>Personalaufwand</v>
      </c>
      <c r="L21" s="37" t="str">
        <f t="shared" si="2"/>
        <v>Personnel expenses</v>
      </c>
      <c r="M21" s="36">
        <f>'Lead PL'!G30</f>
        <v>-3758.9842600000011</v>
      </c>
      <c r="N21" s="36">
        <f>-'P&amp;L (Annual Report)'!F96/1000</f>
        <v>-3758.9842600000006</v>
      </c>
      <c r="O21" s="36">
        <f t="shared" si="3"/>
        <v>0</v>
      </c>
      <c r="P21" s="251"/>
      <c r="Q21" s="251"/>
      <c r="R21" s="251"/>
      <c r="S21" s="37" t="str">
        <f t="shared" si="4"/>
        <v>Personalaufwand</v>
      </c>
      <c r="T21" s="37" t="str">
        <f t="shared" si="5"/>
        <v>Personnel expenses</v>
      </c>
      <c r="U21" s="36">
        <f>'Lead PL'!H30</f>
        <v>-4522.3510500000011</v>
      </c>
      <c r="V21" s="36">
        <f>-'P&amp;L (Annual Report)'!G96/1000</f>
        <v>-4522.3510500000002</v>
      </c>
      <c r="W21" s="36">
        <f t="shared" si="6"/>
        <v>0</v>
      </c>
      <c r="X21" s="251"/>
    </row>
    <row r="22" spans="2:26" ht="11.45" customHeight="1" x14ac:dyDescent="0.2">
      <c r="B22" s="251"/>
      <c r="C22" s="37" t="str">
        <f>+'Lead PL'!C31</f>
        <v>Miet- und Grundstücksaufwendungen</v>
      </c>
      <c r="D22" s="37" t="str">
        <f>+'Lead PL'!D31</f>
        <v>Premise costs</v>
      </c>
      <c r="E22" s="36"/>
      <c r="F22" s="36"/>
      <c r="G22" s="36">
        <f t="shared" si="0"/>
        <v>0</v>
      </c>
      <c r="H22" s="251"/>
      <c r="J22" s="251"/>
      <c r="K22" s="37" t="str">
        <f t="shared" si="1"/>
        <v>Miet- und Grundstücksaufwendungen</v>
      </c>
      <c r="L22" s="37" t="str">
        <f t="shared" si="2"/>
        <v>Premise costs</v>
      </c>
      <c r="M22" s="36">
        <f>'Lead PL'!G31</f>
        <v>-341.33094000000006</v>
      </c>
      <c r="N22" s="36">
        <f>-'P&amp;L (Annual Report)'!F102/1000</f>
        <v>-332.59165000000002</v>
      </c>
      <c r="O22" s="36">
        <f t="shared" si="3"/>
        <v>8.7392900000000395</v>
      </c>
      <c r="P22" s="251"/>
      <c r="R22" s="251"/>
      <c r="S22" s="37" t="str">
        <f t="shared" si="4"/>
        <v>Miet- und Grundstücksaufwendungen</v>
      </c>
      <c r="T22" s="37" t="str">
        <f t="shared" si="5"/>
        <v>Premise costs</v>
      </c>
      <c r="U22" s="36">
        <f>'Lead PL'!H31</f>
        <v>-422.98253</v>
      </c>
      <c r="V22" s="36">
        <f>-'P&amp;L (Annual Report)'!G102/1000</f>
        <v>-402.59501999999998</v>
      </c>
      <c r="W22" s="36">
        <f t="shared" si="6"/>
        <v>20.38751000000002</v>
      </c>
      <c r="X22" s="251"/>
      <c r="Z22" s="251" t="s">
        <v>2410</v>
      </c>
    </row>
    <row r="23" spans="2:26" ht="11.45" customHeight="1" x14ac:dyDescent="0.2">
      <c r="B23" s="251"/>
      <c r="C23" s="37" t="str">
        <f>+'Lead PL'!C32</f>
        <v>Reparaturen und Instandhaltungen</v>
      </c>
      <c r="D23" s="37" t="str">
        <f>+'Lead PL'!D32</f>
        <v>Repair and maintenance</v>
      </c>
      <c r="E23" s="36"/>
      <c r="F23" s="36"/>
      <c r="G23" s="36">
        <f t="shared" si="0"/>
        <v>0</v>
      </c>
      <c r="H23" s="251"/>
      <c r="J23" s="251"/>
      <c r="K23" s="37" t="str">
        <f t="shared" si="1"/>
        <v>Reparaturen und Instandhaltungen</v>
      </c>
      <c r="L23" s="37" t="str">
        <f t="shared" si="2"/>
        <v>Repair and maintenance</v>
      </c>
      <c r="M23" s="36">
        <f>'Lead PL'!G32</f>
        <v>-124.28149000000001</v>
      </c>
      <c r="N23" s="36">
        <f>-'P&amp;L (Annual Report)'!F112/1000</f>
        <v>-124.28149000000001</v>
      </c>
      <c r="O23" s="36">
        <f t="shared" si="3"/>
        <v>0</v>
      </c>
      <c r="P23" s="251"/>
      <c r="R23" s="251"/>
      <c r="S23" s="37" t="str">
        <f t="shared" si="4"/>
        <v>Reparaturen und Instandhaltungen</v>
      </c>
      <c r="T23" s="37" t="str">
        <f t="shared" si="5"/>
        <v>Repair and maintenance</v>
      </c>
      <c r="U23" s="36">
        <f>'Lead PL'!H32</f>
        <v>-133.31280999999998</v>
      </c>
      <c r="V23" s="36">
        <f>-'P&amp;L (Annual Report)'!G112/1000</f>
        <v>-133.31280999999998</v>
      </c>
      <c r="W23" s="36">
        <f t="shared" si="6"/>
        <v>0</v>
      </c>
      <c r="X23" s="251"/>
      <c r="Z23" s="251"/>
    </row>
    <row r="24" spans="2:26" ht="11.45" customHeight="1" x14ac:dyDescent="0.2">
      <c r="B24" s="251"/>
      <c r="C24" s="37" t="str">
        <f>+'Lead PL'!C33</f>
        <v>Vertriebskosten</v>
      </c>
      <c r="D24" s="37" t="str">
        <f>+'Lead PL'!D33</f>
        <v>Sales costs</v>
      </c>
      <c r="E24" s="36"/>
      <c r="F24" s="36"/>
      <c r="G24" s="36">
        <f t="shared" si="0"/>
        <v>0</v>
      </c>
      <c r="H24" s="251"/>
      <c r="J24" s="251"/>
      <c r="K24" s="37" t="str">
        <f t="shared" ref="K24:K29" si="7">C24</f>
        <v>Vertriebskosten</v>
      </c>
      <c r="L24" s="37" t="str">
        <f t="shared" ref="L24:L29" si="8">D24</f>
        <v>Sales costs</v>
      </c>
      <c r="M24" s="36">
        <f>'Lead PL'!G33</f>
        <v>0</v>
      </c>
      <c r="N24" s="36">
        <v>0</v>
      </c>
      <c r="O24" s="36">
        <f t="shared" si="3"/>
        <v>0</v>
      </c>
      <c r="P24" s="251"/>
      <c r="R24" s="251"/>
      <c r="S24" s="37" t="str">
        <f t="shared" ref="S24:T27" si="9">K24</f>
        <v>Vertriebskosten</v>
      </c>
      <c r="T24" s="37" t="str">
        <f t="shared" si="9"/>
        <v>Sales costs</v>
      </c>
      <c r="U24" s="36">
        <f>'Lead PL'!H33</f>
        <v>0</v>
      </c>
      <c r="V24" s="36">
        <v>0</v>
      </c>
      <c r="W24" s="36">
        <f t="shared" si="6"/>
        <v>0</v>
      </c>
      <c r="X24" s="251"/>
      <c r="Z24" s="251"/>
    </row>
    <row r="25" spans="2:26" ht="11.45" customHeight="1" x14ac:dyDescent="0.2">
      <c r="B25" s="251"/>
      <c r="C25" s="37" t="str">
        <f>+'Lead PL'!C34</f>
        <v>Kosten der Warenabgabe</v>
      </c>
      <c r="D25" s="37" t="str">
        <f>+'Lead PL'!D34</f>
        <v>Delivery costs</v>
      </c>
      <c r="E25" s="36"/>
      <c r="F25" s="36"/>
      <c r="G25" s="36">
        <f t="shared" si="0"/>
        <v>0</v>
      </c>
      <c r="H25" s="251"/>
      <c r="J25" s="251"/>
      <c r="K25" s="37" t="str">
        <f t="shared" si="7"/>
        <v>Kosten der Warenabgabe</v>
      </c>
      <c r="L25" s="37" t="str">
        <f t="shared" si="8"/>
        <v>Delivery costs</v>
      </c>
      <c r="M25" s="36">
        <f>'Lead PL'!G34</f>
        <v>-285.42781000000002</v>
      </c>
      <c r="N25" s="36">
        <f>-'P&amp;L (Annual Report)'!F183/1000</f>
        <v>-285.42781000000002</v>
      </c>
      <c r="O25" s="36">
        <f t="shared" si="3"/>
        <v>0</v>
      </c>
      <c r="P25" s="251"/>
      <c r="R25" s="251"/>
      <c r="S25" s="37" t="str">
        <f t="shared" si="9"/>
        <v>Kosten der Warenabgabe</v>
      </c>
      <c r="T25" s="37" t="str">
        <f t="shared" si="9"/>
        <v>Delivery costs</v>
      </c>
      <c r="U25" s="36">
        <f>'Lead PL'!H34</f>
        <v>-301.38342999999998</v>
      </c>
      <c r="V25" s="36">
        <f>-'P&amp;L (Annual Report)'!G183/1000</f>
        <v>-301.38342999999998</v>
      </c>
      <c r="W25" s="36">
        <f t="shared" si="6"/>
        <v>0</v>
      </c>
      <c r="X25" s="251"/>
      <c r="Z25" s="251"/>
    </row>
    <row r="26" spans="2:26" ht="11.45" customHeight="1" x14ac:dyDescent="0.2">
      <c r="B26" s="251"/>
      <c r="C26" s="37" t="str">
        <f>+'Lead PL'!C35</f>
        <v>Fahrzeugkosten</v>
      </c>
      <c r="D26" s="37" t="str">
        <f>+'Lead PL'!D35</f>
        <v>Vehicle costs</v>
      </c>
      <c r="E26" s="36"/>
      <c r="F26" s="36"/>
      <c r="G26" s="36">
        <f t="shared" si="0"/>
        <v>0</v>
      </c>
      <c r="H26" s="251"/>
      <c r="J26" s="251"/>
      <c r="K26" s="37" t="str">
        <f t="shared" si="7"/>
        <v>Fahrzeugkosten</v>
      </c>
      <c r="L26" s="37" t="str">
        <f t="shared" si="8"/>
        <v>Vehicle costs</v>
      </c>
      <c r="M26" s="36">
        <f>'Lead PL'!G35</f>
        <v>-194.66808</v>
      </c>
      <c r="N26" s="36">
        <f>-'P&amp;L (Annual Report)'!F164/1000</f>
        <v>-194.66808</v>
      </c>
      <c r="O26" s="36">
        <f t="shared" si="3"/>
        <v>0</v>
      </c>
      <c r="P26" s="251"/>
      <c r="R26" s="251"/>
      <c r="S26" s="37" t="str">
        <f t="shared" si="9"/>
        <v>Fahrzeugkosten</v>
      </c>
      <c r="T26" s="37" t="str">
        <f t="shared" si="9"/>
        <v>Vehicle costs</v>
      </c>
      <c r="U26" s="36">
        <f>'Lead PL'!H35</f>
        <v>-246.06181000000001</v>
      </c>
      <c r="V26" s="36">
        <f>-'P&amp;L (Annual Report)'!G164/1000</f>
        <v>-246.06181000000001</v>
      </c>
      <c r="W26" s="36">
        <f t="shared" si="6"/>
        <v>0</v>
      </c>
      <c r="X26" s="251"/>
      <c r="Z26" s="251"/>
    </row>
    <row r="27" spans="2:26" ht="11.45" customHeight="1" x14ac:dyDescent="0.2">
      <c r="B27" s="251"/>
      <c r="C27" s="37" t="str">
        <f>+'Lead PL'!C36</f>
        <v>Versicherung, Beiträge und Abgaben</v>
      </c>
      <c r="D27" s="37" t="str">
        <f>+'Lead PL'!D36</f>
        <v>Insurance, contributions and levies expenses</v>
      </c>
      <c r="E27" s="36"/>
      <c r="F27" s="36"/>
      <c r="G27" s="36">
        <f t="shared" si="0"/>
        <v>0</v>
      </c>
      <c r="H27" s="251"/>
      <c r="J27" s="251"/>
      <c r="K27" s="37" t="str">
        <f t="shared" si="7"/>
        <v>Versicherung, Beiträge und Abgaben</v>
      </c>
      <c r="L27" s="37" t="str">
        <f t="shared" si="8"/>
        <v>Insurance, contributions and levies expenses</v>
      </c>
      <c r="M27" s="36">
        <f>'Lead PL'!G36</f>
        <v>-73.243100000000013</v>
      </c>
      <c r="N27" s="36">
        <f>-'P&amp;L (Annual Report)'!F108/1000</f>
        <v>-73.243100000000013</v>
      </c>
      <c r="O27" s="36">
        <f t="shared" si="3"/>
        <v>0</v>
      </c>
      <c r="P27" s="251"/>
      <c r="R27" s="251"/>
      <c r="S27" s="37" t="str">
        <f t="shared" si="9"/>
        <v>Versicherung, Beiträge und Abgaben</v>
      </c>
      <c r="T27" s="37" t="str">
        <f t="shared" si="9"/>
        <v>Insurance, contributions and levies expenses</v>
      </c>
      <c r="U27" s="36">
        <f>'Lead PL'!H36</f>
        <v>-69.683399999999992</v>
      </c>
      <c r="V27" s="36">
        <f>-'P&amp;L (Annual Report)'!G108/1000</f>
        <v>-69.683399999999992</v>
      </c>
      <c r="W27" s="36">
        <f t="shared" si="6"/>
        <v>0</v>
      </c>
      <c r="X27" s="251"/>
      <c r="Z27" s="251"/>
    </row>
    <row r="28" spans="2:26" ht="11.45" customHeight="1" x14ac:dyDescent="0.2">
      <c r="B28" s="251"/>
      <c r="C28" s="37" t="str">
        <f>+'Lead PL'!C37</f>
        <v>Werbe- und Reisekosten</v>
      </c>
      <c r="D28" s="37" t="str">
        <f>+'Lead PL'!D37</f>
        <v>Advertising and travel expenses</v>
      </c>
      <c r="E28" s="36"/>
      <c r="F28" s="36"/>
      <c r="G28" s="36">
        <f t="shared" si="0"/>
        <v>0</v>
      </c>
      <c r="H28" s="251"/>
      <c r="J28" s="251"/>
      <c r="K28" s="37" t="str">
        <f t="shared" si="7"/>
        <v>Werbe- und Reisekosten</v>
      </c>
      <c r="L28" s="37" t="str">
        <f t="shared" si="8"/>
        <v>Advertising and travel expenses</v>
      </c>
      <c r="M28" s="36">
        <f>'Lead PL'!G37</f>
        <v>-177.41994</v>
      </c>
      <c r="N28" s="36">
        <f>-'P&amp;L (Annual Report)'!F178/1000</f>
        <v>-177.41994</v>
      </c>
      <c r="O28" s="36">
        <f t="shared" si="3"/>
        <v>0</v>
      </c>
      <c r="P28" s="251"/>
      <c r="R28" s="251"/>
      <c r="S28" s="37" t="str">
        <f t="shared" si="4"/>
        <v>Werbe- und Reisekosten</v>
      </c>
      <c r="T28" s="37" t="str">
        <f t="shared" si="5"/>
        <v>Advertising and travel expenses</v>
      </c>
      <c r="U28" s="36">
        <f>'Lead PL'!H37</f>
        <v>-154.10663</v>
      </c>
      <c r="V28" s="36">
        <f>-'P&amp;L (Annual Report)'!G178/1000</f>
        <v>-154.10663</v>
      </c>
      <c r="W28" s="36">
        <f t="shared" si="6"/>
        <v>0</v>
      </c>
      <c r="X28" s="251"/>
      <c r="Z28" s="251"/>
    </row>
    <row r="29" spans="2:26" ht="11.45" customHeight="1" x14ac:dyDescent="0.2">
      <c r="B29" s="251"/>
      <c r="C29" s="37" t="str">
        <f>+'Lead PL'!C38</f>
        <v>Sonstige betriebliche Erträge</v>
      </c>
      <c r="D29" s="37" t="str">
        <f>+'Lead PL'!D38</f>
        <v>Other operating income</v>
      </c>
      <c r="E29" s="36"/>
      <c r="F29" s="36"/>
      <c r="G29" s="36">
        <f t="shared" si="0"/>
        <v>0</v>
      </c>
      <c r="H29" s="251"/>
      <c r="J29" s="251"/>
      <c r="K29" s="37" t="str">
        <f t="shared" si="7"/>
        <v>Sonstige betriebliche Erträge</v>
      </c>
      <c r="L29" s="37" t="str">
        <f t="shared" si="8"/>
        <v>Other operating income</v>
      </c>
      <c r="M29" s="36">
        <f>'Lead PL'!G38</f>
        <v>186.95985000000002</v>
      </c>
      <c r="N29" s="36">
        <f>'P&amp;L (Annual Report)'!F45/1000</f>
        <v>185.56445000000002</v>
      </c>
      <c r="O29" s="36">
        <f t="shared" si="3"/>
        <v>-1.3953999999999951</v>
      </c>
      <c r="P29" s="251"/>
      <c r="R29" s="251"/>
      <c r="S29" s="37" t="str">
        <f t="shared" si="4"/>
        <v>Sonstige betriebliche Erträge</v>
      </c>
      <c r="T29" s="37" t="str">
        <f t="shared" si="5"/>
        <v>Other operating income</v>
      </c>
      <c r="U29" s="36">
        <f>'Lead PL'!H38</f>
        <v>264.57159999999999</v>
      </c>
      <c r="V29" s="36">
        <f>'P&amp;L (Annual Report)'!G45/1000</f>
        <v>261.11420000000004</v>
      </c>
      <c r="W29" s="36">
        <f t="shared" si="6"/>
        <v>-3.4573999999999501</v>
      </c>
      <c r="X29" s="251"/>
      <c r="Z29" s="251"/>
    </row>
    <row r="30" spans="2:26" ht="11.45" customHeight="1" x14ac:dyDescent="0.2">
      <c r="B30" s="251"/>
      <c r="C30" s="42" t="str">
        <f>+'Lead PL'!C39</f>
        <v>Sonstige betriebliche Aufwendungen</v>
      </c>
      <c r="D30" s="42" t="str">
        <f>+'Lead PL'!D39</f>
        <v>Other operating expenses</v>
      </c>
      <c r="E30" s="127"/>
      <c r="F30" s="127"/>
      <c r="G30" s="127">
        <f t="shared" si="0"/>
        <v>0</v>
      </c>
      <c r="H30" s="251"/>
      <c r="J30" s="251"/>
      <c r="K30" s="42" t="str">
        <f t="shared" si="1"/>
        <v>Sonstige betriebliche Aufwendungen</v>
      </c>
      <c r="L30" s="42" t="str">
        <f t="shared" si="2"/>
        <v>Other operating expenses</v>
      </c>
      <c r="M30" s="127">
        <f>'Lead PL'!G39</f>
        <v>-1065.7625699999999</v>
      </c>
      <c r="N30" s="127">
        <f>-SUM('P&amp;L (Annual Report)'!F104,'P&amp;L (Annual Report)'!F201,'P&amp;L (Annual Report)'!F207,'P&amp;L (Annual Report)'!F211,'P&amp;L (Annual Report)'!F213)/1000</f>
        <v>-1074.5018599999999</v>
      </c>
      <c r="O30" s="36">
        <f t="shared" si="3"/>
        <v>-8.7392899999999827</v>
      </c>
      <c r="P30" s="251"/>
      <c r="R30" s="251"/>
      <c r="S30" s="42" t="str">
        <f t="shared" si="4"/>
        <v>Sonstige betriebliche Aufwendungen</v>
      </c>
      <c r="T30" s="42" t="str">
        <f t="shared" si="5"/>
        <v>Other operating expenses</v>
      </c>
      <c r="U30" s="127">
        <f>'Lead PL'!H39</f>
        <v>-1267.22038</v>
      </c>
      <c r="V30" s="127">
        <f>-SUM('P&amp;L (Annual Report)'!G104,'P&amp;L (Annual Report)'!G201,'P&amp;L (Annual Report)'!G207,'P&amp;L (Annual Report)'!G211,'P&amp;L (Annual Report)'!G213)/1000</f>
        <v>-1287.60789</v>
      </c>
      <c r="W30" s="127">
        <f t="shared" si="6"/>
        <v>-20.38751000000002</v>
      </c>
      <c r="X30" s="251"/>
      <c r="Z30" s="251" t="s">
        <v>2410</v>
      </c>
    </row>
    <row r="31" spans="2:26" ht="11.45" customHeight="1" x14ac:dyDescent="0.2">
      <c r="B31" s="251"/>
      <c r="C31" s="141" t="str">
        <f>+'Lead PL'!C43</f>
        <v>EBITDA</v>
      </c>
      <c r="D31" s="141" t="str">
        <f>+'Lead PL'!D43</f>
        <v>EBITDA</v>
      </c>
      <c r="E31" s="141">
        <f>SUM(E20:E30)</f>
        <v>0</v>
      </c>
      <c r="F31" s="141">
        <f>SUM(F20:F30)</f>
        <v>0</v>
      </c>
      <c r="G31" s="141">
        <f t="shared" si="0"/>
        <v>0</v>
      </c>
      <c r="H31" s="251"/>
      <c r="J31" s="251"/>
      <c r="K31" s="141" t="str">
        <f t="shared" si="1"/>
        <v>EBITDA</v>
      </c>
      <c r="L31" s="141" t="str">
        <f t="shared" si="2"/>
        <v>EBITDA</v>
      </c>
      <c r="M31" s="141">
        <f>SUM(M20:M30)</f>
        <v>1595.1599900000001</v>
      </c>
      <c r="N31" s="141">
        <f>SUM(N20:N30)</f>
        <v>1595.1599899999987</v>
      </c>
      <c r="O31" s="141">
        <f t="shared" si="3"/>
        <v>0</v>
      </c>
      <c r="P31" s="251"/>
      <c r="R31" s="251"/>
      <c r="S31" s="141" t="str">
        <f t="shared" si="4"/>
        <v>EBITDA</v>
      </c>
      <c r="T31" s="141" t="str">
        <f t="shared" si="5"/>
        <v>EBITDA</v>
      </c>
      <c r="U31" s="141">
        <f>SUM(U20:U30)</f>
        <v>1760.3407700000005</v>
      </c>
      <c r="V31" s="141">
        <f>SUM(V20:V30)</f>
        <v>1760.3407699999973</v>
      </c>
      <c r="W31" s="141">
        <f t="shared" si="6"/>
        <v>-3.1832314562052488E-12</v>
      </c>
      <c r="X31" s="251"/>
      <c r="Z31" s="251"/>
    </row>
    <row r="32" spans="2:26" ht="11.45" customHeight="1" x14ac:dyDescent="0.2">
      <c r="B32" s="251"/>
      <c r="C32" s="37" t="str">
        <f>+'Lead PL'!C44</f>
        <v>Abschreibungen</v>
      </c>
      <c r="D32" s="37" t="str">
        <f>+'Lead PL'!D44</f>
        <v>Depreciation</v>
      </c>
      <c r="E32" s="36"/>
      <c r="F32" s="36"/>
      <c r="G32" s="36">
        <f t="shared" si="0"/>
        <v>0</v>
      </c>
      <c r="H32" s="251"/>
      <c r="J32" s="251"/>
      <c r="K32" s="37" t="str">
        <f t="shared" si="1"/>
        <v>Abschreibungen</v>
      </c>
      <c r="L32" s="37" t="str">
        <f t="shared" si="2"/>
        <v>Depreciation</v>
      </c>
      <c r="M32" s="127">
        <f>'Lead PL'!G44</f>
        <v>-324.63991999999996</v>
      </c>
      <c r="N32" s="36">
        <f>-'P&amp;L (Annual Report)'!F223/1000-'P&amp;L (Annual Report)'!F225/1000</f>
        <v>-359.71841999999998</v>
      </c>
      <c r="O32" s="36">
        <f t="shared" si="3"/>
        <v>-35.07850000000002</v>
      </c>
      <c r="P32" s="251"/>
      <c r="R32" s="251"/>
      <c r="S32" s="37" t="str">
        <f t="shared" si="4"/>
        <v>Abschreibungen</v>
      </c>
      <c r="T32" s="37" t="str">
        <f t="shared" si="5"/>
        <v>Depreciation</v>
      </c>
      <c r="U32" s="127">
        <f>'Lead PL'!H44</f>
        <v>-315.71971000000002</v>
      </c>
      <c r="V32" s="36">
        <f>-'P&amp;L (Annual Report)'!G223/1000-'P&amp;L (Annual Report)'!G225/1000</f>
        <v>-319.79300000000001</v>
      </c>
      <c r="W32" s="36">
        <f t="shared" si="6"/>
        <v>-4.0732899999999859</v>
      </c>
      <c r="X32" s="251"/>
      <c r="Z32" s="251" t="s">
        <v>2411</v>
      </c>
    </row>
    <row r="33" spans="2:26" ht="11.45" hidden="1" customHeight="1" outlineLevel="2" x14ac:dyDescent="0.2">
      <c r="B33" s="251"/>
      <c r="C33" s="37" t="str">
        <f>+'Lead PL'!C45</f>
        <v>Dummy 1</v>
      </c>
      <c r="D33" s="37" t="str">
        <f>+'Lead PL'!D45</f>
        <v>Dummy 1</v>
      </c>
      <c r="E33" s="36"/>
      <c r="F33" s="36"/>
      <c r="G33" s="36">
        <f t="shared" si="0"/>
        <v>0</v>
      </c>
      <c r="H33" s="251"/>
      <c r="J33" s="251"/>
      <c r="K33" s="37" t="str">
        <f t="shared" si="1"/>
        <v>Dummy 1</v>
      </c>
      <c r="L33" s="37" t="str">
        <f t="shared" si="2"/>
        <v>Dummy 1</v>
      </c>
      <c r="M33" s="36"/>
      <c r="N33" s="36"/>
      <c r="O33" s="36">
        <f t="shared" si="3"/>
        <v>0</v>
      </c>
      <c r="P33" s="251"/>
      <c r="R33" s="251"/>
      <c r="S33" s="37" t="str">
        <f t="shared" si="4"/>
        <v>Dummy 1</v>
      </c>
      <c r="T33" s="37" t="str">
        <f t="shared" si="5"/>
        <v>Dummy 1</v>
      </c>
      <c r="U33" s="36"/>
      <c r="V33" s="36"/>
      <c r="W33" s="36">
        <f t="shared" si="6"/>
        <v>0</v>
      </c>
      <c r="X33" s="251"/>
      <c r="Z33" s="251"/>
    </row>
    <row r="34" spans="2:26" ht="11.45" hidden="1" customHeight="1" outlineLevel="2" x14ac:dyDescent="0.2">
      <c r="B34" s="251"/>
      <c r="C34" s="37" t="str">
        <f>+'Lead PL'!C46</f>
        <v>Dummy 2</v>
      </c>
      <c r="D34" s="37" t="str">
        <f>+'Lead PL'!D46</f>
        <v>Dummy 2</v>
      </c>
      <c r="E34" s="36"/>
      <c r="F34" s="36"/>
      <c r="G34" s="36">
        <f t="shared" si="0"/>
        <v>0</v>
      </c>
      <c r="H34" s="251"/>
      <c r="J34" s="251"/>
      <c r="K34" s="37" t="str">
        <f t="shared" si="1"/>
        <v>Dummy 2</v>
      </c>
      <c r="L34" s="37" t="str">
        <f t="shared" si="2"/>
        <v>Dummy 2</v>
      </c>
      <c r="M34" s="36"/>
      <c r="N34" s="36"/>
      <c r="O34" s="36">
        <f t="shared" si="3"/>
        <v>0</v>
      </c>
      <c r="P34" s="251"/>
      <c r="R34" s="251"/>
      <c r="S34" s="37" t="str">
        <f t="shared" si="4"/>
        <v>Dummy 2</v>
      </c>
      <c r="T34" s="37" t="str">
        <f t="shared" si="5"/>
        <v>Dummy 2</v>
      </c>
      <c r="U34" s="36"/>
      <c r="V34" s="36"/>
      <c r="W34" s="36">
        <f t="shared" si="6"/>
        <v>0</v>
      </c>
      <c r="X34" s="251"/>
      <c r="Z34" s="251"/>
    </row>
    <row r="35" spans="2:26" ht="11.45" hidden="1" customHeight="1" outlineLevel="2" x14ac:dyDescent="0.2">
      <c r="B35" s="251"/>
      <c r="C35" s="42" t="str">
        <f>+'Lead PL'!C47</f>
        <v>Dummy 3</v>
      </c>
      <c r="D35" s="42" t="str">
        <f>+'Lead PL'!D47</f>
        <v>Dummy 3</v>
      </c>
      <c r="E35" s="127"/>
      <c r="F35" s="127"/>
      <c r="G35" s="127">
        <f t="shared" si="0"/>
        <v>0</v>
      </c>
      <c r="H35" s="251"/>
      <c r="J35" s="251"/>
      <c r="K35" s="42" t="str">
        <f t="shared" si="1"/>
        <v>Dummy 3</v>
      </c>
      <c r="L35" s="42" t="str">
        <f t="shared" si="2"/>
        <v>Dummy 3</v>
      </c>
      <c r="M35" s="127"/>
      <c r="N35" s="127"/>
      <c r="O35" s="127">
        <f t="shared" si="3"/>
        <v>0</v>
      </c>
      <c r="P35" s="251"/>
      <c r="R35" s="251"/>
      <c r="S35" s="42" t="str">
        <f t="shared" si="4"/>
        <v>Dummy 3</v>
      </c>
      <c r="T35" s="42" t="str">
        <f t="shared" si="5"/>
        <v>Dummy 3</v>
      </c>
      <c r="U35" s="127"/>
      <c r="V35" s="127"/>
      <c r="W35" s="127">
        <f t="shared" si="6"/>
        <v>0</v>
      </c>
      <c r="X35" s="251"/>
      <c r="Z35" s="251"/>
    </row>
    <row r="36" spans="2:26" ht="11.25" customHeight="1" collapsed="1" x14ac:dyDescent="0.2">
      <c r="B36" s="251"/>
      <c r="C36" s="141" t="str">
        <f>+'Lead PL'!C48</f>
        <v>EBIT</v>
      </c>
      <c r="D36" s="141" t="str">
        <f>+'Lead PL'!D48</f>
        <v>EBIT</v>
      </c>
      <c r="E36" s="141">
        <f>SUM(E31:E35)</f>
        <v>0</v>
      </c>
      <c r="F36" s="141">
        <f>SUM(F31:F35)</f>
        <v>0</v>
      </c>
      <c r="G36" s="141">
        <f t="shared" si="0"/>
        <v>0</v>
      </c>
      <c r="H36" s="251"/>
      <c r="J36" s="251"/>
      <c r="K36" s="141" t="str">
        <f t="shared" si="1"/>
        <v>EBIT</v>
      </c>
      <c r="L36" s="141" t="str">
        <f t="shared" si="2"/>
        <v>EBIT</v>
      </c>
      <c r="M36" s="141">
        <f>SUM(M31:M35)</f>
        <v>1270.52007</v>
      </c>
      <c r="N36" s="141">
        <f>SUM(N31:N35)</f>
        <v>1235.4415699999988</v>
      </c>
      <c r="O36" s="141">
        <f t="shared" si="3"/>
        <v>-35.078500000001213</v>
      </c>
      <c r="P36" s="251"/>
      <c r="R36" s="251"/>
      <c r="S36" s="141" t="str">
        <f t="shared" si="4"/>
        <v>EBIT</v>
      </c>
      <c r="T36" s="141" t="str">
        <f t="shared" si="5"/>
        <v>EBIT</v>
      </c>
      <c r="U36" s="141">
        <f>SUM(U31:U35)</f>
        <v>1444.6210600000004</v>
      </c>
      <c r="V36" s="141">
        <f>SUM(V31:V35)</f>
        <v>1440.5477699999974</v>
      </c>
      <c r="W36" s="141">
        <f t="shared" si="6"/>
        <v>-4.0732900000029986</v>
      </c>
      <c r="X36" s="251"/>
      <c r="Z36" s="251"/>
    </row>
    <row r="37" spans="2:26" ht="11.45" customHeight="1" outlineLevel="1" x14ac:dyDescent="0.2">
      <c r="B37" s="251"/>
      <c r="C37" s="138" t="str">
        <f>+'Lead PL'!C49</f>
        <v>Beteiligungsergebnis</v>
      </c>
      <c r="D37" s="138" t="str">
        <f>+'Lead PL'!D49</f>
        <v>Investment income</v>
      </c>
      <c r="E37" s="36"/>
      <c r="F37" s="36"/>
      <c r="G37" s="36">
        <f t="shared" si="0"/>
        <v>0</v>
      </c>
      <c r="H37" s="251"/>
      <c r="J37" s="251"/>
      <c r="K37" s="138" t="str">
        <f t="shared" si="1"/>
        <v>Beteiligungsergebnis</v>
      </c>
      <c r="L37" s="138" t="str">
        <f t="shared" si="2"/>
        <v>Investment income</v>
      </c>
      <c r="M37" s="36">
        <f>'Lead PL'!G49</f>
        <v>0</v>
      </c>
      <c r="N37" s="36"/>
      <c r="O37" s="36">
        <f t="shared" si="3"/>
        <v>0</v>
      </c>
      <c r="P37" s="251"/>
      <c r="R37" s="251"/>
      <c r="S37" s="138" t="str">
        <f t="shared" si="4"/>
        <v>Beteiligungsergebnis</v>
      </c>
      <c r="T37" s="138" t="str">
        <f t="shared" si="5"/>
        <v>Investment income</v>
      </c>
      <c r="U37" s="36">
        <f>'Lead PL'!H49</f>
        <v>0</v>
      </c>
      <c r="V37" s="36"/>
      <c r="W37" s="36">
        <f t="shared" si="6"/>
        <v>0</v>
      </c>
      <c r="X37" s="251"/>
      <c r="Z37" s="251"/>
    </row>
    <row r="38" spans="2:26" ht="11.45" customHeight="1" outlineLevel="1" x14ac:dyDescent="0.2">
      <c r="B38" s="251"/>
      <c r="C38" s="138" t="str">
        <f>+'Lead PL'!C50</f>
        <v>Zinserträge</v>
      </c>
      <c r="D38" s="138" t="str">
        <f>+'Lead PL'!D50</f>
        <v>Interest income</v>
      </c>
      <c r="E38" s="36"/>
      <c r="F38" s="36"/>
      <c r="G38" s="36">
        <f t="shared" si="0"/>
        <v>0</v>
      </c>
      <c r="H38" s="251"/>
      <c r="J38" s="251"/>
      <c r="K38" s="138" t="str">
        <f t="shared" si="1"/>
        <v>Zinserträge</v>
      </c>
      <c r="L38" s="138" t="str">
        <f t="shared" si="2"/>
        <v>Interest income</v>
      </c>
      <c r="M38" s="36">
        <f>'Lead PL'!G50</f>
        <v>4.4249999999999998</v>
      </c>
      <c r="N38" s="36">
        <f>'P&amp;L (Annual Report)'!F232/1000</f>
        <v>4.4249999999999998</v>
      </c>
      <c r="O38" s="36">
        <f t="shared" si="3"/>
        <v>0</v>
      </c>
      <c r="P38" s="251"/>
      <c r="R38" s="251"/>
      <c r="S38" s="138" t="str">
        <f t="shared" si="4"/>
        <v>Zinserträge</v>
      </c>
      <c r="T38" s="138" t="str">
        <f t="shared" si="5"/>
        <v>Interest income</v>
      </c>
      <c r="U38" s="36">
        <f>'Lead PL'!H50</f>
        <v>3.1346599999999998</v>
      </c>
      <c r="V38" s="36">
        <f>'P&amp;L (Annual Report)'!G232/1000</f>
        <v>3.1346599999999998</v>
      </c>
      <c r="W38" s="36">
        <f t="shared" si="6"/>
        <v>0</v>
      </c>
      <c r="X38" s="251"/>
      <c r="Z38" s="251"/>
    </row>
    <row r="39" spans="2:26" ht="11.45" customHeight="1" outlineLevel="1" x14ac:dyDescent="0.2">
      <c r="B39" s="251"/>
      <c r="C39" s="138" t="str">
        <f>+'Lead PL'!C51</f>
        <v>Zinsaufwendungen</v>
      </c>
      <c r="D39" s="138" t="str">
        <f>+'Lead PL'!D51</f>
        <v>Interest expenses</v>
      </c>
      <c r="E39" s="36"/>
      <c r="F39" s="36"/>
      <c r="G39" s="36">
        <f t="shared" si="0"/>
        <v>0</v>
      </c>
      <c r="H39" s="251"/>
      <c r="J39" s="251"/>
      <c r="K39" s="138" t="str">
        <f t="shared" si="1"/>
        <v>Zinsaufwendungen</v>
      </c>
      <c r="L39" s="138" t="str">
        <f t="shared" si="2"/>
        <v>Interest expenses</v>
      </c>
      <c r="M39" s="36">
        <f>'Lead PL'!G51</f>
        <v>-3.69014</v>
      </c>
      <c r="N39" s="36">
        <f>-'P&amp;L (Annual Report)'!F235/1000</f>
        <v>-3.69014</v>
      </c>
      <c r="O39" s="36">
        <f t="shared" si="3"/>
        <v>0</v>
      </c>
      <c r="P39" s="251"/>
      <c r="R39" s="251"/>
      <c r="S39" s="138" t="str">
        <f t="shared" si="4"/>
        <v>Zinsaufwendungen</v>
      </c>
      <c r="T39" s="138" t="str">
        <f t="shared" si="5"/>
        <v>Interest expenses</v>
      </c>
      <c r="U39" s="36">
        <f>'Lead PL'!H51</f>
        <v>-3.5065200000000001</v>
      </c>
      <c r="V39" s="36">
        <f>-'P&amp;L (Annual Report)'!G235/1000</f>
        <v>-3.5065200000000001</v>
      </c>
      <c r="W39" s="36">
        <f t="shared" si="6"/>
        <v>0</v>
      </c>
      <c r="X39" s="251"/>
      <c r="Z39" s="251"/>
    </row>
    <row r="40" spans="2:26" ht="11.45" customHeight="1" outlineLevel="1" x14ac:dyDescent="0.2">
      <c r="B40" s="251"/>
      <c r="C40" s="138" t="str">
        <f>+'Lead PL'!C52</f>
        <v>Abschreibungen auf Finanzanlagen</v>
      </c>
      <c r="D40" s="138" t="str">
        <f>+'Lead PL'!D52</f>
        <v>Abschreibungn auf Finanzanlagen</v>
      </c>
      <c r="E40" s="36"/>
      <c r="F40" s="36"/>
      <c r="G40" s="36">
        <f t="shared" si="0"/>
        <v>0</v>
      </c>
      <c r="H40" s="251"/>
      <c r="J40" s="251"/>
      <c r="K40" s="138" t="str">
        <f t="shared" si="1"/>
        <v>Abschreibungen auf Finanzanlagen</v>
      </c>
      <c r="L40" s="138" t="str">
        <f t="shared" si="2"/>
        <v>Abschreibungn auf Finanzanlagen</v>
      </c>
      <c r="M40" s="36">
        <f>'Lead PL'!G52</f>
        <v>-35.078499999999998</v>
      </c>
      <c r="N40" s="36"/>
      <c r="O40" s="36">
        <f>N40-M40</f>
        <v>35.078499999999998</v>
      </c>
      <c r="P40" s="251"/>
      <c r="R40" s="251"/>
      <c r="S40" s="138" t="str">
        <f t="shared" si="4"/>
        <v>Abschreibungen auf Finanzanlagen</v>
      </c>
      <c r="T40" s="138" t="str">
        <f t="shared" si="5"/>
        <v>Abschreibungn auf Finanzanlagen</v>
      </c>
      <c r="U40" s="36">
        <f>'Lead PL'!H52</f>
        <v>-4.0732900000000001</v>
      </c>
      <c r="V40" s="36"/>
      <c r="W40" s="36">
        <f t="shared" si="6"/>
        <v>4.0732900000000001</v>
      </c>
      <c r="X40" s="251"/>
      <c r="Z40" s="251" t="s">
        <v>2411</v>
      </c>
    </row>
    <row r="41" spans="2:26" ht="11.45" hidden="1" customHeight="1" outlineLevel="2" x14ac:dyDescent="0.2">
      <c r="B41" s="251"/>
      <c r="C41" s="138" t="str">
        <f>+'Lead PL'!C53</f>
        <v>Dummy 2</v>
      </c>
      <c r="D41" s="138" t="str">
        <f>+'Lead PL'!D53</f>
        <v>Dummy 2</v>
      </c>
      <c r="E41" s="36"/>
      <c r="F41" s="36"/>
      <c r="G41" s="36">
        <f t="shared" si="0"/>
        <v>0</v>
      </c>
      <c r="H41" s="251"/>
      <c r="J41" s="251"/>
      <c r="K41" s="138" t="str">
        <f t="shared" si="1"/>
        <v>Dummy 2</v>
      </c>
      <c r="L41" s="138" t="str">
        <f t="shared" si="2"/>
        <v>Dummy 2</v>
      </c>
      <c r="M41" s="36"/>
      <c r="N41" s="36"/>
      <c r="O41" s="36">
        <f t="shared" si="3"/>
        <v>0</v>
      </c>
      <c r="P41" s="251"/>
      <c r="Q41" s="251"/>
      <c r="R41" s="251"/>
      <c r="S41" s="138" t="str">
        <f t="shared" si="4"/>
        <v>Dummy 2</v>
      </c>
      <c r="T41" s="138" t="str">
        <f t="shared" si="5"/>
        <v>Dummy 2</v>
      </c>
      <c r="U41" s="36"/>
      <c r="V41" s="36"/>
      <c r="W41" s="36">
        <f t="shared" si="6"/>
        <v>0</v>
      </c>
      <c r="X41" s="251"/>
    </row>
    <row r="42" spans="2:26" ht="11.45" hidden="1" customHeight="1" outlineLevel="2" x14ac:dyDescent="0.2">
      <c r="B42" s="251"/>
      <c r="C42" s="138" t="str">
        <f>+'Lead PL'!C54</f>
        <v>Dummy 3</v>
      </c>
      <c r="D42" s="138" t="str">
        <f>+'Lead PL'!D54</f>
        <v>Dummy 3</v>
      </c>
      <c r="E42" s="36"/>
      <c r="F42" s="36"/>
      <c r="G42" s="36">
        <f t="shared" si="0"/>
        <v>0</v>
      </c>
      <c r="H42" s="251"/>
      <c r="J42" s="251"/>
      <c r="K42" s="138" t="str">
        <f t="shared" si="1"/>
        <v>Dummy 3</v>
      </c>
      <c r="L42" s="138" t="str">
        <f t="shared" si="2"/>
        <v>Dummy 3</v>
      </c>
      <c r="M42" s="36"/>
      <c r="N42" s="36"/>
      <c r="O42" s="36">
        <f t="shared" si="3"/>
        <v>0</v>
      </c>
      <c r="P42" s="251"/>
      <c r="Q42" s="251"/>
      <c r="R42" s="251"/>
      <c r="S42" s="138" t="str">
        <f t="shared" si="4"/>
        <v>Dummy 3</v>
      </c>
      <c r="T42" s="138" t="str">
        <f t="shared" si="5"/>
        <v>Dummy 3</v>
      </c>
      <c r="U42" s="36"/>
      <c r="V42" s="36"/>
      <c r="W42" s="36">
        <f t="shared" si="6"/>
        <v>0</v>
      </c>
      <c r="X42" s="251"/>
    </row>
    <row r="43" spans="2:26" ht="11.45" customHeight="1" x14ac:dyDescent="0.2">
      <c r="B43" s="251"/>
      <c r="C43" s="42" t="str">
        <f>+'Lead PL'!C55</f>
        <v>Finanzergebnis</v>
      </c>
      <c r="D43" s="42" t="str">
        <f>+'Lead PL'!D55</f>
        <v>Financial result</v>
      </c>
      <c r="E43" s="127">
        <f>SUM(E37:E42)</f>
        <v>0</v>
      </c>
      <c r="F43" s="127">
        <f>SUM(F37:F42)</f>
        <v>0</v>
      </c>
      <c r="G43" s="127">
        <f t="shared" si="0"/>
        <v>0</v>
      </c>
      <c r="H43" s="251"/>
      <c r="J43" s="251"/>
      <c r="K43" s="42" t="str">
        <f t="shared" si="1"/>
        <v>Finanzergebnis</v>
      </c>
      <c r="L43" s="42" t="str">
        <f t="shared" si="2"/>
        <v>Financial result</v>
      </c>
      <c r="M43" s="127">
        <f>SUM(M37:M42)</f>
        <v>-34.343640000000001</v>
      </c>
      <c r="N43" s="127">
        <f>SUM(N37:N42)</f>
        <v>0.73485999999999985</v>
      </c>
      <c r="O43" s="127">
        <f t="shared" si="3"/>
        <v>35.078499999999998</v>
      </c>
      <c r="P43" s="251"/>
      <c r="Q43" s="251"/>
      <c r="R43" s="251"/>
      <c r="S43" s="42" t="str">
        <f t="shared" si="4"/>
        <v>Finanzergebnis</v>
      </c>
      <c r="T43" s="42" t="str">
        <f t="shared" si="5"/>
        <v>Financial result</v>
      </c>
      <c r="U43" s="127">
        <f>SUM(U37:U42)</f>
        <v>-4.4451499999999999</v>
      </c>
      <c r="V43" s="127">
        <f>SUM(V37:V42)</f>
        <v>-0.3718600000000003</v>
      </c>
      <c r="W43" s="127">
        <f t="shared" si="6"/>
        <v>4.0732900000000001</v>
      </c>
      <c r="X43" s="251"/>
    </row>
    <row r="44" spans="2:26" ht="11.45" customHeight="1" x14ac:dyDescent="0.2">
      <c r="B44" s="251"/>
      <c r="C44" s="144" t="str">
        <f>+'Lead PL'!C56</f>
        <v>EBT</v>
      </c>
      <c r="D44" s="144" t="str">
        <f>+'Lead PL'!D56</f>
        <v>EBT</v>
      </c>
      <c r="E44" s="144">
        <f>E43+E36</f>
        <v>0</v>
      </c>
      <c r="F44" s="144">
        <f>F43+F36</f>
        <v>0</v>
      </c>
      <c r="G44" s="144">
        <f t="shared" si="0"/>
        <v>0</v>
      </c>
      <c r="H44" s="251"/>
      <c r="J44" s="251"/>
      <c r="K44" s="144" t="str">
        <f t="shared" si="1"/>
        <v>EBT</v>
      </c>
      <c r="L44" s="144" t="str">
        <f t="shared" si="2"/>
        <v>EBT</v>
      </c>
      <c r="M44" s="144">
        <f>M43+M36</f>
        <v>1236.17643</v>
      </c>
      <c r="N44" s="144">
        <f>N43+N36</f>
        <v>1236.1764299999988</v>
      </c>
      <c r="O44" s="144">
        <f t="shared" si="3"/>
        <v>0</v>
      </c>
      <c r="P44" s="251"/>
      <c r="Q44" s="251"/>
      <c r="R44" s="251"/>
      <c r="S44" s="144" t="str">
        <f t="shared" si="4"/>
        <v>EBT</v>
      </c>
      <c r="T44" s="144" t="str">
        <f t="shared" si="5"/>
        <v>EBT</v>
      </c>
      <c r="U44" s="144">
        <f>U43+U36</f>
        <v>1440.1759100000004</v>
      </c>
      <c r="V44" s="144">
        <f>V43+V36</f>
        <v>1440.1759099999974</v>
      </c>
      <c r="W44" s="144">
        <f t="shared" si="6"/>
        <v>-2.9558577807620168E-12</v>
      </c>
      <c r="X44" s="251"/>
    </row>
    <row r="45" spans="2:26" ht="11.45" customHeight="1" x14ac:dyDescent="0.2">
      <c r="B45" s="251"/>
      <c r="C45" s="37" t="str">
        <f>+'Lead PL'!C57</f>
        <v>Ertragssteuern</v>
      </c>
      <c r="D45" s="37" t="str">
        <f>+'Lead PL'!D57</f>
        <v>Income taxes</v>
      </c>
      <c r="E45" s="36"/>
      <c r="F45" s="36"/>
      <c r="G45" s="36">
        <f t="shared" si="0"/>
        <v>0</v>
      </c>
      <c r="H45" s="251"/>
      <c r="J45" s="251"/>
      <c r="K45" s="37" t="str">
        <f t="shared" si="1"/>
        <v>Ertragssteuern</v>
      </c>
      <c r="L45" s="37" t="str">
        <f t="shared" si="2"/>
        <v>Income taxes</v>
      </c>
      <c r="M45" s="36">
        <f>'Lead PL'!G57</f>
        <v>-390.61758999999995</v>
      </c>
      <c r="N45" s="36">
        <f>-'P&amp;L (Annual Report)'!F245/1000</f>
        <v>-390.61758999999995</v>
      </c>
      <c r="O45" s="36">
        <f t="shared" si="3"/>
        <v>0</v>
      </c>
      <c r="P45" s="251"/>
      <c r="Q45" s="251"/>
      <c r="R45" s="251"/>
      <c r="S45" s="37" t="str">
        <f t="shared" si="4"/>
        <v>Ertragssteuern</v>
      </c>
      <c r="T45" s="37" t="str">
        <f t="shared" si="5"/>
        <v>Income taxes</v>
      </c>
      <c r="U45" s="36">
        <f>'Lead PL'!H57</f>
        <v>-442.12160999999998</v>
      </c>
      <c r="V45" s="36">
        <f>-'P&amp;L (Annual Report)'!G245/1000</f>
        <v>-442.12160999999998</v>
      </c>
      <c r="W45" s="36">
        <f t="shared" si="6"/>
        <v>0</v>
      </c>
      <c r="X45" s="251"/>
    </row>
    <row r="46" spans="2:26" ht="11.45" customHeight="1" x14ac:dyDescent="0.2">
      <c r="B46" s="251"/>
      <c r="C46" s="42" t="str">
        <f>+'Lead PL'!C58</f>
        <v>Sonstige Steuern</v>
      </c>
      <c r="D46" s="42" t="str">
        <f>+'Lead PL'!D58</f>
        <v>Other taxes</v>
      </c>
      <c r="E46" s="127"/>
      <c r="F46" s="127"/>
      <c r="G46" s="127">
        <f t="shared" si="0"/>
        <v>0</v>
      </c>
      <c r="H46" s="251"/>
      <c r="J46" s="251"/>
      <c r="K46" s="42" t="str">
        <f t="shared" si="1"/>
        <v>Sonstige Steuern</v>
      </c>
      <c r="L46" s="42" t="str">
        <f t="shared" si="2"/>
        <v>Other taxes</v>
      </c>
      <c r="M46" s="127">
        <f>'Lead PL'!G58</f>
        <v>-2.9220000000000002</v>
      </c>
      <c r="N46" s="127">
        <f>-'P&amp;L (Annual Report)'!F260/1000</f>
        <v>-2.9220000000000002</v>
      </c>
      <c r="O46" s="127">
        <f t="shared" si="3"/>
        <v>0</v>
      </c>
      <c r="P46" s="251"/>
      <c r="Q46" s="251"/>
      <c r="R46" s="251"/>
      <c r="S46" s="42" t="str">
        <f t="shared" si="4"/>
        <v>Sonstige Steuern</v>
      </c>
      <c r="T46" s="42" t="str">
        <f t="shared" si="5"/>
        <v>Other taxes</v>
      </c>
      <c r="U46" s="127">
        <f>'Lead PL'!H58</f>
        <v>-3.0019999999999998</v>
      </c>
      <c r="V46" s="127">
        <f>-'P&amp;L (Annual Report)'!G260/1000</f>
        <v>-3.0019999999999998</v>
      </c>
      <c r="W46" s="127">
        <f t="shared" si="6"/>
        <v>0</v>
      </c>
      <c r="X46" s="251"/>
    </row>
    <row r="47" spans="2:26" ht="11.45" customHeight="1" x14ac:dyDescent="0.2">
      <c r="B47" s="251"/>
      <c r="C47" s="174" t="str">
        <f>+'Lead PL'!C59</f>
        <v>Jahresüberschuss</v>
      </c>
      <c r="D47" s="174" t="str">
        <f>+'Lead PL'!D59</f>
        <v>Profit / Loss</v>
      </c>
      <c r="E47" s="172">
        <f>SUM(E44:E46)</f>
        <v>0</v>
      </c>
      <c r="F47" s="172">
        <f>SUM(F44:F46)</f>
        <v>0</v>
      </c>
      <c r="G47" s="172">
        <f t="shared" si="0"/>
        <v>0</v>
      </c>
      <c r="H47" s="251"/>
      <c r="J47" s="251"/>
      <c r="K47" s="174" t="str">
        <f t="shared" si="1"/>
        <v>Jahresüberschuss</v>
      </c>
      <c r="L47" s="174" t="str">
        <f t="shared" si="2"/>
        <v>Profit / Loss</v>
      </c>
      <c r="M47" s="172">
        <f>SUM(M44:M46)</f>
        <v>842.63684000000001</v>
      </c>
      <c r="N47" s="172">
        <f>SUM(N44:N46)</f>
        <v>842.63683999999887</v>
      </c>
      <c r="O47" s="172">
        <f t="shared" si="3"/>
        <v>-1.1368683772161603E-12</v>
      </c>
      <c r="P47" s="251"/>
      <c r="Q47" s="251"/>
      <c r="R47" s="251"/>
      <c r="S47" s="174" t="str">
        <f t="shared" si="4"/>
        <v>Jahresüberschuss</v>
      </c>
      <c r="T47" s="174" t="str">
        <f t="shared" si="5"/>
        <v>Profit / Loss</v>
      </c>
      <c r="U47" s="172">
        <f>SUM(U44:U46)</f>
        <v>995.05230000000051</v>
      </c>
      <c r="V47" s="172">
        <f>SUM(V44:V46)</f>
        <v>995.05229999999756</v>
      </c>
      <c r="W47" s="172">
        <f t="shared" si="6"/>
        <v>-2.9558577807620168E-12</v>
      </c>
      <c r="X47" s="251"/>
    </row>
    <row r="48" spans="2:26" ht="4.5" customHeight="1" x14ac:dyDescent="0.2">
      <c r="B48" s="251"/>
      <c r="C48" s="82"/>
      <c r="D48" s="82"/>
      <c r="E48" s="36"/>
      <c r="F48" s="36"/>
      <c r="G48" s="81"/>
      <c r="H48" s="251"/>
      <c r="J48" s="251"/>
      <c r="K48" s="82"/>
      <c r="L48" s="82"/>
      <c r="M48" s="36"/>
      <c r="N48" s="36"/>
      <c r="O48" s="81"/>
      <c r="P48" s="251"/>
      <c r="Q48" s="251"/>
      <c r="R48" s="251"/>
      <c r="S48" s="82"/>
      <c r="T48" s="82"/>
      <c r="U48" s="36"/>
      <c r="V48" s="36"/>
      <c r="W48" s="81"/>
      <c r="X48" s="251"/>
    </row>
    <row r="49" spans="2:24" ht="11.45" customHeight="1" x14ac:dyDescent="0.2">
      <c r="B49" s="251"/>
      <c r="C49" s="76" t="str">
        <f>"Quelle: "&amp;Cockpit!$C$7</f>
        <v>Quelle: Datenraum/ eigene Analysen</v>
      </c>
      <c r="D49" s="76" t="str">
        <f>"Source: "&amp;Cockpit!$C$8</f>
        <v>Source: Virtual Data Room/ Company Information</v>
      </c>
      <c r="E49" s="172"/>
      <c r="F49" s="172"/>
      <c r="G49" s="172"/>
      <c r="H49" s="251"/>
      <c r="J49" s="251"/>
      <c r="K49" s="76" t="str">
        <f>"Quelle: "&amp;Cockpit!$C$7</f>
        <v>Quelle: Datenraum/ eigene Analysen</v>
      </c>
      <c r="L49" s="76" t="str">
        <f>"Source: "&amp;Cockpit!$C$8</f>
        <v>Source: Virtual Data Room/ Company Information</v>
      </c>
      <c r="M49" s="172"/>
      <c r="N49" s="172"/>
      <c r="O49" s="172"/>
      <c r="P49" s="251"/>
      <c r="Q49" s="251"/>
      <c r="R49" s="251"/>
      <c r="S49" s="76" t="str">
        <f>"Quelle: "&amp;Cockpit!$C$7</f>
        <v>Quelle: Datenraum/ eigene Analysen</v>
      </c>
      <c r="T49" s="76" t="str">
        <f>"Source: "&amp;Cockpit!$C$8</f>
        <v>Source: Virtual Data Room/ Company Information</v>
      </c>
      <c r="U49" s="172"/>
      <c r="V49" s="172"/>
      <c r="W49" s="172"/>
      <c r="X49" s="251"/>
    </row>
    <row r="50" spans="2:24" ht="11.45" customHeight="1" x14ac:dyDescent="0.2">
      <c r="B50" s="251"/>
      <c r="H50" s="251"/>
      <c r="J50" s="251"/>
      <c r="P50" s="251"/>
      <c r="R50" s="251"/>
      <c r="X50" s="251"/>
    </row>
    <row r="52" spans="2:24" ht="11.45" customHeight="1" x14ac:dyDescent="0.2">
      <c r="C52" s="72" t="s">
        <v>235</v>
      </c>
      <c r="D52" s="72" t="s">
        <v>234</v>
      </c>
      <c r="E52" s="71"/>
      <c r="F52" s="71"/>
      <c r="G52" s="71">
        <v>0</v>
      </c>
      <c r="K52" s="72" t="s">
        <v>235</v>
      </c>
      <c r="L52" s="72" t="s">
        <v>234</v>
      </c>
      <c r="M52" s="71">
        <f>'P&amp;L (Susa)'!E299/1000</f>
        <v>842.63684000000092</v>
      </c>
      <c r="N52" s="71">
        <f>'P&amp;L (Annual Report)'!F262/1000</f>
        <v>842.63684000000001</v>
      </c>
      <c r="O52" s="71">
        <v>0</v>
      </c>
      <c r="S52" s="72" t="s">
        <v>235</v>
      </c>
      <c r="T52" s="72" t="s">
        <v>234</v>
      </c>
      <c r="U52" s="71">
        <f>'P&amp;L (Susa)'!F299/1000</f>
        <v>995.05229999999665</v>
      </c>
      <c r="V52" s="71">
        <f>'P&amp;L (Annual Report)'!G262/1000</f>
        <v>995.05229999999904</v>
      </c>
      <c r="W52" s="71">
        <v>0</v>
      </c>
    </row>
    <row r="53" spans="2:24" ht="11.45" customHeight="1" x14ac:dyDescent="0.2">
      <c r="C53" s="69" t="s">
        <v>233</v>
      </c>
      <c r="D53" s="69" t="s">
        <v>233</v>
      </c>
      <c r="E53" s="68">
        <f>E52-E47</f>
        <v>0</v>
      </c>
      <c r="F53" s="68">
        <f>F52-F47</f>
        <v>0</v>
      </c>
      <c r="G53" s="68">
        <f>G52-G47</f>
        <v>0</v>
      </c>
      <c r="K53" s="70" t="s">
        <v>233</v>
      </c>
      <c r="L53" s="69" t="s">
        <v>233</v>
      </c>
      <c r="M53" s="68">
        <f>M52-M47</f>
        <v>9.0949470177292824E-13</v>
      </c>
      <c r="N53" s="68">
        <f>N52-N47</f>
        <v>1.1368683772161603E-12</v>
      </c>
      <c r="O53" s="68">
        <f>O52-O47</f>
        <v>1.1368683772161603E-12</v>
      </c>
      <c r="S53" s="70" t="s">
        <v>233</v>
      </c>
      <c r="T53" s="69" t="s">
        <v>233</v>
      </c>
      <c r="U53" s="68">
        <f>U52-U47</f>
        <v>-3.865352482534945E-12</v>
      </c>
      <c r="V53" s="68">
        <f>V52-V47</f>
        <v>1.4779288903810084E-12</v>
      </c>
      <c r="W53" s="68">
        <f>W52-W47</f>
        <v>2.9558577807620168E-12</v>
      </c>
    </row>
  </sheetData>
  <conditionalFormatting sqref="A1:XFD21 A22:P40 R22:XFD40 A41:XFD1048576">
    <cfRule type="containsText" dxfId="123" priority="1" operator="containsText" text="dummy">
      <formula>NOT(ISERROR(SEARCH("dummy",A1)))</formula>
    </cfRule>
  </conditionalFormatting>
  <conditionalFormatting sqref="E53:G53">
    <cfRule type="cellIs" dxfId="122" priority="20" operator="between">
      <formula>-1</formula>
      <formula>1</formula>
    </cfRule>
    <cfRule type="cellIs" dxfId="121" priority="21" operator="lessThan">
      <formula>-1</formula>
    </cfRule>
    <cfRule type="cellIs" dxfId="120" priority="22" operator="greaterThan">
      <formula>1</formula>
    </cfRule>
  </conditionalFormatting>
  <conditionalFormatting sqref="M53:O53">
    <cfRule type="cellIs" dxfId="119" priority="11" operator="between">
      <formula>-1</formula>
      <formula>1</formula>
    </cfRule>
    <cfRule type="cellIs" dxfId="118" priority="12" operator="lessThan">
      <formula>-1</formula>
    </cfRule>
    <cfRule type="cellIs" dxfId="117" priority="13" operator="greaterThan">
      <formula>1</formula>
    </cfRule>
  </conditionalFormatting>
  <conditionalFormatting sqref="U53:W53">
    <cfRule type="cellIs" dxfId="116" priority="2" operator="between">
      <formula>-1</formula>
      <formula>1</formula>
    </cfRule>
    <cfRule type="cellIs" dxfId="115" priority="3" operator="lessThan">
      <formula>-1</formula>
    </cfRule>
    <cfRule type="cellIs" dxfId="114" priority="4" operator="greaterThan">
      <formula>1</formula>
    </cfRule>
  </conditionalFormatting>
  <pageMargins left="0.7" right="0.7" top="0.78740157499999996" bottom="0.78740157499999996"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C6D07-F247-44C1-BDF1-B0489F011C26}">
  <sheetPr>
    <tabColor rgb="FF92D050"/>
  </sheetPr>
  <dimension ref="B2:L54"/>
  <sheetViews>
    <sheetView workbookViewId="0"/>
  </sheetViews>
  <sheetFormatPr defaultColWidth="11.42578125" defaultRowHeight="15" outlineLevelRow="1" x14ac:dyDescent="0.25"/>
  <cols>
    <col min="2" max="2" width="40.85546875" bestFit="1" customWidth="1"/>
    <col min="3" max="3" width="33.85546875" bestFit="1" customWidth="1"/>
    <col min="8" max="8" width="40.85546875" bestFit="1" customWidth="1"/>
    <col min="9" max="9" width="33.85546875" bestFit="1" customWidth="1"/>
  </cols>
  <sheetData>
    <row r="2" spans="2:12" x14ac:dyDescent="0.25">
      <c r="B2" s="17"/>
      <c r="C2" s="17" t="str">
        <f>Cockpit!$C$4</f>
        <v>Projekt Namur</v>
      </c>
      <c r="D2" s="233">
        <f>'Lead NA'!G6</f>
        <v>45291</v>
      </c>
      <c r="E2" s="233">
        <f>'Lead NA'!G6</f>
        <v>45291</v>
      </c>
      <c r="F2" s="233"/>
      <c r="H2" s="17"/>
      <c r="I2" s="17" t="str">
        <f>Cockpit!$C$4</f>
        <v>Projekt Namur</v>
      </c>
      <c r="J2" s="233">
        <f>'Lead NA'!H6</f>
        <v>45657</v>
      </c>
      <c r="K2" s="233">
        <f>'Lead NA'!H6</f>
        <v>45657</v>
      </c>
      <c r="L2" s="233"/>
    </row>
    <row r="3" spans="2:12" x14ac:dyDescent="0.25">
      <c r="B3" s="17"/>
      <c r="C3" s="17"/>
      <c r="D3" s="233" t="s">
        <v>644</v>
      </c>
      <c r="E3" s="233" t="s">
        <v>38</v>
      </c>
      <c r="F3" s="233"/>
      <c r="H3" s="17"/>
      <c r="I3" s="17"/>
      <c r="J3" s="233" t="s">
        <v>644</v>
      </c>
      <c r="K3" s="233" t="s">
        <v>38</v>
      </c>
      <c r="L3" s="233"/>
    </row>
    <row r="4" spans="2:12" x14ac:dyDescent="0.25">
      <c r="B4" s="17"/>
      <c r="C4" s="17" t="str">
        <f>"in k"&amp;Cockpit!$C$5</f>
        <v>in kEUR</v>
      </c>
      <c r="D4" s="233" t="s">
        <v>643</v>
      </c>
      <c r="E4" s="233" t="s">
        <v>642</v>
      </c>
      <c r="F4" s="233" t="s">
        <v>641</v>
      </c>
      <c r="H4" s="17"/>
      <c r="I4" s="17" t="str">
        <f>"in k"&amp;Cockpit!$C$5</f>
        <v>in kEUR</v>
      </c>
      <c r="J4" s="233" t="s">
        <v>643</v>
      </c>
      <c r="K4" s="233" t="s">
        <v>642</v>
      </c>
      <c r="L4" s="233" t="s">
        <v>641</v>
      </c>
    </row>
    <row r="5" spans="2:12" ht="6" customHeight="1" x14ac:dyDescent="0.25">
      <c r="B5" s="156"/>
      <c r="C5" s="157"/>
      <c r="D5" s="36"/>
      <c r="E5" s="36"/>
      <c r="F5" s="36"/>
    </row>
    <row r="6" spans="2:12" x14ac:dyDescent="0.25">
      <c r="B6" s="37" t="s">
        <v>323</v>
      </c>
      <c r="C6" s="37" t="s">
        <v>322</v>
      </c>
      <c r="D6" s="36">
        <f>'Lead NA'!G9</f>
        <v>3.6059999999999999</v>
      </c>
      <c r="E6" s="36">
        <f>'Balance Sheet (Annual Report)'!F7/1000</f>
        <v>3.6059999999999999</v>
      </c>
      <c r="F6" s="36">
        <f t="shared" ref="F6:F52" si="0">E6-D6</f>
        <v>0</v>
      </c>
      <c r="H6" s="37" t="str">
        <f>B6</f>
        <v>Immaterielle Vermögensgegenstände</v>
      </c>
      <c r="I6" s="37" t="str">
        <f t="shared" ref="I6:I51" si="1">C6</f>
        <v>Intangible assets</v>
      </c>
      <c r="J6" s="36">
        <f>'Lead NA'!H9</f>
        <v>204.27617000000001</v>
      </c>
      <c r="K6" s="36">
        <f>'Balance Sheet (Annual Report)'!G7/1000</f>
        <v>204.27617000000001</v>
      </c>
      <c r="L6" s="36">
        <f t="shared" ref="L6:L52" si="2">K6-J6</f>
        <v>0</v>
      </c>
    </row>
    <row r="7" spans="2:12" x14ac:dyDescent="0.25">
      <c r="B7" s="37" t="s">
        <v>321</v>
      </c>
      <c r="C7" s="37" t="s">
        <v>320</v>
      </c>
      <c r="D7" s="36">
        <f>'Lead NA'!G10</f>
        <v>715.17600000000004</v>
      </c>
      <c r="E7" s="36">
        <f>'Balance Sheet (Annual Report)'!F17/1000</f>
        <v>715.17600000000004</v>
      </c>
      <c r="F7" s="36">
        <f t="shared" si="0"/>
        <v>0</v>
      </c>
      <c r="H7" s="37" t="str">
        <f t="shared" ref="H7:H51" si="3">B7</f>
        <v>Sachanlagen</v>
      </c>
      <c r="I7" s="37" t="str">
        <f t="shared" si="1"/>
        <v>Tangible assets</v>
      </c>
      <c r="J7" s="36">
        <f>'Lead NA'!H10</f>
        <v>826.46400000000006</v>
      </c>
      <c r="K7" s="36">
        <f>'Balance Sheet (Annual Report)'!G17/1000</f>
        <v>826.46400000000006</v>
      </c>
      <c r="L7" s="36">
        <f t="shared" si="2"/>
        <v>0</v>
      </c>
    </row>
    <row r="8" spans="2:12" x14ac:dyDescent="0.25">
      <c r="B8" s="37" t="s">
        <v>319</v>
      </c>
      <c r="C8" s="37" t="s">
        <v>318</v>
      </c>
      <c r="D8" s="36">
        <f>'Lead NA'!G11</f>
        <v>182.17891</v>
      </c>
      <c r="E8" s="36">
        <f>'Balance Sheet (Annual Report)'!F22/1000</f>
        <v>182.17891</v>
      </c>
      <c r="F8" s="36">
        <f t="shared" si="0"/>
        <v>0</v>
      </c>
      <c r="H8" s="37" t="str">
        <f t="shared" si="3"/>
        <v>Finanzanlagen</v>
      </c>
      <c r="I8" s="37" t="str">
        <f t="shared" si="1"/>
        <v>Financial assets</v>
      </c>
      <c r="J8" s="36">
        <f>'Lead NA'!H11</f>
        <v>75.425619999999995</v>
      </c>
      <c r="K8" s="36">
        <f>'Balance Sheet (Annual Report)'!G22/1000</f>
        <v>75.425619999999995</v>
      </c>
      <c r="L8" s="36">
        <f t="shared" si="2"/>
        <v>0</v>
      </c>
    </row>
    <row r="9" spans="2:12" hidden="1" outlineLevel="1" x14ac:dyDescent="0.25">
      <c r="B9" s="37" t="s">
        <v>209</v>
      </c>
      <c r="C9" s="37" t="s">
        <v>209</v>
      </c>
      <c r="D9" s="36"/>
      <c r="E9" s="36"/>
      <c r="F9" s="36">
        <f t="shared" si="0"/>
        <v>0</v>
      </c>
      <c r="H9" s="37" t="str">
        <f t="shared" si="3"/>
        <v>Dummy 1</v>
      </c>
      <c r="I9" s="37" t="str">
        <f t="shared" si="1"/>
        <v>Dummy 1</v>
      </c>
      <c r="J9" s="36"/>
      <c r="K9" s="36"/>
      <c r="L9" s="36">
        <f t="shared" si="2"/>
        <v>0</v>
      </c>
    </row>
    <row r="10" spans="2:12" hidden="1" outlineLevel="1" x14ac:dyDescent="0.25">
      <c r="B10" s="37" t="s">
        <v>208</v>
      </c>
      <c r="C10" s="37" t="s">
        <v>208</v>
      </c>
      <c r="D10" s="36"/>
      <c r="E10" s="36"/>
      <c r="F10" s="36">
        <f t="shared" si="0"/>
        <v>0</v>
      </c>
      <c r="H10" s="37" t="str">
        <f t="shared" si="3"/>
        <v>Dummy 2</v>
      </c>
      <c r="I10" s="37" t="str">
        <f t="shared" si="1"/>
        <v>Dummy 2</v>
      </c>
      <c r="J10" s="36"/>
      <c r="K10" s="36"/>
      <c r="L10" s="36">
        <f t="shared" si="2"/>
        <v>0</v>
      </c>
    </row>
    <row r="11" spans="2:12" hidden="1" outlineLevel="1" x14ac:dyDescent="0.25">
      <c r="B11" s="42" t="s">
        <v>207</v>
      </c>
      <c r="C11" s="42" t="s">
        <v>207</v>
      </c>
      <c r="D11" s="127"/>
      <c r="E11" s="127"/>
      <c r="F11" s="127">
        <f t="shared" si="0"/>
        <v>0</v>
      </c>
      <c r="H11" s="42" t="str">
        <f t="shared" si="3"/>
        <v>Dummy 3</v>
      </c>
      <c r="I11" s="42" t="str">
        <f t="shared" si="1"/>
        <v>Dummy 3</v>
      </c>
      <c r="J11" s="127"/>
      <c r="K11" s="127"/>
      <c r="L11" s="127">
        <f t="shared" si="2"/>
        <v>0</v>
      </c>
    </row>
    <row r="12" spans="2:12" collapsed="1" x14ac:dyDescent="0.25">
      <c r="B12" s="141" t="s">
        <v>317</v>
      </c>
      <c r="C12" s="141" t="s">
        <v>316</v>
      </c>
      <c r="D12" s="141">
        <f>SUM(D6:D11)</f>
        <v>900.96091000000001</v>
      </c>
      <c r="E12" s="141">
        <f>SUM(E6:E11)</f>
        <v>900.96091000000001</v>
      </c>
      <c r="F12" s="141">
        <f t="shared" si="0"/>
        <v>0</v>
      </c>
      <c r="H12" s="141" t="str">
        <f t="shared" si="3"/>
        <v>Anlagevermögen</v>
      </c>
      <c r="I12" s="141" t="str">
        <f t="shared" si="1"/>
        <v>Fixed assets</v>
      </c>
      <c r="J12" s="141">
        <f>SUM(J6:J11)</f>
        <v>1106.16579</v>
      </c>
      <c r="K12" s="141">
        <f>SUM(K6:K11)</f>
        <v>1106.16579</v>
      </c>
      <c r="L12" s="141">
        <f t="shared" si="2"/>
        <v>0</v>
      </c>
    </row>
    <row r="13" spans="2:12" x14ac:dyDescent="0.25">
      <c r="B13" s="37" t="s">
        <v>315</v>
      </c>
      <c r="C13" s="37" t="s">
        <v>314</v>
      </c>
      <c r="D13" s="36">
        <f>'Lead NA'!G16</f>
        <v>2652.1086500000001</v>
      </c>
      <c r="E13" s="36">
        <f>'Balance Sheet (Annual Report)'!F33/1000</f>
        <v>2652.1086500000001</v>
      </c>
      <c r="F13" s="36">
        <f t="shared" si="0"/>
        <v>0</v>
      </c>
      <c r="H13" s="37" t="str">
        <f t="shared" si="3"/>
        <v>Vorräte</v>
      </c>
      <c r="I13" s="37" t="str">
        <f t="shared" si="1"/>
        <v>Inventories</v>
      </c>
      <c r="J13" s="36">
        <f>'Lead NA'!H16</f>
        <v>3855.88364</v>
      </c>
      <c r="K13" s="36">
        <f>'Balance Sheet (Annual Report)'!G33/1000</f>
        <v>3855.8836399999996</v>
      </c>
      <c r="L13" s="36">
        <f t="shared" si="2"/>
        <v>0</v>
      </c>
    </row>
    <row r="14" spans="2:12" x14ac:dyDescent="0.25">
      <c r="B14" s="37" t="s">
        <v>313</v>
      </c>
      <c r="C14" s="37" t="s">
        <v>312</v>
      </c>
      <c r="D14" s="36">
        <f>'Lead NA'!G17</f>
        <v>1586.36779</v>
      </c>
      <c r="E14" s="36">
        <f>'Balance Sheet (Annual Report)'!F37/1000</f>
        <v>1600.81999</v>
      </c>
      <c r="F14" s="36">
        <f t="shared" si="0"/>
        <v>14.452199999999948</v>
      </c>
      <c r="H14" s="37" t="str">
        <f t="shared" si="3"/>
        <v>Forderungen aus LuL</v>
      </c>
      <c r="I14" s="37" t="str">
        <f t="shared" si="1"/>
        <v>Trade receivables</v>
      </c>
      <c r="J14" s="36">
        <f>'Lead NA'!H17</f>
        <v>1988.8013600000002</v>
      </c>
      <c r="K14" s="36">
        <f>'Balance Sheet (Annual Report)'!G37/1000</f>
        <v>2003.51298</v>
      </c>
      <c r="L14" s="36">
        <f t="shared" si="2"/>
        <v>14.711619999999812</v>
      </c>
    </row>
    <row r="15" spans="2:12" x14ac:dyDescent="0.25">
      <c r="B15" s="37" t="s">
        <v>311</v>
      </c>
      <c r="C15" s="37" t="s">
        <v>310</v>
      </c>
      <c r="D15" s="36">
        <f>'Lead NA'!G18</f>
        <v>-848.28356000000008</v>
      </c>
      <c r="E15" s="36">
        <f>-'Balance Sheet (Annual Report)'!F84/1000</f>
        <v>-853.06253000000004</v>
      </c>
      <c r="F15" s="36">
        <f t="shared" si="0"/>
        <v>-4.7789699999999584</v>
      </c>
      <c r="H15" s="37" t="str">
        <f t="shared" si="3"/>
        <v>Verbindlichkeiten aus LuL</v>
      </c>
      <c r="I15" s="37" t="str">
        <f t="shared" si="1"/>
        <v>Trade payables</v>
      </c>
      <c r="J15" s="36">
        <f>'Lead NA'!H18</f>
        <v>-1220.4380100000001</v>
      </c>
      <c r="K15" s="36">
        <f>-'Balance Sheet (Annual Report)'!G84/1000</f>
        <v>-1220.7638400000001</v>
      </c>
      <c r="L15" s="36">
        <f t="shared" si="2"/>
        <v>-0.32582999999999629</v>
      </c>
    </row>
    <row r="16" spans="2:12" x14ac:dyDescent="0.25">
      <c r="B16" s="37" t="s">
        <v>664</v>
      </c>
      <c r="C16" s="37" t="s">
        <v>663</v>
      </c>
      <c r="D16" s="36">
        <f>'Lead NA'!G19</f>
        <v>-50</v>
      </c>
      <c r="E16" s="36">
        <f>-'Balance Sheet (Annual Report)'!F82/1000</f>
        <v>-50</v>
      </c>
      <c r="F16" s="36">
        <f t="shared" si="0"/>
        <v>0</v>
      </c>
      <c r="H16" s="37" t="str">
        <f t="shared" si="3"/>
        <v>Erhaltene Anzahlungen</v>
      </c>
      <c r="I16" s="37" t="str">
        <f t="shared" si="1"/>
        <v>Advance payments received</v>
      </c>
      <c r="J16" s="36">
        <f>'Lead NA'!H19</f>
        <v>-50</v>
      </c>
      <c r="K16" s="36">
        <f>-'Balance Sheet (Annual Report)'!G82/1000</f>
        <v>-50</v>
      </c>
      <c r="L16" s="36">
        <f t="shared" si="2"/>
        <v>0</v>
      </c>
    </row>
    <row r="17" spans="2:12" hidden="1" outlineLevel="1" x14ac:dyDescent="0.25">
      <c r="B17" s="37" t="s">
        <v>209</v>
      </c>
      <c r="C17" s="37" t="s">
        <v>209</v>
      </c>
      <c r="D17" s="36"/>
      <c r="E17" s="36"/>
      <c r="F17" s="36">
        <f t="shared" si="0"/>
        <v>0</v>
      </c>
      <c r="H17" s="37" t="str">
        <f t="shared" si="3"/>
        <v>Dummy 1</v>
      </c>
      <c r="I17" s="37" t="str">
        <f t="shared" si="1"/>
        <v>Dummy 1</v>
      </c>
      <c r="J17" s="36"/>
      <c r="K17" s="36"/>
      <c r="L17" s="36">
        <f t="shared" si="2"/>
        <v>0</v>
      </c>
    </row>
    <row r="18" spans="2:12" hidden="1" outlineLevel="1" x14ac:dyDescent="0.25">
      <c r="B18" s="37" t="s">
        <v>208</v>
      </c>
      <c r="C18" s="37" t="s">
        <v>208</v>
      </c>
      <c r="D18" s="36"/>
      <c r="E18" s="36"/>
      <c r="F18" s="36">
        <f t="shared" si="0"/>
        <v>0</v>
      </c>
      <c r="H18" s="37" t="str">
        <f t="shared" si="3"/>
        <v>Dummy 2</v>
      </c>
      <c r="I18" s="37" t="str">
        <f t="shared" si="1"/>
        <v>Dummy 2</v>
      </c>
      <c r="J18" s="36"/>
      <c r="K18" s="36"/>
      <c r="L18" s="36">
        <f t="shared" si="2"/>
        <v>0</v>
      </c>
    </row>
    <row r="19" spans="2:12" hidden="1" outlineLevel="1" x14ac:dyDescent="0.25">
      <c r="B19" s="42" t="s">
        <v>207</v>
      </c>
      <c r="C19" s="42" t="s">
        <v>207</v>
      </c>
      <c r="D19" s="127"/>
      <c r="E19" s="127"/>
      <c r="F19" s="127">
        <f t="shared" si="0"/>
        <v>0</v>
      </c>
      <c r="H19" s="42" t="str">
        <f t="shared" si="3"/>
        <v>Dummy 3</v>
      </c>
      <c r="I19" s="42" t="str">
        <f t="shared" si="1"/>
        <v>Dummy 3</v>
      </c>
      <c r="J19" s="127"/>
      <c r="K19" s="127"/>
      <c r="L19" s="127">
        <f t="shared" si="2"/>
        <v>0</v>
      </c>
    </row>
    <row r="20" spans="2:12" collapsed="1" x14ac:dyDescent="0.25">
      <c r="B20" s="141" t="s">
        <v>74</v>
      </c>
      <c r="C20" s="141" t="s">
        <v>309</v>
      </c>
      <c r="D20" s="141">
        <f>SUM(D13:D19)</f>
        <v>3340.1928800000005</v>
      </c>
      <c r="E20" s="141">
        <f>SUM(E13:E19)</f>
        <v>3349.8661099999999</v>
      </c>
      <c r="F20" s="141">
        <f t="shared" si="0"/>
        <v>9.6732299999994211</v>
      </c>
      <c r="H20" s="141" t="str">
        <f t="shared" si="3"/>
        <v>Trade Working Capital</v>
      </c>
      <c r="I20" s="141" t="str">
        <f t="shared" si="1"/>
        <v>Trade working capital</v>
      </c>
      <c r="J20" s="141">
        <f>SUM(J13:J19)</f>
        <v>4574.2469900000006</v>
      </c>
      <c r="K20" s="141">
        <f>SUM(K13:K19)</f>
        <v>4588.6327799999999</v>
      </c>
      <c r="L20" s="141">
        <f t="shared" si="2"/>
        <v>14.385789999999361</v>
      </c>
    </row>
    <row r="21" spans="2:12" x14ac:dyDescent="0.25">
      <c r="B21" s="37" t="s">
        <v>308</v>
      </c>
      <c r="C21" s="37" t="s">
        <v>304</v>
      </c>
      <c r="D21" s="36">
        <f>'Lead NA'!G24</f>
        <v>296.51486</v>
      </c>
      <c r="E21" s="36">
        <f>'Balance Sheet (Annual Report)'!F47/1000</f>
        <v>301.29382999999996</v>
      </c>
      <c r="F21" s="36">
        <f t="shared" si="0"/>
        <v>4.7789699999999584</v>
      </c>
      <c r="H21" s="37" t="str">
        <f t="shared" si="3"/>
        <v>Sonstige Vermögensgegenstände</v>
      </c>
      <c r="I21" s="37" t="str">
        <f t="shared" si="1"/>
        <v>Other assets</v>
      </c>
      <c r="J21" s="36">
        <f>'Lead NA'!H24</f>
        <v>313.58526000000001</v>
      </c>
      <c r="K21" s="36">
        <f>'Balance Sheet (Annual Report)'!G47/1000</f>
        <v>313.91109</v>
      </c>
      <c r="L21" s="36">
        <f t="shared" si="2"/>
        <v>0.32582999999999629</v>
      </c>
    </row>
    <row r="22" spans="2:12" x14ac:dyDescent="0.25">
      <c r="B22" s="37" t="s">
        <v>307</v>
      </c>
      <c r="C22" s="37" t="s">
        <v>306</v>
      </c>
      <c r="D22" s="36">
        <f>'Lead NA'!G25</f>
        <v>65.903960000000012</v>
      </c>
      <c r="E22" s="36">
        <f>'Balance Sheet (Annual Report)'!F60/1000</f>
        <v>65.903960000000012</v>
      </c>
      <c r="F22" s="36">
        <f t="shared" si="0"/>
        <v>0</v>
      </c>
      <c r="H22" s="37" t="str">
        <f t="shared" si="3"/>
        <v>Aktive Rechnungsabgrenzungsposten</v>
      </c>
      <c r="I22" s="37" t="str">
        <f t="shared" si="1"/>
        <v>Prepaid expenses</v>
      </c>
      <c r="J22" s="36">
        <f>'Lead NA'!H25</f>
        <v>62.927860000000003</v>
      </c>
      <c r="K22" s="36">
        <f>'Balance Sheet (Annual Report)'!G60/1000</f>
        <v>62.927860000000003</v>
      </c>
      <c r="L22" s="36">
        <f t="shared" si="2"/>
        <v>0</v>
      </c>
    </row>
    <row r="23" spans="2:12" x14ac:dyDescent="0.25">
      <c r="B23" s="37" t="s">
        <v>671</v>
      </c>
      <c r="C23" s="37" t="s">
        <v>667</v>
      </c>
      <c r="D23" s="36">
        <f>'Lead NA'!G26</f>
        <v>0</v>
      </c>
      <c r="E23" s="36"/>
      <c r="F23" s="36">
        <f t="shared" si="0"/>
        <v>0</v>
      </c>
      <c r="H23" s="37" t="str">
        <f t="shared" si="3"/>
        <v>Forderungen gegenüber verbundenen/beteiligten Unternehmen</v>
      </c>
      <c r="I23" s="37" t="str">
        <f t="shared" si="1"/>
        <v>Receivables from affiliated/ participating companies</v>
      </c>
      <c r="J23" s="36">
        <f>'Lead NA'!H26</f>
        <v>0</v>
      </c>
      <c r="K23" s="36"/>
      <c r="L23" s="36">
        <f t="shared" si="2"/>
        <v>0</v>
      </c>
    </row>
    <row r="24" spans="2:12" x14ac:dyDescent="0.25">
      <c r="B24" s="37" t="s">
        <v>670</v>
      </c>
      <c r="C24" s="37" t="s">
        <v>668</v>
      </c>
      <c r="D24" s="36" t="e">
        <f>'Lead NA'!#REF!</f>
        <v>#REF!</v>
      </c>
      <c r="E24" s="36"/>
      <c r="F24" s="36" t="e">
        <f t="shared" si="0"/>
        <v>#REF!</v>
      </c>
      <c r="H24" s="37" t="str">
        <f t="shared" si="3"/>
        <v>Forderungen gegenüber Gesellschaftern</v>
      </c>
      <c r="I24" s="37" t="str">
        <f t="shared" si="1"/>
        <v>Receivables from shareholders</v>
      </c>
      <c r="J24" s="36" t="e">
        <f>'Lead NA'!#REF!</f>
        <v>#REF!</v>
      </c>
      <c r="K24" s="36"/>
      <c r="L24" s="36" t="e">
        <f t="shared" si="2"/>
        <v>#REF!</v>
      </c>
    </row>
    <row r="25" spans="2:12" hidden="1" outlineLevel="1" x14ac:dyDescent="0.25">
      <c r="B25" s="37"/>
      <c r="C25" s="37"/>
      <c r="D25" s="36"/>
      <c r="E25" s="36"/>
      <c r="F25" s="36"/>
      <c r="H25" s="37"/>
      <c r="I25" s="37"/>
      <c r="J25" s="36"/>
      <c r="K25" s="36"/>
      <c r="L25" s="36"/>
    </row>
    <row r="26" spans="2:12" hidden="1" outlineLevel="1" x14ac:dyDescent="0.25">
      <c r="B26" s="37" t="s">
        <v>208</v>
      </c>
      <c r="C26" s="37" t="s">
        <v>208</v>
      </c>
      <c r="D26" s="36"/>
      <c r="E26" s="36"/>
      <c r="F26" s="36">
        <f t="shared" si="0"/>
        <v>0</v>
      </c>
      <c r="H26" s="37" t="str">
        <f t="shared" si="3"/>
        <v>Dummy 2</v>
      </c>
      <c r="I26" s="37" t="str">
        <f t="shared" si="1"/>
        <v>Dummy 2</v>
      </c>
      <c r="J26" s="36"/>
      <c r="K26" s="36"/>
      <c r="L26" s="36">
        <f t="shared" si="2"/>
        <v>0</v>
      </c>
    </row>
    <row r="27" spans="2:12" hidden="1" outlineLevel="1" x14ac:dyDescent="0.25">
      <c r="B27" s="37" t="s">
        <v>207</v>
      </c>
      <c r="C27" s="37" t="s">
        <v>207</v>
      </c>
      <c r="D27" s="36"/>
      <c r="E27" s="36"/>
      <c r="F27" s="36">
        <f t="shared" si="0"/>
        <v>0</v>
      </c>
      <c r="H27" s="37" t="str">
        <f t="shared" si="3"/>
        <v>Dummy 3</v>
      </c>
      <c r="I27" s="37" t="str">
        <f t="shared" si="1"/>
        <v>Dummy 3</v>
      </c>
      <c r="J27" s="36"/>
      <c r="K27" s="36"/>
      <c r="L27" s="36">
        <f t="shared" si="2"/>
        <v>0</v>
      </c>
    </row>
    <row r="28" spans="2:12" collapsed="1" x14ac:dyDescent="0.25">
      <c r="B28" s="155" t="s">
        <v>305</v>
      </c>
      <c r="C28" s="155" t="s">
        <v>304</v>
      </c>
      <c r="D28" s="154" t="e">
        <f>SUM(D21:D27)</f>
        <v>#REF!</v>
      </c>
      <c r="E28" s="154">
        <f>SUM(E21:E27)</f>
        <v>367.19778999999994</v>
      </c>
      <c r="F28" s="154" t="e">
        <f t="shared" si="0"/>
        <v>#REF!</v>
      </c>
      <c r="H28" s="155" t="str">
        <f t="shared" si="3"/>
        <v>Sonstige Aktiva</v>
      </c>
      <c r="I28" s="155" t="str">
        <f t="shared" si="1"/>
        <v>Other assets</v>
      </c>
      <c r="J28" s="154" t="e">
        <f>SUM(J21:J27)</f>
        <v>#REF!</v>
      </c>
      <c r="K28" s="154">
        <f>SUM(K21:K27)</f>
        <v>376.83895000000001</v>
      </c>
      <c r="L28" s="154" t="e">
        <f t="shared" si="2"/>
        <v>#REF!</v>
      </c>
    </row>
    <row r="29" spans="2:12" x14ac:dyDescent="0.25">
      <c r="B29" s="37" t="s">
        <v>303</v>
      </c>
      <c r="C29" s="37" t="s">
        <v>302</v>
      </c>
      <c r="D29" s="36">
        <f>'Lead NA'!G31</f>
        <v>-424.9074</v>
      </c>
      <c r="E29" s="36">
        <f>-'Balance Sheet (Annual Report)'!F79/1000</f>
        <v>-424.9074</v>
      </c>
      <c r="F29" s="36">
        <f t="shared" si="0"/>
        <v>0</v>
      </c>
      <c r="H29" s="37" t="str">
        <f t="shared" si="3"/>
        <v>Sonstige Rückstellungen</v>
      </c>
      <c r="I29" s="37" t="str">
        <f t="shared" si="1"/>
        <v>Other provisions</v>
      </c>
      <c r="J29" s="36">
        <f>'Lead NA'!H31</f>
        <v>-228.40294999999998</v>
      </c>
      <c r="K29" s="36">
        <f>-'Balance Sheet (Annual Report)'!G79/1000</f>
        <v>-228.40294999999998</v>
      </c>
      <c r="L29" s="36">
        <f t="shared" si="2"/>
        <v>0</v>
      </c>
    </row>
    <row r="30" spans="2:12" x14ac:dyDescent="0.25">
      <c r="B30" s="37" t="s">
        <v>301</v>
      </c>
      <c r="C30" s="37" t="s">
        <v>299</v>
      </c>
      <c r="D30" s="36">
        <f>'Lead NA'!G32</f>
        <v>-290.29440999999963</v>
      </c>
      <c r="E30" s="36">
        <f>-'Balance Sheet (Annual Report)'!F109/1000</f>
        <v>-304.74660999999992</v>
      </c>
      <c r="F30" s="36">
        <f t="shared" si="0"/>
        <v>-14.452200000000289</v>
      </c>
      <c r="H30" s="37" t="str">
        <f t="shared" si="3"/>
        <v>Sonstige Verbindlichkeiten</v>
      </c>
      <c r="I30" s="37" t="str">
        <f t="shared" si="1"/>
        <v>Other liabilities</v>
      </c>
      <c r="J30" s="36">
        <f>'Lead NA'!H32</f>
        <v>-429.13633000000038</v>
      </c>
      <c r="K30" s="36">
        <f>-'Balance Sheet (Annual Report)'!G109/1000</f>
        <v>-443.84795000000037</v>
      </c>
      <c r="L30" s="36">
        <f t="shared" si="2"/>
        <v>-14.711619999999982</v>
      </c>
    </row>
    <row r="31" spans="2:12" x14ac:dyDescent="0.25">
      <c r="B31" s="37" t="s">
        <v>288</v>
      </c>
      <c r="C31" s="37" t="s">
        <v>287</v>
      </c>
      <c r="D31" s="36">
        <f>'Lead NA'!G33</f>
        <v>0</v>
      </c>
      <c r="E31" s="36"/>
      <c r="F31" s="36">
        <f t="shared" si="0"/>
        <v>0</v>
      </c>
      <c r="H31" s="37" t="str">
        <f t="shared" si="3"/>
        <v>Steuerrückstellungen</v>
      </c>
      <c r="I31" s="37" t="str">
        <f t="shared" si="1"/>
        <v>Tax provisions</v>
      </c>
      <c r="J31" s="36">
        <f>'Lead NA'!H33</f>
        <v>0</v>
      </c>
      <c r="K31" s="36"/>
      <c r="L31" s="36">
        <f t="shared" si="2"/>
        <v>0</v>
      </c>
    </row>
    <row r="32" spans="2:12" x14ac:dyDescent="0.25">
      <c r="B32" s="37" t="s">
        <v>673</v>
      </c>
      <c r="C32" s="37" t="s">
        <v>665</v>
      </c>
      <c r="D32" s="36">
        <f>'Lead NA'!G34</f>
        <v>0</v>
      </c>
      <c r="E32" s="36"/>
      <c r="F32" s="36">
        <f t="shared" si="0"/>
        <v>0</v>
      </c>
      <c r="H32" s="37" t="str">
        <f t="shared" si="3"/>
        <v>Verbindlichkeiten an verbundenen/beteiligten Unternehmen</v>
      </c>
      <c r="I32" s="37" t="str">
        <f t="shared" si="1"/>
        <v>Liabilities to affiliated/ participating companies</v>
      </c>
      <c r="J32" s="36">
        <f>'Lead NA'!H34</f>
        <v>0</v>
      </c>
      <c r="K32" s="36"/>
      <c r="L32" s="36">
        <f t="shared" si="2"/>
        <v>0</v>
      </c>
    </row>
    <row r="33" spans="2:12" x14ac:dyDescent="0.25">
      <c r="B33" s="37" t="s">
        <v>672</v>
      </c>
      <c r="C33" s="37" t="s">
        <v>666</v>
      </c>
      <c r="D33" s="36">
        <f>'Lead NA'!G35</f>
        <v>0</v>
      </c>
      <c r="E33" s="36"/>
      <c r="F33" s="36">
        <f t="shared" si="0"/>
        <v>0</v>
      </c>
      <c r="H33" s="37" t="str">
        <f t="shared" si="3"/>
        <v>Verbindlichkeiten an Gesellschafter</v>
      </c>
      <c r="I33" s="37" t="str">
        <f t="shared" si="1"/>
        <v>Liabilities to shareholders</v>
      </c>
      <c r="J33" s="36">
        <f>'Lead NA'!H35</f>
        <v>0</v>
      </c>
      <c r="K33" s="36"/>
      <c r="L33" s="36">
        <f t="shared" si="2"/>
        <v>0</v>
      </c>
    </row>
    <row r="34" spans="2:12" x14ac:dyDescent="0.25">
      <c r="B34" s="37" t="s">
        <v>674</v>
      </c>
      <c r="C34" s="37" t="s">
        <v>669</v>
      </c>
      <c r="D34" s="36">
        <f>'Lead NA'!G36</f>
        <v>0</v>
      </c>
      <c r="E34" s="36"/>
      <c r="F34" s="36">
        <f t="shared" si="0"/>
        <v>0</v>
      </c>
      <c r="H34" s="37" t="str">
        <f t="shared" si="3"/>
        <v>Passive Rechnungsabgrenzungsposten</v>
      </c>
      <c r="I34" s="37" t="str">
        <f t="shared" si="1"/>
        <v>Deferred income</v>
      </c>
      <c r="J34" s="36">
        <f>'Lead NA'!H36</f>
        <v>0</v>
      </c>
      <c r="K34" s="36"/>
      <c r="L34" s="36">
        <f t="shared" si="2"/>
        <v>0</v>
      </c>
    </row>
    <row r="35" spans="2:12" hidden="1" outlineLevel="1" x14ac:dyDescent="0.25">
      <c r="B35" s="37" t="s">
        <v>209</v>
      </c>
      <c r="C35" s="37" t="s">
        <v>209</v>
      </c>
      <c r="D35" s="36"/>
      <c r="E35" s="36"/>
      <c r="F35" s="36">
        <f t="shared" si="0"/>
        <v>0</v>
      </c>
      <c r="H35" s="37" t="str">
        <f t="shared" si="3"/>
        <v>Dummy 1</v>
      </c>
      <c r="I35" s="37" t="str">
        <f t="shared" si="1"/>
        <v>Dummy 1</v>
      </c>
      <c r="J35" s="36"/>
      <c r="K35" s="36"/>
      <c r="L35" s="36">
        <f t="shared" si="2"/>
        <v>0</v>
      </c>
    </row>
    <row r="36" spans="2:12" hidden="1" outlineLevel="1" x14ac:dyDescent="0.25">
      <c r="B36" s="37" t="s">
        <v>208</v>
      </c>
      <c r="C36" s="37" t="s">
        <v>208</v>
      </c>
      <c r="D36" s="36"/>
      <c r="E36" s="36"/>
      <c r="F36" s="36">
        <f t="shared" si="0"/>
        <v>0</v>
      </c>
      <c r="H36" s="37" t="str">
        <f t="shared" si="3"/>
        <v>Dummy 2</v>
      </c>
      <c r="I36" s="37" t="str">
        <f t="shared" si="1"/>
        <v>Dummy 2</v>
      </c>
      <c r="J36" s="36"/>
      <c r="K36" s="36"/>
      <c r="L36" s="36">
        <f t="shared" si="2"/>
        <v>0</v>
      </c>
    </row>
    <row r="37" spans="2:12" hidden="1" outlineLevel="1" x14ac:dyDescent="0.25">
      <c r="B37" s="37" t="s">
        <v>207</v>
      </c>
      <c r="C37" s="37" t="s">
        <v>207</v>
      </c>
      <c r="D37" s="36"/>
      <c r="E37" s="36"/>
      <c r="F37" s="36">
        <f t="shared" si="0"/>
        <v>0</v>
      </c>
      <c r="H37" s="37" t="str">
        <f t="shared" si="3"/>
        <v>Dummy 3</v>
      </c>
      <c r="I37" s="37" t="str">
        <f t="shared" si="1"/>
        <v>Dummy 3</v>
      </c>
      <c r="J37" s="36"/>
      <c r="K37" s="36"/>
      <c r="L37" s="36">
        <f t="shared" si="2"/>
        <v>0</v>
      </c>
    </row>
    <row r="38" spans="2:12" collapsed="1" x14ac:dyDescent="0.25">
      <c r="B38" s="151" t="s">
        <v>300</v>
      </c>
      <c r="C38" s="151" t="s">
        <v>299</v>
      </c>
      <c r="D38" s="150">
        <f>SUM(D29:D37)</f>
        <v>-715.20180999999957</v>
      </c>
      <c r="E38" s="150">
        <f>SUM(E29:E37)</f>
        <v>-729.65400999999997</v>
      </c>
      <c r="F38" s="150">
        <f t="shared" si="0"/>
        <v>-14.452200000000403</v>
      </c>
      <c r="H38" s="151" t="str">
        <f t="shared" si="3"/>
        <v>Sonstige Passiva</v>
      </c>
      <c r="I38" s="151" t="str">
        <f t="shared" si="1"/>
        <v>Other liabilities</v>
      </c>
      <c r="J38" s="150">
        <f>SUM(J29:J37)</f>
        <v>-657.53928000000042</v>
      </c>
      <c r="K38" s="150">
        <f>SUM(K29:K37)</f>
        <v>-672.25090000000034</v>
      </c>
      <c r="L38" s="150">
        <f t="shared" si="2"/>
        <v>-14.711619999999925</v>
      </c>
    </row>
    <row r="39" spans="2:12" x14ac:dyDescent="0.25">
      <c r="B39" s="147" t="s">
        <v>298</v>
      </c>
      <c r="C39" s="147" t="s">
        <v>297</v>
      </c>
      <c r="D39" s="147" t="e">
        <f>D38+D28</f>
        <v>#REF!</v>
      </c>
      <c r="E39" s="147">
        <f>E38+E28</f>
        <v>-362.45622000000003</v>
      </c>
      <c r="F39" s="147" t="e">
        <f t="shared" si="0"/>
        <v>#REF!</v>
      </c>
      <c r="H39" s="147" t="str">
        <f t="shared" si="3"/>
        <v>Other Working Capital</v>
      </c>
      <c r="I39" s="147" t="str">
        <f t="shared" si="1"/>
        <v>Other working capital</v>
      </c>
      <c r="J39" s="147" t="e">
        <f>J38+J28</f>
        <v>#REF!</v>
      </c>
      <c r="K39" s="147">
        <f>K38+K28</f>
        <v>-295.41195000000033</v>
      </c>
      <c r="L39" s="147" t="e">
        <f t="shared" si="2"/>
        <v>#REF!</v>
      </c>
    </row>
    <row r="40" spans="2:12" x14ac:dyDescent="0.25">
      <c r="B40" s="144" t="s">
        <v>296</v>
      </c>
      <c r="C40" s="144" t="s">
        <v>295</v>
      </c>
      <c r="D40" s="144" t="e">
        <f>D39+D20</f>
        <v>#REF!</v>
      </c>
      <c r="E40" s="144">
        <f>E39+E20</f>
        <v>2987.4098899999999</v>
      </c>
      <c r="F40" s="144" t="e">
        <f t="shared" si="0"/>
        <v>#REF!</v>
      </c>
      <c r="H40" s="144" t="str">
        <f t="shared" si="3"/>
        <v>Net Working Capital</v>
      </c>
      <c r="I40" s="144" t="str">
        <f t="shared" si="1"/>
        <v>Net working capital</v>
      </c>
      <c r="J40" s="144" t="e">
        <f>J39+J20</f>
        <v>#REF!</v>
      </c>
      <c r="K40" s="144">
        <f>K39+K20</f>
        <v>4293.2208299999993</v>
      </c>
      <c r="L40" s="144" t="e">
        <f t="shared" si="2"/>
        <v>#REF!</v>
      </c>
    </row>
    <row r="41" spans="2:12" x14ac:dyDescent="0.25">
      <c r="B41" s="37" t="s">
        <v>294</v>
      </c>
      <c r="C41" s="37" t="s">
        <v>293</v>
      </c>
      <c r="D41" s="36">
        <f>'Lead NA'!G43</f>
        <v>2715.5673000000002</v>
      </c>
      <c r="E41" s="36">
        <f>'Balance Sheet (Annual Report)'!F57/1000</f>
        <v>2715.5673000000002</v>
      </c>
      <c r="F41" s="36">
        <f t="shared" si="0"/>
        <v>0</v>
      </c>
      <c r="H41" s="37" t="str">
        <f t="shared" si="3"/>
        <v>Liquide Mittel</v>
      </c>
      <c r="I41" s="37" t="str">
        <f t="shared" si="1"/>
        <v>Cash</v>
      </c>
      <c r="J41" s="36">
        <f>'Lead NA'!H43</f>
        <v>1004.06084</v>
      </c>
      <c r="K41" s="36">
        <f>'Balance Sheet (Annual Report)'!G57/1000</f>
        <v>1004.06084</v>
      </c>
      <c r="L41" s="36">
        <f t="shared" si="2"/>
        <v>0</v>
      </c>
    </row>
    <row r="42" spans="2:12" x14ac:dyDescent="0.25">
      <c r="B42" s="37" t="s">
        <v>292</v>
      </c>
      <c r="C42" s="37" t="s">
        <v>291</v>
      </c>
      <c r="D42" s="36">
        <f>'Lead NA'!G44</f>
        <v>0</v>
      </c>
      <c r="E42" s="36"/>
      <c r="F42" s="36">
        <f t="shared" si="0"/>
        <v>0</v>
      </c>
      <c r="H42" s="37" t="str">
        <f t="shared" si="3"/>
        <v>Verbindlichkeiten ggü.Kreditinstituten</v>
      </c>
      <c r="I42" s="37" t="str">
        <f t="shared" si="1"/>
        <v>Liabilities to banks</v>
      </c>
      <c r="J42" s="36">
        <f>'Lead NA'!H44</f>
        <v>0</v>
      </c>
      <c r="K42" s="36"/>
      <c r="L42" s="36">
        <f t="shared" si="2"/>
        <v>0</v>
      </c>
    </row>
    <row r="43" spans="2:12" x14ac:dyDescent="0.25">
      <c r="B43" s="37" t="s">
        <v>675</v>
      </c>
      <c r="C43" s="37" t="s">
        <v>676</v>
      </c>
      <c r="D43" s="36">
        <f>'Lead NA'!G45</f>
        <v>-192.102</v>
      </c>
      <c r="E43" s="36">
        <f>-'Balance Sheet (Annual Report)'!F70/1000</f>
        <v>-192.102</v>
      </c>
      <c r="F43" s="36">
        <f t="shared" si="0"/>
        <v>0</v>
      </c>
      <c r="H43" s="37" t="str">
        <f t="shared" si="3"/>
        <v>Pensionsrückstellungen</v>
      </c>
      <c r="I43" s="37" t="str">
        <f t="shared" si="1"/>
        <v>Pension provisions</v>
      </c>
      <c r="J43" s="36">
        <f>'Lead NA'!H45</f>
        <v>-182.40299999999999</v>
      </c>
      <c r="K43" s="36">
        <f>-'Balance Sheet (Annual Report)'!G70/1000</f>
        <v>-182.40299999999999</v>
      </c>
      <c r="L43" s="36">
        <f t="shared" si="2"/>
        <v>0</v>
      </c>
    </row>
    <row r="44" spans="2:12" x14ac:dyDescent="0.25">
      <c r="B44" s="37" t="s">
        <v>288</v>
      </c>
      <c r="C44" s="37" t="s">
        <v>287</v>
      </c>
      <c r="D44" s="36">
        <f>'Lead NA'!G46</f>
        <v>-224.92819</v>
      </c>
      <c r="E44" s="36">
        <f>-'Balance Sheet (Annual Report)'!F73/1000</f>
        <v>-224.92819</v>
      </c>
      <c r="F44" s="36">
        <f t="shared" si="0"/>
        <v>0</v>
      </c>
      <c r="H44" s="37" t="str">
        <f t="shared" si="3"/>
        <v>Steuerrückstellungen</v>
      </c>
      <c r="I44" s="37" t="str">
        <f t="shared" si="1"/>
        <v>Tax provisions</v>
      </c>
      <c r="J44" s="36">
        <f>'Lead NA'!H46</f>
        <v>0</v>
      </c>
      <c r="K44" s="36">
        <f>-'Balance Sheet (Annual Report)'!G73/1000</f>
        <v>0</v>
      </c>
      <c r="L44" s="36">
        <f t="shared" si="2"/>
        <v>0</v>
      </c>
    </row>
    <row r="45" spans="2:12" hidden="1" outlineLevel="1" x14ac:dyDescent="0.25">
      <c r="B45" s="37"/>
      <c r="C45" s="37"/>
      <c r="D45" s="36"/>
      <c r="E45" s="36"/>
      <c r="F45" s="36"/>
      <c r="H45" s="37"/>
      <c r="I45" s="37"/>
      <c r="J45" s="36"/>
      <c r="K45" s="36"/>
      <c r="L45" s="36"/>
    </row>
    <row r="46" spans="2:12" collapsed="1" x14ac:dyDescent="0.25">
      <c r="B46" s="42" t="s">
        <v>2387</v>
      </c>
      <c r="C46" s="42" t="s">
        <v>2386</v>
      </c>
      <c r="D46" s="127">
        <f>'Lead NA'!G48</f>
        <v>0</v>
      </c>
      <c r="E46" s="127"/>
      <c r="F46" s="127">
        <f t="shared" si="0"/>
        <v>0</v>
      </c>
      <c r="H46" s="42" t="str">
        <f t="shared" si="3"/>
        <v>Sonstige Wertpapiere</v>
      </c>
      <c r="I46" s="42" t="str">
        <f t="shared" si="1"/>
        <v>Short-term securities</v>
      </c>
      <c r="J46" s="127">
        <f>'Lead NA'!H48</f>
        <v>109.79174999999999</v>
      </c>
      <c r="K46" s="127">
        <f>'Balance Sheet (Annual Report)'!G51/1000</f>
        <v>109.79174999999999</v>
      </c>
      <c r="L46" s="127">
        <f t="shared" si="2"/>
        <v>0</v>
      </c>
    </row>
    <row r="47" spans="2:12" x14ac:dyDescent="0.25">
      <c r="B47" s="141" t="s">
        <v>290</v>
      </c>
      <c r="C47" s="141" t="s">
        <v>289</v>
      </c>
      <c r="D47" s="141">
        <f>SUM(D41:D46)</f>
        <v>2298.5371100000002</v>
      </c>
      <c r="E47" s="141">
        <f>SUM(E41:E46)</f>
        <v>2298.5371100000002</v>
      </c>
      <c r="F47" s="141">
        <f t="shared" si="0"/>
        <v>0</v>
      </c>
      <c r="H47" s="141" t="str">
        <f t="shared" si="3"/>
        <v>Netto-Finanzvermögen / -Verbindlichkeiten</v>
      </c>
      <c r="I47" s="141" t="str">
        <f t="shared" si="1"/>
        <v>Net cash / Net debt</v>
      </c>
      <c r="J47" s="141">
        <f>SUM(J41:J46)</f>
        <v>931.44958999999994</v>
      </c>
      <c r="K47" s="141">
        <f>SUM(K41:K46)</f>
        <v>931.44958999999994</v>
      </c>
      <c r="L47" s="141">
        <f t="shared" si="2"/>
        <v>0</v>
      </c>
    </row>
    <row r="48" spans="2:12" x14ac:dyDescent="0.25">
      <c r="B48" s="37" t="s">
        <v>286</v>
      </c>
      <c r="C48" s="37" t="s">
        <v>285</v>
      </c>
      <c r="D48" s="36">
        <f>'Lead NA'!G50</f>
        <v>0</v>
      </c>
      <c r="E48" s="36"/>
      <c r="F48" s="36">
        <f t="shared" si="0"/>
        <v>0</v>
      </c>
      <c r="H48" s="37" t="str">
        <f t="shared" si="3"/>
        <v>Passive latente Steuern</v>
      </c>
      <c r="I48" s="37" t="str">
        <f t="shared" si="1"/>
        <v>Deferred tax liabilities</v>
      </c>
      <c r="J48" s="36">
        <f>'Lead NA'!H50</f>
        <v>-48.875999999999998</v>
      </c>
      <c r="K48" s="36">
        <f>-'Balance Sheet (Annual Report)'!G112/1000</f>
        <v>-48.875999999999998</v>
      </c>
      <c r="L48" s="36">
        <f t="shared" si="2"/>
        <v>0</v>
      </c>
    </row>
    <row r="49" spans="2:12" hidden="1" outlineLevel="1" x14ac:dyDescent="0.25">
      <c r="B49" s="37" t="s">
        <v>209</v>
      </c>
      <c r="C49" s="37" t="s">
        <v>209</v>
      </c>
      <c r="D49" s="36"/>
      <c r="E49" s="36"/>
      <c r="F49" s="36">
        <f t="shared" si="0"/>
        <v>0</v>
      </c>
      <c r="H49" s="37" t="str">
        <f t="shared" si="3"/>
        <v>Dummy 1</v>
      </c>
      <c r="I49" s="37" t="str">
        <f t="shared" si="1"/>
        <v>Dummy 1</v>
      </c>
      <c r="J49" s="36"/>
      <c r="K49" s="36"/>
      <c r="L49" s="36">
        <f t="shared" si="2"/>
        <v>0</v>
      </c>
    </row>
    <row r="50" spans="2:12" hidden="1" outlineLevel="1" x14ac:dyDescent="0.25">
      <c r="B50" s="37" t="s">
        <v>208</v>
      </c>
      <c r="C50" s="37" t="s">
        <v>208</v>
      </c>
      <c r="D50" s="36"/>
      <c r="E50" s="36"/>
      <c r="F50" s="36">
        <f t="shared" si="0"/>
        <v>0</v>
      </c>
      <c r="H50" s="37" t="str">
        <f t="shared" si="3"/>
        <v>Dummy 2</v>
      </c>
      <c r="I50" s="37" t="str">
        <f t="shared" si="1"/>
        <v>Dummy 2</v>
      </c>
      <c r="J50" s="36"/>
      <c r="K50" s="36"/>
      <c r="L50" s="36">
        <f t="shared" si="2"/>
        <v>0</v>
      </c>
    </row>
    <row r="51" spans="2:12" hidden="1" outlineLevel="1" x14ac:dyDescent="0.25">
      <c r="B51" s="42" t="s">
        <v>207</v>
      </c>
      <c r="C51" s="42" t="s">
        <v>207</v>
      </c>
      <c r="D51" s="127"/>
      <c r="E51" s="127"/>
      <c r="F51" s="127">
        <f t="shared" si="0"/>
        <v>0</v>
      </c>
      <c r="H51" s="42" t="str">
        <f t="shared" si="3"/>
        <v>Dummy 3</v>
      </c>
      <c r="I51" s="42" t="str">
        <f t="shared" si="1"/>
        <v>Dummy 3</v>
      </c>
      <c r="J51" s="127"/>
      <c r="K51" s="127"/>
      <c r="L51" s="127">
        <f t="shared" si="2"/>
        <v>0</v>
      </c>
    </row>
    <row r="52" spans="2:12" collapsed="1" x14ac:dyDescent="0.25">
      <c r="B52" s="133" t="s">
        <v>284</v>
      </c>
      <c r="C52" s="133" t="s">
        <v>283</v>
      </c>
      <c r="D52" s="132" t="e">
        <f>SUM(D48:D51)+D47+D40+D12</f>
        <v>#REF!</v>
      </c>
      <c r="E52" s="132">
        <f>SUM(E48:E51)+E47+E40+E12</f>
        <v>6186.9079099999999</v>
      </c>
      <c r="F52" s="132" t="e">
        <f t="shared" si="0"/>
        <v>#REF!</v>
      </c>
      <c r="H52" s="133" t="str">
        <f>B52</f>
        <v>Nettovermögen (Eigenkapital)</v>
      </c>
      <c r="I52" s="133" t="str">
        <f>C52</f>
        <v>Net assets (Equity)</v>
      </c>
      <c r="J52" s="132" t="e">
        <f>SUM(J48:J51)+J47+J40+J12</f>
        <v>#REF!</v>
      </c>
      <c r="K52" s="132">
        <f>SUM(K48:K51)+K47+K40+K12</f>
        <v>6281.9602099999993</v>
      </c>
      <c r="L52" s="132" t="e">
        <f t="shared" si="2"/>
        <v>#REF!</v>
      </c>
    </row>
    <row r="53" spans="2:12" x14ac:dyDescent="0.25">
      <c r="C53" s="37" t="s">
        <v>2393</v>
      </c>
      <c r="D53" s="36">
        <f>-'Balance Sheet (Susa)'!E121/1000</f>
        <v>6186.9079099999999</v>
      </c>
      <c r="E53" s="36">
        <f>'Balance Sheet (Annual Report)'!F68/1000</f>
        <v>6186.9079099999999</v>
      </c>
      <c r="I53" s="37" t="str">
        <f>C53</f>
        <v>source</v>
      </c>
      <c r="J53" s="36">
        <f>-'Balance Sheet (Susa)'!F121/1000</f>
        <v>6281.9602099999993</v>
      </c>
      <c r="K53" s="36">
        <f>'Balance Sheet (Annual Report)'!G68/1000</f>
        <v>6281.9602100000002</v>
      </c>
    </row>
    <row r="54" spans="2:12" x14ac:dyDescent="0.25">
      <c r="C54" s="69" t="s">
        <v>233</v>
      </c>
      <c r="D54" s="464" t="e">
        <f>D53-D52</f>
        <v>#REF!</v>
      </c>
      <c r="E54" s="464">
        <f>E53-E52</f>
        <v>0</v>
      </c>
      <c r="F54" s="464" t="e">
        <f>F53-F52</f>
        <v>#REF!</v>
      </c>
      <c r="I54" s="69" t="s">
        <v>233</v>
      </c>
      <c r="J54" s="464" t="e">
        <f>J53-J52</f>
        <v>#REF!</v>
      </c>
      <c r="K54" s="464">
        <f>K53-K52</f>
        <v>0</v>
      </c>
      <c r="L54" s="464" t="e">
        <f>L53-L52</f>
        <v>#REF!</v>
      </c>
    </row>
  </sheetData>
  <conditionalFormatting sqref="A1:XFD1048576">
    <cfRule type="containsText" dxfId="113" priority="1" operator="containsText" text="Dummy">
      <formula>NOT(ISERROR(SEARCH("Dummy",A1)))</formula>
    </cfRule>
  </conditionalFormatting>
  <conditionalFormatting sqref="D54:F54">
    <cfRule type="cellIs" dxfId="112" priority="8" operator="between">
      <formula>-1</formula>
      <formula>1</formula>
    </cfRule>
    <cfRule type="cellIs" dxfId="111" priority="9" operator="lessThan">
      <formula>-1</formula>
    </cfRule>
    <cfRule type="cellIs" dxfId="110" priority="10" operator="greaterThan">
      <formula>1</formula>
    </cfRule>
  </conditionalFormatting>
  <conditionalFormatting sqref="J54:L54">
    <cfRule type="cellIs" dxfId="109" priority="2" operator="between">
      <formula>-1</formula>
      <formula>1</formula>
    </cfRule>
    <cfRule type="cellIs" dxfId="108" priority="3" operator="lessThan">
      <formula>-1</formula>
    </cfRule>
    <cfRule type="cellIs" dxfId="107" priority="4" operator="greaterThan">
      <formula>1</formula>
    </cfRule>
  </conditionalFormatting>
  <pageMargins left="0.7" right="0.7" top="0.78740157499999996" bottom="0.78740157499999996"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EA740-42CC-45AC-B35B-E7B9861CD1D0}">
  <sheetPr>
    <tabColor theme="1"/>
  </sheetPr>
  <dimension ref="A1"/>
  <sheetViews>
    <sheetView workbookViewId="0"/>
  </sheetViews>
  <sheetFormatPr defaultColWidth="9.140625" defaultRowHeight="15" x14ac:dyDescent="0.25"/>
  <sheetData/>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266A-27F2-49AE-A978-95D7BEBA5B7B}">
  <sheetPr>
    <tabColor rgb="FF7030A0"/>
  </sheetPr>
  <dimension ref="A1:J113"/>
  <sheetViews>
    <sheetView workbookViewId="0"/>
  </sheetViews>
  <sheetFormatPr defaultColWidth="8.85546875" defaultRowHeight="15" outlineLevelRow="4" outlineLevelCol="2" x14ac:dyDescent="0.25"/>
  <cols>
    <col min="1" max="1" width="9" style="452" customWidth="1"/>
    <col min="2" max="2" width="50" customWidth="1"/>
    <col min="3" max="3" width="50" hidden="1" customWidth="1" outlineLevel="1"/>
    <col min="4" max="4" width="20" style="453" hidden="1" customWidth="1" outlineLevel="2"/>
    <col min="5" max="5" width="20" style="453" customWidth="1" collapsed="1"/>
    <col min="6" max="7" width="20" style="453" customWidth="1"/>
    <col min="9" max="10" width="13.140625" bestFit="1" customWidth="1"/>
  </cols>
  <sheetData>
    <row r="1" spans="1:9" s="451" customFormat="1" x14ac:dyDescent="0.25">
      <c r="A1" s="448" t="s">
        <v>864</v>
      </c>
      <c r="B1" s="449"/>
      <c r="C1" s="449"/>
      <c r="D1" s="450" t="s">
        <v>865</v>
      </c>
      <c r="E1" s="450" t="s">
        <v>866</v>
      </c>
      <c r="F1" s="450" t="s">
        <v>867</v>
      </c>
      <c r="G1" s="450" t="s">
        <v>868</v>
      </c>
    </row>
    <row r="3" spans="1:9" hidden="1" outlineLevel="4" collapsed="1" x14ac:dyDescent="0.25">
      <c r="A3" s="452">
        <v>48</v>
      </c>
      <c r="B3" t="s">
        <v>869</v>
      </c>
      <c r="C3" t="s">
        <v>870</v>
      </c>
      <c r="G3" s="453">
        <v>203167.17</v>
      </c>
    </row>
    <row r="4" spans="1:9" hidden="1" outlineLevel="3" collapsed="1" x14ac:dyDescent="0.25">
      <c r="B4" t="s">
        <v>871</v>
      </c>
      <c r="C4" t="s">
        <v>872</v>
      </c>
      <c r="D4" s="453">
        <f>SUM(D3:D3)</f>
        <v>0</v>
      </c>
      <c r="E4" s="453">
        <f>SUM(E3:E3)</f>
        <v>0</v>
      </c>
      <c r="F4" s="453">
        <f>SUM(F3:F3)</f>
        <v>0</v>
      </c>
      <c r="G4" s="453">
        <f>SUM(G3:G3)</f>
        <v>203167.17</v>
      </c>
    </row>
    <row r="5" spans="1:9" hidden="1" outlineLevel="4" collapsed="1" x14ac:dyDescent="0.25">
      <c r="A5" s="452">
        <v>27</v>
      </c>
      <c r="B5" t="s">
        <v>873</v>
      </c>
      <c r="C5" t="s">
        <v>874</v>
      </c>
      <c r="D5" s="453">
        <v>12166</v>
      </c>
      <c r="E5" s="453">
        <v>6154</v>
      </c>
      <c r="F5" s="453">
        <v>3606</v>
      </c>
      <c r="G5" s="453">
        <v>1109</v>
      </c>
    </row>
    <row r="6" spans="1:9" hidden="1" outlineLevel="3" collapsed="1" x14ac:dyDescent="0.25">
      <c r="B6" t="s">
        <v>875</v>
      </c>
      <c r="C6" t="s">
        <v>876</v>
      </c>
      <c r="D6" s="453">
        <f>SUM(D5:D5)</f>
        <v>12166</v>
      </c>
      <c r="E6" s="453">
        <f>SUM(E5:E5)</f>
        <v>6154</v>
      </c>
      <c r="F6" s="453">
        <f>SUM(F5:F5)</f>
        <v>3606</v>
      </c>
      <c r="G6" s="453">
        <f>SUM(G5:G5)</f>
        <v>1109</v>
      </c>
    </row>
    <row r="7" spans="1:9" outlineLevel="2" collapsed="1" x14ac:dyDescent="0.25">
      <c r="B7" t="s">
        <v>877</v>
      </c>
      <c r="C7" t="s">
        <v>878</v>
      </c>
      <c r="D7" s="453">
        <f>D4+D6</f>
        <v>12166</v>
      </c>
      <c r="E7" s="453">
        <f>E4+E6</f>
        <v>6154</v>
      </c>
      <c r="F7" s="453">
        <f>F4+F6</f>
        <v>3606</v>
      </c>
      <c r="G7" s="453">
        <f>G4+G6</f>
        <v>204276.17</v>
      </c>
    </row>
    <row r="8" spans="1:9" hidden="1" outlineLevel="4" collapsed="1" x14ac:dyDescent="0.25">
      <c r="A8" s="452">
        <v>210</v>
      </c>
      <c r="B8" t="s">
        <v>879</v>
      </c>
      <c r="C8" t="s">
        <v>880</v>
      </c>
      <c r="D8" s="453">
        <v>1</v>
      </c>
      <c r="E8" s="453">
        <v>1</v>
      </c>
      <c r="F8" s="453">
        <v>1</v>
      </c>
      <c r="G8" s="453">
        <v>1</v>
      </c>
    </row>
    <row r="9" spans="1:9" outlineLevel="3" collapsed="1" x14ac:dyDescent="0.25">
      <c r="B9" t="s">
        <v>881</v>
      </c>
      <c r="C9" t="s">
        <v>882</v>
      </c>
      <c r="D9" s="453">
        <f>SUM(D8:D8)</f>
        <v>1</v>
      </c>
      <c r="E9" s="453">
        <f>SUM(E8:E8)</f>
        <v>1</v>
      </c>
      <c r="F9" s="453">
        <f>SUM(F8:F8)</f>
        <v>1</v>
      </c>
      <c r="G9" s="453">
        <f>SUM(G8:G8)</f>
        <v>1</v>
      </c>
    </row>
    <row r="10" spans="1:9" hidden="1" outlineLevel="4" collapsed="1" x14ac:dyDescent="0.25">
      <c r="A10" s="452">
        <v>400</v>
      </c>
      <c r="B10" t="s">
        <v>883</v>
      </c>
      <c r="C10" t="s">
        <v>884</v>
      </c>
      <c r="D10" s="453">
        <v>193827</v>
      </c>
      <c r="E10" s="453">
        <v>279546</v>
      </c>
      <c r="F10" s="453">
        <v>243990</v>
      </c>
      <c r="G10" s="453">
        <v>303552</v>
      </c>
      <c r="I10" s="482">
        <f>G10-E10</f>
        <v>24006</v>
      </c>
    </row>
    <row r="11" spans="1:9" hidden="1" outlineLevel="4" collapsed="1" x14ac:dyDescent="0.25">
      <c r="A11" s="452">
        <v>440</v>
      </c>
      <c r="B11" t="s">
        <v>885</v>
      </c>
      <c r="C11" t="s">
        <v>886</v>
      </c>
      <c r="D11" s="453">
        <v>96182</v>
      </c>
      <c r="E11" s="453">
        <v>66023</v>
      </c>
      <c r="F11" s="453">
        <v>45408</v>
      </c>
      <c r="G11" s="453">
        <v>36265</v>
      </c>
      <c r="I11" s="482">
        <f>G11-E11</f>
        <v>-29758</v>
      </c>
    </row>
    <row r="12" spans="1:9" hidden="1" outlineLevel="4" collapsed="1" x14ac:dyDescent="0.25">
      <c r="A12" s="452">
        <v>490</v>
      </c>
      <c r="B12" t="s">
        <v>887</v>
      </c>
      <c r="C12" t="s">
        <v>888</v>
      </c>
      <c r="D12" s="453">
        <v>599898</v>
      </c>
      <c r="E12" s="453">
        <v>623267</v>
      </c>
      <c r="F12" s="453">
        <v>425777</v>
      </c>
      <c r="G12" s="453">
        <v>486646</v>
      </c>
      <c r="I12" s="482">
        <f>G12-E12</f>
        <v>-136621</v>
      </c>
    </row>
    <row r="13" spans="1:9" outlineLevel="3" collapsed="1" x14ac:dyDescent="0.25">
      <c r="B13" t="s">
        <v>889</v>
      </c>
      <c r="C13" t="s">
        <v>890</v>
      </c>
      <c r="D13" s="453">
        <f>SUM(D10:D12)</f>
        <v>889907</v>
      </c>
      <c r="E13" s="453">
        <f>SUM(E10:E12)</f>
        <v>968836</v>
      </c>
      <c r="F13" s="453">
        <f>SUM(F10:F12)</f>
        <v>715175</v>
      </c>
      <c r="G13" s="453">
        <f>SUM(G10:G12)</f>
        <v>826463</v>
      </c>
      <c r="I13" s="482">
        <f>G13-E13</f>
        <v>-142373</v>
      </c>
    </row>
    <row r="14" spans="1:9" hidden="1" outlineLevel="4" collapsed="1" x14ac:dyDescent="0.25">
      <c r="A14" s="452">
        <v>299</v>
      </c>
      <c r="B14" t="s">
        <v>891</v>
      </c>
      <c r="C14" t="s">
        <v>892</v>
      </c>
      <c r="D14" s="453">
        <v>105000</v>
      </c>
    </row>
    <row r="15" spans="1:9" hidden="1" outlineLevel="4" collapsed="1" x14ac:dyDescent="0.25">
      <c r="A15" s="452">
        <v>499</v>
      </c>
      <c r="B15" t="s">
        <v>893</v>
      </c>
      <c r="C15" t="s">
        <v>894</v>
      </c>
      <c r="E15" s="453">
        <v>12000</v>
      </c>
    </row>
    <row r="16" spans="1:9" outlineLevel="3" collapsed="1" x14ac:dyDescent="0.25">
      <c r="B16" t="s">
        <v>895</v>
      </c>
      <c r="C16" t="s">
        <v>896</v>
      </c>
      <c r="D16" s="453">
        <f>SUM(D14:D15)</f>
        <v>105000</v>
      </c>
      <c r="E16" s="453">
        <f>SUM(E14:E15)</f>
        <v>12000</v>
      </c>
      <c r="F16" s="453">
        <f>SUM(F14:F15)</f>
        <v>0</v>
      </c>
      <c r="G16" s="453">
        <f>SUM(G14:G15)</f>
        <v>0</v>
      </c>
    </row>
    <row r="17" spans="1:10" outlineLevel="2" x14ac:dyDescent="0.25">
      <c r="B17" t="s">
        <v>897</v>
      </c>
      <c r="C17" t="s">
        <v>898</v>
      </c>
      <c r="D17" s="453">
        <f>D9+D13+D16</f>
        <v>994908</v>
      </c>
      <c r="E17" s="453">
        <f>E9+E13+E16</f>
        <v>980837</v>
      </c>
      <c r="F17" s="453">
        <f>F9+F13+F16</f>
        <v>715176</v>
      </c>
      <c r="G17" s="453">
        <f>G9+G13+G16</f>
        <v>826464</v>
      </c>
      <c r="I17" s="482">
        <f>G17-E17</f>
        <v>-154373</v>
      </c>
    </row>
    <row r="18" spans="1:10" hidden="1" outlineLevel="4" collapsed="1" x14ac:dyDescent="0.25">
      <c r="A18" s="452">
        <v>525</v>
      </c>
      <c r="B18" t="s">
        <v>899</v>
      </c>
      <c r="C18" t="s">
        <v>900</v>
      </c>
      <c r="D18" s="453">
        <v>39920</v>
      </c>
      <c r="E18" s="453">
        <v>206894.12</v>
      </c>
      <c r="F18" s="453">
        <v>181978.91</v>
      </c>
      <c r="G18" s="453">
        <v>75225.62</v>
      </c>
    </row>
    <row r="19" spans="1:10" hidden="1" outlineLevel="3" x14ac:dyDescent="0.25">
      <c r="B19" t="s">
        <v>901</v>
      </c>
      <c r="C19" t="s">
        <v>902</v>
      </c>
      <c r="D19" s="453">
        <f>SUM(D18:D18)</f>
        <v>39920</v>
      </c>
      <c r="E19" s="453">
        <f>SUM(E18:E18)</f>
        <v>206894.12</v>
      </c>
      <c r="F19" s="453">
        <f>SUM(F18:F18)</f>
        <v>181978.91</v>
      </c>
      <c r="G19" s="453">
        <f>SUM(G18:G18)</f>
        <v>75225.62</v>
      </c>
    </row>
    <row r="20" spans="1:10" hidden="1" outlineLevel="4" collapsed="1" x14ac:dyDescent="0.25">
      <c r="A20" s="452">
        <v>570</v>
      </c>
      <c r="B20" t="s">
        <v>903</v>
      </c>
      <c r="C20" t="s">
        <v>904</v>
      </c>
      <c r="F20" s="453">
        <v>200</v>
      </c>
      <c r="G20" s="453">
        <v>200</v>
      </c>
    </row>
    <row r="21" spans="1:10" hidden="1" outlineLevel="3" x14ac:dyDescent="0.25">
      <c r="B21" t="s">
        <v>905</v>
      </c>
      <c r="C21" t="s">
        <v>906</v>
      </c>
      <c r="D21" s="453">
        <f>SUM(D20:D20)</f>
        <v>0</v>
      </c>
      <c r="E21" s="453">
        <f>SUM(E20:E20)</f>
        <v>0</v>
      </c>
      <c r="F21" s="453">
        <f>SUM(F20:F20)</f>
        <v>200</v>
      </c>
      <c r="G21" s="453">
        <f>SUM(G20:G20)</f>
        <v>200</v>
      </c>
    </row>
    <row r="22" spans="1:10" outlineLevel="2" collapsed="1" x14ac:dyDescent="0.25">
      <c r="B22" t="s">
        <v>907</v>
      </c>
      <c r="C22" t="s">
        <v>908</v>
      </c>
      <c r="D22" s="453">
        <f>D19+D21</f>
        <v>39920</v>
      </c>
      <c r="E22" s="453">
        <f>E19+E21</f>
        <v>206894.12</v>
      </c>
      <c r="F22" s="453">
        <f>F19+F21</f>
        <v>182178.91</v>
      </c>
      <c r="G22" s="453">
        <f>G19+G21</f>
        <v>75425.62</v>
      </c>
    </row>
    <row r="23" spans="1:10" outlineLevel="1" x14ac:dyDescent="0.25">
      <c r="B23" t="s">
        <v>909</v>
      </c>
      <c r="C23" t="s">
        <v>910</v>
      </c>
      <c r="D23" s="453">
        <f>D7+D17+D22</f>
        <v>1046994</v>
      </c>
      <c r="E23" s="453">
        <f>E7+E17+E22</f>
        <v>1193885.1200000001</v>
      </c>
      <c r="F23" s="453">
        <f>F7+F17+F22</f>
        <v>900960.91</v>
      </c>
      <c r="G23" s="453">
        <f>G7+G17+G22</f>
        <v>1106165.79</v>
      </c>
    </row>
    <row r="24" spans="1:10" hidden="1" outlineLevel="4" collapsed="1" x14ac:dyDescent="0.25">
      <c r="A24" s="452">
        <v>3970</v>
      </c>
      <c r="B24" t="s">
        <v>911</v>
      </c>
      <c r="C24" t="s">
        <v>912</v>
      </c>
      <c r="D24" s="453">
        <v>725250.34</v>
      </c>
      <c r="E24" s="453">
        <v>874954.12</v>
      </c>
      <c r="F24" s="453">
        <v>1132347.71</v>
      </c>
      <c r="G24" s="453">
        <v>1243325.5</v>
      </c>
      <c r="I24" s="482">
        <f>F24-E24</f>
        <v>257393.58999999997</v>
      </c>
      <c r="J24" s="482">
        <f>G24-F24</f>
        <v>110977.79000000004</v>
      </c>
    </row>
    <row r="25" spans="1:10" outlineLevel="3" collapsed="1" x14ac:dyDescent="0.25">
      <c r="B25" t="s">
        <v>913</v>
      </c>
      <c r="C25" t="s">
        <v>914</v>
      </c>
      <c r="D25" s="453">
        <f>SUM(D24:D24)</f>
        <v>725250.34</v>
      </c>
      <c r="E25" s="453">
        <f>SUM(E24:E24)</f>
        <v>874954.12</v>
      </c>
      <c r="F25" s="453">
        <f>SUM(F24:F24)</f>
        <v>1132347.71</v>
      </c>
      <c r="G25" s="453">
        <f>SUM(G24:G24)</f>
        <v>1243325.5</v>
      </c>
    </row>
    <row r="26" spans="1:10" hidden="1" outlineLevel="4" collapsed="1" x14ac:dyDescent="0.25">
      <c r="A26" s="452">
        <v>7050</v>
      </c>
      <c r="B26" t="s">
        <v>915</v>
      </c>
      <c r="C26" t="s">
        <v>916</v>
      </c>
      <c r="D26" s="453">
        <v>15942.3</v>
      </c>
      <c r="E26" s="453">
        <v>31922.95</v>
      </c>
      <c r="F26" s="453">
        <v>143733.26999999999</v>
      </c>
      <c r="G26" s="453">
        <v>36760.67</v>
      </c>
      <c r="I26" s="482">
        <f>F26-E26</f>
        <v>111810.31999999999</v>
      </c>
      <c r="J26" s="482">
        <f>G26-F26</f>
        <v>-106972.59999999999</v>
      </c>
    </row>
    <row r="27" spans="1:10" outlineLevel="3" collapsed="1" x14ac:dyDescent="0.25">
      <c r="B27" t="s">
        <v>917</v>
      </c>
      <c r="C27" t="s">
        <v>918</v>
      </c>
      <c r="D27" s="453">
        <f>SUM(D26:D26)</f>
        <v>15942.3</v>
      </c>
      <c r="E27" s="453">
        <f>SUM(E26:E26)</f>
        <v>31922.95</v>
      </c>
      <c r="F27" s="453">
        <f>SUM(F26:F26)</f>
        <v>143733.26999999999</v>
      </c>
      <c r="G27" s="453">
        <f>SUM(G26:G26)</f>
        <v>36760.67</v>
      </c>
    </row>
    <row r="28" spans="1:10" hidden="1" outlineLevel="4" collapsed="1" x14ac:dyDescent="0.25">
      <c r="A28" s="452">
        <v>3980</v>
      </c>
      <c r="B28" t="s">
        <v>919</v>
      </c>
      <c r="C28" t="s">
        <v>920</v>
      </c>
      <c r="D28" s="453">
        <v>307175.65999999997</v>
      </c>
      <c r="E28" s="453">
        <v>490341.66</v>
      </c>
      <c r="F28" s="453">
        <v>732078.51</v>
      </c>
      <c r="G28" s="453">
        <v>1474080.57</v>
      </c>
      <c r="I28" s="482">
        <f>F28-E28</f>
        <v>241736.85000000003</v>
      </c>
      <c r="J28" s="482">
        <f>G28-F28</f>
        <v>742002.06</v>
      </c>
    </row>
    <row r="29" spans="1:10" hidden="1" outlineLevel="4" collapsed="1" x14ac:dyDescent="0.25">
      <c r="A29" s="452">
        <v>7100</v>
      </c>
      <c r="B29" t="s">
        <v>921</v>
      </c>
      <c r="C29" t="s">
        <v>922</v>
      </c>
      <c r="D29" s="453">
        <v>814442.95</v>
      </c>
      <c r="E29" s="453">
        <v>506182.35</v>
      </c>
      <c r="F29" s="453">
        <v>593949.16</v>
      </c>
      <c r="G29" s="453">
        <v>1051716.8999999999</v>
      </c>
      <c r="I29" s="482">
        <f>F29-E29</f>
        <v>87766.810000000056</v>
      </c>
      <c r="J29" s="482">
        <f>G29-F29</f>
        <v>457767.73999999987</v>
      </c>
    </row>
    <row r="30" spans="1:10" outlineLevel="3" collapsed="1" x14ac:dyDescent="0.25">
      <c r="B30" t="s">
        <v>923</v>
      </c>
      <c r="C30" t="s">
        <v>924</v>
      </c>
      <c r="D30" s="453">
        <f>SUM(D28:D29)</f>
        <v>1121618.6099999999</v>
      </c>
      <c r="E30" s="453">
        <f>SUM(E28:E29)</f>
        <v>996524.01</v>
      </c>
      <c r="F30" s="453">
        <f>SUM(F28:F29)</f>
        <v>1326027.67</v>
      </c>
      <c r="G30" s="453">
        <f>SUM(G28:G29)</f>
        <v>2525797.4699999997</v>
      </c>
    </row>
    <row r="31" spans="1:10" hidden="1" outlineLevel="4" collapsed="1" x14ac:dyDescent="0.25">
      <c r="A31" s="452">
        <v>1518</v>
      </c>
      <c r="B31" t="s">
        <v>925</v>
      </c>
      <c r="C31" t="s">
        <v>926</v>
      </c>
      <c r="E31" s="453">
        <v>50000</v>
      </c>
      <c r="F31" s="453">
        <v>50000</v>
      </c>
      <c r="G31" s="453">
        <v>50000</v>
      </c>
      <c r="I31" s="482">
        <f>F31-E31</f>
        <v>0</v>
      </c>
      <c r="J31" s="482">
        <f>G31-F31</f>
        <v>0</v>
      </c>
    </row>
    <row r="32" spans="1:10" outlineLevel="3" collapsed="1" x14ac:dyDescent="0.25">
      <c r="B32" t="s">
        <v>927</v>
      </c>
      <c r="C32" t="s">
        <v>928</v>
      </c>
      <c r="D32" s="453">
        <f>SUM(D31:D31)</f>
        <v>0</v>
      </c>
      <c r="E32" s="453">
        <f>SUM(E31:E31)</f>
        <v>50000</v>
      </c>
      <c r="F32" s="453">
        <f>SUM(F31:F31)</f>
        <v>50000</v>
      </c>
      <c r="G32" s="453">
        <f>SUM(G31:G31)</f>
        <v>50000</v>
      </c>
    </row>
    <row r="33" spans="1:7" outlineLevel="2" x14ac:dyDescent="0.25">
      <c r="B33" t="s">
        <v>929</v>
      </c>
      <c r="C33" t="s">
        <v>930</v>
      </c>
      <c r="D33" s="453">
        <f>D25+D27+D30+D32</f>
        <v>1862811.25</v>
      </c>
      <c r="E33" s="453">
        <f>E25+E27+E30+E32</f>
        <v>1953401.08</v>
      </c>
      <c r="F33" s="453">
        <f>F25+F27+F30+F32</f>
        <v>2652108.65</v>
      </c>
      <c r="G33" s="453">
        <f>G25+G27+G30+G32</f>
        <v>3855883.6399999997</v>
      </c>
    </row>
    <row r="34" spans="1:7" hidden="1" outlineLevel="4" collapsed="1" x14ac:dyDescent="0.25">
      <c r="A34" s="452">
        <v>996</v>
      </c>
      <c r="B34" t="s">
        <v>931</v>
      </c>
      <c r="C34" t="s">
        <v>932</v>
      </c>
      <c r="D34" s="453">
        <v>-9560</v>
      </c>
      <c r="E34" s="453">
        <v>-16704</v>
      </c>
      <c r="F34" s="453">
        <v>-15012</v>
      </c>
      <c r="G34" s="453">
        <v>-18893</v>
      </c>
    </row>
    <row r="35" spans="1:7" hidden="1" outlineLevel="4" collapsed="1" x14ac:dyDescent="0.25">
      <c r="A35" s="452">
        <v>998</v>
      </c>
      <c r="B35" t="s">
        <v>933</v>
      </c>
      <c r="C35" t="s">
        <v>934</v>
      </c>
      <c r="D35" s="453">
        <v>-4784</v>
      </c>
      <c r="E35" s="453">
        <v>-6300</v>
      </c>
      <c r="F35" s="453">
        <v>-27177</v>
      </c>
    </row>
    <row r="36" spans="1:7" hidden="1" outlineLevel="4" collapsed="1" x14ac:dyDescent="0.25">
      <c r="A36" s="452">
        <v>1400</v>
      </c>
      <c r="B36" t="s">
        <v>935</v>
      </c>
      <c r="C36" t="s">
        <v>936</v>
      </c>
      <c r="D36" s="453">
        <v>1087401.1499999999</v>
      </c>
      <c r="E36" s="453">
        <v>1803660.07</v>
      </c>
      <c r="F36" s="453">
        <v>1643008.99</v>
      </c>
      <c r="G36" s="453">
        <v>2022405.98</v>
      </c>
    </row>
    <row r="37" spans="1:7" outlineLevel="3" collapsed="1" x14ac:dyDescent="0.25">
      <c r="B37" t="s">
        <v>937</v>
      </c>
      <c r="C37" t="s">
        <v>938</v>
      </c>
      <c r="D37" s="453">
        <f>SUM(D34:D36)</f>
        <v>1073057.1499999999</v>
      </c>
      <c r="E37" s="453">
        <f>SUM(E34:E36)</f>
        <v>1780656.07</v>
      </c>
      <c r="F37" s="453">
        <f>SUM(F34:F36)</f>
        <v>1600819.99</v>
      </c>
      <c r="G37" s="453">
        <f>SUM(G34:G36)</f>
        <v>2003512.98</v>
      </c>
    </row>
    <row r="38" spans="1:7" outlineLevel="3" collapsed="1" x14ac:dyDescent="0.25">
      <c r="B38" t="s">
        <v>939</v>
      </c>
      <c r="C38" t="s">
        <v>940</v>
      </c>
      <c r="D38" s="453">
        <v>100991.85</v>
      </c>
    </row>
    <row r="39" spans="1:7" s="490" customFormat="1" outlineLevel="4" collapsed="1" x14ac:dyDescent="0.25">
      <c r="A39" s="489">
        <v>1500</v>
      </c>
      <c r="B39" s="490" t="s">
        <v>941</v>
      </c>
      <c r="C39" s="490" t="s">
        <v>942</v>
      </c>
      <c r="D39" s="491">
        <v>914.03</v>
      </c>
      <c r="E39" s="491">
        <v>22943.43</v>
      </c>
      <c r="F39" s="491">
        <v>94129.08</v>
      </c>
      <c r="G39" s="491"/>
    </row>
    <row r="40" spans="1:7" outlineLevel="4" collapsed="1" x14ac:dyDescent="0.25">
      <c r="A40" s="452">
        <v>1520</v>
      </c>
      <c r="B40" t="s">
        <v>943</v>
      </c>
      <c r="C40" t="s">
        <v>944</v>
      </c>
      <c r="E40" s="453">
        <v>827.39</v>
      </c>
      <c r="G40" s="453">
        <v>1734.16</v>
      </c>
    </row>
    <row r="41" spans="1:7" outlineLevel="4" collapsed="1" x14ac:dyDescent="0.25">
      <c r="A41" s="452">
        <v>1525</v>
      </c>
      <c r="B41" t="s">
        <v>945</v>
      </c>
      <c r="C41" t="s">
        <v>946</v>
      </c>
      <c r="D41" s="453">
        <v>4000</v>
      </c>
      <c r="E41" s="453">
        <v>1500</v>
      </c>
      <c r="F41" s="453">
        <v>2250</v>
      </c>
      <c r="G41" s="453">
        <v>3550</v>
      </c>
    </row>
    <row r="42" spans="1:7" s="490" customFormat="1" outlineLevel="4" collapsed="1" x14ac:dyDescent="0.25">
      <c r="A42" s="489">
        <v>1540</v>
      </c>
      <c r="B42" s="490" t="s">
        <v>947</v>
      </c>
      <c r="C42" s="490" t="s">
        <v>948</v>
      </c>
      <c r="D42" s="491"/>
      <c r="E42" s="491"/>
      <c r="F42" s="491">
        <v>45549</v>
      </c>
      <c r="G42" s="491">
        <v>88619</v>
      </c>
    </row>
    <row r="43" spans="1:7" outlineLevel="4" collapsed="1" x14ac:dyDescent="0.25">
      <c r="A43" s="452">
        <v>1544</v>
      </c>
      <c r="B43" t="s">
        <v>949</v>
      </c>
      <c r="C43" t="s">
        <v>950</v>
      </c>
      <c r="D43" s="453">
        <v>1246.48</v>
      </c>
      <c r="E43" s="453">
        <v>7359.94</v>
      </c>
      <c r="F43" s="453">
        <v>4121.79</v>
      </c>
    </row>
    <row r="44" spans="1:7" outlineLevel="4" collapsed="1" x14ac:dyDescent="0.25">
      <c r="A44" s="452">
        <v>1548</v>
      </c>
      <c r="B44" t="s">
        <v>951</v>
      </c>
      <c r="C44" t="s">
        <v>952</v>
      </c>
      <c r="D44" s="453">
        <v>14623.7</v>
      </c>
      <c r="E44" s="453">
        <v>498.94</v>
      </c>
      <c r="F44" s="453">
        <v>6412.5</v>
      </c>
      <c r="G44" s="453">
        <v>29241.96</v>
      </c>
    </row>
    <row r="45" spans="1:7" s="490" customFormat="1" outlineLevel="4" collapsed="1" x14ac:dyDescent="0.25">
      <c r="A45" s="489">
        <v>1549</v>
      </c>
      <c r="B45" s="490" t="s">
        <v>953</v>
      </c>
      <c r="C45" s="490" t="s">
        <v>954</v>
      </c>
      <c r="D45" s="491"/>
      <c r="E45" s="491"/>
      <c r="F45" s="491">
        <v>144052.49</v>
      </c>
      <c r="G45" s="491">
        <v>190440.14</v>
      </c>
    </row>
    <row r="46" spans="1:7" outlineLevel="4" collapsed="1" x14ac:dyDescent="0.25">
      <c r="A46" s="452">
        <v>1600</v>
      </c>
      <c r="B46" t="s">
        <v>955</v>
      </c>
      <c r="C46" t="s">
        <v>956</v>
      </c>
      <c r="D46" s="453">
        <v>497.65</v>
      </c>
      <c r="F46" s="453">
        <v>4778.97</v>
      </c>
      <c r="G46" s="453">
        <v>325.83</v>
      </c>
    </row>
    <row r="47" spans="1:7" outlineLevel="3" x14ac:dyDescent="0.25">
      <c r="B47" t="s">
        <v>957</v>
      </c>
      <c r="C47" t="s">
        <v>958</v>
      </c>
      <c r="D47" s="453">
        <f>SUM(D39:D46)</f>
        <v>21281.86</v>
      </c>
      <c r="E47" s="453">
        <f>SUM(E39:E46)</f>
        <v>33129.699999999997</v>
      </c>
      <c r="F47" s="453">
        <f>SUM(F39:F46)</f>
        <v>301293.82999999996</v>
      </c>
      <c r="G47" s="453">
        <f>SUM(G39:G46)</f>
        <v>313911.09000000003</v>
      </c>
    </row>
    <row r="48" spans="1:7" outlineLevel="2" x14ac:dyDescent="0.25">
      <c r="B48" t="s">
        <v>959</v>
      </c>
      <c r="C48" t="s">
        <v>960</v>
      </c>
      <c r="D48" s="453">
        <f>D37+D38+D47</f>
        <v>1195330.8600000001</v>
      </c>
      <c r="E48" s="453">
        <f>E37+E38+E47</f>
        <v>1813785.77</v>
      </c>
      <c r="F48" s="453">
        <f>F37+F38+F47</f>
        <v>1902113.8199999998</v>
      </c>
      <c r="G48" s="453">
        <f>G37+G38+G47</f>
        <v>2317424.0699999998</v>
      </c>
    </row>
    <row r="49" spans="1:7" outlineLevel="4" collapsed="1" x14ac:dyDescent="0.25">
      <c r="A49" s="452">
        <v>1348</v>
      </c>
      <c r="B49" t="s">
        <v>961</v>
      </c>
      <c r="C49" t="s">
        <v>962</v>
      </c>
      <c r="D49" s="453">
        <v>298730.21000000002</v>
      </c>
      <c r="G49" s="453">
        <v>109791.75</v>
      </c>
    </row>
    <row r="50" spans="1:7" outlineLevel="3" x14ac:dyDescent="0.25">
      <c r="B50" t="s">
        <v>963</v>
      </c>
      <c r="C50" t="s">
        <v>964</v>
      </c>
      <c r="D50" s="453">
        <f t="shared" ref="D50:G51" si="0">SUM(D49:D49)</f>
        <v>298730.21000000002</v>
      </c>
      <c r="E50" s="453">
        <f t="shared" si="0"/>
        <v>0</v>
      </c>
      <c r="F50" s="453">
        <f t="shared" si="0"/>
        <v>0</v>
      </c>
      <c r="G50" s="453">
        <f t="shared" si="0"/>
        <v>109791.75</v>
      </c>
    </row>
    <row r="51" spans="1:7" outlineLevel="2" x14ac:dyDescent="0.25">
      <c r="B51" t="s">
        <v>965</v>
      </c>
      <c r="C51" t="s">
        <v>966</v>
      </c>
      <c r="D51" s="453">
        <f t="shared" si="0"/>
        <v>298730.21000000002</v>
      </c>
      <c r="E51" s="453">
        <f t="shared" si="0"/>
        <v>0</v>
      </c>
      <c r="F51" s="453">
        <f t="shared" si="0"/>
        <v>0</v>
      </c>
      <c r="G51" s="453">
        <f t="shared" si="0"/>
        <v>109791.75</v>
      </c>
    </row>
    <row r="52" spans="1:7" hidden="1" outlineLevel="3" collapsed="1" x14ac:dyDescent="0.25">
      <c r="A52" s="452">
        <v>1000</v>
      </c>
      <c r="B52" t="s">
        <v>967</v>
      </c>
      <c r="C52" t="s">
        <v>968</v>
      </c>
      <c r="D52" s="453">
        <v>370.05</v>
      </c>
      <c r="E52" s="453">
        <v>160.69999999999999</v>
      </c>
      <c r="F52" s="453">
        <v>106.38</v>
      </c>
      <c r="G52" s="453">
        <v>86.17</v>
      </c>
    </row>
    <row r="53" spans="1:7" hidden="1" outlineLevel="3" collapsed="1" x14ac:dyDescent="0.25">
      <c r="A53" s="452">
        <v>1100</v>
      </c>
      <c r="B53" t="s">
        <v>969</v>
      </c>
      <c r="C53" t="s">
        <v>969</v>
      </c>
      <c r="D53" s="453">
        <v>11824.62</v>
      </c>
      <c r="E53" s="453">
        <v>294074.65999999997</v>
      </c>
      <c r="F53" s="453">
        <v>366738.97</v>
      </c>
      <c r="G53" s="453">
        <v>187954.81</v>
      </c>
    </row>
    <row r="54" spans="1:7" hidden="1" outlineLevel="3" collapsed="1" x14ac:dyDescent="0.25">
      <c r="A54" s="452">
        <v>1200</v>
      </c>
      <c r="B54" t="s">
        <v>970</v>
      </c>
      <c r="C54" t="s">
        <v>971</v>
      </c>
      <c r="D54" s="453">
        <v>1969242.37</v>
      </c>
      <c r="E54" s="453">
        <v>2220152.63</v>
      </c>
      <c r="F54" s="453">
        <v>2008282.57</v>
      </c>
      <c r="G54" s="453">
        <v>626775.54</v>
      </c>
    </row>
    <row r="55" spans="1:7" hidden="1" outlineLevel="3" collapsed="1" x14ac:dyDescent="0.25">
      <c r="A55" s="452">
        <v>1210</v>
      </c>
      <c r="B55" t="s">
        <v>972</v>
      </c>
      <c r="C55" t="s">
        <v>972</v>
      </c>
      <c r="D55" s="453">
        <v>426207.9</v>
      </c>
      <c r="E55" s="453">
        <v>260972.94</v>
      </c>
      <c r="F55" s="453">
        <v>69357.97</v>
      </c>
      <c r="G55" s="453">
        <v>113807.93</v>
      </c>
    </row>
    <row r="56" spans="1:7" hidden="1" outlineLevel="3" collapsed="1" x14ac:dyDescent="0.25">
      <c r="A56" s="452">
        <v>1220</v>
      </c>
      <c r="B56" t="s">
        <v>973</v>
      </c>
      <c r="C56" t="s">
        <v>973</v>
      </c>
      <c r="D56" s="453">
        <v>31170.53</v>
      </c>
      <c r="E56" s="453">
        <v>232987.73</v>
      </c>
      <c r="F56" s="453">
        <v>271081.40999999997</v>
      </c>
      <c r="G56" s="453">
        <v>75436.39</v>
      </c>
    </row>
    <row r="57" spans="1:7" outlineLevel="2" collapsed="1" x14ac:dyDescent="0.25">
      <c r="B57" t="s">
        <v>974</v>
      </c>
      <c r="C57" t="s">
        <v>975</v>
      </c>
      <c r="D57" s="453">
        <f>SUM(D52:D56)</f>
        <v>2438815.4699999997</v>
      </c>
      <c r="E57" s="453">
        <f>SUM(E52:E56)</f>
        <v>3008348.6599999997</v>
      </c>
      <c r="F57" s="453">
        <f>SUM(F52:F56)</f>
        <v>2715567.3000000003</v>
      </c>
      <c r="G57" s="453">
        <f>SUM(G52:G56)</f>
        <v>1004060.84</v>
      </c>
    </row>
    <row r="58" spans="1:7" outlineLevel="1" x14ac:dyDescent="0.25">
      <c r="B58" t="s">
        <v>976</v>
      </c>
      <c r="C58" t="s">
        <v>977</v>
      </c>
      <c r="D58" s="453">
        <f>D33+D48+D51+D57</f>
        <v>5795687.79</v>
      </c>
      <c r="E58" s="453">
        <f>E33+E48+E51+E57</f>
        <v>6775535.5099999998</v>
      </c>
      <c r="F58" s="453">
        <f>F33+F48+F51+F57</f>
        <v>7269789.7699999996</v>
      </c>
      <c r="G58" s="453">
        <f>G33+G48+G51+G57</f>
        <v>7287160.2999999989</v>
      </c>
    </row>
    <row r="59" spans="1:7" hidden="1" outlineLevel="2" collapsed="1" x14ac:dyDescent="0.25">
      <c r="A59" s="452">
        <v>980</v>
      </c>
      <c r="B59" t="s">
        <v>978</v>
      </c>
      <c r="C59" t="s">
        <v>979</v>
      </c>
      <c r="D59" s="453">
        <v>18960.32</v>
      </c>
      <c r="E59" s="453">
        <v>30218.21</v>
      </c>
      <c r="F59" s="453">
        <v>65903.960000000006</v>
      </c>
      <c r="G59" s="453">
        <v>62927.86</v>
      </c>
    </row>
    <row r="60" spans="1:7" outlineLevel="1" collapsed="1" x14ac:dyDescent="0.25">
      <c r="B60" t="s">
        <v>980</v>
      </c>
      <c r="C60" t="s">
        <v>981</v>
      </c>
      <c r="D60" s="453">
        <f>SUM(D59:D59)</f>
        <v>18960.32</v>
      </c>
      <c r="E60" s="453">
        <f>SUM(E59:E59)</f>
        <v>30218.21</v>
      </c>
      <c r="F60" s="453">
        <f>SUM(F59:F59)</f>
        <v>65903.960000000006</v>
      </c>
      <c r="G60" s="453">
        <f>SUM(G59:G59)</f>
        <v>62927.86</v>
      </c>
    </row>
    <row r="61" spans="1:7" s="455" customFormat="1" x14ac:dyDescent="0.25">
      <c r="A61" s="454"/>
      <c r="B61" s="455" t="s">
        <v>982</v>
      </c>
      <c r="C61" s="455" t="s">
        <v>983</v>
      </c>
      <c r="D61" s="456">
        <f>D23+D58+D60</f>
        <v>6861642.1100000003</v>
      </c>
      <c r="E61" s="456">
        <f>E23+E58+E60</f>
        <v>7999638.8399999999</v>
      </c>
      <c r="F61" s="456">
        <f>F23+F58+F60</f>
        <v>8236654.6399999997</v>
      </c>
      <c r="G61" s="456">
        <f>G23+G58+G60</f>
        <v>8456253.9499999993</v>
      </c>
    </row>
    <row r="63" spans="1:7" hidden="1" outlineLevel="3" collapsed="1" x14ac:dyDescent="0.25">
      <c r="A63" s="452">
        <v>800</v>
      </c>
      <c r="B63" t="s">
        <v>984</v>
      </c>
      <c r="C63" t="s">
        <v>985</v>
      </c>
      <c r="D63" s="453">
        <v>51129.19</v>
      </c>
      <c r="E63" s="453">
        <v>51129.19</v>
      </c>
      <c r="F63" s="453">
        <v>51129.19</v>
      </c>
      <c r="G63" s="453">
        <v>51129.19</v>
      </c>
    </row>
    <row r="64" spans="1:7" hidden="1" outlineLevel="2" collapsed="1" x14ac:dyDescent="0.25">
      <c r="B64" t="s">
        <v>986</v>
      </c>
      <c r="C64" t="s">
        <v>987</v>
      </c>
      <c r="D64" s="453">
        <f>SUM(D63:D63)</f>
        <v>51129.19</v>
      </c>
      <c r="E64" s="453">
        <f>SUM(E63:E63)</f>
        <v>51129.19</v>
      </c>
      <c r="F64" s="453">
        <f>SUM(F63:F63)</f>
        <v>51129.19</v>
      </c>
      <c r="G64" s="453">
        <f>SUM(G63:G63)</f>
        <v>51129.19</v>
      </c>
    </row>
    <row r="65" spans="1:7" hidden="1" outlineLevel="3" collapsed="1" x14ac:dyDescent="0.25">
      <c r="A65" s="452">
        <v>860</v>
      </c>
      <c r="B65" t="s">
        <v>988</v>
      </c>
      <c r="C65" t="s">
        <v>989</v>
      </c>
      <c r="D65" s="453">
        <v>3283184.47</v>
      </c>
      <c r="E65" s="453">
        <v>3889013.8</v>
      </c>
      <c r="F65" s="453">
        <v>5293141.88</v>
      </c>
      <c r="G65" s="453">
        <v>5235778.72</v>
      </c>
    </row>
    <row r="66" spans="1:7" hidden="1" outlineLevel="2" collapsed="1" x14ac:dyDescent="0.25">
      <c r="B66" t="s">
        <v>990</v>
      </c>
      <c r="C66" t="s">
        <v>991</v>
      </c>
      <c r="D66" s="453">
        <f>SUM(D65:D65)</f>
        <v>3283184.47</v>
      </c>
      <c r="E66" s="453">
        <f>SUM(E65:E65)</f>
        <v>3889013.8</v>
      </c>
      <c r="F66" s="453">
        <f>SUM(F65:F65)</f>
        <v>5293141.88</v>
      </c>
      <c r="G66" s="453">
        <f>SUM(G65:G65)</f>
        <v>5235778.72</v>
      </c>
    </row>
    <row r="67" spans="1:7" hidden="1" outlineLevel="2" collapsed="1" x14ac:dyDescent="0.25">
      <c r="B67" t="s">
        <v>992</v>
      </c>
      <c r="C67" t="s">
        <v>993</v>
      </c>
      <c r="D67" s="453">
        <v>1485829.33</v>
      </c>
      <c r="E67" s="453">
        <v>1854128.08</v>
      </c>
      <c r="F67" s="453">
        <v>842636.84</v>
      </c>
      <c r="G67" s="453">
        <v>995052.3</v>
      </c>
    </row>
    <row r="68" spans="1:7" outlineLevel="1" collapsed="1" x14ac:dyDescent="0.25">
      <c r="B68" t="s">
        <v>994</v>
      </c>
      <c r="C68" t="s">
        <v>995</v>
      </c>
      <c r="D68" s="453">
        <f>D64+D66+D67</f>
        <v>4820142.99</v>
      </c>
      <c r="E68" s="453">
        <f>E64+E66+E67</f>
        <v>5794271.0700000003</v>
      </c>
      <c r="F68" s="453">
        <f>F64+F66+F67</f>
        <v>6186907.9100000001</v>
      </c>
      <c r="G68" s="453">
        <f>G64+G66+G67</f>
        <v>6281960.21</v>
      </c>
    </row>
    <row r="69" spans="1:7" hidden="1" outlineLevel="3" collapsed="1" x14ac:dyDescent="0.25">
      <c r="A69" s="452">
        <v>951</v>
      </c>
      <c r="B69" t="s">
        <v>996</v>
      </c>
      <c r="C69" t="s">
        <v>997</v>
      </c>
      <c r="D69" s="453">
        <v>208694</v>
      </c>
      <c r="E69" s="453">
        <v>201476</v>
      </c>
      <c r="F69" s="453">
        <v>192102</v>
      </c>
      <c r="G69" s="453">
        <v>182403</v>
      </c>
    </row>
    <row r="70" spans="1:7" outlineLevel="2" collapsed="1" x14ac:dyDescent="0.25">
      <c r="B70" t="s">
        <v>998</v>
      </c>
      <c r="C70" t="s">
        <v>999</v>
      </c>
      <c r="D70" s="453">
        <f>SUM(D69:D69)</f>
        <v>208694</v>
      </c>
      <c r="E70" s="453">
        <f>SUM(E69:E69)</f>
        <v>201476</v>
      </c>
      <c r="F70" s="453">
        <f>SUM(F69:F69)</f>
        <v>192102</v>
      </c>
      <c r="G70" s="453">
        <f>SUM(G69:G69)</f>
        <v>182403</v>
      </c>
    </row>
    <row r="71" spans="1:7" hidden="1" outlineLevel="3" collapsed="1" x14ac:dyDescent="0.25">
      <c r="A71" s="452">
        <v>956</v>
      </c>
      <c r="B71" t="s">
        <v>1000</v>
      </c>
      <c r="C71" t="s">
        <v>1001</v>
      </c>
      <c r="D71" s="453">
        <v>275512</v>
      </c>
      <c r="E71" s="453">
        <v>111300</v>
      </c>
      <c r="F71" s="453">
        <v>111300</v>
      </c>
    </row>
    <row r="72" spans="1:7" hidden="1" outlineLevel="3" collapsed="1" x14ac:dyDescent="0.25">
      <c r="A72" s="452">
        <v>963</v>
      </c>
      <c r="B72" t="s">
        <v>1002</v>
      </c>
      <c r="C72" t="s">
        <v>1003</v>
      </c>
      <c r="D72" s="453">
        <v>109309.6</v>
      </c>
      <c r="E72" s="453">
        <v>113628.19</v>
      </c>
      <c r="F72" s="453">
        <v>113628.19</v>
      </c>
    </row>
    <row r="73" spans="1:7" outlineLevel="2" collapsed="1" x14ac:dyDescent="0.25">
      <c r="B73" t="s">
        <v>1004</v>
      </c>
      <c r="C73" t="s">
        <v>1005</v>
      </c>
      <c r="D73" s="453">
        <f>SUM(D71:D72)</f>
        <v>384821.6</v>
      </c>
      <c r="E73" s="453">
        <f>SUM(E71:E72)</f>
        <v>224928.19</v>
      </c>
      <c r="F73" s="453">
        <f>SUM(F71:F72)</f>
        <v>224928.19</v>
      </c>
      <c r="G73" s="453">
        <f>SUM(G71:G72)</f>
        <v>0</v>
      </c>
    </row>
    <row r="74" spans="1:7" outlineLevel="3" collapsed="1" x14ac:dyDescent="0.25">
      <c r="A74" s="452">
        <v>965</v>
      </c>
      <c r="B74" t="s">
        <v>1006</v>
      </c>
      <c r="C74" t="s">
        <v>1007</v>
      </c>
      <c r="D74" s="453">
        <v>215566</v>
      </c>
      <c r="E74" s="453">
        <v>275934.76</v>
      </c>
      <c r="F74" s="453">
        <v>195556.22</v>
      </c>
      <c r="G74" s="453">
        <v>139441.74</v>
      </c>
    </row>
    <row r="75" spans="1:7" outlineLevel="3" collapsed="1" x14ac:dyDescent="0.25">
      <c r="A75" s="452">
        <v>966</v>
      </c>
      <c r="B75" t="s">
        <v>1008</v>
      </c>
      <c r="C75" t="s">
        <v>1009</v>
      </c>
      <c r="D75" s="453">
        <v>8000</v>
      </c>
      <c r="E75" s="453">
        <v>8000</v>
      </c>
      <c r="F75" s="453">
        <v>8000</v>
      </c>
      <c r="G75" s="453">
        <v>8000</v>
      </c>
    </row>
    <row r="76" spans="1:7" outlineLevel="3" collapsed="1" x14ac:dyDescent="0.25">
      <c r="A76" s="452">
        <v>970</v>
      </c>
      <c r="B76" t="s">
        <v>1010</v>
      </c>
      <c r="C76" t="s">
        <v>1011</v>
      </c>
      <c r="D76" s="453">
        <v>1500</v>
      </c>
      <c r="E76" s="453">
        <v>186290.02</v>
      </c>
      <c r="F76" s="453">
        <v>156334.18</v>
      </c>
      <c r="G76" s="453">
        <v>10021.209999999999</v>
      </c>
    </row>
    <row r="77" spans="1:7" outlineLevel="3" collapsed="1" x14ac:dyDescent="0.25">
      <c r="A77" s="452">
        <v>974</v>
      </c>
      <c r="B77" t="s">
        <v>1012</v>
      </c>
      <c r="C77" t="s">
        <v>1013</v>
      </c>
      <c r="D77" s="453">
        <v>23091</v>
      </c>
      <c r="E77" s="453">
        <v>27419</v>
      </c>
      <c r="F77" s="453">
        <v>27517</v>
      </c>
      <c r="G77" s="453">
        <v>33940</v>
      </c>
    </row>
    <row r="78" spans="1:7" outlineLevel="3" collapsed="1" x14ac:dyDescent="0.25">
      <c r="A78" s="452">
        <v>977</v>
      </c>
      <c r="B78" t="s">
        <v>1014</v>
      </c>
      <c r="C78" t="s">
        <v>1015</v>
      </c>
      <c r="D78" s="453">
        <v>10000</v>
      </c>
      <c r="E78" s="453">
        <v>30000</v>
      </c>
      <c r="F78" s="453">
        <v>37500</v>
      </c>
      <c r="G78" s="453">
        <v>37000</v>
      </c>
    </row>
    <row r="79" spans="1:7" outlineLevel="2" x14ac:dyDescent="0.25">
      <c r="B79" t="s">
        <v>1016</v>
      </c>
      <c r="C79" t="s">
        <v>1017</v>
      </c>
      <c r="D79" s="453">
        <f>SUM(D74:D78)</f>
        <v>258157</v>
      </c>
      <c r="E79" s="453">
        <f>SUM(E74:E78)</f>
        <v>527643.78</v>
      </c>
      <c r="F79" s="453">
        <f>SUM(F74:F78)</f>
        <v>424907.4</v>
      </c>
      <c r="G79" s="453">
        <f>SUM(G74:G78)</f>
        <v>228402.94999999998</v>
      </c>
    </row>
    <row r="80" spans="1:7" outlineLevel="1" x14ac:dyDescent="0.25">
      <c r="B80" t="s">
        <v>1018</v>
      </c>
      <c r="C80" t="s">
        <v>1019</v>
      </c>
      <c r="D80" s="453">
        <f>D70+D73+D79</f>
        <v>851672.6</v>
      </c>
      <c r="E80" s="453">
        <f>E70+E73+E79</f>
        <v>954047.97</v>
      </c>
      <c r="F80" s="453">
        <f>F70+F73+F79</f>
        <v>841937.59000000008</v>
      </c>
      <c r="G80" s="453">
        <f>G70+G73+G79</f>
        <v>410805.94999999995</v>
      </c>
    </row>
    <row r="81" spans="1:7" hidden="1" outlineLevel="3" collapsed="1" x14ac:dyDescent="0.25">
      <c r="A81" s="452">
        <v>1718</v>
      </c>
      <c r="B81" t="s">
        <v>1020</v>
      </c>
      <c r="C81" t="s">
        <v>1021</v>
      </c>
      <c r="E81" s="453">
        <v>50000</v>
      </c>
      <c r="F81" s="453">
        <v>50000</v>
      </c>
      <c r="G81" s="453">
        <v>50000</v>
      </c>
    </row>
    <row r="82" spans="1:7" outlineLevel="2" collapsed="1" x14ac:dyDescent="0.25">
      <c r="B82" t="s">
        <v>1022</v>
      </c>
      <c r="C82" t="s">
        <v>1023</v>
      </c>
      <c r="D82" s="453">
        <v>260000</v>
      </c>
      <c r="E82" s="453">
        <f>SUM(E81:E81)</f>
        <v>50000</v>
      </c>
      <c r="F82" s="453">
        <f>SUM(F81:F81)</f>
        <v>50000</v>
      </c>
      <c r="G82" s="453">
        <f>SUM(G81:G81)</f>
        <v>50000</v>
      </c>
    </row>
    <row r="83" spans="1:7" hidden="1" outlineLevel="3" collapsed="1" x14ac:dyDescent="0.25">
      <c r="A83" s="452">
        <v>1600</v>
      </c>
      <c r="B83" t="s">
        <v>1024</v>
      </c>
      <c r="C83" t="s">
        <v>1025</v>
      </c>
      <c r="D83" s="453">
        <v>485414.92</v>
      </c>
      <c r="E83" s="453">
        <v>752859.66</v>
      </c>
      <c r="F83" s="453">
        <v>853062.53</v>
      </c>
      <c r="G83" s="453">
        <v>1220763.8400000001</v>
      </c>
    </row>
    <row r="84" spans="1:7" outlineLevel="2" collapsed="1" x14ac:dyDescent="0.25">
      <c r="B84" t="s">
        <v>1026</v>
      </c>
      <c r="C84" t="s">
        <v>1027</v>
      </c>
      <c r="D84" s="453">
        <f>SUM(D83:D83)</f>
        <v>485414.92</v>
      </c>
      <c r="E84" s="453">
        <f>SUM(E83:E83)</f>
        <v>752859.66</v>
      </c>
      <c r="F84" s="453">
        <f>SUM(F83:F83)</f>
        <v>853062.53</v>
      </c>
      <c r="G84" s="453">
        <f>SUM(G83:G83)</f>
        <v>1220763.8400000001</v>
      </c>
    </row>
    <row r="85" spans="1:7" outlineLevel="3" collapsed="1" x14ac:dyDescent="0.25">
      <c r="A85" s="452">
        <v>1790</v>
      </c>
      <c r="B85" t="s">
        <v>1028</v>
      </c>
      <c r="C85" t="s">
        <v>1029</v>
      </c>
      <c r="F85" s="453">
        <v>-2692.27</v>
      </c>
      <c r="G85" s="453">
        <v>-1513.82</v>
      </c>
    </row>
    <row r="86" spans="1:7" outlineLevel="3" collapsed="1" x14ac:dyDescent="0.25">
      <c r="A86" s="452">
        <v>1789</v>
      </c>
      <c r="B86" t="s">
        <v>1030</v>
      </c>
      <c r="C86" t="s">
        <v>1031</v>
      </c>
      <c r="D86" s="453">
        <v>203852.54</v>
      </c>
      <c r="E86" s="453">
        <v>227780.45</v>
      </c>
      <c r="F86" s="453">
        <v>11198.56</v>
      </c>
      <c r="G86" s="453">
        <v>65679.12</v>
      </c>
    </row>
    <row r="87" spans="1:7" outlineLevel="3" collapsed="1" x14ac:dyDescent="0.25">
      <c r="A87" s="452">
        <v>1787</v>
      </c>
      <c r="B87" t="s">
        <v>1032</v>
      </c>
      <c r="C87" t="s">
        <v>1033</v>
      </c>
      <c r="D87" s="453">
        <v>1798.04</v>
      </c>
      <c r="E87" s="453">
        <v>8915.8700000000008</v>
      </c>
      <c r="F87" s="453">
        <v>27806.22</v>
      </c>
      <c r="G87" s="453">
        <v>35210.15</v>
      </c>
    </row>
    <row r="88" spans="1:7" outlineLevel="3" collapsed="1" x14ac:dyDescent="0.25">
      <c r="A88" s="452">
        <v>1781</v>
      </c>
      <c r="B88" t="s">
        <v>1034</v>
      </c>
      <c r="C88" t="s">
        <v>1035</v>
      </c>
      <c r="D88" s="453">
        <v>-88904</v>
      </c>
      <c r="E88" s="453">
        <v>-123982</v>
      </c>
      <c r="F88" s="453">
        <v>-212720</v>
      </c>
      <c r="G88" s="453">
        <v>-124929</v>
      </c>
    </row>
    <row r="89" spans="1:7" outlineLevel="3" collapsed="1" x14ac:dyDescent="0.25">
      <c r="A89" s="452">
        <v>1780</v>
      </c>
      <c r="B89" t="s">
        <v>1036</v>
      </c>
      <c r="C89" t="s">
        <v>1037</v>
      </c>
      <c r="D89" s="453">
        <v>-1274899.6299999999</v>
      </c>
      <c r="E89" s="453">
        <v>-1505895.33</v>
      </c>
      <c r="F89" s="453">
        <v>-1161508.6200000001</v>
      </c>
      <c r="G89" s="453">
        <v>-1086374.69</v>
      </c>
    </row>
    <row r="90" spans="1:7" outlineLevel="3" collapsed="1" x14ac:dyDescent="0.25">
      <c r="A90" s="452">
        <v>1776</v>
      </c>
      <c r="B90" t="s">
        <v>1038</v>
      </c>
      <c r="C90" t="s">
        <v>1039</v>
      </c>
      <c r="D90" s="453">
        <v>2094132.2</v>
      </c>
      <c r="E90" s="453">
        <v>2510489.02</v>
      </c>
      <c r="F90" s="453">
        <v>2405171.2000000002</v>
      </c>
      <c r="G90" s="453">
        <v>2389730.2400000002</v>
      </c>
    </row>
    <row r="91" spans="1:7" outlineLevel="3" collapsed="1" x14ac:dyDescent="0.25">
      <c r="A91" s="452">
        <v>1775</v>
      </c>
      <c r="B91" t="s">
        <v>1040</v>
      </c>
      <c r="C91" t="s">
        <v>1041</v>
      </c>
      <c r="D91" s="453">
        <v>-5079.07</v>
      </c>
    </row>
    <row r="92" spans="1:7" outlineLevel="3" collapsed="1" x14ac:dyDescent="0.25">
      <c r="A92" s="452">
        <v>1774</v>
      </c>
      <c r="B92" t="s">
        <v>1042</v>
      </c>
      <c r="C92" t="s">
        <v>1043</v>
      </c>
      <c r="D92" s="453">
        <v>986721.78</v>
      </c>
      <c r="E92" s="453">
        <v>1110226.93</v>
      </c>
      <c r="F92" s="453">
        <v>1072863.54</v>
      </c>
      <c r="G92" s="453">
        <v>1103485.6399999999</v>
      </c>
    </row>
    <row r="93" spans="1:7" outlineLevel="3" collapsed="1" x14ac:dyDescent="0.25">
      <c r="A93" s="452">
        <v>1772</v>
      </c>
      <c r="B93" t="s">
        <v>1044</v>
      </c>
      <c r="C93" t="s">
        <v>1045</v>
      </c>
      <c r="D93" s="453">
        <v>11.4</v>
      </c>
    </row>
    <row r="94" spans="1:7" outlineLevel="3" collapsed="1" x14ac:dyDescent="0.25">
      <c r="A94" s="452">
        <v>1588</v>
      </c>
      <c r="B94" t="s">
        <v>1046</v>
      </c>
      <c r="C94" t="s">
        <v>1047</v>
      </c>
      <c r="D94" s="453">
        <v>-75064.05</v>
      </c>
      <c r="E94" s="453">
        <v>-45684.41</v>
      </c>
      <c r="F94" s="453">
        <v>-86952.67</v>
      </c>
      <c r="G94" s="453">
        <v>-27757.48</v>
      </c>
    </row>
    <row r="95" spans="1:7" outlineLevel="3" collapsed="1" x14ac:dyDescent="0.25">
      <c r="A95" s="452">
        <v>1577</v>
      </c>
      <c r="B95" t="s">
        <v>1048</v>
      </c>
      <c r="C95" t="s">
        <v>1049</v>
      </c>
      <c r="D95" s="453">
        <v>-1798.04</v>
      </c>
      <c r="E95" s="453">
        <v>-8915.8700000000008</v>
      </c>
      <c r="F95" s="453">
        <v>-27806.22</v>
      </c>
      <c r="G95" s="453">
        <v>-35210.15</v>
      </c>
    </row>
    <row r="96" spans="1:7" outlineLevel="3" collapsed="1" x14ac:dyDescent="0.25">
      <c r="A96" s="452">
        <v>1576</v>
      </c>
      <c r="B96" t="s">
        <v>1050</v>
      </c>
      <c r="C96" t="s">
        <v>1051</v>
      </c>
      <c r="D96" s="453">
        <v>-641462.43999999994</v>
      </c>
      <c r="E96" s="453">
        <v>-817219.73</v>
      </c>
      <c r="F96" s="453">
        <v>-941337.09</v>
      </c>
      <c r="G96" s="453">
        <v>-1143096.28</v>
      </c>
    </row>
    <row r="97" spans="1:7" outlineLevel="3" collapsed="1" x14ac:dyDescent="0.25">
      <c r="A97" s="452">
        <v>1575</v>
      </c>
      <c r="B97" t="s">
        <v>1052</v>
      </c>
      <c r="C97" t="s">
        <v>1053</v>
      </c>
      <c r="D97" s="453">
        <v>-8457.2999999999993</v>
      </c>
    </row>
    <row r="98" spans="1:7" outlineLevel="3" collapsed="1" x14ac:dyDescent="0.25">
      <c r="A98" s="452">
        <v>1574</v>
      </c>
      <c r="B98" t="s">
        <v>1054</v>
      </c>
      <c r="C98" t="s">
        <v>1055</v>
      </c>
      <c r="D98" s="453">
        <v>-986721.78</v>
      </c>
      <c r="E98" s="453">
        <v>-1110226.93</v>
      </c>
      <c r="F98" s="453">
        <v>-1072863.54</v>
      </c>
      <c r="G98" s="453">
        <v>-1103485.6399999999</v>
      </c>
    </row>
    <row r="99" spans="1:7" outlineLevel="3" collapsed="1" x14ac:dyDescent="0.25">
      <c r="A99" s="452">
        <v>1572</v>
      </c>
      <c r="B99" t="s">
        <v>1056</v>
      </c>
      <c r="C99" t="s">
        <v>1057</v>
      </c>
      <c r="D99" s="453">
        <v>-11.4</v>
      </c>
    </row>
    <row r="100" spans="1:7" outlineLevel="3" collapsed="1" x14ac:dyDescent="0.25">
      <c r="A100" s="452">
        <v>1571</v>
      </c>
      <c r="B100" t="s">
        <v>1058</v>
      </c>
      <c r="C100" t="s">
        <v>1059</v>
      </c>
      <c r="D100" s="453">
        <v>-1514.57</v>
      </c>
      <c r="E100" s="453">
        <v>-3788.54</v>
      </c>
      <c r="F100" s="453">
        <v>-4167.59</v>
      </c>
      <c r="G100" s="453">
        <v>-7572.79</v>
      </c>
    </row>
    <row r="101" spans="1:7" outlineLevel="3" collapsed="1" x14ac:dyDescent="0.25">
      <c r="A101" s="452">
        <v>1568</v>
      </c>
      <c r="B101" t="s">
        <v>1060</v>
      </c>
      <c r="C101" t="s">
        <v>1061</v>
      </c>
      <c r="D101" s="453">
        <v>-9.8699999999999992</v>
      </c>
    </row>
    <row r="102" spans="1:7" outlineLevel="3" collapsed="1" x14ac:dyDescent="0.25">
      <c r="A102" s="452">
        <v>1400</v>
      </c>
      <c r="B102" t="s">
        <v>1062</v>
      </c>
      <c r="C102" t="s">
        <v>938</v>
      </c>
      <c r="D102" s="453">
        <v>5881.09</v>
      </c>
      <c r="E102" s="453">
        <v>4604.76</v>
      </c>
      <c r="F102" s="453">
        <v>14452.2</v>
      </c>
      <c r="G102" s="453">
        <v>14711.62</v>
      </c>
    </row>
    <row r="103" spans="1:7" outlineLevel="3" collapsed="1" x14ac:dyDescent="0.25">
      <c r="A103" s="452">
        <v>1700</v>
      </c>
      <c r="B103" t="s">
        <v>1063</v>
      </c>
      <c r="C103" t="s">
        <v>1064</v>
      </c>
      <c r="D103" s="453">
        <v>10044.34</v>
      </c>
      <c r="E103" s="453">
        <v>18773.05</v>
      </c>
      <c r="F103" s="453">
        <v>14237.6</v>
      </c>
      <c r="G103" s="453">
        <v>21211.07</v>
      </c>
    </row>
    <row r="104" spans="1:7" outlineLevel="3" collapsed="1" x14ac:dyDescent="0.25">
      <c r="A104" s="452">
        <v>1740</v>
      </c>
      <c r="B104" t="s">
        <v>1065</v>
      </c>
      <c r="C104" t="s">
        <v>1066</v>
      </c>
      <c r="D104" s="453">
        <v>182655.04</v>
      </c>
      <c r="E104" s="453">
        <v>140299.84</v>
      </c>
      <c r="F104" s="453">
        <v>196264.36</v>
      </c>
      <c r="G104" s="453">
        <v>249856.51</v>
      </c>
    </row>
    <row r="105" spans="1:7" outlineLevel="3" collapsed="1" x14ac:dyDescent="0.25">
      <c r="A105" s="452">
        <v>1741</v>
      </c>
      <c r="B105" t="s">
        <v>1067</v>
      </c>
      <c r="C105" t="s">
        <v>1068</v>
      </c>
      <c r="D105" s="453">
        <v>38074.47</v>
      </c>
      <c r="E105" s="453">
        <v>40620.300000000003</v>
      </c>
      <c r="F105" s="453">
        <v>70809.820000000007</v>
      </c>
      <c r="G105" s="453">
        <v>89659.33</v>
      </c>
    </row>
    <row r="106" spans="1:7" outlineLevel="3" collapsed="1" x14ac:dyDescent="0.25">
      <c r="A106" s="452">
        <v>1742</v>
      </c>
      <c r="B106" t="s">
        <v>1069</v>
      </c>
      <c r="C106" t="s">
        <v>1070</v>
      </c>
      <c r="E106" s="453">
        <v>-306.76</v>
      </c>
      <c r="F106" s="453">
        <v>145.96</v>
      </c>
      <c r="G106" s="453">
        <v>2494.25</v>
      </c>
    </row>
    <row r="107" spans="1:7" outlineLevel="3" collapsed="1" x14ac:dyDescent="0.25">
      <c r="A107" s="452">
        <v>1742</v>
      </c>
      <c r="B107" t="s">
        <v>1069</v>
      </c>
      <c r="C107" t="s">
        <v>1070</v>
      </c>
      <c r="D107" s="453">
        <v>3314.91</v>
      </c>
    </row>
    <row r="108" spans="1:7" outlineLevel="3" collapsed="1" x14ac:dyDescent="0.25">
      <c r="A108" s="452">
        <v>1759</v>
      </c>
      <c r="B108" t="s">
        <v>1071</v>
      </c>
      <c r="C108" t="s">
        <v>1072</v>
      </c>
      <c r="D108" s="453">
        <v>1847.94</v>
      </c>
      <c r="E108" s="453">
        <v>2769.49</v>
      </c>
      <c r="F108" s="453">
        <v>1845.15</v>
      </c>
      <c r="G108" s="453">
        <v>1749.87</v>
      </c>
    </row>
    <row r="109" spans="1:7" outlineLevel="2" x14ac:dyDescent="0.25">
      <c r="B109" t="s">
        <v>1073</v>
      </c>
      <c r="C109" t="s">
        <v>1074</v>
      </c>
      <c r="D109" s="453">
        <f>SUM(D85:D108)</f>
        <v>444411.60000000009</v>
      </c>
      <c r="E109" s="453">
        <f>SUM(E85:E108)</f>
        <v>448460.13999999972</v>
      </c>
      <c r="F109" s="453">
        <f>SUM(F85:F108)</f>
        <v>304746.60999999993</v>
      </c>
      <c r="G109" s="453">
        <f>SUM(G85:G108)</f>
        <v>443847.95000000036</v>
      </c>
    </row>
    <row r="110" spans="1:7" outlineLevel="1" x14ac:dyDescent="0.25">
      <c r="B110" t="s">
        <v>1075</v>
      </c>
      <c r="C110" t="s">
        <v>1076</v>
      </c>
      <c r="D110" s="453">
        <f>D82+D84+D109</f>
        <v>1189826.52</v>
      </c>
      <c r="E110" s="453">
        <f>E82+E84+E109</f>
        <v>1251319.7999999998</v>
      </c>
      <c r="F110" s="453">
        <f>F82+F84+F109</f>
        <v>1207809.1399999999</v>
      </c>
      <c r="G110" s="453">
        <f>G82+G84+G109</f>
        <v>1714611.7900000005</v>
      </c>
    </row>
    <row r="111" spans="1:7" hidden="1" outlineLevel="2" collapsed="1" x14ac:dyDescent="0.25">
      <c r="A111" s="452">
        <v>968</v>
      </c>
      <c r="B111" t="s">
        <v>1077</v>
      </c>
      <c r="C111" t="s">
        <v>1078</v>
      </c>
      <c r="G111" s="453">
        <v>48876</v>
      </c>
    </row>
    <row r="112" spans="1:7" outlineLevel="1" collapsed="1" x14ac:dyDescent="0.25">
      <c r="B112" t="s">
        <v>1079</v>
      </c>
      <c r="C112" t="s">
        <v>1080</v>
      </c>
      <c r="D112" s="453">
        <f>SUM(D111:D111)</f>
        <v>0</v>
      </c>
      <c r="E112" s="453">
        <f>SUM(E111:E111)</f>
        <v>0</v>
      </c>
      <c r="F112" s="453">
        <f>SUM(F111:F111)</f>
        <v>0</v>
      </c>
      <c r="G112" s="453">
        <f>SUM(G111:G111)</f>
        <v>48876</v>
      </c>
    </row>
    <row r="113" spans="1:7" s="455" customFormat="1" x14ac:dyDescent="0.25">
      <c r="A113" s="454"/>
      <c r="B113" s="455" t="s">
        <v>1081</v>
      </c>
      <c r="C113" s="455" t="s">
        <v>1082</v>
      </c>
      <c r="D113" s="456">
        <f>D68+D80+D110+D112</f>
        <v>6861642.1099999994</v>
      </c>
      <c r="E113" s="456">
        <f>E68+E80+E110+E112</f>
        <v>7999638.8399999999</v>
      </c>
      <c r="F113" s="456">
        <f>F68+F80+F110+F112</f>
        <v>8236654.6399999997</v>
      </c>
      <c r="G113" s="456">
        <f>G68+G80+G110+G112</f>
        <v>8456253.9500000011</v>
      </c>
    </row>
  </sheetData>
  <pageMargins left="0.7" right="0.7" top="0.75" bottom="0.75" header="0.3" footer="0.3"/>
  <pageSetup orientation="portrait" horizontalDpi="4294967295" verticalDpi="4294967295"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99057-2198-4851-8349-47213D1E42D8}">
  <sheetPr>
    <tabColor rgb="FF7030A0"/>
  </sheetPr>
  <dimension ref="A1:L270"/>
  <sheetViews>
    <sheetView workbookViewId="0">
      <selection activeCell="G44" sqref="G44"/>
    </sheetView>
  </sheetViews>
  <sheetFormatPr defaultColWidth="8.85546875" defaultRowHeight="15" outlineLevelRow="2" outlineLevelCol="1" x14ac:dyDescent="0.25"/>
  <cols>
    <col min="1" max="1" width="9" style="452" customWidth="1"/>
    <col min="2" max="2" width="50" customWidth="1"/>
    <col min="3" max="3" width="50" hidden="1" customWidth="1" outlineLevel="1"/>
    <col min="4" max="4" width="20" style="453" hidden="1" customWidth="1" outlineLevel="1"/>
    <col min="5" max="5" width="20" style="453" customWidth="1" collapsed="1"/>
    <col min="6" max="7" width="20" style="453" customWidth="1"/>
    <col min="12" max="12" width="14" bestFit="1" customWidth="1"/>
  </cols>
  <sheetData>
    <row r="1" spans="1:7" s="451" customFormat="1" x14ac:dyDescent="0.25">
      <c r="A1" s="448" t="s">
        <v>864</v>
      </c>
      <c r="B1" s="449"/>
      <c r="C1" s="449"/>
      <c r="D1" s="450" t="s">
        <v>865</v>
      </c>
      <c r="E1" s="450" t="s">
        <v>866</v>
      </c>
      <c r="F1" s="450" t="s">
        <v>867</v>
      </c>
      <c r="G1" s="450" t="s">
        <v>868</v>
      </c>
    </row>
    <row r="3" spans="1:7" hidden="1" outlineLevel="1" collapsed="1" x14ac:dyDescent="0.25">
      <c r="A3" s="452">
        <v>8120</v>
      </c>
      <c r="B3" t="s">
        <v>1083</v>
      </c>
      <c r="C3" t="s">
        <v>1084</v>
      </c>
      <c r="D3" s="453">
        <v>2322863.69</v>
      </c>
      <c r="E3" s="453">
        <v>2780730.05</v>
      </c>
      <c r="F3" s="453">
        <v>1694051.98</v>
      </c>
      <c r="G3" s="453">
        <v>3023763.09</v>
      </c>
    </row>
    <row r="4" spans="1:7" hidden="1" outlineLevel="1" collapsed="1" x14ac:dyDescent="0.25">
      <c r="A4" s="452">
        <v>8125</v>
      </c>
      <c r="B4" t="s">
        <v>1085</v>
      </c>
      <c r="C4" t="s">
        <v>1086</v>
      </c>
      <c r="D4" s="453">
        <v>563026.30000000005</v>
      </c>
      <c r="E4" s="453">
        <v>853621.39</v>
      </c>
      <c r="F4" s="453">
        <v>989149.92</v>
      </c>
      <c r="G4" s="453">
        <v>1330747.17</v>
      </c>
    </row>
    <row r="5" spans="1:7" hidden="1" outlineLevel="1" collapsed="1" x14ac:dyDescent="0.25">
      <c r="A5" s="452">
        <v>8140</v>
      </c>
      <c r="B5" t="s">
        <v>1087</v>
      </c>
      <c r="C5" t="s">
        <v>1234</v>
      </c>
      <c r="E5" s="453">
        <v>990</v>
      </c>
    </row>
    <row r="6" spans="1:7" hidden="1" outlineLevel="1" collapsed="1" x14ac:dyDescent="0.25">
      <c r="A6" s="452">
        <v>8336</v>
      </c>
      <c r="B6" t="s">
        <v>1089</v>
      </c>
      <c r="C6" t="s">
        <v>1090</v>
      </c>
      <c r="D6" s="453">
        <v>115087.32</v>
      </c>
      <c r="E6" s="453">
        <v>192761.8</v>
      </c>
      <c r="F6" s="453">
        <v>138515</v>
      </c>
      <c r="G6" s="453">
        <v>161171.35</v>
      </c>
    </row>
    <row r="7" spans="1:7" hidden="1" outlineLevel="1" collapsed="1" x14ac:dyDescent="0.25">
      <c r="A7" s="452">
        <v>8337</v>
      </c>
      <c r="B7" t="s">
        <v>1091</v>
      </c>
      <c r="C7" t="s">
        <v>1092</v>
      </c>
      <c r="D7" s="453">
        <v>292.36</v>
      </c>
      <c r="E7" s="453">
        <v>382.8</v>
      </c>
      <c r="F7" s="453">
        <v>468.5</v>
      </c>
      <c r="G7" s="453">
        <v>600</v>
      </c>
    </row>
    <row r="8" spans="1:7" hidden="1" outlineLevel="1" collapsed="1" x14ac:dyDescent="0.25">
      <c r="A8" s="452">
        <v>8338</v>
      </c>
      <c r="B8" t="s">
        <v>1093</v>
      </c>
      <c r="C8" t="s">
        <v>1094</v>
      </c>
      <c r="D8" s="453">
        <v>81307.23</v>
      </c>
      <c r="E8" s="453">
        <v>50773.75</v>
      </c>
      <c r="F8" s="453">
        <v>33986.81</v>
      </c>
      <c r="G8" s="453">
        <v>75638.34</v>
      </c>
    </row>
    <row r="9" spans="1:7" hidden="1" outlineLevel="1" collapsed="1" x14ac:dyDescent="0.25">
      <c r="A9" s="452">
        <v>8339</v>
      </c>
      <c r="B9" t="s">
        <v>1095</v>
      </c>
      <c r="C9" t="s">
        <v>1096</v>
      </c>
      <c r="D9" s="453">
        <v>2125.52</v>
      </c>
    </row>
    <row r="10" spans="1:7" hidden="1" outlineLevel="1" collapsed="1" x14ac:dyDescent="0.25">
      <c r="A10" s="452">
        <v>8340</v>
      </c>
      <c r="B10" t="s">
        <v>1097</v>
      </c>
      <c r="C10" t="s">
        <v>1098</v>
      </c>
      <c r="D10" s="453">
        <v>-25844.44</v>
      </c>
    </row>
    <row r="11" spans="1:7" hidden="1" outlineLevel="1" collapsed="1" x14ac:dyDescent="0.25">
      <c r="A11" s="452">
        <v>8400</v>
      </c>
      <c r="B11" t="s">
        <v>1099</v>
      </c>
      <c r="C11" t="s">
        <v>1100</v>
      </c>
      <c r="D11" s="453">
        <v>4811243.43</v>
      </c>
      <c r="E11" s="453">
        <v>5504398.3099999996</v>
      </c>
      <c r="F11" s="453">
        <v>6489093.5300000003</v>
      </c>
      <c r="G11" s="453">
        <v>6958228.2800000003</v>
      </c>
    </row>
    <row r="12" spans="1:7" hidden="1" outlineLevel="1" collapsed="1" x14ac:dyDescent="0.25">
      <c r="A12" s="452">
        <v>8401</v>
      </c>
      <c r="B12" t="s">
        <v>1101</v>
      </c>
      <c r="C12" t="s">
        <v>2023</v>
      </c>
      <c r="D12" s="453">
        <v>6100238.3600000003</v>
      </c>
      <c r="E12" s="453">
        <v>7352884.4299999997</v>
      </c>
      <c r="F12" s="453">
        <v>5988361.0199999996</v>
      </c>
      <c r="G12" s="453">
        <v>5070747.21</v>
      </c>
    </row>
    <row r="13" spans="1:7" hidden="1" outlineLevel="1" collapsed="1" x14ac:dyDescent="0.25">
      <c r="A13" s="452">
        <v>8402</v>
      </c>
      <c r="B13" t="s">
        <v>1102</v>
      </c>
      <c r="C13" t="s">
        <v>1103</v>
      </c>
      <c r="D13" s="453">
        <v>51861.25</v>
      </c>
      <c r="E13" s="453">
        <v>79988.899999999994</v>
      </c>
      <c r="F13" s="453">
        <v>77148.800000000003</v>
      </c>
      <c r="G13" s="453">
        <v>81261.37</v>
      </c>
    </row>
    <row r="14" spans="1:7" hidden="1" outlineLevel="1" collapsed="1" x14ac:dyDescent="0.25">
      <c r="A14" s="452">
        <v>8403</v>
      </c>
      <c r="B14" t="s">
        <v>1104</v>
      </c>
      <c r="C14" t="s">
        <v>1105</v>
      </c>
      <c r="D14" s="453">
        <v>55007.5</v>
      </c>
      <c r="E14" s="453">
        <v>50227.4</v>
      </c>
      <c r="F14" s="453">
        <v>64515.5</v>
      </c>
      <c r="G14" s="453">
        <v>88513.8</v>
      </c>
    </row>
    <row r="15" spans="1:7" hidden="1" outlineLevel="1" collapsed="1" x14ac:dyDescent="0.25">
      <c r="A15" s="452">
        <v>8404</v>
      </c>
      <c r="B15" t="s">
        <v>1106</v>
      </c>
      <c r="C15" t="s">
        <v>1107</v>
      </c>
      <c r="D15" s="453">
        <v>35944.910000000003</v>
      </c>
      <c r="E15" s="453">
        <v>42775.82</v>
      </c>
      <c r="F15" s="453">
        <v>48320</v>
      </c>
      <c r="G15" s="453">
        <v>41699</v>
      </c>
    </row>
    <row r="16" spans="1:7" hidden="1" outlineLevel="1" collapsed="1" x14ac:dyDescent="0.25">
      <c r="A16" s="452">
        <v>8520</v>
      </c>
      <c r="B16" t="s">
        <v>1108</v>
      </c>
      <c r="C16" t="s">
        <v>1109</v>
      </c>
      <c r="D16" s="453">
        <v>2139.15</v>
      </c>
      <c r="E16" s="453">
        <v>2292.25</v>
      </c>
      <c r="F16" s="453">
        <v>1395.4</v>
      </c>
      <c r="G16" s="453">
        <v>3457.4</v>
      </c>
    </row>
    <row r="17" spans="1:9" hidden="1" outlineLevel="1" collapsed="1" x14ac:dyDescent="0.25">
      <c r="A17" s="452">
        <v>8730</v>
      </c>
      <c r="B17" t="s">
        <v>1110</v>
      </c>
      <c r="C17" t="s">
        <v>2031</v>
      </c>
      <c r="D17" s="453">
        <v>-768.8</v>
      </c>
      <c r="E17" s="453">
        <v>-20.16</v>
      </c>
      <c r="F17" s="453">
        <v>-632.17999999999995</v>
      </c>
      <c r="G17" s="453">
        <v>-655.09</v>
      </c>
    </row>
    <row r="18" spans="1:9" hidden="1" outlineLevel="1" collapsed="1" x14ac:dyDescent="0.25">
      <c r="A18" s="452">
        <v>8735</v>
      </c>
      <c r="B18" t="s">
        <v>1112</v>
      </c>
      <c r="C18" t="s">
        <v>2032</v>
      </c>
      <c r="D18" s="453">
        <v>-5899.96</v>
      </c>
    </row>
    <row r="19" spans="1:9" hidden="1" outlineLevel="1" collapsed="1" x14ac:dyDescent="0.25">
      <c r="A19" s="452">
        <v>8736</v>
      </c>
      <c r="B19" t="s">
        <v>1113</v>
      </c>
      <c r="C19" t="s">
        <v>1114</v>
      </c>
      <c r="D19" s="453">
        <v>-149679.04000000001</v>
      </c>
      <c r="E19" s="453">
        <v>-192596.48000000001</v>
      </c>
      <c r="F19" s="453">
        <v>-177100.63</v>
      </c>
      <c r="G19" s="453">
        <v>-159415.34</v>
      </c>
    </row>
    <row r="20" spans="1:9" hidden="1" outlineLevel="1" collapsed="1" x14ac:dyDescent="0.25">
      <c r="A20" s="452">
        <v>8743</v>
      </c>
      <c r="B20" t="s">
        <v>1115</v>
      </c>
      <c r="C20" t="s">
        <v>2033</v>
      </c>
      <c r="D20" s="453">
        <v>-5934.47</v>
      </c>
      <c r="E20" s="453">
        <v>-7344.27</v>
      </c>
      <c r="F20" s="453">
        <v>-9226.66</v>
      </c>
      <c r="G20" s="453">
        <v>-11224.6</v>
      </c>
    </row>
    <row r="21" spans="1:9" hidden="1" outlineLevel="1" collapsed="1" x14ac:dyDescent="0.25">
      <c r="A21" s="452">
        <v>8760</v>
      </c>
      <c r="B21" t="s">
        <v>1117</v>
      </c>
      <c r="C21" t="s">
        <v>1118</v>
      </c>
      <c r="D21" s="453">
        <v>-901.34</v>
      </c>
      <c r="E21" s="453">
        <v>-2841.26</v>
      </c>
      <c r="F21" s="453">
        <v>-18212.07</v>
      </c>
      <c r="G21" s="453">
        <v>-2195.94</v>
      </c>
    </row>
    <row r="22" spans="1:9" hidden="1" outlineLevel="1" collapsed="1" x14ac:dyDescent="0.25">
      <c r="A22" s="452">
        <v>8769</v>
      </c>
      <c r="B22" t="s">
        <v>1119</v>
      </c>
      <c r="C22" t="s">
        <v>1120</v>
      </c>
      <c r="F22" s="453">
        <v>-2195.94</v>
      </c>
      <c r="G22" s="453">
        <v>1084.82</v>
      </c>
    </row>
    <row r="23" spans="1:9" s="455" customFormat="1" collapsed="1" x14ac:dyDescent="0.25">
      <c r="A23" s="454"/>
      <c r="B23" s="455" t="s">
        <v>267</v>
      </c>
      <c r="C23" s="455" t="s">
        <v>210</v>
      </c>
      <c r="D23" s="456">
        <f>SUM(D3:D22)</f>
        <v>13952108.969999999</v>
      </c>
      <c r="E23" s="456">
        <f>SUM(E3:E22)</f>
        <v>16709024.729999999</v>
      </c>
      <c r="F23" s="456">
        <f>SUM(F3:F22)</f>
        <v>15317638.98</v>
      </c>
      <c r="G23" s="456">
        <f>SUM(G3:G22)</f>
        <v>16663420.859999999</v>
      </c>
    </row>
    <row r="24" spans="1:9" x14ac:dyDescent="0.25">
      <c r="B24" t="s">
        <v>1121</v>
      </c>
      <c r="C24" t="s">
        <v>1122</v>
      </c>
      <c r="E24" s="457">
        <f>((E23)/(D23))-1</f>
        <v>0.19759849682424035</v>
      </c>
      <c r="F24" s="457">
        <f>((F23)/(E23))-1</f>
        <v>-8.3271511801754183E-2</v>
      </c>
      <c r="G24" s="457">
        <f>((G23)/(F23))-1</f>
        <v>8.7858310393472916E-2</v>
      </c>
    </row>
    <row r="26" spans="1:9" hidden="1" outlineLevel="1" collapsed="1" x14ac:dyDescent="0.25">
      <c r="A26" s="452">
        <v>8960</v>
      </c>
      <c r="B26" t="s">
        <v>1123</v>
      </c>
      <c r="C26" t="s">
        <v>1124</v>
      </c>
      <c r="D26" s="453">
        <v>-610602.23999999999</v>
      </c>
      <c r="E26" s="453">
        <v>15980.65</v>
      </c>
      <c r="F26" s="453">
        <v>111810.32</v>
      </c>
      <c r="G26" s="453">
        <v>-106972.6</v>
      </c>
    </row>
    <row r="27" spans="1:9" hidden="1" outlineLevel="1" collapsed="1" x14ac:dyDescent="0.25">
      <c r="A27" s="452">
        <v>8980</v>
      </c>
      <c r="B27" t="s">
        <v>1125</v>
      </c>
      <c r="C27" t="s">
        <v>1126</v>
      </c>
      <c r="D27" s="453">
        <v>814442.95</v>
      </c>
      <c r="E27" s="453">
        <v>-308260.59999999998</v>
      </c>
      <c r="F27" s="453">
        <v>87766.81</v>
      </c>
      <c r="G27" s="453">
        <v>457767.74</v>
      </c>
    </row>
    <row r="28" spans="1:9" collapsed="1" x14ac:dyDescent="0.25">
      <c r="B28" t="s">
        <v>1127</v>
      </c>
      <c r="C28" t="s">
        <v>2034</v>
      </c>
      <c r="D28" s="453">
        <f>SUM(D26:D27)</f>
        <v>203840.70999999996</v>
      </c>
      <c r="E28" s="453">
        <f>SUM(E26:E27)</f>
        <v>-292279.94999999995</v>
      </c>
      <c r="F28" s="453">
        <f>SUM(F26:F27)</f>
        <v>199577.13</v>
      </c>
      <c r="G28" s="453">
        <f>SUM(G26:G27)</f>
        <v>350795.14</v>
      </c>
    </row>
    <row r="29" spans="1:9" hidden="1" outlineLevel="2" collapsed="1" x14ac:dyDescent="0.25">
      <c r="A29" s="452">
        <v>2315</v>
      </c>
      <c r="B29" t="s">
        <v>2035</v>
      </c>
      <c r="C29" t="s">
        <v>2036</v>
      </c>
      <c r="D29" s="453">
        <v>-27328</v>
      </c>
      <c r="E29" s="453">
        <v>-188820</v>
      </c>
      <c r="F29" s="453">
        <v>-48305</v>
      </c>
      <c r="G29" s="453">
        <v>-276857</v>
      </c>
    </row>
    <row r="30" spans="1:9" hidden="1" outlineLevel="2" collapsed="1" x14ac:dyDescent="0.25">
      <c r="A30" s="452">
        <v>2712</v>
      </c>
      <c r="B30" t="s">
        <v>2037</v>
      </c>
      <c r="C30" t="s">
        <v>2038</v>
      </c>
      <c r="F30" s="453">
        <v>10163.290000000001</v>
      </c>
      <c r="I30" t="s">
        <v>2470</v>
      </c>
    </row>
    <row r="31" spans="1:9" hidden="1" outlineLevel="2" collapsed="1" x14ac:dyDescent="0.25">
      <c r="A31" s="452">
        <v>8820</v>
      </c>
      <c r="B31" t="s">
        <v>2039</v>
      </c>
      <c r="C31" t="s">
        <v>2040</v>
      </c>
      <c r="D31" s="453">
        <v>44550</v>
      </c>
      <c r="E31" s="453">
        <v>256168.92</v>
      </c>
      <c r="F31" s="453">
        <v>104900</v>
      </c>
      <c r="G31" s="453">
        <v>379850</v>
      </c>
    </row>
    <row r="32" spans="1:9" hidden="1" outlineLevel="2" collapsed="1" x14ac:dyDescent="0.25">
      <c r="A32" s="452">
        <v>8827</v>
      </c>
      <c r="B32" t="s">
        <v>2041</v>
      </c>
      <c r="C32" t="s">
        <v>2042</v>
      </c>
      <c r="F32" s="453">
        <v>15950</v>
      </c>
      <c r="G32" s="453">
        <v>15950</v>
      </c>
    </row>
    <row r="33" spans="1:9" outlineLevel="1" collapsed="1" x14ac:dyDescent="0.25">
      <c r="B33" t="s">
        <v>2043</v>
      </c>
      <c r="C33" t="s">
        <v>2044</v>
      </c>
      <c r="D33" s="453">
        <f>SUM(D29:D32)</f>
        <v>17222</v>
      </c>
      <c r="E33" s="453">
        <f>SUM(E29:E32)</f>
        <v>67348.920000000013</v>
      </c>
      <c r="F33" s="453">
        <f>SUM(F29:F32)</f>
        <v>82708.290000000008</v>
      </c>
      <c r="G33" s="453">
        <f>SUM(G29:G32)</f>
        <v>118943</v>
      </c>
    </row>
    <row r="34" spans="1:9" hidden="1" outlineLevel="2" collapsed="1" x14ac:dyDescent="0.25">
      <c r="A34" s="452">
        <v>2730</v>
      </c>
      <c r="B34" t="s">
        <v>2045</v>
      </c>
      <c r="C34" t="s">
        <v>2046</v>
      </c>
      <c r="D34" s="453">
        <v>2742</v>
      </c>
      <c r="F34" s="453">
        <v>1692</v>
      </c>
    </row>
    <row r="35" spans="1:9" outlineLevel="1" collapsed="1" x14ac:dyDescent="0.25">
      <c r="B35" t="s">
        <v>2047</v>
      </c>
      <c r="C35" t="s">
        <v>2048</v>
      </c>
      <c r="D35" s="453">
        <f>SUM(D34:D34)</f>
        <v>2742</v>
      </c>
      <c r="E35" s="453">
        <f>SUM(E34:E34)</f>
        <v>0</v>
      </c>
      <c r="F35" s="453">
        <f>SUM(F34:F34)</f>
        <v>1692</v>
      </c>
      <c r="G35" s="453">
        <f>SUM(G34:G34)</f>
        <v>0</v>
      </c>
    </row>
    <row r="36" spans="1:9" hidden="1" outlineLevel="2" collapsed="1" x14ac:dyDescent="0.25">
      <c r="A36" s="452">
        <v>2700</v>
      </c>
      <c r="B36" s="575" t="s">
        <v>2049</v>
      </c>
      <c r="C36" t="s">
        <v>2050</v>
      </c>
      <c r="D36" s="453">
        <v>24038.91</v>
      </c>
      <c r="E36" s="453">
        <v>92677.46</v>
      </c>
      <c r="F36" s="453">
        <v>19866.14</v>
      </c>
      <c r="G36" s="453">
        <v>306.11</v>
      </c>
      <c r="I36" t="s">
        <v>2467</v>
      </c>
    </row>
    <row r="37" spans="1:9" hidden="1" outlineLevel="2" collapsed="1" x14ac:dyDescent="0.25">
      <c r="A37" s="452">
        <v>2731</v>
      </c>
      <c r="B37" t="s">
        <v>2051</v>
      </c>
      <c r="C37" t="s">
        <v>2052</v>
      </c>
      <c r="D37" s="453">
        <v>13226</v>
      </c>
      <c r="E37" s="453">
        <v>4784</v>
      </c>
      <c r="F37" s="453">
        <v>6300</v>
      </c>
      <c r="G37" s="453">
        <v>27177</v>
      </c>
      <c r="I37" t="s">
        <v>2510</v>
      </c>
    </row>
    <row r="38" spans="1:9" hidden="1" outlineLevel="2" collapsed="1" x14ac:dyDescent="0.25">
      <c r="A38" s="452">
        <v>2742</v>
      </c>
      <c r="B38" s="575" t="s">
        <v>2053</v>
      </c>
      <c r="C38" t="s">
        <v>2054</v>
      </c>
      <c r="D38" s="453">
        <v>3536.39</v>
      </c>
      <c r="E38" s="453">
        <v>3978.47</v>
      </c>
      <c r="F38" s="453">
        <v>3776.72</v>
      </c>
      <c r="G38" s="453">
        <v>4363.42</v>
      </c>
      <c r="I38" t="s">
        <v>2468</v>
      </c>
    </row>
    <row r="39" spans="1:9" hidden="1" outlineLevel="2" collapsed="1" x14ac:dyDescent="0.25">
      <c r="A39" s="452">
        <v>2749</v>
      </c>
      <c r="B39" s="575" t="s">
        <v>2055</v>
      </c>
      <c r="C39" t="s">
        <v>2056</v>
      </c>
      <c r="D39" s="453">
        <v>1213.3800000000001</v>
      </c>
      <c r="E39" s="453">
        <v>2081.8200000000002</v>
      </c>
      <c r="F39" s="453">
        <v>560.49</v>
      </c>
      <c r="G39" s="453">
        <v>16638.400000000001</v>
      </c>
    </row>
    <row r="40" spans="1:9" hidden="1" outlineLevel="2" collapsed="1" x14ac:dyDescent="0.25">
      <c r="A40" s="452">
        <v>8610</v>
      </c>
      <c r="B40" t="s">
        <v>2057</v>
      </c>
      <c r="C40" t="s">
        <v>2058</v>
      </c>
      <c r="D40" s="453">
        <v>-2254</v>
      </c>
      <c r="E40" s="453">
        <v>-3864</v>
      </c>
      <c r="F40" s="453">
        <v>-9719.99</v>
      </c>
      <c r="G40" s="453">
        <v>-21702.85</v>
      </c>
    </row>
    <row r="41" spans="1:9" hidden="1" outlineLevel="2" collapsed="1" x14ac:dyDescent="0.25">
      <c r="A41" s="452">
        <v>8611</v>
      </c>
      <c r="B41" t="s">
        <v>2059</v>
      </c>
      <c r="C41" t="s">
        <v>2060</v>
      </c>
      <c r="D41" s="453">
        <v>63481.68</v>
      </c>
      <c r="E41" s="453">
        <v>73825.320000000007</v>
      </c>
      <c r="F41" s="453">
        <v>76370.06</v>
      </c>
      <c r="G41" s="453">
        <v>113011.8</v>
      </c>
    </row>
    <row r="42" spans="1:9" hidden="1" outlineLevel="2" collapsed="1" x14ac:dyDescent="0.25">
      <c r="A42" s="452">
        <v>8640</v>
      </c>
      <c r="B42" t="s">
        <v>2061</v>
      </c>
      <c r="C42" t="s">
        <v>2062</v>
      </c>
      <c r="D42" s="453">
        <v>0.03</v>
      </c>
      <c r="F42" s="453">
        <v>4010.74</v>
      </c>
      <c r="G42" s="453">
        <v>2377.3200000000002</v>
      </c>
    </row>
    <row r="43" spans="1:9" hidden="1" outlineLevel="2" collapsed="1" x14ac:dyDescent="0.25">
      <c r="A43" s="452">
        <v>8640</v>
      </c>
      <c r="B43" t="s">
        <v>2061</v>
      </c>
      <c r="C43" t="s">
        <v>2063</v>
      </c>
      <c r="D43" s="453">
        <v>7867.38</v>
      </c>
      <c r="E43" s="453">
        <v>2273.61</v>
      </c>
    </row>
    <row r="44" spans="1:9" outlineLevel="1" collapsed="1" x14ac:dyDescent="0.25">
      <c r="B44" t="s">
        <v>2064</v>
      </c>
      <c r="C44" t="s">
        <v>2065</v>
      </c>
      <c r="D44" s="453">
        <f>SUM(D36:D43)</f>
        <v>111109.77</v>
      </c>
      <c r="E44" s="453">
        <f>SUM(E36:E43)</f>
        <v>175756.68</v>
      </c>
      <c r="F44" s="453">
        <f>SUM(F36:F43)</f>
        <v>101164.16</v>
      </c>
      <c r="G44" s="453">
        <f>SUM(G36:G43)</f>
        <v>142171.20000000001</v>
      </c>
    </row>
    <row r="45" spans="1:9" x14ac:dyDescent="0.25">
      <c r="B45" t="s">
        <v>260</v>
      </c>
      <c r="C45" t="s">
        <v>106</v>
      </c>
      <c r="D45" s="453">
        <f>D33+D35+D44</f>
        <v>131073.77000000002</v>
      </c>
      <c r="E45" s="453">
        <f>E33+E35+E44</f>
        <v>243105.6</v>
      </c>
      <c r="F45" s="453">
        <f>F33+F35+F44</f>
        <v>185564.45</v>
      </c>
      <c r="G45" s="453">
        <f>G33+G35+G44</f>
        <v>261114.2</v>
      </c>
    </row>
    <row r="46" spans="1:9" s="455" customFormat="1" x14ac:dyDescent="0.25">
      <c r="B46" s="455" t="s">
        <v>265</v>
      </c>
      <c r="C46" s="455" t="s">
        <v>205</v>
      </c>
      <c r="D46" s="456">
        <f>D23+D28+D45</f>
        <v>14287023.449999999</v>
      </c>
      <c r="E46" s="456">
        <f>E23+E28+E45</f>
        <v>16659850.379999999</v>
      </c>
      <c r="F46" s="456">
        <f>F23+F28+F45</f>
        <v>15702780.560000001</v>
      </c>
      <c r="G46" s="456">
        <f>G23+G28+G45</f>
        <v>17275330.199999999</v>
      </c>
    </row>
    <row r="47" spans="1:9" x14ac:dyDescent="0.25">
      <c r="B47" t="s">
        <v>1121</v>
      </c>
      <c r="C47" t="s">
        <v>1122</v>
      </c>
      <c r="E47" s="457">
        <f>((E46)/(D46))-1</f>
        <v>0.1660826650354521</v>
      </c>
      <c r="F47" s="457">
        <f>((F46)/(E46))-1</f>
        <v>-5.7447683992945864E-2</v>
      </c>
      <c r="G47" s="457">
        <f>((G46)/(F46))-1</f>
        <v>0.10014466125864274</v>
      </c>
    </row>
    <row r="49" spans="1:7" hidden="1" outlineLevel="2" collapsed="1" x14ac:dyDescent="0.25">
      <c r="A49" s="452">
        <v>3030</v>
      </c>
      <c r="B49" t="s">
        <v>2066</v>
      </c>
      <c r="C49" t="s">
        <v>2067</v>
      </c>
      <c r="D49" s="453">
        <v>25209.27</v>
      </c>
      <c r="E49" s="453">
        <v>49211.76</v>
      </c>
      <c r="F49" s="453">
        <v>30586.76</v>
      </c>
      <c r="G49" s="453">
        <v>27996.77</v>
      </c>
    </row>
    <row r="50" spans="1:7" hidden="1" outlineLevel="2" collapsed="1" x14ac:dyDescent="0.25">
      <c r="A50" s="452">
        <v>3200</v>
      </c>
      <c r="B50" t="s">
        <v>2068</v>
      </c>
      <c r="C50" t="s">
        <v>2069</v>
      </c>
      <c r="D50" s="453">
        <v>62954.34</v>
      </c>
      <c r="E50" s="453">
        <v>66776.73</v>
      </c>
      <c r="F50" s="453">
        <v>17389.509999999998</v>
      </c>
      <c r="G50" s="453">
        <v>289719.8</v>
      </c>
    </row>
    <row r="51" spans="1:7" hidden="1" outlineLevel="2" collapsed="1" x14ac:dyDescent="0.25">
      <c r="A51" s="452">
        <v>3400</v>
      </c>
      <c r="B51" t="s">
        <v>2070</v>
      </c>
      <c r="C51" t="s">
        <v>2071</v>
      </c>
      <c r="D51" s="453">
        <v>1023472.67</v>
      </c>
      <c r="E51" s="453">
        <v>1505208.16</v>
      </c>
      <c r="F51" s="453">
        <v>2066814.05</v>
      </c>
      <c r="G51" s="453">
        <v>2076502.96</v>
      </c>
    </row>
    <row r="52" spans="1:7" hidden="1" outlineLevel="2" collapsed="1" x14ac:dyDescent="0.25">
      <c r="A52" s="452">
        <v>3401</v>
      </c>
      <c r="B52" t="s">
        <v>2072</v>
      </c>
      <c r="C52" t="s">
        <v>2073</v>
      </c>
      <c r="D52" s="453">
        <v>525065.25</v>
      </c>
      <c r="E52" s="453">
        <v>364976.54</v>
      </c>
      <c r="F52" s="453">
        <v>222391.73</v>
      </c>
      <c r="G52" s="453">
        <v>621605.43999999994</v>
      </c>
    </row>
    <row r="53" spans="1:7" hidden="1" outlineLevel="2" collapsed="1" x14ac:dyDescent="0.25">
      <c r="A53" s="452">
        <v>3425</v>
      </c>
      <c r="B53" t="s">
        <v>2074</v>
      </c>
      <c r="C53" t="s">
        <v>2075</v>
      </c>
      <c r="D53" s="453">
        <v>4853355.0199999996</v>
      </c>
      <c r="E53" s="453">
        <v>5506372.4199999999</v>
      </c>
      <c r="F53" s="453">
        <v>5628952.3499999996</v>
      </c>
      <c r="G53" s="453">
        <v>5510838.4900000002</v>
      </c>
    </row>
    <row r="54" spans="1:7" hidden="1" outlineLevel="2" collapsed="1" x14ac:dyDescent="0.25">
      <c r="A54" s="452">
        <v>3736</v>
      </c>
      <c r="B54" t="s">
        <v>2076</v>
      </c>
      <c r="C54" t="s">
        <v>2077</v>
      </c>
      <c r="D54" s="453">
        <v>-27739.5</v>
      </c>
      <c r="E54" s="453">
        <v>-37093.839999999997</v>
      </c>
      <c r="F54" s="453">
        <v>-47746.5</v>
      </c>
      <c r="G54" s="453">
        <v>-50431.7</v>
      </c>
    </row>
    <row r="55" spans="1:7" hidden="1" outlineLevel="2" collapsed="1" x14ac:dyDescent="0.25">
      <c r="A55" s="452">
        <v>3737</v>
      </c>
      <c r="B55" t="s">
        <v>2078</v>
      </c>
      <c r="C55" t="s">
        <v>2079</v>
      </c>
      <c r="D55" s="453">
        <v>-209.69</v>
      </c>
    </row>
    <row r="56" spans="1:7" hidden="1" outlineLevel="2" collapsed="1" x14ac:dyDescent="0.25">
      <c r="A56" s="452">
        <v>3748</v>
      </c>
      <c r="B56" t="s">
        <v>2080</v>
      </c>
      <c r="C56" t="s">
        <v>2081</v>
      </c>
      <c r="D56" s="453">
        <v>-33314.089999999997</v>
      </c>
      <c r="E56" s="453">
        <v>-34707.21</v>
      </c>
      <c r="F56" s="453">
        <v>-34375.300000000003</v>
      </c>
      <c r="G56" s="453">
        <v>-6721.22</v>
      </c>
    </row>
    <row r="57" spans="1:7" hidden="1" outlineLevel="2" collapsed="1" x14ac:dyDescent="0.25">
      <c r="A57" s="452">
        <v>3800</v>
      </c>
      <c r="B57" t="s">
        <v>2082</v>
      </c>
      <c r="C57" t="s">
        <v>2083</v>
      </c>
      <c r="D57" s="453">
        <v>47739.45</v>
      </c>
      <c r="E57" s="453">
        <v>61051.79</v>
      </c>
      <c r="F57" s="453">
        <v>55606.31</v>
      </c>
      <c r="G57" s="453">
        <v>129385.65</v>
      </c>
    </row>
    <row r="58" spans="1:7" hidden="1" outlineLevel="2" collapsed="1" x14ac:dyDescent="0.25">
      <c r="A58" s="452">
        <v>3950</v>
      </c>
      <c r="B58" t="s">
        <v>2084</v>
      </c>
      <c r="C58" t="s">
        <v>2085</v>
      </c>
      <c r="D58" s="453">
        <v>-106492.2</v>
      </c>
      <c r="E58" s="453">
        <v>-183166</v>
      </c>
      <c r="F58" s="453">
        <v>-241736.85</v>
      </c>
      <c r="G58" s="453">
        <v>-742002.06</v>
      </c>
    </row>
    <row r="59" spans="1:7" hidden="1" outlineLevel="2" collapsed="1" x14ac:dyDescent="0.25">
      <c r="A59" s="452">
        <v>3960</v>
      </c>
      <c r="B59" t="s">
        <v>2086</v>
      </c>
      <c r="C59" t="s">
        <v>2087</v>
      </c>
      <c r="D59" s="453">
        <v>101552.24</v>
      </c>
      <c r="E59" s="453">
        <v>-149703.78</v>
      </c>
      <c r="F59" s="453">
        <v>-257393.59</v>
      </c>
      <c r="G59" s="453">
        <v>-110977.79</v>
      </c>
    </row>
    <row r="60" spans="1:7" outlineLevel="1" collapsed="1" x14ac:dyDescent="0.25">
      <c r="B60" t="s">
        <v>2088</v>
      </c>
      <c r="C60" t="s">
        <v>2089</v>
      </c>
      <c r="D60" s="453">
        <f>SUM(D49:D59)</f>
        <v>6471592.7599999998</v>
      </c>
      <c r="E60" s="453">
        <f>SUM(E49:E59)</f>
        <v>7148926.5699999994</v>
      </c>
      <c r="F60" s="453">
        <f>SUM(F49:F59)</f>
        <v>7440488.4699999997</v>
      </c>
      <c r="G60" s="453">
        <f>SUM(G49:G59)</f>
        <v>7745916.3400000008</v>
      </c>
    </row>
    <row r="61" spans="1:7" hidden="1" outlineLevel="2" collapsed="1" x14ac:dyDescent="0.25">
      <c r="A61" s="452">
        <v>3101</v>
      </c>
      <c r="B61" t="s">
        <v>2090</v>
      </c>
      <c r="C61" t="s">
        <v>2091</v>
      </c>
      <c r="D61" s="453">
        <v>19955.740000000002</v>
      </c>
      <c r="E61" s="453">
        <v>17820.900000000001</v>
      </c>
      <c r="F61" s="453">
        <v>22952.51</v>
      </c>
      <c r="G61" s="453">
        <v>20003.43</v>
      </c>
    </row>
    <row r="62" spans="1:7" hidden="1" outlineLevel="2" collapsed="1" x14ac:dyDescent="0.25">
      <c r="A62" s="452">
        <v>3102</v>
      </c>
      <c r="B62" t="s">
        <v>2092</v>
      </c>
      <c r="C62" t="s">
        <v>2093</v>
      </c>
      <c r="D62" s="453">
        <v>6491.5</v>
      </c>
      <c r="E62" s="453">
        <v>5892</v>
      </c>
      <c r="F62" s="453">
        <v>3701</v>
      </c>
      <c r="G62" s="453">
        <v>3544.9</v>
      </c>
    </row>
    <row r="63" spans="1:7" hidden="1" outlineLevel="2" collapsed="1" x14ac:dyDescent="0.25">
      <c r="A63" s="452">
        <v>3106</v>
      </c>
      <c r="B63" t="s">
        <v>2094</v>
      </c>
      <c r="C63" t="s">
        <v>2095</v>
      </c>
      <c r="D63" s="453">
        <v>280612</v>
      </c>
      <c r="E63" s="453">
        <v>460486.72</v>
      </c>
      <c r="F63" s="453">
        <v>520960.4</v>
      </c>
      <c r="G63" s="453">
        <v>605922.72</v>
      </c>
    </row>
    <row r="64" spans="1:7" hidden="1" outlineLevel="2" collapsed="1" x14ac:dyDescent="0.25">
      <c r="A64" s="452">
        <v>3125</v>
      </c>
      <c r="B64" t="s">
        <v>2096</v>
      </c>
      <c r="C64" t="s">
        <v>2097</v>
      </c>
      <c r="F64" s="453">
        <v>98400</v>
      </c>
      <c r="G64" s="453">
        <v>22500</v>
      </c>
    </row>
    <row r="65" spans="1:7" outlineLevel="1" collapsed="1" x14ac:dyDescent="0.25">
      <c r="B65" t="s">
        <v>2098</v>
      </c>
      <c r="C65" t="s">
        <v>2099</v>
      </c>
      <c r="D65" s="453">
        <f>SUM(D61:D64)</f>
        <v>307059.24</v>
      </c>
      <c r="E65" s="453">
        <f>SUM(E61:E64)</f>
        <v>484199.62</v>
      </c>
      <c r="F65" s="453">
        <f>SUM(F61:F64)</f>
        <v>646013.91</v>
      </c>
      <c r="G65" s="453">
        <f>SUM(G61:G64)</f>
        <v>651971.04999999993</v>
      </c>
    </row>
    <row r="66" spans="1:7" x14ac:dyDescent="0.25">
      <c r="B66" t="s">
        <v>264</v>
      </c>
      <c r="C66" t="s">
        <v>263</v>
      </c>
      <c r="D66" s="453">
        <f>D60+D65</f>
        <v>6778652</v>
      </c>
      <c r="E66" s="453">
        <f>E60+E65</f>
        <v>7633126.1899999995</v>
      </c>
      <c r="F66" s="453">
        <f>F60+F65</f>
        <v>8086502.3799999999</v>
      </c>
      <c r="G66" s="453">
        <f>G60+G65</f>
        <v>8397887.3900000006</v>
      </c>
    </row>
    <row r="67" spans="1:7" s="455" customFormat="1" x14ac:dyDescent="0.25">
      <c r="B67" s="455" t="s">
        <v>2100</v>
      </c>
      <c r="C67" s="455" t="s">
        <v>261</v>
      </c>
      <c r="D67" s="456">
        <f>D46-D66</f>
        <v>7508371.4499999993</v>
      </c>
      <c r="E67" s="456">
        <f>E46-E66</f>
        <v>9026724.1899999995</v>
      </c>
      <c r="F67" s="456">
        <f>F46-F66</f>
        <v>7616278.1800000006</v>
      </c>
      <c r="G67" s="456">
        <f>G46-G66</f>
        <v>8877442.8099999987</v>
      </c>
    </row>
    <row r="68" spans="1:7" x14ac:dyDescent="0.25">
      <c r="B68" t="s">
        <v>1121</v>
      </c>
      <c r="C68" t="s">
        <v>1122</v>
      </c>
      <c r="E68" s="457">
        <f>((E67)/(D67))-1</f>
        <v>0.20222131391754727</v>
      </c>
      <c r="F68" s="457">
        <f>((F67)/(E67))-1</f>
        <v>-0.15625225500547824</v>
      </c>
      <c r="G68" s="457">
        <f>((G67)/(F67))-1</f>
        <v>0.16558804710045383</v>
      </c>
    </row>
    <row r="69" spans="1:7" x14ac:dyDescent="0.25">
      <c r="B69" t="s">
        <v>1128</v>
      </c>
      <c r="C69" t="s">
        <v>1129</v>
      </c>
      <c r="D69" s="457">
        <f>(D67)/(D46)</f>
        <v>0.52553784042399676</v>
      </c>
      <c r="E69" s="457">
        <f>(E67)/(E46)</f>
        <v>0.54182504548999433</v>
      </c>
      <c r="F69" s="457">
        <f>(F67)/(F46)</f>
        <v>0.48502735874696579</v>
      </c>
      <c r="G69" s="457">
        <f>(G67)/(G46)</f>
        <v>0.51387977579728106</v>
      </c>
    </row>
    <row r="71" spans="1:7" hidden="1" outlineLevel="2" collapsed="1" x14ac:dyDescent="0.25">
      <c r="A71" s="452">
        <v>4110</v>
      </c>
      <c r="B71" t="s">
        <v>2101</v>
      </c>
      <c r="C71" t="s">
        <v>2102</v>
      </c>
      <c r="D71" s="453">
        <v>1175986.03</v>
      </c>
      <c r="E71" s="453">
        <v>1329618.77</v>
      </c>
      <c r="F71" s="453">
        <v>1477468.36</v>
      </c>
      <c r="G71" s="453">
        <v>1931116.65</v>
      </c>
    </row>
    <row r="72" spans="1:7" hidden="1" outlineLevel="2" collapsed="1" x14ac:dyDescent="0.25">
      <c r="A72" s="452">
        <v>4120</v>
      </c>
      <c r="B72" t="s">
        <v>2103</v>
      </c>
      <c r="C72" t="s">
        <v>2104</v>
      </c>
      <c r="D72" s="453">
        <v>1086159.21</v>
      </c>
      <c r="E72" s="453">
        <v>1144470.97</v>
      </c>
      <c r="F72" s="453">
        <v>1227036.5900000001</v>
      </c>
      <c r="G72" s="453">
        <v>1320516.1000000001</v>
      </c>
    </row>
    <row r="73" spans="1:7" hidden="1" outlineLevel="2" collapsed="1" x14ac:dyDescent="0.25">
      <c r="A73" s="452">
        <v>4124</v>
      </c>
      <c r="B73" t="s">
        <v>2105</v>
      </c>
      <c r="C73" t="s">
        <v>2106</v>
      </c>
      <c r="D73" s="453">
        <v>228000</v>
      </c>
      <c r="E73" s="453">
        <v>228000</v>
      </c>
      <c r="F73" s="453">
        <v>228000</v>
      </c>
      <c r="G73" s="453">
        <v>228000</v>
      </c>
    </row>
    <row r="74" spans="1:7" hidden="1" outlineLevel="2" collapsed="1" x14ac:dyDescent="0.25">
      <c r="A74" s="452">
        <v>4126</v>
      </c>
      <c r="B74" t="s">
        <v>2107</v>
      </c>
      <c r="C74" t="s">
        <v>2108</v>
      </c>
      <c r="D74" s="453">
        <v>76000</v>
      </c>
      <c r="E74" s="453">
        <v>76000</v>
      </c>
      <c r="F74" s="453">
        <v>76000</v>
      </c>
      <c r="G74" s="453">
        <v>76000</v>
      </c>
    </row>
    <row r="75" spans="1:7" hidden="1" outlineLevel="2" collapsed="1" x14ac:dyDescent="0.25">
      <c r="A75" s="452">
        <v>4127</v>
      </c>
      <c r="B75" t="s">
        <v>2109</v>
      </c>
      <c r="C75" t="s">
        <v>2110</v>
      </c>
      <c r="G75" s="453">
        <v>62500.02</v>
      </c>
    </row>
    <row r="76" spans="1:7" hidden="1" outlineLevel="2" collapsed="1" x14ac:dyDescent="0.25">
      <c r="A76" s="452">
        <v>4129</v>
      </c>
      <c r="B76" t="s">
        <v>2111</v>
      </c>
      <c r="C76" t="s">
        <v>2112</v>
      </c>
      <c r="D76" s="453">
        <v>100000</v>
      </c>
      <c r="E76" s="453">
        <v>120000</v>
      </c>
      <c r="F76" s="453">
        <v>43750</v>
      </c>
      <c r="G76" s="453">
        <v>16757</v>
      </c>
    </row>
    <row r="77" spans="1:7" hidden="1" outlineLevel="2" collapsed="1" x14ac:dyDescent="0.25">
      <c r="A77" s="452">
        <v>4145</v>
      </c>
      <c r="B77" t="s">
        <v>2113</v>
      </c>
      <c r="C77" t="s">
        <v>2114</v>
      </c>
      <c r="D77" s="453">
        <v>50001</v>
      </c>
      <c r="E77" s="453">
        <v>54993</v>
      </c>
      <c r="F77" s="453">
        <v>57441</v>
      </c>
      <c r="G77" s="453">
        <v>76119</v>
      </c>
    </row>
    <row r="78" spans="1:7" hidden="1" outlineLevel="2" collapsed="1" x14ac:dyDescent="0.25">
      <c r="A78" s="452">
        <v>4149</v>
      </c>
      <c r="B78" t="s">
        <v>2115</v>
      </c>
      <c r="C78" t="s">
        <v>2116</v>
      </c>
      <c r="D78" s="453">
        <v>2139.92</v>
      </c>
      <c r="E78" s="453">
        <v>2409.4299999999998</v>
      </c>
      <c r="F78" s="453">
        <v>2234.16</v>
      </c>
      <c r="G78" s="453">
        <v>3345.05</v>
      </c>
    </row>
    <row r="79" spans="1:7" hidden="1" outlineLevel="2" collapsed="1" x14ac:dyDescent="0.25">
      <c r="A79" s="452">
        <v>4150</v>
      </c>
      <c r="B79" t="s">
        <v>2117</v>
      </c>
      <c r="C79" t="s">
        <v>2118</v>
      </c>
      <c r="D79" s="453">
        <v>12813.06</v>
      </c>
      <c r="E79" s="453">
        <v>14819.7</v>
      </c>
      <c r="F79" s="453">
        <v>15052.89</v>
      </c>
      <c r="G79" s="453">
        <v>13770.19</v>
      </c>
    </row>
    <row r="80" spans="1:7" hidden="1" outlineLevel="2" collapsed="1" x14ac:dyDescent="0.25">
      <c r="A80" s="452">
        <v>4152</v>
      </c>
      <c r="B80" t="s">
        <v>2119</v>
      </c>
      <c r="C80" t="s">
        <v>2120</v>
      </c>
      <c r="F80" s="453">
        <v>189</v>
      </c>
      <c r="G80" s="453">
        <v>497</v>
      </c>
    </row>
    <row r="81" spans="1:7" hidden="1" outlineLevel="2" collapsed="1" x14ac:dyDescent="0.25">
      <c r="A81" s="452">
        <v>4155</v>
      </c>
      <c r="B81" t="s">
        <v>2121</v>
      </c>
      <c r="C81" t="s">
        <v>2122</v>
      </c>
      <c r="D81" s="453">
        <v>-2975.65</v>
      </c>
      <c r="E81" s="453">
        <v>-7002.01</v>
      </c>
      <c r="F81" s="453">
        <v>-5588.23</v>
      </c>
    </row>
    <row r="82" spans="1:7" hidden="1" outlineLevel="2" collapsed="1" x14ac:dyDescent="0.25">
      <c r="A82" s="452">
        <v>4156</v>
      </c>
      <c r="B82" t="s">
        <v>2123</v>
      </c>
      <c r="C82" t="s">
        <v>2124</v>
      </c>
      <c r="D82" s="453">
        <v>6910.65</v>
      </c>
      <c r="E82" s="453">
        <v>7838.47</v>
      </c>
      <c r="F82" s="453">
        <v>-6800.54</v>
      </c>
      <c r="G82" s="453">
        <v>-1405.64</v>
      </c>
    </row>
    <row r="83" spans="1:7" hidden="1" outlineLevel="2" collapsed="1" x14ac:dyDescent="0.25">
      <c r="A83" s="452">
        <v>4170</v>
      </c>
      <c r="B83" t="s">
        <v>2125</v>
      </c>
      <c r="C83" t="s">
        <v>2126</v>
      </c>
      <c r="D83" s="453">
        <v>2826.48</v>
      </c>
      <c r="E83" s="453">
        <v>2743.3</v>
      </c>
      <c r="F83" s="453">
        <v>2624.66</v>
      </c>
      <c r="G83" s="453">
        <v>2985.79</v>
      </c>
    </row>
    <row r="84" spans="1:7" hidden="1" outlineLevel="2" collapsed="1" x14ac:dyDescent="0.25">
      <c r="A84" s="452">
        <v>4175</v>
      </c>
      <c r="B84" t="s">
        <v>2127</v>
      </c>
      <c r="C84" t="s">
        <v>2128</v>
      </c>
      <c r="D84" s="453">
        <v>25336.16</v>
      </c>
      <c r="E84" s="453">
        <v>28116.19</v>
      </c>
      <c r="F84" s="453">
        <v>23513.4</v>
      </c>
      <c r="G84" s="453">
        <v>33929</v>
      </c>
    </row>
    <row r="85" spans="1:7" hidden="1" outlineLevel="2" collapsed="1" x14ac:dyDescent="0.25">
      <c r="A85" s="452">
        <v>4190</v>
      </c>
      <c r="B85" t="s">
        <v>2129</v>
      </c>
      <c r="C85" t="s">
        <v>2130</v>
      </c>
      <c r="E85" s="453">
        <v>2142.4499999999998</v>
      </c>
      <c r="F85" s="453">
        <v>1144.2</v>
      </c>
    </row>
    <row r="86" spans="1:7" hidden="1" outlineLevel="2" collapsed="1" x14ac:dyDescent="0.25">
      <c r="A86" s="452">
        <v>4194</v>
      </c>
      <c r="B86" t="s">
        <v>2131</v>
      </c>
      <c r="C86" t="s">
        <v>2132</v>
      </c>
      <c r="D86" s="453">
        <v>9.4</v>
      </c>
      <c r="E86" s="453">
        <v>2.2599999999999998</v>
      </c>
    </row>
    <row r="87" spans="1:7" hidden="1" outlineLevel="2" collapsed="1" x14ac:dyDescent="0.25">
      <c r="A87" s="452">
        <v>4195</v>
      </c>
      <c r="B87" t="s">
        <v>2133</v>
      </c>
      <c r="C87" t="s">
        <v>2134</v>
      </c>
      <c r="D87" s="453">
        <v>16373.8</v>
      </c>
      <c r="E87" s="453">
        <v>9315.1200000000008</v>
      </c>
      <c r="F87" s="453">
        <v>10545.92</v>
      </c>
      <c r="G87" s="453">
        <v>12472.93</v>
      </c>
    </row>
    <row r="88" spans="1:7" hidden="1" outlineLevel="2" collapsed="1" x14ac:dyDescent="0.25">
      <c r="A88" s="452">
        <v>4198</v>
      </c>
      <c r="B88" t="s">
        <v>2135</v>
      </c>
      <c r="C88" t="s">
        <v>2136</v>
      </c>
      <c r="F88" s="453">
        <v>74.06</v>
      </c>
      <c r="G88" s="453">
        <v>115.06</v>
      </c>
    </row>
    <row r="89" spans="1:7" hidden="1" outlineLevel="1" collapsed="1" x14ac:dyDescent="0.25">
      <c r="B89" t="s">
        <v>2137</v>
      </c>
      <c r="C89" t="s">
        <v>2138</v>
      </c>
      <c r="D89" s="453">
        <f>SUM(D71:D88)</f>
        <v>2779580.06</v>
      </c>
      <c r="E89" s="453">
        <f>SUM(E71:E88)</f>
        <v>3013467.6500000008</v>
      </c>
      <c r="F89" s="453">
        <f>SUM(F71:F88)</f>
        <v>3152685.4700000007</v>
      </c>
      <c r="G89" s="453">
        <f>SUM(G71:G88)</f>
        <v>3776718.15</v>
      </c>
    </row>
    <row r="90" spans="1:7" hidden="1" outlineLevel="2" collapsed="1" x14ac:dyDescent="0.25">
      <c r="A90" s="452">
        <v>4130</v>
      </c>
      <c r="B90" t="s">
        <v>2139</v>
      </c>
      <c r="C90" t="s">
        <v>2140</v>
      </c>
      <c r="D90" s="453">
        <v>437750.98</v>
      </c>
      <c r="E90" s="453">
        <v>480904.31</v>
      </c>
      <c r="F90" s="453">
        <v>533642.28</v>
      </c>
      <c r="G90" s="453">
        <v>652100.81000000006</v>
      </c>
    </row>
    <row r="91" spans="1:7" hidden="1" outlineLevel="2" collapsed="1" x14ac:dyDescent="0.25">
      <c r="A91" s="452">
        <v>4138</v>
      </c>
      <c r="B91" t="s">
        <v>2141</v>
      </c>
      <c r="C91" t="s">
        <v>2142</v>
      </c>
      <c r="D91" s="453">
        <v>10044.34</v>
      </c>
      <c r="E91" s="453">
        <v>12322.44</v>
      </c>
      <c r="F91" s="453">
        <v>11187.58</v>
      </c>
      <c r="G91" s="453">
        <v>20099.95</v>
      </c>
    </row>
    <row r="92" spans="1:7" hidden="1" outlineLevel="2" collapsed="1" x14ac:dyDescent="0.25">
      <c r="A92" s="452">
        <v>4140</v>
      </c>
      <c r="B92" t="s">
        <v>2143</v>
      </c>
      <c r="C92" t="s">
        <v>2144</v>
      </c>
      <c r="D92" s="453">
        <v>47118.83</v>
      </c>
      <c r="E92" s="453">
        <v>33271.589999999997</v>
      </c>
      <c r="F92" s="453">
        <v>45469.120000000003</v>
      </c>
      <c r="G92" s="453">
        <v>42670.74</v>
      </c>
    </row>
    <row r="93" spans="1:7" hidden="1" outlineLevel="2" collapsed="1" x14ac:dyDescent="0.25">
      <c r="A93" s="452">
        <v>4144</v>
      </c>
      <c r="B93" t="s">
        <v>2145</v>
      </c>
      <c r="C93" t="s">
        <v>2146</v>
      </c>
      <c r="D93" s="453">
        <v>4663.6400000000003</v>
      </c>
      <c r="E93" s="453">
        <v>2611.09</v>
      </c>
      <c r="F93" s="453">
        <v>2983.43</v>
      </c>
      <c r="G93" s="453">
        <v>3915.04</v>
      </c>
    </row>
    <row r="94" spans="1:7" hidden="1" outlineLevel="2" collapsed="1" x14ac:dyDescent="0.25">
      <c r="A94" s="452">
        <v>4165</v>
      </c>
      <c r="B94" t="s">
        <v>2147</v>
      </c>
      <c r="C94" t="s">
        <v>2148</v>
      </c>
      <c r="D94" s="453">
        <v>23002.44</v>
      </c>
      <c r="E94" s="453">
        <v>21620.12</v>
      </c>
      <c r="F94" s="453">
        <v>13016.38</v>
      </c>
      <c r="G94" s="453">
        <v>26846.36</v>
      </c>
    </row>
    <row r="95" spans="1:7" hidden="1" outlineLevel="1" collapsed="1" x14ac:dyDescent="0.25">
      <c r="B95" t="s">
        <v>2149</v>
      </c>
      <c r="C95" t="s">
        <v>2150</v>
      </c>
      <c r="D95" s="453">
        <f>SUM(D90:D94)</f>
        <v>522580.23000000004</v>
      </c>
      <c r="E95" s="453">
        <f>SUM(E90:E94)</f>
        <v>550729.54999999993</v>
      </c>
      <c r="F95" s="453">
        <f>SUM(F90:F94)</f>
        <v>606298.79</v>
      </c>
      <c r="G95" s="453">
        <f>SUM(G90:G94)</f>
        <v>745632.9</v>
      </c>
    </row>
    <row r="96" spans="1:7" collapsed="1" x14ac:dyDescent="0.25">
      <c r="B96" t="s">
        <v>259</v>
      </c>
      <c r="C96" t="s">
        <v>258</v>
      </c>
      <c r="D96" s="453">
        <f>D89+D95</f>
        <v>3302160.29</v>
      </c>
      <c r="E96" s="453">
        <f>E89+E95</f>
        <v>3564197.2000000007</v>
      </c>
      <c r="F96" s="453">
        <f>F89+F95</f>
        <v>3758984.2600000007</v>
      </c>
      <c r="G96" s="453">
        <f>G89+G95</f>
        <v>4522351.05</v>
      </c>
    </row>
    <row r="97" spans="1:12" s="468" customFormat="1" hidden="1" outlineLevel="2" collapsed="1" x14ac:dyDescent="0.25">
      <c r="A97" s="467">
        <v>4210</v>
      </c>
      <c r="B97" s="468" t="s">
        <v>2151</v>
      </c>
      <c r="C97" s="468" t="s">
        <v>2152</v>
      </c>
      <c r="D97" s="469">
        <v>183000</v>
      </c>
      <c r="E97" s="469">
        <v>198000</v>
      </c>
      <c r="F97" s="469">
        <v>198000</v>
      </c>
      <c r="G97" s="469">
        <v>198000</v>
      </c>
      <c r="L97" s="519">
        <f>-'P&amp;L (Annual Report)'!E102/1000+E104/1000</f>
        <v>-304.87819000000002</v>
      </c>
    </row>
    <row r="98" spans="1:12" s="468" customFormat="1" hidden="1" outlineLevel="2" collapsed="1" x14ac:dyDescent="0.25">
      <c r="A98" s="467">
        <v>4228</v>
      </c>
      <c r="B98" s="468" t="s">
        <v>2153</v>
      </c>
      <c r="C98" s="468" t="s">
        <v>2154</v>
      </c>
      <c r="D98" s="469"/>
      <c r="E98" s="469"/>
      <c r="F98" s="469">
        <v>11657.92</v>
      </c>
      <c r="G98" s="469">
        <v>11468.21</v>
      </c>
    </row>
    <row r="99" spans="1:12" s="468" customFormat="1" hidden="1" outlineLevel="2" collapsed="1" x14ac:dyDescent="0.25">
      <c r="A99" s="467">
        <v>4240</v>
      </c>
      <c r="B99" s="468" t="s">
        <v>2155</v>
      </c>
      <c r="C99" s="468" t="s">
        <v>2156</v>
      </c>
      <c r="D99" s="469">
        <v>58672.37</v>
      </c>
      <c r="E99" s="469">
        <v>88922.58</v>
      </c>
      <c r="F99" s="469">
        <v>85322.76</v>
      </c>
      <c r="G99" s="469">
        <v>137747.99</v>
      </c>
    </row>
    <row r="100" spans="1:12" s="468" customFormat="1" hidden="1" outlineLevel="2" collapsed="1" x14ac:dyDescent="0.25">
      <c r="A100" s="467">
        <v>4250</v>
      </c>
      <c r="B100" s="468" t="s">
        <v>2157</v>
      </c>
      <c r="C100" s="468" t="s">
        <v>2158</v>
      </c>
      <c r="D100" s="469">
        <v>33718.92</v>
      </c>
      <c r="E100" s="469">
        <v>34303.279999999999</v>
      </c>
      <c r="F100" s="469">
        <v>34957.89</v>
      </c>
      <c r="G100" s="469">
        <v>39420.82</v>
      </c>
    </row>
    <row r="101" spans="1:12" s="468" customFormat="1" hidden="1" outlineLevel="2" collapsed="1" x14ac:dyDescent="0.25">
      <c r="A101" s="467">
        <v>4260</v>
      </c>
      <c r="B101" s="468" t="s">
        <v>2159</v>
      </c>
      <c r="C101" s="468" t="s">
        <v>2160</v>
      </c>
      <c r="D101" s="469">
        <v>1957.12</v>
      </c>
      <c r="E101" s="469">
        <v>4267.28</v>
      </c>
      <c r="F101" s="469">
        <v>2653.08</v>
      </c>
      <c r="G101" s="469">
        <v>15958</v>
      </c>
    </row>
    <row r="102" spans="1:12" hidden="1" outlineLevel="1" collapsed="1" x14ac:dyDescent="0.25">
      <c r="B102" t="s">
        <v>2161</v>
      </c>
      <c r="C102" t="s">
        <v>2162</v>
      </c>
      <c r="D102" s="453">
        <f>SUM(D97:D101)</f>
        <v>277348.40999999997</v>
      </c>
      <c r="E102" s="453">
        <f>SUM(E97:E101)</f>
        <v>325493.14</v>
      </c>
      <c r="F102" s="453">
        <f>SUM(F97:F101)</f>
        <v>332591.65000000002</v>
      </c>
      <c r="G102" s="453">
        <f>SUM(G97:G101)</f>
        <v>402595.01999999996</v>
      </c>
    </row>
    <row r="103" spans="1:12" hidden="1" outlineLevel="2" collapsed="1" x14ac:dyDescent="0.25">
      <c r="A103" s="452">
        <v>2350</v>
      </c>
      <c r="B103" t="s">
        <v>2163</v>
      </c>
      <c r="C103" t="s">
        <v>2164</v>
      </c>
      <c r="D103" s="453">
        <v>16732.11</v>
      </c>
      <c r="E103" s="453">
        <v>20614.95</v>
      </c>
      <c r="F103" s="453">
        <v>8739.2900000000009</v>
      </c>
      <c r="G103" s="453">
        <v>20387.509999999998</v>
      </c>
    </row>
    <row r="104" spans="1:12" hidden="1" outlineLevel="1" collapsed="1" x14ac:dyDescent="0.25">
      <c r="B104" t="s">
        <v>2165</v>
      </c>
      <c r="C104" t="s">
        <v>2166</v>
      </c>
      <c r="D104" s="453">
        <f>SUM(D103:D103)</f>
        <v>16732.11</v>
      </c>
      <c r="E104" s="453">
        <f>SUM(E103:E103)</f>
        <v>20614.95</v>
      </c>
      <c r="F104" s="465">
        <f>SUM(F103:F103)</f>
        <v>8739.2900000000009</v>
      </c>
      <c r="G104" s="453">
        <f>SUM(G103:G103)</f>
        <v>20387.509999999998</v>
      </c>
    </row>
    <row r="105" spans="1:12" hidden="1" outlineLevel="2" collapsed="1" x14ac:dyDescent="0.25">
      <c r="A105" s="452">
        <v>4139</v>
      </c>
      <c r="B105" t="s">
        <v>2167</v>
      </c>
      <c r="C105" t="s">
        <v>2168</v>
      </c>
      <c r="D105" s="453">
        <v>600</v>
      </c>
    </row>
    <row r="106" spans="1:12" hidden="1" outlineLevel="2" collapsed="1" x14ac:dyDescent="0.25">
      <c r="A106" s="452">
        <v>4360</v>
      </c>
      <c r="B106" t="s">
        <v>2169</v>
      </c>
      <c r="C106" t="s">
        <v>2170</v>
      </c>
      <c r="D106" s="453">
        <v>32935.300000000003</v>
      </c>
      <c r="E106" s="453">
        <v>35491.410000000003</v>
      </c>
      <c r="F106" s="453">
        <v>38580.26</v>
      </c>
      <c r="G106" s="453">
        <v>35259.68</v>
      </c>
    </row>
    <row r="107" spans="1:12" hidden="1" outlineLevel="2" collapsed="1" x14ac:dyDescent="0.25">
      <c r="A107" s="452">
        <v>4380</v>
      </c>
      <c r="B107" t="s">
        <v>2171</v>
      </c>
      <c r="C107" t="s">
        <v>2172</v>
      </c>
      <c r="D107" s="453">
        <v>5238.96</v>
      </c>
      <c r="E107" s="453">
        <v>26974.68</v>
      </c>
      <c r="F107" s="453">
        <v>34662.839999999997</v>
      </c>
      <c r="G107" s="453">
        <v>34423.72</v>
      </c>
    </row>
    <row r="108" spans="1:12" hidden="1" outlineLevel="1" collapsed="1" x14ac:dyDescent="0.25">
      <c r="B108" t="s">
        <v>2173</v>
      </c>
      <c r="C108" t="s">
        <v>2174</v>
      </c>
      <c r="D108" s="453">
        <f>SUM(D105:D107)</f>
        <v>38774.26</v>
      </c>
      <c r="E108" s="453">
        <f>SUM(E105:E107)</f>
        <v>62466.090000000004</v>
      </c>
      <c r="F108" s="453">
        <f>SUM(F105:F107)</f>
        <v>73243.100000000006</v>
      </c>
      <c r="G108" s="453">
        <f>SUM(G105:G107)</f>
        <v>69683.399999999994</v>
      </c>
    </row>
    <row r="109" spans="1:12" hidden="1" outlineLevel="2" collapsed="1" x14ac:dyDescent="0.25">
      <c r="A109" s="452">
        <v>4800</v>
      </c>
      <c r="B109" t="s">
        <v>2175</v>
      </c>
      <c r="C109" t="s">
        <v>2176</v>
      </c>
      <c r="D109" s="453">
        <v>90975.55</v>
      </c>
      <c r="E109" s="453">
        <v>55560.79</v>
      </c>
      <c r="F109" s="453">
        <v>55405.43</v>
      </c>
      <c r="G109" s="453">
        <v>59746.21</v>
      </c>
    </row>
    <row r="110" spans="1:12" hidden="1" outlineLevel="2" collapsed="1" x14ac:dyDescent="0.25">
      <c r="A110" s="452">
        <v>4805</v>
      </c>
      <c r="B110" t="s">
        <v>2177</v>
      </c>
      <c r="C110" t="s">
        <v>2178</v>
      </c>
      <c r="D110" s="453">
        <v>67022.399999999994</v>
      </c>
      <c r="E110" s="453">
        <v>6617.58</v>
      </c>
      <c r="F110" s="453">
        <v>6634.9</v>
      </c>
      <c r="G110" s="453">
        <v>36669.120000000003</v>
      </c>
    </row>
    <row r="111" spans="1:12" hidden="1" outlineLevel="2" collapsed="1" x14ac:dyDescent="0.25">
      <c r="A111" s="452">
        <v>4806</v>
      </c>
      <c r="B111" t="s">
        <v>2179</v>
      </c>
      <c r="C111" t="s">
        <v>2180</v>
      </c>
      <c r="D111" s="453">
        <v>31575.73</v>
      </c>
      <c r="E111" s="453">
        <v>55313.66</v>
      </c>
      <c r="F111" s="453">
        <v>62241.16</v>
      </c>
      <c r="G111" s="453">
        <v>36897.480000000003</v>
      </c>
    </row>
    <row r="112" spans="1:12" hidden="1" outlineLevel="1" collapsed="1" x14ac:dyDescent="0.25">
      <c r="B112" t="s">
        <v>2181</v>
      </c>
      <c r="C112" t="s">
        <v>2182</v>
      </c>
      <c r="D112" s="453">
        <f>SUM(D109:D111)</f>
        <v>189573.68000000002</v>
      </c>
      <c r="E112" s="453">
        <f>SUM(E109:E111)</f>
        <v>117492.03</v>
      </c>
      <c r="F112" s="453">
        <f>SUM(F109:F111)</f>
        <v>124281.49</v>
      </c>
      <c r="G112" s="453">
        <f>SUM(G109:G111)</f>
        <v>133312.81</v>
      </c>
    </row>
    <row r="113" spans="1:7" hidden="1" outlineLevel="2" collapsed="1" x14ac:dyDescent="0.25">
      <c r="A113" s="452">
        <v>4520</v>
      </c>
      <c r="B113" t="s">
        <v>2183</v>
      </c>
      <c r="C113" t="s">
        <v>2184</v>
      </c>
      <c r="D113" s="453">
        <v>809.69</v>
      </c>
      <c r="E113" s="453">
        <v>970.29</v>
      </c>
      <c r="F113" s="453">
        <v>1163.22</v>
      </c>
      <c r="G113" s="453">
        <v>1236.47</v>
      </c>
    </row>
    <row r="114" spans="1:7" hidden="1" outlineLevel="2" collapsed="1" x14ac:dyDescent="0.25">
      <c r="A114" s="452">
        <v>4521</v>
      </c>
      <c r="B114" t="s">
        <v>2185</v>
      </c>
      <c r="C114" t="s">
        <v>2186</v>
      </c>
      <c r="D114" s="453">
        <v>1564.72</v>
      </c>
      <c r="E114" s="453">
        <v>804.1</v>
      </c>
    </row>
    <row r="115" spans="1:7" hidden="1" outlineLevel="2" collapsed="1" x14ac:dyDescent="0.25">
      <c r="A115" s="452">
        <v>4522</v>
      </c>
      <c r="B115" t="s">
        <v>2187</v>
      </c>
      <c r="C115" t="s">
        <v>2188</v>
      </c>
      <c r="D115" s="453">
        <v>1202.3499999999999</v>
      </c>
      <c r="E115" s="453">
        <v>1195.3499999999999</v>
      </c>
      <c r="F115" s="453">
        <v>2612.5100000000002</v>
      </c>
      <c r="G115" s="453">
        <v>3534.81</v>
      </c>
    </row>
    <row r="116" spans="1:7" hidden="1" outlineLevel="2" collapsed="1" x14ac:dyDescent="0.25">
      <c r="A116" s="452">
        <v>4523</v>
      </c>
      <c r="B116" t="s">
        <v>2189</v>
      </c>
      <c r="C116" t="s">
        <v>2190</v>
      </c>
      <c r="D116" s="453">
        <v>1595.71</v>
      </c>
      <c r="E116" s="453">
        <v>1529.2</v>
      </c>
      <c r="F116" s="453">
        <v>1276.8699999999999</v>
      </c>
      <c r="G116" s="453">
        <v>2157.6999999999998</v>
      </c>
    </row>
    <row r="117" spans="1:7" hidden="1" outlineLevel="2" collapsed="1" x14ac:dyDescent="0.25">
      <c r="A117" s="452">
        <v>4524</v>
      </c>
      <c r="B117" t="s">
        <v>2191</v>
      </c>
      <c r="C117" t="s">
        <v>2192</v>
      </c>
      <c r="D117" s="453">
        <v>1584.76</v>
      </c>
      <c r="E117" s="453">
        <v>3499.9</v>
      </c>
      <c r="F117" s="453">
        <v>2819.28</v>
      </c>
      <c r="G117" s="453">
        <v>2666.76</v>
      </c>
    </row>
    <row r="118" spans="1:7" hidden="1" outlineLevel="2" collapsed="1" x14ac:dyDescent="0.25">
      <c r="A118" s="452">
        <v>4525</v>
      </c>
      <c r="B118" t="s">
        <v>2193</v>
      </c>
      <c r="C118" t="s">
        <v>2194</v>
      </c>
      <c r="D118" s="453">
        <v>1860.57</v>
      </c>
      <c r="E118" s="453">
        <v>1898.7</v>
      </c>
      <c r="F118" s="453">
        <v>920.98</v>
      </c>
      <c r="G118" s="453">
        <v>1575.71</v>
      </c>
    </row>
    <row r="119" spans="1:7" hidden="1" outlineLevel="2" collapsed="1" x14ac:dyDescent="0.25">
      <c r="A119" s="452">
        <v>4526</v>
      </c>
      <c r="B119" t="s">
        <v>2195</v>
      </c>
      <c r="C119" t="s">
        <v>2196</v>
      </c>
      <c r="D119" s="453">
        <v>4588.7</v>
      </c>
      <c r="E119" s="453">
        <v>4471.1000000000004</v>
      </c>
      <c r="F119" s="453">
        <v>3996.94</v>
      </c>
      <c r="G119" s="453">
        <v>4041.56</v>
      </c>
    </row>
    <row r="120" spans="1:7" hidden="1" outlineLevel="2" collapsed="1" x14ac:dyDescent="0.25">
      <c r="A120" s="452">
        <v>4527</v>
      </c>
      <c r="B120" t="s">
        <v>2197</v>
      </c>
      <c r="C120" t="s">
        <v>2198</v>
      </c>
      <c r="D120" s="453">
        <v>1719.12</v>
      </c>
      <c r="E120" s="453">
        <v>1647.94</v>
      </c>
      <c r="F120" s="453">
        <v>2199.46</v>
      </c>
      <c r="G120" s="453">
        <v>2424.81</v>
      </c>
    </row>
    <row r="121" spans="1:7" hidden="1" outlineLevel="2" collapsed="1" x14ac:dyDescent="0.25">
      <c r="A121" s="452">
        <v>4528</v>
      </c>
      <c r="B121" t="s">
        <v>2199</v>
      </c>
      <c r="C121" t="s">
        <v>2200</v>
      </c>
      <c r="D121" s="453">
        <v>2222.4</v>
      </c>
      <c r="E121" s="453">
        <v>2229.46</v>
      </c>
      <c r="F121" s="453">
        <v>1253.29</v>
      </c>
      <c r="G121" s="453">
        <v>1968</v>
      </c>
    </row>
    <row r="122" spans="1:7" hidden="1" outlineLevel="2" collapsed="1" x14ac:dyDescent="0.25">
      <c r="A122" s="452">
        <v>4529</v>
      </c>
      <c r="B122" t="s">
        <v>2201</v>
      </c>
      <c r="C122" t="s">
        <v>2202</v>
      </c>
      <c r="D122" s="453">
        <v>1289.51</v>
      </c>
      <c r="E122" s="453">
        <v>1242.78</v>
      </c>
      <c r="F122" s="453">
        <v>222.4</v>
      </c>
      <c r="G122" s="453">
        <v>661.4</v>
      </c>
    </row>
    <row r="123" spans="1:7" hidden="1" outlineLevel="2" collapsed="1" x14ac:dyDescent="0.25">
      <c r="A123" s="452">
        <v>4530</v>
      </c>
      <c r="B123" t="s">
        <v>2203</v>
      </c>
      <c r="C123" t="s">
        <v>2204</v>
      </c>
      <c r="D123" s="453">
        <v>2164.46</v>
      </c>
      <c r="E123" s="453">
        <v>3440.27</v>
      </c>
      <c r="F123" s="453">
        <v>2174.3200000000002</v>
      </c>
      <c r="G123" s="453">
        <v>663.18</v>
      </c>
    </row>
    <row r="124" spans="1:7" hidden="1" outlineLevel="2" collapsed="1" x14ac:dyDescent="0.25">
      <c r="A124" s="452">
        <v>4531</v>
      </c>
      <c r="B124" t="s">
        <v>2205</v>
      </c>
      <c r="C124" t="s">
        <v>2206</v>
      </c>
      <c r="D124" s="453">
        <v>170.97</v>
      </c>
      <c r="E124" s="453">
        <v>176.38</v>
      </c>
    </row>
    <row r="125" spans="1:7" hidden="1" outlineLevel="2" collapsed="1" x14ac:dyDescent="0.25">
      <c r="A125" s="452">
        <v>4532</v>
      </c>
      <c r="B125" t="s">
        <v>2207</v>
      </c>
      <c r="C125" t="s">
        <v>2208</v>
      </c>
      <c r="D125" s="453">
        <v>2479.29</v>
      </c>
      <c r="E125" s="453">
        <v>3451.59</v>
      </c>
      <c r="F125" s="453">
        <v>3175.21</v>
      </c>
      <c r="G125" s="453">
        <v>2032.09</v>
      </c>
    </row>
    <row r="126" spans="1:7" hidden="1" outlineLevel="2" collapsed="1" x14ac:dyDescent="0.25">
      <c r="A126" s="452">
        <v>4533</v>
      </c>
      <c r="B126" t="s">
        <v>2209</v>
      </c>
      <c r="C126" t="s">
        <v>2210</v>
      </c>
      <c r="D126" s="453">
        <v>6135.98</v>
      </c>
      <c r="E126" s="453">
        <v>9742.5400000000009</v>
      </c>
      <c r="F126" s="453">
        <v>4995.33</v>
      </c>
      <c r="G126" s="453">
        <v>7361.81</v>
      </c>
    </row>
    <row r="127" spans="1:7" hidden="1" outlineLevel="2" collapsed="1" x14ac:dyDescent="0.25">
      <c r="A127" s="452">
        <v>4534</v>
      </c>
      <c r="B127" t="s">
        <v>2211</v>
      </c>
      <c r="C127" t="s">
        <v>2212</v>
      </c>
      <c r="D127" s="453">
        <v>5911.75</v>
      </c>
      <c r="E127" s="453">
        <v>14449.56</v>
      </c>
      <c r="F127" s="453">
        <v>6585.3</v>
      </c>
      <c r="G127" s="453">
        <v>10298.84</v>
      </c>
    </row>
    <row r="128" spans="1:7" hidden="1" outlineLevel="2" collapsed="1" x14ac:dyDescent="0.25">
      <c r="A128" s="452">
        <v>4535</v>
      </c>
      <c r="B128" t="s">
        <v>2213</v>
      </c>
      <c r="C128" t="s">
        <v>2214</v>
      </c>
      <c r="D128" s="453">
        <v>1016.01</v>
      </c>
      <c r="E128" s="453">
        <v>1641.31</v>
      </c>
      <c r="F128" s="453">
        <v>1452.5</v>
      </c>
      <c r="G128" s="453">
        <v>3859.3</v>
      </c>
    </row>
    <row r="129" spans="1:7" hidden="1" outlineLevel="2" collapsed="1" x14ac:dyDescent="0.25">
      <c r="A129" s="452">
        <v>4536</v>
      </c>
      <c r="B129" t="s">
        <v>2215</v>
      </c>
      <c r="C129" t="s">
        <v>2216</v>
      </c>
      <c r="D129" s="453">
        <v>3864.31</v>
      </c>
      <c r="E129" s="453">
        <v>5951.61</v>
      </c>
      <c r="F129" s="453">
        <v>4235.25</v>
      </c>
      <c r="G129" s="453">
        <v>4354.3</v>
      </c>
    </row>
    <row r="130" spans="1:7" hidden="1" outlineLevel="2" collapsed="1" x14ac:dyDescent="0.25">
      <c r="A130" s="452">
        <v>4537</v>
      </c>
      <c r="B130" t="s">
        <v>2217</v>
      </c>
      <c r="C130" t="s">
        <v>2218</v>
      </c>
      <c r="D130" s="453">
        <v>5070.26</v>
      </c>
      <c r="E130" s="453">
        <v>3569.72</v>
      </c>
      <c r="F130" s="453">
        <v>11120.56</v>
      </c>
      <c r="G130" s="453">
        <v>7956.52</v>
      </c>
    </row>
    <row r="131" spans="1:7" hidden="1" outlineLevel="2" collapsed="1" x14ac:dyDescent="0.25">
      <c r="A131" s="452">
        <v>4538</v>
      </c>
      <c r="B131" t="s">
        <v>2219</v>
      </c>
      <c r="C131" t="s">
        <v>2220</v>
      </c>
      <c r="D131" s="453">
        <v>1069.8900000000001</v>
      </c>
      <c r="E131" s="453">
        <v>175.74</v>
      </c>
      <c r="F131" s="453">
        <v>4715.79</v>
      </c>
      <c r="G131" s="453">
        <v>7079.6</v>
      </c>
    </row>
    <row r="132" spans="1:7" hidden="1" outlineLevel="2" collapsed="1" x14ac:dyDescent="0.25">
      <c r="A132" s="452">
        <v>4539</v>
      </c>
      <c r="B132" t="s">
        <v>2221</v>
      </c>
      <c r="C132" t="s">
        <v>2222</v>
      </c>
      <c r="D132" s="453">
        <v>3020.69</v>
      </c>
      <c r="E132" s="453">
        <v>4639.8599999999997</v>
      </c>
    </row>
    <row r="133" spans="1:7" hidden="1" outlineLevel="2" collapsed="1" x14ac:dyDescent="0.25">
      <c r="A133" s="452">
        <v>4540</v>
      </c>
      <c r="B133" t="s">
        <v>2223</v>
      </c>
      <c r="C133" t="s">
        <v>2224</v>
      </c>
      <c r="D133" s="453">
        <v>7662.96</v>
      </c>
      <c r="E133" s="453">
        <v>1174.32</v>
      </c>
      <c r="F133" s="453">
        <v>2738.31</v>
      </c>
      <c r="G133" s="453">
        <v>3345.83</v>
      </c>
    </row>
    <row r="134" spans="1:7" hidden="1" outlineLevel="2" collapsed="1" x14ac:dyDescent="0.25">
      <c r="A134" s="452">
        <v>4541</v>
      </c>
      <c r="B134" t="s">
        <v>2225</v>
      </c>
      <c r="C134" t="s">
        <v>2226</v>
      </c>
      <c r="D134" s="453">
        <v>1801.59</v>
      </c>
      <c r="E134" s="453">
        <v>1336.6</v>
      </c>
    </row>
    <row r="135" spans="1:7" hidden="1" outlineLevel="2" collapsed="1" x14ac:dyDescent="0.25">
      <c r="A135" s="452">
        <v>4542</v>
      </c>
      <c r="B135" t="s">
        <v>2227</v>
      </c>
      <c r="C135" t="s">
        <v>2228</v>
      </c>
      <c r="D135" s="453">
        <v>1248.54</v>
      </c>
      <c r="E135" s="453">
        <v>3176.65</v>
      </c>
      <c r="F135" s="453">
        <v>2477.13</v>
      </c>
      <c r="G135" s="453">
        <v>3369.76</v>
      </c>
    </row>
    <row r="136" spans="1:7" hidden="1" outlineLevel="2" collapsed="1" x14ac:dyDescent="0.25">
      <c r="A136" s="452">
        <v>4543</v>
      </c>
      <c r="B136" t="s">
        <v>2229</v>
      </c>
      <c r="C136" t="s">
        <v>2230</v>
      </c>
      <c r="D136" s="453">
        <v>1068.47</v>
      </c>
      <c r="E136" s="453">
        <v>2999.89</v>
      </c>
      <c r="F136" s="453">
        <v>3815.8</v>
      </c>
      <c r="G136" s="453">
        <v>3942.67</v>
      </c>
    </row>
    <row r="137" spans="1:7" hidden="1" outlineLevel="2" collapsed="1" x14ac:dyDescent="0.25">
      <c r="A137" s="452">
        <v>4544</v>
      </c>
      <c r="B137" t="s">
        <v>2231</v>
      </c>
      <c r="C137" t="s">
        <v>2232</v>
      </c>
      <c r="D137" s="453">
        <v>6009.2</v>
      </c>
      <c r="E137" s="453">
        <v>9102.9</v>
      </c>
      <c r="F137" s="453">
        <v>4780.91</v>
      </c>
      <c r="G137" s="453">
        <v>4879.63</v>
      </c>
    </row>
    <row r="138" spans="1:7" hidden="1" outlineLevel="2" collapsed="1" x14ac:dyDescent="0.25">
      <c r="A138" s="452">
        <v>4545</v>
      </c>
      <c r="B138" t="s">
        <v>2233</v>
      </c>
      <c r="C138" t="s">
        <v>2234</v>
      </c>
      <c r="D138" s="453">
        <v>1600.53</v>
      </c>
      <c r="E138" s="453">
        <v>532.03</v>
      </c>
      <c r="F138" s="453">
        <v>563.85</v>
      </c>
      <c r="G138" s="453">
        <v>3714.45</v>
      </c>
    </row>
    <row r="139" spans="1:7" hidden="1" outlineLevel="2" collapsed="1" x14ac:dyDescent="0.25">
      <c r="A139" s="452">
        <v>4546</v>
      </c>
      <c r="B139" t="s">
        <v>2235</v>
      </c>
      <c r="C139" t="s">
        <v>2236</v>
      </c>
      <c r="D139" s="453">
        <v>2344.19</v>
      </c>
      <c r="E139" s="453">
        <v>2130.58</v>
      </c>
      <c r="F139" s="453">
        <v>3351.13</v>
      </c>
      <c r="G139" s="453">
        <v>5684.87</v>
      </c>
    </row>
    <row r="140" spans="1:7" hidden="1" outlineLevel="2" collapsed="1" x14ac:dyDescent="0.25">
      <c r="A140" s="452">
        <v>4547</v>
      </c>
      <c r="B140" t="s">
        <v>2237</v>
      </c>
      <c r="C140" t="s">
        <v>2238</v>
      </c>
      <c r="D140" s="453">
        <v>2949.5</v>
      </c>
      <c r="E140" s="453">
        <v>1025.0999999999999</v>
      </c>
      <c r="F140" s="453">
        <v>7572.07</v>
      </c>
      <c r="G140" s="453">
        <v>2653.69</v>
      </c>
    </row>
    <row r="141" spans="1:7" hidden="1" outlineLevel="2" collapsed="1" x14ac:dyDescent="0.25">
      <c r="A141" s="452">
        <v>4548</v>
      </c>
      <c r="B141" t="s">
        <v>2239</v>
      </c>
      <c r="C141" t="s">
        <v>2240</v>
      </c>
      <c r="D141" s="453">
        <v>5509.63</v>
      </c>
      <c r="E141" s="453">
        <v>16.809999999999999</v>
      </c>
      <c r="F141" s="453">
        <v>3282.4</v>
      </c>
      <c r="G141" s="453">
        <v>4788.5</v>
      </c>
    </row>
    <row r="142" spans="1:7" hidden="1" outlineLevel="2" collapsed="1" x14ac:dyDescent="0.25">
      <c r="A142" s="452">
        <v>4549</v>
      </c>
      <c r="B142" t="s">
        <v>2241</v>
      </c>
      <c r="C142" t="s">
        <v>2242</v>
      </c>
      <c r="D142" s="453">
        <v>408.05</v>
      </c>
      <c r="E142" s="453">
        <v>121.67</v>
      </c>
      <c r="F142" s="453">
        <v>64</v>
      </c>
      <c r="G142" s="453">
        <v>184</v>
      </c>
    </row>
    <row r="143" spans="1:7" hidden="1" outlineLevel="2" collapsed="1" x14ac:dyDescent="0.25">
      <c r="A143" s="452">
        <v>4570</v>
      </c>
      <c r="B143" t="s">
        <v>2243</v>
      </c>
      <c r="C143" t="s">
        <v>2244</v>
      </c>
      <c r="D143" s="453">
        <v>7112.09</v>
      </c>
      <c r="E143" s="453">
        <v>7163.16</v>
      </c>
      <c r="F143" s="453">
        <v>7163.16</v>
      </c>
      <c r="G143" s="453">
        <v>11643.09</v>
      </c>
    </row>
    <row r="144" spans="1:7" hidden="1" outlineLevel="2" collapsed="1" x14ac:dyDescent="0.25">
      <c r="A144" s="452">
        <v>4571</v>
      </c>
      <c r="B144" t="s">
        <v>2245</v>
      </c>
      <c r="C144" t="s">
        <v>2246</v>
      </c>
      <c r="D144" s="453">
        <v>10478.07</v>
      </c>
      <c r="E144" s="453">
        <v>5986.67</v>
      </c>
    </row>
    <row r="145" spans="1:7" hidden="1" outlineLevel="2" collapsed="1" x14ac:dyDescent="0.25">
      <c r="A145" s="452">
        <v>4572</v>
      </c>
      <c r="B145" t="s">
        <v>2247</v>
      </c>
      <c r="C145" t="s">
        <v>2248</v>
      </c>
      <c r="D145" s="453">
        <v>8416.2000000000007</v>
      </c>
      <c r="E145" s="453">
        <v>8416.2000000000007</v>
      </c>
      <c r="F145" s="453">
        <v>17911.990000000002</v>
      </c>
      <c r="G145" s="453">
        <v>23535.91</v>
      </c>
    </row>
    <row r="146" spans="1:7" hidden="1" outlineLevel="2" collapsed="1" x14ac:dyDescent="0.25">
      <c r="A146" s="452">
        <v>4573</v>
      </c>
      <c r="B146" t="s">
        <v>2249</v>
      </c>
      <c r="C146" t="s">
        <v>2250</v>
      </c>
      <c r="D146" s="453">
        <v>6696</v>
      </c>
      <c r="E146" s="453">
        <v>6696</v>
      </c>
      <c r="F146" s="453">
        <v>12340.07</v>
      </c>
      <c r="G146" s="453">
        <v>14346.92</v>
      </c>
    </row>
    <row r="147" spans="1:7" hidden="1" outlineLevel="2" collapsed="1" x14ac:dyDescent="0.25">
      <c r="A147" s="452">
        <v>4574</v>
      </c>
      <c r="B147" t="s">
        <v>2251</v>
      </c>
      <c r="C147" t="s">
        <v>2252</v>
      </c>
      <c r="D147" s="453">
        <v>6900</v>
      </c>
      <c r="E147" s="453">
        <v>13209.92</v>
      </c>
      <c r="F147" s="453">
        <v>14087.88</v>
      </c>
      <c r="G147" s="453">
        <v>14087.88</v>
      </c>
    </row>
    <row r="148" spans="1:7" hidden="1" outlineLevel="2" collapsed="1" x14ac:dyDescent="0.25">
      <c r="A148" s="452">
        <v>4575</v>
      </c>
      <c r="B148" t="s">
        <v>2253</v>
      </c>
      <c r="C148" t="s">
        <v>2254</v>
      </c>
      <c r="D148" s="453">
        <v>4921.37</v>
      </c>
      <c r="E148" s="453">
        <v>6396</v>
      </c>
      <c r="F148" s="453">
        <v>6396</v>
      </c>
      <c r="G148" s="453">
        <v>13325.3</v>
      </c>
    </row>
    <row r="149" spans="1:7" hidden="1" outlineLevel="2" collapsed="1" x14ac:dyDescent="0.25">
      <c r="A149" s="452">
        <v>4576</v>
      </c>
      <c r="B149" t="s">
        <v>2255</v>
      </c>
      <c r="C149" t="s">
        <v>2256</v>
      </c>
      <c r="D149" s="453">
        <v>19441.669999999998</v>
      </c>
      <c r="E149" s="453">
        <v>21654.89</v>
      </c>
      <c r="F149" s="453">
        <v>17669.14</v>
      </c>
      <c r="G149" s="453">
        <v>23024.68</v>
      </c>
    </row>
    <row r="150" spans="1:7" hidden="1" outlineLevel="2" collapsed="1" x14ac:dyDescent="0.25">
      <c r="A150" s="452">
        <v>4577</v>
      </c>
      <c r="B150" t="s">
        <v>2257</v>
      </c>
      <c r="C150" t="s">
        <v>2258</v>
      </c>
      <c r="D150" s="453">
        <v>9303.8700000000008</v>
      </c>
      <c r="E150" s="453">
        <v>6288</v>
      </c>
      <c r="F150" s="453">
        <v>12996</v>
      </c>
      <c r="G150" s="453">
        <v>18297.189999999999</v>
      </c>
    </row>
    <row r="151" spans="1:7" hidden="1" outlineLevel="2" collapsed="1" x14ac:dyDescent="0.25">
      <c r="A151" s="452">
        <v>4578</v>
      </c>
      <c r="B151" t="s">
        <v>2259</v>
      </c>
      <c r="C151" t="s">
        <v>2260</v>
      </c>
      <c r="D151" s="453">
        <v>7150.25</v>
      </c>
      <c r="E151" s="453">
        <v>8493.6</v>
      </c>
      <c r="F151" s="453">
        <v>9946.56</v>
      </c>
      <c r="G151" s="453">
        <v>14367.84</v>
      </c>
    </row>
    <row r="152" spans="1:7" hidden="1" outlineLevel="2" collapsed="1" x14ac:dyDescent="0.25">
      <c r="A152" s="452">
        <v>4579</v>
      </c>
      <c r="B152" t="s">
        <v>2261</v>
      </c>
      <c r="C152" t="s">
        <v>2261</v>
      </c>
      <c r="D152" s="453">
        <v>6708</v>
      </c>
      <c r="E152" s="453">
        <v>6708</v>
      </c>
      <c r="F152" s="453">
        <v>1699.92</v>
      </c>
      <c r="G152" s="453">
        <v>5210.3599999999997</v>
      </c>
    </row>
    <row r="153" spans="1:7" hidden="1" outlineLevel="2" collapsed="1" x14ac:dyDescent="0.25">
      <c r="A153" s="452">
        <v>4580</v>
      </c>
      <c r="B153" t="s">
        <v>2262</v>
      </c>
      <c r="C153" t="s">
        <v>2263</v>
      </c>
      <c r="D153" s="453">
        <v>876.97</v>
      </c>
      <c r="E153" s="453">
        <v>221.26</v>
      </c>
      <c r="F153" s="453">
        <v>90.07</v>
      </c>
      <c r="G153" s="453">
        <v>2656.31</v>
      </c>
    </row>
    <row r="154" spans="1:7" hidden="1" outlineLevel="2" collapsed="1" x14ac:dyDescent="0.25">
      <c r="A154" s="452">
        <v>4581</v>
      </c>
      <c r="B154" t="s">
        <v>2264</v>
      </c>
      <c r="C154" t="s">
        <v>2265</v>
      </c>
      <c r="D154" s="453">
        <v>96</v>
      </c>
      <c r="E154" s="453">
        <v>96</v>
      </c>
    </row>
    <row r="155" spans="1:7" hidden="1" outlineLevel="2" collapsed="1" x14ac:dyDescent="0.25">
      <c r="A155" s="452">
        <v>4582</v>
      </c>
      <c r="B155" t="s">
        <v>2266</v>
      </c>
      <c r="C155" t="s">
        <v>2267</v>
      </c>
      <c r="D155" s="453">
        <v>25.96</v>
      </c>
      <c r="E155" s="453">
        <v>435.35</v>
      </c>
      <c r="F155" s="453">
        <v>471.34</v>
      </c>
      <c r="G155" s="453">
        <v>428.13</v>
      </c>
    </row>
    <row r="156" spans="1:7" hidden="1" outlineLevel="2" collapsed="1" x14ac:dyDescent="0.25">
      <c r="A156" s="452">
        <v>4583</v>
      </c>
      <c r="B156" t="s">
        <v>2268</v>
      </c>
      <c r="C156" t="s">
        <v>2269</v>
      </c>
      <c r="D156" s="453">
        <v>191.53</v>
      </c>
      <c r="E156" s="453">
        <v>561.07000000000005</v>
      </c>
      <c r="F156" s="453">
        <v>1777.08</v>
      </c>
      <c r="G156" s="453">
        <v>709.9</v>
      </c>
    </row>
    <row r="157" spans="1:7" hidden="1" outlineLevel="2" collapsed="1" x14ac:dyDescent="0.25">
      <c r="A157" s="452">
        <v>4584</v>
      </c>
      <c r="B157" t="s">
        <v>2270</v>
      </c>
      <c r="C157" t="s">
        <v>2271</v>
      </c>
      <c r="D157" s="453">
        <v>180.79</v>
      </c>
      <c r="E157" s="453">
        <v>2494.71</v>
      </c>
      <c r="F157" s="453">
        <v>447.2</v>
      </c>
      <c r="G157" s="453">
        <v>427.44</v>
      </c>
    </row>
    <row r="158" spans="1:7" hidden="1" outlineLevel="2" collapsed="1" x14ac:dyDescent="0.25">
      <c r="A158" s="452">
        <v>4585</v>
      </c>
      <c r="B158" t="s">
        <v>2272</v>
      </c>
      <c r="C158" t="s">
        <v>2273</v>
      </c>
      <c r="D158" s="453">
        <v>1119.93</v>
      </c>
      <c r="E158" s="453">
        <v>34.04</v>
      </c>
      <c r="F158" s="453">
        <v>344.56</v>
      </c>
      <c r="G158" s="453">
        <v>1436.42</v>
      </c>
    </row>
    <row r="159" spans="1:7" hidden="1" outlineLevel="2" collapsed="1" x14ac:dyDescent="0.25">
      <c r="A159" s="452">
        <v>4586</v>
      </c>
      <c r="B159" t="s">
        <v>2274</v>
      </c>
      <c r="C159" t="s">
        <v>2275</v>
      </c>
      <c r="D159" s="453">
        <v>238.21</v>
      </c>
      <c r="E159" s="453">
        <v>531.21</v>
      </c>
      <c r="F159" s="453">
        <v>1197.54</v>
      </c>
      <c r="G159" s="453">
        <v>1496.04</v>
      </c>
    </row>
    <row r="160" spans="1:7" hidden="1" outlineLevel="2" collapsed="1" x14ac:dyDescent="0.25">
      <c r="A160" s="452">
        <v>4587</v>
      </c>
      <c r="B160" t="s">
        <v>2276</v>
      </c>
      <c r="C160" t="s">
        <v>2277</v>
      </c>
      <c r="D160" s="453">
        <v>1098.08</v>
      </c>
      <c r="E160" s="453">
        <v>209.82</v>
      </c>
      <c r="F160" s="453">
        <v>627.79999999999995</v>
      </c>
      <c r="G160" s="453">
        <v>2597.73</v>
      </c>
    </row>
    <row r="161" spans="1:9" hidden="1" outlineLevel="2" collapsed="1" x14ac:dyDescent="0.25">
      <c r="A161" s="452">
        <v>4588</v>
      </c>
      <c r="B161" t="s">
        <v>2278</v>
      </c>
      <c r="C161" t="s">
        <v>2279</v>
      </c>
      <c r="D161" s="453">
        <v>277.38</v>
      </c>
      <c r="F161" s="453">
        <v>4490.04</v>
      </c>
      <c r="G161" s="453">
        <v>668.38</v>
      </c>
    </row>
    <row r="162" spans="1:9" hidden="1" outlineLevel="2" collapsed="1" x14ac:dyDescent="0.25">
      <c r="A162" s="452">
        <v>4589</v>
      </c>
      <c r="B162" t="s">
        <v>2280</v>
      </c>
      <c r="C162" t="s">
        <v>2281</v>
      </c>
      <c r="D162" s="453">
        <v>244.05</v>
      </c>
      <c r="E162" s="453">
        <v>217.34</v>
      </c>
    </row>
    <row r="163" spans="1:9" hidden="1" outlineLevel="2" collapsed="1" x14ac:dyDescent="0.25">
      <c r="A163" s="452">
        <v>4595</v>
      </c>
      <c r="B163" t="s">
        <v>2282</v>
      </c>
      <c r="C163" t="s">
        <v>2283</v>
      </c>
      <c r="D163" s="453">
        <v>1106.93</v>
      </c>
      <c r="E163" s="453">
        <v>510.34</v>
      </c>
      <c r="F163" s="453">
        <v>1446.92</v>
      </c>
      <c r="G163" s="453">
        <v>1366.03</v>
      </c>
    </row>
    <row r="164" spans="1:9" hidden="1" outlineLevel="1" collapsed="1" x14ac:dyDescent="0.25">
      <c r="B164" t="s">
        <v>2284</v>
      </c>
      <c r="C164" t="s">
        <v>2285</v>
      </c>
      <c r="D164" s="453">
        <f>SUM(D113:D163)</f>
        <v>172527.14999999994</v>
      </c>
      <c r="E164" s="453">
        <f>SUM(E113:E163)</f>
        <v>184667.53</v>
      </c>
      <c r="F164" s="453">
        <f>SUM(F113:F163)</f>
        <v>194668.08000000002</v>
      </c>
      <c r="G164" s="453">
        <f>SUM(G113:G163)</f>
        <v>246061.81</v>
      </c>
    </row>
    <row r="165" spans="1:9" hidden="1" outlineLevel="2" collapsed="1" x14ac:dyDescent="0.25">
      <c r="A165" s="452">
        <v>4600</v>
      </c>
      <c r="B165" t="s">
        <v>2286</v>
      </c>
      <c r="C165" t="s">
        <v>2287</v>
      </c>
      <c r="D165" s="453">
        <v>40394.68</v>
      </c>
      <c r="E165" s="453">
        <v>48611.39</v>
      </c>
      <c r="F165" s="453">
        <v>18036.669999999998</v>
      </c>
      <c r="G165" s="453">
        <v>14088.81</v>
      </c>
    </row>
    <row r="166" spans="1:9" hidden="1" outlineLevel="2" collapsed="1" x14ac:dyDescent="0.25">
      <c r="A166" s="452">
        <v>4605</v>
      </c>
      <c r="B166" t="s">
        <v>2288</v>
      </c>
      <c r="C166" t="s">
        <v>2289</v>
      </c>
      <c r="D166" s="453">
        <v>2475.11</v>
      </c>
      <c r="E166" s="453">
        <v>3250.37</v>
      </c>
      <c r="F166" s="453">
        <v>6374.38</v>
      </c>
      <c r="G166" s="453">
        <v>3645.53</v>
      </c>
    </row>
    <row r="167" spans="1:9" hidden="1" outlineLevel="2" collapsed="1" x14ac:dyDescent="0.25">
      <c r="A167" s="452">
        <v>4620</v>
      </c>
      <c r="B167" t="s">
        <v>2290</v>
      </c>
      <c r="C167" t="s">
        <v>2291</v>
      </c>
      <c r="D167" s="453">
        <v>6707.32</v>
      </c>
      <c r="E167" s="453">
        <v>32814.11</v>
      </c>
      <c r="F167" s="453">
        <v>41300.910000000003</v>
      </c>
      <c r="G167" s="453">
        <v>46948.17</v>
      </c>
    </row>
    <row r="168" spans="1:9" hidden="1" outlineLevel="2" collapsed="1" x14ac:dyDescent="0.25">
      <c r="A168" s="452">
        <v>4631</v>
      </c>
      <c r="B168" t="s">
        <v>2292</v>
      </c>
      <c r="C168" t="s">
        <v>2293</v>
      </c>
      <c r="D168" s="453">
        <v>6378.83</v>
      </c>
      <c r="E168" s="453">
        <v>10488.35</v>
      </c>
      <c r="F168" s="453">
        <v>7329.05</v>
      </c>
      <c r="G168" s="453">
        <v>16627.61</v>
      </c>
    </row>
    <row r="169" spans="1:9" hidden="1" outlineLevel="2" collapsed="1" x14ac:dyDescent="0.25">
      <c r="A169" s="452">
        <v>4632</v>
      </c>
      <c r="B169" t="s">
        <v>2294</v>
      </c>
      <c r="C169" t="s">
        <v>2295</v>
      </c>
      <c r="D169" s="453">
        <v>2408.1999999999998</v>
      </c>
      <c r="E169" s="453">
        <v>3787.2</v>
      </c>
      <c r="F169" s="453">
        <v>2727.37</v>
      </c>
      <c r="G169" s="453">
        <v>6250.84</v>
      </c>
    </row>
    <row r="170" spans="1:9" hidden="1" outlineLevel="2" collapsed="1" x14ac:dyDescent="0.25">
      <c r="A170" s="452">
        <v>4640</v>
      </c>
      <c r="B170" t="s">
        <v>2296</v>
      </c>
      <c r="C170" t="s">
        <v>2297</v>
      </c>
      <c r="D170" s="453">
        <v>5470.12</v>
      </c>
      <c r="E170" s="453">
        <v>3656.81</v>
      </c>
      <c r="F170" s="453">
        <v>7368.39</v>
      </c>
      <c r="G170" s="453">
        <v>13928.72</v>
      </c>
    </row>
    <row r="171" spans="1:9" hidden="1" outlineLevel="2" collapsed="1" x14ac:dyDescent="0.25">
      <c r="A171" s="452">
        <v>4641</v>
      </c>
      <c r="B171" t="s">
        <v>2298</v>
      </c>
      <c r="C171" t="s">
        <v>2299</v>
      </c>
      <c r="F171" s="453">
        <v>32306.75</v>
      </c>
      <c r="I171" t="s">
        <v>2481</v>
      </c>
    </row>
    <row r="172" spans="1:9" hidden="1" outlineLevel="2" collapsed="1" x14ac:dyDescent="0.25">
      <c r="A172" s="452">
        <v>4650</v>
      </c>
      <c r="B172" t="s">
        <v>2300</v>
      </c>
      <c r="C172" t="s">
        <v>2301</v>
      </c>
      <c r="D172" s="453">
        <v>836.38</v>
      </c>
      <c r="E172" s="453">
        <v>1320.14</v>
      </c>
      <c r="F172" s="453">
        <v>2743.2</v>
      </c>
      <c r="G172" s="453">
        <v>2737.35</v>
      </c>
    </row>
    <row r="173" spans="1:9" hidden="1" outlineLevel="2" collapsed="1" x14ac:dyDescent="0.25">
      <c r="A173" s="452">
        <v>4654</v>
      </c>
      <c r="B173" t="s">
        <v>2302</v>
      </c>
      <c r="C173" t="s">
        <v>2303</v>
      </c>
      <c r="D173" s="453">
        <v>358.45</v>
      </c>
      <c r="E173" s="453">
        <v>565.77</v>
      </c>
      <c r="F173" s="453">
        <v>1175.72</v>
      </c>
      <c r="G173" s="453">
        <v>1173.1600000000001</v>
      </c>
    </row>
    <row r="174" spans="1:9" hidden="1" outlineLevel="2" collapsed="1" x14ac:dyDescent="0.25">
      <c r="A174" s="452">
        <v>4663</v>
      </c>
      <c r="B174" t="s">
        <v>2304</v>
      </c>
      <c r="C174" t="s">
        <v>2305</v>
      </c>
      <c r="D174" s="453">
        <v>3381.08</v>
      </c>
      <c r="E174" s="453">
        <v>5467.69</v>
      </c>
      <c r="F174" s="453">
        <v>8772.5300000000007</v>
      </c>
      <c r="G174" s="453">
        <v>7620.74</v>
      </c>
    </row>
    <row r="175" spans="1:9" hidden="1" outlineLevel="2" collapsed="1" x14ac:dyDescent="0.25">
      <c r="A175" s="452">
        <v>4664</v>
      </c>
      <c r="B175" t="s">
        <v>2306</v>
      </c>
      <c r="C175" t="s">
        <v>2307</v>
      </c>
      <c r="D175" s="453">
        <v>7028.9</v>
      </c>
      <c r="E175" s="453">
        <v>10343.799999999999</v>
      </c>
      <c r="F175" s="453">
        <v>7788.6</v>
      </c>
      <c r="G175" s="453">
        <v>13134.6</v>
      </c>
    </row>
    <row r="176" spans="1:9" hidden="1" outlineLevel="2" collapsed="1" x14ac:dyDescent="0.25">
      <c r="A176" s="452">
        <v>4666</v>
      </c>
      <c r="B176" t="s">
        <v>2308</v>
      </c>
      <c r="C176" t="s">
        <v>2309</v>
      </c>
      <c r="D176" s="453">
        <v>7997.47</v>
      </c>
      <c r="E176" s="453">
        <v>19320.37</v>
      </c>
      <c r="F176" s="453">
        <v>38756.17</v>
      </c>
      <c r="G176" s="453">
        <v>27341.48</v>
      </c>
    </row>
    <row r="177" spans="1:7" hidden="1" outlineLevel="2" collapsed="1" x14ac:dyDescent="0.25">
      <c r="A177" s="452">
        <v>4668</v>
      </c>
      <c r="B177" t="s">
        <v>2310</v>
      </c>
      <c r="C177" t="s">
        <v>2311</v>
      </c>
      <c r="D177" s="453">
        <v>1512.12</v>
      </c>
      <c r="E177" s="453">
        <v>1225.26</v>
      </c>
      <c r="F177" s="453">
        <v>2740.2</v>
      </c>
      <c r="G177" s="453">
        <v>609.62</v>
      </c>
    </row>
    <row r="178" spans="1:7" hidden="1" outlineLevel="1" x14ac:dyDescent="0.25">
      <c r="B178" t="s">
        <v>2312</v>
      </c>
      <c r="C178" t="s">
        <v>2313</v>
      </c>
      <c r="D178" s="453">
        <f>SUM(D165:D177)</f>
        <v>84948.659999999989</v>
      </c>
      <c r="E178" s="453">
        <f>SUM(E165:E177)</f>
        <v>140851.26</v>
      </c>
      <c r="F178" s="453">
        <f>SUM(F165:F177)</f>
        <v>177419.94</v>
      </c>
      <c r="G178" s="453">
        <f>SUM(G165:G177)</f>
        <v>154106.63</v>
      </c>
    </row>
    <row r="179" spans="1:7" hidden="1" outlineLevel="2" collapsed="1" x14ac:dyDescent="0.25">
      <c r="A179" s="452">
        <v>4730</v>
      </c>
      <c r="B179" t="s">
        <v>2314</v>
      </c>
      <c r="C179" t="s">
        <v>2315</v>
      </c>
      <c r="D179" s="453">
        <v>243581.71</v>
      </c>
      <c r="E179" s="453">
        <v>269368.65000000002</v>
      </c>
      <c r="F179" s="453">
        <v>285329.81</v>
      </c>
      <c r="G179" s="453">
        <v>294960.43</v>
      </c>
    </row>
    <row r="180" spans="1:7" hidden="1" outlineLevel="2" collapsed="1" x14ac:dyDescent="0.25">
      <c r="A180" s="452">
        <v>4760</v>
      </c>
      <c r="B180" t="s">
        <v>2316</v>
      </c>
      <c r="C180" t="s">
        <v>2317</v>
      </c>
      <c r="D180" s="453">
        <v>335</v>
      </c>
    </row>
    <row r="181" spans="1:7" hidden="1" outlineLevel="2" collapsed="1" x14ac:dyDescent="0.25">
      <c r="A181" s="452">
        <v>4780</v>
      </c>
      <c r="B181" t="s">
        <v>2318</v>
      </c>
      <c r="C181" t="s">
        <v>2319</v>
      </c>
      <c r="D181" s="453">
        <v>52800</v>
      </c>
      <c r="E181" s="453">
        <v>67415.5</v>
      </c>
    </row>
    <row r="182" spans="1:7" hidden="1" outlineLevel="2" collapsed="1" x14ac:dyDescent="0.25">
      <c r="A182" s="452">
        <v>4790</v>
      </c>
      <c r="B182" t="s">
        <v>2320</v>
      </c>
      <c r="C182" t="s">
        <v>2321</v>
      </c>
      <c r="D182" s="453">
        <v>243</v>
      </c>
      <c r="E182" s="453">
        <v>4328</v>
      </c>
      <c r="F182" s="453">
        <v>98</v>
      </c>
      <c r="G182" s="453">
        <v>6423</v>
      </c>
    </row>
    <row r="183" spans="1:7" hidden="1" outlineLevel="1" collapsed="1" x14ac:dyDescent="0.25">
      <c r="B183" t="s">
        <v>2322</v>
      </c>
      <c r="C183" t="s">
        <v>2323</v>
      </c>
      <c r="D183" s="453">
        <f>SUM(D179:D182)</f>
        <v>296959.70999999996</v>
      </c>
      <c r="E183" s="453">
        <f>SUM(E179:E182)</f>
        <v>341112.15</v>
      </c>
      <c r="F183" s="453">
        <f>SUM(F179:F182)</f>
        <v>285427.81</v>
      </c>
      <c r="G183" s="453">
        <f>SUM(G179:G182)</f>
        <v>301383.43</v>
      </c>
    </row>
    <row r="184" spans="1:7" hidden="1" outlineLevel="2" collapsed="1" x14ac:dyDescent="0.25">
      <c r="A184" s="452">
        <v>2300</v>
      </c>
      <c r="B184" t="s">
        <v>2324</v>
      </c>
      <c r="C184" t="s">
        <v>2325</v>
      </c>
      <c r="D184" s="453">
        <v>5980.69</v>
      </c>
      <c r="E184" s="453">
        <v>8458.0499999999993</v>
      </c>
      <c r="F184" s="453">
        <v>7521.42</v>
      </c>
      <c r="G184" s="453">
        <v>23561.79</v>
      </c>
    </row>
    <row r="185" spans="1:7" hidden="1" outlineLevel="2" collapsed="1" x14ac:dyDescent="0.25">
      <c r="A185" s="452">
        <v>4400</v>
      </c>
      <c r="B185" t="s">
        <v>2326</v>
      </c>
      <c r="C185" t="s">
        <v>2327</v>
      </c>
      <c r="D185" s="453">
        <v>30663.64</v>
      </c>
      <c r="E185" s="453">
        <v>63284.83</v>
      </c>
      <c r="F185" s="453">
        <v>145319.51999999999</v>
      </c>
      <c r="G185" s="453">
        <v>136980.34</v>
      </c>
    </row>
    <row r="186" spans="1:7" hidden="1" outlineLevel="2" collapsed="1" x14ac:dyDescent="0.25">
      <c r="A186" s="452">
        <v>4810</v>
      </c>
      <c r="B186" t="s">
        <v>2328</v>
      </c>
      <c r="C186" t="s">
        <v>2329</v>
      </c>
      <c r="D186" s="453">
        <v>20250.16</v>
      </c>
      <c r="E186" s="453">
        <v>16506.349999999999</v>
      </c>
      <c r="F186" s="453">
        <v>40187.760000000002</v>
      </c>
      <c r="G186" s="453">
        <v>43768.480000000003</v>
      </c>
    </row>
    <row r="187" spans="1:7" hidden="1" outlineLevel="2" collapsed="1" x14ac:dyDescent="0.25">
      <c r="A187" s="452">
        <v>4905</v>
      </c>
      <c r="B187" t="s">
        <v>2330</v>
      </c>
      <c r="C187" t="s">
        <v>2331</v>
      </c>
      <c r="F187" s="453">
        <v>0.99</v>
      </c>
    </row>
    <row r="188" spans="1:7" hidden="1" outlineLevel="2" collapsed="1" x14ac:dyDescent="0.25">
      <c r="A188" s="452">
        <v>4910</v>
      </c>
      <c r="B188" t="s">
        <v>2332</v>
      </c>
      <c r="C188" t="s">
        <v>2333</v>
      </c>
      <c r="D188" s="453">
        <v>3106.95</v>
      </c>
      <c r="E188" s="453">
        <v>2613.38</v>
      </c>
      <c r="F188" s="453">
        <v>3396.93</v>
      </c>
      <c r="G188" s="453">
        <v>2038.37</v>
      </c>
    </row>
    <row r="189" spans="1:7" hidden="1" outlineLevel="2" collapsed="1" x14ac:dyDescent="0.25">
      <c r="A189" s="452">
        <v>4920</v>
      </c>
      <c r="B189" t="s">
        <v>2334</v>
      </c>
      <c r="C189" t="s">
        <v>2335</v>
      </c>
      <c r="D189" s="453">
        <v>9293.9500000000007</v>
      </c>
      <c r="E189" s="453">
        <v>12026.8</v>
      </c>
      <c r="F189" s="453">
        <v>8205.99</v>
      </c>
      <c r="G189" s="453">
        <v>7431.7</v>
      </c>
    </row>
    <row r="190" spans="1:7" hidden="1" outlineLevel="2" collapsed="1" x14ac:dyDescent="0.25">
      <c r="A190" s="452">
        <v>4930</v>
      </c>
      <c r="B190" t="s">
        <v>2336</v>
      </c>
      <c r="C190" t="s">
        <v>2337</v>
      </c>
      <c r="D190" s="453">
        <v>6547.76</v>
      </c>
      <c r="E190" s="453">
        <v>6344.72</v>
      </c>
      <c r="F190" s="453">
        <v>6908.99</v>
      </c>
      <c r="G190" s="453">
        <v>6461.66</v>
      </c>
    </row>
    <row r="191" spans="1:7" hidden="1" outlineLevel="2" collapsed="1" x14ac:dyDescent="0.25">
      <c r="A191" s="452">
        <v>4940</v>
      </c>
      <c r="B191" t="s">
        <v>2338</v>
      </c>
      <c r="C191" t="s">
        <v>2339</v>
      </c>
      <c r="D191" s="453">
        <v>4315.07</v>
      </c>
      <c r="E191" s="453">
        <v>3542.23</v>
      </c>
      <c r="F191" s="453">
        <v>4168.24</v>
      </c>
      <c r="G191" s="453">
        <v>4925.66</v>
      </c>
    </row>
    <row r="192" spans="1:7" hidden="1" outlineLevel="2" collapsed="1" x14ac:dyDescent="0.25">
      <c r="A192" s="452">
        <v>4945</v>
      </c>
      <c r="B192" t="s">
        <v>2340</v>
      </c>
      <c r="C192" t="s">
        <v>2341</v>
      </c>
      <c r="D192" s="453">
        <v>11286.85</v>
      </c>
      <c r="E192" s="453">
        <v>13236.3</v>
      </c>
      <c r="F192" s="453">
        <v>14198.86</v>
      </c>
      <c r="G192" s="453">
        <v>14579.43</v>
      </c>
    </row>
    <row r="193" spans="1:9" hidden="1" outlineLevel="2" collapsed="1" x14ac:dyDescent="0.25">
      <c r="A193" s="452">
        <v>4950</v>
      </c>
      <c r="B193" t="s">
        <v>2342</v>
      </c>
      <c r="C193" t="s">
        <v>2343</v>
      </c>
      <c r="D193" s="453">
        <v>126317.2</v>
      </c>
      <c r="E193" s="453">
        <v>246422.17</v>
      </c>
      <c r="F193" s="453">
        <v>306619.32</v>
      </c>
      <c r="G193" s="453">
        <v>323410.84999999998</v>
      </c>
    </row>
    <row r="194" spans="1:9" hidden="1" outlineLevel="2" collapsed="1" x14ac:dyDescent="0.25">
      <c r="A194" s="452">
        <v>4960</v>
      </c>
      <c r="B194" t="s">
        <v>2344</v>
      </c>
      <c r="C194" t="s">
        <v>2345</v>
      </c>
      <c r="E194" s="453">
        <v>2546.19</v>
      </c>
      <c r="G194" s="453">
        <v>6681.97</v>
      </c>
    </row>
    <row r="195" spans="1:9" hidden="1" outlineLevel="2" collapsed="1" x14ac:dyDescent="0.25">
      <c r="A195" s="452">
        <v>4964</v>
      </c>
      <c r="B195" t="s">
        <v>2346</v>
      </c>
      <c r="C195" t="s">
        <v>2347</v>
      </c>
      <c r="D195" s="453">
        <v>317019.06</v>
      </c>
      <c r="E195" s="453">
        <v>466772.29</v>
      </c>
      <c r="F195" s="453">
        <v>312084.98</v>
      </c>
      <c r="G195" s="453">
        <v>527074.59</v>
      </c>
    </row>
    <row r="196" spans="1:9" hidden="1" outlineLevel="2" collapsed="1" x14ac:dyDescent="0.25">
      <c r="A196" s="452">
        <v>4969</v>
      </c>
      <c r="B196" t="s">
        <v>2348</v>
      </c>
      <c r="C196" t="s">
        <v>2349</v>
      </c>
      <c r="D196" s="453">
        <v>9498.92</v>
      </c>
      <c r="E196" s="453">
        <v>8944.33</v>
      </c>
      <c r="F196" s="453">
        <v>8932.57</v>
      </c>
      <c r="G196" s="453">
        <v>12407.2</v>
      </c>
    </row>
    <row r="197" spans="1:9" hidden="1" outlineLevel="2" collapsed="1" x14ac:dyDescent="0.25">
      <c r="A197" s="452">
        <v>4970</v>
      </c>
      <c r="B197" t="s">
        <v>2350</v>
      </c>
      <c r="C197" t="s">
        <v>2351</v>
      </c>
      <c r="D197" s="453">
        <v>4679.34</v>
      </c>
      <c r="E197" s="453">
        <v>5313.75</v>
      </c>
      <c r="F197" s="453">
        <v>6101.1</v>
      </c>
      <c r="G197" s="453">
        <v>6829.47</v>
      </c>
    </row>
    <row r="198" spans="1:9" hidden="1" outlineLevel="2" collapsed="1" x14ac:dyDescent="0.25">
      <c r="A198" s="452">
        <v>4971</v>
      </c>
      <c r="B198" t="s">
        <v>2352</v>
      </c>
      <c r="C198" t="s">
        <v>2353</v>
      </c>
      <c r="E198" s="453">
        <v>76.56</v>
      </c>
    </row>
    <row r="199" spans="1:9" hidden="1" outlineLevel="2" collapsed="1" x14ac:dyDescent="0.25">
      <c r="A199" s="452">
        <v>4980</v>
      </c>
      <c r="B199" t="s">
        <v>2354</v>
      </c>
      <c r="C199" t="s">
        <v>2355</v>
      </c>
      <c r="D199" s="453">
        <v>64789.75</v>
      </c>
      <c r="E199" s="453">
        <v>68673.02</v>
      </c>
      <c r="F199" s="453">
        <v>54370.12</v>
      </c>
      <c r="G199" s="453">
        <v>63670.35</v>
      </c>
    </row>
    <row r="200" spans="1:9" hidden="1" outlineLevel="2" collapsed="1" x14ac:dyDescent="0.25">
      <c r="A200" s="452">
        <v>4900</v>
      </c>
      <c r="B200" t="s">
        <v>2356</v>
      </c>
      <c r="C200" t="s">
        <v>2355</v>
      </c>
      <c r="D200" s="453">
        <v>18660.75</v>
      </c>
      <c r="E200" s="453">
        <v>53980.35</v>
      </c>
      <c r="F200" s="453">
        <v>87185.78</v>
      </c>
      <c r="G200" s="453">
        <v>44158.12</v>
      </c>
    </row>
    <row r="201" spans="1:9" hidden="1" outlineLevel="1" x14ac:dyDescent="0.25">
      <c r="B201" t="s">
        <v>2357</v>
      </c>
      <c r="C201" t="s">
        <v>2358</v>
      </c>
      <c r="D201" s="453">
        <f>SUM(D184:D200)</f>
        <v>632410.09000000008</v>
      </c>
      <c r="E201" s="453">
        <f>SUM(E184:E200)</f>
        <v>978741.32000000007</v>
      </c>
      <c r="F201" s="453">
        <f>SUM(F184:F200)</f>
        <v>1005202.57</v>
      </c>
      <c r="G201" s="453">
        <f>SUM(G184:G200)</f>
        <v>1223979.98</v>
      </c>
    </row>
    <row r="202" spans="1:9" hidden="1" outlineLevel="2" collapsed="1" x14ac:dyDescent="0.25">
      <c r="A202" s="452">
        <v>2310</v>
      </c>
      <c r="B202" t="s">
        <v>2359</v>
      </c>
      <c r="C202" t="s">
        <v>2360</v>
      </c>
      <c r="D202" s="453">
        <v>5619</v>
      </c>
      <c r="E202" s="453">
        <v>22238</v>
      </c>
      <c r="F202" s="465">
        <v>32027</v>
      </c>
      <c r="G202" s="453">
        <v>16825</v>
      </c>
    </row>
    <row r="203" spans="1:9" hidden="1" outlineLevel="2" collapsed="1" x14ac:dyDescent="0.25">
      <c r="A203" s="452">
        <v>2312</v>
      </c>
      <c r="B203" t="s">
        <v>2361</v>
      </c>
      <c r="C203" t="s">
        <v>2362</v>
      </c>
      <c r="F203" s="465"/>
      <c r="G203" s="453">
        <v>102680</v>
      </c>
      <c r="I203" t="s">
        <v>2466</v>
      </c>
    </row>
    <row r="204" spans="1:9" hidden="1" outlineLevel="2" collapsed="1" x14ac:dyDescent="0.25">
      <c r="A204" s="452">
        <v>8801</v>
      </c>
      <c r="B204" t="s">
        <v>2363</v>
      </c>
      <c r="C204" t="s">
        <v>2364</v>
      </c>
      <c r="F204" s="465"/>
      <c r="G204" s="453">
        <v>-1</v>
      </c>
    </row>
    <row r="205" spans="1:9" hidden="1" outlineLevel="2" collapsed="1" x14ac:dyDescent="0.25">
      <c r="A205" s="452">
        <v>8807</v>
      </c>
      <c r="B205" t="s">
        <v>2365</v>
      </c>
      <c r="C205" t="s">
        <v>2366</v>
      </c>
      <c r="F205" s="465"/>
      <c r="G205" s="453">
        <v>-1</v>
      </c>
    </row>
    <row r="206" spans="1:9" hidden="1" outlineLevel="2" collapsed="1" x14ac:dyDescent="0.25">
      <c r="A206" s="452">
        <v>8818</v>
      </c>
      <c r="B206" t="s">
        <v>2367</v>
      </c>
      <c r="C206" t="s">
        <v>2368</v>
      </c>
      <c r="F206" s="465"/>
      <c r="G206" s="453">
        <v>-80849.600000000006</v>
      </c>
      <c r="I206" t="s">
        <v>2466</v>
      </c>
    </row>
    <row r="207" spans="1:9" hidden="1" outlineLevel="1" x14ac:dyDescent="0.25">
      <c r="B207" t="s">
        <v>2369</v>
      </c>
      <c r="C207" t="s">
        <v>2370</v>
      </c>
      <c r="D207" s="453">
        <f>SUM(D202:D206)</f>
        <v>5619</v>
      </c>
      <c r="E207" s="453">
        <f>SUM(E202:E206)</f>
        <v>22238</v>
      </c>
      <c r="F207" s="465">
        <f>SUM(F202:F206)</f>
        <v>32027</v>
      </c>
      <c r="G207" s="453">
        <f>SUM(G202:G206)</f>
        <v>38653.399999999994</v>
      </c>
    </row>
    <row r="208" spans="1:9" hidden="1" outlineLevel="2" collapsed="1" x14ac:dyDescent="0.25">
      <c r="A208" s="452">
        <v>2406</v>
      </c>
      <c r="B208" t="s">
        <v>2371</v>
      </c>
      <c r="C208" t="s">
        <v>2372</v>
      </c>
      <c r="E208" s="453">
        <v>6296.5</v>
      </c>
      <c r="F208" s="465"/>
    </row>
    <row r="209" spans="1:9" hidden="1" outlineLevel="2" collapsed="1" x14ac:dyDescent="0.25">
      <c r="A209" s="452">
        <v>2450</v>
      </c>
      <c r="B209" t="s">
        <v>2373</v>
      </c>
      <c r="C209" t="s">
        <v>2374</v>
      </c>
      <c r="E209" s="453">
        <v>7144</v>
      </c>
      <c r="F209" s="465"/>
      <c r="G209" s="453">
        <v>3881</v>
      </c>
    </row>
    <row r="210" spans="1:9" hidden="1" outlineLevel="2" collapsed="1" x14ac:dyDescent="0.25">
      <c r="A210" s="452">
        <v>2451</v>
      </c>
      <c r="B210" t="s">
        <v>2375</v>
      </c>
      <c r="C210" t="s">
        <v>2376</v>
      </c>
      <c r="E210" s="453">
        <v>6300</v>
      </c>
      <c r="F210" s="465">
        <v>27177</v>
      </c>
      <c r="I210" t="s">
        <v>2511</v>
      </c>
    </row>
    <row r="211" spans="1:9" hidden="1" outlineLevel="1" x14ac:dyDescent="0.25">
      <c r="B211" t="s">
        <v>2377</v>
      </c>
      <c r="C211" t="s">
        <v>2378</v>
      </c>
      <c r="D211" s="453">
        <f>SUM(D208:D210)</f>
        <v>0</v>
      </c>
      <c r="E211" s="453">
        <f>SUM(E208:E210)</f>
        <v>19740.5</v>
      </c>
      <c r="F211" s="465">
        <f>SUM(F208:F210)</f>
        <v>27177</v>
      </c>
      <c r="G211" s="453">
        <f>SUM(G208:G210)</f>
        <v>3881</v>
      </c>
    </row>
    <row r="212" spans="1:9" hidden="1" outlineLevel="2" collapsed="1" x14ac:dyDescent="0.25">
      <c r="A212" s="452">
        <v>2383</v>
      </c>
      <c r="B212" t="s">
        <v>2379</v>
      </c>
      <c r="C212" t="s">
        <v>2380</v>
      </c>
      <c r="D212" s="453">
        <v>1406</v>
      </c>
      <c r="E212" s="453">
        <v>2686</v>
      </c>
      <c r="F212" s="465">
        <v>1356</v>
      </c>
      <c r="G212" s="453">
        <v>706</v>
      </c>
    </row>
    <row r="213" spans="1:9" hidden="1" outlineLevel="1" collapsed="1" x14ac:dyDescent="0.25">
      <c r="B213" t="s">
        <v>2381</v>
      </c>
      <c r="C213" t="s">
        <v>2382</v>
      </c>
      <c r="D213" s="453">
        <f>SUM(D212:D212)</f>
        <v>1406</v>
      </c>
      <c r="E213" s="453">
        <f>SUM(E212:E212)</f>
        <v>2686</v>
      </c>
      <c r="F213" s="465">
        <f>SUM(F212:F212)</f>
        <v>1356</v>
      </c>
      <c r="G213" s="453">
        <f>SUM(G212:G212)</f>
        <v>706</v>
      </c>
    </row>
    <row r="214" spans="1:9" collapsed="1" x14ac:dyDescent="0.25">
      <c r="B214" t="s">
        <v>257</v>
      </c>
      <c r="C214" t="s">
        <v>256</v>
      </c>
      <c r="D214" s="453">
        <f>D102+D104+D108+D112+D164+D178+D183+D201+D207+D211+D213</f>
        <v>1716299.07</v>
      </c>
      <c r="E214" s="453">
        <f>E102+E104+E108+E112+E164+E178+E183+E201+E207+E211+E213</f>
        <v>2216102.9700000002</v>
      </c>
      <c r="F214" s="453">
        <f>F102+F104+F108+F112+F164+F178+F183+F201+F207+F211+F213</f>
        <v>2262133.9300000002</v>
      </c>
      <c r="G214" s="453">
        <f>G102+G104+G108+G112+G164+G178+G183+G201+G207+G211+G213</f>
        <v>2594750.9899999998</v>
      </c>
    </row>
    <row r="215" spans="1:9" s="455" customFormat="1" x14ac:dyDescent="0.25">
      <c r="B215" s="455" t="s">
        <v>225</v>
      </c>
      <c r="C215" s="455" t="s">
        <v>225</v>
      </c>
      <c r="D215" s="456">
        <f>D67-D96-D214</f>
        <v>2489912.0899999989</v>
      </c>
      <c r="E215" s="456">
        <f>E67-E96-E214</f>
        <v>3246424.0199999982</v>
      </c>
      <c r="F215" s="456">
        <f>F67-F96-F214</f>
        <v>1595159.9899999998</v>
      </c>
      <c r="G215" s="456">
        <f>G67-G96-G214</f>
        <v>1760340.7699999991</v>
      </c>
    </row>
    <row r="216" spans="1:9" x14ac:dyDescent="0.25">
      <c r="B216" t="s">
        <v>1121</v>
      </c>
      <c r="C216" t="s">
        <v>1122</v>
      </c>
      <c r="E216" s="457">
        <f>((E215)/(D215))-1</f>
        <v>0.30383077902159972</v>
      </c>
      <c r="F216" s="457">
        <f>((F215)/(E215))-1</f>
        <v>-0.50864089836299309</v>
      </c>
      <c r="G216" s="457">
        <f>((G215)/(F215))-1</f>
        <v>0.10355123061981963</v>
      </c>
    </row>
    <row r="217" spans="1:9" x14ac:dyDescent="0.25">
      <c r="B217" t="s">
        <v>1128</v>
      </c>
      <c r="C217" t="s">
        <v>1129</v>
      </c>
      <c r="D217" s="457">
        <f>(D215)/(D46)</f>
        <v>0.17427787521409849</v>
      </c>
      <c r="E217" s="457">
        <f>(E215)/(E46)</f>
        <v>0.19486513659794336</v>
      </c>
      <c r="F217" s="457">
        <f>(F215)/(F46)</f>
        <v>0.10158455592657149</v>
      </c>
      <c r="G217" s="457">
        <f>(G215)/(G46)</f>
        <v>0.10189910986477116</v>
      </c>
    </row>
    <row r="219" spans="1:9" hidden="1" outlineLevel="1" collapsed="1" x14ac:dyDescent="0.25">
      <c r="A219" s="452">
        <v>4822</v>
      </c>
      <c r="B219" t="s">
        <v>1130</v>
      </c>
      <c r="C219" t="s">
        <v>1131</v>
      </c>
      <c r="D219" s="453">
        <v>28254.7</v>
      </c>
      <c r="E219" s="453">
        <v>6012</v>
      </c>
      <c r="F219" s="453">
        <v>2548</v>
      </c>
      <c r="G219" s="453">
        <v>2497</v>
      </c>
    </row>
    <row r="220" spans="1:9" hidden="1" outlineLevel="1" collapsed="1" x14ac:dyDescent="0.25">
      <c r="A220" s="452">
        <v>4830</v>
      </c>
      <c r="B220" t="s">
        <v>1132</v>
      </c>
      <c r="C220" t="s">
        <v>1133</v>
      </c>
      <c r="D220" s="453">
        <v>290554.69</v>
      </c>
      <c r="E220" s="453">
        <v>322535.28000000003</v>
      </c>
      <c r="F220" s="453">
        <v>309569.18</v>
      </c>
      <c r="G220" s="453">
        <v>297729.64</v>
      </c>
    </row>
    <row r="221" spans="1:9" hidden="1" outlineLevel="1" collapsed="1" x14ac:dyDescent="0.25">
      <c r="A221" s="452">
        <v>4855</v>
      </c>
      <c r="B221" t="s">
        <v>1134</v>
      </c>
      <c r="C221" t="s">
        <v>1135</v>
      </c>
      <c r="D221" s="453">
        <v>13608.59</v>
      </c>
      <c r="E221" s="453">
        <v>13994.42</v>
      </c>
      <c r="F221" s="453">
        <v>12522.74</v>
      </c>
      <c r="G221" s="453">
        <v>15493.07</v>
      </c>
    </row>
    <row r="222" spans="1:9" hidden="1" outlineLevel="1" collapsed="1" x14ac:dyDescent="0.25">
      <c r="A222" s="452">
        <v>4840</v>
      </c>
      <c r="B222" t="s">
        <v>1136</v>
      </c>
      <c r="C222" t="s">
        <v>2383</v>
      </c>
      <c r="E222" s="453">
        <v>12800</v>
      </c>
    </row>
    <row r="223" spans="1:9" collapsed="1" x14ac:dyDescent="0.25">
      <c r="B223" t="s">
        <v>255</v>
      </c>
      <c r="C223" t="s">
        <v>254</v>
      </c>
      <c r="D223" s="453">
        <f>SUM(D219:D222)</f>
        <v>332417.98000000004</v>
      </c>
      <c r="E223" s="453">
        <f>SUM(E219:E222)</f>
        <v>355341.7</v>
      </c>
      <c r="F223" s="453">
        <f>SUM(F219:F222)</f>
        <v>324639.92</v>
      </c>
      <c r="G223" s="453">
        <f>SUM(G219:G222)</f>
        <v>315719.71000000002</v>
      </c>
    </row>
    <row r="224" spans="1:9" hidden="1" outlineLevel="1" collapsed="1" x14ac:dyDescent="0.25">
      <c r="A224" s="452">
        <v>4870</v>
      </c>
      <c r="B224" t="s">
        <v>1137</v>
      </c>
      <c r="C224" t="s">
        <v>1138</v>
      </c>
      <c r="E224" s="453">
        <v>131756.09</v>
      </c>
      <c r="F224" s="453">
        <v>35078.5</v>
      </c>
      <c r="G224" s="453">
        <v>4073.29</v>
      </c>
    </row>
    <row r="225" spans="1:7" collapsed="1" x14ac:dyDescent="0.25">
      <c r="B225" t="s">
        <v>1139</v>
      </c>
      <c r="C225" t="s">
        <v>1140</v>
      </c>
      <c r="D225" s="453">
        <f>SUM(D224:D224)</f>
        <v>0</v>
      </c>
      <c r="E225" s="453">
        <f>SUM(E224:E224)</f>
        <v>131756.09</v>
      </c>
      <c r="F225" s="453">
        <f>SUM(F224:F224)</f>
        <v>35078.5</v>
      </c>
      <c r="G225" s="453">
        <f>SUM(G224:G224)</f>
        <v>4073.29</v>
      </c>
    </row>
    <row r="226" spans="1:7" s="455" customFormat="1" x14ac:dyDescent="0.25">
      <c r="B226" s="455" t="s">
        <v>156</v>
      </c>
      <c r="C226" s="455" t="s">
        <v>156</v>
      </c>
      <c r="D226" s="456">
        <f>D215-D223-D225</f>
        <v>2157494.1099999989</v>
      </c>
      <c r="E226" s="456">
        <f>E215-E223-E225</f>
        <v>2759326.2299999981</v>
      </c>
      <c r="F226" s="456">
        <f>F215-F223-F225</f>
        <v>1235441.5699999998</v>
      </c>
      <c r="G226" s="456">
        <f>G215-G223-G225</f>
        <v>1440547.7699999991</v>
      </c>
    </row>
    <row r="227" spans="1:7" x14ac:dyDescent="0.25">
      <c r="B227" t="s">
        <v>1121</v>
      </c>
      <c r="C227" t="s">
        <v>1122</v>
      </c>
      <c r="E227" s="457">
        <f>((E226)/(D226))-1</f>
        <v>0.27894960046959261</v>
      </c>
      <c r="F227" s="457">
        <f>((F226)/(E226))-1</f>
        <v>-0.552266942354257</v>
      </c>
      <c r="G227" s="457">
        <f>((G226)/(F226))-1</f>
        <v>0.166018535380835</v>
      </c>
    </row>
    <row r="228" spans="1:7" x14ac:dyDescent="0.25">
      <c r="B228" t="s">
        <v>1128</v>
      </c>
      <c r="C228" t="s">
        <v>1129</v>
      </c>
      <c r="D228" s="457">
        <f>(D226)/(D46)</f>
        <v>0.15101074884845933</v>
      </c>
      <c r="E228" s="457">
        <f>(E226)/(E46)</f>
        <v>0.16562731159413921</v>
      </c>
      <c r="F228" s="457">
        <f>(F226)/(F46)</f>
        <v>7.8676611780913772E-2</v>
      </c>
      <c r="G228" s="457">
        <f>(G226)/(G46)</f>
        <v>8.3387567897254961E-2</v>
      </c>
    </row>
    <row r="230" spans="1:7" hidden="1" outlineLevel="1" collapsed="1" x14ac:dyDescent="0.25">
      <c r="A230" s="452">
        <v>2650</v>
      </c>
      <c r="B230" t="s">
        <v>1141</v>
      </c>
      <c r="C230" t="s">
        <v>1142</v>
      </c>
      <c r="D230" s="453">
        <v>10793.19</v>
      </c>
      <c r="E230" s="453">
        <v>5336.52</v>
      </c>
      <c r="F230" s="453">
        <v>4425</v>
      </c>
      <c r="G230" s="453">
        <v>3037.66</v>
      </c>
    </row>
    <row r="231" spans="1:7" hidden="1" outlineLevel="1" collapsed="1" x14ac:dyDescent="0.25">
      <c r="A231" s="452">
        <v>2658</v>
      </c>
      <c r="B231" t="s">
        <v>1143</v>
      </c>
      <c r="C231" t="s">
        <v>1144</v>
      </c>
      <c r="G231" s="453">
        <v>97</v>
      </c>
    </row>
    <row r="232" spans="1:7" collapsed="1" x14ac:dyDescent="0.25">
      <c r="B232" t="s">
        <v>1145</v>
      </c>
      <c r="C232" t="s">
        <v>1146</v>
      </c>
      <c r="D232" s="453">
        <f>SUM(D230:D231)</f>
        <v>10793.19</v>
      </c>
      <c r="E232" s="453">
        <f>SUM(E230:E231)</f>
        <v>5336.52</v>
      </c>
      <c r="F232" s="453">
        <f>SUM(F230:F231)</f>
        <v>4425</v>
      </c>
      <c r="G232" s="453">
        <f>SUM(G230:G231)</f>
        <v>3134.66</v>
      </c>
    </row>
    <row r="233" spans="1:7" hidden="1" outlineLevel="1" collapsed="1" x14ac:dyDescent="0.25">
      <c r="A233" s="452">
        <v>2110</v>
      </c>
      <c r="B233" t="s">
        <v>1147</v>
      </c>
      <c r="C233" t="s">
        <v>1148</v>
      </c>
      <c r="D233" s="453">
        <v>1268.67</v>
      </c>
      <c r="E233" s="453">
        <v>5317.39</v>
      </c>
      <c r="F233" s="453">
        <v>129.13999999999999</v>
      </c>
      <c r="G233" s="453">
        <v>15.52</v>
      </c>
    </row>
    <row r="234" spans="1:7" hidden="1" outlineLevel="1" collapsed="1" x14ac:dyDescent="0.25">
      <c r="A234" s="452">
        <v>2146</v>
      </c>
      <c r="B234" t="s">
        <v>1149</v>
      </c>
      <c r="C234" t="s">
        <v>1976</v>
      </c>
      <c r="D234" s="453">
        <v>4362</v>
      </c>
      <c r="E234" s="453">
        <v>3754</v>
      </c>
      <c r="F234" s="453">
        <v>3561</v>
      </c>
      <c r="G234" s="453">
        <v>3491</v>
      </c>
    </row>
    <row r="235" spans="1:7" collapsed="1" x14ac:dyDescent="0.25">
      <c r="B235" t="s">
        <v>1151</v>
      </c>
      <c r="C235" t="s">
        <v>1152</v>
      </c>
      <c r="D235" s="453">
        <f>SUM(D233:D234)</f>
        <v>5630.67</v>
      </c>
      <c r="E235" s="453">
        <f>SUM(E233:E234)</f>
        <v>9071.39</v>
      </c>
      <c r="F235" s="453">
        <f>SUM(F233:F234)</f>
        <v>3690.14</v>
      </c>
      <c r="G235" s="453">
        <f>SUM(G233:G234)</f>
        <v>3506.52</v>
      </c>
    </row>
    <row r="236" spans="1:7" hidden="1" outlineLevel="1" collapsed="1" x14ac:dyDescent="0.25">
      <c r="A236" s="452">
        <v>2200</v>
      </c>
      <c r="B236" t="s">
        <v>1153</v>
      </c>
      <c r="C236" t="s">
        <v>1154</v>
      </c>
      <c r="D236" s="453">
        <v>323720</v>
      </c>
      <c r="E236" s="453">
        <v>431421</v>
      </c>
      <c r="F236" s="453">
        <v>187173</v>
      </c>
      <c r="G236" s="453">
        <v>187879</v>
      </c>
    </row>
    <row r="237" spans="1:7" hidden="1" outlineLevel="1" collapsed="1" x14ac:dyDescent="0.25">
      <c r="A237" s="452">
        <v>2204</v>
      </c>
      <c r="B237" t="s">
        <v>1155</v>
      </c>
      <c r="C237" t="s">
        <v>1977</v>
      </c>
      <c r="E237" s="453">
        <v>-1</v>
      </c>
    </row>
    <row r="238" spans="1:7" hidden="1" outlineLevel="1" collapsed="1" x14ac:dyDescent="0.25">
      <c r="A238" s="452">
        <v>2208</v>
      </c>
      <c r="B238" t="s">
        <v>1157</v>
      </c>
      <c r="C238" t="s">
        <v>1158</v>
      </c>
      <c r="D238" s="453">
        <v>17804.599999999999</v>
      </c>
      <c r="E238" s="453">
        <v>23728.19</v>
      </c>
      <c r="F238" s="453">
        <v>10294.51</v>
      </c>
      <c r="G238" s="453">
        <v>10333.35</v>
      </c>
    </row>
    <row r="239" spans="1:7" hidden="1" outlineLevel="1" collapsed="1" x14ac:dyDescent="0.25">
      <c r="A239" s="452">
        <v>2209</v>
      </c>
      <c r="B239" t="s">
        <v>1159</v>
      </c>
      <c r="C239" t="s">
        <v>1160</v>
      </c>
      <c r="D239" s="453">
        <v>-1</v>
      </c>
    </row>
    <row r="240" spans="1:7" hidden="1" outlineLevel="1" collapsed="1" x14ac:dyDescent="0.25">
      <c r="A240" s="452">
        <v>2213</v>
      </c>
      <c r="B240" t="s">
        <v>1161</v>
      </c>
      <c r="C240" t="s">
        <v>1162</v>
      </c>
      <c r="D240" s="453">
        <v>880.25</v>
      </c>
      <c r="E240" s="453">
        <v>905.5</v>
      </c>
      <c r="F240" s="453">
        <v>1106.25</v>
      </c>
      <c r="G240" s="453">
        <v>542.13</v>
      </c>
    </row>
    <row r="241" spans="1:7" hidden="1" outlineLevel="1" collapsed="1" x14ac:dyDescent="0.25">
      <c r="A241" s="452">
        <v>2216</v>
      </c>
      <c r="B241" t="s">
        <v>1163</v>
      </c>
      <c r="C241" t="s">
        <v>1164</v>
      </c>
      <c r="D241" s="453">
        <v>48.4</v>
      </c>
      <c r="E241" s="453">
        <v>49.79</v>
      </c>
      <c r="F241" s="453">
        <v>60.83</v>
      </c>
      <c r="G241" s="453">
        <v>29.8</v>
      </c>
    </row>
    <row r="242" spans="1:7" hidden="1" outlineLevel="1" collapsed="1" x14ac:dyDescent="0.25">
      <c r="A242" s="452">
        <v>2250</v>
      </c>
      <c r="B242" t="s">
        <v>1165</v>
      </c>
      <c r="C242" t="s">
        <v>1166</v>
      </c>
      <c r="G242" s="453">
        <v>48876</v>
      </c>
    </row>
    <row r="243" spans="1:7" hidden="1" outlineLevel="1" collapsed="1" x14ac:dyDescent="0.25">
      <c r="A243" s="452">
        <v>2281</v>
      </c>
      <c r="B243" t="s">
        <v>1167</v>
      </c>
      <c r="C243" t="s">
        <v>1168</v>
      </c>
      <c r="D243" s="453">
        <v>0.05</v>
      </c>
      <c r="E243" s="453">
        <v>-0.2</v>
      </c>
      <c r="G243" s="453">
        <v>0.33</v>
      </c>
    </row>
    <row r="244" spans="1:7" hidden="1" outlineLevel="1" collapsed="1" x14ac:dyDescent="0.25">
      <c r="A244" s="452">
        <v>4320</v>
      </c>
      <c r="B244" t="s">
        <v>1169</v>
      </c>
      <c r="C244" t="s">
        <v>1170</v>
      </c>
      <c r="D244" s="453">
        <v>330984</v>
      </c>
      <c r="E244" s="453">
        <v>442283</v>
      </c>
      <c r="F244" s="453">
        <v>191983</v>
      </c>
      <c r="G244" s="453">
        <v>194461</v>
      </c>
    </row>
    <row r="245" spans="1:7" collapsed="1" x14ac:dyDescent="0.25">
      <c r="B245" t="s">
        <v>1171</v>
      </c>
      <c r="C245" t="s">
        <v>2384</v>
      </c>
      <c r="D245" s="453">
        <f>SUM(D236:D244)</f>
        <v>673436.3</v>
      </c>
      <c r="E245" s="453">
        <f>SUM(E236:E244)</f>
        <v>898386.28</v>
      </c>
      <c r="F245" s="453">
        <f>SUM(F236:F244)</f>
        <v>390617.58999999997</v>
      </c>
      <c r="G245" s="453">
        <f>SUM(G236:G244)</f>
        <v>442121.61</v>
      </c>
    </row>
    <row r="246" spans="1:7" s="455" customFormat="1" x14ac:dyDescent="0.25">
      <c r="B246" s="455" t="s">
        <v>1173</v>
      </c>
      <c r="C246" s="455" t="s">
        <v>1174</v>
      </c>
      <c r="D246" s="456">
        <f>D226+D232-D235-D245</f>
        <v>1489220.3299999989</v>
      </c>
      <c r="E246" s="456">
        <f>E226+E232-E235-E245</f>
        <v>1857205.079999998</v>
      </c>
      <c r="F246" s="456">
        <f>F226+F232-F235-F245</f>
        <v>845558.84</v>
      </c>
      <c r="G246" s="456">
        <f>G226+G232-G235-G245</f>
        <v>998054.299999999</v>
      </c>
    </row>
    <row r="247" spans="1:7" x14ac:dyDescent="0.25">
      <c r="B247" t="s">
        <v>1121</v>
      </c>
      <c r="C247" t="s">
        <v>1122</v>
      </c>
      <c r="E247" s="457">
        <f>((E246)/(D246))-1</f>
        <v>0.24709892994812876</v>
      </c>
      <c r="F247" s="457">
        <f>((F246)/(E246))-1</f>
        <v>-0.54471434032476318</v>
      </c>
      <c r="G247" s="457">
        <f>((G246)/(F246))-1</f>
        <v>0.18034872652978118</v>
      </c>
    </row>
    <row r="248" spans="1:7" x14ac:dyDescent="0.25">
      <c r="B248" t="s">
        <v>1128</v>
      </c>
      <c r="C248" t="s">
        <v>1129</v>
      </c>
      <c r="D248" s="457">
        <f>(D246)/(D46)</f>
        <v>0.1042358707684489</v>
      </c>
      <c r="E248" s="457">
        <f>(E246)/(E46)</f>
        <v>0.11147789671806153</v>
      </c>
      <c r="F248" s="457">
        <f>(F246)/(F46)</f>
        <v>5.3847714216545092E-2</v>
      </c>
      <c r="G248" s="457">
        <f>(G246)/(G46)</f>
        <v>5.7773384846791467E-2</v>
      </c>
    </row>
    <row r="250" spans="1:7" hidden="1" outlineLevel="1" collapsed="1" x14ac:dyDescent="0.25">
      <c r="A250" s="452">
        <v>4510</v>
      </c>
      <c r="B250" t="s">
        <v>1175</v>
      </c>
      <c r="C250" t="s">
        <v>1176</v>
      </c>
      <c r="D250" s="453">
        <v>300</v>
      </c>
      <c r="E250" s="453">
        <v>300</v>
      </c>
      <c r="F250" s="453">
        <v>300</v>
      </c>
      <c r="G250" s="453">
        <v>9</v>
      </c>
    </row>
    <row r="251" spans="1:7" hidden="1" outlineLevel="1" collapsed="1" x14ac:dyDescent="0.25">
      <c r="A251" s="452">
        <v>4511</v>
      </c>
      <c r="B251" t="s">
        <v>1177</v>
      </c>
      <c r="C251" t="s">
        <v>1178</v>
      </c>
      <c r="D251" s="453">
        <v>328</v>
      </c>
      <c r="E251" s="453">
        <v>6</v>
      </c>
    </row>
    <row r="252" spans="1:7" hidden="1" outlineLevel="1" collapsed="1" x14ac:dyDescent="0.25">
      <c r="A252" s="452">
        <v>4512</v>
      </c>
      <c r="B252" t="s">
        <v>1179</v>
      </c>
      <c r="C252" t="s">
        <v>1180</v>
      </c>
      <c r="D252" s="453">
        <v>300</v>
      </c>
      <c r="E252" s="453">
        <v>300</v>
      </c>
      <c r="F252" s="453">
        <v>6</v>
      </c>
    </row>
    <row r="253" spans="1:7" hidden="1" outlineLevel="1" collapsed="1" x14ac:dyDescent="0.25">
      <c r="A253" s="452">
        <v>4513</v>
      </c>
      <c r="B253" t="s">
        <v>1181</v>
      </c>
      <c r="C253" t="s">
        <v>1182</v>
      </c>
      <c r="D253" s="453">
        <v>320</v>
      </c>
      <c r="E253" s="453">
        <v>320</v>
      </c>
      <c r="F253" s="453">
        <v>278</v>
      </c>
      <c r="G253" s="453">
        <v>456</v>
      </c>
    </row>
    <row r="254" spans="1:7" hidden="1" outlineLevel="1" collapsed="1" x14ac:dyDescent="0.25">
      <c r="A254" s="452">
        <v>4514</v>
      </c>
      <c r="B254" t="s">
        <v>1183</v>
      </c>
      <c r="C254" t="s">
        <v>1184</v>
      </c>
      <c r="D254" s="453">
        <v>346</v>
      </c>
      <c r="E254" s="453">
        <v>804</v>
      </c>
      <c r="F254" s="453">
        <v>622</v>
      </c>
      <c r="G254" s="453">
        <v>622</v>
      </c>
    </row>
    <row r="255" spans="1:7" hidden="1" outlineLevel="1" collapsed="1" x14ac:dyDescent="0.25">
      <c r="A255" s="452">
        <v>4515</v>
      </c>
      <c r="B255" t="s">
        <v>1185</v>
      </c>
      <c r="C255" t="s">
        <v>1186</v>
      </c>
      <c r="D255" s="453">
        <v>248</v>
      </c>
      <c r="E255" s="453">
        <v>238</v>
      </c>
      <c r="F255" s="453">
        <v>238</v>
      </c>
      <c r="G255" s="453">
        <v>504</v>
      </c>
    </row>
    <row r="256" spans="1:7" hidden="1" outlineLevel="1" collapsed="1" x14ac:dyDescent="0.25">
      <c r="A256" s="452">
        <v>4516</v>
      </c>
      <c r="B256" t="s">
        <v>1187</v>
      </c>
      <c r="C256" t="s">
        <v>1188</v>
      </c>
      <c r="D256" s="453">
        <v>972</v>
      </c>
      <c r="E256" s="453">
        <v>546</v>
      </c>
      <c r="F256" s="453">
        <v>684</v>
      </c>
      <c r="G256" s="453">
        <v>379</v>
      </c>
    </row>
    <row r="257" spans="1:7" hidden="1" outlineLevel="1" collapsed="1" x14ac:dyDescent="0.25">
      <c r="A257" s="452">
        <v>4517</v>
      </c>
      <c r="B257" t="s">
        <v>1189</v>
      </c>
      <c r="C257" t="s">
        <v>1190</v>
      </c>
      <c r="D257" s="453">
        <v>323</v>
      </c>
      <c r="E257" s="453">
        <v>309</v>
      </c>
      <c r="F257" s="453">
        <v>563</v>
      </c>
      <c r="G257" s="453">
        <v>801</v>
      </c>
    </row>
    <row r="258" spans="1:7" hidden="1" outlineLevel="1" collapsed="1" x14ac:dyDescent="0.25">
      <c r="A258" s="452">
        <v>4518</v>
      </c>
      <c r="B258" t="s">
        <v>1191</v>
      </c>
      <c r="C258" t="s">
        <v>1192</v>
      </c>
      <c r="F258" s="453">
        <v>231</v>
      </c>
      <c r="G258" s="453">
        <v>231</v>
      </c>
    </row>
    <row r="259" spans="1:7" hidden="1" outlineLevel="1" collapsed="1" x14ac:dyDescent="0.25">
      <c r="A259" s="452">
        <v>4519</v>
      </c>
      <c r="B259" t="s">
        <v>1193</v>
      </c>
      <c r="C259" t="s">
        <v>1194</v>
      </c>
      <c r="D259" s="453">
        <v>254</v>
      </c>
      <c r="E259" s="453">
        <v>254</v>
      </c>
    </row>
    <row r="260" spans="1:7" collapsed="1" x14ac:dyDescent="0.25">
      <c r="B260" t="s">
        <v>243</v>
      </c>
      <c r="C260" t="s">
        <v>242</v>
      </c>
      <c r="D260" s="453">
        <f>SUM(D250:D259)</f>
        <v>3391</v>
      </c>
      <c r="E260" s="453">
        <f>SUM(E250:E259)</f>
        <v>3077</v>
      </c>
      <c r="F260" s="453">
        <f>SUM(F250:F259)</f>
        <v>2922</v>
      </c>
      <c r="G260" s="453">
        <f>SUM(G250:G259)</f>
        <v>3002</v>
      </c>
    </row>
    <row r="262" spans="1:7" s="458" customFormat="1" ht="15.75" thickBot="1" x14ac:dyDescent="0.3">
      <c r="B262" s="458" t="s">
        <v>1195</v>
      </c>
      <c r="C262" s="458" t="s">
        <v>1196</v>
      </c>
      <c r="D262" s="459">
        <f>D246-D260</f>
        <v>1485829.3299999989</v>
      </c>
      <c r="E262" s="459">
        <f>E246-E260</f>
        <v>1854128.079999998</v>
      </c>
      <c r="F262" s="459">
        <f>F246-F260</f>
        <v>842636.84</v>
      </c>
      <c r="G262" s="459">
        <f>G246-G260</f>
        <v>995052.299999999</v>
      </c>
    </row>
    <row r="263" spans="1:7" ht="15.75" thickTop="1" x14ac:dyDescent="0.25">
      <c r="B263" t="s">
        <v>1121</v>
      </c>
      <c r="C263" t="s">
        <v>1122</v>
      </c>
      <c r="E263" s="457">
        <f>((E262)/(D262))-1</f>
        <v>0.24787419561841562</v>
      </c>
      <c r="F263" s="457">
        <f>((F262)/(E262))-1</f>
        <v>-0.54553471839982004</v>
      </c>
      <c r="G263" s="457">
        <f>((G262)/(F262))-1</f>
        <v>0.18087917922031393</v>
      </c>
    </row>
    <row r="264" spans="1:7" x14ac:dyDescent="0.25">
      <c r="B264" t="s">
        <v>1128</v>
      </c>
      <c r="C264" t="s">
        <v>1129</v>
      </c>
      <c r="D264" s="457">
        <f>(D262)/(D46)</f>
        <v>0.10399852251939846</v>
      </c>
      <c r="E264" s="457">
        <f>(E262)/(E46)</f>
        <v>0.11129320118179825</v>
      </c>
      <c r="F264" s="457">
        <f>(F262)/(F46)</f>
        <v>5.3661632522998201E-2</v>
      </c>
      <c r="G264" s="457">
        <f>(G262)/(G46)</f>
        <v>5.759961103377341E-2</v>
      </c>
    </row>
    <row r="268" spans="1:7" x14ac:dyDescent="0.25">
      <c r="B268" t="s">
        <v>1668</v>
      </c>
      <c r="C268" t="s">
        <v>2385</v>
      </c>
      <c r="D268" s="457">
        <f>(D66)/(D46)</f>
        <v>0.47446215957600324</v>
      </c>
      <c r="E268" s="457">
        <f>(E66)/(E46)</f>
        <v>0.45817495451000562</v>
      </c>
      <c r="F268" s="457">
        <f>(F66)/(F46)</f>
        <v>0.51497264125303421</v>
      </c>
      <c r="G268" s="457">
        <f>(G66)/(G46)</f>
        <v>0.48612022420271889</v>
      </c>
    </row>
    <row r="269" spans="1:7" x14ac:dyDescent="0.25">
      <c r="B269" t="s">
        <v>1670</v>
      </c>
      <c r="C269" t="s">
        <v>1671</v>
      </c>
      <c r="D269" s="457">
        <f>(D96)/(D46)</f>
        <v>0.23113003919651298</v>
      </c>
      <c r="E269" s="457">
        <f>(E96)/(E46)</f>
        <v>0.21393932830746112</v>
      </c>
      <c r="F269" s="457">
        <f>(F96)/(F46)</f>
        <v>0.23938335288052962</v>
      </c>
      <c r="G269" s="457">
        <f>(G96)/(G46)</f>
        <v>0.26178087467179062</v>
      </c>
    </row>
    <row r="270" spans="1:7" x14ac:dyDescent="0.25">
      <c r="B270" t="s">
        <v>1672</v>
      </c>
      <c r="C270" t="s">
        <v>1673</v>
      </c>
      <c r="D270" s="457">
        <f>(D214)/(D46)</f>
        <v>0.12012992601338525</v>
      </c>
      <c r="E270" s="457">
        <f>(E214)/(E46)</f>
        <v>0.13302058058458988</v>
      </c>
      <c r="F270" s="457">
        <f>(F214)/(F46)</f>
        <v>0.14405944993986466</v>
      </c>
      <c r="G270" s="457">
        <f>(G214)/(G46)</f>
        <v>0.15019979126071928</v>
      </c>
    </row>
  </sheetData>
  <conditionalFormatting sqref="I30">
    <cfRule type="duplicateValues" dxfId="106" priority="2"/>
  </conditionalFormatting>
  <conditionalFormatting sqref="I36">
    <cfRule type="duplicateValues" dxfId="105" priority="1"/>
  </conditionalFormatting>
  <conditionalFormatting sqref="I37">
    <cfRule type="duplicateValues" dxfId="104" priority="4"/>
  </conditionalFormatting>
  <conditionalFormatting sqref="I38">
    <cfRule type="duplicateValues" dxfId="103" priority="3"/>
  </conditionalFormatting>
  <conditionalFormatting sqref="I203">
    <cfRule type="duplicateValues" dxfId="102" priority="7"/>
  </conditionalFormatting>
  <conditionalFormatting sqref="I206">
    <cfRule type="duplicateValues" dxfId="101" priority="8"/>
  </conditionalFormatting>
  <conditionalFormatting sqref="I210">
    <cfRule type="duplicateValues" dxfId="100" priority="5"/>
  </conditionalFormatting>
  <pageMargins left="0.7" right="0.7" top="0.75" bottom="0.75" header="0.3" footer="0.3"/>
  <pageSetup orientation="portrait" horizontalDpi="4294967295" verticalDpi="4294967295"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4E4DC-8A4D-49FD-8927-0F39B0F1D646}">
  <sheetPr>
    <tabColor theme="9"/>
  </sheetPr>
  <dimension ref="A1:AN306"/>
  <sheetViews>
    <sheetView workbookViewId="0"/>
  </sheetViews>
  <sheetFormatPr defaultColWidth="8.85546875" defaultRowHeight="15" outlineLevelRow="1" x14ac:dyDescent="0.25"/>
  <cols>
    <col min="1" max="1" width="9" style="452" customWidth="1"/>
    <col min="2" max="4" width="50" customWidth="1"/>
    <col min="5" max="40" width="20" style="453" customWidth="1"/>
  </cols>
  <sheetData>
    <row r="1" spans="1:40" s="451" customFormat="1" x14ac:dyDescent="0.25">
      <c r="A1" s="448" t="s">
        <v>864</v>
      </c>
      <c r="B1" s="449"/>
      <c r="C1" s="449"/>
      <c r="D1" s="449" t="s">
        <v>1197</v>
      </c>
      <c r="E1" s="450" t="s">
        <v>1198</v>
      </c>
      <c r="F1" s="450" t="s">
        <v>1199</v>
      </c>
      <c r="G1" s="450" t="s">
        <v>1200</v>
      </c>
      <c r="H1" s="450" t="s">
        <v>1201</v>
      </c>
      <c r="I1" s="450" t="s">
        <v>1202</v>
      </c>
      <c r="J1" s="450" t="s">
        <v>1203</v>
      </c>
      <c r="K1" s="450" t="s">
        <v>1204</v>
      </c>
      <c r="L1" s="450" t="s">
        <v>1205</v>
      </c>
      <c r="M1" s="450" t="s">
        <v>1206</v>
      </c>
      <c r="N1" s="450" t="s">
        <v>1207</v>
      </c>
      <c r="O1" s="450" t="s">
        <v>1208</v>
      </c>
      <c r="P1" s="450" t="s">
        <v>1209</v>
      </c>
      <c r="Q1" s="450" t="s">
        <v>1210</v>
      </c>
      <c r="R1" s="450" t="s">
        <v>1211</v>
      </c>
      <c r="S1" s="450" t="s">
        <v>1212</v>
      </c>
      <c r="T1" s="450" t="s">
        <v>1213</v>
      </c>
      <c r="U1" s="450" t="s">
        <v>1214</v>
      </c>
      <c r="V1" s="450" t="s">
        <v>1215</v>
      </c>
      <c r="W1" s="450" t="s">
        <v>1216</v>
      </c>
      <c r="X1" s="450" t="s">
        <v>1217</v>
      </c>
      <c r="Y1" s="450" t="s">
        <v>1218</v>
      </c>
      <c r="Z1" s="450" t="s">
        <v>1219</v>
      </c>
      <c r="AA1" s="450" t="s">
        <v>1220</v>
      </c>
      <c r="AB1" s="450" t="s">
        <v>1221</v>
      </c>
      <c r="AC1" s="450" t="s">
        <v>1222</v>
      </c>
      <c r="AD1" s="450" t="s">
        <v>1223</v>
      </c>
      <c r="AE1" s="450" t="s">
        <v>1224</v>
      </c>
      <c r="AF1" s="450" t="s">
        <v>1225</v>
      </c>
      <c r="AG1" s="450" t="s">
        <v>1226</v>
      </c>
      <c r="AH1" s="450" t="s">
        <v>1227</v>
      </c>
      <c r="AI1" s="450" t="s">
        <v>1228</v>
      </c>
      <c r="AJ1" s="450" t="s">
        <v>1229</v>
      </c>
      <c r="AK1" s="450" t="s">
        <v>1230</v>
      </c>
      <c r="AL1" s="450" t="s">
        <v>1231</v>
      </c>
      <c r="AM1" s="450" t="s">
        <v>1232</v>
      </c>
      <c r="AN1" s="450" t="s">
        <v>1233</v>
      </c>
    </row>
    <row r="3" spans="1:40" outlineLevel="1" collapsed="1" x14ac:dyDescent="0.25">
      <c r="A3" s="452">
        <v>8120</v>
      </c>
      <c r="B3" t="s">
        <v>1083</v>
      </c>
      <c r="C3" t="s">
        <v>1084</v>
      </c>
      <c r="D3" t="s">
        <v>677</v>
      </c>
      <c r="E3" s="453">
        <f t="shared" ref="E3:E20" si="0">S3+R3+Q3+P3+O3+N3+M3+L3+K3+J3+I3+H3</f>
        <v>1694051.98</v>
      </c>
      <c r="F3" s="453">
        <f t="shared" ref="F3:F20" si="1">AE3+AD3+AC3+AB3+AA3+Z3+Y3+X3+W3+V3+U3+T3</f>
        <v>3023763.09</v>
      </c>
      <c r="G3" s="453">
        <f t="shared" ref="G3:G20" si="2">AN3+AM3+AL3+AK3+AJ3+AI3+AH3+AG3+AF3</f>
        <v>2274522.5</v>
      </c>
      <c r="H3" s="453">
        <v>89392.2</v>
      </c>
      <c r="I3" s="453">
        <v>20590.86</v>
      </c>
      <c r="J3" s="453">
        <v>84653.5</v>
      </c>
      <c r="K3" s="453">
        <v>110620.09999999998</v>
      </c>
      <c r="L3" s="453">
        <v>128840.45000000001</v>
      </c>
      <c r="M3" s="453">
        <v>156120</v>
      </c>
      <c r="N3" s="453">
        <v>173993.09999999998</v>
      </c>
      <c r="O3" s="453">
        <v>159137.75</v>
      </c>
      <c r="P3" s="453">
        <v>168836.04000000004</v>
      </c>
      <c r="Q3" s="453">
        <v>98145.600000000093</v>
      </c>
      <c r="R3" s="453">
        <v>13705.469999999972</v>
      </c>
      <c r="S3" s="453">
        <v>490016.90999999992</v>
      </c>
      <c r="T3" s="453">
        <v>160483.1</v>
      </c>
      <c r="U3" s="453">
        <v>115784.65</v>
      </c>
      <c r="V3" s="453">
        <v>326157.87</v>
      </c>
      <c r="W3" s="453">
        <v>63805.760000000009</v>
      </c>
      <c r="X3" s="453">
        <v>476816.1</v>
      </c>
      <c r="Y3" s="453">
        <v>42623</v>
      </c>
      <c r="Z3" s="453">
        <v>424530.60000000009</v>
      </c>
      <c r="AA3" s="453">
        <v>202868.11999999988</v>
      </c>
      <c r="AB3" s="453">
        <v>414303.59999999986</v>
      </c>
      <c r="AC3" s="453">
        <v>227593.34000000032</v>
      </c>
      <c r="AD3" s="453">
        <v>244423.10000000009</v>
      </c>
      <c r="AE3" s="453">
        <v>324373.84999999963</v>
      </c>
      <c r="AF3" s="453">
        <v>269102.5</v>
      </c>
      <c r="AG3" s="453">
        <v>401093</v>
      </c>
      <c r="AH3" s="453">
        <v>124215</v>
      </c>
      <c r="AI3" s="453">
        <v>263950</v>
      </c>
      <c r="AJ3" s="453">
        <v>425977.5</v>
      </c>
      <c r="AK3" s="453">
        <v>28714</v>
      </c>
      <c r="AL3" s="453">
        <v>156805.5</v>
      </c>
      <c r="AM3" s="453">
        <v>468961.5</v>
      </c>
      <c r="AN3" s="453">
        <v>135703.5</v>
      </c>
    </row>
    <row r="4" spans="1:40" outlineLevel="1" collapsed="1" x14ac:dyDescent="0.25">
      <c r="A4" s="452">
        <v>8125</v>
      </c>
      <c r="B4" t="s">
        <v>1085</v>
      </c>
      <c r="C4" t="s">
        <v>1086</v>
      </c>
      <c r="D4" t="s">
        <v>677</v>
      </c>
      <c r="E4" s="453">
        <f t="shared" si="0"/>
        <v>989149.91999999993</v>
      </c>
      <c r="F4" s="453">
        <f t="shared" si="1"/>
        <v>1330747.17</v>
      </c>
      <c r="G4" s="453">
        <f t="shared" si="2"/>
        <v>1141587.77</v>
      </c>
      <c r="H4" s="453">
        <v>55235.7</v>
      </c>
      <c r="I4" s="453">
        <v>138885.84999999998</v>
      </c>
      <c r="J4" s="453">
        <v>109319.40000000002</v>
      </c>
      <c r="K4" s="453">
        <v>79677.5</v>
      </c>
      <c r="L4" s="453">
        <v>37181.700000000012</v>
      </c>
      <c r="M4" s="453">
        <v>42471.719999999972</v>
      </c>
      <c r="N4" s="453">
        <v>133630.5</v>
      </c>
      <c r="O4" s="453">
        <v>25473.900000000023</v>
      </c>
      <c r="P4" s="453">
        <v>96728.099999999977</v>
      </c>
      <c r="Q4" s="453">
        <v>26858.900000000023</v>
      </c>
      <c r="R4" s="453">
        <v>171990.75</v>
      </c>
      <c r="S4" s="453">
        <v>71695.900000000023</v>
      </c>
      <c r="T4" s="453">
        <v>41676.54</v>
      </c>
      <c r="U4" s="453">
        <v>174351.55</v>
      </c>
      <c r="V4" s="453">
        <v>63358.649999999994</v>
      </c>
      <c r="W4" s="453">
        <v>104533.04999999999</v>
      </c>
      <c r="X4" s="453">
        <v>122467.72000000003</v>
      </c>
      <c r="Y4" s="453">
        <v>163217.69999999995</v>
      </c>
      <c r="Z4" s="453">
        <v>28250.400000000023</v>
      </c>
      <c r="AA4" s="453">
        <v>82160.20000000007</v>
      </c>
      <c r="AB4" s="453">
        <v>157675.80999999994</v>
      </c>
      <c r="AC4" s="453">
        <v>89071.300000000047</v>
      </c>
      <c r="AD4" s="453">
        <v>165577.79999999993</v>
      </c>
      <c r="AE4" s="453">
        <v>138406.44999999995</v>
      </c>
      <c r="AF4" s="453">
        <v>109141.9</v>
      </c>
      <c r="AG4" s="453">
        <v>157983.19999999998</v>
      </c>
      <c r="AH4" s="453">
        <v>88325.800000000047</v>
      </c>
      <c r="AI4" s="453">
        <v>90536.199999999953</v>
      </c>
      <c r="AJ4" s="453">
        <v>217128.01</v>
      </c>
      <c r="AK4" s="453">
        <v>202983.07000000007</v>
      </c>
      <c r="AL4" s="453">
        <v>57922.039999999921</v>
      </c>
      <c r="AM4" s="453">
        <v>116573.05000000005</v>
      </c>
      <c r="AN4" s="453">
        <v>100994.5</v>
      </c>
    </row>
    <row r="5" spans="1:40" outlineLevel="1" collapsed="1" x14ac:dyDescent="0.25">
      <c r="A5" s="452">
        <v>8140</v>
      </c>
      <c r="B5" t="s">
        <v>1087</v>
      </c>
      <c r="C5" t="s">
        <v>1234</v>
      </c>
      <c r="D5" t="s">
        <v>677</v>
      </c>
      <c r="E5" s="453">
        <f t="shared" si="0"/>
        <v>0</v>
      </c>
      <c r="F5" s="453">
        <f t="shared" si="1"/>
        <v>0</v>
      </c>
      <c r="G5" s="453">
        <f t="shared" si="2"/>
        <v>1050.5</v>
      </c>
      <c r="H5" s="453">
        <v>0</v>
      </c>
      <c r="I5" s="453">
        <v>0</v>
      </c>
      <c r="J5" s="453">
        <v>0</v>
      </c>
      <c r="K5" s="453">
        <v>0</v>
      </c>
      <c r="L5" s="453">
        <v>0</v>
      </c>
      <c r="M5" s="453">
        <v>0</v>
      </c>
      <c r="N5" s="453">
        <v>0</v>
      </c>
      <c r="O5" s="453">
        <v>0</v>
      </c>
      <c r="P5" s="453">
        <v>0</v>
      </c>
      <c r="Q5" s="453">
        <v>0</v>
      </c>
      <c r="R5" s="453">
        <v>0</v>
      </c>
      <c r="S5" s="453">
        <v>0</v>
      </c>
      <c r="T5" s="453">
        <v>0</v>
      </c>
      <c r="U5" s="453">
        <v>0</v>
      </c>
      <c r="V5" s="453">
        <v>0</v>
      </c>
      <c r="W5" s="453">
        <v>0</v>
      </c>
      <c r="X5" s="453">
        <v>0</v>
      </c>
      <c r="Y5" s="453">
        <v>0</v>
      </c>
      <c r="Z5" s="453">
        <v>0</v>
      </c>
      <c r="AA5" s="453">
        <v>0</v>
      </c>
      <c r="AB5" s="453">
        <v>0</v>
      </c>
      <c r="AC5" s="453">
        <v>0</v>
      </c>
      <c r="AD5" s="453">
        <v>0</v>
      </c>
      <c r="AE5" s="453">
        <v>0</v>
      </c>
      <c r="AF5" s="453">
        <v>0</v>
      </c>
      <c r="AG5" s="453">
        <v>0</v>
      </c>
      <c r="AH5" s="453">
        <v>1050.5</v>
      </c>
      <c r="AI5" s="453">
        <v>0</v>
      </c>
      <c r="AJ5" s="453">
        <v>0</v>
      </c>
      <c r="AK5" s="453">
        <v>0</v>
      </c>
      <c r="AL5" s="453">
        <v>0</v>
      </c>
      <c r="AM5" s="453">
        <v>0</v>
      </c>
      <c r="AN5" s="453">
        <v>0</v>
      </c>
    </row>
    <row r="6" spans="1:40" outlineLevel="1" collapsed="1" x14ac:dyDescent="0.25">
      <c r="A6" s="452">
        <v>8336</v>
      </c>
      <c r="B6" t="s">
        <v>1089</v>
      </c>
      <c r="C6" t="s">
        <v>1090</v>
      </c>
      <c r="D6" t="s">
        <v>677</v>
      </c>
      <c r="E6" s="453">
        <f t="shared" si="0"/>
        <v>138515</v>
      </c>
      <c r="F6" s="453">
        <f t="shared" si="1"/>
        <v>161171.35</v>
      </c>
      <c r="G6" s="453">
        <f t="shared" si="2"/>
        <v>145890</v>
      </c>
      <c r="H6" s="453">
        <v>5360</v>
      </c>
      <c r="I6" s="453">
        <v>6700</v>
      </c>
      <c r="J6" s="453">
        <v>16080</v>
      </c>
      <c r="K6" s="453">
        <v>9380</v>
      </c>
      <c r="L6" s="453">
        <v>6700</v>
      </c>
      <c r="M6" s="453">
        <v>25460</v>
      </c>
      <c r="N6" s="453">
        <v>20595</v>
      </c>
      <c r="O6" s="453">
        <v>8040</v>
      </c>
      <c r="P6" s="453">
        <v>0</v>
      </c>
      <c r="Q6" s="453">
        <v>18760</v>
      </c>
      <c r="R6" s="453">
        <v>9380</v>
      </c>
      <c r="S6" s="453">
        <v>12060</v>
      </c>
      <c r="T6" s="453">
        <v>14740</v>
      </c>
      <c r="U6" s="453">
        <v>10720</v>
      </c>
      <c r="V6" s="453">
        <v>14740</v>
      </c>
      <c r="W6" s="453">
        <v>11020</v>
      </c>
      <c r="X6" s="453">
        <v>25201.350000000006</v>
      </c>
      <c r="Y6" s="453">
        <v>12060</v>
      </c>
      <c r="Z6" s="453">
        <v>7385</v>
      </c>
      <c r="AA6" s="453">
        <v>12060</v>
      </c>
      <c r="AB6" s="453">
        <v>21440</v>
      </c>
      <c r="AC6" s="453">
        <v>18760</v>
      </c>
      <c r="AD6" s="453">
        <v>11020</v>
      </c>
      <c r="AE6" s="453">
        <v>2025</v>
      </c>
      <c r="AF6" s="453">
        <v>29300</v>
      </c>
      <c r="AG6" s="453">
        <v>1000</v>
      </c>
      <c r="AH6" s="453">
        <v>10005</v>
      </c>
      <c r="AI6" s="453">
        <v>30080</v>
      </c>
      <c r="AJ6" s="453">
        <v>15400</v>
      </c>
      <c r="AK6" s="453">
        <v>0</v>
      </c>
      <c r="AL6" s="453">
        <v>24880</v>
      </c>
      <c r="AM6" s="453">
        <v>20405</v>
      </c>
      <c r="AN6" s="453">
        <v>14820</v>
      </c>
    </row>
    <row r="7" spans="1:40" outlineLevel="1" collapsed="1" x14ac:dyDescent="0.25">
      <c r="A7" s="452">
        <v>8337</v>
      </c>
      <c r="B7" t="s">
        <v>1091</v>
      </c>
      <c r="C7" t="s">
        <v>1092</v>
      </c>
      <c r="D7" t="s">
        <v>677</v>
      </c>
      <c r="E7" s="453">
        <f t="shared" si="0"/>
        <v>468.5</v>
      </c>
      <c r="F7" s="453">
        <f t="shared" si="1"/>
        <v>600</v>
      </c>
      <c r="G7" s="453">
        <f t="shared" si="2"/>
        <v>313.25</v>
      </c>
      <c r="H7" s="453">
        <v>45</v>
      </c>
      <c r="I7" s="453">
        <v>36</v>
      </c>
      <c r="J7" s="453">
        <v>27</v>
      </c>
      <c r="K7" s="453">
        <v>0</v>
      </c>
      <c r="L7" s="453">
        <v>24</v>
      </c>
      <c r="M7" s="453">
        <v>88.5</v>
      </c>
      <c r="N7" s="453">
        <v>32.25</v>
      </c>
      <c r="O7" s="453">
        <v>57.75</v>
      </c>
      <c r="P7" s="453">
        <v>33.5</v>
      </c>
      <c r="Q7" s="453">
        <v>0</v>
      </c>
      <c r="R7" s="453">
        <v>74.25</v>
      </c>
      <c r="S7" s="453">
        <v>50.25</v>
      </c>
      <c r="T7" s="453">
        <v>38.25</v>
      </c>
      <c r="U7" s="453">
        <v>69</v>
      </c>
      <c r="V7" s="453">
        <v>33.75</v>
      </c>
      <c r="W7" s="453">
        <v>40.5</v>
      </c>
      <c r="X7" s="453">
        <v>65.25</v>
      </c>
      <c r="Y7" s="453">
        <v>29.25</v>
      </c>
      <c r="Z7" s="453">
        <v>76.5</v>
      </c>
      <c r="AA7" s="453">
        <v>19.5</v>
      </c>
      <c r="AB7" s="453">
        <v>60.5</v>
      </c>
      <c r="AC7" s="453">
        <v>29.25</v>
      </c>
      <c r="AD7" s="453">
        <v>77</v>
      </c>
      <c r="AE7" s="453">
        <v>61.25</v>
      </c>
      <c r="AF7" s="453">
        <v>20.25</v>
      </c>
      <c r="AG7" s="453">
        <v>54.75</v>
      </c>
      <c r="AH7" s="453">
        <v>33</v>
      </c>
      <c r="AI7" s="453">
        <v>70</v>
      </c>
      <c r="AJ7" s="453">
        <v>30</v>
      </c>
      <c r="AK7" s="453">
        <v>25</v>
      </c>
      <c r="AL7" s="453">
        <v>26.75</v>
      </c>
      <c r="AM7" s="453">
        <v>39.5</v>
      </c>
      <c r="AN7" s="453">
        <v>14</v>
      </c>
    </row>
    <row r="8" spans="1:40" outlineLevel="1" collapsed="1" x14ac:dyDescent="0.25">
      <c r="A8" s="452">
        <v>8338</v>
      </c>
      <c r="B8" t="s">
        <v>1093</v>
      </c>
      <c r="C8" t="s">
        <v>1094</v>
      </c>
      <c r="D8" t="s">
        <v>677</v>
      </c>
      <c r="E8" s="453">
        <f t="shared" si="0"/>
        <v>33986.81</v>
      </c>
      <c r="F8" s="453">
        <f t="shared" si="1"/>
        <v>75638.34</v>
      </c>
      <c r="G8" s="453">
        <f t="shared" si="2"/>
        <v>22167.190000000002</v>
      </c>
      <c r="H8" s="453">
        <v>1339.87</v>
      </c>
      <c r="I8" s="453">
        <v>1440</v>
      </c>
      <c r="J8" s="453">
        <v>5358.72</v>
      </c>
      <c r="K8" s="453">
        <v>2378.4799999999996</v>
      </c>
      <c r="L8" s="453">
        <v>1344.8199999999997</v>
      </c>
      <c r="M8" s="453">
        <v>3626.66</v>
      </c>
      <c r="N8" s="453">
        <v>5225</v>
      </c>
      <c r="O8" s="453">
        <v>2444.34</v>
      </c>
      <c r="P8" s="453">
        <v>2951.4000000000015</v>
      </c>
      <c r="Q8" s="453">
        <v>3402.4799999999996</v>
      </c>
      <c r="R8" s="453">
        <v>5698.1400000000031</v>
      </c>
      <c r="S8" s="453">
        <v>-1223.1000000000058</v>
      </c>
      <c r="T8" s="453">
        <v>765</v>
      </c>
      <c r="U8" s="453">
        <v>10697.38</v>
      </c>
      <c r="V8" s="453">
        <v>11966.320000000002</v>
      </c>
      <c r="W8" s="453">
        <v>1972.739999999998</v>
      </c>
      <c r="X8" s="453">
        <v>3874.5600000000013</v>
      </c>
      <c r="Y8" s="453">
        <v>3183.4900000000016</v>
      </c>
      <c r="Z8" s="453">
        <v>7544.9999999999964</v>
      </c>
      <c r="AA8" s="453">
        <v>3045</v>
      </c>
      <c r="AB8" s="453">
        <v>5150</v>
      </c>
      <c r="AC8" s="453">
        <v>5000</v>
      </c>
      <c r="AD8" s="453">
        <v>1000</v>
      </c>
      <c r="AE8" s="453">
        <v>21438.85</v>
      </c>
      <c r="AF8" s="453">
        <v>3892.4</v>
      </c>
      <c r="AG8" s="453">
        <v>499.99999999999955</v>
      </c>
      <c r="AH8" s="453">
        <v>3500</v>
      </c>
      <c r="AI8" s="453">
        <v>650</v>
      </c>
      <c r="AJ8" s="453">
        <v>0</v>
      </c>
      <c r="AK8" s="453">
        <v>4125</v>
      </c>
      <c r="AL8" s="453">
        <v>4000.0000000000018</v>
      </c>
      <c r="AM8" s="453">
        <v>1499.7899999999972</v>
      </c>
      <c r="AN8" s="453">
        <v>4000</v>
      </c>
    </row>
    <row r="9" spans="1:40" outlineLevel="1" collapsed="1" x14ac:dyDescent="0.25">
      <c r="A9" s="452">
        <v>8400</v>
      </c>
      <c r="B9" t="s">
        <v>1099</v>
      </c>
      <c r="C9" t="s">
        <v>1100</v>
      </c>
      <c r="D9" t="s">
        <v>677</v>
      </c>
      <c r="E9" s="453">
        <f t="shared" si="0"/>
        <v>6489093.5299999993</v>
      </c>
      <c r="F9" s="453">
        <f t="shared" si="1"/>
        <v>6958228.2800000003</v>
      </c>
      <c r="G9" s="453">
        <f t="shared" si="2"/>
        <v>4848832.2300000004</v>
      </c>
      <c r="H9" s="453">
        <v>441002.82</v>
      </c>
      <c r="I9" s="453">
        <v>507608.92</v>
      </c>
      <c r="J9" s="453">
        <v>679471.23</v>
      </c>
      <c r="K9" s="453">
        <v>554500.88000000012</v>
      </c>
      <c r="L9" s="453">
        <v>555494.85000000009</v>
      </c>
      <c r="M9" s="453">
        <v>446956.0299999998</v>
      </c>
      <c r="N9" s="453">
        <v>428850.99000000022</v>
      </c>
      <c r="O9" s="453">
        <v>659713.35000000009</v>
      </c>
      <c r="P9" s="453">
        <v>496736.56999999937</v>
      </c>
      <c r="Q9" s="453">
        <v>514784.3200000003</v>
      </c>
      <c r="R9" s="453">
        <v>670617.53000000026</v>
      </c>
      <c r="S9" s="453">
        <v>533356.04</v>
      </c>
      <c r="T9" s="453">
        <v>553822.75</v>
      </c>
      <c r="U9" s="453">
        <v>636174.97</v>
      </c>
      <c r="V9" s="453">
        <v>723982.40999999992</v>
      </c>
      <c r="W9" s="453">
        <v>672920.05000000028</v>
      </c>
      <c r="X9" s="453">
        <v>682662.89999999991</v>
      </c>
      <c r="Y9" s="453">
        <v>434790</v>
      </c>
      <c r="Z9" s="453">
        <v>616736.95000000019</v>
      </c>
      <c r="AA9" s="453">
        <v>416581.01999999955</v>
      </c>
      <c r="AB9" s="453">
        <v>529327.03000000026</v>
      </c>
      <c r="AC9" s="453">
        <v>572625.88999999966</v>
      </c>
      <c r="AD9" s="453">
        <v>589693.72000000067</v>
      </c>
      <c r="AE9" s="453">
        <v>528910.58999999985</v>
      </c>
      <c r="AF9" s="453">
        <v>552681.97</v>
      </c>
      <c r="AG9" s="453">
        <v>619140.14000000013</v>
      </c>
      <c r="AH9" s="453">
        <v>594706.31999999983</v>
      </c>
      <c r="AI9" s="453">
        <v>623840.40999999992</v>
      </c>
      <c r="AJ9" s="453">
        <v>530898.53000000026</v>
      </c>
      <c r="AK9" s="453">
        <v>527144.46999999974</v>
      </c>
      <c r="AL9" s="453">
        <v>430071</v>
      </c>
      <c r="AM9" s="453">
        <v>466485.45999999996</v>
      </c>
      <c r="AN9" s="453">
        <v>503863.93000000063</v>
      </c>
    </row>
    <row r="10" spans="1:40" outlineLevel="1" collapsed="1" x14ac:dyDescent="0.25">
      <c r="A10" s="452">
        <v>8401</v>
      </c>
      <c r="B10" t="s">
        <v>1101</v>
      </c>
      <c r="C10" t="s">
        <v>1235</v>
      </c>
      <c r="D10" t="s">
        <v>677</v>
      </c>
      <c r="E10" s="453">
        <f t="shared" si="0"/>
        <v>5988361.0199999986</v>
      </c>
      <c r="F10" s="453">
        <f t="shared" si="1"/>
        <v>5070747.21</v>
      </c>
      <c r="G10" s="453">
        <f t="shared" si="2"/>
        <v>3033922.29</v>
      </c>
      <c r="H10" s="453">
        <v>468819.57</v>
      </c>
      <c r="I10" s="453">
        <v>508913.63999999996</v>
      </c>
      <c r="J10" s="453">
        <v>553739.02</v>
      </c>
      <c r="K10" s="453">
        <v>577863.37999999989</v>
      </c>
      <c r="L10" s="453">
        <v>499869.86000000034</v>
      </c>
      <c r="M10" s="453">
        <v>558147.87999999989</v>
      </c>
      <c r="N10" s="453">
        <v>461534.56000000006</v>
      </c>
      <c r="O10" s="453">
        <v>508620.7799999998</v>
      </c>
      <c r="P10" s="453">
        <v>540180.2200000002</v>
      </c>
      <c r="Q10" s="453">
        <v>423660.87999999989</v>
      </c>
      <c r="R10" s="453">
        <v>455508.95999999996</v>
      </c>
      <c r="S10" s="453">
        <v>431502.26999999955</v>
      </c>
      <c r="T10" s="453">
        <v>500401.64</v>
      </c>
      <c r="U10" s="453">
        <v>433688.72</v>
      </c>
      <c r="V10" s="453">
        <v>519328.93000000005</v>
      </c>
      <c r="W10" s="453">
        <v>484470.49</v>
      </c>
      <c r="X10" s="453">
        <v>446476.8600000001</v>
      </c>
      <c r="Y10" s="453">
        <v>439429</v>
      </c>
      <c r="Z10" s="453">
        <v>413357.35000000009</v>
      </c>
      <c r="AA10" s="453">
        <v>547369.09999999963</v>
      </c>
      <c r="AB10" s="453">
        <v>290889.24000000022</v>
      </c>
      <c r="AC10" s="453">
        <v>422664.76999999955</v>
      </c>
      <c r="AD10" s="453">
        <v>312387.59000000078</v>
      </c>
      <c r="AE10" s="453">
        <v>260283.51999999955</v>
      </c>
      <c r="AF10" s="453">
        <v>362229.69</v>
      </c>
      <c r="AG10" s="453">
        <v>292079.07</v>
      </c>
      <c r="AH10" s="453">
        <v>298149.69999999995</v>
      </c>
      <c r="AI10" s="453">
        <v>363694.51</v>
      </c>
      <c r="AJ10" s="453">
        <v>322835.94999999995</v>
      </c>
      <c r="AK10" s="453">
        <v>297215.95999999996</v>
      </c>
      <c r="AL10" s="453">
        <v>428783.37000000011</v>
      </c>
      <c r="AM10" s="453">
        <v>302838.62000000011</v>
      </c>
      <c r="AN10" s="453">
        <v>366095.41999999993</v>
      </c>
    </row>
    <row r="11" spans="1:40" outlineLevel="1" collapsed="1" x14ac:dyDescent="0.25">
      <c r="A11" s="452">
        <v>8402</v>
      </c>
      <c r="B11" t="s">
        <v>1102</v>
      </c>
      <c r="C11" t="s">
        <v>1103</v>
      </c>
      <c r="D11" t="s">
        <v>677</v>
      </c>
      <c r="E11" s="453">
        <f t="shared" si="0"/>
        <v>77148.799999999988</v>
      </c>
      <c r="F11" s="453">
        <f t="shared" si="1"/>
        <v>81261.37</v>
      </c>
      <c r="G11" s="453">
        <f t="shared" si="2"/>
        <v>73319.50999999998</v>
      </c>
      <c r="H11" s="453">
        <v>2606.87</v>
      </c>
      <c r="I11" s="453">
        <v>5926.31</v>
      </c>
      <c r="J11" s="453">
        <v>2654.4300000000003</v>
      </c>
      <c r="K11" s="453">
        <v>9782.5099999999984</v>
      </c>
      <c r="L11" s="453">
        <v>3760.5</v>
      </c>
      <c r="M11" s="453">
        <v>9656.2500000000036</v>
      </c>
      <c r="N11" s="453">
        <v>8164.32</v>
      </c>
      <c r="O11" s="453">
        <v>6324.8299999999945</v>
      </c>
      <c r="P11" s="453">
        <v>7149.0200000000041</v>
      </c>
      <c r="Q11" s="453">
        <v>9560.760000000002</v>
      </c>
      <c r="R11" s="453">
        <v>4199.1699999999983</v>
      </c>
      <c r="S11" s="453">
        <v>7363.8300000000017</v>
      </c>
      <c r="T11" s="453">
        <v>9701.17</v>
      </c>
      <c r="U11" s="453">
        <v>5226.8600000000006</v>
      </c>
      <c r="V11" s="453">
        <v>9557.69</v>
      </c>
      <c r="W11" s="453">
        <v>6640.4499999999971</v>
      </c>
      <c r="X11" s="453">
        <v>3170.8800000000047</v>
      </c>
      <c r="Y11" s="453">
        <v>14505.61</v>
      </c>
      <c r="Z11" s="453">
        <v>4025.6699999999983</v>
      </c>
      <c r="AA11" s="453">
        <v>4540.2599999999948</v>
      </c>
      <c r="AB11" s="453">
        <v>7189.2100000000064</v>
      </c>
      <c r="AC11" s="453">
        <v>9204.2299999999959</v>
      </c>
      <c r="AD11" s="453">
        <v>2310.6699999999983</v>
      </c>
      <c r="AE11" s="453">
        <v>5188.6699999999983</v>
      </c>
      <c r="AF11" s="453">
        <v>8101.01</v>
      </c>
      <c r="AG11" s="453">
        <v>7963.0599999999995</v>
      </c>
      <c r="AH11" s="453">
        <v>12064.560000000001</v>
      </c>
      <c r="AI11" s="453">
        <v>882.86999999999898</v>
      </c>
      <c r="AJ11" s="453">
        <v>8400</v>
      </c>
      <c r="AK11" s="453">
        <v>6195.6699999999983</v>
      </c>
      <c r="AL11" s="453">
        <v>13729.919999999998</v>
      </c>
      <c r="AM11" s="453">
        <v>7867.1600000000035</v>
      </c>
      <c r="AN11" s="453">
        <v>8115.2599999999948</v>
      </c>
    </row>
    <row r="12" spans="1:40" outlineLevel="1" collapsed="1" x14ac:dyDescent="0.25">
      <c r="A12" s="452">
        <v>8403</v>
      </c>
      <c r="B12" t="s">
        <v>1104</v>
      </c>
      <c r="C12" t="s">
        <v>1105</v>
      </c>
      <c r="D12" t="s">
        <v>677</v>
      </c>
      <c r="E12" s="453">
        <f t="shared" si="0"/>
        <v>64515.5</v>
      </c>
      <c r="F12" s="453">
        <f t="shared" si="1"/>
        <v>88513.8</v>
      </c>
      <c r="G12" s="453">
        <f t="shared" si="2"/>
        <v>56660.800000000003</v>
      </c>
      <c r="H12" s="453">
        <v>39386.5</v>
      </c>
      <c r="I12" s="453">
        <v>1827</v>
      </c>
      <c r="J12" s="453">
        <v>690</v>
      </c>
      <c r="K12" s="453">
        <v>0</v>
      </c>
      <c r="L12" s="453">
        <v>0</v>
      </c>
      <c r="M12" s="453">
        <v>1950</v>
      </c>
      <c r="N12" s="453">
        <v>1227</v>
      </c>
      <c r="O12" s="453">
        <v>3250</v>
      </c>
      <c r="P12" s="453">
        <v>1750</v>
      </c>
      <c r="Q12" s="453">
        <v>0</v>
      </c>
      <c r="R12" s="453">
        <v>6020</v>
      </c>
      <c r="S12" s="453">
        <v>8415</v>
      </c>
      <c r="T12" s="453">
        <v>47490.8</v>
      </c>
      <c r="U12" s="453">
        <v>5820</v>
      </c>
      <c r="V12" s="453">
        <v>4081</v>
      </c>
      <c r="W12" s="453">
        <v>538</v>
      </c>
      <c r="X12" s="453">
        <v>1956</v>
      </c>
      <c r="Y12" s="453">
        <v>0</v>
      </c>
      <c r="Z12" s="453">
        <v>2550</v>
      </c>
      <c r="AA12" s="453">
        <v>7428</v>
      </c>
      <c r="AB12" s="453">
        <v>7450</v>
      </c>
      <c r="AC12" s="453">
        <v>1300</v>
      </c>
      <c r="AD12" s="453">
        <v>4750</v>
      </c>
      <c r="AE12" s="453">
        <v>5150</v>
      </c>
      <c r="AF12" s="453">
        <v>24143</v>
      </c>
      <c r="AG12" s="453">
        <v>2758.7999999999993</v>
      </c>
      <c r="AH12" s="453">
        <v>0</v>
      </c>
      <c r="AI12" s="453">
        <v>309</v>
      </c>
      <c r="AJ12" s="453">
        <v>7550.0000000000036</v>
      </c>
      <c r="AK12" s="453">
        <v>3250</v>
      </c>
      <c r="AL12" s="453">
        <v>8800</v>
      </c>
      <c r="AM12" s="453">
        <v>4900</v>
      </c>
      <c r="AN12" s="453">
        <v>4950</v>
      </c>
    </row>
    <row r="13" spans="1:40" outlineLevel="1" collapsed="1" x14ac:dyDescent="0.25">
      <c r="A13" s="452">
        <v>8404</v>
      </c>
      <c r="B13" t="s">
        <v>1106</v>
      </c>
      <c r="C13" t="s">
        <v>1107</v>
      </c>
      <c r="D13" t="s">
        <v>677</v>
      </c>
      <c r="E13" s="453">
        <f t="shared" si="0"/>
        <v>48320</v>
      </c>
      <c r="F13" s="453">
        <f t="shared" si="1"/>
        <v>41699</v>
      </c>
      <c r="G13" s="453">
        <f t="shared" si="2"/>
        <v>19770</v>
      </c>
      <c r="H13" s="453">
        <v>0</v>
      </c>
      <c r="I13" s="453">
        <v>39790</v>
      </c>
      <c r="J13" s="453">
        <v>8480</v>
      </c>
      <c r="K13" s="453">
        <v>5840</v>
      </c>
      <c r="L13" s="453">
        <v>-18260</v>
      </c>
      <c r="M13" s="453">
        <v>240</v>
      </c>
      <c r="N13" s="453">
        <v>2040</v>
      </c>
      <c r="O13" s="453">
        <v>240</v>
      </c>
      <c r="P13" s="453">
        <v>240</v>
      </c>
      <c r="Q13" s="453">
        <v>5990</v>
      </c>
      <c r="R13" s="453">
        <v>1860</v>
      </c>
      <c r="S13" s="453">
        <v>1860</v>
      </c>
      <c r="T13" s="453">
        <v>21790</v>
      </c>
      <c r="U13" s="453">
        <v>986</v>
      </c>
      <c r="V13" s="453">
        <v>860</v>
      </c>
      <c r="W13" s="453">
        <v>2860</v>
      </c>
      <c r="X13" s="453">
        <v>683</v>
      </c>
      <c r="Y13" s="453">
        <v>360</v>
      </c>
      <c r="Z13" s="453">
        <v>360</v>
      </c>
      <c r="AA13" s="453">
        <v>360</v>
      </c>
      <c r="AB13" s="453">
        <v>2360</v>
      </c>
      <c r="AC13" s="453">
        <v>3360</v>
      </c>
      <c r="AD13" s="453">
        <v>5360</v>
      </c>
      <c r="AE13" s="453">
        <v>2360</v>
      </c>
      <c r="AF13" s="453">
        <v>8130</v>
      </c>
      <c r="AG13" s="453">
        <v>1330</v>
      </c>
      <c r="AH13" s="453">
        <v>330</v>
      </c>
      <c r="AI13" s="453">
        <v>3830</v>
      </c>
      <c r="AJ13" s="453">
        <v>330</v>
      </c>
      <c r="AK13" s="453">
        <v>830</v>
      </c>
      <c r="AL13" s="453">
        <v>330</v>
      </c>
      <c r="AM13" s="453">
        <v>1830</v>
      </c>
      <c r="AN13" s="453">
        <v>2830</v>
      </c>
    </row>
    <row r="14" spans="1:40" outlineLevel="1" collapsed="1" x14ac:dyDescent="0.25">
      <c r="A14" s="452">
        <v>8520</v>
      </c>
      <c r="B14" t="s">
        <v>1108</v>
      </c>
      <c r="C14" t="s">
        <v>1109</v>
      </c>
      <c r="D14" t="s">
        <v>677</v>
      </c>
      <c r="E14" s="453">
        <f t="shared" si="0"/>
        <v>1395.3999999999999</v>
      </c>
      <c r="F14" s="453">
        <f t="shared" si="1"/>
        <v>3457.4000000000005</v>
      </c>
      <c r="G14" s="453">
        <f t="shared" si="2"/>
        <v>2627.1</v>
      </c>
      <c r="H14" s="453">
        <v>38</v>
      </c>
      <c r="I14" s="453">
        <v>68.599999999999994</v>
      </c>
      <c r="J14" s="453">
        <v>118.30000000000001</v>
      </c>
      <c r="K14" s="453">
        <v>0</v>
      </c>
      <c r="L14" s="453">
        <v>105.74999999999997</v>
      </c>
      <c r="M14" s="453">
        <v>240.95000000000005</v>
      </c>
      <c r="N14" s="453">
        <v>91.350000000000023</v>
      </c>
      <c r="O14" s="453">
        <v>114.75</v>
      </c>
      <c r="P14" s="453">
        <v>139.04999999999995</v>
      </c>
      <c r="Q14" s="453">
        <v>0</v>
      </c>
      <c r="R14" s="453">
        <v>358.65000000000009</v>
      </c>
      <c r="S14" s="453">
        <v>120</v>
      </c>
      <c r="T14" s="453">
        <v>173.4</v>
      </c>
      <c r="U14" s="453">
        <v>167.4</v>
      </c>
      <c r="V14" s="453">
        <v>214.8</v>
      </c>
      <c r="W14" s="453">
        <v>183.39999999999998</v>
      </c>
      <c r="X14" s="453">
        <v>391.5</v>
      </c>
      <c r="Y14" s="453">
        <v>201.09999999999991</v>
      </c>
      <c r="Z14" s="453">
        <v>561</v>
      </c>
      <c r="AA14" s="453">
        <v>315.70000000000027</v>
      </c>
      <c r="AB14" s="453">
        <v>381</v>
      </c>
      <c r="AC14" s="453">
        <v>370.79999999999973</v>
      </c>
      <c r="AD14" s="453">
        <v>346.5</v>
      </c>
      <c r="AE14" s="453">
        <v>150.80000000000018</v>
      </c>
      <c r="AF14" s="453">
        <v>241.4</v>
      </c>
      <c r="AG14" s="453">
        <v>371.70000000000005</v>
      </c>
      <c r="AH14" s="453">
        <v>224</v>
      </c>
      <c r="AI14" s="453">
        <v>494.99999999999989</v>
      </c>
      <c r="AJ14" s="453">
        <v>396</v>
      </c>
      <c r="AK14" s="453">
        <v>260.70000000000005</v>
      </c>
      <c r="AL14" s="453">
        <v>207.89999999999986</v>
      </c>
      <c r="AM14" s="453">
        <v>225.60000000000036</v>
      </c>
      <c r="AN14" s="453">
        <v>204.79999999999973</v>
      </c>
    </row>
    <row r="15" spans="1:40" outlineLevel="1" collapsed="1" x14ac:dyDescent="0.25">
      <c r="A15" s="452">
        <v>8730</v>
      </c>
      <c r="B15" t="s">
        <v>1110</v>
      </c>
      <c r="C15" t="s">
        <v>1111</v>
      </c>
      <c r="D15" t="s">
        <v>677</v>
      </c>
      <c r="E15" s="453">
        <f t="shared" si="0"/>
        <v>-632.17999999999984</v>
      </c>
      <c r="F15" s="453">
        <f t="shared" si="1"/>
        <v>-655.09</v>
      </c>
      <c r="G15" s="453">
        <f t="shared" si="2"/>
        <v>-57.67</v>
      </c>
      <c r="H15" s="453">
        <v>0</v>
      </c>
      <c r="I15" s="453">
        <v>0</v>
      </c>
      <c r="J15" s="453">
        <v>-43.3</v>
      </c>
      <c r="K15" s="453">
        <v>0</v>
      </c>
      <c r="L15" s="453">
        <v>0</v>
      </c>
      <c r="M15" s="453">
        <v>-193.39999999999998</v>
      </c>
      <c r="N15" s="453">
        <v>0</v>
      </c>
      <c r="O15" s="453">
        <v>-6.4000000000000057</v>
      </c>
      <c r="P15" s="453">
        <v>-91.580000000000013</v>
      </c>
      <c r="Q15" s="453">
        <v>-297.49999999999994</v>
      </c>
      <c r="R15" s="453">
        <v>0</v>
      </c>
      <c r="S15" s="453">
        <v>0</v>
      </c>
      <c r="T15" s="453">
        <v>0</v>
      </c>
      <c r="U15" s="453">
        <v>-280</v>
      </c>
      <c r="V15" s="453">
        <v>-6.5500000000000114</v>
      </c>
      <c r="W15" s="453">
        <v>0</v>
      </c>
      <c r="X15" s="453">
        <v>0</v>
      </c>
      <c r="Y15" s="453">
        <v>0</v>
      </c>
      <c r="Z15" s="453">
        <v>-85.199999999999989</v>
      </c>
      <c r="AA15" s="453">
        <v>-6.5400000000000205</v>
      </c>
      <c r="AB15" s="453">
        <v>-179.45</v>
      </c>
      <c r="AC15" s="453">
        <v>-85.200000000000045</v>
      </c>
      <c r="AD15" s="453">
        <v>0</v>
      </c>
      <c r="AE15" s="453">
        <v>-12.149999999999977</v>
      </c>
      <c r="AF15" s="453">
        <v>0</v>
      </c>
      <c r="AG15" s="453">
        <v>-6.63</v>
      </c>
      <c r="AH15" s="453">
        <v>0</v>
      </c>
      <c r="AI15" s="453">
        <v>0</v>
      </c>
      <c r="AJ15" s="453">
        <v>-4.0000000000000036E-2</v>
      </c>
      <c r="AK15" s="453">
        <v>-9.5000000000000018</v>
      </c>
      <c r="AL15" s="453">
        <v>-41.5</v>
      </c>
      <c r="AM15" s="453">
        <v>0</v>
      </c>
      <c r="AN15" s="453">
        <v>0</v>
      </c>
    </row>
    <row r="16" spans="1:40" outlineLevel="1" collapsed="1" x14ac:dyDescent="0.25">
      <c r="A16" s="452">
        <v>8736</v>
      </c>
      <c r="B16" t="s">
        <v>1113</v>
      </c>
      <c r="C16" t="s">
        <v>1114</v>
      </c>
      <c r="D16" t="s">
        <v>677</v>
      </c>
      <c r="E16" s="453">
        <f t="shared" si="0"/>
        <v>-177100.63</v>
      </c>
      <c r="F16" s="453">
        <f t="shared" si="1"/>
        <v>-159415.34</v>
      </c>
      <c r="G16" s="453">
        <f t="shared" si="2"/>
        <v>-117845.91</v>
      </c>
      <c r="H16" s="453">
        <v>-14953.35</v>
      </c>
      <c r="I16" s="453">
        <v>-14305.63</v>
      </c>
      <c r="J16" s="453">
        <v>-14529.149999999998</v>
      </c>
      <c r="K16" s="453">
        <v>-15916.170000000006</v>
      </c>
      <c r="L16" s="453">
        <v>-14000</v>
      </c>
      <c r="M16" s="453">
        <v>-14383.64</v>
      </c>
      <c r="N16" s="453">
        <v>-16865.669999999998</v>
      </c>
      <c r="O16" s="453">
        <v>-14415.050000000003</v>
      </c>
      <c r="P16" s="453">
        <v>-15143.419999999984</v>
      </c>
      <c r="Q16" s="453">
        <v>-15024.790000000008</v>
      </c>
      <c r="R16" s="453">
        <v>-14330.330000000016</v>
      </c>
      <c r="S16" s="453">
        <v>-13233.429999999993</v>
      </c>
      <c r="T16" s="453">
        <v>-9824.91</v>
      </c>
      <c r="U16" s="453">
        <v>-14633.599999999999</v>
      </c>
      <c r="V16" s="453">
        <v>-14224.3</v>
      </c>
      <c r="W16" s="453">
        <v>-13508.990000000005</v>
      </c>
      <c r="X16" s="453">
        <v>-16578.369999999995</v>
      </c>
      <c r="Y16" s="453">
        <v>-13452.270000000004</v>
      </c>
      <c r="Z16" s="453">
        <v>-16065.929999999993</v>
      </c>
      <c r="AA16" s="453">
        <v>-11622.400000000009</v>
      </c>
      <c r="AB16" s="453">
        <v>-12540.199999999997</v>
      </c>
      <c r="AC16" s="453">
        <v>-13525.559999999998</v>
      </c>
      <c r="AD16" s="453">
        <v>-12556.940000000002</v>
      </c>
      <c r="AE16" s="453">
        <v>-10881.869999999995</v>
      </c>
      <c r="AF16" s="453">
        <v>-11095.82</v>
      </c>
      <c r="AG16" s="453">
        <v>-10651.23</v>
      </c>
      <c r="AH16" s="453">
        <v>-13331.369999999999</v>
      </c>
      <c r="AI16" s="453">
        <v>-13976.760000000002</v>
      </c>
      <c r="AJ16" s="453">
        <v>-13152.099999999999</v>
      </c>
      <c r="AK16" s="453">
        <v>-13528.830000000002</v>
      </c>
      <c r="AL16" s="453">
        <v>-13617.520000000004</v>
      </c>
      <c r="AM16" s="453">
        <v>-11593.929999999993</v>
      </c>
      <c r="AN16" s="453">
        <v>-16898.350000000006</v>
      </c>
    </row>
    <row r="17" spans="1:40" outlineLevel="1" collapsed="1" x14ac:dyDescent="0.25">
      <c r="A17" s="452">
        <v>8743</v>
      </c>
      <c r="B17" t="s">
        <v>1115</v>
      </c>
      <c r="C17" t="s">
        <v>1116</v>
      </c>
      <c r="D17" t="s">
        <v>677</v>
      </c>
      <c r="E17" s="453">
        <f t="shared" si="0"/>
        <v>-9226.66</v>
      </c>
      <c r="F17" s="453">
        <f t="shared" si="1"/>
        <v>-11224.600000000002</v>
      </c>
      <c r="G17" s="453">
        <f t="shared" si="2"/>
        <v>-7021.66</v>
      </c>
      <c r="H17" s="453">
        <v>-282.95999999999998</v>
      </c>
      <c r="I17" s="453">
        <v>-1762.2</v>
      </c>
      <c r="J17" s="453">
        <v>0</v>
      </c>
      <c r="K17" s="453">
        <v>-605.72</v>
      </c>
      <c r="L17" s="453">
        <v>-826.86999999999989</v>
      </c>
      <c r="M17" s="453">
        <v>-608.34999999999991</v>
      </c>
      <c r="N17" s="453">
        <v>-163.36000000000013</v>
      </c>
      <c r="O17" s="453">
        <v>-957.5600000000004</v>
      </c>
      <c r="P17" s="453">
        <v>-597.54</v>
      </c>
      <c r="Q17" s="453">
        <v>-987.4399999999996</v>
      </c>
      <c r="R17" s="453">
        <v>-1174.7600000000002</v>
      </c>
      <c r="S17" s="453">
        <v>-1259.8999999999996</v>
      </c>
      <c r="T17" s="453">
        <v>-180.51</v>
      </c>
      <c r="U17" s="453">
        <v>-2397.7600000000002</v>
      </c>
      <c r="V17" s="453">
        <v>-314.02</v>
      </c>
      <c r="W17" s="453">
        <v>-934.34000000000015</v>
      </c>
      <c r="X17" s="453">
        <v>-1590.6899999999996</v>
      </c>
      <c r="Y17" s="453">
        <v>-776.93000000000029</v>
      </c>
      <c r="Z17" s="453">
        <v>-494</v>
      </c>
      <c r="AA17" s="453">
        <v>-340.53999999999996</v>
      </c>
      <c r="AB17" s="453">
        <v>-567.9399999999996</v>
      </c>
      <c r="AC17" s="453">
        <v>-1775.8500000000004</v>
      </c>
      <c r="AD17" s="453">
        <v>-1687.5200000000004</v>
      </c>
      <c r="AE17" s="453">
        <v>-164.5</v>
      </c>
      <c r="AF17" s="453">
        <v>-711.9</v>
      </c>
      <c r="AG17" s="453">
        <v>-904.30000000000007</v>
      </c>
      <c r="AH17" s="453">
        <v>-934.22</v>
      </c>
      <c r="AI17" s="453">
        <v>-958.73999999999978</v>
      </c>
      <c r="AJ17" s="453">
        <v>-1425.88</v>
      </c>
      <c r="AK17" s="453">
        <v>-577.07999999999993</v>
      </c>
      <c r="AL17" s="453">
        <v>-372.40000000000055</v>
      </c>
      <c r="AM17" s="453">
        <v>-869.83999999999924</v>
      </c>
      <c r="AN17" s="453">
        <v>-267.30000000000018</v>
      </c>
    </row>
    <row r="18" spans="1:40" outlineLevel="1" collapsed="1" x14ac:dyDescent="0.25">
      <c r="A18" s="452">
        <v>8760</v>
      </c>
      <c r="B18" t="s">
        <v>1117</v>
      </c>
      <c r="C18" t="s">
        <v>1118</v>
      </c>
      <c r="D18" t="s">
        <v>677</v>
      </c>
      <c r="E18" s="453">
        <f t="shared" si="0"/>
        <v>-18212.07</v>
      </c>
      <c r="F18" s="453">
        <f t="shared" si="1"/>
        <v>-2195.94</v>
      </c>
      <c r="G18" s="453">
        <f t="shared" si="2"/>
        <v>-1111.1199999999999</v>
      </c>
      <c r="H18" s="453">
        <v>0</v>
      </c>
      <c r="I18" s="453">
        <v>0</v>
      </c>
      <c r="J18" s="453">
        <v>0</v>
      </c>
      <c r="K18" s="453">
        <v>-7236.08</v>
      </c>
      <c r="L18" s="453">
        <v>0</v>
      </c>
      <c r="M18" s="453">
        <v>0</v>
      </c>
      <c r="N18" s="453">
        <v>-220.61999999999989</v>
      </c>
      <c r="O18" s="453">
        <v>0</v>
      </c>
      <c r="P18" s="453">
        <v>0</v>
      </c>
      <c r="Q18" s="453">
        <v>-1215.3599999999997</v>
      </c>
      <c r="R18" s="453">
        <v>0</v>
      </c>
      <c r="S18" s="453">
        <v>-9540.01</v>
      </c>
      <c r="T18" s="453">
        <v>0</v>
      </c>
      <c r="U18" s="453">
        <v>-522.29999999999995</v>
      </c>
      <c r="V18" s="453">
        <v>0</v>
      </c>
      <c r="W18" s="453">
        <v>-1673.64</v>
      </c>
      <c r="X18" s="453">
        <v>0</v>
      </c>
      <c r="Y18" s="453">
        <v>0</v>
      </c>
      <c r="Z18" s="453">
        <v>0</v>
      </c>
      <c r="AA18" s="453">
        <v>0</v>
      </c>
      <c r="AB18" s="453">
        <v>0</v>
      </c>
      <c r="AC18" s="453">
        <v>0</v>
      </c>
      <c r="AD18" s="453">
        <v>0</v>
      </c>
      <c r="AE18" s="453">
        <v>0</v>
      </c>
      <c r="AF18" s="453">
        <v>0</v>
      </c>
      <c r="AG18" s="453">
        <v>0</v>
      </c>
      <c r="AH18" s="453">
        <v>0</v>
      </c>
      <c r="AI18" s="453">
        <v>0</v>
      </c>
      <c r="AJ18" s="453">
        <v>-1111.1199999999999</v>
      </c>
      <c r="AK18" s="453">
        <v>0</v>
      </c>
      <c r="AL18" s="453">
        <v>0</v>
      </c>
      <c r="AM18" s="453">
        <v>0</v>
      </c>
      <c r="AN18" s="453">
        <v>0</v>
      </c>
    </row>
    <row r="19" spans="1:40" outlineLevel="1" collapsed="1" x14ac:dyDescent="0.25">
      <c r="A19" s="452">
        <v>8769</v>
      </c>
      <c r="B19" t="s">
        <v>1119</v>
      </c>
      <c r="C19" t="s">
        <v>1236</v>
      </c>
      <c r="D19" t="s">
        <v>677</v>
      </c>
      <c r="E19" s="453">
        <f t="shared" si="0"/>
        <v>-2195.94</v>
      </c>
      <c r="F19" s="453">
        <f t="shared" si="1"/>
        <v>1084.82</v>
      </c>
      <c r="G19" s="453">
        <f t="shared" si="2"/>
        <v>1111.1199999999999</v>
      </c>
      <c r="H19" s="453">
        <v>0</v>
      </c>
      <c r="I19" s="453">
        <v>0</v>
      </c>
      <c r="J19" s="453">
        <v>0</v>
      </c>
      <c r="K19" s="453">
        <v>0</v>
      </c>
      <c r="L19" s="453">
        <v>0</v>
      </c>
      <c r="M19" s="453">
        <v>0</v>
      </c>
      <c r="N19" s="453">
        <v>0</v>
      </c>
      <c r="O19" s="453">
        <v>0</v>
      </c>
      <c r="P19" s="453">
        <v>0</v>
      </c>
      <c r="Q19" s="453">
        <v>0</v>
      </c>
      <c r="R19" s="453">
        <v>0</v>
      </c>
      <c r="S19" s="453">
        <v>-2195.94</v>
      </c>
      <c r="T19" s="453">
        <v>0</v>
      </c>
      <c r="U19" s="453">
        <v>0</v>
      </c>
      <c r="V19" s="453">
        <v>0</v>
      </c>
      <c r="W19" s="453">
        <v>0</v>
      </c>
      <c r="X19" s="453">
        <v>0</v>
      </c>
      <c r="Y19" s="453">
        <v>2195.94</v>
      </c>
      <c r="Z19" s="453">
        <v>0</v>
      </c>
      <c r="AA19" s="453">
        <v>0</v>
      </c>
      <c r="AB19" s="453">
        <v>0</v>
      </c>
      <c r="AC19" s="453">
        <v>0</v>
      </c>
      <c r="AD19" s="453">
        <v>0</v>
      </c>
      <c r="AE19" s="453">
        <v>-1111.1200000000001</v>
      </c>
      <c r="AF19" s="453">
        <v>0</v>
      </c>
      <c r="AG19" s="453">
        <v>0</v>
      </c>
      <c r="AH19" s="453">
        <v>0</v>
      </c>
      <c r="AI19" s="453">
        <v>0</v>
      </c>
      <c r="AJ19" s="453">
        <v>1111.1199999999999</v>
      </c>
      <c r="AK19" s="453">
        <v>0</v>
      </c>
      <c r="AL19" s="453">
        <v>0</v>
      </c>
      <c r="AM19" s="453">
        <v>0</v>
      </c>
      <c r="AN19" s="453">
        <v>0</v>
      </c>
    </row>
    <row r="20" spans="1:40" outlineLevel="1" collapsed="1" x14ac:dyDescent="0.25">
      <c r="A20" s="452">
        <v>8950</v>
      </c>
      <c r="B20" t="s">
        <v>1237</v>
      </c>
      <c r="C20" t="s">
        <v>1238</v>
      </c>
      <c r="D20" t="s">
        <v>677</v>
      </c>
      <c r="E20" s="453">
        <f t="shared" si="0"/>
        <v>0</v>
      </c>
      <c r="F20" s="453">
        <f t="shared" si="1"/>
        <v>0</v>
      </c>
      <c r="G20" s="453">
        <f t="shared" si="2"/>
        <v>0</v>
      </c>
      <c r="H20" s="453">
        <v>0</v>
      </c>
      <c r="I20" s="453">
        <v>0</v>
      </c>
      <c r="J20" s="453">
        <v>0</v>
      </c>
      <c r="K20" s="453">
        <v>0</v>
      </c>
      <c r="L20" s="453">
        <v>0</v>
      </c>
      <c r="M20" s="453">
        <v>0</v>
      </c>
      <c r="N20" s="453">
        <v>0</v>
      </c>
      <c r="O20" s="453">
        <v>0</v>
      </c>
      <c r="P20" s="453">
        <v>0</v>
      </c>
      <c r="Q20" s="453">
        <v>0</v>
      </c>
      <c r="R20" s="453">
        <v>0</v>
      </c>
      <c r="S20" s="453">
        <v>0</v>
      </c>
      <c r="T20" s="453">
        <v>0</v>
      </c>
      <c r="U20" s="453">
        <v>0</v>
      </c>
      <c r="V20" s="453">
        <v>0</v>
      </c>
      <c r="W20" s="453">
        <v>0</v>
      </c>
      <c r="X20" s="453">
        <v>0</v>
      </c>
      <c r="Y20" s="453">
        <v>0</v>
      </c>
      <c r="Z20" s="453">
        <v>0</v>
      </c>
      <c r="AA20" s="453">
        <v>0</v>
      </c>
      <c r="AB20" s="453">
        <v>0</v>
      </c>
      <c r="AC20" s="453">
        <v>500</v>
      </c>
      <c r="AD20" s="453">
        <v>100</v>
      </c>
      <c r="AE20" s="453">
        <v>-600</v>
      </c>
      <c r="AF20" s="453">
        <v>0</v>
      </c>
      <c r="AG20" s="453">
        <v>0</v>
      </c>
      <c r="AH20" s="453">
        <v>0</v>
      </c>
      <c r="AI20" s="453">
        <v>0</v>
      </c>
      <c r="AJ20" s="453">
        <v>0</v>
      </c>
      <c r="AK20" s="453">
        <v>0</v>
      </c>
      <c r="AL20" s="453">
        <v>0</v>
      </c>
      <c r="AM20" s="453">
        <v>0</v>
      </c>
      <c r="AN20" s="453">
        <v>0</v>
      </c>
    </row>
    <row r="21" spans="1:40" s="455" customFormat="1" x14ac:dyDescent="0.25">
      <c r="B21" s="455" t="s">
        <v>267</v>
      </c>
      <c r="C21" s="455" t="s">
        <v>210</v>
      </c>
      <c r="E21" s="456">
        <f t="shared" ref="E21:AN21" si="3">SUM(E3:E20)</f>
        <v>15317638.979999999</v>
      </c>
      <c r="F21" s="456">
        <f t="shared" si="3"/>
        <v>16663420.859999999</v>
      </c>
      <c r="G21" s="456">
        <f t="shared" si="3"/>
        <v>11495737.9</v>
      </c>
      <c r="H21" s="456">
        <f t="shared" si="3"/>
        <v>1087990.22</v>
      </c>
      <c r="I21" s="456">
        <f t="shared" si="3"/>
        <v>1215719.3500000001</v>
      </c>
      <c r="J21" s="456">
        <f t="shared" si="3"/>
        <v>1446019.1500000001</v>
      </c>
      <c r="K21" s="456">
        <f t="shared" si="3"/>
        <v>1326284.8799999999</v>
      </c>
      <c r="L21" s="456">
        <f t="shared" si="3"/>
        <v>1200235.0600000003</v>
      </c>
      <c r="M21" s="456">
        <f t="shared" si="3"/>
        <v>1229772.5999999996</v>
      </c>
      <c r="N21" s="456">
        <f t="shared" si="3"/>
        <v>1218134.4200000004</v>
      </c>
      <c r="O21" s="456">
        <f t="shared" si="3"/>
        <v>1358038.44</v>
      </c>
      <c r="P21" s="456">
        <f t="shared" si="3"/>
        <v>1298911.3599999996</v>
      </c>
      <c r="Q21" s="456">
        <f t="shared" si="3"/>
        <v>1083637.8500000001</v>
      </c>
      <c r="R21" s="456">
        <f t="shared" si="3"/>
        <v>1323907.8299999998</v>
      </c>
      <c r="S21" s="456">
        <f t="shared" si="3"/>
        <v>1528987.8199999998</v>
      </c>
      <c r="T21" s="456">
        <f t="shared" si="3"/>
        <v>1341077.23</v>
      </c>
      <c r="U21" s="456">
        <f t="shared" si="3"/>
        <v>1375852.8699999999</v>
      </c>
      <c r="V21" s="456">
        <f t="shared" si="3"/>
        <v>1659736.55</v>
      </c>
      <c r="W21" s="456">
        <f t="shared" si="3"/>
        <v>1332867.4700000002</v>
      </c>
      <c r="X21" s="456">
        <f t="shared" si="3"/>
        <v>1745597.06</v>
      </c>
      <c r="Y21" s="456">
        <f t="shared" si="3"/>
        <v>1098365.8900000001</v>
      </c>
      <c r="Z21" s="456">
        <f t="shared" si="3"/>
        <v>1488733.3400000003</v>
      </c>
      <c r="AA21" s="456">
        <f t="shared" si="3"/>
        <v>1264777.419999999</v>
      </c>
      <c r="AB21" s="456">
        <f t="shared" si="3"/>
        <v>1422938.8000000003</v>
      </c>
      <c r="AC21" s="456">
        <f t="shared" si="3"/>
        <v>1335092.9699999995</v>
      </c>
      <c r="AD21" s="456">
        <f t="shared" si="3"/>
        <v>1322801.9200000013</v>
      </c>
      <c r="AE21" s="456">
        <f t="shared" si="3"/>
        <v>1275579.3399999989</v>
      </c>
      <c r="AF21" s="456">
        <f t="shared" si="3"/>
        <v>1355176.4</v>
      </c>
      <c r="AG21" s="456">
        <f t="shared" si="3"/>
        <v>1472711.5600000003</v>
      </c>
      <c r="AH21" s="456">
        <f t="shared" si="3"/>
        <v>1118338.2899999998</v>
      </c>
      <c r="AI21" s="456">
        <f t="shared" si="3"/>
        <v>1363402.49</v>
      </c>
      <c r="AJ21" s="456">
        <f t="shared" si="3"/>
        <v>1514367.9700000002</v>
      </c>
      <c r="AK21" s="456">
        <f t="shared" si="3"/>
        <v>1056628.4599999995</v>
      </c>
      <c r="AL21" s="456">
        <f t="shared" si="3"/>
        <v>1111525.06</v>
      </c>
      <c r="AM21" s="456">
        <f t="shared" si="3"/>
        <v>1379161.9100000001</v>
      </c>
      <c r="AN21" s="456">
        <f t="shared" si="3"/>
        <v>1124425.7600000005</v>
      </c>
    </row>
    <row r="22" spans="1:40" x14ac:dyDescent="0.25">
      <c r="B22" t="s">
        <v>1121</v>
      </c>
      <c r="C22" t="s">
        <v>1122</v>
      </c>
      <c r="F22" s="457">
        <f>((F21)/(E21))-1</f>
        <v>8.7858310393472916E-2</v>
      </c>
      <c r="G22" s="457">
        <f>((G21)/(F21))-1</f>
        <v>-0.31012137324124445</v>
      </c>
      <c r="I22" s="457">
        <f t="shared" ref="I22:AN22" si="4">((I21)/(H21))-1</f>
        <v>0.1173991527240017</v>
      </c>
      <c r="J22" s="457">
        <f t="shared" si="4"/>
        <v>0.18943500405747438</v>
      </c>
      <c r="K22" s="457">
        <f t="shared" si="4"/>
        <v>-8.2802686257647529E-2</v>
      </c>
      <c r="L22" s="457">
        <f t="shared" si="4"/>
        <v>-9.5039777577800355E-2</v>
      </c>
      <c r="M22" s="457">
        <f t="shared" si="4"/>
        <v>2.4609796017789565E-2</v>
      </c>
      <c r="N22" s="457">
        <f t="shared" si="4"/>
        <v>-9.4636845868896202E-3</v>
      </c>
      <c r="O22" s="457">
        <f t="shared" si="4"/>
        <v>0.11485105231654114</v>
      </c>
      <c r="P22" s="457">
        <f t="shared" si="4"/>
        <v>-4.3538590851670111E-2</v>
      </c>
      <c r="Q22" s="457">
        <f t="shared" si="4"/>
        <v>-0.16573379572259617</v>
      </c>
      <c r="R22" s="457">
        <f t="shared" si="4"/>
        <v>0.22172534855625403</v>
      </c>
      <c r="S22" s="457">
        <f t="shared" si="4"/>
        <v>0.15490503594951921</v>
      </c>
      <c r="T22" s="457">
        <f t="shared" si="4"/>
        <v>-0.12289868339173549</v>
      </c>
      <c r="U22" s="457">
        <f t="shared" si="4"/>
        <v>2.5931124041230547E-2</v>
      </c>
      <c r="V22" s="457">
        <f t="shared" si="4"/>
        <v>0.20633287627622576</v>
      </c>
      <c r="W22" s="457">
        <f t="shared" si="4"/>
        <v>-0.19694033971837266</v>
      </c>
      <c r="X22" s="457">
        <f t="shared" si="4"/>
        <v>0.30965538531749126</v>
      </c>
      <c r="Y22" s="457">
        <f t="shared" si="4"/>
        <v>-0.37077925073957207</v>
      </c>
      <c r="Z22" s="457">
        <f t="shared" si="4"/>
        <v>0.35540747719323296</v>
      </c>
      <c r="AA22" s="457">
        <f t="shared" si="4"/>
        <v>-0.15043387152194854</v>
      </c>
      <c r="AB22" s="457">
        <f t="shared" si="4"/>
        <v>0.12505076189611408</v>
      </c>
      <c r="AC22" s="457">
        <f t="shared" si="4"/>
        <v>-6.1735494175856886E-2</v>
      </c>
      <c r="AD22" s="457">
        <f t="shared" si="4"/>
        <v>-9.2061379066344928E-3</v>
      </c>
      <c r="AE22" s="457">
        <f t="shared" si="4"/>
        <v>-3.5698904942625398E-2</v>
      </c>
      <c r="AF22" s="457">
        <f t="shared" si="4"/>
        <v>6.2400712761623289E-2</v>
      </c>
      <c r="AG22" s="457">
        <f t="shared" si="4"/>
        <v>8.6730524528024766E-2</v>
      </c>
      <c r="AH22" s="457">
        <f t="shared" si="4"/>
        <v>-0.24062639258430241</v>
      </c>
      <c r="AI22" s="457">
        <f t="shared" si="4"/>
        <v>0.21913244157990897</v>
      </c>
      <c r="AJ22" s="457">
        <f t="shared" si="4"/>
        <v>0.11072700916073597</v>
      </c>
      <c r="AK22" s="457">
        <f t="shared" si="4"/>
        <v>-0.30226438954595736</v>
      </c>
      <c r="AL22" s="457">
        <f t="shared" si="4"/>
        <v>5.1954496853132914E-2</v>
      </c>
      <c r="AM22" s="457">
        <f t="shared" si="4"/>
        <v>0.24078346015878416</v>
      </c>
      <c r="AN22" s="457">
        <f t="shared" si="4"/>
        <v>-0.18470358567254774</v>
      </c>
    </row>
    <row r="24" spans="1:40" outlineLevel="1" collapsed="1" x14ac:dyDescent="0.25">
      <c r="A24" s="452">
        <v>8960</v>
      </c>
      <c r="B24" t="s">
        <v>1123</v>
      </c>
      <c r="C24" t="s">
        <v>1124</v>
      </c>
      <c r="D24" t="s">
        <v>684</v>
      </c>
      <c r="E24" s="453">
        <f>S24+R24+Q24+P24+O24+N24+M24+L24+K24+J24+I24+H24</f>
        <v>111810.32</v>
      </c>
      <c r="F24" s="453">
        <f>AE24+AD24+AC24+AB24+AA24+Z24+Y24+X24+W24+V24+U24+T24</f>
        <v>-106972.6</v>
      </c>
      <c r="G24" s="453">
        <f>AN24+AM24+AL24+AK24+AJ24+AI24+AH24+AG24+AF24</f>
        <v>0</v>
      </c>
      <c r="H24" s="453">
        <v>0</v>
      </c>
      <c r="I24" s="453">
        <v>0</v>
      </c>
      <c r="J24" s="453">
        <v>0</v>
      </c>
      <c r="K24" s="453">
        <v>0</v>
      </c>
      <c r="L24" s="453">
        <v>0</v>
      </c>
      <c r="M24" s="453">
        <v>36964.480000000003</v>
      </c>
      <c r="N24" s="453">
        <v>0</v>
      </c>
      <c r="O24" s="453">
        <v>0</v>
      </c>
      <c r="P24" s="453">
        <v>38187.139999999992</v>
      </c>
      <c r="Q24" s="453">
        <v>0</v>
      </c>
      <c r="R24" s="453">
        <v>0</v>
      </c>
      <c r="S24" s="453">
        <v>36658.700000000012</v>
      </c>
      <c r="T24" s="453">
        <v>0</v>
      </c>
      <c r="U24" s="453">
        <v>0</v>
      </c>
      <c r="V24" s="453">
        <v>0</v>
      </c>
      <c r="W24" s="453">
        <v>0</v>
      </c>
      <c r="X24" s="453">
        <v>0</v>
      </c>
      <c r="Y24" s="453">
        <v>46548.9</v>
      </c>
      <c r="Z24" s="453">
        <v>0</v>
      </c>
      <c r="AA24" s="453">
        <v>0</v>
      </c>
      <c r="AB24" s="453">
        <v>0</v>
      </c>
      <c r="AC24" s="453">
        <v>0</v>
      </c>
      <c r="AD24" s="453">
        <v>0</v>
      </c>
      <c r="AE24" s="453">
        <v>-153521.5</v>
      </c>
      <c r="AF24" s="453">
        <v>0</v>
      </c>
      <c r="AG24" s="453">
        <v>0</v>
      </c>
      <c r="AH24" s="453">
        <v>0</v>
      </c>
      <c r="AI24" s="453">
        <v>0</v>
      </c>
      <c r="AJ24" s="453">
        <v>0</v>
      </c>
      <c r="AK24" s="453">
        <v>0</v>
      </c>
      <c r="AL24" s="453">
        <v>0</v>
      </c>
      <c r="AM24" s="453">
        <v>0</v>
      </c>
      <c r="AN24" s="453">
        <v>0</v>
      </c>
    </row>
    <row r="25" spans="1:40" outlineLevel="1" collapsed="1" x14ac:dyDescent="0.25">
      <c r="A25" s="452">
        <v>8980</v>
      </c>
      <c r="B25" t="s">
        <v>1125</v>
      </c>
      <c r="C25" t="s">
        <v>1126</v>
      </c>
      <c r="D25" t="s">
        <v>684</v>
      </c>
      <c r="E25" s="453">
        <f>S25+R25+Q25+P25+O25+N25+M25+L25+K25+J25+I25+H25</f>
        <v>87766.81</v>
      </c>
      <c r="F25" s="453">
        <f>AE25+AD25+AC25+AB25+AA25+Z25+Y25+X25+W25+V25+U25+T25</f>
        <v>457767.74</v>
      </c>
      <c r="G25" s="453">
        <f>AN25+AM25+AL25+AK25+AJ25+AI25+AH25+AG25+AF25</f>
        <v>0</v>
      </c>
      <c r="H25" s="453">
        <v>0</v>
      </c>
      <c r="I25" s="453">
        <v>0</v>
      </c>
      <c r="J25" s="453">
        <v>0</v>
      </c>
      <c r="K25" s="453">
        <v>0</v>
      </c>
      <c r="L25" s="453">
        <v>0</v>
      </c>
      <c r="M25" s="453">
        <v>104062.85</v>
      </c>
      <c r="N25" s="453">
        <v>0</v>
      </c>
      <c r="O25" s="453">
        <v>0</v>
      </c>
      <c r="P25" s="453">
        <v>-18174.150000000009</v>
      </c>
      <c r="Q25" s="453">
        <v>0</v>
      </c>
      <c r="R25" s="453">
        <v>0</v>
      </c>
      <c r="S25" s="453">
        <v>1878.1100000000006</v>
      </c>
      <c r="T25" s="453">
        <v>0</v>
      </c>
      <c r="U25" s="453">
        <v>0</v>
      </c>
      <c r="V25" s="453">
        <v>0</v>
      </c>
      <c r="W25" s="453">
        <v>0</v>
      </c>
      <c r="X25" s="453">
        <v>0</v>
      </c>
      <c r="Y25" s="453">
        <v>63359.82</v>
      </c>
      <c r="Z25" s="453">
        <v>0</v>
      </c>
      <c r="AA25" s="453">
        <v>0</v>
      </c>
      <c r="AB25" s="453">
        <v>0</v>
      </c>
      <c r="AC25" s="453">
        <v>0</v>
      </c>
      <c r="AD25" s="453">
        <v>0</v>
      </c>
      <c r="AE25" s="453">
        <v>394407.92</v>
      </c>
      <c r="AF25" s="453">
        <v>0</v>
      </c>
      <c r="AG25" s="453">
        <v>0</v>
      </c>
      <c r="AH25" s="453">
        <v>0</v>
      </c>
      <c r="AI25" s="453">
        <v>0</v>
      </c>
      <c r="AJ25" s="453">
        <v>0</v>
      </c>
      <c r="AK25" s="453">
        <v>0</v>
      </c>
      <c r="AL25" s="453">
        <v>0</v>
      </c>
      <c r="AM25" s="453">
        <v>0</v>
      </c>
      <c r="AN25" s="453">
        <v>0</v>
      </c>
    </row>
    <row r="26" spans="1:40" s="451" customFormat="1" x14ac:dyDescent="0.25">
      <c r="B26" s="451" t="s">
        <v>1239</v>
      </c>
      <c r="C26" s="451" t="s">
        <v>1240</v>
      </c>
      <c r="E26" s="460">
        <f t="shared" ref="E26:AN26" si="5">SUM(E24:E25)</f>
        <v>199577.13</v>
      </c>
      <c r="F26" s="460">
        <f t="shared" si="5"/>
        <v>350795.14</v>
      </c>
      <c r="G26" s="460">
        <f t="shared" si="5"/>
        <v>0</v>
      </c>
      <c r="H26" s="460">
        <f t="shared" si="5"/>
        <v>0</v>
      </c>
      <c r="I26" s="460">
        <f t="shared" si="5"/>
        <v>0</v>
      </c>
      <c r="J26" s="460">
        <f t="shared" si="5"/>
        <v>0</v>
      </c>
      <c r="K26" s="460">
        <f t="shared" si="5"/>
        <v>0</v>
      </c>
      <c r="L26" s="460">
        <f t="shared" si="5"/>
        <v>0</v>
      </c>
      <c r="M26" s="460">
        <f t="shared" si="5"/>
        <v>141027.33000000002</v>
      </c>
      <c r="N26" s="460">
        <f t="shared" si="5"/>
        <v>0</v>
      </c>
      <c r="O26" s="460">
        <f t="shared" si="5"/>
        <v>0</v>
      </c>
      <c r="P26" s="460">
        <f t="shared" si="5"/>
        <v>20012.989999999983</v>
      </c>
      <c r="Q26" s="460">
        <f t="shared" si="5"/>
        <v>0</v>
      </c>
      <c r="R26" s="460">
        <f t="shared" si="5"/>
        <v>0</v>
      </c>
      <c r="S26" s="460">
        <f t="shared" si="5"/>
        <v>38536.810000000012</v>
      </c>
      <c r="T26" s="460">
        <f t="shared" si="5"/>
        <v>0</v>
      </c>
      <c r="U26" s="460">
        <f t="shared" si="5"/>
        <v>0</v>
      </c>
      <c r="V26" s="460">
        <f t="shared" si="5"/>
        <v>0</v>
      </c>
      <c r="W26" s="460">
        <f t="shared" si="5"/>
        <v>0</v>
      </c>
      <c r="X26" s="460">
        <f t="shared" si="5"/>
        <v>0</v>
      </c>
      <c r="Y26" s="460">
        <f t="shared" si="5"/>
        <v>109908.72</v>
      </c>
      <c r="Z26" s="460">
        <f t="shared" si="5"/>
        <v>0</v>
      </c>
      <c r="AA26" s="460">
        <f t="shared" si="5"/>
        <v>0</v>
      </c>
      <c r="AB26" s="460">
        <f t="shared" si="5"/>
        <v>0</v>
      </c>
      <c r="AC26" s="460">
        <f t="shared" si="5"/>
        <v>0</v>
      </c>
      <c r="AD26" s="460">
        <f t="shared" si="5"/>
        <v>0</v>
      </c>
      <c r="AE26" s="460">
        <f t="shared" si="5"/>
        <v>240886.41999999998</v>
      </c>
      <c r="AF26" s="460">
        <f t="shared" si="5"/>
        <v>0</v>
      </c>
      <c r="AG26" s="460">
        <f t="shared" si="5"/>
        <v>0</v>
      </c>
      <c r="AH26" s="460">
        <f t="shared" si="5"/>
        <v>0</v>
      </c>
      <c r="AI26" s="460">
        <f t="shared" si="5"/>
        <v>0</v>
      </c>
      <c r="AJ26" s="460">
        <f t="shared" si="5"/>
        <v>0</v>
      </c>
      <c r="AK26" s="460">
        <f t="shared" si="5"/>
        <v>0</v>
      </c>
      <c r="AL26" s="460">
        <f t="shared" si="5"/>
        <v>0</v>
      </c>
      <c r="AM26" s="460">
        <f t="shared" si="5"/>
        <v>0</v>
      </c>
      <c r="AN26" s="460">
        <f t="shared" si="5"/>
        <v>0</v>
      </c>
    </row>
    <row r="28" spans="1:40" outlineLevel="1" collapsed="1" x14ac:dyDescent="0.25">
      <c r="A28" s="452">
        <v>2315</v>
      </c>
      <c r="B28" t="s">
        <v>1241</v>
      </c>
      <c r="C28" t="s">
        <v>1242</v>
      </c>
      <c r="D28" t="s">
        <v>690</v>
      </c>
      <c r="E28" s="453">
        <f t="shared" ref="E28:E43" si="6">S28+R28+Q28+P28+O28+N28+M28+L28+K28+J28+I28+H28</f>
        <v>-48305</v>
      </c>
      <c r="F28" s="453">
        <f t="shared" ref="F28:F43" si="7">AE28+AD28+AC28+AB28+AA28+Z28+Y28+X28+W28+V28+U28+T28</f>
        <v>-276857</v>
      </c>
      <c r="G28" s="453">
        <f t="shared" ref="G28:G43" si="8">AN28+AM28+AL28+AK28+AJ28+AI28+AH28+AG28+AF28</f>
        <v>-19289</v>
      </c>
      <c r="H28" s="453">
        <v>-11930</v>
      </c>
      <c r="I28" s="453">
        <v>0</v>
      </c>
      <c r="J28" s="453">
        <v>-9831</v>
      </c>
      <c r="K28" s="453">
        <v>0</v>
      </c>
      <c r="L28" s="453">
        <v>-18538</v>
      </c>
      <c r="M28" s="453">
        <v>0</v>
      </c>
      <c r="N28" s="453">
        <v>-2954</v>
      </c>
      <c r="O28" s="453">
        <v>0</v>
      </c>
      <c r="P28" s="453">
        <v>0</v>
      </c>
      <c r="Q28" s="453">
        <v>0</v>
      </c>
      <c r="R28" s="453">
        <v>0</v>
      </c>
      <c r="S28" s="453">
        <v>-5052</v>
      </c>
      <c r="T28" s="453">
        <v>-8985</v>
      </c>
      <c r="U28" s="453">
        <v>-5609</v>
      </c>
      <c r="V28" s="453">
        <v>0</v>
      </c>
      <c r="W28" s="453">
        <v>-1</v>
      </c>
      <c r="X28" s="453">
        <v>-1099</v>
      </c>
      <c r="Y28" s="453">
        <v>0</v>
      </c>
      <c r="Z28" s="453">
        <v>-17134</v>
      </c>
      <c r="AA28" s="453">
        <v>-4143</v>
      </c>
      <c r="AB28" s="453">
        <v>-8696</v>
      </c>
      <c r="AC28" s="453">
        <v>0</v>
      </c>
      <c r="AD28" s="453">
        <v>0</v>
      </c>
      <c r="AE28" s="453">
        <v>-231190</v>
      </c>
      <c r="AF28" s="453">
        <v>-1859</v>
      </c>
      <c r="AG28" s="453">
        <v>0</v>
      </c>
      <c r="AH28" s="453">
        <v>-17430</v>
      </c>
      <c r="AI28" s="453">
        <v>0</v>
      </c>
      <c r="AJ28" s="453">
        <v>0</v>
      </c>
      <c r="AK28" s="453">
        <v>0</v>
      </c>
      <c r="AL28" s="453">
        <v>0</v>
      </c>
      <c r="AM28" s="453">
        <v>0</v>
      </c>
      <c r="AN28" s="453">
        <v>0</v>
      </c>
    </row>
    <row r="29" spans="1:40" outlineLevel="1" collapsed="1" x14ac:dyDescent="0.25">
      <c r="A29" s="452">
        <v>2317</v>
      </c>
      <c r="B29" t="s">
        <v>1243</v>
      </c>
      <c r="C29" t="s">
        <v>1244</v>
      </c>
      <c r="D29" t="s">
        <v>690</v>
      </c>
      <c r="E29" s="453">
        <f t="shared" si="6"/>
        <v>0</v>
      </c>
      <c r="F29" s="453">
        <f t="shared" si="7"/>
        <v>0</v>
      </c>
      <c r="G29" s="453">
        <f t="shared" si="8"/>
        <v>-31400</v>
      </c>
      <c r="H29" s="453">
        <v>0</v>
      </c>
      <c r="I29" s="453">
        <v>0</v>
      </c>
      <c r="J29" s="453">
        <v>0</v>
      </c>
      <c r="K29" s="453">
        <v>0</v>
      </c>
      <c r="L29" s="453">
        <v>0</v>
      </c>
      <c r="M29" s="453">
        <v>0</v>
      </c>
      <c r="N29" s="453">
        <v>0</v>
      </c>
      <c r="O29" s="453">
        <v>0</v>
      </c>
      <c r="P29" s="453">
        <v>0</v>
      </c>
      <c r="Q29" s="453">
        <v>0</v>
      </c>
      <c r="R29" s="453">
        <v>0</v>
      </c>
      <c r="S29" s="453">
        <v>0</v>
      </c>
      <c r="T29" s="453">
        <v>0</v>
      </c>
      <c r="U29" s="453">
        <v>0</v>
      </c>
      <c r="V29" s="453">
        <v>0</v>
      </c>
      <c r="W29" s="453">
        <v>0</v>
      </c>
      <c r="X29" s="453">
        <v>0</v>
      </c>
      <c r="Y29" s="453">
        <v>0</v>
      </c>
      <c r="Z29" s="453">
        <v>0</v>
      </c>
      <c r="AA29" s="453">
        <v>0</v>
      </c>
      <c r="AB29" s="453">
        <v>0</v>
      </c>
      <c r="AC29" s="453">
        <v>0</v>
      </c>
      <c r="AD29" s="453">
        <v>0</v>
      </c>
      <c r="AE29" s="453">
        <v>0</v>
      </c>
      <c r="AF29" s="453">
        <v>0</v>
      </c>
      <c r="AG29" s="453">
        <v>0</v>
      </c>
      <c r="AH29" s="453">
        <v>-31400</v>
      </c>
      <c r="AI29" s="453">
        <v>0</v>
      </c>
      <c r="AJ29" s="453">
        <v>0</v>
      </c>
      <c r="AK29" s="453">
        <v>0</v>
      </c>
      <c r="AL29" s="453">
        <v>0</v>
      </c>
      <c r="AM29" s="453">
        <v>0</v>
      </c>
      <c r="AN29" s="453">
        <v>0</v>
      </c>
    </row>
    <row r="30" spans="1:40" outlineLevel="1" collapsed="1" x14ac:dyDescent="0.25">
      <c r="A30" s="452">
        <v>2700</v>
      </c>
      <c r="B30" t="s">
        <v>1245</v>
      </c>
      <c r="C30" t="s">
        <v>1246</v>
      </c>
      <c r="D30" t="s">
        <v>690</v>
      </c>
      <c r="E30" s="453">
        <f t="shared" si="6"/>
        <v>19866.14</v>
      </c>
      <c r="F30" s="453">
        <f t="shared" si="7"/>
        <v>306.11</v>
      </c>
      <c r="G30" s="453">
        <f t="shared" si="8"/>
        <v>2442.88</v>
      </c>
      <c r="H30" s="453">
        <v>2</v>
      </c>
      <c r="I30" s="453">
        <v>17837</v>
      </c>
      <c r="J30" s="453">
        <v>1</v>
      </c>
      <c r="K30" s="453">
        <v>-12625</v>
      </c>
      <c r="L30" s="453">
        <v>1</v>
      </c>
      <c r="M30" s="453">
        <v>1</v>
      </c>
      <c r="N30" s="453">
        <v>1</v>
      </c>
      <c r="O30" s="453">
        <v>14073</v>
      </c>
      <c r="P30" s="453">
        <v>17</v>
      </c>
      <c r="Q30" s="453">
        <v>355.13999999999942</v>
      </c>
      <c r="R30" s="453">
        <v>2</v>
      </c>
      <c r="S30" s="453">
        <v>201</v>
      </c>
      <c r="T30" s="453">
        <v>1</v>
      </c>
      <c r="U30" s="453">
        <v>1</v>
      </c>
      <c r="V30" s="453">
        <v>1</v>
      </c>
      <c r="W30" s="453">
        <v>1</v>
      </c>
      <c r="X30" s="453">
        <v>0</v>
      </c>
      <c r="Y30" s="453">
        <v>0</v>
      </c>
      <c r="Z30" s="453">
        <v>0</v>
      </c>
      <c r="AA30" s="453">
        <v>302.02</v>
      </c>
      <c r="AB30" s="453">
        <v>0</v>
      </c>
      <c r="AC30" s="453">
        <v>0</v>
      </c>
      <c r="AD30" s="453">
        <v>0</v>
      </c>
      <c r="AE30" s="453">
        <v>9.0000000000031832E-2</v>
      </c>
      <c r="AF30" s="453">
        <v>0</v>
      </c>
      <c r="AG30" s="453">
        <v>30</v>
      </c>
      <c r="AH30" s="453">
        <v>10</v>
      </c>
      <c r="AI30" s="453">
        <v>-10</v>
      </c>
      <c r="AJ30" s="453">
        <v>50</v>
      </c>
      <c r="AK30" s="453">
        <v>0</v>
      </c>
      <c r="AL30" s="453">
        <v>0</v>
      </c>
      <c r="AM30" s="453">
        <v>0</v>
      </c>
      <c r="AN30" s="453">
        <v>2362.88</v>
      </c>
    </row>
    <row r="31" spans="1:40" outlineLevel="1" collapsed="1" x14ac:dyDescent="0.25">
      <c r="A31" s="452">
        <v>2712</v>
      </c>
      <c r="B31" t="s">
        <v>1247</v>
      </c>
      <c r="C31" t="s">
        <v>1248</v>
      </c>
      <c r="D31" t="s">
        <v>690</v>
      </c>
      <c r="E31" s="453">
        <f t="shared" si="6"/>
        <v>10163.290000000001</v>
      </c>
      <c r="F31" s="453">
        <f t="shared" si="7"/>
        <v>0</v>
      </c>
      <c r="G31" s="453">
        <f t="shared" si="8"/>
        <v>0</v>
      </c>
      <c r="H31" s="453">
        <v>0</v>
      </c>
      <c r="I31" s="453">
        <v>0</v>
      </c>
      <c r="J31" s="453">
        <v>0</v>
      </c>
      <c r="K31" s="453">
        <v>0</v>
      </c>
      <c r="L31" s="453">
        <v>0</v>
      </c>
      <c r="M31" s="453">
        <v>0</v>
      </c>
      <c r="N31" s="453">
        <v>0</v>
      </c>
      <c r="O31" s="453">
        <v>0</v>
      </c>
      <c r="P31" s="453">
        <v>0</v>
      </c>
      <c r="Q31" s="453">
        <v>0</v>
      </c>
      <c r="R31" s="453">
        <v>0</v>
      </c>
      <c r="S31" s="453">
        <v>10163.290000000001</v>
      </c>
      <c r="T31" s="453">
        <v>0</v>
      </c>
      <c r="U31" s="453">
        <v>0</v>
      </c>
      <c r="V31" s="453">
        <v>0</v>
      </c>
      <c r="W31" s="453">
        <v>0</v>
      </c>
      <c r="X31" s="453">
        <v>0</v>
      </c>
      <c r="Y31" s="453">
        <v>0</v>
      </c>
      <c r="Z31" s="453">
        <v>0</v>
      </c>
      <c r="AA31" s="453">
        <v>0</v>
      </c>
      <c r="AB31" s="453">
        <v>0</v>
      </c>
      <c r="AC31" s="453">
        <v>0</v>
      </c>
      <c r="AD31" s="453">
        <v>0</v>
      </c>
      <c r="AE31" s="453">
        <v>0</v>
      </c>
      <c r="AF31" s="453">
        <v>0</v>
      </c>
      <c r="AG31" s="453">
        <v>0</v>
      </c>
      <c r="AH31" s="453">
        <v>0</v>
      </c>
      <c r="AI31" s="453">
        <v>0</v>
      </c>
      <c r="AJ31" s="453">
        <v>0</v>
      </c>
      <c r="AK31" s="453">
        <v>0</v>
      </c>
      <c r="AL31" s="453">
        <v>0</v>
      </c>
      <c r="AM31" s="453">
        <v>0</v>
      </c>
      <c r="AN31" s="453">
        <v>0</v>
      </c>
    </row>
    <row r="32" spans="1:40" outlineLevel="1" collapsed="1" x14ac:dyDescent="0.25">
      <c r="A32" s="452">
        <v>2715</v>
      </c>
      <c r="B32" t="s">
        <v>1249</v>
      </c>
      <c r="C32" t="s">
        <v>1250</v>
      </c>
      <c r="D32" t="s">
        <v>690</v>
      </c>
      <c r="E32" s="453">
        <f t="shared" si="6"/>
        <v>0</v>
      </c>
      <c r="F32" s="453">
        <f t="shared" si="7"/>
        <v>0</v>
      </c>
      <c r="G32" s="453">
        <f t="shared" si="8"/>
        <v>5190</v>
      </c>
      <c r="H32" s="453">
        <v>0</v>
      </c>
      <c r="I32" s="453">
        <v>0</v>
      </c>
      <c r="J32" s="453">
        <v>0</v>
      </c>
      <c r="K32" s="453">
        <v>0</v>
      </c>
      <c r="L32" s="453">
        <v>0</v>
      </c>
      <c r="M32" s="453">
        <v>0</v>
      </c>
      <c r="N32" s="453">
        <v>0</v>
      </c>
      <c r="O32" s="453">
        <v>0</v>
      </c>
      <c r="P32" s="453">
        <v>0</v>
      </c>
      <c r="Q32" s="453">
        <v>0</v>
      </c>
      <c r="R32" s="453">
        <v>0</v>
      </c>
      <c r="S32" s="453">
        <v>0</v>
      </c>
      <c r="T32" s="453">
        <v>0</v>
      </c>
      <c r="U32" s="453">
        <v>0</v>
      </c>
      <c r="V32" s="453">
        <v>0</v>
      </c>
      <c r="W32" s="453">
        <v>0</v>
      </c>
      <c r="X32" s="453">
        <v>0</v>
      </c>
      <c r="Y32" s="453">
        <v>0</v>
      </c>
      <c r="Z32" s="453">
        <v>0</v>
      </c>
      <c r="AA32" s="453">
        <v>0</v>
      </c>
      <c r="AB32" s="453">
        <v>0</v>
      </c>
      <c r="AC32" s="453">
        <v>0</v>
      </c>
      <c r="AD32" s="453">
        <v>0</v>
      </c>
      <c r="AE32" s="453">
        <v>0</v>
      </c>
      <c r="AF32" s="453">
        <v>0</v>
      </c>
      <c r="AG32" s="453">
        <v>0</v>
      </c>
      <c r="AH32" s="453">
        <v>5190</v>
      </c>
      <c r="AI32" s="453">
        <v>0</v>
      </c>
      <c r="AJ32" s="453">
        <v>0</v>
      </c>
      <c r="AK32" s="453">
        <v>0</v>
      </c>
      <c r="AL32" s="453">
        <v>0</v>
      </c>
      <c r="AM32" s="453">
        <v>0</v>
      </c>
      <c r="AN32" s="453">
        <v>0</v>
      </c>
    </row>
    <row r="33" spans="1:40" outlineLevel="1" collapsed="1" x14ac:dyDescent="0.25">
      <c r="A33" s="452">
        <v>2730</v>
      </c>
      <c r="B33" t="s">
        <v>1251</v>
      </c>
      <c r="C33" t="s">
        <v>1252</v>
      </c>
      <c r="D33" t="s">
        <v>690</v>
      </c>
      <c r="E33" s="453">
        <f t="shared" si="6"/>
        <v>1692</v>
      </c>
      <c r="F33" s="453">
        <f t="shared" si="7"/>
        <v>0</v>
      </c>
      <c r="G33" s="453">
        <f t="shared" si="8"/>
        <v>0</v>
      </c>
      <c r="H33" s="453">
        <v>0</v>
      </c>
      <c r="I33" s="453">
        <v>0</v>
      </c>
      <c r="J33" s="453">
        <v>0</v>
      </c>
      <c r="K33" s="453">
        <v>0</v>
      </c>
      <c r="L33" s="453">
        <v>0</v>
      </c>
      <c r="M33" s="453">
        <v>0</v>
      </c>
      <c r="N33" s="453">
        <v>0</v>
      </c>
      <c r="O33" s="453">
        <v>0</v>
      </c>
      <c r="P33" s="453">
        <v>0</v>
      </c>
      <c r="Q33" s="453">
        <v>0</v>
      </c>
      <c r="R33" s="453">
        <v>0</v>
      </c>
      <c r="S33" s="453">
        <v>1692</v>
      </c>
      <c r="T33" s="453">
        <v>0</v>
      </c>
      <c r="U33" s="453">
        <v>0</v>
      </c>
      <c r="V33" s="453">
        <v>0</v>
      </c>
      <c r="W33" s="453">
        <v>0</v>
      </c>
      <c r="X33" s="453">
        <v>0</v>
      </c>
      <c r="Y33" s="453">
        <v>0</v>
      </c>
      <c r="Z33" s="453">
        <v>0</v>
      </c>
      <c r="AA33" s="453">
        <v>0</v>
      </c>
      <c r="AB33" s="453">
        <v>0</v>
      </c>
      <c r="AC33" s="453">
        <v>0</v>
      </c>
      <c r="AD33" s="453">
        <v>0</v>
      </c>
      <c r="AE33" s="453">
        <v>0</v>
      </c>
      <c r="AF33" s="453">
        <v>0</v>
      </c>
      <c r="AG33" s="453">
        <v>0</v>
      </c>
      <c r="AH33" s="453">
        <v>0</v>
      </c>
      <c r="AI33" s="453">
        <v>0</v>
      </c>
      <c r="AJ33" s="453">
        <v>0</v>
      </c>
      <c r="AK33" s="453">
        <v>0</v>
      </c>
      <c r="AL33" s="453">
        <v>0</v>
      </c>
      <c r="AM33" s="453">
        <v>0</v>
      </c>
      <c r="AN33" s="453">
        <v>0</v>
      </c>
    </row>
    <row r="34" spans="1:40" outlineLevel="1" collapsed="1" x14ac:dyDescent="0.25">
      <c r="A34" s="452">
        <v>2731</v>
      </c>
      <c r="B34" t="s">
        <v>1253</v>
      </c>
      <c r="C34" t="s">
        <v>1254</v>
      </c>
      <c r="D34" t="s">
        <v>690</v>
      </c>
      <c r="E34" s="453">
        <f t="shared" si="6"/>
        <v>6300</v>
      </c>
      <c r="F34" s="453">
        <f t="shared" si="7"/>
        <v>27177</v>
      </c>
      <c r="G34" s="453">
        <f t="shared" si="8"/>
        <v>0</v>
      </c>
      <c r="H34" s="453">
        <v>0</v>
      </c>
      <c r="I34" s="453">
        <v>0</v>
      </c>
      <c r="J34" s="453">
        <v>0</v>
      </c>
      <c r="K34" s="453">
        <v>0</v>
      </c>
      <c r="L34" s="453">
        <v>0</v>
      </c>
      <c r="M34" s="453">
        <v>0</v>
      </c>
      <c r="N34" s="453">
        <v>0</v>
      </c>
      <c r="O34" s="453">
        <v>0</v>
      </c>
      <c r="P34" s="453">
        <v>0</v>
      </c>
      <c r="Q34" s="453">
        <v>0</v>
      </c>
      <c r="R34" s="453">
        <v>0</v>
      </c>
      <c r="S34" s="453">
        <v>6300</v>
      </c>
      <c r="T34" s="453">
        <v>0</v>
      </c>
      <c r="U34" s="453">
        <v>0</v>
      </c>
      <c r="V34" s="453">
        <v>0</v>
      </c>
      <c r="W34" s="453">
        <v>0</v>
      </c>
      <c r="X34" s="453">
        <v>0</v>
      </c>
      <c r="Y34" s="453">
        <v>0</v>
      </c>
      <c r="Z34" s="453">
        <v>0</v>
      </c>
      <c r="AA34" s="453">
        <v>0</v>
      </c>
      <c r="AB34" s="453">
        <v>0</v>
      </c>
      <c r="AC34" s="453">
        <v>27177</v>
      </c>
      <c r="AD34" s="453">
        <v>0</v>
      </c>
      <c r="AE34" s="453">
        <v>0</v>
      </c>
      <c r="AF34" s="453">
        <v>0</v>
      </c>
      <c r="AG34" s="453">
        <v>0</v>
      </c>
      <c r="AH34" s="453">
        <v>0</v>
      </c>
      <c r="AI34" s="453">
        <v>0</v>
      </c>
      <c r="AJ34" s="453">
        <v>0</v>
      </c>
      <c r="AK34" s="453">
        <v>0</v>
      </c>
      <c r="AL34" s="453">
        <v>0</v>
      </c>
      <c r="AM34" s="453">
        <v>0</v>
      </c>
      <c r="AN34" s="453">
        <v>0</v>
      </c>
    </row>
    <row r="35" spans="1:40" outlineLevel="1" collapsed="1" x14ac:dyDescent="0.25">
      <c r="A35" s="452">
        <v>2742</v>
      </c>
      <c r="B35" t="s">
        <v>1255</v>
      </c>
      <c r="C35" t="s">
        <v>1256</v>
      </c>
      <c r="D35" t="s">
        <v>690</v>
      </c>
      <c r="E35" s="453">
        <f t="shared" si="6"/>
        <v>3776.7199999999993</v>
      </c>
      <c r="F35" s="453">
        <f t="shared" si="7"/>
        <v>4363.42</v>
      </c>
      <c r="G35" s="453">
        <f t="shared" si="8"/>
        <v>2937.27</v>
      </c>
      <c r="H35" s="453">
        <v>0</v>
      </c>
      <c r="I35" s="453">
        <v>0</v>
      </c>
      <c r="J35" s="453">
        <v>0</v>
      </c>
      <c r="K35" s="453">
        <v>783.99</v>
      </c>
      <c r="L35" s="453">
        <v>0</v>
      </c>
      <c r="M35" s="453">
        <v>0</v>
      </c>
      <c r="N35" s="453">
        <v>0</v>
      </c>
      <c r="O35" s="453">
        <v>0</v>
      </c>
      <c r="P35" s="453">
        <v>0</v>
      </c>
      <c r="Q35" s="453">
        <v>2967.7299999999996</v>
      </c>
      <c r="R35" s="453">
        <v>25</v>
      </c>
      <c r="S35" s="453">
        <v>0</v>
      </c>
      <c r="T35" s="453">
        <v>0</v>
      </c>
      <c r="U35" s="453">
        <v>277.73</v>
      </c>
      <c r="V35" s="453">
        <v>633.46</v>
      </c>
      <c r="W35" s="453">
        <v>0</v>
      </c>
      <c r="X35" s="453">
        <v>0</v>
      </c>
      <c r="Y35" s="453">
        <v>0</v>
      </c>
      <c r="Z35" s="453">
        <v>1076.47</v>
      </c>
      <c r="AA35" s="453">
        <v>1471.5599999999997</v>
      </c>
      <c r="AB35" s="453">
        <v>904.20000000000027</v>
      </c>
      <c r="AC35" s="453">
        <v>0</v>
      </c>
      <c r="AD35" s="453">
        <v>0</v>
      </c>
      <c r="AE35" s="453">
        <v>0</v>
      </c>
      <c r="AF35" s="453">
        <v>0</v>
      </c>
      <c r="AG35" s="453">
        <v>0</v>
      </c>
      <c r="AH35" s="453">
        <v>383.89</v>
      </c>
      <c r="AI35" s="453">
        <v>0</v>
      </c>
      <c r="AJ35" s="453">
        <v>0</v>
      </c>
      <c r="AK35" s="453">
        <v>0</v>
      </c>
      <c r="AL35" s="453">
        <v>2553.38</v>
      </c>
      <c r="AM35" s="453">
        <v>0</v>
      </c>
      <c r="AN35" s="453">
        <v>0</v>
      </c>
    </row>
    <row r="36" spans="1:40" outlineLevel="1" collapsed="1" x14ac:dyDescent="0.25">
      <c r="A36" s="452">
        <v>2749</v>
      </c>
      <c r="B36" t="s">
        <v>1257</v>
      </c>
      <c r="C36" t="s">
        <v>1258</v>
      </c>
      <c r="D36" t="s">
        <v>690</v>
      </c>
      <c r="E36" s="453">
        <f t="shared" si="6"/>
        <v>560.49</v>
      </c>
      <c r="F36" s="453">
        <f t="shared" si="7"/>
        <v>16638.400000000001</v>
      </c>
      <c r="G36" s="453">
        <f t="shared" si="8"/>
        <v>5823.04</v>
      </c>
      <c r="H36" s="453">
        <v>560.49</v>
      </c>
      <c r="I36" s="453">
        <v>0</v>
      </c>
      <c r="J36" s="453">
        <v>0</v>
      </c>
      <c r="K36" s="453">
        <v>0</v>
      </c>
      <c r="L36" s="453">
        <v>0</v>
      </c>
      <c r="M36" s="453">
        <v>0</v>
      </c>
      <c r="N36" s="453">
        <v>0</v>
      </c>
      <c r="O36" s="453">
        <v>0</v>
      </c>
      <c r="P36" s="453">
        <v>0</v>
      </c>
      <c r="Q36" s="453">
        <v>0</v>
      </c>
      <c r="R36" s="453">
        <v>0</v>
      </c>
      <c r="S36" s="453">
        <v>0</v>
      </c>
      <c r="T36" s="453">
        <v>0</v>
      </c>
      <c r="U36" s="453">
        <v>0</v>
      </c>
      <c r="V36" s="453">
        <v>0</v>
      </c>
      <c r="W36" s="453">
        <v>0</v>
      </c>
      <c r="X36" s="453">
        <v>0</v>
      </c>
      <c r="Y36" s="453">
        <v>936</v>
      </c>
      <c r="Z36" s="453">
        <v>2691</v>
      </c>
      <c r="AA36" s="453">
        <v>2574</v>
      </c>
      <c r="AB36" s="453">
        <v>2457</v>
      </c>
      <c r="AC36" s="453">
        <v>3190.2000000000007</v>
      </c>
      <c r="AD36" s="453">
        <v>3056.0399999999991</v>
      </c>
      <c r="AE36" s="453">
        <v>1734.1600000000017</v>
      </c>
      <c r="AF36" s="453">
        <v>1641.28</v>
      </c>
      <c r="AG36" s="453">
        <v>1450.24</v>
      </c>
      <c r="AH36" s="453">
        <v>1013.7599999999998</v>
      </c>
      <c r="AI36" s="453">
        <v>438.84000000000015</v>
      </c>
      <c r="AJ36" s="453">
        <v>101.98999999999978</v>
      </c>
      <c r="AK36" s="453">
        <v>792.93000000000029</v>
      </c>
      <c r="AL36" s="453">
        <v>384</v>
      </c>
      <c r="AM36" s="453">
        <v>0</v>
      </c>
      <c r="AN36" s="453">
        <v>0</v>
      </c>
    </row>
    <row r="37" spans="1:40" outlineLevel="1" collapsed="1" x14ac:dyDescent="0.25">
      <c r="A37" s="452">
        <v>8610</v>
      </c>
      <c r="B37" t="s">
        <v>1259</v>
      </c>
      <c r="C37" t="s">
        <v>1260</v>
      </c>
      <c r="D37" t="s">
        <v>690</v>
      </c>
      <c r="E37" s="453">
        <f t="shared" si="6"/>
        <v>-9719.99</v>
      </c>
      <c r="F37" s="453">
        <f t="shared" si="7"/>
        <v>-21702.85</v>
      </c>
      <c r="G37" s="453">
        <f t="shared" si="8"/>
        <v>-14088.539999999999</v>
      </c>
      <c r="H37" s="453">
        <v>-689.08</v>
      </c>
      <c r="I37" s="453">
        <v>-689.08</v>
      </c>
      <c r="J37" s="453">
        <v>-608.76</v>
      </c>
      <c r="K37" s="453">
        <v>-786.27</v>
      </c>
      <c r="L37" s="453">
        <v>-786.27</v>
      </c>
      <c r="M37" s="453">
        <v>-786.26999999999953</v>
      </c>
      <c r="N37" s="453">
        <v>-786.27000000000044</v>
      </c>
      <c r="O37" s="453">
        <v>-786.27000000000044</v>
      </c>
      <c r="P37" s="453">
        <v>-786.26999999999953</v>
      </c>
      <c r="Q37" s="453">
        <v>-786.27000000000044</v>
      </c>
      <c r="R37" s="453">
        <v>-1114.5899999999992</v>
      </c>
      <c r="S37" s="453">
        <v>-1114.5900000000001</v>
      </c>
      <c r="T37" s="453">
        <v>-1758.08</v>
      </c>
      <c r="U37" s="453">
        <v>-1758.08</v>
      </c>
      <c r="V37" s="453">
        <v>-2268.62</v>
      </c>
      <c r="W37" s="453">
        <v>-2268.62</v>
      </c>
      <c r="X37" s="453">
        <v>-2081.8099999999995</v>
      </c>
      <c r="Y37" s="453">
        <v>-1759.8100000000013</v>
      </c>
      <c r="Z37" s="453">
        <v>-1595.8099999999995</v>
      </c>
      <c r="AA37" s="453">
        <v>-1677.8099999999995</v>
      </c>
      <c r="AB37" s="453">
        <v>-1677.8100000000013</v>
      </c>
      <c r="AC37" s="453">
        <v>-1677.8099999999977</v>
      </c>
      <c r="AD37" s="453">
        <v>-1559.7900000000009</v>
      </c>
      <c r="AE37" s="453">
        <v>-1618.7999999999993</v>
      </c>
      <c r="AF37" s="453">
        <v>-1618.8</v>
      </c>
      <c r="AG37" s="453">
        <v>-1618.8</v>
      </c>
      <c r="AH37" s="453">
        <v>-1618.7999999999997</v>
      </c>
      <c r="AI37" s="453">
        <v>-1538.6900000000005</v>
      </c>
      <c r="AJ37" s="453">
        <v>-1538.6899999999996</v>
      </c>
      <c r="AK37" s="453">
        <v>-1538.6899999999996</v>
      </c>
      <c r="AL37" s="453">
        <v>-1538.6900000000005</v>
      </c>
      <c r="AM37" s="453">
        <v>-1538.6900000000005</v>
      </c>
      <c r="AN37" s="453">
        <v>-1538.6900000000005</v>
      </c>
    </row>
    <row r="38" spans="1:40" outlineLevel="1" collapsed="1" x14ac:dyDescent="0.25">
      <c r="A38" s="452">
        <v>8611</v>
      </c>
      <c r="B38" t="s">
        <v>1261</v>
      </c>
      <c r="C38" t="s">
        <v>1262</v>
      </c>
      <c r="D38" t="s">
        <v>690</v>
      </c>
      <c r="E38" s="453">
        <f t="shared" si="6"/>
        <v>76370.060000000012</v>
      </c>
      <c r="F38" s="453">
        <f t="shared" si="7"/>
        <v>113011.8</v>
      </c>
      <c r="G38" s="453">
        <f t="shared" si="8"/>
        <v>84289.14</v>
      </c>
      <c r="H38" s="453">
        <v>4935.3</v>
      </c>
      <c r="I38" s="453">
        <v>5605.8</v>
      </c>
      <c r="J38" s="453">
        <v>4327.09</v>
      </c>
      <c r="K38" s="453">
        <v>5398.5199999999986</v>
      </c>
      <c r="L38" s="453">
        <v>6786.2999999999993</v>
      </c>
      <c r="M38" s="453">
        <v>6786.2999999999993</v>
      </c>
      <c r="N38" s="453">
        <v>6786.3000000000029</v>
      </c>
      <c r="O38" s="453">
        <v>6285.0800000000017</v>
      </c>
      <c r="P38" s="453">
        <v>6285.0799999999945</v>
      </c>
      <c r="Q38" s="453">
        <v>7498.6100000000006</v>
      </c>
      <c r="R38" s="453">
        <v>7837.8400000000038</v>
      </c>
      <c r="S38" s="453">
        <v>7837.8399999999965</v>
      </c>
      <c r="T38" s="453">
        <v>8963.17</v>
      </c>
      <c r="U38" s="453">
        <v>8724.1799999999985</v>
      </c>
      <c r="V38" s="453">
        <v>8819.16</v>
      </c>
      <c r="W38" s="453">
        <v>8819.16</v>
      </c>
      <c r="X38" s="453">
        <v>8893.11</v>
      </c>
      <c r="Y38" s="453">
        <v>8982.1900000000023</v>
      </c>
      <c r="Z38" s="453">
        <v>10684.54</v>
      </c>
      <c r="AA38" s="453">
        <v>10356.959999999999</v>
      </c>
      <c r="AB38" s="453">
        <v>9826.6199999999953</v>
      </c>
      <c r="AC38" s="453">
        <v>9826.6200000000099</v>
      </c>
      <c r="AD38" s="453">
        <v>9628.6199999999953</v>
      </c>
      <c r="AE38" s="453">
        <v>9487.4700000000012</v>
      </c>
      <c r="AF38" s="453">
        <v>8660.58</v>
      </c>
      <c r="AG38" s="453">
        <v>9123.6</v>
      </c>
      <c r="AH38" s="453">
        <v>8668.14</v>
      </c>
      <c r="AI38" s="453">
        <v>9639.4700000000012</v>
      </c>
      <c r="AJ38" s="453">
        <v>9639.4700000000012</v>
      </c>
      <c r="AK38" s="453">
        <v>9639.4700000000012</v>
      </c>
      <c r="AL38" s="453">
        <v>9639.4699999999939</v>
      </c>
      <c r="AM38" s="453">
        <v>9639.4700000000012</v>
      </c>
      <c r="AN38" s="453">
        <v>9639.4700000000012</v>
      </c>
    </row>
    <row r="39" spans="1:40" outlineLevel="1" collapsed="1" x14ac:dyDescent="0.25">
      <c r="A39" s="452">
        <v>8625</v>
      </c>
      <c r="B39" t="s">
        <v>1263</v>
      </c>
      <c r="C39" t="s">
        <v>1264</v>
      </c>
      <c r="D39" t="s">
        <v>690</v>
      </c>
      <c r="E39" s="453">
        <f t="shared" si="6"/>
        <v>0</v>
      </c>
      <c r="F39" s="453">
        <f t="shared" si="7"/>
        <v>0</v>
      </c>
      <c r="G39" s="453">
        <f t="shared" si="8"/>
        <v>0</v>
      </c>
      <c r="H39" s="453">
        <v>0</v>
      </c>
      <c r="I39" s="453">
        <v>0</v>
      </c>
      <c r="J39" s="453">
        <v>0</v>
      </c>
      <c r="K39" s="453">
        <v>0</v>
      </c>
      <c r="L39" s="453">
        <v>0</v>
      </c>
      <c r="M39" s="453">
        <v>0</v>
      </c>
      <c r="N39" s="453">
        <v>0</v>
      </c>
      <c r="O39" s="453">
        <v>0</v>
      </c>
      <c r="P39" s="453">
        <v>0</v>
      </c>
      <c r="Q39" s="453">
        <v>0</v>
      </c>
      <c r="R39" s="453">
        <v>100</v>
      </c>
      <c r="S39" s="453">
        <v>-100</v>
      </c>
      <c r="T39" s="453">
        <v>1675.1</v>
      </c>
      <c r="U39" s="453">
        <v>0</v>
      </c>
      <c r="V39" s="453">
        <v>0</v>
      </c>
      <c r="W39" s="453">
        <v>0</v>
      </c>
      <c r="X39" s="453">
        <v>0</v>
      </c>
      <c r="Y39" s="453">
        <v>0</v>
      </c>
      <c r="Z39" s="453">
        <v>0</v>
      </c>
      <c r="AA39" s="453">
        <v>0</v>
      </c>
      <c r="AB39" s="453">
        <v>0</v>
      </c>
      <c r="AC39" s="453">
        <v>0</v>
      </c>
      <c r="AD39" s="453">
        <v>0</v>
      </c>
      <c r="AE39" s="453">
        <v>-1675.1</v>
      </c>
      <c r="AF39" s="453">
        <v>0</v>
      </c>
      <c r="AG39" s="453">
        <v>0</v>
      </c>
      <c r="AH39" s="453">
        <v>0</v>
      </c>
      <c r="AI39" s="453">
        <v>0</v>
      </c>
      <c r="AJ39" s="453">
        <v>0</v>
      </c>
      <c r="AK39" s="453">
        <v>0</v>
      </c>
      <c r="AL39" s="453">
        <v>0</v>
      </c>
      <c r="AM39" s="453">
        <v>0</v>
      </c>
      <c r="AN39" s="453">
        <v>0</v>
      </c>
    </row>
    <row r="40" spans="1:40" outlineLevel="1" collapsed="1" x14ac:dyDescent="0.25">
      <c r="A40" s="452">
        <v>8640</v>
      </c>
      <c r="B40" t="s">
        <v>1265</v>
      </c>
      <c r="C40" t="s">
        <v>1266</v>
      </c>
      <c r="D40" t="s">
        <v>690</v>
      </c>
      <c r="E40" s="453">
        <f t="shared" si="6"/>
        <v>4010.7399999999989</v>
      </c>
      <c r="F40" s="453">
        <f t="shared" si="7"/>
        <v>2377.3200000000002</v>
      </c>
      <c r="G40" s="453">
        <f t="shared" si="8"/>
        <v>3749.27</v>
      </c>
      <c r="H40" s="453">
        <v>1708.21</v>
      </c>
      <c r="I40" s="453">
        <v>30</v>
      </c>
      <c r="J40" s="453">
        <v>0</v>
      </c>
      <c r="K40" s="453">
        <v>5195.05</v>
      </c>
      <c r="L40" s="453">
        <v>0</v>
      </c>
      <c r="M40" s="453">
        <v>200</v>
      </c>
      <c r="N40" s="453">
        <v>130.10999999999967</v>
      </c>
      <c r="O40" s="453">
        <v>17421</v>
      </c>
      <c r="P40" s="453">
        <v>503.7400000000016</v>
      </c>
      <c r="Q40" s="453">
        <v>0</v>
      </c>
      <c r="R40" s="453">
        <v>1333.6399999999994</v>
      </c>
      <c r="S40" s="453">
        <v>-22511.010000000002</v>
      </c>
      <c r="T40" s="453">
        <v>2260.83</v>
      </c>
      <c r="U40" s="453">
        <v>0</v>
      </c>
      <c r="V40" s="453">
        <v>116.49000000000024</v>
      </c>
      <c r="W40" s="453">
        <v>0</v>
      </c>
      <c r="X40" s="453">
        <v>0</v>
      </c>
      <c r="Y40" s="453">
        <v>0</v>
      </c>
      <c r="Z40" s="453">
        <v>0</v>
      </c>
      <c r="AA40" s="453">
        <v>0</v>
      </c>
      <c r="AB40" s="453">
        <v>0</v>
      </c>
      <c r="AC40" s="453">
        <v>0</v>
      </c>
      <c r="AD40" s="453">
        <v>0</v>
      </c>
      <c r="AE40" s="453">
        <v>0</v>
      </c>
      <c r="AF40" s="453">
        <v>3261.03</v>
      </c>
      <c r="AG40" s="453">
        <v>0</v>
      </c>
      <c r="AH40" s="453">
        <v>188.23999999999978</v>
      </c>
      <c r="AI40" s="453">
        <v>0</v>
      </c>
      <c r="AJ40" s="453">
        <v>0</v>
      </c>
      <c r="AK40" s="453">
        <v>0</v>
      </c>
      <c r="AL40" s="453">
        <v>0</v>
      </c>
      <c r="AM40" s="453">
        <v>0</v>
      </c>
      <c r="AN40" s="453">
        <v>300</v>
      </c>
    </row>
    <row r="41" spans="1:40" outlineLevel="1" collapsed="1" x14ac:dyDescent="0.25">
      <c r="A41" s="452">
        <v>8820</v>
      </c>
      <c r="B41" t="s">
        <v>1267</v>
      </c>
      <c r="C41" t="s">
        <v>1268</v>
      </c>
      <c r="D41" t="s">
        <v>690</v>
      </c>
      <c r="E41" s="453">
        <f t="shared" si="6"/>
        <v>104900</v>
      </c>
      <c r="F41" s="453">
        <f t="shared" si="7"/>
        <v>379850</v>
      </c>
      <c r="G41" s="453">
        <f t="shared" si="8"/>
        <v>53650</v>
      </c>
      <c r="H41" s="453">
        <v>36900</v>
      </c>
      <c r="I41" s="453">
        <v>0</v>
      </c>
      <c r="J41" s="453">
        <v>0</v>
      </c>
      <c r="K41" s="453">
        <v>0</v>
      </c>
      <c r="L41" s="453">
        <v>34000</v>
      </c>
      <c r="M41" s="453">
        <v>0</v>
      </c>
      <c r="N41" s="453">
        <v>0</v>
      </c>
      <c r="O41" s="453">
        <v>0</v>
      </c>
      <c r="P41" s="453">
        <v>0</v>
      </c>
      <c r="Q41" s="453">
        <v>0</v>
      </c>
      <c r="R41" s="453">
        <v>0</v>
      </c>
      <c r="S41" s="453">
        <v>34000</v>
      </c>
      <c r="T41" s="453">
        <v>32950</v>
      </c>
      <c r="U41" s="453">
        <v>34000</v>
      </c>
      <c r="V41" s="453">
        <v>0</v>
      </c>
      <c r="W41" s="453">
        <v>17000</v>
      </c>
      <c r="X41" s="453">
        <v>34000</v>
      </c>
      <c r="Y41" s="453">
        <v>0</v>
      </c>
      <c r="Z41" s="453">
        <v>0</v>
      </c>
      <c r="AA41" s="453">
        <v>17000</v>
      </c>
      <c r="AB41" s="453">
        <v>8500</v>
      </c>
      <c r="AC41" s="453">
        <v>0</v>
      </c>
      <c r="AD41" s="453">
        <v>0</v>
      </c>
      <c r="AE41" s="453">
        <v>236400</v>
      </c>
      <c r="AF41" s="453">
        <v>14450</v>
      </c>
      <c r="AG41" s="453">
        <v>0</v>
      </c>
      <c r="AH41" s="453">
        <v>39200</v>
      </c>
      <c r="AI41" s="453">
        <v>0</v>
      </c>
      <c r="AJ41" s="453">
        <v>0</v>
      </c>
      <c r="AK41" s="453">
        <v>0</v>
      </c>
      <c r="AL41" s="453">
        <v>0</v>
      </c>
      <c r="AM41" s="453">
        <v>0</v>
      </c>
      <c r="AN41" s="453">
        <v>0</v>
      </c>
    </row>
    <row r="42" spans="1:40" outlineLevel="1" collapsed="1" x14ac:dyDescent="0.25">
      <c r="A42" s="452">
        <v>8827</v>
      </c>
      <c r="B42" t="s">
        <v>1269</v>
      </c>
      <c r="C42" t="s">
        <v>1270</v>
      </c>
      <c r="D42" t="s">
        <v>690</v>
      </c>
      <c r="E42" s="453">
        <f t="shared" si="6"/>
        <v>15950</v>
      </c>
      <c r="F42" s="453">
        <f t="shared" si="7"/>
        <v>15950</v>
      </c>
      <c r="G42" s="453">
        <f t="shared" si="8"/>
        <v>0</v>
      </c>
      <c r="H42" s="453">
        <v>0</v>
      </c>
      <c r="I42" s="453">
        <v>0</v>
      </c>
      <c r="J42" s="453">
        <v>15950</v>
      </c>
      <c r="K42" s="453">
        <v>0</v>
      </c>
      <c r="L42" s="453">
        <v>0</v>
      </c>
      <c r="M42" s="453">
        <v>0</v>
      </c>
      <c r="N42" s="453">
        <v>0</v>
      </c>
      <c r="O42" s="453">
        <v>0</v>
      </c>
      <c r="P42" s="453">
        <v>0</v>
      </c>
      <c r="Q42" s="453">
        <v>0</v>
      </c>
      <c r="R42" s="453">
        <v>0</v>
      </c>
      <c r="S42" s="453">
        <v>0</v>
      </c>
      <c r="T42" s="453">
        <v>0</v>
      </c>
      <c r="U42" s="453">
        <v>0</v>
      </c>
      <c r="V42" s="453">
        <v>0</v>
      </c>
      <c r="W42" s="453">
        <v>0</v>
      </c>
      <c r="X42" s="453">
        <v>0</v>
      </c>
      <c r="Y42" s="453">
        <v>0</v>
      </c>
      <c r="Z42" s="453">
        <v>0</v>
      </c>
      <c r="AA42" s="453">
        <v>0</v>
      </c>
      <c r="AB42" s="453">
        <v>15950</v>
      </c>
      <c r="AC42" s="453">
        <v>0</v>
      </c>
      <c r="AD42" s="453">
        <v>0</v>
      </c>
      <c r="AE42" s="453">
        <v>0</v>
      </c>
      <c r="AF42" s="453">
        <v>0</v>
      </c>
      <c r="AG42" s="453">
        <v>0</v>
      </c>
      <c r="AH42" s="453">
        <v>0</v>
      </c>
      <c r="AI42" s="453">
        <v>0</v>
      </c>
      <c r="AJ42" s="453">
        <v>0</v>
      </c>
      <c r="AK42" s="453">
        <v>0</v>
      </c>
      <c r="AL42" s="453">
        <v>0</v>
      </c>
      <c r="AM42" s="453">
        <v>0</v>
      </c>
      <c r="AN42" s="453">
        <v>0</v>
      </c>
    </row>
    <row r="43" spans="1:40" outlineLevel="1" collapsed="1" x14ac:dyDescent="0.25">
      <c r="A43" s="452">
        <v>8838</v>
      </c>
      <c r="B43" t="s">
        <v>1271</v>
      </c>
      <c r="C43" t="s">
        <v>1272</v>
      </c>
      <c r="D43" t="s">
        <v>690</v>
      </c>
      <c r="E43" s="453">
        <f t="shared" si="6"/>
        <v>0</v>
      </c>
      <c r="F43" s="453">
        <f t="shared" si="7"/>
        <v>0</v>
      </c>
      <c r="G43" s="453">
        <f t="shared" si="8"/>
        <v>34905.46</v>
      </c>
      <c r="H43" s="453">
        <v>0</v>
      </c>
      <c r="I43" s="453">
        <v>0</v>
      </c>
      <c r="J43" s="453">
        <v>0</v>
      </c>
      <c r="K43" s="453">
        <v>0</v>
      </c>
      <c r="L43" s="453">
        <v>0</v>
      </c>
      <c r="M43" s="453">
        <v>0</v>
      </c>
      <c r="N43" s="453">
        <v>0</v>
      </c>
      <c r="O43" s="453">
        <v>0</v>
      </c>
      <c r="P43" s="453">
        <v>0</v>
      </c>
      <c r="Q43" s="453">
        <v>0</v>
      </c>
      <c r="R43" s="453">
        <v>0</v>
      </c>
      <c r="S43" s="453">
        <v>0</v>
      </c>
      <c r="T43" s="453">
        <v>0</v>
      </c>
      <c r="U43" s="453">
        <v>0</v>
      </c>
      <c r="V43" s="453">
        <v>0</v>
      </c>
      <c r="W43" s="453">
        <v>0</v>
      </c>
      <c r="X43" s="453">
        <v>0</v>
      </c>
      <c r="Y43" s="453">
        <v>0</v>
      </c>
      <c r="Z43" s="453">
        <v>0</v>
      </c>
      <c r="AA43" s="453">
        <v>0</v>
      </c>
      <c r="AB43" s="453">
        <v>0</v>
      </c>
      <c r="AC43" s="453">
        <v>0</v>
      </c>
      <c r="AD43" s="453">
        <v>0</v>
      </c>
      <c r="AE43" s="453">
        <v>0</v>
      </c>
      <c r="AF43" s="453">
        <v>0</v>
      </c>
      <c r="AG43" s="453">
        <v>0</v>
      </c>
      <c r="AH43" s="453">
        <v>34905.46</v>
      </c>
      <c r="AI43" s="453">
        <v>0</v>
      </c>
      <c r="AJ43" s="453">
        <v>0</v>
      </c>
      <c r="AK43" s="453">
        <v>0</v>
      </c>
      <c r="AL43" s="453">
        <v>0</v>
      </c>
      <c r="AM43" s="453">
        <v>0</v>
      </c>
      <c r="AN43" s="453">
        <v>0</v>
      </c>
    </row>
    <row r="44" spans="1:40" s="455" customFormat="1" x14ac:dyDescent="0.25">
      <c r="B44" s="455" t="s">
        <v>265</v>
      </c>
      <c r="C44" s="455" t="s">
        <v>205</v>
      </c>
      <c r="E44" s="456">
        <f t="shared" ref="E44:AN44" si="9">E21+E26+E28+E29+E30+E31+E32+E33+E34+E35+E36+E37+E38+E39+E40+E41+E42+E43</f>
        <v>15702780.560000001</v>
      </c>
      <c r="F44" s="456">
        <f t="shared" si="9"/>
        <v>17275330.199999999</v>
      </c>
      <c r="G44" s="456">
        <f t="shared" si="9"/>
        <v>11623947.420000002</v>
      </c>
      <c r="H44" s="456">
        <f t="shared" si="9"/>
        <v>1119477.1399999999</v>
      </c>
      <c r="I44" s="456">
        <f t="shared" si="9"/>
        <v>1238503.07</v>
      </c>
      <c r="J44" s="456">
        <f t="shared" si="9"/>
        <v>1455857.4800000002</v>
      </c>
      <c r="K44" s="456">
        <f t="shared" si="9"/>
        <v>1324251.17</v>
      </c>
      <c r="L44" s="456">
        <f t="shared" si="9"/>
        <v>1221698.0900000003</v>
      </c>
      <c r="M44" s="456">
        <f t="shared" si="9"/>
        <v>1377000.9599999997</v>
      </c>
      <c r="N44" s="456">
        <f t="shared" si="9"/>
        <v>1221311.5600000005</v>
      </c>
      <c r="O44" s="456">
        <f t="shared" si="9"/>
        <v>1395031.25</v>
      </c>
      <c r="P44" s="456">
        <f t="shared" si="9"/>
        <v>1324943.8999999997</v>
      </c>
      <c r="Q44" s="456">
        <f t="shared" si="9"/>
        <v>1093673.06</v>
      </c>
      <c r="R44" s="456">
        <f t="shared" si="9"/>
        <v>1332091.7199999997</v>
      </c>
      <c r="S44" s="456">
        <f t="shared" si="9"/>
        <v>1598941.16</v>
      </c>
      <c r="T44" s="456">
        <f t="shared" si="9"/>
        <v>1376184.25</v>
      </c>
      <c r="U44" s="456">
        <f t="shared" si="9"/>
        <v>1411488.6999999997</v>
      </c>
      <c r="V44" s="456">
        <f t="shared" si="9"/>
        <v>1667038.0399999998</v>
      </c>
      <c r="W44" s="456">
        <f t="shared" si="9"/>
        <v>1356418.01</v>
      </c>
      <c r="X44" s="456">
        <f t="shared" si="9"/>
        <v>1785309.36</v>
      </c>
      <c r="Y44" s="456">
        <f t="shared" si="9"/>
        <v>1216432.99</v>
      </c>
      <c r="Z44" s="456">
        <f t="shared" si="9"/>
        <v>1484455.5400000003</v>
      </c>
      <c r="AA44" s="456">
        <f t="shared" si="9"/>
        <v>1290661.149999999</v>
      </c>
      <c r="AB44" s="456">
        <f t="shared" si="9"/>
        <v>1450202.81</v>
      </c>
      <c r="AC44" s="456">
        <f t="shared" si="9"/>
        <v>1373608.9799999995</v>
      </c>
      <c r="AD44" s="456">
        <f t="shared" si="9"/>
        <v>1333926.7900000014</v>
      </c>
      <c r="AE44" s="456">
        <f t="shared" si="9"/>
        <v>1529603.5799999987</v>
      </c>
      <c r="AF44" s="456">
        <f t="shared" si="9"/>
        <v>1379711.49</v>
      </c>
      <c r="AG44" s="456">
        <f t="shared" si="9"/>
        <v>1481696.6000000003</v>
      </c>
      <c r="AH44" s="456">
        <f t="shared" si="9"/>
        <v>1157448.9799999995</v>
      </c>
      <c r="AI44" s="456">
        <f t="shared" si="9"/>
        <v>1371932.11</v>
      </c>
      <c r="AJ44" s="456">
        <f t="shared" si="9"/>
        <v>1522620.7400000002</v>
      </c>
      <c r="AK44" s="456">
        <f t="shared" si="9"/>
        <v>1065522.1699999995</v>
      </c>
      <c r="AL44" s="456">
        <f t="shared" si="9"/>
        <v>1122563.22</v>
      </c>
      <c r="AM44" s="456">
        <f t="shared" si="9"/>
        <v>1387262.6900000002</v>
      </c>
      <c r="AN44" s="456">
        <f t="shared" si="9"/>
        <v>1135189.4200000004</v>
      </c>
    </row>
    <row r="45" spans="1:40" x14ac:dyDescent="0.25">
      <c r="B45" t="s">
        <v>1121</v>
      </c>
      <c r="C45" t="s">
        <v>1122</v>
      </c>
      <c r="F45" s="457">
        <f>((F44)/(E44))-1</f>
        <v>0.10014466125864274</v>
      </c>
      <c r="G45" s="457">
        <f>((G44)/(F44))-1</f>
        <v>-0.32713602082118221</v>
      </c>
      <c r="I45" s="457">
        <f t="shared" ref="I45:AN45" si="10">((I44)/(H44))-1</f>
        <v>0.10632278743985801</v>
      </c>
      <c r="J45" s="457">
        <f t="shared" si="10"/>
        <v>0.17549767559316587</v>
      </c>
      <c r="K45" s="457">
        <f t="shared" si="10"/>
        <v>-9.0397797729486751E-2</v>
      </c>
      <c r="L45" s="457">
        <f t="shared" si="10"/>
        <v>-7.7442317834614083E-2</v>
      </c>
      <c r="M45" s="457">
        <f t="shared" si="10"/>
        <v>0.12712049832213412</v>
      </c>
      <c r="N45" s="457">
        <f t="shared" si="10"/>
        <v>-0.1130641187062057</v>
      </c>
      <c r="O45" s="457">
        <f t="shared" si="10"/>
        <v>0.1422402732354382</v>
      </c>
      <c r="P45" s="457">
        <f t="shared" si="10"/>
        <v>-5.0240702493223988E-2</v>
      </c>
      <c r="Q45" s="457">
        <f t="shared" si="10"/>
        <v>-0.17455142062995999</v>
      </c>
      <c r="R45" s="457">
        <f t="shared" si="10"/>
        <v>0.21799810996533076</v>
      </c>
      <c r="S45" s="457">
        <f t="shared" si="10"/>
        <v>0.20032362336131038</v>
      </c>
      <c r="T45" s="457">
        <f t="shared" si="10"/>
        <v>-0.1393152641089056</v>
      </c>
      <c r="U45" s="457">
        <f t="shared" si="10"/>
        <v>2.5653868658938483E-2</v>
      </c>
      <c r="V45" s="457">
        <f t="shared" si="10"/>
        <v>0.18104951176725681</v>
      </c>
      <c r="W45" s="457">
        <f t="shared" si="10"/>
        <v>-0.18633049909287003</v>
      </c>
      <c r="X45" s="457">
        <f t="shared" si="10"/>
        <v>0.31619408385767467</v>
      </c>
      <c r="Y45" s="457">
        <f t="shared" si="10"/>
        <v>-0.31864302218188112</v>
      </c>
      <c r="Z45" s="457">
        <f t="shared" si="10"/>
        <v>0.22033482501983137</v>
      </c>
      <c r="AA45" s="457">
        <f t="shared" si="10"/>
        <v>-0.13054913722778205</v>
      </c>
      <c r="AB45" s="457">
        <f t="shared" si="10"/>
        <v>0.12361235170052276</v>
      </c>
      <c r="AC45" s="457">
        <f t="shared" si="10"/>
        <v>-5.2815943723071745E-2</v>
      </c>
      <c r="AD45" s="457">
        <f t="shared" si="10"/>
        <v>-2.8889000128696107E-2</v>
      </c>
      <c r="AE45" s="457">
        <f t="shared" si="10"/>
        <v>0.14669230085707863</v>
      </c>
      <c r="AF45" s="457">
        <f t="shared" si="10"/>
        <v>-9.7994076347545422E-2</v>
      </c>
      <c r="AG45" s="457">
        <f t="shared" si="10"/>
        <v>7.3917707244722797E-2</v>
      </c>
      <c r="AH45" s="457">
        <f t="shared" si="10"/>
        <v>-0.21883536751046118</v>
      </c>
      <c r="AI45" s="457">
        <f t="shared" si="10"/>
        <v>0.18530676833807447</v>
      </c>
      <c r="AJ45" s="457">
        <f t="shared" si="10"/>
        <v>0.10983679797391721</v>
      </c>
      <c r="AK45" s="457">
        <f t="shared" si="10"/>
        <v>-0.30020513841155261</v>
      </c>
      <c r="AL45" s="457">
        <f t="shared" si="10"/>
        <v>5.3533423898632249E-2</v>
      </c>
      <c r="AM45" s="457">
        <f t="shared" si="10"/>
        <v>0.23579916505726972</v>
      </c>
      <c r="AN45" s="457">
        <f t="shared" si="10"/>
        <v>-0.1817055066910217</v>
      </c>
    </row>
    <row r="47" spans="1:40" outlineLevel="1" collapsed="1" x14ac:dyDescent="0.25">
      <c r="A47" s="452">
        <v>3030</v>
      </c>
      <c r="B47" t="s">
        <v>1273</v>
      </c>
      <c r="C47" t="s">
        <v>1274</v>
      </c>
      <c r="D47" t="s">
        <v>693</v>
      </c>
      <c r="E47" s="453">
        <f t="shared" ref="E47:E61" si="11">S47+R47+Q47+P47+O47+N47+M47+L47+K47+J47+I47+H47</f>
        <v>-30586.76</v>
      </c>
      <c r="F47" s="453">
        <f t="shared" ref="F47:F61" si="12">AE47+AD47+AC47+AB47+AA47+Z47+Y47+X47+W47+V47+U47+T47</f>
        <v>-27996.769999999997</v>
      </c>
      <c r="G47" s="453">
        <f t="shared" ref="G47:G61" si="13">AN47+AM47+AL47+AK47+AJ47+AI47+AH47+AG47+AF47</f>
        <v>-24571.13</v>
      </c>
      <c r="H47" s="453">
        <v>0</v>
      </c>
      <c r="I47" s="453">
        <v>-5010.03</v>
      </c>
      <c r="J47" s="453">
        <v>-6332.2</v>
      </c>
      <c r="K47" s="453">
        <v>-80.550000000001091</v>
      </c>
      <c r="L47" s="453">
        <v>-715.5</v>
      </c>
      <c r="M47" s="453">
        <v>-4853.8500000000004</v>
      </c>
      <c r="N47" s="453">
        <v>-6633</v>
      </c>
      <c r="O47" s="453">
        <v>-382</v>
      </c>
      <c r="P47" s="453">
        <v>-1320.5499999999993</v>
      </c>
      <c r="Q47" s="453">
        <v>16.25</v>
      </c>
      <c r="R47" s="453">
        <v>-3288.130000000001</v>
      </c>
      <c r="S47" s="453">
        <v>-1987.1999999999971</v>
      </c>
      <c r="T47" s="453">
        <v>0</v>
      </c>
      <c r="U47" s="453">
        <v>-2664.85</v>
      </c>
      <c r="V47" s="453">
        <v>-237</v>
      </c>
      <c r="W47" s="453">
        <v>-6679.6999999999989</v>
      </c>
      <c r="X47" s="453">
        <v>0</v>
      </c>
      <c r="Y47" s="453">
        <v>-1898.3000000000011</v>
      </c>
      <c r="Z47" s="453">
        <v>-3787.5</v>
      </c>
      <c r="AA47" s="453">
        <v>-1192.4999999999982</v>
      </c>
      <c r="AB47" s="453">
        <v>0</v>
      </c>
      <c r="AC47" s="453">
        <v>-11906.620000000003</v>
      </c>
      <c r="AD47" s="453">
        <v>604.70000000000073</v>
      </c>
      <c r="AE47" s="453">
        <v>-235</v>
      </c>
      <c r="AF47" s="453">
        <v>-2266</v>
      </c>
      <c r="AG47" s="453">
        <v>-8531.6</v>
      </c>
      <c r="AH47" s="453">
        <v>-548.35000000000036</v>
      </c>
      <c r="AI47" s="453">
        <v>-3179.6999999999989</v>
      </c>
      <c r="AJ47" s="453">
        <v>0</v>
      </c>
      <c r="AK47" s="453">
        <v>-1730.5</v>
      </c>
      <c r="AL47" s="453">
        <v>-6710.9800000000014</v>
      </c>
      <c r="AM47" s="453">
        <v>-1604</v>
      </c>
      <c r="AN47" s="453">
        <v>0</v>
      </c>
    </row>
    <row r="48" spans="1:40" outlineLevel="1" collapsed="1" x14ac:dyDescent="0.25">
      <c r="A48" s="452">
        <v>3101</v>
      </c>
      <c r="B48" t="s">
        <v>1275</v>
      </c>
      <c r="C48" t="s">
        <v>1276</v>
      </c>
      <c r="D48" t="s">
        <v>693</v>
      </c>
      <c r="E48" s="453">
        <f t="shared" si="11"/>
        <v>-22952.509999999995</v>
      </c>
      <c r="F48" s="453">
        <f t="shared" si="12"/>
        <v>-20003.43</v>
      </c>
      <c r="G48" s="453">
        <f t="shared" si="13"/>
        <v>-3047</v>
      </c>
      <c r="H48" s="453">
        <v>-1123</v>
      </c>
      <c r="I48" s="453">
        <v>-448.29999999999995</v>
      </c>
      <c r="J48" s="453">
        <v>-1065.76</v>
      </c>
      <c r="K48" s="453">
        <v>-1230.5</v>
      </c>
      <c r="L48" s="453">
        <v>-1963.0000000000005</v>
      </c>
      <c r="M48" s="453">
        <v>-2672.9999999999991</v>
      </c>
      <c r="N48" s="453">
        <v>-2660.380000000001</v>
      </c>
      <c r="O48" s="453">
        <v>-3176</v>
      </c>
      <c r="P48" s="453">
        <v>-2591.9999999999982</v>
      </c>
      <c r="Q48" s="453">
        <v>-1754.6700000000019</v>
      </c>
      <c r="R48" s="453">
        <v>-842.25</v>
      </c>
      <c r="S48" s="453">
        <v>-3423.6499999999978</v>
      </c>
      <c r="T48" s="453">
        <v>-3026.75</v>
      </c>
      <c r="U48" s="453">
        <v>-1745.5</v>
      </c>
      <c r="V48" s="453">
        <v>-1166</v>
      </c>
      <c r="W48" s="453">
        <v>-2893.5</v>
      </c>
      <c r="X48" s="453">
        <v>-3307.6800000000003</v>
      </c>
      <c r="Y48" s="453">
        <v>-1365</v>
      </c>
      <c r="Z48" s="453">
        <v>-2745</v>
      </c>
      <c r="AA48" s="453">
        <v>0</v>
      </c>
      <c r="AB48" s="453">
        <v>-1298.5</v>
      </c>
      <c r="AC48" s="453">
        <v>0</v>
      </c>
      <c r="AD48" s="453">
        <v>-2455.5</v>
      </c>
      <c r="AE48" s="453">
        <v>0</v>
      </c>
      <c r="AF48" s="453">
        <v>0</v>
      </c>
      <c r="AG48" s="453">
        <v>-1333</v>
      </c>
      <c r="AH48" s="453">
        <v>0</v>
      </c>
      <c r="AI48" s="453">
        <v>-1275</v>
      </c>
      <c r="AJ48" s="453">
        <v>0</v>
      </c>
      <c r="AK48" s="453">
        <v>-439</v>
      </c>
      <c r="AL48" s="453">
        <v>0</v>
      </c>
      <c r="AM48" s="453">
        <v>0</v>
      </c>
      <c r="AN48" s="453">
        <v>0</v>
      </c>
    </row>
    <row r="49" spans="1:40" outlineLevel="1" collapsed="1" x14ac:dyDescent="0.25">
      <c r="A49" s="452">
        <v>3102</v>
      </c>
      <c r="B49" t="s">
        <v>1277</v>
      </c>
      <c r="C49" t="s">
        <v>1278</v>
      </c>
      <c r="D49" t="s">
        <v>693</v>
      </c>
      <c r="E49" s="453">
        <f t="shared" si="11"/>
        <v>-3701</v>
      </c>
      <c r="F49" s="453">
        <f t="shared" si="12"/>
        <v>-3544.9</v>
      </c>
      <c r="G49" s="453">
        <f t="shared" si="13"/>
        <v>-203</v>
      </c>
      <c r="H49" s="453">
        <v>0</v>
      </c>
      <c r="I49" s="453">
        <v>-1873.5</v>
      </c>
      <c r="J49" s="453">
        <v>0</v>
      </c>
      <c r="K49" s="453">
        <v>0</v>
      </c>
      <c r="L49" s="453">
        <v>0</v>
      </c>
      <c r="M49" s="453">
        <v>-638</v>
      </c>
      <c r="N49" s="453">
        <v>0</v>
      </c>
      <c r="O49" s="453">
        <v>0</v>
      </c>
      <c r="P49" s="453">
        <v>0</v>
      </c>
      <c r="Q49" s="453">
        <v>0</v>
      </c>
      <c r="R49" s="453">
        <v>-723</v>
      </c>
      <c r="S49" s="453">
        <v>-466.5</v>
      </c>
      <c r="T49" s="453">
        <v>-886.9</v>
      </c>
      <c r="U49" s="453">
        <v>-1080</v>
      </c>
      <c r="V49" s="453">
        <v>-289</v>
      </c>
      <c r="W49" s="453">
        <v>0</v>
      </c>
      <c r="X49" s="453">
        <v>-353</v>
      </c>
      <c r="Y49" s="453">
        <v>0</v>
      </c>
      <c r="Z49" s="453">
        <v>-377</v>
      </c>
      <c r="AA49" s="453">
        <v>0</v>
      </c>
      <c r="AB49" s="453">
        <v>0</v>
      </c>
      <c r="AC49" s="453">
        <v>0</v>
      </c>
      <c r="AD49" s="453">
        <v>0</v>
      </c>
      <c r="AE49" s="453">
        <v>-559</v>
      </c>
      <c r="AF49" s="453">
        <v>0</v>
      </c>
      <c r="AG49" s="453">
        <v>0</v>
      </c>
      <c r="AH49" s="453">
        <v>0</v>
      </c>
      <c r="AI49" s="453">
        <v>-203</v>
      </c>
      <c r="AJ49" s="453">
        <v>0</v>
      </c>
      <c r="AK49" s="453">
        <v>0</v>
      </c>
      <c r="AL49" s="453">
        <v>0</v>
      </c>
      <c r="AM49" s="453">
        <v>0</v>
      </c>
      <c r="AN49" s="453">
        <v>0</v>
      </c>
    </row>
    <row r="50" spans="1:40" outlineLevel="1" collapsed="1" x14ac:dyDescent="0.25">
      <c r="A50" s="452">
        <v>3106</v>
      </c>
      <c r="B50" t="s">
        <v>1279</v>
      </c>
      <c r="C50" t="s">
        <v>1280</v>
      </c>
      <c r="D50" t="s">
        <v>693</v>
      </c>
      <c r="E50" s="453">
        <f t="shared" si="11"/>
        <v>-520960.39999999997</v>
      </c>
      <c r="F50" s="453">
        <f t="shared" si="12"/>
        <v>-605922.72</v>
      </c>
      <c r="G50" s="453">
        <f t="shared" si="13"/>
        <v>-443140.28</v>
      </c>
      <c r="H50" s="453">
        <v>-31054.5</v>
      </c>
      <c r="I50" s="453">
        <v>-47455.7</v>
      </c>
      <c r="J50" s="453">
        <v>-74540.599999999991</v>
      </c>
      <c r="K50" s="453">
        <v>-58483.100000000006</v>
      </c>
      <c r="L50" s="453">
        <v>-28549</v>
      </c>
      <c r="M50" s="453">
        <v>-34872.899999999994</v>
      </c>
      <c r="N50" s="453">
        <v>-44676.299999999988</v>
      </c>
      <c r="O50" s="453">
        <v>-28131.700000000012</v>
      </c>
      <c r="P50" s="453">
        <v>-27856.5</v>
      </c>
      <c r="Q50" s="453">
        <v>-37683.400000000023</v>
      </c>
      <c r="R50" s="453">
        <v>-52816.099999999977</v>
      </c>
      <c r="S50" s="453">
        <v>-54840.600000000035</v>
      </c>
      <c r="T50" s="453">
        <v>-48249.4</v>
      </c>
      <c r="U50" s="453">
        <v>-48092.799999999996</v>
      </c>
      <c r="V50" s="453">
        <v>-57595.819999999992</v>
      </c>
      <c r="W50" s="453">
        <v>-49290.600000000006</v>
      </c>
      <c r="X50" s="453">
        <v>-80415.900000000023</v>
      </c>
      <c r="Y50" s="453">
        <v>-39262.099999999977</v>
      </c>
      <c r="Z50" s="453">
        <v>-58658.400000000023</v>
      </c>
      <c r="AA50" s="453">
        <v>-35923.799999999988</v>
      </c>
      <c r="AB50" s="453">
        <v>-48822.099999999977</v>
      </c>
      <c r="AC50" s="453">
        <v>-33125.700000000012</v>
      </c>
      <c r="AD50" s="453">
        <v>-54078.400000000023</v>
      </c>
      <c r="AE50" s="453">
        <v>-52407.699999999953</v>
      </c>
      <c r="AF50" s="453">
        <v>-39548.879999999997</v>
      </c>
      <c r="AG50" s="453">
        <v>-46009.68</v>
      </c>
      <c r="AH50" s="453">
        <v>-136769.82</v>
      </c>
      <c r="AI50" s="453">
        <v>-44693.56</v>
      </c>
      <c r="AJ50" s="453">
        <v>-49488.880000000005</v>
      </c>
      <c r="AK50" s="453">
        <v>-30940.979999999981</v>
      </c>
      <c r="AL50" s="453">
        <v>-31115.960000000021</v>
      </c>
      <c r="AM50" s="453">
        <v>-35572.559999999998</v>
      </c>
      <c r="AN50" s="453">
        <v>-28999.960000000021</v>
      </c>
    </row>
    <row r="51" spans="1:40" outlineLevel="1" collapsed="1" x14ac:dyDescent="0.25">
      <c r="A51" s="452">
        <v>3125</v>
      </c>
      <c r="B51" t="s">
        <v>1281</v>
      </c>
      <c r="C51" t="s">
        <v>1282</v>
      </c>
      <c r="D51" t="s">
        <v>693</v>
      </c>
      <c r="E51" s="453">
        <f t="shared" si="11"/>
        <v>-98400</v>
      </c>
      <c r="F51" s="453">
        <f t="shared" si="12"/>
        <v>-22500</v>
      </c>
      <c r="G51" s="453">
        <f t="shared" si="13"/>
        <v>-20866.59</v>
      </c>
      <c r="H51" s="453">
        <v>0</v>
      </c>
      <c r="I51" s="453">
        <v>0</v>
      </c>
      <c r="J51" s="453">
        <v>0</v>
      </c>
      <c r="K51" s="453">
        <v>0</v>
      </c>
      <c r="L51" s="453">
        <v>0</v>
      </c>
      <c r="M51" s="453">
        <v>0</v>
      </c>
      <c r="N51" s="453">
        <v>0</v>
      </c>
      <c r="O51" s="453">
        <v>0</v>
      </c>
      <c r="P51" s="453">
        <v>0</v>
      </c>
      <c r="Q51" s="453">
        <v>-2000</v>
      </c>
      <c r="R51" s="453">
        <v>0</v>
      </c>
      <c r="S51" s="453">
        <v>-96400</v>
      </c>
      <c r="T51" s="453">
        <v>-24740</v>
      </c>
      <c r="U51" s="453">
        <v>-1660</v>
      </c>
      <c r="V51" s="453">
        <v>-5700</v>
      </c>
      <c r="W51" s="453">
        <v>-3200</v>
      </c>
      <c r="X51" s="453">
        <v>-23221.309999999998</v>
      </c>
      <c r="Y51" s="453">
        <v>-66397.81</v>
      </c>
      <c r="Z51" s="453">
        <v>-3200</v>
      </c>
      <c r="AA51" s="453">
        <v>-23200</v>
      </c>
      <c r="AB51" s="453">
        <v>-3200</v>
      </c>
      <c r="AC51" s="453">
        <v>132019.12</v>
      </c>
      <c r="AD51" s="453">
        <v>0</v>
      </c>
      <c r="AE51" s="453">
        <v>0</v>
      </c>
      <c r="AF51" s="453">
        <v>0</v>
      </c>
      <c r="AG51" s="453">
        <v>-345</v>
      </c>
      <c r="AH51" s="453">
        <v>-521.59</v>
      </c>
      <c r="AI51" s="453">
        <v>0</v>
      </c>
      <c r="AJ51" s="453">
        <v>0</v>
      </c>
      <c r="AK51" s="453">
        <v>0</v>
      </c>
      <c r="AL51" s="453">
        <v>0</v>
      </c>
      <c r="AM51" s="453">
        <v>-20000</v>
      </c>
      <c r="AN51" s="453">
        <v>0</v>
      </c>
    </row>
    <row r="52" spans="1:40" outlineLevel="1" collapsed="1" x14ac:dyDescent="0.25">
      <c r="A52" s="452">
        <v>3200</v>
      </c>
      <c r="B52" t="s">
        <v>1283</v>
      </c>
      <c r="C52" t="s">
        <v>1284</v>
      </c>
      <c r="D52" t="s">
        <v>693</v>
      </c>
      <c r="E52" s="453">
        <f t="shared" si="11"/>
        <v>-17389.509999999998</v>
      </c>
      <c r="F52" s="453">
        <f t="shared" si="12"/>
        <v>-289719.79999999993</v>
      </c>
      <c r="G52" s="453">
        <f t="shared" si="13"/>
        <v>-2226.19</v>
      </c>
      <c r="H52" s="453">
        <v>-2713.96</v>
      </c>
      <c r="I52" s="453">
        <v>0</v>
      </c>
      <c r="J52" s="453">
        <v>0</v>
      </c>
      <c r="K52" s="453">
        <v>-2649.88</v>
      </c>
      <c r="L52" s="453">
        <v>0</v>
      </c>
      <c r="M52" s="453">
        <v>-2449.6099999999997</v>
      </c>
      <c r="N52" s="453">
        <v>-1551.7699999999995</v>
      </c>
      <c r="O52" s="453">
        <v>0</v>
      </c>
      <c r="P52" s="453">
        <v>0</v>
      </c>
      <c r="Q52" s="453">
        <v>-8024.2899999999991</v>
      </c>
      <c r="R52" s="453">
        <v>0</v>
      </c>
      <c r="S52" s="453">
        <v>0</v>
      </c>
      <c r="T52" s="453">
        <v>-3491.98</v>
      </c>
      <c r="U52" s="453">
        <v>8.0100000000002183</v>
      </c>
      <c r="V52" s="453">
        <v>-142935.51</v>
      </c>
      <c r="W52" s="453">
        <v>-1316</v>
      </c>
      <c r="X52" s="453">
        <v>-2241.4599999999919</v>
      </c>
      <c r="Y52" s="453">
        <v>-1905.679999999993</v>
      </c>
      <c r="Z52" s="453">
        <v>-130200</v>
      </c>
      <c r="AA52" s="453">
        <v>-212.53999999997905</v>
      </c>
      <c r="AB52" s="453">
        <v>0</v>
      </c>
      <c r="AC52" s="453">
        <v>0</v>
      </c>
      <c r="AD52" s="453">
        <v>0</v>
      </c>
      <c r="AE52" s="453">
        <v>-7424.640000000014</v>
      </c>
      <c r="AF52" s="453">
        <v>0</v>
      </c>
      <c r="AG52" s="453">
        <v>0</v>
      </c>
      <c r="AH52" s="453">
        <v>0</v>
      </c>
      <c r="AI52" s="453">
        <v>-583.6</v>
      </c>
      <c r="AJ52" s="453">
        <v>0</v>
      </c>
      <c r="AK52" s="453">
        <v>-200.49</v>
      </c>
      <c r="AL52" s="453">
        <v>-518.64</v>
      </c>
      <c r="AM52" s="453">
        <v>0</v>
      </c>
      <c r="AN52" s="453">
        <v>-923.46</v>
      </c>
    </row>
    <row r="53" spans="1:40" outlineLevel="1" collapsed="1" x14ac:dyDescent="0.25">
      <c r="A53" s="452">
        <v>3400</v>
      </c>
      <c r="B53" t="s">
        <v>1285</v>
      </c>
      <c r="C53" t="s">
        <v>1286</v>
      </c>
      <c r="D53" t="s">
        <v>693</v>
      </c>
      <c r="E53" s="453">
        <f t="shared" si="11"/>
        <v>-2066814.05</v>
      </c>
      <c r="F53" s="453">
        <f t="shared" si="12"/>
        <v>-2076502.96</v>
      </c>
      <c r="G53" s="453">
        <f t="shared" si="13"/>
        <v>-1471225.47</v>
      </c>
      <c r="H53" s="453">
        <v>-188905.95</v>
      </c>
      <c r="I53" s="453">
        <v>-231437.09999999998</v>
      </c>
      <c r="J53" s="453">
        <v>-239742.10000000003</v>
      </c>
      <c r="K53" s="453">
        <v>-126250.22999999998</v>
      </c>
      <c r="L53" s="453">
        <v>-175285.39</v>
      </c>
      <c r="M53" s="453">
        <v>-140612.10000000009</v>
      </c>
      <c r="N53" s="453">
        <v>-170319.47999999998</v>
      </c>
      <c r="O53" s="453">
        <v>-166939.61999999988</v>
      </c>
      <c r="P53" s="453">
        <v>-154105.87000000011</v>
      </c>
      <c r="Q53" s="453">
        <v>-194347.82999999984</v>
      </c>
      <c r="R53" s="453">
        <v>-215731.15000000014</v>
      </c>
      <c r="S53" s="453">
        <v>-63137.229999999981</v>
      </c>
      <c r="T53" s="453">
        <v>-205060.11</v>
      </c>
      <c r="U53" s="453">
        <v>-176545.41000000003</v>
      </c>
      <c r="V53" s="453">
        <v>-193051.31999999995</v>
      </c>
      <c r="W53" s="453">
        <v>-179425</v>
      </c>
      <c r="X53" s="453">
        <v>-215612.55000000005</v>
      </c>
      <c r="Y53" s="453">
        <v>-134353.57999999996</v>
      </c>
      <c r="Z53" s="453">
        <v>-244720.65000000014</v>
      </c>
      <c r="AA53" s="453">
        <v>-125314.05999999982</v>
      </c>
      <c r="AB53" s="453">
        <v>-145922.59000000008</v>
      </c>
      <c r="AC53" s="453">
        <v>-154301.34000000008</v>
      </c>
      <c r="AD53" s="453">
        <v>-203001.42999999993</v>
      </c>
      <c r="AE53" s="453">
        <v>-99194.919999999925</v>
      </c>
      <c r="AF53" s="453">
        <v>-190541.69</v>
      </c>
      <c r="AG53" s="453">
        <v>-201369.46999999997</v>
      </c>
      <c r="AH53" s="453">
        <v>-243107.24000000005</v>
      </c>
      <c r="AI53" s="453">
        <v>-218942.93999999994</v>
      </c>
      <c r="AJ53" s="453">
        <v>-143169.13</v>
      </c>
      <c r="AK53" s="453">
        <v>-85922.929999999935</v>
      </c>
      <c r="AL53" s="453">
        <v>-96357.190000000177</v>
      </c>
      <c r="AM53" s="453">
        <v>-116730.44999999995</v>
      </c>
      <c r="AN53" s="453">
        <v>-175084.42999999993</v>
      </c>
    </row>
    <row r="54" spans="1:40" outlineLevel="1" collapsed="1" x14ac:dyDescent="0.25">
      <c r="A54" s="452">
        <v>3401</v>
      </c>
      <c r="B54" t="s">
        <v>1287</v>
      </c>
      <c r="C54" t="s">
        <v>1288</v>
      </c>
      <c r="D54" t="s">
        <v>693</v>
      </c>
      <c r="E54" s="453">
        <f t="shared" si="11"/>
        <v>-222391.73</v>
      </c>
      <c r="F54" s="453">
        <f t="shared" si="12"/>
        <v>-621605.43999999994</v>
      </c>
      <c r="G54" s="453">
        <f t="shared" si="13"/>
        <v>-410937.49</v>
      </c>
      <c r="H54" s="453">
        <v>-24785.5</v>
      </c>
      <c r="I54" s="453">
        <v>-32263.1</v>
      </c>
      <c r="J54" s="453">
        <v>-13581.500000000007</v>
      </c>
      <c r="K54" s="453">
        <v>-18403.5</v>
      </c>
      <c r="L54" s="453">
        <v>-19257.099999999991</v>
      </c>
      <c r="M54" s="453">
        <v>-22046.5</v>
      </c>
      <c r="N54" s="453">
        <v>-35770.500000000015</v>
      </c>
      <c r="O54" s="453">
        <v>-4250</v>
      </c>
      <c r="P54" s="453">
        <v>-10869.5</v>
      </c>
      <c r="Q54" s="453">
        <v>-22625.53</v>
      </c>
      <c r="R54" s="453">
        <v>-12101</v>
      </c>
      <c r="S54" s="453">
        <v>-6438</v>
      </c>
      <c r="T54" s="453">
        <v>-38234</v>
      </c>
      <c r="U54" s="453">
        <v>-7990</v>
      </c>
      <c r="V54" s="453">
        <v>-55299</v>
      </c>
      <c r="W54" s="453">
        <v>-116440.19</v>
      </c>
      <c r="X54" s="453">
        <v>-121362.79999999999</v>
      </c>
      <c r="Y54" s="453">
        <v>-105672</v>
      </c>
      <c r="Z54" s="453">
        <v>-6808</v>
      </c>
      <c r="AA54" s="453">
        <v>-1824</v>
      </c>
      <c r="AB54" s="453">
        <v>-68113.450000000012</v>
      </c>
      <c r="AC54" s="453">
        <v>-69466.999999999942</v>
      </c>
      <c r="AD54" s="453">
        <v>-15870</v>
      </c>
      <c r="AE54" s="453">
        <v>-14525</v>
      </c>
      <c r="AF54" s="453">
        <v>-74862.7</v>
      </c>
      <c r="AG54" s="453">
        <v>-95842.7</v>
      </c>
      <c r="AH54" s="453">
        <v>-12765.399999999994</v>
      </c>
      <c r="AI54" s="453">
        <v>-18213.600000000006</v>
      </c>
      <c r="AJ54" s="453">
        <v>-37998.459999999992</v>
      </c>
      <c r="AK54" s="453">
        <v>-33557.830000000016</v>
      </c>
      <c r="AL54" s="453">
        <v>-13877.599999999977</v>
      </c>
      <c r="AM54" s="453">
        <v>-110193.80000000005</v>
      </c>
      <c r="AN54" s="453">
        <v>-13625.399999999965</v>
      </c>
    </row>
    <row r="55" spans="1:40" outlineLevel="1" collapsed="1" x14ac:dyDescent="0.25">
      <c r="A55" s="452">
        <v>3425</v>
      </c>
      <c r="B55" t="s">
        <v>1289</v>
      </c>
      <c r="C55" t="s">
        <v>1290</v>
      </c>
      <c r="D55" t="s">
        <v>693</v>
      </c>
      <c r="E55" s="453">
        <f t="shared" si="11"/>
        <v>-5628952.3499999996</v>
      </c>
      <c r="F55" s="453">
        <f t="shared" si="12"/>
        <v>-5510838.4900000002</v>
      </c>
      <c r="G55" s="453">
        <f t="shared" si="13"/>
        <v>-2855359.01</v>
      </c>
      <c r="H55" s="453">
        <v>-449191.72</v>
      </c>
      <c r="I55" s="453">
        <v>-600591.97</v>
      </c>
      <c r="J55" s="453">
        <v>-652652.06000000006</v>
      </c>
      <c r="K55" s="453">
        <v>-455813.68999999994</v>
      </c>
      <c r="L55" s="453">
        <v>-722275.91000000015</v>
      </c>
      <c r="M55" s="453">
        <v>-355071.83999999985</v>
      </c>
      <c r="N55" s="453">
        <v>-462355.26000000024</v>
      </c>
      <c r="O55" s="453">
        <v>-301588.38999999966</v>
      </c>
      <c r="P55" s="453">
        <v>-724138.61000000034</v>
      </c>
      <c r="Q55" s="453">
        <v>-249595.16999999993</v>
      </c>
      <c r="R55" s="453">
        <v>-141788.49000000022</v>
      </c>
      <c r="S55" s="453">
        <v>-513889.23999999929</v>
      </c>
      <c r="T55" s="453">
        <v>-376625.83</v>
      </c>
      <c r="U55" s="453">
        <v>-271768.89999999997</v>
      </c>
      <c r="V55" s="453">
        <v>-162493.51</v>
      </c>
      <c r="W55" s="453">
        <v>-280608.25</v>
      </c>
      <c r="X55" s="453">
        <v>-615492.77</v>
      </c>
      <c r="Y55" s="453">
        <v>-309873.08000000007</v>
      </c>
      <c r="Z55" s="453">
        <v>-1207399.0900000001</v>
      </c>
      <c r="AA55" s="453">
        <v>-300582.61999999965</v>
      </c>
      <c r="AB55" s="453">
        <v>-894662.25999999978</v>
      </c>
      <c r="AC55" s="453">
        <v>-210238.3900000006</v>
      </c>
      <c r="AD55" s="453">
        <v>-306629.29999999981</v>
      </c>
      <c r="AE55" s="453">
        <v>-574464.49000000022</v>
      </c>
      <c r="AF55" s="453">
        <v>-357657.06</v>
      </c>
      <c r="AG55" s="453">
        <v>-496637.99000000005</v>
      </c>
      <c r="AH55" s="453">
        <v>-270358.71999999997</v>
      </c>
      <c r="AI55" s="453">
        <v>-412735.85999999987</v>
      </c>
      <c r="AJ55" s="453">
        <v>-468442.93000000017</v>
      </c>
      <c r="AK55" s="453">
        <v>-133391.08999999985</v>
      </c>
      <c r="AL55" s="453">
        <v>-353414.56000000006</v>
      </c>
      <c r="AM55" s="453">
        <v>-158753.68999999994</v>
      </c>
      <c r="AN55" s="453">
        <v>-203967.10999999987</v>
      </c>
    </row>
    <row r="56" spans="1:40" outlineLevel="1" collapsed="1" x14ac:dyDescent="0.25">
      <c r="A56" s="452">
        <v>3736</v>
      </c>
      <c r="B56" t="s">
        <v>1291</v>
      </c>
      <c r="C56" t="s">
        <v>1292</v>
      </c>
      <c r="D56" t="s">
        <v>693</v>
      </c>
      <c r="E56" s="453">
        <f t="shared" si="11"/>
        <v>47746.5</v>
      </c>
      <c r="F56" s="453">
        <f t="shared" si="12"/>
        <v>50431.69999999999</v>
      </c>
      <c r="G56" s="453">
        <f t="shared" si="13"/>
        <v>31151.750000000004</v>
      </c>
      <c r="H56" s="453">
        <v>3252.48</v>
      </c>
      <c r="I56" s="453">
        <v>5151.1400000000012</v>
      </c>
      <c r="J56" s="453">
        <v>5472.4499999999989</v>
      </c>
      <c r="K56" s="453">
        <v>2690.0299999999988</v>
      </c>
      <c r="L56" s="453">
        <v>3742.7900000000009</v>
      </c>
      <c r="M56" s="453">
        <v>3258.2099999999991</v>
      </c>
      <c r="N56" s="453">
        <v>3892.6500000000015</v>
      </c>
      <c r="O56" s="453">
        <v>4097.7999999999993</v>
      </c>
      <c r="P56" s="453">
        <v>4303.9500000000007</v>
      </c>
      <c r="Q56" s="453">
        <v>3976.5899999999965</v>
      </c>
      <c r="R56" s="453">
        <v>4782.6100000000006</v>
      </c>
      <c r="S56" s="453">
        <v>3125.8000000000029</v>
      </c>
      <c r="T56" s="453">
        <v>3119.67</v>
      </c>
      <c r="U56" s="453">
        <v>4723.04</v>
      </c>
      <c r="V56" s="453">
        <v>5042.9900000000007</v>
      </c>
      <c r="W56" s="453">
        <v>4283.2099999999991</v>
      </c>
      <c r="X56" s="453">
        <v>4840.0400000000009</v>
      </c>
      <c r="Y56" s="453">
        <v>4066.0699999999997</v>
      </c>
      <c r="Z56" s="453">
        <v>5261.77</v>
      </c>
      <c r="AA56" s="453">
        <v>3807.3399999999965</v>
      </c>
      <c r="AB56" s="453">
        <v>3951.9900000000052</v>
      </c>
      <c r="AC56" s="453">
        <v>3016.8600000000006</v>
      </c>
      <c r="AD56" s="453">
        <v>4377.2799999999988</v>
      </c>
      <c r="AE56" s="453">
        <v>3941.4399999999951</v>
      </c>
      <c r="AF56" s="453">
        <v>3130.5</v>
      </c>
      <c r="AG56" s="453">
        <v>4030.63</v>
      </c>
      <c r="AH56" s="453">
        <v>4592.97</v>
      </c>
      <c r="AI56" s="453">
        <v>5344.7800000000007</v>
      </c>
      <c r="AJ56" s="453">
        <v>4294.7999999999993</v>
      </c>
      <c r="AK56" s="453">
        <v>1455.5799999999981</v>
      </c>
      <c r="AL56" s="453">
        <v>2664.4700000000012</v>
      </c>
      <c r="AM56" s="453">
        <v>2204.0800000000017</v>
      </c>
      <c r="AN56" s="453">
        <v>3433.9399999999987</v>
      </c>
    </row>
    <row r="57" spans="1:40" outlineLevel="1" collapsed="1" x14ac:dyDescent="0.25">
      <c r="A57" s="452">
        <v>3738</v>
      </c>
      <c r="B57" t="s">
        <v>1293</v>
      </c>
      <c r="C57" t="s">
        <v>1294</v>
      </c>
      <c r="D57" t="s">
        <v>693</v>
      </c>
      <c r="E57" s="453">
        <f t="shared" si="11"/>
        <v>0</v>
      </c>
      <c r="F57" s="453">
        <f t="shared" si="12"/>
        <v>0</v>
      </c>
      <c r="G57" s="453">
        <f t="shared" si="13"/>
        <v>0</v>
      </c>
      <c r="H57" s="453">
        <v>0</v>
      </c>
      <c r="I57" s="453">
        <v>0</v>
      </c>
      <c r="J57" s="453">
        <v>0</v>
      </c>
      <c r="K57" s="453">
        <v>0</v>
      </c>
      <c r="L57" s="453">
        <v>0</v>
      </c>
      <c r="M57" s="453">
        <v>0</v>
      </c>
      <c r="N57" s="453">
        <v>0</v>
      </c>
      <c r="O57" s="453">
        <v>0</v>
      </c>
      <c r="P57" s="453">
        <v>0</v>
      </c>
      <c r="Q57" s="453">
        <v>0</v>
      </c>
      <c r="R57" s="453">
        <v>0</v>
      </c>
      <c r="S57" s="453">
        <v>0</v>
      </c>
      <c r="T57" s="453">
        <v>0</v>
      </c>
      <c r="U57" s="453">
        <v>0</v>
      </c>
      <c r="V57" s="453">
        <v>0</v>
      </c>
      <c r="W57" s="453">
        <v>0</v>
      </c>
      <c r="X57" s="453">
        <v>0</v>
      </c>
      <c r="Y57" s="453">
        <v>0</v>
      </c>
      <c r="Z57" s="453">
        <v>0</v>
      </c>
      <c r="AA57" s="453">
        <v>0</v>
      </c>
      <c r="AB57" s="453">
        <v>0</v>
      </c>
      <c r="AC57" s="453">
        <v>53.89</v>
      </c>
      <c r="AD57" s="453">
        <v>0</v>
      </c>
      <c r="AE57" s="453">
        <v>-53.89</v>
      </c>
      <c r="AF57" s="453">
        <v>0</v>
      </c>
      <c r="AG57" s="453">
        <v>0</v>
      </c>
      <c r="AH57" s="453">
        <v>0</v>
      </c>
      <c r="AI57" s="453">
        <v>0</v>
      </c>
      <c r="AJ57" s="453">
        <v>0</v>
      </c>
      <c r="AK57" s="453">
        <v>0</v>
      </c>
      <c r="AL57" s="453">
        <v>0</v>
      </c>
      <c r="AM57" s="453">
        <v>0</v>
      </c>
      <c r="AN57" s="453">
        <v>0</v>
      </c>
    </row>
    <row r="58" spans="1:40" outlineLevel="1" collapsed="1" x14ac:dyDescent="0.25">
      <c r="A58" s="452">
        <v>3748</v>
      </c>
      <c r="B58" t="s">
        <v>1295</v>
      </c>
      <c r="C58" t="s">
        <v>1296</v>
      </c>
      <c r="D58" t="s">
        <v>693</v>
      </c>
      <c r="E58" s="453">
        <f t="shared" si="11"/>
        <v>34375.300000000003</v>
      </c>
      <c r="F58" s="453">
        <f t="shared" si="12"/>
        <v>6721.2199999999993</v>
      </c>
      <c r="G58" s="453">
        <f t="shared" si="13"/>
        <v>0</v>
      </c>
      <c r="H58" s="453">
        <v>4898.8900000000003</v>
      </c>
      <c r="I58" s="453">
        <v>2542.4799999999996</v>
      </c>
      <c r="J58" s="453">
        <v>1456.5000000000009</v>
      </c>
      <c r="K58" s="453">
        <v>6755.2799999999988</v>
      </c>
      <c r="L58" s="453">
        <v>3876.3000000000011</v>
      </c>
      <c r="M58" s="453">
        <v>1490.619999999999</v>
      </c>
      <c r="N58" s="453">
        <v>4914.8600000000006</v>
      </c>
      <c r="O58" s="453">
        <v>1683.1399999999994</v>
      </c>
      <c r="P58" s="453">
        <v>1935.7000000000007</v>
      </c>
      <c r="Q58" s="453">
        <v>4110.2899999999972</v>
      </c>
      <c r="R58" s="453">
        <v>317.52000000000407</v>
      </c>
      <c r="S58" s="453">
        <v>393.72000000000116</v>
      </c>
      <c r="T58" s="453">
        <v>2619.2199999999998</v>
      </c>
      <c r="U58" s="453">
        <v>4093.85</v>
      </c>
      <c r="V58" s="453">
        <v>8.1500000000005457</v>
      </c>
      <c r="W58" s="453">
        <v>0</v>
      </c>
      <c r="X58" s="453">
        <v>0</v>
      </c>
      <c r="Y58" s="453">
        <v>0</v>
      </c>
      <c r="Z58" s="453">
        <v>9.999999999308784E-3</v>
      </c>
      <c r="AA58" s="453">
        <v>-9.999999999308784E-3</v>
      </c>
      <c r="AB58" s="453">
        <v>0</v>
      </c>
      <c r="AC58" s="453">
        <v>0</v>
      </c>
      <c r="AD58" s="453">
        <v>0</v>
      </c>
      <c r="AE58" s="453">
        <v>0</v>
      </c>
      <c r="AF58" s="453">
        <v>0</v>
      </c>
      <c r="AG58" s="453">
        <v>0</v>
      </c>
      <c r="AH58" s="453">
        <v>0</v>
      </c>
      <c r="AI58" s="453">
        <v>0</v>
      </c>
      <c r="AJ58" s="453">
        <v>0</v>
      </c>
      <c r="AK58" s="453">
        <v>0</v>
      </c>
      <c r="AL58" s="453">
        <v>0</v>
      </c>
      <c r="AM58" s="453">
        <v>0</v>
      </c>
      <c r="AN58" s="453">
        <v>0</v>
      </c>
    </row>
    <row r="59" spans="1:40" outlineLevel="1" collapsed="1" x14ac:dyDescent="0.25">
      <c r="A59" s="452">
        <v>3800</v>
      </c>
      <c r="B59" t="s">
        <v>1297</v>
      </c>
      <c r="C59" t="s">
        <v>1298</v>
      </c>
      <c r="D59" t="s">
        <v>693</v>
      </c>
      <c r="E59" s="453">
        <f t="shared" si="11"/>
        <v>-55606.310000000005</v>
      </c>
      <c r="F59" s="453">
        <f t="shared" si="12"/>
        <v>-129385.64999999998</v>
      </c>
      <c r="G59" s="453">
        <f t="shared" si="13"/>
        <v>-56043.38</v>
      </c>
      <c r="H59" s="453">
        <v>-4814.3999999999996</v>
      </c>
      <c r="I59" s="453">
        <v>-6878.6100000000006</v>
      </c>
      <c r="J59" s="453">
        <v>-5241.5500000000011</v>
      </c>
      <c r="K59" s="453">
        <v>-5065.2199999999975</v>
      </c>
      <c r="L59" s="453">
        <v>-4541.8600000000006</v>
      </c>
      <c r="M59" s="453">
        <v>-4459.6700000000019</v>
      </c>
      <c r="N59" s="453">
        <v>-6730.9900000000016</v>
      </c>
      <c r="O59" s="453">
        <v>-3431.1899999999951</v>
      </c>
      <c r="P59" s="453">
        <v>-4712.1500000000015</v>
      </c>
      <c r="Q59" s="453">
        <v>-2964.3799999999974</v>
      </c>
      <c r="R59" s="453">
        <v>-4912.2400000000052</v>
      </c>
      <c r="S59" s="453">
        <v>-1854.0499999999956</v>
      </c>
      <c r="T59" s="453">
        <v>-8136.6</v>
      </c>
      <c r="U59" s="453">
        <v>-10712.33</v>
      </c>
      <c r="V59" s="453">
        <v>-10124.200000000001</v>
      </c>
      <c r="W59" s="453">
        <v>-12686.889999999996</v>
      </c>
      <c r="X59" s="453">
        <v>-10807.900000000001</v>
      </c>
      <c r="Y59" s="453">
        <v>-10153.620000000003</v>
      </c>
      <c r="Z59" s="453">
        <v>-16641.799999999996</v>
      </c>
      <c r="AA59" s="453">
        <v>-10473.449999999997</v>
      </c>
      <c r="AB59" s="453">
        <v>-8847.0900000000111</v>
      </c>
      <c r="AC59" s="453">
        <v>-9509.1699999999983</v>
      </c>
      <c r="AD59" s="453">
        <v>-12483.62999999999</v>
      </c>
      <c r="AE59" s="453">
        <v>-8808.9700000000012</v>
      </c>
      <c r="AF59" s="453">
        <v>-4612.24</v>
      </c>
      <c r="AG59" s="453">
        <v>-7847.5300000000007</v>
      </c>
      <c r="AH59" s="453">
        <v>-5296.5600000000013</v>
      </c>
      <c r="AI59" s="453">
        <v>-8977.66</v>
      </c>
      <c r="AJ59" s="453">
        <v>-6422.630000000001</v>
      </c>
      <c r="AK59" s="453">
        <v>-6378.1399999999994</v>
      </c>
      <c r="AL59" s="453">
        <v>-6909.1999999999971</v>
      </c>
      <c r="AM59" s="453">
        <v>-5868.1299999999974</v>
      </c>
      <c r="AN59" s="453">
        <v>-3731.2900000000009</v>
      </c>
    </row>
    <row r="60" spans="1:40" outlineLevel="1" collapsed="1" x14ac:dyDescent="0.25">
      <c r="A60" s="452">
        <v>3950</v>
      </c>
      <c r="B60" t="s">
        <v>1299</v>
      </c>
      <c r="C60" t="s">
        <v>1300</v>
      </c>
      <c r="D60" t="s">
        <v>693</v>
      </c>
      <c r="E60" s="453">
        <f t="shared" si="11"/>
        <v>241736.85000000003</v>
      </c>
      <c r="F60" s="453">
        <f t="shared" si="12"/>
        <v>742002.06</v>
      </c>
      <c r="G60" s="453">
        <f t="shared" si="13"/>
        <v>0</v>
      </c>
      <c r="H60" s="453">
        <v>0</v>
      </c>
      <c r="I60" s="453">
        <v>0</v>
      </c>
      <c r="J60" s="453">
        <v>0</v>
      </c>
      <c r="K60" s="453">
        <v>0</v>
      </c>
      <c r="L60" s="453">
        <v>0</v>
      </c>
      <c r="M60" s="453">
        <v>266463.52</v>
      </c>
      <c r="N60" s="453">
        <v>0</v>
      </c>
      <c r="O60" s="453">
        <v>0</v>
      </c>
      <c r="P60" s="453">
        <v>241536.07</v>
      </c>
      <c r="Q60" s="453">
        <v>0</v>
      </c>
      <c r="R60" s="453">
        <v>0</v>
      </c>
      <c r="S60" s="453">
        <v>-266262.74</v>
      </c>
      <c r="T60" s="453">
        <v>0</v>
      </c>
      <c r="U60" s="453">
        <v>0</v>
      </c>
      <c r="V60" s="453">
        <v>0</v>
      </c>
      <c r="W60" s="453">
        <v>0</v>
      </c>
      <c r="X60" s="453">
        <v>0</v>
      </c>
      <c r="Y60" s="453">
        <v>-214920.31</v>
      </c>
      <c r="Z60" s="453">
        <v>0</v>
      </c>
      <c r="AA60" s="453">
        <v>0</v>
      </c>
      <c r="AB60" s="453">
        <v>0</v>
      </c>
      <c r="AC60" s="453">
        <v>0</v>
      </c>
      <c r="AD60" s="453">
        <v>0</v>
      </c>
      <c r="AE60" s="453">
        <v>956922.37000000011</v>
      </c>
      <c r="AF60" s="453">
        <v>0</v>
      </c>
      <c r="AG60" s="453">
        <v>0</v>
      </c>
      <c r="AH60" s="453">
        <v>0</v>
      </c>
      <c r="AI60" s="453">
        <v>0</v>
      </c>
      <c r="AJ60" s="453">
        <v>0</v>
      </c>
      <c r="AK60" s="453">
        <v>0</v>
      </c>
      <c r="AL60" s="453">
        <v>0</v>
      </c>
      <c r="AM60" s="453">
        <v>0</v>
      </c>
      <c r="AN60" s="453">
        <v>0</v>
      </c>
    </row>
    <row r="61" spans="1:40" outlineLevel="1" collapsed="1" x14ac:dyDescent="0.25">
      <c r="A61" s="452">
        <v>3960</v>
      </c>
      <c r="B61" t="s">
        <v>1301</v>
      </c>
      <c r="C61" t="s">
        <v>1302</v>
      </c>
      <c r="D61" t="s">
        <v>693</v>
      </c>
      <c r="E61" s="453">
        <f t="shared" si="11"/>
        <v>257393.59</v>
      </c>
      <c r="F61" s="453">
        <f t="shared" si="12"/>
        <v>110977.79</v>
      </c>
      <c r="G61" s="453">
        <f t="shared" si="13"/>
        <v>0</v>
      </c>
      <c r="H61" s="453">
        <v>0</v>
      </c>
      <c r="I61" s="453">
        <v>0</v>
      </c>
      <c r="J61" s="453">
        <v>0</v>
      </c>
      <c r="K61" s="453">
        <v>0</v>
      </c>
      <c r="L61" s="453">
        <v>0</v>
      </c>
      <c r="M61" s="453">
        <v>357448.06</v>
      </c>
      <c r="N61" s="453">
        <v>0</v>
      </c>
      <c r="O61" s="453">
        <v>0</v>
      </c>
      <c r="P61" s="453">
        <v>-29159.77999999997</v>
      </c>
      <c r="Q61" s="453">
        <v>0</v>
      </c>
      <c r="R61" s="453">
        <v>0</v>
      </c>
      <c r="S61" s="453">
        <v>-70894.690000000031</v>
      </c>
      <c r="T61" s="453">
        <v>0</v>
      </c>
      <c r="U61" s="453">
        <v>0</v>
      </c>
      <c r="V61" s="453">
        <v>0</v>
      </c>
      <c r="W61" s="453">
        <v>0</v>
      </c>
      <c r="X61" s="453">
        <v>0</v>
      </c>
      <c r="Y61" s="453">
        <v>52603.48</v>
      </c>
      <c r="Z61" s="453">
        <v>0</v>
      </c>
      <c r="AA61" s="453">
        <v>0</v>
      </c>
      <c r="AB61" s="453">
        <v>0</v>
      </c>
      <c r="AC61" s="453">
        <v>0</v>
      </c>
      <c r="AD61" s="453">
        <v>0</v>
      </c>
      <c r="AE61" s="453">
        <v>58374.30999999999</v>
      </c>
      <c r="AF61" s="453">
        <v>0</v>
      </c>
      <c r="AG61" s="453">
        <v>0</v>
      </c>
      <c r="AH61" s="453">
        <v>0</v>
      </c>
      <c r="AI61" s="453">
        <v>0</v>
      </c>
      <c r="AJ61" s="453">
        <v>0</v>
      </c>
      <c r="AK61" s="453">
        <v>0</v>
      </c>
      <c r="AL61" s="453">
        <v>0</v>
      </c>
      <c r="AM61" s="453">
        <v>0</v>
      </c>
      <c r="AN61" s="453">
        <v>0</v>
      </c>
    </row>
    <row r="62" spans="1:40" s="451" customFormat="1" x14ac:dyDescent="0.25">
      <c r="B62" s="451" t="s">
        <v>264</v>
      </c>
      <c r="C62" s="451" t="s">
        <v>263</v>
      </c>
      <c r="E62" s="460">
        <f t="shared" ref="E62:AN62" si="14">SUM(E47:E61)</f>
        <v>-8086502.379999999</v>
      </c>
      <c r="F62" s="460">
        <f t="shared" si="14"/>
        <v>-8397887.3900000006</v>
      </c>
      <c r="G62" s="460">
        <f t="shared" si="14"/>
        <v>-5256467.79</v>
      </c>
      <c r="H62" s="460">
        <f t="shared" si="14"/>
        <v>-694437.66</v>
      </c>
      <c r="I62" s="460">
        <f t="shared" si="14"/>
        <v>-918264.69</v>
      </c>
      <c r="J62" s="460">
        <f t="shared" si="14"/>
        <v>-986226.82000000018</v>
      </c>
      <c r="K62" s="460">
        <f t="shared" si="14"/>
        <v>-658531.35999999987</v>
      </c>
      <c r="L62" s="460">
        <f t="shared" si="14"/>
        <v>-944968.67</v>
      </c>
      <c r="M62" s="460">
        <f t="shared" si="14"/>
        <v>60982.94</v>
      </c>
      <c r="N62" s="460">
        <f t="shared" si="14"/>
        <v>-721890.17000000016</v>
      </c>
      <c r="O62" s="460">
        <f t="shared" si="14"/>
        <v>-502117.95999999956</v>
      </c>
      <c r="P62" s="460">
        <f t="shared" si="14"/>
        <v>-706979.24000000069</v>
      </c>
      <c r="Q62" s="460">
        <f t="shared" si="14"/>
        <v>-510892.13999999984</v>
      </c>
      <c r="R62" s="460">
        <f t="shared" si="14"/>
        <v>-427102.23000000033</v>
      </c>
      <c r="S62" s="460">
        <f t="shared" si="14"/>
        <v>-1076074.3799999992</v>
      </c>
      <c r="T62" s="460">
        <f t="shared" si="14"/>
        <v>-702712.67999999993</v>
      </c>
      <c r="U62" s="460">
        <f t="shared" si="14"/>
        <v>-513434.89</v>
      </c>
      <c r="V62" s="460">
        <f t="shared" si="14"/>
        <v>-623840.21999999986</v>
      </c>
      <c r="W62" s="460">
        <f t="shared" si="14"/>
        <v>-648256.92000000004</v>
      </c>
      <c r="X62" s="460">
        <f t="shared" si="14"/>
        <v>-1067975.3299999998</v>
      </c>
      <c r="Y62" s="460">
        <f t="shared" si="14"/>
        <v>-829131.93000000017</v>
      </c>
      <c r="Z62" s="460">
        <f t="shared" si="14"/>
        <v>-1669275.6600000001</v>
      </c>
      <c r="AA62" s="460">
        <f t="shared" si="14"/>
        <v>-494915.63999999949</v>
      </c>
      <c r="AB62" s="460">
        <f t="shared" si="14"/>
        <v>-1166914</v>
      </c>
      <c r="AC62" s="460">
        <f t="shared" si="14"/>
        <v>-353458.35000000062</v>
      </c>
      <c r="AD62" s="460">
        <f t="shared" si="14"/>
        <v>-589536.27999999968</v>
      </c>
      <c r="AE62" s="460">
        <f t="shared" si="14"/>
        <v>261564.50999999995</v>
      </c>
      <c r="AF62" s="460">
        <f t="shared" si="14"/>
        <v>-666358.07000000007</v>
      </c>
      <c r="AG62" s="460">
        <f t="shared" si="14"/>
        <v>-853886.34</v>
      </c>
      <c r="AH62" s="460">
        <f t="shared" si="14"/>
        <v>-664774.71000000008</v>
      </c>
      <c r="AI62" s="460">
        <f t="shared" si="14"/>
        <v>-703460.13999999978</v>
      </c>
      <c r="AJ62" s="460">
        <f t="shared" si="14"/>
        <v>-701227.2300000001</v>
      </c>
      <c r="AK62" s="460">
        <f t="shared" si="14"/>
        <v>-291105.37999999977</v>
      </c>
      <c r="AL62" s="460">
        <f t="shared" si="14"/>
        <v>-506239.66000000021</v>
      </c>
      <c r="AM62" s="460">
        <f t="shared" si="14"/>
        <v>-446518.54999999993</v>
      </c>
      <c r="AN62" s="460">
        <f t="shared" si="14"/>
        <v>-422897.70999999973</v>
      </c>
    </row>
    <row r="63" spans="1:40" x14ac:dyDescent="0.25">
      <c r="B63" t="s">
        <v>1128</v>
      </c>
      <c r="C63" t="s">
        <v>1129</v>
      </c>
      <c r="E63" s="457">
        <f t="shared" ref="E63:AN63" si="15">(E62)/(E44)</f>
        <v>-0.5149726412530341</v>
      </c>
      <c r="F63" s="457">
        <f t="shared" si="15"/>
        <v>-0.48612022420271889</v>
      </c>
      <c r="G63" s="457">
        <f t="shared" si="15"/>
        <v>-0.45221021741338874</v>
      </c>
      <c r="H63" s="457">
        <f t="shared" si="15"/>
        <v>-0.62032321624718489</v>
      </c>
      <c r="I63" s="457">
        <f t="shared" si="15"/>
        <v>-0.74143109713890321</v>
      </c>
      <c r="J63" s="457">
        <f t="shared" si="15"/>
        <v>-0.67741989415062798</v>
      </c>
      <c r="K63" s="457">
        <f t="shared" si="15"/>
        <v>-0.49728584344010807</v>
      </c>
      <c r="L63" s="457">
        <f t="shared" si="15"/>
        <v>-0.77348788357359211</v>
      </c>
      <c r="M63" s="457">
        <f t="shared" si="15"/>
        <v>4.4286781034633418E-2</v>
      </c>
      <c r="N63" s="457">
        <f t="shared" si="15"/>
        <v>-0.59107781637635515</v>
      </c>
      <c r="O63" s="457">
        <f t="shared" si="15"/>
        <v>-0.35993312694608065</v>
      </c>
      <c r="P63" s="457">
        <f t="shared" si="15"/>
        <v>-0.53359182981256859</v>
      </c>
      <c r="Q63" s="457">
        <f t="shared" si="15"/>
        <v>-0.46713424576810897</v>
      </c>
      <c r="R63" s="457">
        <f t="shared" si="15"/>
        <v>-0.32062524193153941</v>
      </c>
      <c r="S63" s="457">
        <f t="shared" si="15"/>
        <v>-0.67299185668595785</v>
      </c>
      <c r="T63" s="457">
        <f t="shared" si="15"/>
        <v>-0.51062398076420357</v>
      </c>
      <c r="U63" s="457">
        <f t="shared" si="15"/>
        <v>-0.36375416253775189</v>
      </c>
      <c r="V63" s="457">
        <f t="shared" si="15"/>
        <v>-0.37422074663635146</v>
      </c>
      <c r="W63" s="457">
        <f t="shared" si="15"/>
        <v>-0.47791824881475886</v>
      </c>
      <c r="X63" s="457">
        <f t="shared" si="15"/>
        <v>-0.59820183209032174</v>
      </c>
      <c r="Y63" s="457">
        <f t="shared" si="15"/>
        <v>-0.68160921054927992</v>
      </c>
      <c r="Z63" s="457">
        <f t="shared" si="15"/>
        <v>-1.1245036412474838</v>
      </c>
      <c r="AA63" s="457">
        <f t="shared" si="15"/>
        <v>-0.38345900471242966</v>
      </c>
      <c r="AB63" s="457">
        <f t="shared" si="15"/>
        <v>-0.80465572949758657</v>
      </c>
      <c r="AC63" s="457">
        <f t="shared" si="15"/>
        <v>-0.25732093714180637</v>
      </c>
      <c r="AD63" s="457">
        <f t="shared" si="15"/>
        <v>-0.44195549892209529</v>
      </c>
      <c r="AE63" s="457">
        <f t="shared" si="15"/>
        <v>0.17100150223236282</v>
      </c>
      <c r="AF63" s="457">
        <f t="shared" si="15"/>
        <v>-0.48296913871464536</v>
      </c>
      <c r="AG63" s="457">
        <f t="shared" si="15"/>
        <v>-0.57628959936872348</v>
      </c>
      <c r="AH63" s="457">
        <f t="shared" si="15"/>
        <v>-0.57434471971282941</v>
      </c>
      <c r="AI63" s="457">
        <f t="shared" si="15"/>
        <v>-0.51275142178864797</v>
      </c>
      <c r="AJ63" s="457">
        <f t="shared" si="15"/>
        <v>-0.46053965480596304</v>
      </c>
      <c r="AK63" s="457">
        <f t="shared" si="15"/>
        <v>-0.27320443271490064</v>
      </c>
      <c r="AL63" s="457">
        <f t="shared" si="15"/>
        <v>-0.4509676167726217</v>
      </c>
      <c r="AM63" s="457">
        <f t="shared" si="15"/>
        <v>-0.32187022199811333</v>
      </c>
      <c r="AN63" s="457">
        <f t="shared" si="15"/>
        <v>-0.37253492901651564</v>
      </c>
    </row>
    <row r="65" spans="1:40" s="455" customFormat="1" x14ac:dyDescent="0.25">
      <c r="B65" s="455" t="s">
        <v>1303</v>
      </c>
      <c r="C65" s="455" t="s">
        <v>261</v>
      </c>
      <c r="E65" s="456">
        <f t="shared" ref="E65:AN65" si="16">E44+E62</f>
        <v>7616278.1800000016</v>
      </c>
      <c r="F65" s="456">
        <f t="shared" si="16"/>
        <v>8877442.8099999987</v>
      </c>
      <c r="G65" s="456">
        <f t="shared" si="16"/>
        <v>6367479.6300000018</v>
      </c>
      <c r="H65" s="456">
        <f t="shared" si="16"/>
        <v>425039.47999999986</v>
      </c>
      <c r="I65" s="456">
        <f t="shared" si="16"/>
        <v>320238.38000000012</v>
      </c>
      <c r="J65" s="456">
        <f t="shared" si="16"/>
        <v>469630.66000000003</v>
      </c>
      <c r="K65" s="456">
        <f t="shared" si="16"/>
        <v>665719.81000000006</v>
      </c>
      <c r="L65" s="456">
        <f t="shared" si="16"/>
        <v>276729.42000000027</v>
      </c>
      <c r="M65" s="456">
        <f t="shared" si="16"/>
        <v>1437983.8999999997</v>
      </c>
      <c r="N65" s="456">
        <f t="shared" si="16"/>
        <v>499421.39000000036</v>
      </c>
      <c r="O65" s="456">
        <f t="shared" si="16"/>
        <v>892913.2900000005</v>
      </c>
      <c r="P65" s="456">
        <f t="shared" si="16"/>
        <v>617964.65999999898</v>
      </c>
      <c r="Q65" s="456">
        <f t="shared" si="16"/>
        <v>582780.92000000016</v>
      </c>
      <c r="R65" s="456">
        <f t="shared" si="16"/>
        <v>904989.48999999941</v>
      </c>
      <c r="S65" s="456">
        <f t="shared" si="16"/>
        <v>522866.78000000073</v>
      </c>
      <c r="T65" s="456">
        <f t="shared" si="16"/>
        <v>673471.57000000007</v>
      </c>
      <c r="U65" s="456">
        <f t="shared" si="16"/>
        <v>898053.80999999971</v>
      </c>
      <c r="V65" s="456">
        <f t="shared" si="16"/>
        <v>1043197.82</v>
      </c>
      <c r="W65" s="456">
        <f t="shared" si="16"/>
        <v>708161.09</v>
      </c>
      <c r="X65" s="456">
        <f t="shared" si="16"/>
        <v>717334.03000000026</v>
      </c>
      <c r="Y65" s="456">
        <f t="shared" si="16"/>
        <v>387301.05999999982</v>
      </c>
      <c r="Z65" s="456">
        <f t="shared" si="16"/>
        <v>-184820.11999999988</v>
      </c>
      <c r="AA65" s="456">
        <f t="shared" si="16"/>
        <v>795745.50999999954</v>
      </c>
      <c r="AB65" s="456">
        <f t="shared" si="16"/>
        <v>283288.81000000006</v>
      </c>
      <c r="AC65" s="456">
        <f t="shared" si="16"/>
        <v>1020150.629999999</v>
      </c>
      <c r="AD65" s="456">
        <f t="shared" si="16"/>
        <v>744390.51000000176</v>
      </c>
      <c r="AE65" s="456">
        <f t="shared" si="16"/>
        <v>1791168.0899999987</v>
      </c>
      <c r="AF65" s="456">
        <f t="shared" si="16"/>
        <v>713353.41999999993</v>
      </c>
      <c r="AG65" s="456">
        <f t="shared" si="16"/>
        <v>627810.26000000036</v>
      </c>
      <c r="AH65" s="456">
        <f t="shared" si="16"/>
        <v>492674.26999999944</v>
      </c>
      <c r="AI65" s="456">
        <f t="shared" si="16"/>
        <v>668471.97000000032</v>
      </c>
      <c r="AJ65" s="456">
        <f t="shared" si="16"/>
        <v>821393.51000000013</v>
      </c>
      <c r="AK65" s="456">
        <f t="shared" si="16"/>
        <v>774416.78999999969</v>
      </c>
      <c r="AL65" s="456">
        <f t="shared" si="16"/>
        <v>616323.55999999982</v>
      </c>
      <c r="AM65" s="456">
        <f t="shared" si="16"/>
        <v>940744.14000000025</v>
      </c>
      <c r="AN65" s="456">
        <f t="shared" si="16"/>
        <v>712291.71000000066</v>
      </c>
    </row>
    <row r="66" spans="1:40" x14ac:dyDescent="0.25">
      <c r="B66" t="s">
        <v>1128</v>
      </c>
      <c r="C66" t="s">
        <v>1129</v>
      </c>
      <c r="E66" s="457">
        <f t="shared" ref="E66:AN66" si="17">(E65)/(E44)</f>
        <v>0.48502735874696584</v>
      </c>
      <c r="F66" s="457">
        <f t="shared" si="17"/>
        <v>0.51387977579728106</v>
      </c>
      <c r="G66" s="457">
        <f t="shared" si="17"/>
        <v>0.54778978258661126</v>
      </c>
      <c r="H66" s="457">
        <f t="shared" si="17"/>
        <v>0.37967678375281511</v>
      </c>
      <c r="I66" s="457">
        <f t="shared" si="17"/>
        <v>0.25856890286109674</v>
      </c>
      <c r="J66" s="457">
        <f t="shared" si="17"/>
        <v>0.32258010584937197</v>
      </c>
      <c r="K66" s="457">
        <f t="shared" si="17"/>
        <v>0.50271415655989193</v>
      </c>
      <c r="L66" s="457">
        <f t="shared" si="17"/>
        <v>0.22651211642640795</v>
      </c>
      <c r="M66" s="457">
        <f t="shared" si="17"/>
        <v>1.0442867810346335</v>
      </c>
      <c r="N66" s="457">
        <f t="shared" si="17"/>
        <v>0.40892218362364485</v>
      </c>
      <c r="O66" s="457">
        <f t="shared" si="17"/>
        <v>0.64006687305391941</v>
      </c>
      <c r="P66" s="457">
        <f t="shared" si="17"/>
        <v>0.46640817018743141</v>
      </c>
      <c r="Q66" s="457">
        <f t="shared" si="17"/>
        <v>0.53286575423189098</v>
      </c>
      <c r="R66" s="457">
        <f t="shared" si="17"/>
        <v>0.67937475806846059</v>
      </c>
      <c r="S66" s="457">
        <f t="shared" si="17"/>
        <v>0.3270081433140421</v>
      </c>
      <c r="T66" s="457">
        <f t="shared" si="17"/>
        <v>0.48937601923579643</v>
      </c>
      <c r="U66" s="457">
        <f t="shared" si="17"/>
        <v>0.63624583746224816</v>
      </c>
      <c r="V66" s="457">
        <f t="shared" si="17"/>
        <v>0.62577925336364859</v>
      </c>
      <c r="W66" s="457">
        <f t="shared" si="17"/>
        <v>0.52208175118524114</v>
      </c>
      <c r="X66" s="457">
        <f t="shared" si="17"/>
        <v>0.40179816790967826</v>
      </c>
      <c r="Y66" s="457">
        <f t="shared" si="17"/>
        <v>0.31839078945072002</v>
      </c>
      <c r="Z66" s="457">
        <f t="shared" si="17"/>
        <v>-0.12450364124748381</v>
      </c>
      <c r="AA66" s="457">
        <f t="shared" si="17"/>
        <v>0.61654099528757034</v>
      </c>
      <c r="AB66" s="457">
        <f t="shared" si="17"/>
        <v>0.1953442705024134</v>
      </c>
      <c r="AC66" s="457">
        <f t="shared" si="17"/>
        <v>0.74267906285819374</v>
      </c>
      <c r="AD66" s="457">
        <f t="shared" si="17"/>
        <v>0.55804450107790471</v>
      </c>
      <c r="AE66" s="457">
        <f t="shared" si="17"/>
        <v>1.1710015022323628</v>
      </c>
      <c r="AF66" s="457">
        <f t="shared" si="17"/>
        <v>0.51703086128535458</v>
      </c>
      <c r="AG66" s="457">
        <f t="shared" si="17"/>
        <v>0.42371040063127646</v>
      </c>
      <c r="AH66" s="457">
        <f t="shared" si="17"/>
        <v>0.42565528028717053</v>
      </c>
      <c r="AI66" s="457">
        <f t="shared" si="17"/>
        <v>0.48724857821135209</v>
      </c>
      <c r="AJ66" s="457">
        <f t="shared" si="17"/>
        <v>0.53946034519403696</v>
      </c>
      <c r="AK66" s="457">
        <f t="shared" si="17"/>
        <v>0.72679556728509931</v>
      </c>
      <c r="AL66" s="457">
        <f t="shared" si="17"/>
        <v>0.54903238322737835</v>
      </c>
      <c r="AM66" s="457">
        <f t="shared" si="17"/>
        <v>0.67812977800188667</v>
      </c>
      <c r="AN66" s="457">
        <f t="shared" si="17"/>
        <v>0.62746507098348436</v>
      </c>
    </row>
    <row r="68" spans="1:40" outlineLevel="1" collapsed="1" x14ac:dyDescent="0.25">
      <c r="A68" s="452">
        <v>4110</v>
      </c>
      <c r="B68" t="s">
        <v>1304</v>
      </c>
      <c r="C68" t="s">
        <v>1305</v>
      </c>
      <c r="D68" t="s">
        <v>694</v>
      </c>
      <c r="E68" s="453">
        <f t="shared" ref="E68:E90" si="18">S68+R68+Q68+P68+O68+N68+M68+L68+K68+J68+I68+H68</f>
        <v>-1477468.3599999999</v>
      </c>
      <c r="F68" s="453">
        <f t="shared" ref="F68:F90" si="19">AE68+AD68+AC68+AB68+AA68+Z68+Y68+X68+W68+V68+U68+T68</f>
        <v>-1931116.65</v>
      </c>
      <c r="G68" s="453">
        <f t="shared" ref="G68:G90" si="20">AN68+AM68+AL68+AK68+AJ68+AI68+AH68+AG68+AF68</f>
        <v>-1292922.3400000001</v>
      </c>
      <c r="H68" s="453">
        <v>-112746.13</v>
      </c>
      <c r="I68" s="453">
        <v>-104621.91</v>
      </c>
      <c r="J68" s="453">
        <v>-116988.70999999999</v>
      </c>
      <c r="K68" s="453">
        <v>-101999.84000000003</v>
      </c>
      <c r="L68" s="453">
        <v>-124908.34999999992</v>
      </c>
      <c r="M68" s="453">
        <v>-119819.83000000007</v>
      </c>
      <c r="N68" s="453">
        <v>-113780.26000000001</v>
      </c>
      <c r="O68" s="453">
        <v>-123467.59999999998</v>
      </c>
      <c r="P68" s="453">
        <v>-117636.52000000002</v>
      </c>
      <c r="Q68" s="453">
        <v>-134198.38</v>
      </c>
      <c r="R68" s="453">
        <v>-138508</v>
      </c>
      <c r="S68" s="453">
        <v>-168792.83000000007</v>
      </c>
      <c r="T68" s="453">
        <v>-152355.98000000001</v>
      </c>
      <c r="U68" s="453">
        <v>-147661.79</v>
      </c>
      <c r="V68" s="453">
        <v>-152105.34999999998</v>
      </c>
      <c r="W68" s="453">
        <v>-156956.22999999998</v>
      </c>
      <c r="X68" s="453">
        <v>-170326.29000000004</v>
      </c>
      <c r="Y68" s="453">
        <v>-161117.34999999998</v>
      </c>
      <c r="Z68" s="453">
        <v>-179953.3899999999</v>
      </c>
      <c r="AA68" s="453">
        <v>-168413.66000000015</v>
      </c>
      <c r="AB68" s="453">
        <v>-157361.08000000007</v>
      </c>
      <c r="AC68" s="453">
        <v>-172776.7799999998</v>
      </c>
      <c r="AD68" s="453">
        <v>-150631.85000000009</v>
      </c>
      <c r="AE68" s="453">
        <v>-161456.89999999991</v>
      </c>
      <c r="AF68" s="453">
        <v>-155097.29</v>
      </c>
      <c r="AG68" s="453">
        <v>-139433.4</v>
      </c>
      <c r="AH68" s="453">
        <v>-150210.90000000002</v>
      </c>
      <c r="AI68" s="453">
        <v>-152568.04999999999</v>
      </c>
      <c r="AJ68" s="453">
        <v>-148101.19999999995</v>
      </c>
      <c r="AK68" s="453">
        <v>-138035.66000000003</v>
      </c>
      <c r="AL68" s="453">
        <v>-143508.16000000003</v>
      </c>
      <c r="AM68" s="453">
        <v>-131109.99999999988</v>
      </c>
      <c r="AN68" s="453">
        <v>-134857.68000000017</v>
      </c>
    </row>
    <row r="69" spans="1:40" outlineLevel="1" collapsed="1" x14ac:dyDescent="0.25">
      <c r="A69" s="452">
        <v>4120</v>
      </c>
      <c r="B69" t="s">
        <v>1306</v>
      </c>
      <c r="C69" t="s">
        <v>1307</v>
      </c>
      <c r="D69" t="s">
        <v>694</v>
      </c>
      <c r="E69" s="453">
        <f t="shared" si="18"/>
        <v>-1227036.5900000001</v>
      </c>
      <c r="F69" s="453">
        <f t="shared" si="19"/>
        <v>-1320516.1000000001</v>
      </c>
      <c r="G69" s="453">
        <f t="shared" si="20"/>
        <v>-951971.75</v>
      </c>
      <c r="H69" s="453">
        <v>-109223.03</v>
      </c>
      <c r="I69" s="453">
        <v>-79188.640000000014</v>
      </c>
      <c r="J69" s="453">
        <v>-87040.76999999999</v>
      </c>
      <c r="K69" s="453">
        <v>-101358.52000000002</v>
      </c>
      <c r="L69" s="453">
        <v>-100026.63</v>
      </c>
      <c r="M69" s="453">
        <v>-99652.659999999974</v>
      </c>
      <c r="N69" s="453">
        <v>-101568.20999999996</v>
      </c>
      <c r="O69" s="453">
        <v>-76110.310000000056</v>
      </c>
      <c r="P69" s="453">
        <v>-116174.41000000003</v>
      </c>
      <c r="Q69" s="453">
        <v>-111777.30999999994</v>
      </c>
      <c r="R69" s="453">
        <v>-101895.52000000002</v>
      </c>
      <c r="S69" s="453">
        <v>-143020.58000000007</v>
      </c>
      <c r="T69" s="453">
        <v>-98860.67</v>
      </c>
      <c r="U69" s="453">
        <v>-104115.17</v>
      </c>
      <c r="V69" s="453">
        <v>-124619.36000000002</v>
      </c>
      <c r="W69" s="453">
        <v>-117673.01999999996</v>
      </c>
      <c r="X69" s="453">
        <v>-117753.71000000008</v>
      </c>
      <c r="Y69" s="453">
        <v>-105483.17999999993</v>
      </c>
      <c r="Z69" s="453">
        <v>-115458.87</v>
      </c>
      <c r="AA69" s="453">
        <v>-111777.35999999999</v>
      </c>
      <c r="AB69" s="453">
        <v>-117739.14000000001</v>
      </c>
      <c r="AC69" s="453">
        <v>-111510.22999999998</v>
      </c>
      <c r="AD69" s="453">
        <v>-103461.19999999995</v>
      </c>
      <c r="AE69" s="453">
        <v>-92064.190000000177</v>
      </c>
      <c r="AF69" s="453">
        <v>-97629.81</v>
      </c>
      <c r="AG69" s="453">
        <v>-102836.20000000001</v>
      </c>
      <c r="AH69" s="453">
        <v>-109796</v>
      </c>
      <c r="AI69" s="453">
        <v>-105733.07</v>
      </c>
      <c r="AJ69" s="453">
        <v>-105870.12</v>
      </c>
      <c r="AK69" s="453">
        <v>-108794.76999999996</v>
      </c>
      <c r="AL69" s="453">
        <v>-102971.42000000004</v>
      </c>
      <c r="AM69" s="453">
        <v>-106139.28000000003</v>
      </c>
      <c r="AN69" s="453">
        <v>-112201.07999999996</v>
      </c>
    </row>
    <row r="70" spans="1:40" outlineLevel="1" collapsed="1" x14ac:dyDescent="0.25">
      <c r="A70" s="452">
        <v>4124</v>
      </c>
      <c r="B70" t="s">
        <v>1308</v>
      </c>
      <c r="C70" t="s">
        <v>1309</v>
      </c>
      <c r="D70" t="s">
        <v>694</v>
      </c>
      <c r="E70" s="453">
        <f t="shared" si="18"/>
        <v>-228000</v>
      </c>
      <c r="F70" s="453">
        <f t="shared" si="19"/>
        <v>-228000</v>
      </c>
      <c r="G70" s="453">
        <f t="shared" si="20"/>
        <v>-171000</v>
      </c>
      <c r="H70" s="453">
        <v>-19000</v>
      </c>
      <c r="I70" s="453">
        <v>-19000</v>
      </c>
      <c r="J70" s="453">
        <v>-19000</v>
      </c>
      <c r="K70" s="453">
        <v>-19000</v>
      </c>
      <c r="L70" s="453">
        <v>-19000</v>
      </c>
      <c r="M70" s="453">
        <v>-19000</v>
      </c>
      <c r="N70" s="453">
        <v>-19000</v>
      </c>
      <c r="O70" s="453">
        <v>-19000</v>
      </c>
      <c r="P70" s="453">
        <v>-19000</v>
      </c>
      <c r="Q70" s="453">
        <v>-19000</v>
      </c>
      <c r="R70" s="453">
        <v>-19000</v>
      </c>
      <c r="S70" s="453">
        <v>-19000</v>
      </c>
      <c r="T70" s="453">
        <v>-19000</v>
      </c>
      <c r="U70" s="453">
        <v>-19000</v>
      </c>
      <c r="V70" s="453">
        <v>-19000</v>
      </c>
      <c r="W70" s="453">
        <v>-19000</v>
      </c>
      <c r="X70" s="453">
        <v>-19000</v>
      </c>
      <c r="Y70" s="453">
        <v>-19000</v>
      </c>
      <c r="Z70" s="453">
        <v>-19000</v>
      </c>
      <c r="AA70" s="453">
        <v>-19000</v>
      </c>
      <c r="AB70" s="453">
        <v>-19000</v>
      </c>
      <c r="AC70" s="453">
        <v>-19000</v>
      </c>
      <c r="AD70" s="453">
        <v>-19000</v>
      </c>
      <c r="AE70" s="453">
        <v>-19000</v>
      </c>
      <c r="AF70" s="453">
        <v>-19000</v>
      </c>
      <c r="AG70" s="453">
        <v>-19000</v>
      </c>
      <c r="AH70" s="453">
        <v>-19000</v>
      </c>
      <c r="AI70" s="453">
        <v>-19000</v>
      </c>
      <c r="AJ70" s="453">
        <v>-19000</v>
      </c>
      <c r="AK70" s="453">
        <v>-19000</v>
      </c>
      <c r="AL70" s="453">
        <v>-19000</v>
      </c>
      <c r="AM70" s="453">
        <v>-19000</v>
      </c>
      <c r="AN70" s="453">
        <v>-19000</v>
      </c>
    </row>
    <row r="71" spans="1:40" outlineLevel="1" collapsed="1" x14ac:dyDescent="0.25">
      <c r="A71" s="452">
        <v>4126</v>
      </c>
      <c r="B71" t="s">
        <v>1310</v>
      </c>
      <c r="C71" t="s">
        <v>1311</v>
      </c>
      <c r="D71" t="s">
        <v>694</v>
      </c>
      <c r="E71" s="453">
        <f t="shared" si="18"/>
        <v>-76000</v>
      </c>
      <c r="F71" s="453">
        <f t="shared" si="19"/>
        <v>-76000</v>
      </c>
      <c r="G71" s="453">
        <f t="shared" si="20"/>
        <v>-44333</v>
      </c>
      <c r="H71" s="453">
        <v>0</v>
      </c>
      <c r="I71" s="453">
        <v>0</v>
      </c>
      <c r="J71" s="453">
        <v>0</v>
      </c>
      <c r="K71" s="453">
        <v>0</v>
      </c>
      <c r="L71" s="453">
        <v>0</v>
      </c>
      <c r="M71" s="453">
        <v>-38000</v>
      </c>
      <c r="N71" s="453">
        <v>0</v>
      </c>
      <c r="O71" s="453">
        <v>0</v>
      </c>
      <c r="P71" s="453">
        <v>-19000</v>
      </c>
      <c r="Q71" s="453">
        <v>0</v>
      </c>
      <c r="R71" s="453">
        <v>0</v>
      </c>
      <c r="S71" s="453">
        <v>-19000</v>
      </c>
      <c r="T71" s="453">
        <v>0</v>
      </c>
      <c r="U71" s="453">
        <v>0</v>
      </c>
      <c r="V71" s="453">
        <v>0</v>
      </c>
      <c r="W71" s="453">
        <v>0</v>
      </c>
      <c r="X71" s="453">
        <v>0</v>
      </c>
      <c r="Y71" s="453">
        <v>-38000</v>
      </c>
      <c r="Z71" s="453">
        <v>0</v>
      </c>
      <c r="AA71" s="453">
        <v>0</v>
      </c>
      <c r="AB71" s="453">
        <v>0</v>
      </c>
      <c r="AC71" s="453">
        <v>0</v>
      </c>
      <c r="AD71" s="453">
        <v>0</v>
      </c>
      <c r="AE71" s="453">
        <v>-38000</v>
      </c>
      <c r="AF71" s="453">
        <v>0</v>
      </c>
      <c r="AG71" s="453">
        <v>0</v>
      </c>
      <c r="AH71" s="453">
        <v>0</v>
      </c>
      <c r="AI71" s="453">
        <v>0</v>
      </c>
      <c r="AJ71" s="453">
        <v>0</v>
      </c>
      <c r="AK71" s="453">
        <v>0</v>
      </c>
      <c r="AL71" s="453">
        <v>-44333</v>
      </c>
      <c r="AM71" s="453">
        <v>0</v>
      </c>
      <c r="AN71" s="453">
        <v>0</v>
      </c>
    </row>
    <row r="72" spans="1:40" outlineLevel="1" collapsed="1" x14ac:dyDescent="0.25">
      <c r="A72" s="452">
        <v>4127</v>
      </c>
      <c r="B72" t="s">
        <v>1312</v>
      </c>
      <c r="C72" t="s">
        <v>1313</v>
      </c>
      <c r="D72" t="s">
        <v>694</v>
      </c>
      <c r="E72" s="453">
        <f t="shared" si="18"/>
        <v>0</v>
      </c>
      <c r="F72" s="453">
        <f t="shared" si="19"/>
        <v>-62500.01999999999</v>
      </c>
      <c r="G72" s="453">
        <f t="shared" si="20"/>
        <v>-93750.03</v>
      </c>
      <c r="H72" s="453">
        <v>0</v>
      </c>
      <c r="I72" s="453">
        <v>0</v>
      </c>
      <c r="J72" s="453">
        <v>0</v>
      </c>
      <c r="K72" s="453">
        <v>0</v>
      </c>
      <c r="L72" s="453">
        <v>0</v>
      </c>
      <c r="M72" s="453">
        <v>0</v>
      </c>
      <c r="N72" s="453">
        <v>0</v>
      </c>
      <c r="O72" s="453">
        <v>0</v>
      </c>
      <c r="P72" s="453">
        <v>0</v>
      </c>
      <c r="Q72" s="453">
        <v>0</v>
      </c>
      <c r="R72" s="453">
        <v>0</v>
      </c>
      <c r="S72" s="453">
        <v>0</v>
      </c>
      <c r="T72" s="453">
        <v>0</v>
      </c>
      <c r="U72" s="453">
        <v>0</v>
      </c>
      <c r="V72" s="453">
        <v>0</v>
      </c>
      <c r="W72" s="453">
        <v>0</v>
      </c>
      <c r="X72" s="453">
        <v>0</v>
      </c>
      <c r="Y72" s="453">
        <v>0</v>
      </c>
      <c r="Z72" s="453">
        <v>-10416.67</v>
      </c>
      <c r="AA72" s="453">
        <v>-10416.67</v>
      </c>
      <c r="AB72" s="453">
        <v>-10416.669999999998</v>
      </c>
      <c r="AC72" s="453">
        <v>-10416.670000000002</v>
      </c>
      <c r="AD72" s="453">
        <v>-10416.669999999998</v>
      </c>
      <c r="AE72" s="453">
        <v>-10416.669999999998</v>
      </c>
      <c r="AF72" s="453">
        <v>-10416.67</v>
      </c>
      <c r="AG72" s="453">
        <v>-10416.67</v>
      </c>
      <c r="AH72" s="453">
        <v>-10416.669999999998</v>
      </c>
      <c r="AI72" s="453">
        <v>-10416.670000000002</v>
      </c>
      <c r="AJ72" s="453">
        <v>-10416.669999999998</v>
      </c>
      <c r="AK72" s="453">
        <v>-10416.669999999998</v>
      </c>
      <c r="AL72" s="453">
        <v>-10416.670000000006</v>
      </c>
      <c r="AM72" s="453">
        <v>-10416.669999999998</v>
      </c>
      <c r="AN72" s="453">
        <v>-10416.669999999998</v>
      </c>
    </row>
    <row r="73" spans="1:40" outlineLevel="1" collapsed="1" x14ac:dyDescent="0.25">
      <c r="A73" s="452">
        <v>4129</v>
      </c>
      <c r="B73" t="s">
        <v>1314</v>
      </c>
      <c r="C73" t="s">
        <v>1315</v>
      </c>
      <c r="D73" t="s">
        <v>694</v>
      </c>
      <c r="E73" s="453">
        <f t="shared" si="18"/>
        <v>-43750</v>
      </c>
      <c r="F73" s="453">
        <f t="shared" si="19"/>
        <v>-16757</v>
      </c>
      <c r="G73" s="453">
        <f t="shared" si="20"/>
        <v>-10000</v>
      </c>
      <c r="H73" s="453">
        <v>0</v>
      </c>
      <c r="I73" s="453">
        <v>0</v>
      </c>
      <c r="J73" s="453">
        <v>0</v>
      </c>
      <c r="K73" s="453">
        <v>0</v>
      </c>
      <c r="L73" s="453">
        <v>-2000</v>
      </c>
      <c r="M73" s="453">
        <v>-19000</v>
      </c>
      <c r="N73" s="453">
        <v>-2000</v>
      </c>
      <c r="O73" s="453">
        <v>-2000</v>
      </c>
      <c r="P73" s="453">
        <v>-20000</v>
      </c>
      <c r="Q73" s="453">
        <v>-2000</v>
      </c>
      <c r="R73" s="453">
        <v>-2000</v>
      </c>
      <c r="S73" s="453">
        <v>5250</v>
      </c>
      <c r="T73" s="453">
        <v>-2000</v>
      </c>
      <c r="U73" s="453">
        <v>-2000</v>
      </c>
      <c r="V73" s="453">
        <v>-2000</v>
      </c>
      <c r="W73" s="453">
        <v>-2000</v>
      </c>
      <c r="X73" s="453">
        <v>-2000</v>
      </c>
      <c r="Y73" s="453">
        <v>-5319</v>
      </c>
      <c r="Z73" s="453">
        <v>-2000</v>
      </c>
      <c r="AA73" s="453">
        <v>0</v>
      </c>
      <c r="AB73" s="453">
        <v>0</v>
      </c>
      <c r="AC73" s="453">
        <v>0</v>
      </c>
      <c r="AD73" s="453">
        <v>0</v>
      </c>
      <c r="AE73" s="453">
        <v>562</v>
      </c>
      <c r="AF73" s="453">
        <v>0</v>
      </c>
      <c r="AG73" s="453">
        <v>0</v>
      </c>
      <c r="AH73" s="453">
        <v>0</v>
      </c>
      <c r="AI73" s="453">
        <v>0</v>
      </c>
      <c r="AJ73" s="453">
        <v>0</v>
      </c>
      <c r="AK73" s="453">
        <v>0</v>
      </c>
      <c r="AL73" s="453">
        <v>-10000</v>
      </c>
      <c r="AM73" s="453">
        <v>0</v>
      </c>
      <c r="AN73" s="453">
        <v>0</v>
      </c>
    </row>
    <row r="74" spans="1:40" outlineLevel="1" collapsed="1" x14ac:dyDescent="0.25">
      <c r="A74" s="452">
        <v>4130</v>
      </c>
      <c r="B74" t="s">
        <v>1316</v>
      </c>
      <c r="C74" t="s">
        <v>1317</v>
      </c>
      <c r="D74" t="s">
        <v>694</v>
      </c>
      <c r="E74" s="453">
        <f t="shared" si="18"/>
        <v>-533642.28</v>
      </c>
      <c r="F74" s="453">
        <f t="shared" si="19"/>
        <v>-652100.81000000017</v>
      </c>
      <c r="G74" s="453">
        <f t="shared" si="20"/>
        <v>-481498.86</v>
      </c>
      <c r="H74" s="453">
        <v>-41925.57</v>
      </c>
      <c r="I74" s="453">
        <v>-37315.640000000007</v>
      </c>
      <c r="J74" s="453">
        <v>-41701.689999999988</v>
      </c>
      <c r="K74" s="453">
        <v>-40267.350000000006</v>
      </c>
      <c r="L74" s="453">
        <v>-45798.59</v>
      </c>
      <c r="M74" s="453">
        <v>-44581.53</v>
      </c>
      <c r="N74" s="453">
        <v>-43733.890000000014</v>
      </c>
      <c r="O74" s="453">
        <v>-40242.589999999967</v>
      </c>
      <c r="P74" s="453">
        <v>-45573.520000000019</v>
      </c>
      <c r="Q74" s="453">
        <v>-49479.169999999984</v>
      </c>
      <c r="R74" s="453">
        <v>-48803.550000000047</v>
      </c>
      <c r="S74" s="453">
        <v>-54219.19</v>
      </c>
      <c r="T74" s="453">
        <v>-49272.43</v>
      </c>
      <c r="U74" s="453">
        <v>-51149.060000000005</v>
      </c>
      <c r="V74" s="453">
        <v>-51379.11</v>
      </c>
      <c r="W74" s="453">
        <v>-53541.419999999984</v>
      </c>
      <c r="X74" s="453">
        <v>-56579.600000000006</v>
      </c>
      <c r="Y74" s="453">
        <v>-54648.010000000009</v>
      </c>
      <c r="Z74" s="453">
        <v>-59205.469999999972</v>
      </c>
      <c r="AA74" s="453">
        <v>-57007.430000000051</v>
      </c>
      <c r="AB74" s="453">
        <v>-54890.75</v>
      </c>
      <c r="AC74" s="453">
        <v>-56372.640000000014</v>
      </c>
      <c r="AD74" s="453">
        <v>-52736.929999999935</v>
      </c>
      <c r="AE74" s="453">
        <v>-55317.960000000079</v>
      </c>
      <c r="AF74" s="453">
        <v>-54434.97</v>
      </c>
      <c r="AG74" s="453">
        <v>-52680.229999999996</v>
      </c>
      <c r="AH74" s="453">
        <v>-53788.659999999989</v>
      </c>
      <c r="AI74" s="453">
        <v>-56277.390000000014</v>
      </c>
      <c r="AJ74" s="453">
        <v>-54788.380000000005</v>
      </c>
      <c r="AK74" s="453">
        <v>-53149.630000000005</v>
      </c>
      <c r="AL74" s="453">
        <v>-50827.589999999967</v>
      </c>
      <c r="AM74" s="453">
        <v>-52012.710000000021</v>
      </c>
      <c r="AN74" s="453">
        <v>-53539.299999999988</v>
      </c>
    </row>
    <row r="75" spans="1:40" outlineLevel="1" collapsed="1" x14ac:dyDescent="0.25">
      <c r="A75" s="452">
        <v>4138</v>
      </c>
      <c r="B75" t="s">
        <v>1318</v>
      </c>
      <c r="C75" t="s">
        <v>1319</v>
      </c>
      <c r="D75" t="s">
        <v>694</v>
      </c>
      <c r="E75" s="453">
        <f t="shared" si="18"/>
        <v>-11187.58</v>
      </c>
      <c r="F75" s="453">
        <f t="shared" si="19"/>
        <v>-20099.95</v>
      </c>
      <c r="G75" s="453">
        <f t="shared" si="20"/>
        <v>-15300</v>
      </c>
      <c r="H75" s="453">
        <v>-1000</v>
      </c>
      <c r="I75" s="453">
        <v>-1000</v>
      </c>
      <c r="J75" s="453">
        <v>-1000</v>
      </c>
      <c r="K75" s="453">
        <v>-1000</v>
      </c>
      <c r="L75" s="453">
        <v>-1000</v>
      </c>
      <c r="M75" s="453">
        <v>-1000</v>
      </c>
      <c r="N75" s="453">
        <v>-1000</v>
      </c>
      <c r="O75" s="453">
        <v>-1000</v>
      </c>
      <c r="P75" s="453">
        <v>-1000</v>
      </c>
      <c r="Q75" s="453">
        <v>-1000</v>
      </c>
      <c r="R75" s="453">
        <v>-1000</v>
      </c>
      <c r="S75" s="453">
        <v>-187.57999999999993</v>
      </c>
      <c r="T75" s="453">
        <v>-1200</v>
      </c>
      <c r="U75" s="453">
        <v>-1200</v>
      </c>
      <c r="V75" s="453">
        <v>-1200</v>
      </c>
      <c r="W75" s="453">
        <v>-1200</v>
      </c>
      <c r="X75" s="453">
        <v>-1200</v>
      </c>
      <c r="Y75" s="453">
        <v>-1200</v>
      </c>
      <c r="Z75" s="453">
        <v>-1200</v>
      </c>
      <c r="AA75" s="453">
        <v>-1200</v>
      </c>
      <c r="AB75" s="453">
        <v>-1200</v>
      </c>
      <c r="AC75" s="453">
        <v>-1200</v>
      </c>
      <c r="AD75" s="453">
        <v>-1200</v>
      </c>
      <c r="AE75" s="453">
        <v>-6899.9500000000007</v>
      </c>
      <c r="AF75" s="453">
        <v>-1200</v>
      </c>
      <c r="AG75" s="453">
        <v>-1200</v>
      </c>
      <c r="AH75" s="453">
        <v>-1200</v>
      </c>
      <c r="AI75" s="453">
        <v>-1200</v>
      </c>
      <c r="AJ75" s="453">
        <v>-1200</v>
      </c>
      <c r="AK75" s="453">
        <v>-1200</v>
      </c>
      <c r="AL75" s="453">
        <v>-4700</v>
      </c>
      <c r="AM75" s="453">
        <v>-1700</v>
      </c>
      <c r="AN75" s="453">
        <v>-1700</v>
      </c>
    </row>
    <row r="76" spans="1:40" outlineLevel="1" collapsed="1" x14ac:dyDescent="0.25">
      <c r="A76" s="452">
        <v>4140</v>
      </c>
      <c r="B76" t="s">
        <v>1320</v>
      </c>
      <c r="C76" t="s">
        <v>1321</v>
      </c>
      <c r="D76" t="s">
        <v>694</v>
      </c>
      <c r="E76" s="453">
        <f t="shared" si="18"/>
        <v>-45469.120000000003</v>
      </c>
      <c r="F76" s="453">
        <f t="shared" si="19"/>
        <v>-42670.740000000005</v>
      </c>
      <c r="G76" s="453">
        <f t="shared" si="20"/>
        <v>-16367.3</v>
      </c>
      <c r="H76" s="453">
        <v>-810.49</v>
      </c>
      <c r="I76" s="453">
        <v>-250</v>
      </c>
      <c r="J76" s="453">
        <v>-250</v>
      </c>
      <c r="K76" s="453">
        <v>-250</v>
      </c>
      <c r="L76" s="453">
        <v>-2210</v>
      </c>
      <c r="M76" s="453">
        <v>-1390</v>
      </c>
      <c r="N76" s="453">
        <v>-1774.9000000000005</v>
      </c>
      <c r="O76" s="453">
        <v>-958.69999999999982</v>
      </c>
      <c r="P76" s="453">
        <v>-424.89999999999964</v>
      </c>
      <c r="Q76" s="453">
        <v>-1724.8999999999996</v>
      </c>
      <c r="R76" s="453">
        <v>-18628</v>
      </c>
      <c r="S76" s="453">
        <v>-16797.230000000003</v>
      </c>
      <c r="T76" s="453">
        <v>-981.69</v>
      </c>
      <c r="U76" s="453">
        <v>-1021.8299999999999</v>
      </c>
      <c r="V76" s="453">
        <v>-2179.6</v>
      </c>
      <c r="W76" s="453">
        <v>-1851.83</v>
      </c>
      <c r="X76" s="453">
        <v>-2572.37</v>
      </c>
      <c r="Y76" s="453">
        <v>-2384.6000000000004</v>
      </c>
      <c r="Z76" s="453">
        <v>-3513.7899999999991</v>
      </c>
      <c r="AA76" s="453">
        <v>-3374.0600000000013</v>
      </c>
      <c r="AB76" s="453">
        <v>-3514.3299999999981</v>
      </c>
      <c r="AC76" s="453">
        <v>-4008.7900000000009</v>
      </c>
      <c r="AD76" s="453">
        <v>-6255.1000000000022</v>
      </c>
      <c r="AE76" s="453">
        <v>-11012.749999999996</v>
      </c>
      <c r="AF76" s="453">
        <v>-2808.4</v>
      </c>
      <c r="AG76" s="453">
        <v>-2384.2000000000003</v>
      </c>
      <c r="AH76" s="453">
        <v>-2274.2999999999993</v>
      </c>
      <c r="AI76" s="453">
        <v>-1581.4799999999996</v>
      </c>
      <c r="AJ76" s="453">
        <v>-1361.9900000000016</v>
      </c>
      <c r="AK76" s="453">
        <v>-2322.9299999999985</v>
      </c>
      <c r="AL76" s="453">
        <v>-1606.5</v>
      </c>
      <c r="AM76" s="453">
        <v>-937.5</v>
      </c>
      <c r="AN76" s="453">
        <v>-1090</v>
      </c>
    </row>
    <row r="77" spans="1:40" outlineLevel="1" collapsed="1" x14ac:dyDescent="0.25">
      <c r="A77" s="452">
        <v>4144</v>
      </c>
      <c r="B77" t="s">
        <v>1322</v>
      </c>
      <c r="C77" t="s">
        <v>1323</v>
      </c>
      <c r="D77" t="s">
        <v>694</v>
      </c>
      <c r="E77" s="453">
        <f t="shared" si="18"/>
        <v>-2983.4299999999994</v>
      </c>
      <c r="F77" s="453">
        <f t="shared" si="19"/>
        <v>-3915.04</v>
      </c>
      <c r="G77" s="453">
        <f t="shared" si="20"/>
        <v>-3611.85</v>
      </c>
      <c r="H77" s="453">
        <v>-155.5</v>
      </c>
      <c r="I77" s="453">
        <v>-196.14</v>
      </c>
      <c r="J77" s="453">
        <v>-370.33000000000004</v>
      </c>
      <c r="K77" s="453">
        <v>-275.94999999999993</v>
      </c>
      <c r="L77" s="453">
        <v>-388.32000000000005</v>
      </c>
      <c r="M77" s="453">
        <v>-346.03</v>
      </c>
      <c r="N77" s="453">
        <v>-178.29999999999995</v>
      </c>
      <c r="O77" s="453">
        <v>-355.10000000000014</v>
      </c>
      <c r="P77" s="453">
        <v>-298.79999999999973</v>
      </c>
      <c r="Q77" s="453">
        <v>-96.960000000000036</v>
      </c>
      <c r="R77" s="453">
        <v>-58.730000000000018</v>
      </c>
      <c r="S77" s="453">
        <v>-263.27</v>
      </c>
      <c r="T77" s="453">
        <v>-141.16999999999999</v>
      </c>
      <c r="U77" s="453">
        <v>-155.82000000000002</v>
      </c>
      <c r="V77" s="453">
        <v>-91.70999999999998</v>
      </c>
      <c r="W77" s="453">
        <v>-209.57</v>
      </c>
      <c r="X77" s="453">
        <v>-398.78999999999996</v>
      </c>
      <c r="Y77" s="453">
        <v>-146.25</v>
      </c>
      <c r="Z77" s="453">
        <v>-346.16000000000008</v>
      </c>
      <c r="AA77" s="453">
        <v>-286.5</v>
      </c>
      <c r="AB77" s="453">
        <v>-594.18000000000006</v>
      </c>
      <c r="AC77" s="453">
        <v>-582.52999999999975</v>
      </c>
      <c r="AD77" s="453">
        <v>-633.65000000000009</v>
      </c>
      <c r="AE77" s="453">
        <v>-328.71000000000004</v>
      </c>
      <c r="AF77" s="453">
        <v>-417.81</v>
      </c>
      <c r="AG77" s="453">
        <v>-427.38000000000005</v>
      </c>
      <c r="AH77" s="453">
        <v>-549.13999999999987</v>
      </c>
      <c r="AI77" s="453">
        <v>-644.34000000000015</v>
      </c>
      <c r="AJ77" s="453">
        <v>-307.92000000000007</v>
      </c>
      <c r="AK77" s="453">
        <v>-360.05999999999995</v>
      </c>
      <c r="AL77" s="453">
        <v>-264.50999999999976</v>
      </c>
      <c r="AM77" s="453">
        <v>-301.32999999999993</v>
      </c>
      <c r="AN77" s="453">
        <v>-339.36000000000013</v>
      </c>
    </row>
    <row r="78" spans="1:40" outlineLevel="1" collapsed="1" x14ac:dyDescent="0.25">
      <c r="A78" s="452">
        <v>4145</v>
      </c>
      <c r="B78" t="s">
        <v>1324</v>
      </c>
      <c r="C78" t="s">
        <v>1325</v>
      </c>
      <c r="D78" t="s">
        <v>694</v>
      </c>
      <c r="E78" s="453">
        <f t="shared" si="18"/>
        <v>-57441</v>
      </c>
      <c r="F78" s="453">
        <f t="shared" si="19"/>
        <v>-76119</v>
      </c>
      <c r="G78" s="453">
        <f t="shared" si="20"/>
        <v>-57980</v>
      </c>
      <c r="H78" s="453">
        <v>-3361</v>
      </c>
      <c r="I78" s="453">
        <v>-3756</v>
      </c>
      <c r="J78" s="453">
        <v>-3073</v>
      </c>
      <c r="K78" s="453">
        <v>-3937</v>
      </c>
      <c r="L78" s="453">
        <v>-5387</v>
      </c>
      <c r="M78" s="453">
        <v>-5387</v>
      </c>
      <c r="N78" s="453">
        <v>-5387</v>
      </c>
      <c r="O78" s="453">
        <v>-4992</v>
      </c>
      <c r="P78" s="453">
        <v>-4992</v>
      </c>
      <c r="Q78" s="453">
        <v>-5891</v>
      </c>
      <c r="R78" s="453">
        <v>-5639</v>
      </c>
      <c r="S78" s="453">
        <v>-5639</v>
      </c>
      <c r="T78" s="453">
        <v>-5919</v>
      </c>
      <c r="U78" s="453">
        <v>-5919</v>
      </c>
      <c r="V78" s="453">
        <v>-5606</v>
      </c>
      <c r="W78" s="453">
        <v>-5606</v>
      </c>
      <c r="X78" s="453">
        <v>-5606</v>
      </c>
      <c r="Y78" s="453">
        <v>-6034</v>
      </c>
      <c r="Z78" s="453">
        <v>-7449</v>
      </c>
      <c r="AA78" s="453">
        <v>-7148</v>
      </c>
      <c r="AB78" s="453">
        <v>-6708</v>
      </c>
      <c r="AC78" s="453">
        <v>-6708</v>
      </c>
      <c r="AD78" s="453">
        <v>-6708</v>
      </c>
      <c r="AE78" s="453">
        <v>-6708</v>
      </c>
      <c r="AF78" s="453">
        <v>-5724</v>
      </c>
      <c r="AG78" s="453">
        <v>-6275</v>
      </c>
      <c r="AH78" s="453">
        <v>-5733</v>
      </c>
      <c r="AI78" s="453">
        <v>-6708</v>
      </c>
      <c r="AJ78" s="453">
        <v>-6708</v>
      </c>
      <c r="AK78" s="453">
        <v>-6708</v>
      </c>
      <c r="AL78" s="453">
        <v>-6708</v>
      </c>
      <c r="AM78" s="453">
        <v>-6708</v>
      </c>
      <c r="AN78" s="453">
        <v>-6708</v>
      </c>
    </row>
    <row r="79" spans="1:40" outlineLevel="1" collapsed="1" x14ac:dyDescent="0.25">
      <c r="A79" s="452">
        <v>4149</v>
      </c>
      <c r="B79" t="s">
        <v>1326</v>
      </c>
      <c r="C79" t="s">
        <v>1327</v>
      </c>
      <c r="D79" t="s">
        <v>694</v>
      </c>
      <c r="E79" s="453">
        <f t="shared" si="18"/>
        <v>-2234.1599999999994</v>
      </c>
      <c r="F79" s="453">
        <f t="shared" si="19"/>
        <v>-3345.0499999999997</v>
      </c>
      <c r="G79" s="453">
        <f t="shared" si="20"/>
        <v>-2324.37</v>
      </c>
      <c r="H79" s="453">
        <v>-178.47</v>
      </c>
      <c r="I79" s="453">
        <v>-196.4</v>
      </c>
      <c r="J79" s="453">
        <v>-155.01</v>
      </c>
      <c r="K79" s="453">
        <v>-160.77999999999997</v>
      </c>
      <c r="L79" s="453">
        <v>-176.43000000000006</v>
      </c>
      <c r="M79" s="453">
        <v>-181.08000000000004</v>
      </c>
      <c r="N79" s="453">
        <v>-176.63999999999987</v>
      </c>
      <c r="O79" s="453">
        <v>-162.03999999999996</v>
      </c>
      <c r="P79" s="453">
        <v>-157.13000000000011</v>
      </c>
      <c r="Q79" s="453">
        <v>-208.86999999999989</v>
      </c>
      <c r="R79" s="453">
        <v>-240.73000000000002</v>
      </c>
      <c r="S79" s="453">
        <v>-240.57999999999993</v>
      </c>
      <c r="T79" s="453">
        <v>-279.75</v>
      </c>
      <c r="U79" s="453">
        <v>-263.23</v>
      </c>
      <c r="V79" s="453">
        <v>-267</v>
      </c>
      <c r="W79" s="453">
        <v>-274.99</v>
      </c>
      <c r="X79" s="453">
        <v>-275.66000000000008</v>
      </c>
      <c r="Y79" s="453">
        <v>-290.81999999999994</v>
      </c>
      <c r="Z79" s="453">
        <v>-310.71000000000004</v>
      </c>
      <c r="AA79" s="453">
        <v>-290.24</v>
      </c>
      <c r="AB79" s="453">
        <v>-279.4699999999998</v>
      </c>
      <c r="AC79" s="453">
        <v>-276.86999999999989</v>
      </c>
      <c r="AD79" s="453">
        <v>-270.91000000000031</v>
      </c>
      <c r="AE79" s="453">
        <v>-265.40000000000009</v>
      </c>
      <c r="AF79" s="453">
        <v>-249.7</v>
      </c>
      <c r="AG79" s="453">
        <v>-254.31</v>
      </c>
      <c r="AH79" s="453">
        <v>-257.35000000000002</v>
      </c>
      <c r="AI79" s="453">
        <v>-258.27999999999997</v>
      </c>
      <c r="AJ79" s="453">
        <v>-268.89</v>
      </c>
      <c r="AK79" s="453">
        <v>-264.07999999999993</v>
      </c>
      <c r="AL79" s="453">
        <v>-258.82000000000016</v>
      </c>
      <c r="AM79" s="453">
        <v>-260.80999999999972</v>
      </c>
      <c r="AN79" s="453">
        <v>-252.13000000000011</v>
      </c>
    </row>
    <row r="80" spans="1:40" outlineLevel="1" collapsed="1" x14ac:dyDescent="0.25">
      <c r="A80" s="452">
        <v>4150</v>
      </c>
      <c r="B80" t="s">
        <v>1328</v>
      </c>
      <c r="C80" t="s">
        <v>1329</v>
      </c>
      <c r="D80" t="s">
        <v>694</v>
      </c>
      <c r="E80" s="453">
        <f t="shared" si="18"/>
        <v>-15052.89</v>
      </c>
      <c r="F80" s="453">
        <f t="shared" si="19"/>
        <v>-13770.190000000002</v>
      </c>
      <c r="G80" s="453">
        <f t="shared" si="20"/>
        <v>-8929.2899999999991</v>
      </c>
      <c r="H80" s="453">
        <v>-1106.78</v>
      </c>
      <c r="I80" s="453">
        <v>-1060.5000000000002</v>
      </c>
      <c r="J80" s="453">
        <v>-1190.5</v>
      </c>
      <c r="K80" s="453">
        <v>-1156.3499999999999</v>
      </c>
      <c r="L80" s="453">
        <v>-1314.7799999999997</v>
      </c>
      <c r="M80" s="453">
        <v>-1301.0699999999997</v>
      </c>
      <c r="N80" s="453">
        <v>-1272.3000000000011</v>
      </c>
      <c r="O80" s="453">
        <v>-1297.3400000000001</v>
      </c>
      <c r="P80" s="453">
        <v>-1252.2799999999988</v>
      </c>
      <c r="Q80" s="453">
        <v>-1378.4600000000009</v>
      </c>
      <c r="R80" s="453">
        <v>-1366.2199999999993</v>
      </c>
      <c r="S80" s="453">
        <v>-1356.3099999999995</v>
      </c>
      <c r="T80" s="453">
        <v>-1091.27</v>
      </c>
      <c r="U80" s="453">
        <v>-1073.6100000000001</v>
      </c>
      <c r="V80" s="453">
        <v>-1078.79</v>
      </c>
      <c r="W80" s="453">
        <v>-1119.8599999999997</v>
      </c>
      <c r="X80" s="453">
        <v>-1176.6300000000001</v>
      </c>
      <c r="Y80" s="453">
        <v>-1179.54</v>
      </c>
      <c r="Z80" s="453">
        <v>-1259.6000000000004</v>
      </c>
      <c r="AA80" s="453">
        <v>-1212.2400000000007</v>
      </c>
      <c r="AB80" s="453">
        <v>-1149.2699999999986</v>
      </c>
      <c r="AC80" s="453">
        <v>-1188.75</v>
      </c>
      <c r="AD80" s="453">
        <v>-1117.9099999999999</v>
      </c>
      <c r="AE80" s="453">
        <v>-1122.7200000000012</v>
      </c>
      <c r="AF80" s="453">
        <v>-996.81</v>
      </c>
      <c r="AG80" s="453">
        <v>-952.81</v>
      </c>
      <c r="AH80" s="453">
        <v>-966.34000000000015</v>
      </c>
      <c r="AI80" s="453">
        <v>-1048.81</v>
      </c>
      <c r="AJ80" s="453">
        <v>-1020.02</v>
      </c>
      <c r="AK80" s="453">
        <v>-987.23999999999978</v>
      </c>
      <c r="AL80" s="453">
        <v>-1013.1400000000003</v>
      </c>
      <c r="AM80" s="453">
        <v>-967.31999999999971</v>
      </c>
      <c r="AN80" s="453">
        <v>-976.80000000000109</v>
      </c>
    </row>
    <row r="81" spans="1:40" outlineLevel="1" collapsed="1" x14ac:dyDescent="0.25">
      <c r="A81" s="452">
        <v>4152</v>
      </c>
      <c r="B81" t="s">
        <v>1330</v>
      </c>
      <c r="C81" t="s">
        <v>1331</v>
      </c>
      <c r="D81" t="s">
        <v>694</v>
      </c>
      <c r="E81" s="453">
        <f t="shared" si="18"/>
        <v>-189</v>
      </c>
      <c r="F81" s="453">
        <f t="shared" si="19"/>
        <v>-497</v>
      </c>
      <c r="G81" s="453">
        <f t="shared" si="20"/>
        <v>-531</v>
      </c>
      <c r="H81" s="453">
        <v>0</v>
      </c>
      <c r="I81" s="453">
        <v>0</v>
      </c>
      <c r="J81" s="453">
        <v>0</v>
      </c>
      <c r="K81" s="453">
        <v>-21</v>
      </c>
      <c r="L81" s="453">
        <v>-21</v>
      </c>
      <c r="M81" s="453">
        <v>-21</v>
      </c>
      <c r="N81" s="453">
        <v>-21</v>
      </c>
      <c r="O81" s="453">
        <v>-21</v>
      </c>
      <c r="P81" s="453">
        <v>-21</v>
      </c>
      <c r="Q81" s="453">
        <v>-21</v>
      </c>
      <c r="R81" s="453">
        <v>-21</v>
      </c>
      <c r="S81" s="453">
        <v>-21</v>
      </c>
      <c r="T81" s="453">
        <v>-21</v>
      </c>
      <c r="U81" s="453">
        <v>-21</v>
      </c>
      <c r="V81" s="453">
        <v>-21</v>
      </c>
      <c r="W81" s="453">
        <v>-21</v>
      </c>
      <c r="X81" s="453">
        <v>-42</v>
      </c>
      <c r="Y81" s="453">
        <v>58</v>
      </c>
      <c r="Z81" s="453">
        <v>36</v>
      </c>
      <c r="AA81" s="453">
        <v>47</v>
      </c>
      <c r="AB81" s="453">
        <v>47</v>
      </c>
      <c r="AC81" s="453">
        <v>-453</v>
      </c>
      <c r="AD81" s="453">
        <v>-53</v>
      </c>
      <c r="AE81" s="453">
        <v>-53</v>
      </c>
      <c r="AF81" s="453">
        <v>-53</v>
      </c>
      <c r="AG81" s="453">
        <v>-53</v>
      </c>
      <c r="AH81" s="453">
        <v>-53</v>
      </c>
      <c r="AI81" s="453">
        <v>-62</v>
      </c>
      <c r="AJ81" s="453">
        <v>-62</v>
      </c>
      <c r="AK81" s="453">
        <v>-62</v>
      </c>
      <c r="AL81" s="453">
        <v>-62</v>
      </c>
      <c r="AM81" s="453">
        <v>-62</v>
      </c>
      <c r="AN81" s="453">
        <v>-62</v>
      </c>
    </row>
    <row r="82" spans="1:40" outlineLevel="1" collapsed="1" x14ac:dyDescent="0.25">
      <c r="A82" s="452">
        <v>4155</v>
      </c>
      <c r="B82" t="s">
        <v>1332</v>
      </c>
      <c r="C82" t="s">
        <v>1333</v>
      </c>
      <c r="D82" t="s">
        <v>694</v>
      </c>
      <c r="E82" s="453">
        <f t="shared" si="18"/>
        <v>5588.23</v>
      </c>
      <c r="F82" s="453">
        <f t="shared" si="19"/>
        <v>0</v>
      </c>
      <c r="G82" s="453">
        <f t="shared" si="20"/>
        <v>0</v>
      </c>
      <c r="H82" s="453">
        <v>126.43</v>
      </c>
      <c r="I82" s="453">
        <v>0</v>
      </c>
      <c r="J82" s="453">
        <v>0</v>
      </c>
      <c r="K82" s="453">
        <v>0</v>
      </c>
      <c r="L82" s="453">
        <v>1614.01</v>
      </c>
      <c r="M82" s="453">
        <v>3847.7899999999995</v>
      </c>
      <c r="N82" s="453">
        <v>0</v>
      </c>
      <c r="O82" s="453">
        <v>0</v>
      </c>
      <c r="P82" s="453">
        <v>0</v>
      </c>
      <c r="Q82" s="453">
        <v>0</v>
      </c>
      <c r="R82" s="453">
        <v>0</v>
      </c>
      <c r="S82" s="453">
        <v>0</v>
      </c>
      <c r="T82" s="453">
        <v>0</v>
      </c>
      <c r="U82" s="453">
        <v>0</v>
      </c>
      <c r="V82" s="453">
        <v>0</v>
      </c>
      <c r="W82" s="453">
        <v>0</v>
      </c>
      <c r="X82" s="453">
        <v>0</v>
      </c>
      <c r="Y82" s="453">
        <v>0</v>
      </c>
      <c r="Z82" s="453">
        <v>0</v>
      </c>
      <c r="AA82" s="453">
        <v>0</v>
      </c>
      <c r="AB82" s="453">
        <v>0</v>
      </c>
      <c r="AC82" s="453">
        <v>0</v>
      </c>
      <c r="AD82" s="453">
        <v>0</v>
      </c>
      <c r="AE82" s="453">
        <v>0</v>
      </c>
      <c r="AF82" s="453">
        <v>0</v>
      </c>
      <c r="AG82" s="453">
        <v>0</v>
      </c>
      <c r="AH82" s="453">
        <v>0</v>
      </c>
      <c r="AI82" s="453">
        <v>0</v>
      </c>
      <c r="AJ82" s="453">
        <v>0</v>
      </c>
      <c r="AK82" s="453">
        <v>0</v>
      </c>
      <c r="AL82" s="453">
        <v>0</v>
      </c>
      <c r="AM82" s="453">
        <v>0</v>
      </c>
      <c r="AN82" s="453">
        <v>0</v>
      </c>
    </row>
    <row r="83" spans="1:40" outlineLevel="1" collapsed="1" x14ac:dyDescent="0.25">
      <c r="A83" s="452">
        <v>4156</v>
      </c>
      <c r="B83" t="s">
        <v>1334</v>
      </c>
      <c r="C83" t="s">
        <v>1335</v>
      </c>
      <c r="D83" t="s">
        <v>694</v>
      </c>
      <c r="E83" s="453">
        <f t="shared" si="18"/>
        <v>6800.54</v>
      </c>
      <c r="F83" s="453">
        <f t="shared" si="19"/>
        <v>1405.64</v>
      </c>
      <c r="G83" s="453">
        <f t="shared" si="20"/>
        <v>0</v>
      </c>
      <c r="H83" s="453">
        <v>0</v>
      </c>
      <c r="I83" s="453">
        <v>0</v>
      </c>
      <c r="J83" s="453">
        <v>0</v>
      </c>
      <c r="K83" s="453">
        <v>0</v>
      </c>
      <c r="L83" s="453">
        <v>0</v>
      </c>
      <c r="M83" s="453">
        <v>0</v>
      </c>
      <c r="N83" s="453">
        <v>0</v>
      </c>
      <c r="O83" s="453">
        <v>0</v>
      </c>
      <c r="P83" s="453">
        <v>0</v>
      </c>
      <c r="Q83" s="453">
        <v>0</v>
      </c>
      <c r="R83" s="453">
        <v>0</v>
      </c>
      <c r="S83" s="453">
        <v>6800.54</v>
      </c>
      <c r="T83" s="453">
        <v>0</v>
      </c>
      <c r="U83" s="453">
        <v>0</v>
      </c>
      <c r="V83" s="453">
        <v>0</v>
      </c>
      <c r="W83" s="453">
        <v>0</v>
      </c>
      <c r="X83" s="453">
        <v>0</v>
      </c>
      <c r="Y83" s="453">
        <v>0</v>
      </c>
      <c r="Z83" s="453">
        <v>0</v>
      </c>
      <c r="AA83" s="453">
        <v>0</v>
      </c>
      <c r="AB83" s="453">
        <v>0</v>
      </c>
      <c r="AC83" s="453">
        <v>0</v>
      </c>
      <c r="AD83" s="453">
        <v>0</v>
      </c>
      <c r="AE83" s="453">
        <v>1405.64</v>
      </c>
      <c r="AF83" s="453">
        <v>0</v>
      </c>
      <c r="AG83" s="453">
        <v>0</v>
      </c>
      <c r="AH83" s="453">
        <v>0</v>
      </c>
      <c r="AI83" s="453">
        <v>0</v>
      </c>
      <c r="AJ83" s="453">
        <v>0</v>
      </c>
      <c r="AK83" s="453">
        <v>0</v>
      </c>
      <c r="AL83" s="453">
        <v>0</v>
      </c>
      <c r="AM83" s="453">
        <v>0</v>
      </c>
      <c r="AN83" s="453">
        <v>0</v>
      </c>
    </row>
    <row r="84" spans="1:40" outlineLevel="1" collapsed="1" x14ac:dyDescent="0.25">
      <c r="A84" s="452">
        <v>4165</v>
      </c>
      <c r="B84" t="s">
        <v>1336</v>
      </c>
      <c r="C84" t="s">
        <v>1337</v>
      </c>
      <c r="D84" t="s">
        <v>694</v>
      </c>
      <c r="E84" s="453">
        <f t="shared" si="18"/>
        <v>-13016.38</v>
      </c>
      <c r="F84" s="453">
        <f t="shared" si="19"/>
        <v>-26846.36</v>
      </c>
      <c r="G84" s="453">
        <f t="shared" si="20"/>
        <v>-28948.880000000005</v>
      </c>
      <c r="H84" s="453">
        <v>-2509.35</v>
      </c>
      <c r="I84" s="453">
        <v>-2142.7500000000005</v>
      </c>
      <c r="J84" s="453">
        <v>-2038.12</v>
      </c>
      <c r="K84" s="453">
        <v>-1790.5999999999995</v>
      </c>
      <c r="L84" s="453">
        <v>-2246.6000000000004</v>
      </c>
      <c r="M84" s="453">
        <v>-2246.6000000000004</v>
      </c>
      <c r="N84" s="453">
        <v>-2141.6000000000004</v>
      </c>
      <c r="O84" s="453">
        <v>-2141.6000000000004</v>
      </c>
      <c r="P84" s="453">
        <v>10793.400000000001</v>
      </c>
      <c r="Q84" s="453">
        <v>-2141.6000000000004</v>
      </c>
      <c r="R84" s="453">
        <v>-2289.4799999999996</v>
      </c>
      <c r="S84" s="453">
        <v>-2121.4799999999996</v>
      </c>
      <c r="T84" s="453">
        <v>-3101.5</v>
      </c>
      <c r="U84" s="453">
        <v>-3101.5</v>
      </c>
      <c r="V84" s="453">
        <v>-3101.5</v>
      </c>
      <c r="W84" s="453">
        <v>-2933.5</v>
      </c>
      <c r="X84" s="453">
        <v>-3563.5</v>
      </c>
      <c r="Y84" s="453">
        <v>-3665.5</v>
      </c>
      <c r="Z84" s="453">
        <v>-3785.5</v>
      </c>
      <c r="AA84" s="453">
        <v>-3641.5</v>
      </c>
      <c r="AB84" s="453">
        <v>-3489.59</v>
      </c>
      <c r="AC84" s="453">
        <v>-3273.59</v>
      </c>
      <c r="AD84" s="453">
        <v>-3273.5899999999965</v>
      </c>
      <c r="AE84" s="453">
        <v>10084.409999999996</v>
      </c>
      <c r="AF84" s="453">
        <v>-3052.72</v>
      </c>
      <c r="AG84" s="453">
        <v>-2284.7199999999998</v>
      </c>
      <c r="AH84" s="453">
        <v>-2914.7200000000003</v>
      </c>
      <c r="AI84" s="453">
        <v>-3164.7199999999993</v>
      </c>
      <c r="AJ84" s="453">
        <v>-3486.7200000000012</v>
      </c>
      <c r="AK84" s="453">
        <v>-3486.7199999999993</v>
      </c>
      <c r="AL84" s="453">
        <v>-3486.7200000000012</v>
      </c>
      <c r="AM84" s="453">
        <v>-3535.9199999999983</v>
      </c>
      <c r="AN84" s="453">
        <v>-3535.9200000000019</v>
      </c>
    </row>
    <row r="85" spans="1:40" outlineLevel="1" collapsed="1" x14ac:dyDescent="0.25">
      <c r="A85" s="452">
        <v>4170</v>
      </c>
      <c r="B85" t="s">
        <v>1338</v>
      </c>
      <c r="C85" t="s">
        <v>1339</v>
      </c>
      <c r="D85" t="s">
        <v>694</v>
      </c>
      <c r="E85" s="453">
        <f t="shared" si="18"/>
        <v>-2624.6599999999989</v>
      </c>
      <c r="F85" s="453">
        <f t="shared" si="19"/>
        <v>-2985.79</v>
      </c>
      <c r="G85" s="453">
        <f t="shared" si="20"/>
        <v>-2221.35</v>
      </c>
      <c r="H85" s="453">
        <v>-183.95</v>
      </c>
      <c r="I85" s="453">
        <v>-183.95</v>
      </c>
      <c r="J85" s="453">
        <v>-183.95000000000005</v>
      </c>
      <c r="K85" s="453">
        <v>-183.94999999999993</v>
      </c>
      <c r="L85" s="453">
        <v>-210.54000000000008</v>
      </c>
      <c r="M85" s="453">
        <v>-237.13</v>
      </c>
      <c r="N85" s="453">
        <v>-237.12999999999988</v>
      </c>
      <c r="O85" s="453">
        <v>-210.54000000000019</v>
      </c>
      <c r="P85" s="453">
        <v>-210.53999999999996</v>
      </c>
      <c r="Q85" s="453">
        <v>-225.53999999999974</v>
      </c>
      <c r="R85" s="453">
        <v>-278.72000000000025</v>
      </c>
      <c r="S85" s="453">
        <v>-278.7199999999998</v>
      </c>
      <c r="T85" s="453">
        <v>-198.95</v>
      </c>
      <c r="U85" s="453">
        <v>-292.13</v>
      </c>
      <c r="V85" s="453">
        <v>-225.54000000000002</v>
      </c>
      <c r="W85" s="453">
        <v>-252.13</v>
      </c>
      <c r="X85" s="453">
        <v>-265.53999999999996</v>
      </c>
      <c r="Y85" s="453">
        <v>-265.53999999999996</v>
      </c>
      <c r="Z85" s="453">
        <v>-265.53999999999996</v>
      </c>
      <c r="AA85" s="453">
        <v>-211.90000000000009</v>
      </c>
      <c r="AB85" s="453">
        <v>-252.13000000000011</v>
      </c>
      <c r="AC85" s="453">
        <v>-252.13000000000011</v>
      </c>
      <c r="AD85" s="453">
        <v>-252.12999999999965</v>
      </c>
      <c r="AE85" s="453">
        <v>-252.13000000000011</v>
      </c>
      <c r="AF85" s="453">
        <v>-227.13</v>
      </c>
      <c r="AG85" s="453">
        <v>-253.72000000000003</v>
      </c>
      <c r="AH85" s="453">
        <v>-280.30999999999995</v>
      </c>
      <c r="AI85" s="453">
        <v>-278.72000000000014</v>
      </c>
      <c r="AJ85" s="453">
        <v>-278.7199999999998</v>
      </c>
      <c r="AK85" s="453">
        <v>-252.13000000000011</v>
      </c>
      <c r="AL85" s="453">
        <v>-198.95000000000005</v>
      </c>
      <c r="AM85" s="453">
        <v>-225.53999999999996</v>
      </c>
      <c r="AN85" s="453">
        <v>-226.12999999999988</v>
      </c>
    </row>
    <row r="86" spans="1:40" outlineLevel="1" collapsed="1" x14ac:dyDescent="0.25">
      <c r="A86" s="452">
        <v>4175</v>
      </c>
      <c r="B86" t="s">
        <v>1340</v>
      </c>
      <c r="C86" t="s">
        <v>1341</v>
      </c>
      <c r="D86" t="s">
        <v>694</v>
      </c>
      <c r="E86" s="453">
        <f t="shared" si="18"/>
        <v>-23513.399999999998</v>
      </c>
      <c r="F86" s="453">
        <f t="shared" si="19"/>
        <v>-33929</v>
      </c>
      <c r="G86" s="453">
        <f t="shared" si="20"/>
        <v>-23862.7</v>
      </c>
      <c r="H86" s="453">
        <v>-2005.73</v>
      </c>
      <c r="I86" s="453">
        <v>-2345.0499999999997</v>
      </c>
      <c r="J86" s="453">
        <v>-1574.0700000000006</v>
      </c>
      <c r="K86" s="453">
        <v>-1608.62</v>
      </c>
      <c r="L86" s="453">
        <v>-1826.3499999999995</v>
      </c>
      <c r="M86" s="453">
        <v>-1854.0400000000009</v>
      </c>
      <c r="N86" s="453">
        <v>-1827.4599999999991</v>
      </c>
      <c r="O86" s="453">
        <v>-1616.2399999999998</v>
      </c>
      <c r="P86" s="453">
        <v>-1586.8500000000004</v>
      </c>
      <c r="Q86" s="453">
        <v>-2200.7799999999988</v>
      </c>
      <c r="R86" s="453">
        <v>-2534.4799999999996</v>
      </c>
      <c r="S86" s="453">
        <v>-2533.7300000000032</v>
      </c>
      <c r="T86" s="453">
        <v>-2906.3</v>
      </c>
      <c r="U86" s="453">
        <v>-2660.42</v>
      </c>
      <c r="V86" s="453">
        <v>-2598.42</v>
      </c>
      <c r="W86" s="453">
        <v>-2646.2200000000003</v>
      </c>
      <c r="X86" s="453">
        <v>-2659.5299999999988</v>
      </c>
      <c r="Y86" s="453">
        <v>-2749.2700000000004</v>
      </c>
      <c r="Z86" s="453">
        <v>-3272.1899999999987</v>
      </c>
      <c r="AA86" s="453">
        <v>-3147.5300000000025</v>
      </c>
      <c r="AB86" s="453">
        <v>-2919.8899999999994</v>
      </c>
      <c r="AC86" s="453">
        <v>-2904.3199999999997</v>
      </c>
      <c r="AD86" s="453">
        <v>-2831.6100000000006</v>
      </c>
      <c r="AE86" s="453">
        <v>-2633.2999999999993</v>
      </c>
      <c r="AF86" s="453">
        <v>-2540.29</v>
      </c>
      <c r="AG86" s="453">
        <v>-2567.5</v>
      </c>
      <c r="AH86" s="453">
        <v>-2585.6400000000003</v>
      </c>
      <c r="AI86" s="453">
        <v>-2684.2799999999988</v>
      </c>
      <c r="AJ86" s="453">
        <v>-2747.1100000000006</v>
      </c>
      <c r="AK86" s="453">
        <v>-2718.8500000000004</v>
      </c>
      <c r="AL86" s="453">
        <v>-2687.2899999999991</v>
      </c>
      <c r="AM86" s="453">
        <v>-2699.2400000000016</v>
      </c>
      <c r="AN86" s="453">
        <v>-2632.5</v>
      </c>
    </row>
    <row r="87" spans="1:40" outlineLevel="1" collapsed="1" x14ac:dyDescent="0.25">
      <c r="A87" s="452">
        <v>4190</v>
      </c>
      <c r="B87" t="s">
        <v>1342</v>
      </c>
      <c r="C87" t="s">
        <v>1343</v>
      </c>
      <c r="D87" t="s">
        <v>694</v>
      </c>
      <c r="E87" s="453">
        <f t="shared" si="18"/>
        <v>-1144.2</v>
      </c>
      <c r="F87" s="453">
        <f t="shared" si="19"/>
        <v>0</v>
      </c>
      <c r="G87" s="453">
        <f t="shared" si="20"/>
        <v>-2289.56</v>
      </c>
      <c r="H87" s="453">
        <v>0</v>
      </c>
      <c r="I87" s="453">
        <v>0</v>
      </c>
      <c r="J87" s="453">
        <v>0</v>
      </c>
      <c r="K87" s="453">
        <v>0</v>
      </c>
      <c r="L87" s="453">
        <v>0</v>
      </c>
      <c r="M87" s="453">
        <v>0</v>
      </c>
      <c r="N87" s="453">
        <v>-1144.2</v>
      </c>
      <c r="O87" s="453">
        <v>0</v>
      </c>
      <c r="P87" s="453">
        <v>0</v>
      </c>
      <c r="Q87" s="453">
        <v>0</v>
      </c>
      <c r="R87" s="453">
        <v>0</v>
      </c>
      <c r="S87" s="453">
        <v>0</v>
      </c>
      <c r="T87" s="453">
        <v>0</v>
      </c>
      <c r="U87" s="453">
        <v>0</v>
      </c>
      <c r="V87" s="453">
        <v>0</v>
      </c>
      <c r="W87" s="453">
        <v>0</v>
      </c>
      <c r="X87" s="453">
        <v>0</v>
      </c>
      <c r="Y87" s="453">
        <v>0</v>
      </c>
      <c r="Z87" s="453">
        <v>0</v>
      </c>
      <c r="AA87" s="453">
        <v>0</v>
      </c>
      <c r="AB87" s="453">
        <v>0</v>
      </c>
      <c r="AC87" s="453">
        <v>0</v>
      </c>
      <c r="AD87" s="453">
        <v>0</v>
      </c>
      <c r="AE87" s="453">
        <v>0</v>
      </c>
      <c r="AF87" s="453">
        <v>0</v>
      </c>
      <c r="AG87" s="453">
        <v>0</v>
      </c>
      <c r="AH87" s="453">
        <v>0</v>
      </c>
      <c r="AI87" s="453">
        <v>-565.89</v>
      </c>
      <c r="AJ87" s="453">
        <v>0</v>
      </c>
      <c r="AK87" s="453">
        <v>0</v>
      </c>
      <c r="AL87" s="453">
        <v>-358.53999999999996</v>
      </c>
      <c r="AM87" s="453">
        <v>-1365.13</v>
      </c>
      <c r="AN87" s="453">
        <v>0</v>
      </c>
    </row>
    <row r="88" spans="1:40" outlineLevel="1" collapsed="1" x14ac:dyDescent="0.25">
      <c r="A88" s="452">
        <v>4194</v>
      </c>
      <c r="B88" t="s">
        <v>1344</v>
      </c>
      <c r="C88" t="s">
        <v>1345</v>
      </c>
      <c r="D88" t="s">
        <v>694</v>
      </c>
      <c r="E88" s="453">
        <f t="shared" si="18"/>
        <v>0</v>
      </c>
      <c r="F88" s="453">
        <f t="shared" si="19"/>
        <v>0</v>
      </c>
      <c r="G88" s="453">
        <f t="shared" si="20"/>
        <v>-18.72</v>
      </c>
      <c r="H88" s="453">
        <v>0</v>
      </c>
      <c r="I88" s="453">
        <v>0</v>
      </c>
      <c r="J88" s="453">
        <v>0</v>
      </c>
      <c r="K88" s="453">
        <v>0</v>
      </c>
      <c r="L88" s="453">
        <v>0</v>
      </c>
      <c r="M88" s="453">
        <v>0</v>
      </c>
      <c r="N88" s="453">
        <v>0</v>
      </c>
      <c r="O88" s="453">
        <v>0</v>
      </c>
      <c r="P88" s="453">
        <v>0</v>
      </c>
      <c r="Q88" s="453">
        <v>0</v>
      </c>
      <c r="R88" s="453">
        <v>0</v>
      </c>
      <c r="S88" s="453">
        <v>0</v>
      </c>
      <c r="T88" s="453">
        <v>0</v>
      </c>
      <c r="U88" s="453">
        <v>0</v>
      </c>
      <c r="V88" s="453">
        <v>0</v>
      </c>
      <c r="W88" s="453">
        <v>0</v>
      </c>
      <c r="X88" s="453">
        <v>-1.54</v>
      </c>
      <c r="Y88" s="453">
        <v>-1.54</v>
      </c>
      <c r="Z88" s="453">
        <v>-1.54</v>
      </c>
      <c r="AA88" s="453">
        <v>4.62</v>
      </c>
      <c r="AB88" s="453">
        <v>0</v>
      </c>
      <c r="AC88" s="453">
        <v>0</v>
      </c>
      <c r="AD88" s="453">
        <v>0</v>
      </c>
      <c r="AE88" s="453">
        <v>0</v>
      </c>
      <c r="AF88" s="453">
        <v>0</v>
      </c>
      <c r="AG88" s="453">
        <v>-18.72</v>
      </c>
      <c r="AH88" s="453">
        <v>0</v>
      </c>
      <c r="AI88" s="453">
        <v>0</v>
      </c>
      <c r="AJ88" s="453">
        <v>0</v>
      </c>
      <c r="AK88" s="453">
        <v>0</v>
      </c>
      <c r="AL88" s="453">
        <v>0</v>
      </c>
      <c r="AM88" s="453">
        <v>0</v>
      </c>
      <c r="AN88" s="453">
        <v>0</v>
      </c>
    </row>
    <row r="89" spans="1:40" outlineLevel="1" collapsed="1" x14ac:dyDescent="0.25">
      <c r="A89" s="452">
        <v>4195</v>
      </c>
      <c r="B89" t="s">
        <v>1346</v>
      </c>
      <c r="C89" t="s">
        <v>1347</v>
      </c>
      <c r="D89" t="s">
        <v>694</v>
      </c>
      <c r="E89" s="453">
        <f t="shared" si="18"/>
        <v>-10545.920000000002</v>
      </c>
      <c r="F89" s="453">
        <f t="shared" si="19"/>
        <v>-12472.93</v>
      </c>
      <c r="G89" s="453">
        <f t="shared" si="20"/>
        <v>-10959.18</v>
      </c>
      <c r="H89" s="453">
        <v>-549.45000000000005</v>
      </c>
      <c r="I89" s="453">
        <v>-693.04</v>
      </c>
      <c r="J89" s="453">
        <v>-1308.55</v>
      </c>
      <c r="K89" s="453">
        <v>-975.11000000000013</v>
      </c>
      <c r="L89" s="453">
        <v>-1372.19</v>
      </c>
      <c r="M89" s="453">
        <v>-1225.9899999999998</v>
      </c>
      <c r="N89" s="453">
        <v>-630.04</v>
      </c>
      <c r="O89" s="453">
        <v>-1254.8000000000002</v>
      </c>
      <c r="P89" s="453">
        <v>-1055.8899999999994</v>
      </c>
      <c r="Q89" s="453">
        <v>-342.55000000000109</v>
      </c>
      <c r="R89" s="453">
        <v>-208.02999999999884</v>
      </c>
      <c r="S89" s="453">
        <v>-930.28000000000065</v>
      </c>
      <c r="T89" s="453">
        <v>-499.17</v>
      </c>
      <c r="U89" s="453">
        <v>-550.59999999999991</v>
      </c>
      <c r="V89" s="453">
        <v>-324.08999999999992</v>
      </c>
      <c r="W89" s="453">
        <v>-740.53</v>
      </c>
      <c r="X89" s="453">
        <v>-1409.15</v>
      </c>
      <c r="Y89" s="453">
        <v>-516.80000000000018</v>
      </c>
      <c r="Z89" s="453">
        <v>-1223.1999999999998</v>
      </c>
      <c r="AA89" s="453">
        <v>-1012.3400000000001</v>
      </c>
      <c r="AB89" s="453">
        <v>-2099.5500000000002</v>
      </c>
      <c r="AC89" s="453">
        <v>-1668.3799999999992</v>
      </c>
      <c r="AD89" s="453">
        <v>-1774.5400000000009</v>
      </c>
      <c r="AE89" s="453">
        <v>-654.57999999999993</v>
      </c>
      <c r="AF89" s="453">
        <v>-926.68</v>
      </c>
      <c r="AG89" s="453">
        <v>-1041.7200000000003</v>
      </c>
      <c r="AH89" s="453">
        <v>-1428.58</v>
      </c>
      <c r="AI89" s="453">
        <v>-2008.4100000000003</v>
      </c>
      <c r="AJ89" s="453">
        <v>-1085.3699999999999</v>
      </c>
      <c r="AK89" s="453">
        <v>-1277.7600000000002</v>
      </c>
      <c r="AL89" s="453">
        <v>-932.34000000000015</v>
      </c>
      <c r="AM89" s="453">
        <v>-1062.0999999999985</v>
      </c>
      <c r="AN89" s="453">
        <v>-1196.2200000000012</v>
      </c>
    </row>
    <row r="90" spans="1:40" outlineLevel="1" collapsed="1" x14ac:dyDescent="0.25">
      <c r="A90" s="452">
        <v>4198</v>
      </c>
      <c r="B90" t="s">
        <v>1348</v>
      </c>
      <c r="C90" t="s">
        <v>1349</v>
      </c>
      <c r="D90" t="s">
        <v>694</v>
      </c>
      <c r="E90" s="453">
        <f t="shared" si="18"/>
        <v>-74.06</v>
      </c>
      <c r="F90" s="453">
        <f t="shared" si="19"/>
        <v>-115.06</v>
      </c>
      <c r="G90" s="453">
        <f t="shared" si="20"/>
        <v>-97.59</v>
      </c>
      <c r="H90" s="453">
        <v>0</v>
      </c>
      <c r="I90" s="453">
        <v>0</v>
      </c>
      <c r="J90" s="453">
        <v>0</v>
      </c>
      <c r="K90" s="453">
        <v>0</v>
      </c>
      <c r="L90" s="453">
        <v>0</v>
      </c>
      <c r="M90" s="453">
        <v>0</v>
      </c>
      <c r="N90" s="453">
        <v>-17.96</v>
      </c>
      <c r="O90" s="453">
        <v>-15.549999999999997</v>
      </c>
      <c r="P90" s="453">
        <v>-10.510000000000005</v>
      </c>
      <c r="Q90" s="453">
        <v>-8.3099999999999952</v>
      </c>
      <c r="R90" s="453">
        <v>0</v>
      </c>
      <c r="S90" s="453">
        <v>-21.730000000000004</v>
      </c>
      <c r="T90" s="453">
        <v>-0.69</v>
      </c>
      <c r="U90" s="453">
        <v>-8.8000000000000007</v>
      </c>
      <c r="V90" s="453">
        <v>-8.74</v>
      </c>
      <c r="W90" s="453">
        <v>-9.57</v>
      </c>
      <c r="X90" s="453">
        <v>-10.7</v>
      </c>
      <c r="Y90" s="453">
        <v>-8.4799999999999969</v>
      </c>
      <c r="Z90" s="453">
        <v>-15.160000000000004</v>
      </c>
      <c r="AA90" s="453">
        <v>-11.679999999999993</v>
      </c>
      <c r="AB90" s="453">
        <v>-9.1200000000000045</v>
      </c>
      <c r="AC90" s="453">
        <v>-14.909999999999997</v>
      </c>
      <c r="AD90" s="453">
        <v>-8.7600000000000051</v>
      </c>
      <c r="AE90" s="453">
        <v>-8.4500000000000028</v>
      </c>
      <c r="AF90" s="453">
        <v>-3.02</v>
      </c>
      <c r="AG90" s="453">
        <v>-11.280000000000001</v>
      </c>
      <c r="AH90" s="453">
        <v>-15.809999999999999</v>
      </c>
      <c r="AI90" s="453">
        <v>-11.11</v>
      </c>
      <c r="AJ90" s="453">
        <v>0</v>
      </c>
      <c r="AK90" s="453">
        <v>-19.939999999999998</v>
      </c>
      <c r="AL90" s="453">
        <v>-15.63000000000001</v>
      </c>
      <c r="AM90" s="453">
        <v>-12.61999999999999</v>
      </c>
      <c r="AN90" s="453">
        <v>-8.1800000000000068</v>
      </c>
    </row>
    <row r="91" spans="1:40" s="451" customFormat="1" x14ac:dyDescent="0.25">
      <c r="B91" s="451" t="s">
        <v>259</v>
      </c>
      <c r="C91" s="451" t="s">
        <v>258</v>
      </c>
      <c r="E91" s="460">
        <f t="shared" ref="E91:AN91" si="21">SUM(E68:E90)</f>
        <v>-3758984.2600000012</v>
      </c>
      <c r="F91" s="460">
        <f t="shared" si="21"/>
        <v>-4522351.0500000007</v>
      </c>
      <c r="G91" s="460">
        <f t="shared" si="21"/>
        <v>-3218917.77</v>
      </c>
      <c r="H91" s="460">
        <f t="shared" si="21"/>
        <v>-294629.01999999996</v>
      </c>
      <c r="I91" s="460">
        <f t="shared" si="21"/>
        <v>-251950.02000000005</v>
      </c>
      <c r="J91" s="460">
        <f t="shared" si="21"/>
        <v>-275874.7</v>
      </c>
      <c r="K91" s="460">
        <f t="shared" si="21"/>
        <v>-273985.07000000007</v>
      </c>
      <c r="L91" s="460">
        <f t="shared" si="21"/>
        <v>-306272.7699999999</v>
      </c>
      <c r="M91" s="460">
        <f t="shared" si="21"/>
        <v>-351396.17000000004</v>
      </c>
      <c r="N91" s="460">
        <f t="shared" si="21"/>
        <v>-295890.89</v>
      </c>
      <c r="O91" s="460">
        <f t="shared" si="21"/>
        <v>-274845.40999999992</v>
      </c>
      <c r="P91" s="460">
        <f t="shared" si="21"/>
        <v>-337600.95</v>
      </c>
      <c r="Q91" s="460">
        <f t="shared" si="21"/>
        <v>-331694.82999999996</v>
      </c>
      <c r="R91" s="460">
        <f t="shared" si="21"/>
        <v>-342471.45999999996</v>
      </c>
      <c r="S91" s="460">
        <f t="shared" si="21"/>
        <v>-422372.97000000015</v>
      </c>
      <c r="T91" s="460">
        <f t="shared" si="21"/>
        <v>-337829.57</v>
      </c>
      <c r="U91" s="460">
        <f t="shared" si="21"/>
        <v>-340193.95999999996</v>
      </c>
      <c r="V91" s="460">
        <f t="shared" si="21"/>
        <v>-365806.2099999999</v>
      </c>
      <c r="W91" s="460">
        <f t="shared" si="21"/>
        <v>-366035.86999999994</v>
      </c>
      <c r="X91" s="460">
        <f t="shared" si="21"/>
        <v>-384841.01</v>
      </c>
      <c r="Y91" s="460">
        <f t="shared" si="21"/>
        <v>-401951.87999999983</v>
      </c>
      <c r="Z91" s="460">
        <f t="shared" si="21"/>
        <v>-408640.78999999975</v>
      </c>
      <c r="AA91" s="460">
        <f t="shared" si="21"/>
        <v>-388099.49000000022</v>
      </c>
      <c r="AB91" s="460">
        <f t="shared" si="21"/>
        <v>-381576.1700000001</v>
      </c>
      <c r="AC91" s="460">
        <f t="shared" si="21"/>
        <v>-392607.58999999979</v>
      </c>
      <c r="AD91" s="460">
        <f t="shared" si="21"/>
        <v>-360625.84999999992</v>
      </c>
      <c r="AE91" s="460">
        <f t="shared" si="21"/>
        <v>-394142.66000000027</v>
      </c>
      <c r="AF91" s="460">
        <f t="shared" si="21"/>
        <v>-354778.3</v>
      </c>
      <c r="AG91" s="460">
        <f t="shared" si="21"/>
        <v>-342090.85999999993</v>
      </c>
      <c r="AH91" s="460">
        <f t="shared" si="21"/>
        <v>-361470.42</v>
      </c>
      <c r="AI91" s="460">
        <f t="shared" si="21"/>
        <v>-364211.21999999991</v>
      </c>
      <c r="AJ91" s="460">
        <f t="shared" si="21"/>
        <v>-356703.10999999987</v>
      </c>
      <c r="AK91" s="460">
        <f t="shared" si="21"/>
        <v>-349056.43999999994</v>
      </c>
      <c r="AL91" s="460">
        <f t="shared" si="21"/>
        <v>-403349.28</v>
      </c>
      <c r="AM91" s="460">
        <f t="shared" si="21"/>
        <v>-338516.16999999987</v>
      </c>
      <c r="AN91" s="460">
        <f t="shared" si="21"/>
        <v>-348741.97000000003</v>
      </c>
    </row>
    <row r="92" spans="1:40" x14ac:dyDescent="0.25">
      <c r="B92" t="s">
        <v>1128</v>
      </c>
      <c r="C92" t="s">
        <v>1129</v>
      </c>
      <c r="E92" s="457">
        <f t="shared" ref="E92:AN92" si="22">(E91)/(E44)</f>
        <v>-0.23938335288052964</v>
      </c>
      <c r="F92" s="457">
        <f t="shared" si="22"/>
        <v>-0.26178087467179068</v>
      </c>
      <c r="G92" s="457">
        <f t="shared" si="22"/>
        <v>-0.27692122595647456</v>
      </c>
      <c r="H92" s="457">
        <f t="shared" si="22"/>
        <v>-0.26318448985925696</v>
      </c>
      <c r="I92" s="457">
        <f t="shared" si="22"/>
        <v>-0.20343108233070431</v>
      </c>
      <c r="J92" s="457">
        <f t="shared" si="22"/>
        <v>-0.18949293031073342</v>
      </c>
      <c r="K92" s="457">
        <f t="shared" si="22"/>
        <v>-0.20689811435092037</v>
      </c>
      <c r="L92" s="457">
        <f t="shared" si="22"/>
        <v>-0.25069431843017764</v>
      </c>
      <c r="M92" s="457">
        <f t="shared" si="22"/>
        <v>-0.25518948803056762</v>
      </c>
      <c r="N92" s="457">
        <f t="shared" si="22"/>
        <v>-0.24227306093786574</v>
      </c>
      <c r="O92" s="457">
        <f t="shared" si="22"/>
        <v>-0.1970173858112497</v>
      </c>
      <c r="P92" s="457">
        <f t="shared" si="22"/>
        <v>-0.25480395811475498</v>
      </c>
      <c r="Q92" s="457">
        <f t="shared" si="22"/>
        <v>-0.30328517921068654</v>
      </c>
      <c r="R92" s="457">
        <f t="shared" si="22"/>
        <v>-0.25709300257492784</v>
      </c>
      <c r="S92" s="457">
        <f t="shared" si="22"/>
        <v>-0.26415791935708266</v>
      </c>
      <c r="T92" s="457">
        <f t="shared" si="22"/>
        <v>-0.24548280508224099</v>
      </c>
      <c r="U92" s="457">
        <f t="shared" si="22"/>
        <v>-0.24101784165895201</v>
      </c>
      <c r="V92" s="457">
        <f t="shared" si="22"/>
        <v>-0.21943483065329447</v>
      </c>
      <c r="W92" s="457">
        <f t="shared" si="22"/>
        <v>-0.26985476991712898</v>
      </c>
      <c r="X92" s="457">
        <f t="shared" si="22"/>
        <v>-0.2155598456056938</v>
      </c>
      <c r="Y92" s="457">
        <f t="shared" si="22"/>
        <v>-0.33043487253662845</v>
      </c>
      <c r="Z92" s="457">
        <f t="shared" si="22"/>
        <v>-0.27527991171766564</v>
      </c>
      <c r="AA92" s="457">
        <f t="shared" si="22"/>
        <v>-0.30069820417233489</v>
      </c>
      <c r="AB92" s="457">
        <f t="shared" si="22"/>
        <v>-0.26311917710323574</v>
      </c>
      <c r="AC92" s="457">
        <f t="shared" si="22"/>
        <v>-0.28582194475752476</v>
      </c>
      <c r="AD92" s="457">
        <f t="shared" si="22"/>
        <v>-0.27034905716227464</v>
      </c>
      <c r="AE92" s="457">
        <f t="shared" si="22"/>
        <v>-0.25767634513512355</v>
      </c>
      <c r="AF92" s="457">
        <f t="shared" si="22"/>
        <v>-0.25713948355971145</v>
      </c>
      <c r="AG92" s="457">
        <f t="shared" si="22"/>
        <v>-0.2308778058881959</v>
      </c>
      <c r="AH92" s="457">
        <f t="shared" si="22"/>
        <v>-0.31229922549156347</v>
      </c>
      <c r="AI92" s="457">
        <f t="shared" si="22"/>
        <v>-0.26547320916630479</v>
      </c>
      <c r="AJ92" s="457">
        <f t="shared" si="22"/>
        <v>-0.23426917854803411</v>
      </c>
      <c r="AK92" s="457">
        <f t="shared" si="22"/>
        <v>-0.32759190735562088</v>
      </c>
      <c r="AL92" s="457">
        <f t="shared" si="22"/>
        <v>-0.35931097047701244</v>
      </c>
      <c r="AM92" s="457">
        <f t="shared" si="22"/>
        <v>-0.24401735333918612</v>
      </c>
      <c r="AN92" s="457">
        <f t="shared" si="22"/>
        <v>-0.30721037727782902</v>
      </c>
    </row>
    <row r="94" spans="1:40" outlineLevel="1" collapsed="1" x14ac:dyDescent="0.25">
      <c r="A94" s="452">
        <v>2150</v>
      </c>
      <c r="B94" t="s">
        <v>1350</v>
      </c>
      <c r="C94" t="s">
        <v>1351</v>
      </c>
      <c r="D94" t="s">
        <v>1352</v>
      </c>
      <c r="E94" s="453">
        <f t="shared" ref="E94:E157" si="23">S94+R94+Q94+P94+O94+N94+M94+L94+K94+J94+I94+H94</f>
        <v>0</v>
      </c>
      <c r="F94" s="453">
        <f t="shared" ref="F94:F157" si="24">AE94+AD94+AC94+AB94+AA94+Z94+Y94+X94+W94+V94+U94+T94</f>
        <v>0</v>
      </c>
      <c r="G94" s="453">
        <f t="shared" ref="G94:G157" si="25">AN94+AM94+AL94+AK94+AJ94+AI94+AH94+AG94+AF94</f>
        <v>-51.15</v>
      </c>
      <c r="H94" s="453">
        <v>0</v>
      </c>
      <c r="I94" s="453">
        <v>0</v>
      </c>
      <c r="J94" s="453">
        <v>0</v>
      </c>
      <c r="K94" s="453">
        <v>0</v>
      </c>
      <c r="L94" s="453">
        <v>0</v>
      </c>
      <c r="M94" s="453">
        <v>0</v>
      </c>
      <c r="N94" s="453">
        <v>0</v>
      </c>
      <c r="O94" s="453">
        <v>0</v>
      </c>
      <c r="P94" s="453">
        <v>0</v>
      </c>
      <c r="Q94" s="453">
        <v>0</v>
      </c>
      <c r="R94" s="453">
        <v>0</v>
      </c>
      <c r="S94" s="453">
        <v>0</v>
      </c>
      <c r="T94" s="453">
        <v>0</v>
      </c>
      <c r="U94" s="453">
        <v>0</v>
      </c>
      <c r="V94" s="453">
        <v>0</v>
      </c>
      <c r="W94" s="453">
        <v>0</v>
      </c>
      <c r="X94" s="453">
        <v>0</v>
      </c>
      <c r="Y94" s="453">
        <v>0</v>
      </c>
      <c r="Z94" s="453">
        <v>0</v>
      </c>
      <c r="AA94" s="453">
        <v>0</v>
      </c>
      <c r="AB94" s="453">
        <v>0</v>
      </c>
      <c r="AC94" s="453">
        <v>0</v>
      </c>
      <c r="AD94" s="453">
        <v>0</v>
      </c>
      <c r="AE94" s="453">
        <v>0</v>
      </c>
      <c r="AF94" s="453">
        <v>-51.15</v>
      </c>
      <c r="AG94" s="453">
        <v>0</v>
      </c>
      <c r="AH94" s="453">
        <v>0</v>
      </c>
      <c r="AI94" s="453">
        <v>0</v>
      </c>
      <c r="AJ94" s="453">
        <v>0</v>
      </c>
      <c r="AK94" s="453">
        <v>0</v>
      </c>
      <c r="AL94" s="453">
        <v>0</v>
      </c>
      <c r="AM94" s="453">
        <v>0</v>
      </c>
      <c r="AN94" s="453">
        <v>0</v>
      </c>
    </row>
    <row r="95" spans="1:40" outlineLevel="1" collapsed="1" x14ac:dyDescent="0.25">
      <c r="A95" s="452">
        <v>2300</v>
      </c>
      <c r="B95" t="s">
        <v>1353</v>
      </c>
      <c r="C95" t="s">
        <v>1354</v>
      </c>
      <c r="D95" t="s">
        <v>1352</v>
      </c>
      <c r="E95" s="453">
        <f t="shared" si="23"/>
        <v>-7521.42</v>
      </c>
      <c r="F95" s="453">
        <f t="shared" si="24"/>
        <v>-23561.79</v>
      </c>
      <c r="G95" s="453">
        <f t="shared" si="25"/>
        <v>-3060.7099999999996</v>
      </c>
      <c r="H95" s="453">
        <v>0</v>
      </c>
      <c r="I95" s="453">
        <v>-1.45</v>
      </c>
      <c r="J95" s="453">
        <v>-1397.5</v>
      </c>
      <c r="K95" s="453">
        <v>0</v>
      </c>
      <c r="L95" s="453">
        <v>0</v>
      </c>
      <c r="M95" s="453">
        <v>0</v>
      </c>
      <c r="N95" s="453">
        <v>0</v>
      </c>
      <c r="O95" s="453">
        <v>-2368.25</v>
      </c>
      <c r="P95" s="453">
        <v>-681.51000000000022</v>
      </c>
      <c r="Q95" s="453">
        <v>-2804.16</v>
      </c>
      <c r="R95" s="453">
        <v>0</v>
      </c>
      <c r="S95" s="453">
        <v>-268.55000000000018</v>
      </c>
      <c r="T95" s="453">
        <v>-436.78</v>
      </c>
      <c r="U95" s="453">
        <v>0</v>
      </c>
      <c r="V95" s="453">
        <v>-800</v>
      </c>
      <c r="W95" s="453">
        <v>0</v>
      </c>
      <c r="X95" s="453">
        <v>0</v>
      </c>
      <c r="Y95" s="453">
        <v>-5360</v>
      </c>
      <c r="Z95" s="453">
        <v>-564.90000000000055</v>
      </c>
      <c r="AA95" s="453">
        <v>-6653.0399999999991</v>
      </c>
      <c r="AB95" s="453">
        <v>0</v>
      </c>
      <c r="AC95" s="453">
        <v>0</v>
      </c>
      <c r="AD95" s="453">
        <v>-1473.5100000000002</v>
      </c>
      <c r="AE95" s="453">
        <v>-8273.5600000000013</v>
      </c>
      <c r="AF95" s="453">
        <v>0</v>
      </c>
      <c r="AG95" s="453">
        <v>-93.68</v>
      </c>
      <c r="AH95" s="453">
        <v>-1999.9999999999998</v>
      </c>
      <c r="AI95" s="453">
        <v>0</v>
      </c>
      <c r="AJ95" s="453">
        <v>0</v>
      </c>
      <c r="AK95" s="453">
        <v>0</v>
      </c>
      <c r="AL95" s="453">
        <v>0</v>
      </c>
      <c r="AM95" s="453">
        <v>0</v>
      </c>
      <c r="AN95" s="453">
        <v>-967.0300000000002</v>
      </c>
    </row>
    <row r="96" spans="1:40" outlineLevel="1" collapsed="1" x14ac:dyDescent="0.25">
      <c r="A96" s="452">
        <v>2310</v>
      </c>
      <c r="B96" t="s">
        <v>1355</v>
      </c>
      <c r="C96" t="s">
        <v>1356</v>
      </c>
      <c r="D96" t="s">
        <v>1352</v>
      </c>
      <c r="E96" s="453">
        <f t="shared" si="23"/>
        <v>-32027</v>
      </c>
      <c r="F96" s="453">
        <f t="shared" si="24"/>
        <v>-16825</v>
      </c>
      <c r="G96" s="453">
        <f t="shared" si="25"/>
        <v>-11563</v>
      </c>
      <c r="H96" s="453">
        <v>0</v>
      </c>
      <c r="I96" s="453">
        <v>-9486</v>
      </c>
      <c r="J96" s="453">
        <v>0</v>
      </c>
      <c r="K96" s="453">
        <v>0</v>
      </c>
      <c r="L96" s="453">
        <v>0</v>
      </c>
      <c r="M96" s="453">
        <v>0</v>
      </c>
      <c r="N96" s="453">
        <v>0</v>
      </c>
      <c r="O96" s="453">
        <v>0</v>
      </c>
      <c r="P96" s="453">
        <v>0</v>
      </c>
      <c r="Q96" s="453">
        <v>0</v>
      </c>
      <c r="R96" s="453">
        <v>0</v>
      </c>
      <c r="S96" s="453">
        <v>-22541</v>
      </c>
      <c r="T96" s="453">
        <v>-1556</v>
      </c>
      <c r="U96" s="453">
        <v>-3010</v>
      </c>
      <c r="V96" s="453">
        <v>0</v>
      </c>
      <c r="W96" s="453">
        <v>-1535</v>
      </c>
      <c r="X96" s="453">
        <v>0</v>
      </c>
      <c r="Y96" s="453">
        <v>0</v>
      </c>
      <c r="Z96" s="453">
        <v>-4391</v>
      </c>
      <c r="AA96" s="453">
        <v>0</v>
      </c>
      <c r="AB96" s="453">
        <v>-6329</v>
      </c>
      <c r="AC96" s="453">
        <v>0</v>
      </c>
      <c r="AD96" s="453">
        <v>0</v>
      </c>
      <c r="AE96" s="453">
        <v>-4</v>
      </c>
      <c r="AF96" s="453">
        <v>-4318</v>
      </c>
      <c r="AG96" s="453">
        <v>0</v>
      </c>
      <c r="AH96" s="453">
        <v>-7245</v>
      </c>
      <c r="AI96" s="453">
        <v>0</v>
      </c>
      <c r="AJ96" s="453">
        <v>0</v>
      </c>
      <c r="AK96" s="453">
        <v>0</v>
      </c>
      <c r="AL96" s="453">
        <v>0</v>
      </c>
      <c r="AM96" s="453">
        <v>0</v>
      </c>
      <c r="AN96" s="453">
        <v>0</v>
      </c>
    </row>
    <row r="97" spans="1:40" outlineLevel="1" collapsed="1" x14ac:dyDescent="0.25">
      <c r="A97" s="452">
        <v>2312</v>
      </c>
      <c r="B97" t="s">
        <v>1357</v>
      </c>
      <c r="C97" t="s">
        <v>1358</v>
      </c>
      <c r="D97" t="s">
        <v>1352</v>
      </c>
      <c r="E97" s="453">
        <f t="shared" si="23"/>
        <v>0</v>
      </c>
      <c r="F97" s="453">
        <f t="shared" si="24"/>
        <v>-102680</v>
      </c>
      <c r="G97" s="453">
        <f t="shared" si="25"/>
        <v>0</v>
      </c>
      <c r="H97" s="453">
        <v>0</v>
      </c>
      <c r="I97" s="453">
        <v>0</v>
      </c>
      <c r="J97" s="453">
        <v>0</v>
      </c>
      <c r="K97" s="453">
        <v>0</v>
      </c>
      <c r="L97" s="453">
        <v>0</v>
      </c>
      <c r="M97" s="453">
        <v>0</v>
      </c>
      <c r="N97" s="453">
        <v>0</v>
      </c>
      <c r="O97" s="453">
        <v>0</v>
      </c>
      <c r="P97" s="453">
        <v>0</v>
      </c>
      <c r="Q97" s="453">
        <v>0</v>
      </c>
      <c r="R97" s="453">
        <v>0</v>
      </c>
      <c r="S97" s="453">
        <v>0</v>
      </c>
      <c r="T97" s="453">
        <v>0</v>
      </c>
      <c r="U97" s="453">
        <v>0</v>
      </c>
      <c r="V97" s="453">
        <v>0</v>
      </c>
      <c r="W97" s="453">
        <v>0</v>
      </c>
      <c r="X97" s="453">
        <v>0</v>
      </c>
      <c r="Y97" s="453">
        <v>0</v>
      </c>
      <c r="Z97" s="453">
        <v>0</v>
      </c>
      <c r="AA97" s="453">
        <v>0</v>
      </c>
      <c r="AB97" s="453">
        <v>0</v>
      </c>
      <c r="AC97" s="453">
        <v>-102680</v>
      </c>
      <c r="AD97" s="453">
        <v>0</v>
      </c>
      <c r="AE97" s="453">
        <v>0</v>
      </c>
      <c r="AF97" s="453">
        <v>0</v>
      </c>
      <c r="AG97" s="453">
        <v>0</v>
      </c>
      <c r="AH97" s="453">
        <v>0</v>
      </c>
      <c r="AI97" s="453">
        <v>0</v>
      </c>
      <c r="AJ97" s="453">
        <v>0</v>
      </c>
      <c r="AK97" s="453">
        <v>0</v>
      </c>
      <c r="AL97" s="453">
        <v>0</v>
      </c>
      <c r="AM97" s="453">
        <v>0</v>
      </c>
      <c r="AN97" s="453">
        <v>0</v>
      </c>
    </row>
    <row r="98" spans="1:40" outlineLevel="1" collapsed="1" x14ac:dyDescent="0.25">
      <c r="A98" s="452">
        <v>2325</v>
      </c>
      <c r="B98" t="s">
        <v>1359</v>
      </c>
      <c r="C98" t="s">
        <v>1360</v>
      </c>
      <c r="D98" t="s">
        <v>1352</v>
      </c>
      <c r="E98" s="453">
        <f t="shared" si="23"/>
        <v>0</v>
      </c>
      <c r="F98" s="453">
        <f t="shared" si="24"/>
        <v>0</v>
      </c>
      <c r="G98" s="453">
        <f t="shared" si="25"/>
        <v>-2774.9</v>
      </c>
      <c r="H98" s="453">
        <v>0</v>
      </c>
      <c r="I98" s="453">
        <v>0</v>
      </c>
      <c r="J98" s="453">
        <v>0</v>
      </c>
      <c r="K98" s="453">
        <v>0</v>
      </c>
      <c r="L98" s="453">
        <v>0</v>
      </c>
      <c r="M98" s="453">
        <v>0</v>
      </c>
      <c r="N98" s="453">
        <v>0</v>
      </c>
      <c r="O98" s="453">
        <v>0</v>
      </c>
      <c r="P98" s="453">
        <v>0</v>
      </c>
      <c r="Q98" s="453">
        <v>0</v>
      </c>
      <c r="R98" s="453">
        <v>0</v>
      </c>
      <c r="S98" s="453">
        <v>0</v>
      </c>
      <c r="T98" s="453">
        <v>0</v>
      </c>
      <c r="U98" s="453">
        <v>0</v>
      </c>
      <c r="V98" s="453">
        <v>0</v>
      </c>
      <c r="W98" s="453">
        <v>0</v>
      </c>
      <c r="X98" s="453">
        <v>0</v>
      </c>
      <c r="Y98" s="453">
        <v>0</v>
      </c>
      <c r="Z98" s="453">
        <v>0</v>
      </c>
      <c r="AA98" s="453">
        <v>0</v>
      </c>
      <c r="AB98" s="453">
        <v>0</v>
      </c>
      <c r="AC98" s="453">
        <v>0</v>
      </c>
      <c r="AD98" s="453">
        <v>0</v>
      </c>
      <c r="AE98" s="453">
        <v>0</v>
      </c>
      <c r="AF98" s="453">
        <v>0</v>
      </c>
      <c r="AG98" s="453">
        <v>0</v>
      </c>
      <c r="AH98" s="453">
        <v>-2867.15</v>
      </c>
      <c r="AI98" s="453">
        <v>0</v>
      </c>
      <c r="AJ98" s="453">
        <v>0</v>
      </c>
      <c r="AK98" s="453">
        <v>92.25</v>
      </c>
      <c r="AL98" s="453">
        <v>0</v>
      </c>
      <c r="AM98" s="453">
        <v>0</v>
      </c>
      <c r="AN98" s="453">
        <v>0</v>
      </c>
    </row>
    <row r="99" spans="1:40" outlineLevel="1" collapsed="1" x14ac:dyDescent="0.25">
      <c r="A99" s="452">
        <v>2350</v>
      </c>
      <c r="B99" t="s">
        <v>1361</v>
      </c>
      <c r="C99" t="s">
        <v>1362</v>
      </c>
      <c r="D99" t="s">
        <v>1352</v>
      </c>
      <c r="E99" s="453">
        <f t="shared" si="23"/>
        <v>-8739.2900000000009</v>
      </c>
      <c r="F99" s="453">
        <f t="shared" si="24"/>
        <v>-20387.509999999998</v>
      </c>
      <c r="G99" s="453">
        <f t="shared" si="25"/>
        <v>-2444.62</v>
      </c>
      <c r="H99" s="453">
        <v>-104.5</v>
      </c>
      <c r="I99" s="453">
        <v>-1445.5</v>
      </c>
      <c r="J99" s="453">
        <v>-995.5</v>
      </c>
      <c r="K99" s="453">
        <v>-104.5</v>
      </c>
      <c r="L99" s="453">
        <v>104.5</v>
      </c>
      <c r="M99" s="453">
        <v>0</v>
      </c>
      <c r="N99" s="453">
        <v>-73.739999999999782</v>
      </c>
      <c r="O99" s="453">
        <v>0</v>
      </c>
      <c r="P99" s="453">
        <v>0</v>
      </c>
      <c r="Q99" s="453">
        <v>0</v>
      </c>
      <c r="R99" s="453">
        <v>-283.22000000000025</v>
      </c>
      <c r="S99" s="453">
        <v>-5836.8300000000008</v>
      </c>
      <c r="T99" s="453">
        <v>-657.5</v>
      </c>
      <c r="U99" s="453">
        <v>-705</v>
      </c>
      <c r="V99" s="453">
        <v>-1200</v>
      </c>
      <c r="W99" s="453">
        <v>-806</v>
      </c>
      <c r="X99" s="453">
        <v>-12339.3</v>
      </c>
      <c r="Y99" s="453">
        <v>-1943.5</v>
      </c>
      <c r="Z99" s="453">
        <v>0</v>
      </c>
      <c r="AA99" s="453">
        <v>-28.709999999999127</v>
      </c>
      <c r="AB99" s="453">
        <v>0</v>
      </c>
      <c r="AC99" s="453">
        <v>0</v>
      </c>
      <c r="AD99" s="453">
        <v>0</v>
      </c>
      <c r="AE99" s="453">
        <v>-2707.5</v>
      </c>
      <c r="AF99" s="453">
        <v>-1399.5</v>
      </c>
      <c r="AG99" s="453">
        <v>-926.5</v>
      </c>
      <c r="AH99" s="453">
        <v>0</v>
      </c>
      <c r="AI99" s="453">
        <v>-20.880000000000109</v>
      </c>
      <c r="AJ99" s="453">
        <v>0</v>
      </c>
      <c r="AK99" s="453">
        <v>-29.400000000000091</v>
      </c>
      <c r="AL99" s="453">
        <v>0</v>
      </c>
      <c r="AM99" s="453">
        <v>-68.339999999999691</v>
      </c>
      <c r="AN99" s="453">
        <v>0</v>
      </c>
    </row>
    <row r="100" spans="1:40" outlineLevel="1" collapsed="1" x14ac:dyDescent="0.25">
      <c r="A100" s="452">
        <v>2383</v>
      </c>
      <c r="B100" t="s">
        <v>1363</v>
      </c>
      <c r="C100" t="s">
        <v>1364</v>
      </c>
      <c r="D100" t="s">
        <v>1352</v>
      </c>
      <c r="E100" s="453">
        <f t="shared" si="23"/>
        <v>-1356</v>
      </c>
      <c r="F100" s="453">
        <f t="shared" si="24"/>
        <v>-706</v>
      </c>
      <c r="G100" s="453">
        <f t="shared" si="25"/>
        <v>-406</v>
      </c>
      <c r="H100" s="453">
        <v>0</v>
      </c>
      <c r="I100" s="453">
        <v>-528</v>
      </c>
      <c r="J100" s="453">
        <v>0</v>
      </c>
      <c r="K100" s="453">
        <v>0</v>
      </c>
      <c r="L100" s="453">
        <v>0</v>
      </c>
      <c r="M100" s="453">
        <v>0</v>
      </c>
      <c r="N100" s="453">
        <v>-78</v>
      </c>
      <c r="O100" s="453">
        <v>0</v>
      </c>
      <c r="P100" s="453">
        <v>0</v>
      </c>
      <c r="Q100" s="453">
        <v>0</v>
      </c>
      <c r="R100" s="453">
        <v>0</v>
      </c>
      <c r="S100" s="453">
        <v>-750</v>
      </c>
      <c r="T100" s="453">
        <v>-78</v>
      </c>
      <c r="U100" s="453">
        <v>-350</v>
      </c>
      <c r="V100" s="453">
        <v>0</v>
      </c>
      <c r="W100" s="453">
        <v>0</v>
      </c>
      <c r="X100" s="453">
        <v>0</v>
      </c>
      <c r="Y100" s="453">
        <v>0</v>
      </c>
      <c r="Z100" s="453">
        <v>-78</v>
      </c>
      <c r="AA100" s="453">
        <v>0</v>
      </c>
      <c r="AB100" s="453">
        <v>0</v>
      </c>
      <c r="AC100" s="453">
        <v>-200</v>
      </c>
      <c r="AD100" s="453">
        <v>0</v>
      </c>
      <c r="AE100" s="453">
        <v>0</v>
      </c>
      <c r="AF100" s="453">
        <v>-78</v>
      </c>
      <c r="AG100" s="453">
        <v>0</v>
      </c>
      <c r="AH100" s="453">
        <v>0</v>
      </c>
      <c r="AI100" s="453">
        <v>0</v>
      </c>
      <c r="AJ100" s="453">
        <v>0</v>
      </c>
      <c r="AK100" s="453">
        <v>0</v>
      </c>
      <c r="AL100" s="453">
        <v>-328</v>
      </c>
      <c r="AM100" s="453">
        <v>0</v>
      </c>
      <c r="AN100" s="453">
        <v>0</v>
      </c>
    </row>
    <row r="101" spans="1:40" outlineLevel="1" collapsed="1" x14ac:dyDescent="0.25">
      <c r="A101" s="452">
        <v>2406</v>
      </c>
      <c r="B101" t="s">
        <v>1365</v>
      </c>
      <c r="C101" t="s">
        <v>1366</v>
      </c>
      <c r="D101" t="s">
        <v>1352</v>
      </c>
      <c r="E101" s="453">
        <f t="shared" si="23"/>
        <v>0</v>
      </c>
      <c r="F101" s="453">
        <f t="shared" si="24"/>
        <v>0</v>
      </c>
      <c r="G101" s="453">
        <f t="shared" si="25"/>
        <v>-90.78</v>
      </c>
      <c r="H101" s="453">
        <v>0</v>
      </c>
      <c r="I101" s="453">
        <v>0</v>
      </c>
      <c r="J101" s="453">
        <v>0</v>
      </c>
      <c r="K101" s="453">
        <v>0</v>
      </c>
      <c r="L101" s="453">
        <v>0</v>
      </c>
      <c r="M101" s="453">
        <v>0</v>
      </c>
      <c r="N101" s="453">
        <v>0</v>
      </c>
      <c r="O101" s="453">
        <v>0</v>
      </c>
      <c r="P101" s="453">
        <v>0</v>
      </c>
      <c r="Q101" s="453">
        <v>0</v>
      </c>
      <c r="R101" s="453">
        <v>0</v>
      </c>
      <c r="S101" s="453">
        <v>0</v>
      </c>
      <c r="T101" s="453">
        <v>0</v>
      </c>
      <c r="U101" s="453">
        <v>0</v>
      </c>
      <c r="V101" s="453">
        <v>0</v>
      </c>
      <c r="W101" s="453">
        <v>0</v>
      </c>
      <c r="X101" s="453">
        <v>0</v>
      </c>
      <c r="Y101" s="453">
        <v>0</v>
      </c>
      <c r="Z101" s="453">
        <v>0</v>
      </c>
      <c r="AA101" s="453">
        <v>0</v>
      </c>
      <c r="AB101" s="453">
        <v>0</v>
      </c>
      <c r="AC101" s="453">
        <v>0</v>
      </c>
      <c r="AD101" s="453">
        <v>0</v>
      </c>
      <c r="AE101" s="453">
        <v>0</v>
      </c>
      <c r="AF101" s="453">
        <v>0</v>
      </c>
      <c r="AG101" s="453">
        <v>0</v>
      </c>
      <c r="AH101" s="453">
        <v>-90.78</v>
      </c>
      <c r="AI101" s="453">
        <v>0</v>
      </c>
      <c r="AJ101" s="453">
        <v>0</v>
      </c>
      <c r="AK101" s="453">
        <v>0</v>
      </c>
      <c r="AL101" s="453">
        <v>0</v>
      </c>
      <c r="AM101" s="453">
        <v>0</v>
      </c>
      <c r="AN101" s="453">
        <v>0</v>
      </c>
    </row>
    <row r="102" spans="1:40" outlineLevel="1" collapsed="1" x14ac:dyDescent="0.25">
      <c r="A102" s="452">
        <v>2450</v>
      </c>
      <c r="B102" t="s">
        <v>1367</v>
      </c>
      <c r="C102" t="s">
        <v>1368</v>
      </c>
      <c r="D102" t="s">
        <v>1352</v>
      </c>
      <c r="E102" s="453">
        <f t="shared" si="23"/>
        <v>0</v>
      </c>
      <c r="F102" s="453">
        <f t="shared" si="24"/>
        <v>-3881</v>
      </c>
      <c r="G102" s="453">
        <f t="shared" si="25"/>
        <v>0</v>
      </c>
      <c r="H102" s="453">
        <v>0</v>
      </c>
      <c r="I102" s="453">
        <v>0</v>
      </c>
      <c r="J102" s="453">
        <v>0</v>
      </c>
      <c r="K102" s="453">
        <v>0</v>
      </c>
      <c r="L102" s="453">
        <v>0</v>
      </c>
      <c r="M102" s="453">
        <v>0</v>
      </c>
      <c r="N102" s="453">
        <v>0</v>
      </c>
      <c r="O102" s="453">
        <v>0</v>
      </c>
      <c r="P102" s="453">
        <v>0</v>
      </c>
      <c r="Q102" s="453">
        <v>0</v>
      </c>
      <c r="R102" s="453">
        <v>0</v>
      </c>
      <c r="S102" s="453">
        <v>0</v>
      </c>
      <c r="T102" s="453">
        <v>0</v>
      </c>
      <c r="U102" s="453">
        <v>0</v>
      </c>
      <c r="V102" s="453">
        <v>0</v>
      </c>
      <c r="W102" s="453">
        <v>0</v>
      </c>
      <c r="X102" s="453">
        <v>0</v>
      </c>
      <c r="Y102" s="453">
        <v>0</v>
      </c>
      <c r="Z102" s="453">
        <v>0</v>
      </c>
      <c r="AA102" s="453">
        <v>0</v>
      </c>
      <c r="AB102" s="453">
        <v>0</v>
      </c>
      <c r="AC102" s="453">
        <v>0</v>
      </c>
      <c r="AD102" s="453">
        <v>0</v>
      </c>
      <c r="AE102" s="453">
        <v>-3881</v>
      </c>
      <c r="AF102" s="453">
        <v>0</v>
      </c>
      <c r="AG102" s="453">
        <v>0</v>
      </c>
      <c r="AH102" s="453">
        <v>0</v>
      </c>
      <c r="AI102" s="453">
        <v>0</v>
      </c>
      <c r="AJ102" s="453">
        <v>0</v>
      </c>
      <c r="AK102" s="453">
        <v>0</v>
      </c>
      <c r="AL102" s="453">
        <v>0</v>
      </c>
      <c r="AM102" s="453">
        <v>0</v>
      </c>
      <c r="AN102" s="453">
        <v>0</v>
      </c>
    </row>
    <row r="103" spans="1:40" outlineLevel="1" collapsed="1" x14ac:dyDescent="0.25">
      <c r="A103" s="452">
        <v>2451</v>
      </c>
      <c r="B103" t="s">
        <v>1369</v>
      </c>
      <c r="C103" t="s">
        <v>1370</v>
      </c>
      <c r="D103" t="s">
        <v>1352</v>
      </c>
      <c r="E103" s="453">
        <f t="shared" si="23"/>
        <v>-27177</v>
      </c>
      <c r="F103" s="453">
        <f t="shared" si="24"/>
        <v>0</v>
      </c>
      <c r="G103" s="453">
        <f t="shared" si="25"/>
        <v>0</v>
      </c>
      <c r="H103" s="453">
        <v>0</v>
      </c>
      <c r="I103" s="453">
        <v>0</v>
      </c>
      <c r="J103" s="453">
        <v>0</v>
      </c>
      <c r="K103" s="453">
        <v>0</v>
      </c>
      <c r="L103" s="453">
        <v>0</v>
      </c>
      <c r="M103" s="453">
        <v>0</v>
      </c>
      <c r="N103" s="453">
        <v>0</v>
      </c>
      <c r="O103" s="453">
        <v>0</v>
      </c>
      <c r="P103" s="453">
        <v>0</v>
      </c>
      <c r="Q103" s="453">
        <v>0</v>
      </c>
      <c r="R103" s="453">
        <v>0</v>
      </c>
      <c r="S103" s="453">
        <v>-27177</v>
      </c>
      <c r="T103" s="453">
        <v>0</v>
      </c>
      <c r="U103" s="453">
        <v>0</v>
      </c>
      <c r="V103" s="453">
        <v>0</v>
      </c>
      <c r="W103" s="453">
        <v>0</v>
      </c>
      <c r="X103" s="453">
        <v>0</v>
      </c>
      <c r="Y103" s="453">
        <v>0</v>
      </c>
      <c r="Z103" s="453">
        <v>0</v>
      </c>
      <c r="AA103" s="453">
        <v>0</v>
      </c>
      <c r="AB103" s="453">
        <v>0</v>
      </c>
      <c r="AC103" s="453">
        <v>0</v>
      </c>
      <c r="AD103" s="453">
        <v>0</v>
      </c>
      <c r="AE103" s="453">
        <v>0</v>
      </c>
      <c r="AF103" s="453">
        <v>0</v>
      </c>
      <c r="AG103" s="453">
        <v>0</v>
      </c>
      <c r="AH103" s="453">
        <v>0</v>
      </c>
      <c r="AI103" s="453">
        <v>0</v>
      </c>
      <c r="AJ103" s="453">
        <v>0</v>
      </c>
      <c r="AK103" s="453">
        <v>0</v>
      </c>
      <c r="AL103" s="453">
        <v>0</v>
      </c>
      <c r="AM103" s="453">
        <v>0</v>
      </c>
      <c r="AN103" s="453">
        <v>0</v>
      </c>
    </row>
    <row r="104" spans="1:40" outlineLevel="1" collapsed="1" x14ac:dyDescent="0.25">
      <c r="A104" s="452">
        <v>4210</v>
      </c>
      <c r="B104" t="s">
        <v>1371</v>
      </c>
      <c r="C104" t="s">
        <v>1372</v>
      </c>
      <c r="D104" t="s">
        <v>1373</v>
      </c>
      <c r="E104" s="453">
        <f t="shared" si="23"/>
        <v>-198000</v>
      </c>
      <c r="F104" s="453">
        <f t="shared" si="24"/>
        <v>-198000</v>
      </c>
      <c r="G104" s="453">
        <f t="shared" si="25"/>
        <v>-148500</v>
      </c>
      <c r="H104" s="453">
        <v>-16500</v>
      </c>
      <c r="I104" s="453">
        <v>-16500</v>
      </c>
      <c r="J104" s="453">
        <v>-16500</v>
      </c>
      <c r="K104" s="453">
        <v>-16500</v>
      </c>
      <c r="L104" s="453">
        <v>-16500</v>
      </c>
      <c r="M104" s="453">
        <v>-16500</v>
      </c>
      <c r="N104" s="453">
        <v>-16500</v>
      </c>
      <c r="O104" s="453">
        <v>-16500</v>
      </c>
      <c r="P104" s="453">
        <v>-16500</v>
      </c>
      <c r="Q104" s="453">
        <v>-16500</v>
      </c>
      <c r="R104" s="453">
        <v>-16500</v>
      </c>
      <c r="S104" s="453">
        <v>-16500</v>
      </c>
      <c r="T104" s="453">
        <v>-16500</v>
      </c>
      <c r="U104" s="453">
        <v>-16500</v>
      </c>
      <c r="V104" s="453">
        <v>-16500</v>
      </c>
      <c r="W104" s="453">
        <v>-16500</v>
      </c>
      <c r="X104" s="453">
        <v>-16500</v>
      </c>
      <c r="Y104" s="453">
        <v>-16500</v>
      </c>
      <c r="Z104" s="453">
        <v>-16500</v>
      </c>
      <c r="AA104" s="453">
        <v>-16500</v>
      </c>
      <c r="AB104" s="453">
        <v>-16500</v>
      </c>
      <c r="AC104" s="453">
        <v>-16500</v>
      </c>
      <c r="AD104" s="453">
        <v>-16500</v>
      </c>
      <c r="AE104" s="453">
        <v>-16500</v>
      </c>
      <c r="AF104" s="453">
        <v>-16500</v>
      </c>
      <c r="AG104" s="453">
        <v>-16500</v>
      </c>
      <c r="AH104" s="453">
        <v>-16500</v>
      </c>
      <c r="AI104" s="453">
        <v>-16500</v>
      </c>
      <c r="AJ104" s="453">
        <v>-16500</v>
      </c>
      <c r="AK104" s="453">
        <v>-16500</v>
      </c>
      <c r="AL104" s="453">
        <v>-16500</v>
      </c>
      <c r="AM104" s="453">
        <v>-16500</v>
      </c>
      <c r="AN104" s="453">
        <v>-16500</v>
      </c>
    </row>
    <row r="105" spans="1:40" outlineLevel="1" collapsed="1" x14ac:dyDescent="0.25">
      <c r="A105" s="452">
        <v>4228</v>
      </c>
      <c r="B105" t="s">
        <v>1374</v>
      </c>
      <c r="C105" t="s">
        <v>1375</v>
      </c>
      <c r="D105" t="s">
        <v>1373</v>
      </c>
      <c r="E105" s="453">
        <f t="shared" si="23"/>
        <v>-11657.92</v>
      </c>
      <c r="F105" s="453">
        <f t="shared" si="24"/>
        <v>-11468.21</v>
      </c>
      <c r="G105" s="453">
        <f t="shared" si="25"/>
        <v>-9000</v>
      </c>
      <c r="H105" s="453">
        <v>-1000</v>
      </c>
      <c r="I105" s="453">
        <v>-1000</v>
      </c>
      <c r="J105" s="453">
        <v>-1000</v>
      </c>
      <c r="K105" s="453">
        <v>-1000</v>
      </c>
      <c r="L105" s="453">
        <v>-1000</v>
      </c>
      <c r="M105" s="453">
        <v>-1000</v>
      </c>
      <c r="N105" s="453">
        <v>-1000</v>
      </c>
      <c r="O105" s="453">
        <v>-1000</v>
      </c>
      <c r="P105" s="453">
        <v>-1000</v>
      </c>
      <c r="Q105" s="453">
        <v>-1000</v>
      </c>
      <c r="R105" s="453">
        <v>-1000</v>
      </c>
      <c r="S105" s="453">
        <v>-657.92000000000007</v>
      </c>
      <c r="T105" s="453">
        <v>-1000</v>
      </c>
      <c r="U105" s="453">
        <v>-1000</v>
      </c>
      <c r="V105" s="453">
        <v>-1000</v>
      </c>
      <c r="W105" s="453">
        <v>-1000</v>
      </c>
      <c r="X105" s="453">
        <v>-1000</v>
      </c>
      <c r="Y105" s="453">
        <v>-1000</v>
      </c>
      <c r="Z105" s="453">
        <v>-1000</v>
      </c>
      <c r="AA105" s="453">
        <v>-1000</v>
      </c>
      <c r="AB105" s="453">
        <v>-1000</v>
      </c>
      <c r="AC105" s="453">
        <v>-1000</v>
      </c>
      <c r="AD105" s="453">
        <v>-1000</v>
      </c>
      <c r="AE105" s="453">
        <v>-468.20999999999913</v>
      </c>
      <c r="AF105" s="453">
        <v>-1000</v>
      </c>
      <c r="AG105" s="453">
        <v>-1000</v>
      </c>
      <c r="AH105" s="453">
        <v>-1000</v>
      </c>
      <c r="AI105" s="453">
        <v>-1000</v>
      </c>
      <c r="AJ105" s="453">
        <v>-1000</v>
      </c>
      <c r="AK105" s="453">
        <v>-1000</v>
      </c>
      <c r="AL105" s="453">
        <v>-1000</v>
      </c>
      <c r="AM105" s="453">
        <v>-1000</v>
      </c>
      <c r="AN105" s="453">
        <v>-1000</v>
      </c>
    </row>
    <row r="106" spans="1:40" outlineLevel="1" collapsed="1" x14ac:dyDescent="0.25">
      <c r="A106" s="452">
        <v>4240</v>
      </c>
      <c r="B106" t="s">
        <v>1376</v>
      </c>
      <c r="C106" t="s">
        <v>1377</v>
      </c>
      <c r="D106" t="s">
        <v>1373</v>
      </c>
      <c r="E106" s="453">
        <f t="shared" si="23"/>
        <v>-85322.760000000009</v>
      </c>
      <c r="F106" s="453">
        <f t="shared" si="24"/>
        <v>-137747.99000000002</v>
      </c>
      <c r="G106" s="453">
        <f t="shared" si="25"/>
        <v>-67104.61</v>
      </c>
      <c r="H106" s="453">
        <v>-6140.88</v>
      </c>
      <c r="I106" s="453">
        <v>-5891.9900000000007</v>
      </c>
      <c r="J106" s="453">
        <v>-8792.7199999999993</v>
      </c>
      <c r="K106" s="453">
        <v>-140.79999999999927</v>
      </c>
      <c r="L106" s="453">
        <v>-7202.8600000000006</v>
      </c>
      <c r="M106" s="453">
        <v>-11789.150000000001</v>
      </c>
      <c r="N106" s="453">
        <v>-6787.8600000000006</v>
      </c>
      <c r="O106" s="453">
        <v>-7807.5199999999968</v>
      </c>
      <c r="P106" s="453">
        <v>-7542.1200000000026</v>
      </c>
      <c r="Q106" s="453">
        <v>-6963.5400000000009</v>
      </c>
      <c r="R106" s="453">
        <v>-6642.7200000000012</v>
      </c>
      <c r="S106" s="453">
        <v>-9620.5999999999913</v>
      </c>
      <c r="T106" s="453">
        <v>-4830.79</v>
      </c>
      <c r="U106" s="453">
        <v>-12309.649999999998</v>
      </c>
      <c r="V106" s="453">
        <v>-16303.360000000004</v>
      </c>
      <c r="W106" s="453">
        <v>-18087.409999999996</v>
      </c>
      <c r="X106" s="453">
        <v>-10166.43</v>
      </c>
      <c r="Y106" s="453">
        <v>-10256.339999999997</v>
      </c>
      <c r="Z106" s="453">
        <v>-11225.970000000001</v>
      </c>
      <c r="AA106" s="453">
        <v>-11953.669999999998</v>
      </c>
      <c r="AB106" s="453">
        <v>-11293.11</v>
      </c>
      <c r="AC106" s="453">
        <v>-10531.23000000001</v>
      </c>
      <c r="AD106" s="453">
        <v>-10702.409999999989</v>
      </c>
      <c r="AE106" s="453">
        <v>-10087.619999999995</v>
      </c>
      <c r="AF106" s="453">
        <v>-3320.22</v>
      </c>
      <c r="AG106" s="453">
        <v>-8227.8700000000008</v>
      </c>
      <c r="AH106" s="453">
        <v>-4197.7800000000007</v>
      </c>
      <c r="AI106" s="453">
        <v>-7090.6799999999985</v>
      </c>
      <c r="AJ106" s="453">
        <v>-7042.3100000000013</v>
      </c>
      <c r="AK106" s="453">
        <v>-6607.82</v>
      </c>
      <c r="AL106" s="453">
        <v>-13828.870000000003</v>
      </c>
      <c r="AM106" s="453">
        <v>-8535.0399999999936</v>
      </c>
      <c r="AN106" s="453">
        <v>-8254.0200000000041</v>
      </c>
    </row>
    <row r="107" spans="1:40" outlineLevel="1" collapsed="1" x14ac:dyDescent="0.25">
      <c r="A107" s="452">
        <v>4250</v>
      </c>
      <c r="B107" t="s">
        <v>1378</v>
      </c>
      <c r="C107" t="s">
        <v>1379</v>
      </c>
      <c r="D107" t="s">
        <v>1373</v>
      </c>
      <c r="E107" s="453">
        <f t="shared" si="23"/>
        <v>-34957.89</v>
      </c>
      <c r="F107" s="453">
        <f t="shared" si="24"/>
        <v>-39420.819999999992</v>
      </c>
      <c r="G107" s="453">
        <f t="shared" si="25"/>
        <v>-29062.829999999994</v>
      </c>
      <c r="H107" s="453">
        <v>-3079.72</v>
      </c>
      <c r="I107" s="453">
        <v>-2633.56</v>
      </c>
      <c r="J107" s="453">
        <v>-2795.8</v>
      </c>
      <c r="K107" s="453">
        <v>-2633.5599999999995</v>
      </c>
      <c r="L107" s="453">
        <v>-2633.5600000000013</v>
      </c>
      <c r="M107" s="453">
        <v>-2954.8600000000006</v>
      </c>
      <c r="N107" s="453">
        <v>-2633.5599999999977</v>
      </c>
      <c r="O107" s="453">
        <v>-2633.5600000000013</v>
      </c>
      <c r="P107" s="453">
        <v>-2633.5600000000013</v>
      </c>
      <c r="Q107" s="453">
        <v>-2633.5599999999977</v>
      </c>
      <c r="R107" s="453">
        <v>-2633.5600000000013</v>
      </c>
      <c r="S107" s="453">
        <v>-5059.0299999999988</v>
      </c>
      <c r="T107" s="453">
        <v>-2765.24</v>
      </c>
      <c r="U107" s="453">
        <v>-2765.24</v>
      </c>
      <c r="V107" s="453">
        <v>-2765.24</v>
      </c>
      <c r="W107" s="453">
        <v>-5537.7100000000009</v>
      </c>
      <c r="X107" s="453">
        <v>-2765.239999999998</v>
      </c>
      <c r="Y107" s="453">
        <v>-2765.2400000000016</v>
      </c>
      <c r="Z107" s="453">
        <v>-2765.2400000000016</v>
      </c>
      <c r="AA107" s="453">
        <v>-2765.239999999998</v>
      </c>
      <c r="AB107" s="453">
        <v>-2765.2400000000016</v>
      </c>
      <c r="AC107" s="453">
        <v>-2765.239999999998</v>
      </c>
      <c r="AD107" s="453">
        <v>-2765.2400000000016</v>
      </c>
      <c r="AE107" s="453">
        <v>-6230.7099999999991</v>
      </c>
      <c r="AF107" s="453">
        <v>-2918.99</v>
      </c>
      <c r="AG107" s="453">
        <v>-2918.99</v>
      </c>
      <c r="AH107" s="453">
        <v>-2918.99</v>
      </c>
      <c r="AI107" s="453">
        <v>-2918.99</v>
      </c>
      <c r="AJ107" s="453">
        <v>-2918.9900000000016</v>
      </c>
      <c r="AK107" s="453">
        <v>-3285.4399999999987</v>
      </c>
      <c r="AL107" s="453">
        <v>-5344.4599999999991</v>
      </c>
      <c r="AM107" s="453">
        <v>-2918.9900000000016</v>
      </c>
      <c r="AN107" s="453">
        <v>-2918.9900000000016</v>
      </c>
    </row>
    <row r="108" spans="1:40" outlineLevel="1" collapsed="1" x14ac:dyDescent="0.25">
      <c r="A108" s="452">
        <v>4260</v>
      </c>
      <c r="B108" t="s">
        <v>1380</v>
      </c>
      <c r="C108" t="s">
        <v>1381</v>
      </c>
      <c r="D108" t="s">
        <v>1373</v>
      </c>
      <c r="E108" s="453">
        <f t="shared" si="23"/>
        <v>-2653.08</v>
      </c>
      <c r="F108" s="453">
        <f t="shared" si="24"/>
        <v>-15958.000000000002</v>
      </c>
      <c r="G108" s="453">
        <f t="shared" si="25"/>
        <v>-7417.68</v>
      </c>
      <c r="H108" s="453">
        <v>-391</v>
      </c>
      <c r="I108" s="453">
        <v>-337.55999999999995</v>
      </c>
      <c r="J108" s="453">
        <v>-98.580000000000041</v>
      </c>
      <c r="K108" s="453">
        <v>-934.5200000000001</v>
      </c>
      <c r="L108" s="453">
        <v>0</v>
      </c>
      <c r="M108" s="453">
        <v>0</v>
      </c>
      <c r="N108" s="453">
        <v>0</v>
      </c>
      <c r="O108" s="453">
        <v>-313.79999999999995</v>
      </c>
      <c r="P108" s="453">
        <v>-71.900000000000091</v>
      </c>
      <c r="Q108" s="453">
        <v>-69.799999999999727</v>
      </c>
      <c r="R108" s="453">
        <v>-263.17000000000007</v>
      </c>
      <c r="S108" s="453">
        <v>-172.75</v>
      </c>
      <c r="T108" s="453">
        <v>0</v>
      </c>
      <c r="U108" s="453">
        <v>0</v>
      </c>
      <c r="V108" s="453">
        <v>-3766.52</v>
      </c>
      <c r="W108" s="453">
        <v>-1215.1799999999998</v>
      </c>
      <c r="X108" s="453">
        <v>-164.32999999999993</v>
      </c>
      <c r="Y108" s="453">
        <v>-2154.6100000000006</v>
      </c>
      <c r="Z108" s="453">
        <v>0</v>
      </c>
      <c r="AA108" s="453">
        <v>-26.880000000000109</v>
      </c>
      <c r="AB108" s="453">
        <v>-231.90999999999985</v>
      </c>
      <c r="AC108" s="453">
        <v>0</v>
      </c>
      <c r="AD108" s="453">
        <v>-225.67000000000007</v>
      </c>
      <c r="AE108" s="453">
        <v>-8172.9</v>
      </c>
      <c r="AF108" s="453">
        <v>0</v>
      </c>
      <c r="AG108" s="453">
        <v>-1135.3499999999999</v>
      </c>
      <c r="AH108" s="453">
        <v>-702.22</v>
      </c>
      <c r="AI108" s="453">
        <v>0</v>
      </c>
      <c r="AJ108" s="453">
        <v>-1691.7100000000003</v>
      </c>
      <c r="AK108" s="453">
        <v>-3595.0099999999998</v>
      </c>
      <c r="AL108" s="453">
        <v>-155.64000000000033</v>
      </c>
      <c r="AM108" s="453">
        <v>-137.75</v>
      </c>
      <c r="AN108" s="453">
        <v>0</v>
      </c>
    </row>
    <row r="109" spans="1:40" outlineLevel="1" collapsed="1" x14ac:dyDescent="0.25">
      <c r="A109" s="452">
        <v>4360</v>
      </c>
      <c r="B109" t="s">
        <v>1382</v>
      </c>
      <c r="C109" t="s">
        <v>1383</v>
      </c>
      <c r="D109" t="s">
        <v>1384</v>
      </c>
      <c r="E109" s="453">
        <f t="shared" si="23"/>
        <v>-38580.260000000009</v>
      </c>
      <c r="F109" s="453">
        <f t="shared" si="24"/>
        <v>-35259.68</v>
      </c>
      <c r="G109" s="453">
        <f t="shared" si="25"/>
        <v>-26642.959999999999</v>
      </c>
      <c r="H109" s="453">
        <v>-2115.96</v>
      </c>
      <c r="I109" s="453">
        <v>-1894.37</v>
      </c>
      <c r="J109" s="453">
        <v>-1617.0100000000002</v>
      </c>
      <c r="K109" s="453">
        <v>-2808.83</v>
      </c>
      <c r="L109" s="453">
        <v>-2808.83</v>
      </c>
      <c r="M109" s="453">
        <v>-2823.3500000000004</v>
      </c>
      <c r="N109" s="453">
        <v>-2823.3500000000004</v>
      </c>
      <c r="O109" s="453">
        <v>-2823.3499999999985</v>
      </c>
      <c r="P109" s="453">
        <v>-2823.3500000000022</v>
      </c>
      <c r="Q109" s="453">
        <v>-2823.3499999999985</v>
      </c>
      <c r="R109" s="453">
        <v>-2823.3499999999985</v>
      </c>
      <c r="S109" s="453">
        <v>-10395.160000000003</v>
      </c>
      <c r="T109" s="453">
        <v>-3251.62</v>
      </c>
      <c r="U109" s="453">
        <v>-2894.79</v>
      </c>
      <c r="V109" s="453">
        <v>-2900.380000000001</v>
      </c>
      <c r="W109" s="453">
        <v>-2900.3799999999992</v>
      </c>
      <c r="X109" s="453">
        <v>-2900.3799999999992</v>
      </c>
      <c r="Y109" s="453">
        <v>-2907.8899999999994</v>
      </c>
      <c r="Z109" s="453">
        <v>-2907.8900000000031</v>
      </c>
      <c r="AA109" s="453">
        <v>-2907.8899999999994</v>
      </c>
      <c r="AB109" s="453">
        <v>-2907.8899999999994</v>
      </c>
      <c r="AC109" s="453">
        <v>-2907.8899999999994</v>
      </c>
      <c r="AD109" s="453">
        <v>-2932.880000000001</v>
      </c>
      <c r="AE109" s="453">
        <v>-2939.7999999999993</v>
      </c>
      <c r="AF109" s="453">
        <v>-3265.9</v>
      </c>
      <c r="AG109" s="453">
        <v>-2909.07</v>
      </c>
      <c r="AH109" s="453">
        <v>-2909.0700000000006</v>
      </c>
      <c r="AI109" s="453">
        <v>-2909.0699999999997</v>
      </c>
      <c r="AJ109" s="453">
        <v>-2909.0699999999997</v>
      </c>
      <c r="AK109" s="453">
        <v>-2924.2200000000012</v>
      </c>
      <c r="AL109" s="453">
        <v>-2924.2199999999975</v>
      </c>
      <c r="AM109" s="453">
        <v>-2924.2200000000012</v>
      </c>
      <c r="AN109" s="453">
        <v>-2968.119999999999</v>
      </c>
    </row>
    <row r="110" spans="1:40" outlineLevel="1" collapsed="1" x14ac:dyDescent="0.25">
      <c r="A110" s="452">
        <v>4380</v>
      </c>
      <c r="B110" t="s">
        <v>1385</v>
      </c>
      <c r="C110" t="s">
        <v>1386</v>
      </c>
      <c r="D110" t="s">
        <v>1384</v>
      </c>
      <c r="E110" s="453">
        <f t="shared" si="23"/>
        <v>-34662.839999999997</v>
      </c>
      <c r="F110" s="453">
        <f t="shared" si="24"/>
        <v>-34423.719999999994</v>
      </c>
      <c r="G110" s="453">
        <f t="shared" si="25"/>
        <v>-36387.21</v>
      </c>
      <c r="H110" s="453">
        <v>-3876.18</v>
      </c>
      <c r="I110" s="453">
        <v>-1914.7400000000002</v>
      </c>
      <c r="J110" s="453">
        <v>-8258.14</v>
      </c>
      <c r="K110" s="453">
        <v>-1971.7399999999998</v>
      </c>
      <c r="L110" s="453">
        <v>-3121.7400000000016</v>
      </c>
      <c r="M110" s="453">
        <v>-1971.739999999998</v>
      </c>
      <c r="N110" s="453">
        <v>-2041.7400000000016</v>
      </c>
      <c r="O110" s="453">
        <v>-1992.739999999998</v>
      </c>
      <c r="P110" s="453">
        <v>-1971.7400000000016</v>
      </c>
      <c r="Q110" s="453">
        <v>-2779.7400000000016</v>
      </c>
      <c r="R110" s="453">
        <v>-2771.739999999998</v>
      </c>
      <c r="S110" s="453">
        <v>-1990.8599999999969</v>
      </c>
      <c r="T110" s="453">
        <v>-3348.18</v>
      </c>
      <c r="U110" s="453">
        <v>-2492.7400000000002</v>
      </c>
      <c r="V110" s="453">
        <v>-2391.7399999999998</v>
      </c>
      <c r="W110" s="453">
        <v>-2091.7399999999998</v>
      </c>
      <c r="X110" s="453">
        <v>-2691.74</v>
      </c>
      <c r="Y110" s="453">
        <v>-2041.7399999999998</v>
      </c>
      <c r="Z110" s="453">
        <v>-3121.74</v>
      </c>
      <c r="AA110" s="453">
        <v>-11977.120000000003</v>
      </c>
      <c r="AB110" s="453">
        <v>1726.2400000000016</v>
      </c>
      <c r="AC110" s="453">
        <v>-2029.7400000000016</v>
      </c>
      <c r="AD110" s="453">
        <v>-1971.739999999998</v>
      </c>
      <c r="AE110" s="453">
        <v>-1991.7400000000016</v>
      </c>
      <c r="AF110" s="453">
        <v>-9373.65</v>
      </c>
      <c r="AG110" s="453">
        <v>-10171.06</v>
      </c>
      <c r="AH110" s="453">
        <v>-2431.6399999999994</v>
      </c>
      <c r="AI110" s="453">
        <v>-2091.6400000000031</v>
      </c>
      <c r="AJ110" s="453">
        <v>-2691.6399999999994</v>
      </c>
      <c r="AK110" s="453">
        <v>-2541.6399999999994</v>
      </c>
      <c r="AL110" s="453">
        <v>-2721.6399999999994</v>
      </c>
      <c r="AM110" s="453">
        <v>-2392.6400000000031</v>
      </c>
      <c r="AN110" s="453">
        <v>-1971.6599999999962</v>
      </c>
    </row>
    <row r="111" spans="1:40" outlineLevel="1" collapsed="1" x14ac:dyDescent="0.25">
      <c r="A111" s="452">
        <v>4400</v>
      </c>
      <c r="B111" t="s">
        <v>1387</v>
      </c>
      <c r="C111" t="s">
        <v>1388</v>
      </c>
      <c r="D111" t="s">
        <v>1352</v>
      </c>
      <c r="E111" s="453">
        <f t="shared" si="23"/>
        <v>-145319.51999999996</v>
      </c>
      <c r="F111" s="453">
        <f t="shared" si="24"/>
        <v>-136980.34</v>
      </c>
      <c r="G111" s="453">
        <f t="shared" si="25"/>
        <v>-52176.639999999999</v>
      </c>
      <c r="H111" s="453">
        <v>-14232.53</v>
      </c>
      <c r="I111" s="453">
        <v>-16337.609999999999</v>
      </c>
      <c r="J111" s="453">
        <v>-18545.840000000004</v>
      </c>
      <c r="K111" s="453">
        <v>-14316.989999999998</v>
      </c>
      <c r="L111" s="453">
        <v>-11262.229999999996</v>
      </c>
      <c r="M111" s="453">
        <v>-9165.8000000000029</v>
      </c>
      <c r="N111" s="453">
        <v>-7758.179999999993</v>
      </c>
      <c r="O111" s="453">
        <v>-7171.2400000000052</v>
      </c>
      <c r="P111" s="453">
        <v>-11139.89</v>
      </c>
      <c r="Q111" s="453">
        <v>-13972.89</v>
      </c>
      <c r="R111" s="453">
        <v>-12334.86</v>
      </c>
      <c r="S111" s="453">
        <v>-9081.4599999999919</v>
      </c>
      <c r="T111" s="453">
        <v>-13334.86</v>
      </c>
      <c r="U111" s="453">
        <v>-17823.919999999998</v>
      </c>
      <c r="V111" s="453">
        <v>-15337.270000000004</v>
      </c>
      <c r="W111" s="453">
        <v>-21137.429999999993</v>
      </c>
      <c r="X111" s="453">
        <v>-18586.340000000011</v>
      </c>
      <c r="Y111" s="453">
        <v>-10591.199999999997</v>
      </c>
      <c r="Z111" s="453">
        <v>-8742.8000000000029</v>
      </c>
      <c r="AA111" s="453">
        <v>-6614.2299999999959</v>
      </c>
      <c r="AB111" s="453">
        <v>-6024.0899999999965</v>
      </c>
      <c r="AC111" s="453">
        <v>-7557.9900000000052</v>
      </c>
      <c r="AD111" s="453">
        <v>-6355.2900000000081</v>
      </c>
      <c r="AE111" s="453">
        <v>-4874.9199999999837</v>
      </c>
      <c r="AF111" s="453">
        <v>-2173.65</v>
      </c>
      <c r="AG111" s="453">
        <v>-8751.1</v>
      </c>
      <c r="AH111" s="453">
        <v>-6330.3899999999994</v>
      </c>
      <c r="AI111" s="453">
        <v>-5885.5600000000013</v>
      </c>
      <c r="AJ111" s="453">
        <v>-4219.3499999999985</v>
      </c>
      <c r="AK111" s="453">
        <v>-5214.7099999999991</v>
      </c>
      <c r="AL111" s="453">
        <v>-8404.9300000000039</v>
      </c>
      <c r="AM111" s="453">
        <v>-4020.0899999999965</v>
      </c>
      <c r="AN111" s="453">
        <v>-7176.8600000000006</v>
      </c>
    </row>
    <row r="112" spans="1:40" outlineLevel="1" collapsed="1" x14ac:dyDescent="0.25">
      <c r="A112" s="452">
        <v>4520</v>
      </c>
      <c r="B112" t="s">
        <v>1389</v>
      </c>
      <c r="C112" t="s">
        <v>1390</v>
      </c>
      <c r="D112" t="s">
        <v>1391</v>
      </c>
      <c r="E112" s="453">
        <f t="shared" si="23"/>
        <v>-1163.22</v>
      </c>
      <c r="F112" s="453">
        <f t="shared" si="24"/>
        <v>0</v>
      </c>
      <c r="G112" s="453">
        <f t="shared" si="25"/>
        <v>0</v>
      </c>
      <c r="H112" s="453">
        <v>-82.27</v>
      </c>
      <c r="I112" s="453">
        <v>-82.27</v>
      </c>
      <c r="J112" s="453">
        <v>-99.870000000000033</v>
      </c>
      <c r="K112" s="453">
        <v>-99.869999999999948</v>
      </c>
      <c r="L112" s="453">
        <v>-99.87</v>
      </c>
      <c r="M112" s="453">
        <v>-99.87</v>
      </c>
      <c r="N112" s="453">
        <v>-99.87</v>
      </c>
      <c r="O112" s="453">
        <v>-99.87</v>
      </c>
      <c r="P112" s="453">
        <v>-99.87</v>
      </c>
      <c r="Q112" s="453">
        <v>-99.87</v>
      </c>
      <c r="R112" s="453">
        <v>-99.869999999999891</v>
      </c>
      <c r="S112" s="453">
        <v>-99.850000000000136</v>
      </c>
      <c r="T112" s="453">
        <v>0</v>
      </c>
      <c r="U112" s="453">
        <v>0</v>
      </c>
      <c r="V112" s="453">
        <v>0</v>
      </c>
      <c r="W112" s="453">
        <v>0</v>
      </c>
      <c r="X112" s="453">
        <v>0</v>
      </c>
      <c r="Y112" s="453">
        <v>0</v>
      </c>
      <c r="Z112" s="453">
        <v>0</v>
      </c>
      <c r="AA112" s="453">
        <v>0</v>
      </c>
      <c r="AB112" s="453">
        <v>0</v>
      </c>
      <c r="AC112" s="453">
        <v>0</v>
      </c>
      <c r="AD112" s="453">
        <v>0</v>
      </c>
      <c r="AE112" s="453">
        <v>0</v>
      </c>
      <c r="AF112" s="453">
        <v>0</v>
      </c>
      <c r="AG112" s="453">
        <v>0</v>
      </c>
      <c r="AH112" s="453">
        <v>0</v>
      </c>
      <c r="AI112" s="453">
        <v>0</v>
      </c>
      <c r="AJ112" s="453">
        <v>0</v>
      </c>
      <c r="AK112" s="453">
        <v>0</v>
      </c>
      <c r="AL112" s="453">
        <v>0</v>
      </c>
      <c r="AM112" s="453">
        <v>0</v>
      </c>
      <c r="AN112" s="453">
        <v>0</v>
      </c>
    </row>
    <row r="113" spans="1:40" outlineLevel="1" collapsed="1" x14ac:dyDescent="0.25">
      <c r="A113" s="452">
        <v>4520</v>
      </c>
      <c r="B113" t="s">
        <v>1392</v>
      </c>
      <c r="C113" t="s">
        <v>1393</v>
      </c>
      <c r="D113" t="s">
        <v>1391</v>
      </c>
      <c r="E113" s="453">
        <f t="shared" si="23"/>
        <v>0</v>
      </c>
      <c r="F113" s="453">
        <f t="shared" si="24"/>
        <v>-1236.4699999999998</v>
      </c>
      <c r="G113" s="453">
        <f t="shared" si="25"/>
        <v>-1079.01</v>
      </c>
      <c r="H113" s="453">
        <v>0</v>
      </c>
      <c r="I113" s="453">
        <v>0</v>
      </c>
      <c r="J113" s="453">
        <v>0</v>
      </c>
      <c r="K113" s="453">
        <v>0</v>
      </c>
      <c r="L113" s="453">
        <v>0</v>
      </c>
      <c r="M113" s="453">
        <v>0</v>
      </c>
      <c r="N113" s="453">
        <v>0</v>
      </c>
      <c r="O113" s="453">
        <v>0</v>
      </c>
      <c r="P113" s="453">
        <v>0</v>
      </c>
      <c r="Q113" s="453">
        <v>0</v>
      </c>
      <c r="R113" s="453">
        <v>0</v>
      </c>
      <c r="S113" s="453">
        <v>0</v>
      </c>
      <c r="T113" s="453">
        <v>-99.87</v>
      </c>
      <c r="U113" s="453">
        <v>-265.48</v>
      </c>
      <c r="V113" s="453">
        <v>-152.53999999999996</v>
      </c>
      <c r="W113" s="453">
        <v>-189.72000000000003</v>
      </c>
      <c r="X113" s="453">
        <v>-189.72000000000003</v>
      </c>
      <c r="Y113" s="453">
        <v>196.85000000000002</v>
      </c>
      <c r="Z113" s="453">
        <v>-89.329999999999927</v>
      </c>
      <c r="AA113" s="453">
        <v>-89.330000000000041</v>
      </c>
      <c r="AB113" s="453">
        <v>-89.330000000000041</v>
      </c>
      <c r="AC113" s="453">
        <v>-89.329999999999927</v>
      </c>
      <c r="AD113" s="453">
        <v>-89.330000000000155</v>
      </c>
      <c r="AE113" s="453">
        <v>-89.339999999999918</v>
      </c>
      <c r="AF113" s="453">
        <v>-119.89</v>
      </c>
      <c r="AG113" s="453">
        <v>-119.89</v>
      </c>
      <c r="AH113" s="453">
        <v>-119.89000000000001</v>
      </c>
      <c r="AI113" s="453">
        <v>-119.88999999999999</v>
      </c>
      <c r="AJ113" s="453">
        <v>-119.89000000000004</v>
      </c>
      <c r="AK113" s="453">
        <v>-119.88999999999999</v>
      </c>
      <c r="AL113" s="453">
        <v>-119.88999999999999</v>
      </c>
      <c r="AM113" s="453">
        <v>-119.88999999999999</v>
      </c>
      <c r="AN113" s="453">
        <v>-119.88999999999999</v>
      </c>
    </row>
    <row r="114" spans="1:40" outlineLevel="1" collapsed="1" x14ac:dyDescent="0.25">
      <c r="A114" s="452">
        <v>4521</v>
      </c>
      <c r="B114" t="s">
        <v>1394</v>
      </c>
      <c r="C114" t="s">
        <v>1395</v>
      </c>
      <c r="D114" t="s">
        <v>1391</v>
      </c>
      <c r="E114" s="453">
        <f t="shared" si="23"/>
        <v>0</v>
      </c>
      <c r="F114" s="453">
        <f t="shared" si="24"/>
        <v>0</v>
      </c>
      <c r="G114" s="453">
        <f t="shared" si="25"/>
        <v>0</v>
      </c>
      <c r="H114" s="453">
        <v>0</v>
      </c>
      <c r="I114" s="453">
        <v>0</v>
      </c>
      <c r="J114" s="453">
        <v>0</v>
      </c>
      <c r="K114" s="453">
        <v>0</v>
      </c>
      <c r="L114" s="453">
        <v>0</v>
      </c>
      <c r="M114" s="453">
        <v>0</v>
      </c>
      <c r="N114" s="453">
        <v>0</v>
      </c>
      <c r="O114" s="453">
        <v>0</v>
      </c>
      <c r="P114" s="453">
        <v>0</v>
      </c>
      <c r="Q114" s="453">
        <v>0</v>
      </c>
      <c r="R114" s="453">
        <v>0</v>
      </c>
      <c r="S114" s="453">
        <v>0</v>
      </c>
      <c r="T114" s="453">
        <v>0</v>
      </c>
      <c r="U114" s="453">
        <v>0</v>
      </c>
      <c r="V114" s="453">
        <v>0</v>
      </c>
      <c r="W114" s="453">
        <v>0</v>
      </c>
      <c r="X114" s="453">
        <v>0</v>
      </c>
      <c r="Y114" s="453">
        <v>0</v>
      </c>
      <c r="Z114" s="453">
        <v>0</v>
      </c>
      <c r="AA114" s="453">
        <v>0</v>
      </c>
      <c r="AB114" s="453">
        <v>0</v>
      </c>
      <c r="AC114" s="453">
        <v>0</v>
      </c>
      <c r="AD114" s="453">
        <v>0</v>
      </c>
      <c r="AE114" s="453">
        <v>0</v>
      </c>
      <c r="AF114" s="453">
        <v>0</v>
      </c>
      <c r="AG114" s="453">
        <v>0</v>
      </c>
      <c r="AH114" s="453">
        <v>0</v>
      </c>
      <c r="AI114" s="453">
        <v>0</v>
      </c>
      <c r="AJ114" s="453">
        <v>0</v>
      </c>
      <c r="AK114" s="453">
        <v>0</v>
      </c>
      <c r="AL114" s="453">
        <v>0</v>
      </c>
      <c r="AM114" s="453">
        <v>0</v>
      </c>
      <c r="AN114" s="453">
        <v>0</v>
      </c>
    </row>
    <row r="115" spans="1:40" outlineLevel="1" collapsed="1" x14ac:dyDescent="0.25">
      <c r="A115" s="452">
        <v>4522</v>
      </c>
      <c r="B115" t="s">
        <v>1396</v>
      </c>
      <c r="C115" t="s">
        <v>1397</v>
      </c>
      <c r="D115" t="s">
        <v>1391</v>
      </c>
      <c r="E115" s="453">
        <f t="shared" si="23"/>
        <v>-2612.5100000000002</v>
      </c>
      <c r="F115" s="453">
        <f t="shared" si="24"/>
        <v>0</v>
      </c>
      <c r="G115" s="453">
        <f t="shared" si="25"/>
        <v>0</v>
      </c>
      <c r="H115" s="453">
        <v>-99.61</v>
      </c>
      <c r="I115" s="453">
        <v>-99.61</v>
      </c>
      <c r="J115" s="453">
        <v>-50.390000000000015</v>
      </c>
      <c r="K115" s="453">
        <v>-675.23</v>
      </c>
      <c r="L115" s="453">
        <v>879.83</v>
      </c>
      <c r="M115" s="453">
        <v>-1275.95</v>
      </c>
      <c r="N115" s="453">
        <v>-199.44000000000005</v>
      </c>
      <c r="O115" s="453">
        <v>-199.43999999999983</v>
      </c>
      <c r="P115" s="453">
        <v>-169.01999999999998</v>
      </c>
      <c r="Q115" s="453">
        <v>-199.44000000000028</v>
      </c>
      <c r="R115" s="453">
        <v>-199.4399999999996</v>
      </c>
      <c r="S115" s="453">
        <v>-324.77000000000044</v>
      </c>
      <c r="T115" s="453">
        <v>0</v>
      </c>
      <c r="U115" s="453">
        <v>0</v>
      </c>
      <c r="V115" s="453">
        <v>0</v>
      </c>
      <c r="W115" s="453">
        <v>0</v>
      </c>
      <c r="X115" s="453">
        <v>0</v>
      </c>
      <c r="Y115" s="453">
        <v>0</v>
      </c>
      <c r="Z115" s="453">
        <v>0</v>
      </c>
      <c r="AA115" s="453">
        <v>0</v>
      </c>
      <c r="AB115" s="453">
        <v>0</v>
      </c>
      <c r="AC115" s="453">
        <v>0</v>
      </c>
      <c r="AD115" s="453">
        <v>0</v>
      </c>
      <c r="AE115" s="453">
        <v>0</v>
      </c>
      <c r="AF115" s="453">
        <v>0</v>
      </c>
      <c r="AG115" s="453">
        <v>0</v>
      </c>
      <c r="AH115" s="453">
        <v>0</v>
      </c>
      <c r="AI115" s="453">
        <v>0</v>
      </c>
      <c r="AJ115" s="453">
        <v>0</v>
      </c>
      <c r="AK115" s="453">
        <v>0</v>
      </c>
      <c r="AL115" s="453">
        <v>0</v>
      </c>
      <c r="AM115" s="453">
        <v>0</v>
      </c>
      <c r="AN115" s="453">
        <v>0</v>
      </c>
    </row>
    <row r="116" spans="1:40" outlineLevel="1" collapsed="1" x14ac:dyDescent="0.25">
      <c r="A116" s="452">
        <v>4522</v>
      </c>
      <c r="B116" t="s">
        <v>1398</v>
      </c>
      <c r="C116" t="s">
        <v>1399</v>
      </c>
      <c r="D116" t="s">
        <v>1391</v>
      </c>
      <c r="E116" s="453">
        <f t="shared" si="23"/>
        <v>0</v>
      </c>
      <c r="F116" s="453">
        <f t="shared" si="24"/>
        <v>-3534.81</v>
      </c>
      <c r="G116" s="453">
        <f t="shared" si="25"/>
        <v>-2158.02</v>
      </c>
      <c r="H116" s="453">
        <v>0</v>
      </c>
      <c r="I116" s="453">
        <v>0</v>
      </c>
      <c r="J116" s="453">
        <v>0</v>
      </c>
      <c r="K116" s="453">
        <v>0</v>
      </c>
      <c r="L116" s="453">
        <v>0</v>
      </c>
      <c r="M116" s="453">
        <v>0</v>
      </c>
      <c r="N116" s="453">
        <v>0</v>
      </c>
      <c r="O116" s="453">
        <v>0</v>
      </c>
      <c r="P116" s="453">
        <v>0</v>
      </c>
      <c r="Q116" s="453">
        <v>0</v>
      </c>
      <c r="R116" s="453">
        <v>0</v>
      </c>
      <c r="S116" s="453">
        <v>0</v>
      </c>
      <c r="T116" s="453">
        <v>-297.98</v>
      </c>
      <c r="U116" s="453">
        <v>-448.55999999999995</v>
      </c>
      <c r="V116" s="453">
        <v>-448.55999999999995</v>
      </c>
      <c r="W116" s="453">
        <v>-448.56000000000017</v>
      </c>
      <c r="X116" s="453">
        <v>-448.55999999999972</v>
      </c>
      <c r="Y116" s="453">
        <v>-127.30000000000018</v>
      </c>
      <c r="Z116" s="453">
        <v>-201.38999999999987</v>
      </c>
      <c r="AA116" s="453">
        <v>-201.39000000000033</v>
      </c>
      <c r="AB116" s="453">
        <v>-201.38999999999987</v>
      </c>
      <c r="AC116" s="453">
        <v>-314</v>
      </c>
      <c r="AD116" s="453">
        <v>-198.57000000000016</v>
      </c>
      <c r="AE116" s="453">
        <v>-198.54999999999973</v>
      </c>
      <c r="AF116" s="453">
        <v>-239.78</v>
      </c>
      <c r="AG116" s="453">
        <v>-239.78</v>
      </c>
      <c r="AH116" s="453">
        <v>-239.78000000000003</v>
      </c>
      <c r="AI116" s="453">
        <v>-239.77999999999997</v>
      </c>
      <c r="AJ116" s="453">
        <v>-239.78000000000009</v>
      </c>
      <c r="AK116" s="453">
        <v>-239.77999999999997</v>
      </c>
      <c r="AL116" s="453">
        <v>-239.77999999999997</v>
      </c>
      <c r="AM116" s="453">
        <v>-239.77999999999997</v>
      </c>
      <c r="AN116" s="453">
        <v>-239.77999999999997</v>
      </c>
    </row>
    <row r="117" spans="1:40" outlineLevel="1" collapsed="1" x14ac:dyDescent="0.25">
      <c r="A117" s="452">
        <v>4523</v>
      </c>
      <c r="B117" t="s">
        <v>1400</v>
      </c>
      <c r="C117" t="s">
        <v>1401</v>
      </c>
      <c r="D117" t="s">
        <v>1391</v>
      </c>
      <c r="E117" s="453">
        <f t="shared" si="23"/>
        <v>-1276.8700000000001</v>
      </c>
      <c r="F117" s="453">
        <f t="shared" si="24"/>
        <v>0</v>
      </c>
      <c r="G117" s="453">
        <f t="shared" si="25"/>
        <v>0</v>
      </c>
      <c r="H117" s="453">
        <v>-127.43</v>
      </c>
      <c r="I117" s="453">
        <v>-127.43</v>
      </c>
      <c r="J117" s="453">
        <v>-127.43</v>
      </c>
      <c r="K117" s="453">
        <v>-127.43</v>
      </c>
      <c r="L117" s="453">
        <v>-127.42999999999995</v>
      </c>
      <c r="M117" s="453">
        <v>-127.43000000000006</v>
      </c>
      <c r="N117" s="453">
        <v>-127.42999999999995</v>
      </c>
      <c r="O117" s="453">
        <v>-127.43000000000006</v>
      </c>
      <c r="P117" s="453">
        <v>-120.6099999999999</v>
      </c>
      <c r="Q117" s="453">
        <v>-127.43000000000006</v>
      </c>
      <c r="R117" s="453">
        <v>-127.43000000000006</v>
      </c>
      <c r="S117" s="453">
        <v>118.04000000000019</v>
      </c>
      <c r="T117" s="453">
        <v>0</v>
      </c>
      <c r="U117" s="453">
        <v>0</v>
      </c>
      <c r="V117" s="453">
        <v>0</v>
      </c>
      <c r="W117" s="453">
        <v>0</v>
      </c>
      <c r="X117" s="453">
        <v>0</v>
      </c>
      <c r="Y117" s="453">
        <v>0</v>
      </c>
      <c r="Z117" s="453">
        <v>0</v>
      </c>
      <c r="AA117" s="453">
        <v>0</v>
      </c>
      <c r="AB117" s="453">
        <v>0</v>
      </c>
      <c r="AC117" s="453">
        <v>0</v>
      </c>
      <c r="AD117" s="453">
        <v>0</v>
      </c>
      <c r="AE117" s="453">
        <v>0</v>
      </c>
      <c r="AF117" s="453">
        <v>0</v>
      </c>
      <c r="AG117" s="453">
        <v>0</v>
      </c>
      <c r="AH117" s="453">
        <v>0</v>
      </c>
      <c r="AI117" s="453">
        <v>0</v>
      </c>
      <c r="AJ117" s="453">
        <v>0</v>
      </c>
      <c r="AK117" s="453">
        <v>0</v>
      </c>
      <c r="AL117" s="453">
        <v>0</v>
      </c>
      <c r="AM117" s="453">
        <v>0</v>
      </c>
      <c r="AN117" s="453">
        <v>0</v>
      </c>
    </row>
    <row r="118" spans="1:40" outlineLevel="1" collapsed="1" x14ac:dyDescent="0.25">
      <c r="A118" s="452">
        <v>4523</v>
      </c>
      <c r="B118" t="s">
        <v>1402</v>
      </c>
      <c r="C118" t="s">
        <v>1403</v>
      </c>
      <c r="D118" t="s">
        <v>1391</v>
      </c>
      <c r="E118" s="453">
        <f t="shared" si="23"/>
        <v>0</v>
      </c>
      <c r="F118" s="453">
        <f t="shared" si="24"/>
        <v>-2157.6999999999998</v>
      </c>
      <c r="G118" s="453">
        <f t="shared" si="25"/>
        <v>-2158.02</v>
      </c>
      <c r="H118" s="453">
        <v>0</v>
      </c>
      <c r="I118" s="453">
        <v>0</v>
      </c>
      <c r="J118" s="453">
        <v>0</v>
      </c>
      <c r="K118" s="453">
        <v>0</v>
      </c>
      <c r="L118" s="453">
        <v>0</v>
      </c>
      <c r="M118" s="453">
        <v>0</v>
      </c>
      <c r="N118" s="453">
        <v>0</v>
      </c>
      <c r="O118" s="453">
        <v>0</v>
      </c>
      <c r="P118" s="453">
        <v>0</v>
      </c>
      <c r="Q118" s="453">
        <v>0</v>
      </c>
      <c r="R118" s="453">
        <v>0</v>
      </c>
      <c r="S118" s="453">
        <v>0</v>
      </c>
      <c r="T118" s="453">
        <v>-143.27000000000001</v>
      </c>
      <c r="U118" s="453">
        <v>-143.27000000000001</v>
      </c>
      <c r="V118" s="453">
        <v>-143.26999999999998</v>
      </c>
      <c r="W118" s="453">
        <v>-143.27000000000004</v>
      </c>
      <c r="X118" s="453">
        <v>-143.26999999999998</v>
      </c>
      <c r="Y118" s="453">
        <v>-205.90999999999997</v>
      </c>
      <c r="Z118" s="453">
        <v>-205.91000000000008</v>
      </c>
      <c r="AA118" s="453">
        <v>-205.90999999999985</v>
      </c>
      <c r="AB118" s="453">
        <v>-205.91000000000008</v>
      </c>
      <c r="AC118" s="453">
        <v>-205.91000000000008</v>
      </c>
      <c r="AD118" s="453">
        <v>-205.90999999999985</v>
      </c>
      <c r="AE118" s="453">
        <v>-205.88999999999987</v>
      </c>
      <c r="AF118" s="453">
        <v>-239.78</v>
      </c>
      <c r="AG118" s="453">
        <v>-239.78</v>
      </c>
      <c r="AH118" s="453">
        <v>-239.78000000000003</v>
      </c>
      <c r="AI118" s="453">
        <v>-239.77999999999997</v>
      </c>
      <c r="AJ118" s="453">
        <v>-239.78000000000009</v>
      </c>
      <c r="AK118" s="453">
        <v>-239.77999999999997</v>
      </c>
      <c r="AL118" s="453">
        <v>-239.77999999999997</v>
      </c>
      <c r="AM118" s="453">
        <v>-239.77999999999997</v>
      </c>
      <c r="AN118" s="453">
        <v>-239.77999999999997</v>
      </c>
    </row>
    <row r="119" spans="1:40" outlineLevel="1" collapsed="1" x14ac:dyDescent="0.25">
      <c r="A119" s="452">
        <v>4524</v>
      </c>
      <c r="B119" t="s">
        <v>1404</v>
      </c>
      <c r="C119" t="s">
        <v>1405</v>
      </c>
      <c r="D119" t="s">
        <v>1391</v>
      </c>
      <c r="E119" s="453">
        <f t="shared" si="23"/>
        <v>-2819.28</v>
      </c>
      <c r="F119" s="453">
        <f t="shared" si="24"/>
        <v>-2666.76</v>
      </c>
      <c r="G119" s="453">
        <f t="shared" si="25"/>
        <v>-2158.02</v>
      </c>
      <c r="H119" s="453">
        <v>-355.77</v>
      </c>
      <c r="I119" s="453">
        <v>-355.77</v>
      </c>
      <c r="J119" s="453">
        <v>-213.94000000000005</v>
      </c>
      <c r="K119" s="453">
        <v>-213.94000000000005</v>
      </c>
      <c r="L119" s="453">
        <v>-213.93999999999983</v>
      </c>
      <c r="M119" s="453">
        <v>-213.94000000000005</v>
      </c>
      <c r="N119" s="453">
        <v>-213.94000000000005</v>
      </c>
      <c r="O119" s="453">
        <v>-213.94000000000005</v>
      </c>
      <c r="P119" s="453">
        <v>-183.74</v>
      </c>
      <c r="Q119" s="453">
        <v>-213.94000000000005</v>
      </c>
      <c r="R119" s="453">
        <v>-213.94000000000005</v>
      </c>
      <c r="S119" s="453">
        <v>-212.48000000000002</v>
      </c>
      <c r="T119" s="453">
        <v>-295.95999999999998</v>
      </c>
      <c r="U119" s="453">
        <v>-295.95999999999998</v>
      </c>
      <c r="V119" s="453">
        <v>-295.96000000000004</v>
      </c>
      <c r="W119" s="453">
        <v>-295.95999999999992</v>
      </c>
      <c r="X119" s="453">
        <v>-295.96000000000004</v>
      </c>
      <c r="Y119" s="453">
        <v>-169.55999999999995</v>
      </c>
      <c r="Z119" s="453">
        <v>-169.56000000000017</v>
      </c>
      <c r="AA119" s="453">
        <v>-169.55999999999995</v>
      </c>
      <c r="AB119" s="453">
        <v>-169.55999999999995</v>
      </c>
      <c r="AC119" s="453">
        <v>-169.55999999999995</v>
      </c>
      <c r="AD119" s="453">
        <v>-169.55999999999995</v>
      </c>
      <c r="AE119" s="453">
        <v>-169.60000000000036</v>
      </c>
      <c r="AF119" s="453">
        <v>-239.78</v>
      </c>
      <c r="AG119" s="453">
        <v>-239.78</v>
      </c>
      <c r="AH119" s="453">
        <v>-239.78000000000003</v>
      </c>
      <c r="AI119" s="453">
        <v>-239.77999999999997</v>
      </c>
      <c r="AJ119" s="453">
        <v>-239.78000000000009</v>
      </c>
      <c r="AK119" s="453">
        <v>-239.77999999999997</v>
      </c>
      <c r="AL119" s="453">
        <v>-239.77999999999997</v>
      </c>
      <c r="AM119" s="453">
        <v>-239.77999999999997</v>
      </c>
      <c r="AN119" s="453">
        <v>-239.77999999999997</v>
      </c>
    </row>
    <row r="120" spans="1:40" outlineLevel="1" collapsed="1" x14ac:dyDescent="0.25">
      <c r="A120" s="452">
        <v>4525</v>
      </c>
      <c r="B120" t="s">
        <v>1406</v>
      </c>
      <c r="C120" t="s">
        <v>1407</v>
      </c>
      <c r="D120" t="s">
        <v>1391</v>
      </c>
      <c r="E120" s="453">
        <f t="shared" si="23"/>
        <v>-920.98</v>
      </c>
      <c r="F120" s="453">
        <f t="shared" si="24"/>
        <v>0</v>
      </c>
      <c r="G120" s="453">
        <f t="shared" si="25"/>
        <v>0</v>
      </c>
      <c r="H120" s="453">
        <v>-158.22999999999999</v>
      </c>
      <c r="I120" s="453">
        <v>-158.22999999999999</v>
      </c>
      <c r="J120" s="453">
        <v>-77.660000000000025</v>
      </c>
      <c r="K120" s="453">
        <v>-77.659999999999968</v>
      </c>
      <c r="L120" s="453">
        <v>-77.660000000000082</v>
      </c>
      <c r="M120" s="453">
        <v>-77.659999999999968</v>
      </c>
      <c r="N120" s="453">
        <v>-77.659999999999968</v>
      </c>
      <c r="O120" s="453">
        <v>-77.659999999999968</v>
      </c>
      <c r="P120" s="453">
        <v>-66.710000000000036</v>
      </c>
      <c r="Q120" s="453">
        <v>-77.659999999999968</v>
      </c>
      <c r="R120" s="453">
        <v>-77.660000000000082</v>
      </c>
      <c r="S120" s="453">
        <v>83.470000000000027</v>
      </c>
      <c r="T120" s="453">
        <v>0</v>
      </c>
      <c r="U120" s="453">
        <v>0</v>
      </c>
      <c r="V120" s="453">
        <v>0</v>
      </c>
      <c r="W120" s="453">
        <v>0</v>
      </c>
      <c r="X120" s="453">
        <v>0</v>
      </c>
      <c r="Y120" s="453">
        <v>0</v>
      </c>
      <c r="Z120" s="453">
        <v>0</v>
      </c>
      <c r="AA120" s="453">
        <v>0</v>
      </c>
      <c r="AB120" s="453">
        <v>0</v>
      </c>
      <c r="AC120" s="453">
        <v>0</v>
      </c>
      <c r="AD120" s="453">
        <v>0</v>
      </c>
      <c r="AE120" s="453">
        <v>0</v>
      </c>
      <c r="AF120" s="453">
        <v>0</v>
      </c>
      <c r="AG120" s="453">
        <v>0</v>
      </c>
      <c r="AH120" s="453">
        <v>0</v>
      </c>
      <c r="AI120" s="453">
        <v>0</v>
      </c>
      <c r="AJ120" s="453">
        <v>0</v>
      </c>
      <c r="AK120" s="453">
        <v>0</v>
      </c>
      <c r="AL120" s="453">
        <v>0</v>
      </c>
      <c r="AM120" s="453">
        <v>0</v>
      </c>
      <c r="AN120" s="453">
        <v>0</v>
      </c>
    </row>
    <row r="121" spans="1:40" outlineLevel="1" collapsed="1" x14ac:dyDescent="0.25">
      <c r="A121" s="452">
        <v>4525</v>
      </c>
      <c r="B121" t="s">
        <v>1408</v>
      </c>
      <c r="C121" t="s">
        <v>1409</v>
      </c>
      <c r="D121" t="s">
        <v>1391</v>
      </c>
      <c r="E121" s="453">
        <f t="shared" si="23"/>
        <v>0</v>
      </c>
      <c r="F121" s="453">
        <f t="shared" si="24"/>
        <v>-1575.7099999999996</v>
      </c>
      <c r="G121" s="453">
        <f t="shared" si="25"/>
        <v>-2158.02</v>
      </c>
      <c r="H121" s="453">
        <v>0</v>
      </c>
      <c r="I121" s="453">
        <v>0</v>
      </c>
      <c r="J121" s="453">
        <v>0</v>
      </c>
      <c r="K121" s="453">
        <v>0</v>
      </c>
      <c r="L121" s="453">
        <v>0</v>
      </c>
      <c r="M121" s="453">
        <v>0</v>
      </c>
      <c r="N121" s="453">
        <v>0</v>
      </c>
      <c r="O121" s="453">
        <v>0</v>
      </c>
      <c r="P121" s="453">
        <v>0</v>
      </c>
      <c r="Q121" s="453">
        <v>0</v>
      </c>
      <c r="R121" s="453">
        <v>0</v>
      </c>
      <c r="S121" s="453">
        <v>0</v>
      </c>
      <c r="T121" s="453">
        <v>-107.37</v>
      </c>
      <c r="U121" s="453">
        <v>-107.37</v>
      </c>
      <c r="V121" s="453">
        <v>-107.37</v>
      </c>
      <c r="W121" s="453">
        <v>-107.37</v>
      </c>
      <c r="X121" s="453">
        <v>-107.37</v>
      </c>
      <c r="Y121" s="453">
        <v>80.63</v>
      </c>
      <c r="Z121" s="453">
        <v>-186.57999999999993</v>
      </c>
      <c r="AA121" s="453">
        <v>-186.58000000000004</v>
      </c>
      <c r="AB121" s="453">
        <v>-186.58000000000004</v>
      </c>
      <c r="AC121" s="453">
        <v>-186.57999999999993</v>
      </c>
      <c r="AD121" s="453">
        <v>-186.57999999999993</v>
      </c>
      <c r="AE121" s="453">
        <v>-186.59000000000015</v>
      </c>
      <c r="AF121" s="453">
        <v>-239.78</v>
      </c>
      <c r="AG121" s="453">
        <v>-239.78</v>
      </c>
      <c r="AH121" s="453">
        <v>-239.78000000000003</v>
      </c>
      <c r="AI121" s="453">
        <v>-239.77999999999997</v>
      </c>
      <c r="AJ121" s="453">
        <v>-239.78000000000009</v>
      </c>
      <c r="AK121" s="453">
        <v>-239.77999999999997</v>
      </c>
      <c r="AL121" s="453">
        <v>-239.77999999999997</v>
      </c>
      <c r="AM121" s="453">
        <v>-239.77999999999997</v>
      </c>
      <c r="AN121" s="453">
        <v>-239.77999999999997</v>
      </c>
    </row>
    <row r="122" spans="1:40" outlineLevel="1" collapsed="1" x14ac:dyDescent="0.25">
      <c r="A122" s="452">
        <v>4526</v>
      </c>
      <c r="B122" t="s">
        <v>1410</v>
      </c>
      <c r="C122" t="s">
        <v>1411</v>
      </c>
      <c r="D122" t="s">
        <v>1391</v>
      </c>
      <c r="E122" s="453">
        <f t="shared" si="23"/>
        <v>-3996.940000000001</v>
      </c>
      <c r="F122" s="453">
        <f t="shared" si="24"/>
        <v>0</v>
      </c>
      <c r="G122" s="453">
        <f t="shared" si="25"/>
        <v>0</v>
      </c>
      <c r="H122" s="453">
        <v>-348.84</v>
      </c>
      <c r="I122" s="453">
        <v>-348.84</v>
      </c>
      <c r="J122" s="453">
        <v>-336.97000000000014</v>
      </c>
      <c r="K122" s="453">
        <v>-320.9699999999998</v>
      </c>
      <c r="L122" s="453">
        <v>-320.97000000000003</v>
      </c>
      <c r="M122" s="453">
        <v>-337.02</v>
      </c>
      <c r="N122" s="453">
        <v>-337.02000000000021</v>
      </c>
      <c r="O122" s="453">
        <v>-337.02</v>
      </c>
      <c r="P122" s="453">
        <v>-321.92000000000007</v>
      </c>
      <c r="Q122" s="453">
        <v>-337.02</v>
      </c>
      <c r="R122" s="453">
        <v>-337.02</v>
      </c>
      <c r="S122" s="453">
        <v>-313.32999999999993</v>
      </c>
      <c r="T122" s="453">
        <v>0</v>
      </c>
      <c r="U122" s="453">
        <v>0</v>
      </c>
      <c r="V122" s="453">
        <v>0</v>
      </c>
      <c r="W122" s="453">
        <v>0</v>
      </c>
      <c r="X122" s="453">
        <v>0</v>
      </c>
      <c r="Y122" s="453">
        <v>0</v>
      </c>
      <c r="Z122" s="453">
        <v>0</v>
      </c>
      <c r="AA122" s="453">
        <v>0</v>
      </c>
      <c r="AB122" s="453">
        <v>0</v>
      </c>
      <c r="AC122" s="453">
        <v>0</v>
      </c>
      <c r="AD122" s="453">
        <v>0</v>
      </c>
      <c r="AE122" s="453">
        <v>0</v>
      </c>
      <c r="AF122" s="453">
        <v>0</v>
      </c>
      <c r="AG122" s="453">
        <v>0</v>
      </c>
      <c r="AH122" s="453">
        <v>0</v>
      </c>
      <c r="AI122" s="453">
        <v>0</v>
      </c>
      <c r="AJ122" s="453">
        <v>0</v>
      </c>
      <c r="AK122" s="453">
        <v>0</v>
      </c>
      <c r="AL122" s="453">
        <v>0</v>
      </c>
      <c r="AM122" s="453">
        <v>0</v>
      </c>
      <c r="AN122" s="453">
        <v>0</v>
      </c>
    </row>
    <row r="123" spans="1:40" outlineLevel="1" collapsed="1" x14ac:dyDescent="0.25">
      <c r="A123" s="452">
        <v>4526</v>
      </c>
      <c r="B123" t="s">
        <v>1412</v>
      </c>
      <c r="C123" t="s">
        <v>1413</v>
      </c>
      <c r="D123" t="s">
        <v>1391</v>
      </c>
      <c r="E123" s="453">
        <f t="shared" si="23"/>
        <v>0</v>
      </c>
      <c r="F123" s="453">
        <f t="shared" si="24"/>
        <v>-4041.56</v>
      </c>
      <c r="G123" s="453">
        <f t="shared" si="25"/>
        <v>0</v>
      </c>
      <c r="H123" s="453">
        <v>0</v>
      </c>
      <c r="I123" s="453">
        <v>0</v>
      </c>
      <c r="J123" s="453">
        <v>0</v>
      </c>
      <c r="K123" s="453">
        <v>0</v>
      </c>
      <c r="L123" s="453">
        <v>0</v>
      </c>
      <c r="M123" s="453">
        <v>0</v>
      </c>
      <c r="N123" s="453">
        <v>0</v>
      </c>
      <c r="O123" s="453">
        <v>0</v>
      </c>
      <c r="P123" s="453">
        <v>0</v>
      </c>
      <c r="Q123" s="453">
        <v>0</v>
      </c>
      <c r="R123" s="453">
        <v>0</v>
      </c>
      <c r="S123" s="453">
        <v>0</v>
      </c>
      <c r="T123" s="453">
        <v>-337.02</v>
      </c>
      <c r="U123" s="453">
        <v>-402.75</v>
      </c>
      <c r="V123" s="453">
        <v>-538.24</v>
      </c>
      <c r="W123" s="453">
        <v>-337.02</v>
      </c>
      <c r="X123" s="453">
        <v>-337.02</v>
      </c>
      <c r="Y123" s="453">
        <v>-421.3599999999999</v>
      </c>
      <c r="Z123" s="453">
        <v>-171.70000000000027</v>
      </c>
      <c r="AA123" s="453">
        <v>-211.57999999999993</v>
      </c>
      <c r="AB123" s="453">
        <v>-31.230000000000018</v>
      </c>
      <c r="AC123" s="453">
        <v>-580.5</v>
      </c>
      <c r="AD123" s="453">
        <v>-336.56999999999971</v>
      </c>
      <c r="AE123" s="453">
        <v>-336.57000000000016</v>
      </c>
      <c r="AF123" s="453">
        <v>0</v>
      </c>
      <c r="AG123" s="453">
        <v>0</v>
      </c>
      <c r="AH123" s="453">
        <v>0</v>
      </c>
      <c r="AI123" s="453">
        <v>0</v>
      </c>
      <c r="AJ123" s="453">
        <v>0</v>
      </c>
      <c r="AK123" s="453">
        <v>0</v>
      </c>
      <c r="AL123" s="453">
        <v>0</v>
      </c>
      <c r="AM123" s="453">
        <v>0</v>
      </c>
      <c r="AN123" s="453">
        <v>0</v>
      </c>
    </row>
    <row r="124" spans="1:40" outlineLevel="1" collapsed="1" x14ac:dyDescent="0.25">
      <c r="A124" s="452">
        <v>4526</v>
      </c>
      <c r="B124" t="s">
        <v>1414</v>
      </c>
      <c r="C124" t="s">
        <v>1413</v>
      </c>
      <c r="D124" t="s">
        <v>1391</v>
      </c>
      <c r="E124" s="453">
        <f t="shared" si="23"/>
        <v>0</v>
      </c>
      <c r="F124" s="453">
        <f t="shared" si="24"/>
        <v>0</v>
      </c>
      <c r="G124" s="453">
        <f t="shared" si="25"/>
        <v>-3152.8800000000006</v>
      </c>
      <c r="H124" s="453">
        <v>0</v>
      </c>
      <c r="I124" s="453">
        <v>0</v>
      </c>
      <c r="J124" s="453">
        <v>0</v>
      </c>
      <c r="K124" s="453">
        <v>0</v>
      </c>
      <c r="L124" s="453">
        <v>0</v>
      </c>
      <c r="M124" s="453">
        <v>0</v>
      </c>
      <c r="N124" s="453">
        <v>0</v>
      </c>
      <c r="O124" s="453">
        <v>0</v>
      </c>
      <c r="P124" s="453">
        <v>0</v>
      </c>
      <c r="Q124" s="453">
        <v>0</v>
      </c>
      <c r="R124" s="453">
        <v>0</v>
      </c>
      <c r="S124" s="453">
        <v>0</v>
      </c>
      <c r="T124" s="453">
        <v>0</v>
      </c>
      <c r="U124" s="453">
        <v>0</v>
      </c>
      <c r="V124" s="453">
        <v>0</v>
      </c>
      <c r="W124" s="453">
        <v>0</v>
      </c>
      <c r="X124" s="453">
        <v>0</v>
      </c>
      <c r="Y124" s="453">
        <v>0</v>
      </c>
      <c r="Z124" s="453">
        <v>0</v>
      </c>
      <c r="AA124" s="453">
        <v>0</v>
      </c>
      <c r="AB124" s="453">
        <v>0</v>
      </c>
      <c r="AC124" s="453">
        <v>0</v>
      </c>
      <c r="AD124" s="453">
        <v>0</v>
      </c>
      <c r="AE124" s="453">
        <v>0</v>
      </c>
      <c r="AF124" s="453">
        <v>-350.32</v>
      </c>
      <c r="AG124" s="453">
        <v>-350.32</v>
      </c>
      <c r="AH124" s="453">
        <v>-350.32000000000005</v>
      </c>
      <c r="AI124" s="453">
        <v>-350.31999999999994</v>
      </c>
      <c r="AJ124" s="453">
        <v>-350.31999999999994</v>
      </c>
      <c r="AK124" s="453">
        <v>-350.32000000000016</v>
      </c>
      <c r="AL124" s="453">
        <v>-350.31999999999971</v>
      </c>
      <c r="AM124" s="453">
        <v>-350.32000000000016</v>
      </c>
      <c r="AN124" s="453">
        <v>-350.32000000000016</v>
      </c>
    </row>
    <row r="125" spans="1:40" outlineLevel="1" collapsed="1" x14ac:dyDescent="0.25">
      <c r="A125" s="452">
        <v>4527</v>
      </c>
      <c r="B125" t="s">
        <v>1415</v>
      </c>
      <c r="C125" t="s">
        <v>1416</v>
      </c>
      <c r="D125" t="s">
        <v>1391</v>
      </c>
      <c r="E125" s="453">
        <f t="shared" si="23"/>
        <v>-2199.46</v>
      </c>
      <c r="F125" s="453">
        <f t="shared" si="24"/>
        <v>0</v>
      </c>
      <c r="G125" s="453">
        <f t="shared" si="25"/>
        <v>0</v>
      </c>
      <c r="H125" s="453">
        <v>-137.33000000000001</v>
      </c>
      <c r="I125" s="453">
        <v>-137.33000000000001</v>
      </c>
      <c r="J125" s="453">
        <v>-106.96999999999997</v>
      </c>
      <c r="K125" s="453">
        <v>-471.11</v>
      </c>
      <c r="L125" s="453">
        <v>-185.47000000000003</v>
      </c>
      <c r="M125" s="453">
        <v>-185.47000000000003</v>
      </c>
      <c r="N125" s="453">
        <v>-185.47000000000003</v>
      </c>
      <c r="O125" s="453">
        <v>-185.4699999999998</v>
      </c>
      <c r="P125" s="453">
        <v>-159.29000000000019</v>
      </c>
      <c r="Q125" s="453">
        <v>-185.47000000000003</v>
      </c>
      <c r="R125" s="453">
        <v>-185.4699999999998</v>
      </c>
      <c r="S125" s="453">
        <v>-74.610000000000127</v>
      </c>
      <c r="T125" s="453">
        <v>0</v>
      </c>
      <c r="U125" s="453">
        <v>0</v>
      </c>
      <c r="V125" s="453">
        <v>0</v>
      </c>
      <c r="W125" s="453">
        <v>0</v>
      </c>
      <c r="X125" s="453">
        <v>0</v>
      </c>
      <c r="Y125" s="453">
        <v>0</v>
      </c>
      <c r="Z125" s="453">
        <v>0</v>
      </c>
      <c r="AA125" s="453">
        <v>0</v>
      </c>
      <c r="AB125" s="453">
        <v>0</v>
      </c>
      <c r="AC125" s="453">
        <v>0</v>
      </c>
      <c r="AD125" s="453">
        <v>0</v>
      </c>
      <c r="AE125" s="453">
        <v>0</v>
      </c>
      <c r="AF125" s="453">
        <v>0</v>
      </c>
      <c r="AG125" s="453">
        <v>0</v>
      </c>
      <c r="AH125" s="453">
        <v>0</v>
      </c>
      <c r="AI125" s="453">
        <v>0</v>
      </c>
      <c r="AJ125" s="453">
        <v>0</v>
      </c>
      <c r="AK125" s="453">
        <v>0</v>
      </c>
      <c r="AL125" s="453">
        <v>0</v>
      </c>
      <c r="AM125" s="453">
        <v>0</v>
      </c>
      <c r="AN125" s="453">
        <v>0</v>
      </c>
    </row>
    <row r="126" spans="1:40" outlineLevel="1" collapsed="1" x14ac:dyDescent="0.25">
      <c r="A126" s="452">
        <v>4527</v>
      </c>
      <c r="B126" t="s">
        <v>1417</v>
      </c>
      <c r="C126" t="s">
        <v>1418</v>
      </c>
      <c r="D126" t="s">
        <v>1391</v>
      </c>
      <c r="E126" s="453">
        <f t="shared" si="23"/>
        <v>0</v>
      </c>
      <c r="F126" s="453">
        <f t="shared" si="24"/>
        <v>-2424.8100000000004</v>
      </c>
      <c r="G126" s="453">
        <f t="shared" si="25"/>
        <v>-2158.02</v>
      </c>
      <c r="H126" s="453">
        <v>0</v>
      </c>
      <c r="I126" s="453">
        <v>0</v>
      </c>
      <c r="J126" s="453">
        <v>0</v>
      </c>
      <c r="K126" s="453">
        <v>0</v>
      </c>
      <c r="L126" s="453">
        <v>0</v>
      </c>
      <c r="M126" s="453">
        <v>0</v>
      </c>
      <c r="N126" s="453">
        <v>0</v>
      </c>
      <c r="O126" s="453">
        <v>0</v>
      </c>
      <c r="P126" s="453">
        <v>0</v>
      </c>
      <c r="Q126" s="453">
        <v>0</v>
      </c>
      <c r="R126" s="453">
        <v>0</v>
      </c>
      <c r="S126" s="453">
        <v>0</v>
      </c>
      <c r="T126" s="453">
        <v>-256.51</v>
      </c>
      <c r="U126" s="453">
        <v>-256.51</v>
      </c>
      <c r="V126" s="453">
        <v>-256.51</v>
      </c>
      <c r="W126" s="453">
        <v>-256.51</v>
      </c>
      <c r="X126" s="453">
        <v>-256.51</v>
      </c>
      <c r="Y126" s="453">
        <v>-147.01999999999998</v>
      </c>
      <c r="Z126" s="453">
        <v>-165.88000000000011</v>
      </c>
      <c r="AA126" s="453">
        <v>-165.87999999999988</v>
      </c>
      <c r="AB126" s="453">
        <v>-165.88000000000011</v>
      </c>
      <c r="AC126" s="453">
        <v>-165.88000000000011</v>
      </c>
      <c r="AD126" s="453">
        <v>-165.87999999999965</v>
      </c>
      <c r="AE126" s="453">
        <v>-165.84000000000015</v>
      </c>
      <c r="AF126" s="453">
        <v>-239.78</v>
      </c>
      <c r="AG126" s="453">
        <v>-239.78</v>
      </c>
      <c r="AH126" s="453">
        <v>-239.78000000000003</v>
      </c>
      <c r="AI126" s="453">
        <v>-239.77999999999997</v>
      </c>
      <c r="AJ126" s="453">
        <v>-239.78000000000009</v>
      </c>
      <c r="AK126" s="453">
        <v>-239.77999999999997</v>
      </c>
      <c r="AL126" s="453">
        <v>-239.77999999999997</v>
      </c>
      <c r="AM126" s="453">
        <v>-239.77999999999997</v>
      </c>
      <c r="AN126" s="453">
        <v>-239.77999999999997</v>
      </c>
    </row>
    <row r="127" spans="1:40" outlineLevel="1" collapsed="1" x14ac:dyDescent="0.25">
      <c r="A127" s="452">
        <v>4528</v>
      </c>
      <c r="B127" t="s">
        <v>1419</v>
      </c>
      <c r="C127" t="s">
        <v>1420</v>
      </c>
      <c r="D127" t="s">
        <v>1391</v>
      </c>
      <c r="E127" s="453">
        <f t="shared" si="23"/>
        <v>-1253.29</v>
      </c>
      <c r="F127" s="453">
        <f t="shared" si="24"/>
        <v>-1968.0000000000005</v>
      </c>
      <c r="G127" s="453">
        <f t="shared" si="25"/>
        <v>-2158.02</v>
      </c>
      <c r="H127" s="453">
        <v>-185.79</v>
      </c>
      <c r="I127" s="453">
        <v>-185.79</v>
      </c>
      <c r="J127" s="453">
        <v>-106.97000000000003</v>
      </c>
      <c r="K127" s="453">
        <v>478.55</v>
      </c>
      <c r="L127" s="453">
        <v>0</v>
      </c>
      <c r="M127" s="453">
        <v>-208.89</v>
      </c>
      <c r="N127" s="453">
        <v>-208.89</v>
      </c>
      <c r="O127" s="453">
        <v>-208.89</v>
      </c>
      <c r="P127" s="453">
        <v>-208.89</v>
      </c>
      <c r="Q127" s="453">
        <v>-208.8900000000001</v>
      </c>
      <c r="R127" s="453">
        <v>-208.88999999999987</v>
      </c>
      <c r="S127" s="453">
        <v>4.9999999999954525E-2</v>
      </c>
      <c r="T127" s="453">
        <v>-216.92</v>
      </c>
      <c r="U127" s="453">
        <v>-216.92</v>
      </c>
      <c r="V127" s="453">
        <v>-216.92000000000002</v>
      </c>
      <c r="W127" s="453">
        <v>-216.91999999999996</v>
      </c>
      <c r="X127" s="453">
        <v>-216.91999999999996</v>
      </c>
      <c r="Y127" s="453">
        <v>-126.20000000000005</v>
      </c>
      <c r="Z127" s="453">
        <v>-126.20000000000005</v>
      </c>
      <c r="AA127" s="453">
        <v>-126.20000000000005</v>
      </c>
      <c r="AB127" s="453">
        <v>-126.20000000000005</v>
      </c>
      <c r="AC127" s="453">
        <v>-126.19999999999982</v>
      </c>
      <c r="AD127" s="453">
        <v>-126.20000000000005</v>
      </c>
      <c r="AE127" s="453">
        <v>-126.20000000000005</v>
      </c>
      <c r="AF127" s="453">
        <v>-239.78</v>
      </c>
      <c r="AG127" s="453">
        <v>-239.78</v>
      </c>
      <c r="AH127" s="453">
        <v>-239.78000000000003</v>
      </c>
      <c r="AI127" s="453">
        <v>-239.77999999999997</v>
      </c>
      <c r="AJ127" s="453">
        <v>-239.78000000000009</v>
      </c>
      <c r="AK127" s="453">
        <v>-239.77999999999997</v>
      </c>
      <c r="AL127" s="453">
        <v>-239.77999999999997</v>
      </c>
      <c r="AM127" s="453">
        <v>-239.77999999999997</v>
      </c>
      <c r="AN127" s="453">
        <v>-239.77999999999997</v>
      </c>
    </row>
    <row r="128" spans="1:40" outlineLevel="1" collapsed="1" x14ac:dyDescent="0.25">
      <c r="A128" s="452">
        <v>4529</v>
      </c>
      <c r="B128" t="s">
        <v>1421</v>
      </c>
      <c r="C128" t="s">
        <v>1422</v>
      </c>
      <c r="D128" t="s">
        <v>1391</v>
      </c>
      <c r="E128" s="453">
        <f t="shared" si="23"/>
        <v>-222.40000000000003</v>
      </c>
      <c r="F128" s="453">
        <f t="shared" si="24"/>
        <v>-661.39999999999975</v>
      </c>
      <c r="G128" s="453">
        <f t="shared" si="25"/>
        <v>-729.9</v>
      </c>
      <c r="H128" s="453">
        <v>-103.57</v>
      </c>
      <c r="I128" s="453">
        <v>-103.57</v>
      </c>
      <c r="J128" s="453">
        <v>-78.5</v>
      </c>
      <c r="K128" s="453">
        <v>285.64</v>
      </c>
      <c r="L128" s="453">
        <v>-27.8</v>
      </c>
      <c r="M128" s="453">
        <v>-27.8</v>
      </c>
      <c r="N128" s="453">
        <v>-27.800000000000004</v>
      </c>
      <c r="O128" s="453">
        <v>-27.799999999999997</v>
      </c>
      <c r="P128" s="453">
        <v>-27.799999999999997</v>
      </c>
      <c r="Q128" s="453">
        <v>-27.800000000000011</v>
      </c>
      <c r="R128" s="453">
        <v>-27.799999999999983</v>
      </c>
      <c r="S128" s="453">
        <v>-27.800000000000011</v>
      </c>
      <c r="T128" s="453">
        <v>-27.8</v>
      </c>
      <c r="U128" s="453">
        <v>-27.8</v>
      </c>
      <c r="V128" s="453">
        <v>-27.800000000000004</v>
      </c>
      <c r="W128" s="453">
        <v>-27.799999999999997</v>
      </c>
      <c r="X128" s="453">
        <v>-27.799999999999997</v>
      </c>
      <c r="Y128" s="453">
        <v>-87.4</v>
      </c>
      <c r="Z128" s="453">
        <v>-72.499999999999972</v>
      </c>
      <c r="AA128" s="453">
        <v>-72.5</v>
      </c>
      <c r="AB128" s="453">
        <v>-72.5</v>
      </c>
      <c r="AC128" s="453">
        <v>-72.5</v>
      </c>
      <c r="AD128" s="453">
        <v>-72.5</v>
      </c>
      <c r="AE128" s="453">
        <v>-72.5</v>
      </c>
      <c r="AF128" s="453">
        <v>-72.5</v>
      </c>
      <c r="AG128" s="453">
        <v>-72.5</v>
      </c>
      <c r="AH128" s="453">
        <v>-72.5</v>
      </c>
      <c r="AI128" s="453">
        <v>-72.5</v>
      </c>
      <c r="AJ128" s="453">
        <v>-98.300000000000011</v>
      </c>
      <c r="AK128" s="453">
        <v>-85.399999999999977</v>
      </c>
      <c r="AL128" s="453">
        <v>-85.400000000000034</v>
      </c>
      <c r="AM128" s="453">
        <v>-85.399999999999977</v>
      </c>
      <c r="AN128" s="453">
        <v>-85.399999999999977</v>
      </c>
    </row>
    <row r="129" spans="1:40" outlineLevel="1" collapsed="1" x14ac:dyDescent="0.25">
      <c r="A129" s="452">
        <v>4530</v>
      </c>
      <c r="B129" t="s">
        <v>1423</v>
      </c>
      <c r="C129" t="s">
        <v>1424</v>
      </c>
      <c r="D129" t="s">
        <v>1391</v>
      </c>
      <c r="E129" s="453">
        <f t="shared" si="23"/>
        <v>-2174.3200000000002</v>
      </c>
      <c r="F129" s="453">
        <f t="shared" si="24"/>
        <v>0</v>
      </c>
      <c r="G129" s="453">
        <f t="shared" si="25"/>
        <v>0</v>
      </c>
      <c r="H129" s="453">
        <v>-146.47</v>
      </c>
      <c r="I129" s="453">
        <v>-82.449999999999989</v>
      </c>
      <c r="J129" s="453">
        <v>-143.18000000000004</v>
      </c>
      <c r="K129" s="453">
        <v>-335.37</v>
      </c>
      <c r="L129" s="453">
        <v>-14.019999999999982</v>
      </c>
      <c r="M129" s="453">
        <v>0</v>
      </c>
      <c r="N129" s="453">
        <v>-154.53999999999996</v>
      </c>
      <c r="O129" s="453">
        <v>-235.95000000000005</v>
      </c>
      <c r="P129" s="453">
        <v>-319.42000000000007</v>
      </c>
      <c r="Q129" s="453">
        <v>-242.12999999999988</v>
      </c>
      <c r="R129" s="453">
        <v>-237.91000000000008</v>
      </c>
      <c r="S129" s="453">
        <v>-262.88000000000011</v>
      </c>
      <c r="T129" s="453">
        <v>0</v>
      </c>
      <c r="U129" s="453">
        <v>0</v>
      </c>
      <c r="V129" s="453">
        <v>0</v>
      </c>
      <c r="W129" s="453">
        <v>0</v>
      </c>
      <c r="X129" s="453">
        <v>0</v>
      </c>
      <c r="Y129" s="453">
        <v>0</v>
      </c>
      <c r="Z129" s="453">
        <v>0</v>
      </c>
      <c r="AA129" s="453">
        <v>0</v>
      </c>
      <c r="AB129" s="453">
        <v>0</v>
      </c>
      <c r="AC129" s="453">
        <v>0</v>
      </c>
      <c r="AD129" s="453">
        <v>0</v>
      </c>
      <c r="AE129" s="453">
        <v>0</v>
      </c>
      <c r="AF129" s="453">
        <v>0</v>
      </c>
      <c r="AG129" s="453">
        <v>0</v>
      </c>
      <c r="AH129" s="453">
        <v>0</v>
      </c>
      <c r="AI129" s="453">
        <v>0</v>
      </c>
      <c r="AJ129" s="453">
        <v>0</v>
      </c>
      <c r="AK129" s="453">
        <v>0</v>
      </c>
      <c r="AL129" s="453">
        <v>0</v>
      </c>
      <c r="AM129" s="453">
        <v>0</v>
      </c>
      <c r="AN129" s="453">
        <v>0</v>
      </c>
    </row>
    <row r="130" spans="1:40" outlineLevel="1" collapsed="1" x14ac:dyDescent="0.25">
      <c r="A130" s="452">
        <v>4530</v>
      </c>
      <c r="B130" t="s">
        <v>1425</v>
      </c>
      <c r="C130" t="s">
        <v>1426</v>
      </c>
      <c r="D130" t="s">
        <v>1391</v>
      </c>
      <c r="E130" s="453">
        <f t="shared" si="23"/>
        <v>0</v>
      </c>
      <c r="F130" s="453">
        <f t="shared" si="24"/>
        <v>-663.18</v>
      </c>
      <c r="G130" s="453">
        <f t="shared" si="25"/>
        <v>0</v>
      </c>
      <c r="H130" s="453">
        <v>0</v>
      </c>
      <c r="I130" s="453">
        <v>0</v>
      </c>
      <c r="J130" s="453">
        <v>0</v>
      </c>
      <c r="K130" s="453">
        <v>0</v>
      </c>
      <c r="L130" s="453">
        <v>0</v>
      </c>
      <c r="M130" s="453">
        <v>0</v>
      </c>
      <c r="N130" s="453">
        <v>0</v>
      </c>
      <c r="O130" s="453">
        <v>0</v>
      </c>
      <c r="P130" s="453">
        <v>0</v>
      </c>
      <c r="Q130" s="453">
        <v>0</v>
      </c>
      <c r="R130" s="453">
        <v>0</v>
      </c>
      <c r="S130" s="453">
        <v>0</v>
      </c>
      <c r="T130" s="453">
        <v>-215.16</v>
      </c>
      <c r="U130" s="453">
        <v>0</v>
      </c>
      <c r="V130" s="453">
        <v>-278.10000000000002</v>
      </c>
      <c r="W130" s="453">
        <v>0</v>
      </c>
      <c r="X130" s="453">
        <v>0</v>
      </c>
      <c r="Y130" s="453">
        <v>0</v>
      </c>
      <c r="Z130" s="453">
        <v>0</v>
      </c>
      <c r="AA130" s="453">
        <v>-56.419999999999959</v>
      </c>
      <c r="AB130" s="453">
        <v>-113.5</v>
      </c>
      <c r="AC130" s="453">
        <v>0</v>
      </c>
      <c r="AD130" s="453">
        <v>0</v>
      </c>
      <c r="AE130" s="453">
        <v>0</v>
      </c>
      <c r="AF130" s="453">
        <v>0</v>
      </c>
      <c r="AG130" s="453">
        <v>0</v>
      </c>
      <c r="AH130" s="453">
        <v>0</v>
      </c>
      <c r="AI130" s="453">
        <v>0</v>
      </c>
      <c r="AJ130" s="453">
        <v>0</v>
      </c>
      <c r="AK130" s="453">
        <v>0</v>
      </c>
      <c r="AL130" s="453">
        <v>0</v>
      </c>
      <c r="AM130" s="453">
        <v>0</v>
      </c>
      <c r="AN130" s="453">
        <v>0</v>
      </c>
    </row>
    <row r="131" spans="1:40" outlineLevel="1" collapsed="1" x14ac:dyDescent="0.25">
      <c r="A131" s="452">
        <v>4530</v>
      </c>
      <c r="B131" t="s">
        <v>1427</v>
      </c>
      <c r="C131" t="s">
        <v>1426</v>
      </c>
      <c r="D131" t="s">
        <v>1391</v>
      </c>
      <c r="E131" s="453">
        <f t="shared" si="23"/>
        <v>0</v>
      </c>
      <c r="F131" s="453">
        <f t="shared" si="24"/>
        <v>0</v>
      </c>
      <c r="G131" s="453">
        <f t="shared" si="25"/>
        <v>-231.14999999999995</v>
      </c>
      <c r="H131" s="453">
        <v>0</v>
      </c>
      <c r="I131" s="453">
        <v>0</v>
      </c>
      <c r="J131" s="453">
        <v>0</v>
      </c>
      <c r="K131" s="453">
        <v>0</v>
      </c>
      <c r="L131" s="453">
        <v>0</v>
      </c>
      <c r="M131" s="453">
        <v>0</v>
      </c>
      <c r="N131" s="453">
        <v>0</v>
      </c>
      <c r="O131" s="453">
        <v>0</v>
      </c>
      <c r="P131" s="453">
        <v>0</v>
      </c>
      <c r="Q131" s="453">
        <v>0</v>
      </c>
      <c r="R131" s="453">
        <v>0</v>
      </c>
      <c r="S131" s="453">
        <v>0</v>
      </c>
      <c r="T131" s="453">
        <v>0</v>
      </c>
      <c r="U131" s="453">
        <v>0</v>
      </c>
      <c r="V131" s="453">
        <v>0</v>
      </c>
      <c r="W131" s="453">
        <v>0</v>
      </c>
      <c r="X131" s="453">
        <v>0</v>
      </c>
      <c r="Y131" s="453">
        <v>0</v>
      </c>
      <c r="Z131" s="453">
        <v>0</v>
      </c>
      <c r="AA131" s="453">
        <v>0</v>
      </c>
      <c r="AB131" s="453">
        <v>0</v>
      </c>
      <c r="AC131" s="453">
        <v>0</v>
      </c>
      <c r="AD131" s="453">
        <v>0</v>
      </c>
      <c r="AE131" s="453">
        <v>0</v>
      </c>
      <c r="AF131" s="453">
        <v>0</v>
      </c>
      <c r="AG131" s="453">
        <v>-13.67</v>
      </c>
      <c r="AH131" s="453">
        <v>-42.019999999999996</v>
      </c>
      <c r="AI131" s="453">
        <v>0</v>
      </c>
      <c r="AJ131" s="453">
        <v>0</v>
      </c>
      <c r="AK131" s="453">
        <v>-26.58</v>
      </c>
      <c r="AL131" s="453">
        <v>-67.280000000000015</v>
      </c>
      <c r="AM131" s="453">
        <v>0</v>
      </c>
      <c r="AN131" s="453">
        <v>-81.599999999999994</v>
      </c>
    </row>
    <row r="132" spans="1:40" outlineLevel="1" collapsed="1" x14ac:dyDescent="0.25">
      <c r="A132" s="452">
        <v>4531</v>
      </c>
      <c r="B132" t="s">
        <v>1428</v>
      </c>
      <c r="C132" t="s">
        <v>1429</v>
      </c>
      <c r="D132" t="s">
        <v>1391</v>
      </c>
      <c r="E132" s="453">
        <f t="shared" si="23"/>
        <v>0</v>
      </c>
      <c r="F132" s="453">
        <f t="shared" si="24"/>
        <v>0</v>
      </c>
      <c r="G132" s="453">
        <f t="shared" si="25"/>
        <v>0</v>
      </c>
      <c r="H132" s="453">
        <v>0</v>
      </c>
      <c r="I132" s="453">
        <v>0</v>
      </c>
      <c r="J132" s="453">
        <v>0</v>
      </c>
      <c r="K132" s="453">
        <v>0</v>
      </c>
      <c r="L132" s="453">
        <v>0</v>
      </c>
      <c r="M132" s="453">
        <v>0</v>
      </c>
      <c r="N132" s="453">
        <v>0</v>
      </c>
      <c r="O132" s="453">
        <v>0</v>
      </c>
      <c r="P132" s="453">
        <v>0</v>
      </c>
      <c r="Q132" s="453">
        <v>0</v>
      </c>
      <c r="R132" s="453">
        <v>0</v>
      </c>
      <c r="S132" s="453">
        <v>0</v>
      </c>
      <c r="T132" s="453">
        <v>0</v>
      </c>
      <c r="U132" s="453">
        <v>0</v>
      </c>
      <c r="V132" s="453">
        <v>0</v>
      </c>
      <c r="W132" s="453">
        <v>0</v>
      </c>
      <c r="X132" s="453">
        <v>0</v>
      </c>
      <c r="Y132" s="453">
        <v>0</v>
      </c>
      <c r="Z132" s="453">
        <v>0</v>
      </c>
      <c r="AA132" s="453">
        <v>0</v>
      </c>
      <c r="AB132" s="453">
        <v>0</v>
      </c>
      <c r="AC132" s="453">
        <v>0</v>
      </c>
      <c r="AD132" s="453">
        <v>0</v>
      </c>
      <c r="AE132" s="453">
        <v>0</v>
      </c>
      <c r="AF132" s="453">
        <v>0</v>
      </c>
      <c r="AG132" s="453">
        <v>0</v>
      </c>
      <c r="AH132" s="453">
        <v>0</v>
      </c>
      <c r="AI132" s="453">
        <v>0</v>
      </c>
      <c r="AJ132" s="453">
        <v>0</v>
      </c>
      <c r="AK132" s="453">
        <v>0</v>
      </c>
      <c r="AL132" s="453">
        <v>0</v>
      </c>
      <c r="AM132" s="453">
        <v>0</v>
      </c>
      <c r="AN132" s="453">
        <v>0</v>
      </c>
    </row>
    <row r="133" spans="1:40" outlineLevel="1" collapsed="1" x14ac:dyDescent="0.25">
      <c r="A133" s="452">
        <v>4532</v>
      </c>
      <c r="B133" t="s">
        <v>1430</v>
      </c>
      <c r="C133" t="s">
        <v>1431</v>
      </c>
      <c r="D133" t="s">
        <v>1391</v>
      </c>
      <c r="E133" s="453">
        <f t="shared" si="23"/>
        <v>-3175.21</v>
      </c>
      <c r="F133" s="453">
        <f t="shared" si="24"/>
        <v>0</v>
      </c>
      <c r="G133" s="453">
        <f t="shared" si="25"/>
        <v>0</v>
      </c>
      <c r="H133" s="453">
        <v>-199.27</v>
      </c>
      <c r="I133" s="453">
        <v>-6.7199999999999989</v>
      </c>
      <c r="J133" s="453">
        <v>-643.86</v>
      </c>
      <c r="K133" s="453">
        <v>-194.89</v>
      </c>
      <c r="L133" s="453">
        <v>-104.65000000000009</v>
      </c>
      <c r="M133" s="453">
        <v>-330.9699999999998</v>
      </c>
      <c r="N133" s="453">
        <v>-52.960000000000036</v>
      </c>
      <c r="O133" s="453">
        <v>-400.43000000000006</v>
      </c>
      <c r="P133" s="453">
        <v>-279.42999999999984</v>
      </c>
      <c r="Q133" s="453">
        <v>-126.43000000000029</v>
      </c>
      <c r="R133" s="453">
        <v>-212.63999999999987</v>
      </c>
      <c r="S133" s="453">
        <v>-622.96</v>
      </c>
      <c r="T133" s="453">
        <v>0</v>
      </c>
      <c r="U133" s="453">
        <v>0</v>
      </c>
      <c r="V133" s="453">
        <v>0</v>
      </c>
      <c r="W133" s="453">
        <v>0</v>
      </c>
      <c r="X133" s="453">
        <v>0</v>
      </c>
      <c r="Y133" s="453">
        <v>0</v>
      </c>
      <c r="Z133" s="453">
        <v>0</v>
      </c>
      <c r="AA133" s="453">
        <v>0</v>
      </c>
      <c r="AB133" s="453">
        <v>0</v>
      </c>
      <c r="AC133" s="453">
        <v>0</v>
      </c>
      <c r="AD133" s="453">
        <v>0</v>
      </c>
      <c r="AE133" s="453">
        <v>0</v>
      </c>
      <c r="AF133" s="453">
        <v>0</v>
      </c>
      <c r="AG133" s="453">
        <v>0</v>
      </c>
      <c r="AH133" s="453">
        <v>0</v>
      </c>
      <c r="AI133" s="453">
        <v>0</v>
      </c>
      <c r="AJ133" s="453">
        <v>0</v>
      </c>
      <c r="AK133" s="453">
        <v>0</v>
      </c>
      <c r="AL133" s="453">
        <v>0</v>
      </c>
      <c r="AM133" s="453">
        <v>0</v>
      </c>
      <c r="AN133" s="453">
        <v>0</v>
      </c>
    </row>
    <row r="134" spans="1:40" outlineLevel="1" collapsed="1" x14ac:dyDescent="0.25">
      <c r="A134" s="452">
        <v>4532</v>
      </c>
      <c r="B134" t="s">
        <v>1432</v>
      </c>
      <c r="C134" t="s">
        <v>1433</v>
      </c>
      <c r="D134" t="s">
        <v>1391</v>
      </c>
      <c r="E134" s="453">
        <f t="shared" si="23"/>
        <v>0</v>
      </c>
      <c r="F134" s="453">
        <f t="shared" si="24"/>
        <v>-2032.09</v>
      </c>
      <c r="G134" s="453">
        <f t="shared" si="25"/>
        <v>0</v>
      </c>
      <c r="H134" s="453">
        <v>0</v>
      </c>
      <c r="I134" s="453">
        <v>0</v>
      </c>
      <c r="J134" s="453">
        <v>0</v>
      </c>
      <c r="K134" s="453">
        <v>0</v>
      </c>
      <c r="L134" s="453">
        <v>0</v>
      </c>
      <c r="M134" s="453">
        <v>0</v>
      </c>
      <c r="N134" s="453">
        <v>0</v>
      </c>
      <c r="O134" s="453">
        <v>0</v>
      </c>
      <c r="P134" s="453">
        <v>0</v>
      </c>
      <c r="Q134" s="453">
        <v>0</v>
      </c>
      <c r="R134" s="453">
        <v>0</v>
      </c>
      <c r="S134" s="453">
        <v>0</v>
      </c>
      <c r="T134" s="453">
        <v>0</v>
      </c>
      <c r="U134" s="453">
        <v>-178.33</v>
      </c>
      <c r="V134" s="453">
        <v>-191.89000000000001</v>
      </c>
      <c r="W134" s="453">
        <v>-165.23000000000002</v>
      </c>
      <c r="X134" s="453">
        <v>-541.28</v>
      </c>
      <c r="Y134" s="453">
        <v>-265.41000000000008</v>
      </c>
      <c r="Z134" s="453">
        <v>-76.439999999999827</v>
      </c>
      <c r="AA134" s="453">
        <v>-168.67000000000007</v>
      </c>
      <c r="AB134" s="453">
        <v>22.619999999999891</v>
      </c>
      <c r="AC134" s="453">
        <v>-119.2199999999998</v>
      </c>
      <c r="AD134" s="453">
        <v>-11.7800000000002</v>
      </c>
      <c r="AE134" s="453">
        <v>-336.45999999999981</v>
      </c>
      <c r="AF134" s="453">
        <v>0</v>
      </c>
      <c r="AG134" s="453">
        <v>0</v>
      </c>
      <c r="AH134" s="453">
        <v>0</v>
      </c>
      <c r="AI134" s="453">
        <v>0</v>
      </c>
      <c r="AJ134" s="453">
        <v>0</v>
      </c>
      <c r="AK134" s="453">
        <v>0</v>
      </c>
      <c r="AL134" s="453">
        <v>0</v>
      </c>
      <c r="AM134" s="453">
        <v>0</v>
      </c>
      <c r="AN134" s="453">
        <v>0</v>
      </c>
    </row>
    <row r="135" spans="1:40" outlineLevel="1" collapsed="1" x14ac:dyDescent="0.25">
      <c r="A135" s="452">
        <v>4532</v>
      </c>
      <c r="B135" t="s">
        <v>1434</v>
      </c>
      <c r="C135" t="s">
        <v>1433</v>
      </c>
      <c r="D135" t="s">
        <v>1391</v>
      </c>
      <c r="E135" s="453">
        <f t="shared" si="23"/>
        <v>0</v>
      </c>
      <c r="F135" s="453">
        <f t="shared" si="24"/>
        <v>0</v>
      </c>
      <c r="G135" s="453">
        <f t="shared" si="25"/>
        <v>-1119.5899999999999</v>
      </c>
      <c r="H135" s="453">
        <v>0</v>
      </c>
      <c r="I135" s="453">
        <v>0</v>
      </c>
      <c r="J135" s="453">
        <v>0</v>
      </c>
      <c r="K135" s="453">
        <v>0</v>
      </c>
      <c r="L135" s="453">
        <v>0</v>
      </c>
      <c r="M135" s="453">
        <v>0</v>
      </c>
      <c r="N135" s="453">
        <v>0</v>
      </c>
      <c r="O135" s="453">
        <v>0</v>
      </c>
      <c r="P135" s="453">
        <v>0</v>
      </c>
      <c r="Q135" s="453">
        <v>0</v>
      </c>
      <c r="R135" s="453">
        <v>0</v>
      </c>
      <c r="S135" s="453">
        <v>0</v>
      </c>
      <c r="T135" s="453">
        <v>0</v>
      </c>
      <c r="U135" s="453">
        <v>0</v>
      </c>
      <c r="V135" s="453">
        <v>0</v>
      </c>
      <c r="W135" s="453">
        <v>0</v>
      </c>
      <c r="X135" s="453">
        <v>0</v>
      </c>
      <c r="Y135" s="453">
        <v>0</v>
      </c>
      <c r="Z135" s="453">
        <v>0</v>
      </c>
      <c r="AA135" s="453">
        <v>0</v>
      </c>
      <c r="AB135" s="453">
        <v>0</v>
      </c>
      <c r="AC135" s="453">
        <v>0</v>
      </c>
      <c r="AD135" s="453">
        <v>0</v>
      </c>
      <c r="AE135" s="453">
        <v>0</v>
      </c>
      <c r="AF135" s="453">
        <v>0</v>
      </c>
      <c r="AG135" s="453">
        <v>-151.22999999999999</v>
      </c>
      <c r="AH135" s="453">
        <v>-258.70000000000005</v>
      </c>
      <c r="AI135" s="453">
        <v>-234.06</v>
      </c>
      <c r="AJ135" s="453">
        <v>-218.97000000000003</v>
      </c>
      <c r="AK135" s="453">
        <v>0</v>
      </c>
      <c r="AL135" s="453">
        <v>-35.379999999999995</v>
      </c>
      <c r="AM135" s="453">
        <v>-78.990000000000009</v>
      </c>
      <c r="AN135" s="453">
        <v>-142.25999999999988</v>
      </c>
    </row>
    <row r="136" spans="1:40" outlineLevel="1" collapsed="1" x14ac:dyDescent="0.25">
      <c r="A136" s="452">
        <v>4533</v>
      </c>
      <c r="B136" t="s">
        <v>1435</v>
      </c>
      <c r="C136" t="s">
        <v>1436</v>
      </c>
      <c r="D136" t="s">
        <v>1391</v>
      </c>
      <c r="E136" s="453">
        <f t="shared" si="23"/>
        <v>-4995.3300000000008</v>
      </c>
      <c r="F136" s="453">
        <f t="shared" si="24"/>
        <v>0</v>
      </c>
      <c r="G136" s="453">
        <f t="shared" si="25"/>
        <v>0</v>
      </c>
      <c r="H136" s="453">
        <v>-471.01</v>
      </c>
      <c r="I136" s="453">
        <v>-86.560000000000059</v>
      </c>
      <c r="J136" s="453">
        <v>0</v>
      </c>
      <c r="K136" s="453">
        <v>-390.78999999999996</v>
      </c>
      <c r="L136" s="453">
        <v>-20</v>
      </c>
      <c r="M136" s="453">
        <v>-554.4799999999999</v>
      </c>
      <c r="N136" s="453">
        <v>-167.51999999999998</v>
      </c>
      <c r="O136" s="453">
        <v>-806.1700000000003</v>
      </c>
      <c r="P136" s="453">
        <v>-432.45999999999958</v>
      </c>
      <c r="Q136" s="453">
        <v>-461.58000000000038</v>
      </c>
      <c r="R136" s="453">
        <v>-463.10999999999967</v>
      </c>
      <c r="S136" s="453">
        <v>-1141.6500000000001</v>
      </c>
      <c r="T136" s="453">
        <v>0</v>
      </c>
      <c r="U136" s="453">
        <v>0</v>
      </c>
      <c r="V136" s="453">
        <v>0</v>
      </c>
      <c r="W136" s="453">
        <v>0</v>
      </c>
      <c r="X136" s="453">
        <v>0</v>
      </c>
      <c r="Y136" s="453">
        <v>0</v>
      </c>
      <c r="Z136" s="453">
        <v>0</v>
      </c>
      <c r="AA136" s="453">
        <v>0</v>
      </c>
      <c r="AB136" s="453">
        <v>0</v>
      </c>
      <c r="AC136" s="453">
        <v>0</v>
      </c>
      <c r="AD136" s="453">
        <v>0</v>
      </c>
      <c r="AE136" s="453">
        <v>0</v>
      </c>
      <c r="AF136" s="453">
        <v>0</v>
      </c>
      <c r="AG136" s="453">
        <v>0</v>
      </c>
      <c r="AH136" s="453">
        <v>0</v>
      </c>
      <c r="AI136" s="453">
        <v>0</v>
      </c>
      <c r="AJ136" s="453">
        <v>0</v>
      </c>
      <c r="AK136" s="453">
        <v>0</v>
      </c>
      <c r="AL136" s="453">
        <v>0</v>
      </c>
      <c r="AM136" s="453">
        <v>0</v>
      </c>
      <c r="AN136" s="453">
        <v>0</v>
      </c>
    </row>
    <row r="137" spans="1:40" outlineLevel="1" collapsed="1" x14ac:dyDescent="0.25">
      <c r="A137" s="452">
        <v>4533</v>
      </c>
      <c r="B137" t="s">
        <v>1437</v>
      </c>
      <c r="C137" t="s">
        <v>1438</v>
      </c>
      <c r="D137" t="s">
        <v>1391</v>
      </c>
      <c r="E137" s="453">
        <f t="shared" si="23"/>
        <v>0</v>
      </c>
      <c r="F137" s="453">
        <f t="shared" si="24"/>
        <v>-7361.8100000000013</v>
      </c>
      <c r="G137" s="453">
        <f t="shared" si="25"/>
        <v>-5643.96</v>
      </c>
      <c r="H137" s="453">
        <v>0</v>
      </c>
      <c r="I137" s="453">
        <v>0</v>
      </c>
      <c r="J137" s="453">
        <v>0</v>
      </c>
      <c r="K137" s="453">
        <v>0</v>
      </c>
      <c r="L137" s="453">
        <v>0</v>
      </c>
      <c r="M137" s="453">
        <v>0</v>
      </c>
      <c r="N137" s="453">
        <v>0</v>
      </c>
      <c r="O137" s="453">
        <v>0</v>
      </c>
      <c r="P137" s="453">
        <v>0</v>
      </c>
      <c r="Q137" s="453">
        <v>0</v>
      </c>
      <c r="R137" s="453">
        <v>0</v>
      </c>
      <c r="S137" s="453">
        <v>0</v>
      </c>
      <c r="T137" s="453">
        <v>0</v>
      </c>
      <c r="U137" s="453">
        <v>-477.6</v>
      </c>
      <c r="V137" s="453">
        <v>-569.84</v>
      </c>
      <c r="W137" s="453">
        <v>-354.52</v>
      </c>
      <c r="X137" s="453">
        <v>-477.3599999999999</v>
      </c>
      <c r="Y137" s="453">
        <v>-388.62999999999988</v>
      </c>
      <c r="Z137" s="453">
        <v>-744.58000000000038</v>
      </c>
      <c r="AA137" s="453">
        <v>-783.54</v>
      </c>
      <c r="AB137" s="453">
        <v>-692.82000000000016</v>
      </c>
      <c r="AC137" s="453">
        <v>-670.63000000000011</v>
      </c>
      <c r="AD137" s="453">
        <v>-851.16999999999916</v>
      </c>
      <c r="AE137" s="453">
        <v>-1351.1200000000008</v>
      </c>
      <c r="AF137" s="453">
        <v>0</v>
      </c>
      <c r="AG137" s="453">
        <v>-564.49</v>
      </c>
      <c r="AH137" s="453">
        <v>-655.93000000000006</v>
      </c>
      <c r="AI137" s="453">
        <v>-750.89999999999986</v>
      </c>
      <c r="AJ137" s="453">
        <v>-615.52000000000021</v>
      </c>
      <c r="AK137" s="453">
        <v>-639.52999999999975</v>
      </c>
      <c r="AL137" s="453">
        <v>-794.11000000000013</v>
      </c>
      <c r="AM137" s="453">
        <v>-777.92999999999984</v>
      </c>
      <c r="AN137" s="453">
        <v>-845.55000000000018</v>
      </c>
    </row>
    <row r="138" spans="1:40" outlineLevel="1" collapsed="1" x14ac:dyDescent="0.25">
      <c r="A138" s="452">
        <v>4534</v>
      </c>
      <c r="B138" t="s">
        <v>1439</v>
      </c>
      <c r="C138" t="s">
        <v>1440</v>
      </c>
      <c r="D138" t="s">
        <v>1391</v>
      </c>
      <c r="E138" s="453">
        <f t="shared" si="23"/>
        <v>-6585.3000000000011</v>
      </c>
      <c r="F138" s="453">
        <f t="shared" si="24"/>
        <v>0</v>
      </c>
      <c r="G138" s="453">
        <f t="shared" si="25"/>
        <v>-3201.38</v>
      </c>
      <c r="H138" s="453">
        <v>-1102.0999999999999</v>
      </c>
      <c r="I138" s="453">
        <v>0</v>
      </c>
      <c r="J138" s="453">
        <v>-2261</v>
      </c>
      <c r="K138" s="453">
        <v>-58.820000000000164</v>
      </c>
      <c r="L138" s="453">
        <v>402.57000000000016</v>
      </c>
      <c r="M138" s="453">
        <v>0</v>
      </c>
      <c r="N138" s="453">
        <v>-243.40000000000009</v>
      </c>
      <c r="O138" s="453">
        <v>-263.21000000000004</v>
      </c>
      <c r="P138" s="453">
        <v>0</v>
      </c>
      <c r="Q138" s="453">
        <v>-164.7199999999998</v>
      </c>
      <c r="R138" s="453">
        <v>-8.4000000000000909</v>
      </c>
      <c r="S138" s="453">
        <v>-2886.2200000000003</v>
      </c>
      <c r="T138" s="453">
        <v>0</v>
      </c>
      <c r="U138" s="453">
        <v>0</v>
      </c>
      <c r="V138" s="453">
        <v>0</v>
      </c>
      <c r="W138" s="453">
        <v>0</v>
      </c>
      <c r="X138" s="453">
        <v>0</v>
      </c>
      <c r="Y138" s="453">
        <v>0</v>
      </c>
      <c r="Z138" s="453">
        <v>0</v>
      </c>
      <c r="AA138" s="453">
        <v>0</v>
      </c>
      <c r="AB138" s="453">
        <v>0</v>
      </c>
      <c r="AC138" s="453">
        <v>0</v>
      </c>
      <c r="AD138" s="453">
        <v>0</v>
      </c>
      <c r="AE138" s="453">
        <v>0</v>
      </c>
      <c r="AF138" s="453">
        <v>0</v>
      </c>
      <c r="AG138" s="453">
        <v>0</v>
      </c>
      <c r="AH138" s="453">
        <v>-179.29</v>
      </c>
      <c r="AI138" s="453">
        <v>-133.15</v>
      </c>
      <c r="AJ138" s="453">
        <v>-242.85999999999996</v>
      </c>
      <c r="AK138" s="453">
        <v>-1159.44</v>
      </c>
      <c r="AL138" s="453">
        <v>-698.76</v>
      </c>
      <c r="AM138" s="453">
        <v>-436.69999999999982</v>
      </c>
      <c r="AN138" s="453">
        <v>-351.18000000000029</v>
      </c>
    </row>
    <row r="139" spans="1:40" outlineLevel="1" collapsed="1" x14ac:dyDescent="0.25">
      <c r="A139" s="452">
        <v>4534</v>
      </c>
      <c r="B139" t="s">
        <v>1441</v>
      </c>
      <c r="C139" t="s">
        <v>1440</v>
      </c>
      <c r="D139" t="s">
        <v>1391</v>
      </c>
      <c r="E139" s="453">
        <f t="shared" si="23"/>
        <v>0</v>
      </c>
      <c r="F139" s="453">
        <f t="shared" si="24"/>
        <v>-10298.84</v>
      </c>
      <c r="G139" s="453">
        <f t="shared" si="25"/>
        <v>0</v>
      </c>
      <c r="H139" s="453">
        <v>0</v>
      </c>
      <c r="I139" s="453">
        <v>0</v>
      </c>
      <c r="J139" s="453">
        <v>0</v>
      </c>
      <c r="K139" s="453">
        <v>0</v>
      </c>
      <c r="L139" s="453">
        <v>0</v>
      </c>
      <c r="M139" s="453">
        <v>0</v>
      </c>
      <c r="N139" s="453">
        <v>0</v>
      </c>
      <c r="O139" s="453">
        <v>0</v>
      </c>
      <c r="P139" s="453">
        <v>0</v>
      </c>
      <c r="Q139" s="453">
        <v>0</v>
      </c>
      <c r="R139" s="453">
        <v>0</v>
      </c>
      <c r="S139" s="453">
        <v>0</v>
      </c>
      <c r="T139" s="453">
        <v>0</v>
      </c>
      <c r="U139" s="453">
        <v>0</v>
      </c>
      <c r="V139" s="453">
        <v>0</v>
      </c>
      <c r="W139" s="453">
        <v>-1184.3699999999999</v>
      </c>
      <c r="X139" s="453">
        <v>-407.56000000000017</v>
      </c>
      <c r="Y139" s="453">
        <v>-429.53</v>
      </c>
      <c r="Z139" s="453">
        <v>0</v>
      </c>
      <c r="AA139" s="453">
        <v>-489.21000000000004</v>
      </c>
      <c r="AB139" s="453">
        <v>0</v>
      </c>
      <c r="AC139" s="453">
        <v>-752.75</v>
      </c>
      <c r="AD139" s="453">
        <v>-284.13000000000011</v>
      </c>
      <c r="AE139" s="453">
        <v>-6751.29</v>
      </c>
      <c r="AF139" s="453">
        <v>0</v>
      </c>
      <c r="AG139" s="453">
        <v>0</v>
      </c>
      <c r="AH139" s="453">
        <v>0</v>
      </c>
      <c r="AI139" s="453">
        <v>0</v>
      </c>
      <c r="AJ139" s="453">
        <v>0</v>
      </c>
      <c r="AK139" s="453">
        <v>0</v>
      </c>
      <c r="AL139" s="453">
        <v>0</v>
      </c>
      <c r="AM139" s="453">
        <v>0</v>
      </c>
      <c r="AN139" s="453">
        <v>0</v>
      </c>
    </row>
    <row r="140" spans="1:40" outlineLevel="1" collapsed="1" x14ac:dyDescent="0.25">
      <c r="A140" s="452">
        <v>4535</v>
      </c>
      <c r="B140" t="s">
        <v>1442</v>
      </c>
      <c r="C140" t="s">
        <v>1443</v>
      </c>
      <c r="D140" t="s">
        <v>1391</v>
      </c>
      <c r="E140" s="453">
        <f t="shared" si="23"/>
        <v>-1452.5</v>
      </c>
      <c r="F140" s="453">
        <f t="shared" si="24"/>
        <v>0</v>
      </c>
      <c r="G140" s="453">
        <f t="shared" si="25"/>
        <v>0</v>
      </c>
      <c r="H140" s="453">
        <v>-209.7</v>
      </c>
      <c r="I140" s="453">
        <v>0</v>
      </c>
      <c r="J140" s="453">
        <v>-364.10999999999996</v>
      </c>
      <c r="K140" s="453">
        <v>0</v>
      </c>
      <c r="L140" s="453">
        <v>-170.8900000000001</v>
      </c>
      <c r="M140" s="453">
        <v>-49.199999999999932</v>
      </c>
      <c r="N140" s="453">
        <v>0</v>
      </c>
      <c r="O140" s="453">
        <v>-136.83000000000004</v>
      </c>
      <c r="P140" s="453">
        <v>-151.92000000000007</v>
      </c>
      <c r="Q140" s="453">
        <v>0</v>
      </c>
      <c r="R140" s="453">
        <v>-196.38999999999987</v>
      </c>
      <c r="S140" s="453">
        <v>-173.46000000000004</v>
      </c>
      <c r="T140" s="453">
        <v>0</v>
      </c>
      <c r="U140" s="453">
        <v>0</v>
      </c>
      <c r="V140" s="453">
        <v>0</v>
      </c>
      <c r="W140" s="453">
        <v>0</v>
      </c>
      <c r="X140" s="453">
        <v>0</v>
      </c>
      <c r="Y140" s="453">
        <v>0</v>
      </c>
      <c r="Z140" s="453">
        <v>0</v>
      </c>
      <c r="AA140" s="453">
        <v>0</v>
      </c>
      <c r="AB140" s="453">
        <v>0</v>
      </c>
      <c r="AC140" s="453">
        <v>0</v>
      </c>
      <c r="AD140" s="453">
        <v>0</v>
      </c>
      <c r="AE140" s="453">
        <v>0</v>
      </c>
      <c r="AF140" s="453">
        <v>0</v>
      </c>
      <c r="AG140" s="453">
        <v>0</v>
      </c>
      <c r="AH140" s="453">
        <v>0</v>
      </c>
      <c r="AI140" s="453">
        <v>0</v>
      </c>
      <c r="AJ140" s="453">
        <v>0</v>
      </c>
      <c r="AK140" s="453">
        <v>0</v>
      </c>
      <c r="AL140" s="453">
        <v>0</v>
      </c>
      <c r="AM140" s="453">
        <v>0</v>
      </c>
      <c r="AN140" s="453">
        <v>0</v>
      </c>
    </row>
    <row r="141" spans="1:40" outlineLevel="1" collapsed="1" x14ac:dyDescent="0.25">
      <c r="A141" s="452">
        <v>4535</v>
      </c>
      <c r="B141" t="s">
        <v>1444</v>
      </c>
      <c r="C141" t="s">
        <v>1445</v>
      </c>
      <c r="D141" t="s">
        <v>1391</v>
      </c>
      <c r="E141" s="453">
        <f t="shared" si="23"/>
        <v>0</v>
      </c>
      <c r="F141" s="453">
        <f t="shared" si="24"/>
        <v>-3859.3</v>
      </c>
      <c r="G141" s="453">
        <f t="shared" si="25"/>
        <v>-2348.25</v>
      </c>
      <c r="H141" s="453">
        <v>0</v>
      </c>
      <c r="I141" s="453">
        <v>0</v>
      </c>
      <c r="J141" s="453">
        <v>0</v>
      </c>
      <c r="K141" s="453">
        <v>0</v>
      </c>
      <c r="L141" s="453">
        <v>0</v>
      </c>
      <c r="M141" s="453">
        <v>0</v>
      </c>
      <c r="N141" s="453">
        <v>0</v>
      </c>
      <c r="O141" s="453">
        <v>0</v>
      </c>
      <c r="P141" s="453">
        <v>0</v>
      </c>
      <c r="Q141" s="453">
        <v>0</v>
      </c>
      <c r="R141" s="453">
        <v>0</v>
      </c>
      <c r="S141" s="453">
        <v>0</v>
      </c>
      <c r="T141" s="453">
        <v>0</v>
      </c>
      <c r="U141" s="453">
        <v>-145.56</v>
      </c>
      <c r="V141" s="453">
        <v>-152.32</v>
      </c>
      <c r="W141" s="453">
        <v>-9.2400000000000091</v>
      </c>
      <c r="X141" s="453">
        <v>-349.64</v>
      </c>
      <c r="Y141" s="453">
        <v>-345.58000000000004</v>
      </c>
      <c r="Z141" s="453">
        <v>-428.27999999999986</v>
      </c>
      <c r="AA141" s="453">
        <v>-591.01000000000022</v>
      </c>
      <c r="AB141" s="453">
        <v>-126.65999999999985</v>
      </c>
      <c r="AC141" s="453">
        <v>-564.02</v>
      </c>
      <c r="AD141" s="453">
        <v>-392.90000000000009</v>
      </c>
      <c r="AE141" s="453">
        <v>-754.09000000000015</v>
      </c>
      <c r="AF141" s="453">
        <v>0</v>
      </c>
      <c r="AG141" s="453">
        <v>-316.77</v>
      </c>
      <c r="AH141" s="453">
        <v>-382.31000000000006</v>
      </c>
      <c r="AI141" s="453">
        <v>-246.54999999999995</v>
      </c>
      <c r="AJ141" s="453">
        <v>-413.58000000000004</v>
      </c>
      <c r="AK141" s="453">
        <v>0</v>
      </c>
      <c r="AL141" s="453">
        <v>0</v>
      </c>
      <c r="AM141" s="453">
        <v>-715.38999999999987</v>
      </c>
      <c r="AN141" s="453">
        <v>-273.65000000000009</v>
      </c>
    </row>
    <row r="142" spans="1:40" outlineLevel="1" collapsed="1" x14ac:dyDescent="0.25">
      <c r="A142" s="452">
        <v>4536</v>
      </c>
      <c r="B142" t="s">
        <v>1446</v>
      </c>
      <c r="C142" t="s">
        <v>1447</v>
      </c>
      <c r="D142" t="s">
        <v>1391</v>
      </c>
      <c r="E142" s="453">
        <f t="shared" si="23"/>
        <v>-4235.25</v>
      </c>
      <c r="F142" s="453">
        <f t="shared" si="24"/>
        <v>0</v>
      </c>
      <c r="G142" s="453">
        <f t="shared" si="25"/>
        <v>0</v>
      </c>
      <c r="H142" s="453">
        <v>-240.03</v>
      </c>
      <c r="I142" s="453">
        <v>-265.88</v>
      </c>
      <c r="J142" s="453">
        <v>-278.78000000000003</v>
      </c>
      <c r="K142" s="453">
        <v>-466.69000000000005</v>
      </c>
      <c r="L142" s="453">
        <v>-408.25</v>
      </c>
      <c r="M142" s="453">
        <v>-388.16999999999985</v>
      </c>
      <c r="N142" s="453">
        <v>-408.79999999999995</v>
      </c>
      <c r="O142" s="453">
        <v>-254.99000000000024</v>
      </c>
      <c r="P142" s="453">
        <v>-320.33999999999969</v>
      </c>
      <c r="Q142" s="453">
        <v>-395.90000000000009</v>
      </c>
      <c r="R142" s="453">
        <v>-209.11999999999989</v>
      </c>
      <c r="S142" s="453">
        <v>-598.30000000000018</v>
      </c>
      <c r="T142" s="453">
        <v>0</v>
      </c>
      <c r="U142" s="453">
        <v>0</v>
      </c>
      <c r="V142" s="453">
        <v>0</v>
      </c>
      <c r="W142" s="453">
        <v>0</v>
      </c>
      <c r="X142" s="453">
        <v>0</v>
      </c>
      <c r="Y142" s="453">
        <v>0</v>
      </c>
      <c r="Z142" s="453">
        <v>0</v>
      </c>
      <c r="AA142" s="453">
        <v>0</v>
      </c>
      <c r="AB142" s="453">
        <v>0</v>
      </c>
      <c r="AC142" s="453">
        <v>0</v>
      </c>
      <c r="AD142" s="453">
        <v>0</v>
      </c>
      <c r="AE142" s="453">
        <v>0</v>
      </c>
      <c r="AF142" s="453">
        <v>0</v>
      </c>
      <c r="AG142" s="453">
        <v>0</v>
      </c>
      <c r="AH142" s="453">
        <v>0</v>
      </c>
      <c r="AI142" s="453">
        <v>0</v>
      </c>
      <c r="AJ142" s="453">
        <v>0</v>
      </c>
      <c r="AK142" s="453">
        <v>0</v>
      </c>
      <c r="AL142" s="453">
        <v>0</v>
      </c>
      <c r="AM142" s="453">
        <v>0</v>
      </c>
      <c r="AN142" s="453">
        <v>0</v>
      </c>
    </row>
    <row r="143" spans="1:40" outlineLevel="1" collapsed="1" x14ac:dyDescent="0.25">
      <c r="A143" s="452">
        <v>4536</v>
      </c>
      <c r="B143" t="s">
        <v>1448</v>
      </c>
      <c r="C143" t="s">
        <v>1449</v>
      </c>
      <c r="D143" t="s">
        <v>1391</v>
      </c>
      <c r="E143" s="453">
        <f t="shared" si="23"/>
        <v>0</v>
      </c>
      <c r="F143" s="453">
        <f t="shared" si="24"/>
        <v>-4354.3</v>
      </c>
      <c r="G143" s="453">
        <f t="shared" si="25"/>
        <v>-1665.4100000000003</v>
      </c>
      <c r="H143" s="453">
        <v>0</v>
      </c>
      <c r="I143" s="453">
        <v>0</v>
      </c>
      <c r="J143" s="453">
        <v>0</v>
      </c>
      <c r="K143" s="453">
        <v>0</v>
      </c>
      <c r="L143" s="453">
        <v>0</v>
      </c>
      <c r="M143" s="453">
        <v>0</v>
      </c>
      <c r="N143" s="453">
        <v>0</v>
      </c>
      <c r="O143" s="453">
        <v>0</v>
      </c>
      <c r="P143" s="453">
        <v>0</v>
      </c>
      <c r="Q143" s="453">
        <v>0</v>
      </c>
      <c r="R143" s="453">
        <v>0</v>
      </c>
      <c r="S143" s="453">
        <v>0</v>
      </c>
      <c r="T143" s="453">
        <v>0</v>
      </c>
      <c r="U143" s="453">
        <v>-288.51</v>
      </c>
      <c r="V143" s="453">
        <v>-113.29000000000002</v>
      </c>
      <c r="W143" s="453">
        <v>-532.25</v>
      </c>
      <c r="X143" s="453">
        <v>-355.03999999999996</v>
      </c>
      <c r="Y143" s="453">
        <v>-581.80000000000018</v>
      </c>
      <c r="Z143" s="453">
        <v>-565.0799999999997</v>
      </c>
      <c r="AA143" s="453">
        <v>-446.90000000000009</v>
      </c>
      <c r="AB143" s="453">
        <v>-428.82999999999993</v>
      </c>
      <c r="AC143" s="453">
        <v>-195.89000000000033</v>
      </c>
      <c r="AD143" s="453">
        <v>0</v>
      </c>
      <c r="AE143" s="453">
        <v>-846.71</v>
      </c>
      <c r="AF143" s="453">
        <v>0</v>
      </c>
      <c r="AG143" s="453">
        <v>-310.14999999999998</v>
      </c>
      <c r="AH143" s="453">
        <v>-255.11</v>
      </c>
      <c r="AI143" s="453">
        <v>-209.64999999999998</v>
      </c>
      <c r="AJ143" s="453">
        <v>0</v>
      </c>
      <c r="AK143" s="453">
        <v>0</v>
      </c>
      <c r="AL143" s="453">
        <v>-579.85</v>
      </c>
      <c r="AM143" s="453">
        <v>-125.51999999999998</v>
      </c>
      <c r="AN143" s="453">
        <v>-185.13000000000011</v>
      </c>
    </row>
    <row r="144" spans="1:40" outlineLevel="1" collapsed="1" x14ac:dyDescent="0.25">
      <c r="A144" s="452">
        <v>4537</v>
      </c>
      <c r="B144" t="s">
        <v>1450</v>
      </c>
      <c r="C144" t="s">
        <v>1451</v>
      </c>
      <c r="D144" t="s">
        <v>1391</v>
      </c>
      <c r="E144" s="453">
        <f t="shared" si="23"/>
        <v>-11120.56</v>
      </c>
      <c r="F144" s="453">
        <f t="shared" si="24"/>
        <v>0</v>
      </c>
      <c r="G144" s="453">
        <f t="shared" si="25"/>
        <v>0</v>
      </c>
      <c r="H144" s="453">
        <v>0</v>
      </c>
      <c r="I144" s="453">
        <v>0</v>
      </c>
      <c r="J144" s="453">
        <v>0</v>
      </c>
      <c r="K144" s="453">
        <v>0</v>
      </c>
      <c r="L144" s="453">
        <v>0</v>
      </c>
      <c r="M144" s="453">
        <v>0</v>
      </c>
      <c r="N144" s="453">
        <v>-219.53</v>
      </c>
      <c r="O144" s="453">
        <v>-450.58000000000004</v>
      </c>
      <c r="P144" s="453">
        <v>0</v>
      </c>
      <c r="Q144" s="453">
        <v>0</v>
      </c>
      <c r="R144" s="453">
        <v>-194.05999999999995</v>
      </c>
      <c r="S144" s="453">
        <v>-10256.39</v>
      </c>
      <c r="T144" s="453">
        <v>0</v>
      </c>
      <c r="U144" s="453">
        <v>0</v>
      </c>
      <c r="V144" s="453">
        <v>0</v>
      </c>
      <c r="W144" s="453">
        <v>0</v>
      </c>
      <c r="X144" s="453">
        <v>0</v>
      </c>
      <c r="Y144" s="453">
        <v>0</v>
      </c>
      <c r="Z144" s="453">
        <v>0</v>
      </c>
      <c r="AA144" s="453">
        <v>0</v>
      </c>
      <c r="AB144" s="453">
        <v>0</v>
      </c>
      <c r="AC144" s="453">
        <v>0</v>
      </c>
      <c r="AD144" s="453">
        <v>0</v>
      </c>
      <c r="AE144" s="453">
        <v>0</v>
      </c>
      <c r="AF144" s="453">
        <v>0</v>
      </c>
      <c r="AG144" s="453">
        <v>0</v>
      </c>
      <c r="AH144" s="453">
        <v>0</v>
      </c>
      <c r="AI144" s="453">
        <v>0</v>
      </c>
      <c r="AJ144" s="453">
        <v>0</v>
      </c>
      <c r="AK144" s="453">
        <v>0</v>
      </c>
      <c r="AL144" s="453">
        <v>0</v>
      </c>
      <c r="AM144" s="453">
        <v>0</v>
      </c>
      <c r="AN144" s="453">
        <v>0</v>
      </c>
    </row>
    <row r="145" spans="1:40" outlineLevel="1" collapsed="1" x14ac:dyDescent="0.25">
      <c r="A145" s="452">
        <v>4537</v>
      </c>
      <c r="B145" t="s">
        <v>1452</v>
      </c>
      <c r="C145" t="s">
        <v>1453</v>
      </c>
      <c r="D145" t="s">
        <v>1391</v>
      </c>
      <c r="E145" s="453">
        <f t="shared" si="23"/>
        <v>0</v>
      </c>
      <c r="F145" s="453">
        <f t="shared" si="24"/>
        <v>-7956.52</v>
      </c>
      <c r="G145" s="453">
        <f t="shared" si="25"/>
        <v>-870.94</v>
      </c>
      <c r="H145" s="453">
        <v>0</v>
      </c>
      <c r="I145" s="453">
        <v>0</v>
      </c>
      <c r="J145" s="453">
        <v>0</v>
      </c>
      <c r="K145" s="453">
        <v>0</v>
      </c>
      <c r="L145" s="453">
        <v>0</v>
      </c>
      <c r="M145" s="453">
        <v>0</v>
      </c>
      <c r="N145" s="453">
        <v>0</v>
      </c>
      <c r="O145" s="453">
        <v>0</v>
      </c>
      <c r="P145" s="453">
        <v>0</v>
      </c>
      <c r="Q145" s="453">
        <v>0</v>
      </c>
      <c r="R145" s="453">
        <v>0</v>
      </c>
      <c r="S145" s="453">
        <v>0</v>
      </c>
      <c r="T145" s="453">
        <v>0</v>
      </c>
      <c r="U145" s="453">
        <v>-517.94000000000005</v>
      </c>
      <c r="V145" s="453">
        <v>-1230.48</v>
      </c>
      <c r="W145" s="453">
        <v>-4169.7699999999995</v>
      </c>
      <c r="X145" s="453">
        <v>-1924.0200000000004</v>
      </c>
      <c r="Y145" s="453">
        <v>-515.04</v>
      </c>
      <c r="Z145" s="453">
        <v>-172.65999999999985</v>
      </c>
      <c r="AA145" s="453">
        <v>-3892.9699999999993</v>
      </c>
      <c r="AB145" s="453">
        <v>-776.14000000000124</v>
      </c>
      <c r="AC145" s="453">
        <v>-309.32999999999993</v>
      </c>
      <c r="AD145" s="453">
        <v>-510.59000000000015</v>
      </c>
      <c r="AE145" s="453">
        <v>6062.42</v>
      </c>
      <c r="AF145" s="453">
        <v>0</v>
      </c>
      <c r="AG145" s="453">
        <v>0</v>
      </c>
      <c r="AH145" s="453">
        <v>0</v>
      </c>
      <c r="AI145" s="453">
        <v>-344.63</v>
      </c>
      <c r="AJ145" s="453">
        <v>0</v>
      </c>
      <c r="AK145" s="453">
        <v>-294.89999999999998</v>
      </c>
      <c r="AL145" s="453">
        <v>0</v>
      </c>
      <c r="AM145" s="453">
        <v>-231.41000000000008</v>
      </c>
      <c r="AN145" s="453">
        <v>0</v>
      </c>
    </row>
    <row r="146" spans="1:40" outlineLevel="1" collapsed="1" x14ac:dyDescent="0.25">
      <c r="A146" s="452">
        <v>4538</v>
      </c>
      <c r="B146" t="s">
        <v>1454</v>
      </c>
      <c r="C146" t="s">
        <v>1455</v>
      </c>
      <c r="D146" t="s">
        <v>1391</v>
      </c>
      <c r="E146" s="453">
        <f t="shared" si="23"/>
        <v>-4715.79</v>
      </c>
      <c r="F146" s="453">
        <f t="shared" si="24"/>
        <v>-7079.6</v>
      </c>
      <c r="G146" s="453">
        <f t="shared" si="25"/>
        <v>-4611.6000000000004</v>
      </c>
      <c r="H146" s="453">
        <v>-12.17</v>
      </c>
      <c r="I146" s="453">
        <v>0</v>
      </c>
      <c r="J146" s="453">
        <v>-182.72</v>
      </c>
      <c r="K146" s="453">
        <v>194.89</v>
      </c>
      <c r="L146" s="453">
        <v>0</v>
      </c>
      <c r="M146" s="453">
        <v>-657.78</v>
      </c>
      <c r="N146" s="453">
        <v>0</v>
      </c>
      <c r="O146" s="453">
        <v>-1183.3800000000001</v>
      </c>
      <c r="P146" s="453">
        <v>-590.79999999999995</v>
      </c>
      <c r="Q146" s="453">
        <v>-523.2199999999998</v>
      </c>
      <c r="R146" s="453">
        <v>-420.37000000000035</v>
      </c>
      <c r="S146" s="453">
        <v>-1340.2399999999998</v>
      </c>
      <c r="T146" s="453">
        <v>0</v>
      </c>
      <c r="U146" s="453">
        <v>-589.17999999999995</v>
      </c>
      <c r="V146" s="453">
        <v>-712.33</v>
      </c>
      <c r="W146" s="453">
        <v>-560.97</v>
      </c>
      <c r="X146" s="453">
        <v>-711.13000000000011</v>
      </c>
      <c r="Y146" s="453">
        <v>-609.48</v>
      </c>
      <c r="Z146" s="453">
        <v>-473.40999999999985</v>
      </c>
      <c r="AA146" s="453">
        <v>-568.85000000000036</v>
      </c>
      <c r="AB146" s="453">
        <v>-461.19999999999982</v>
      </c>
      <c r="AC146" s="453">
        <v>-371.52999999999975</v>
      </c>
      <c r="AD146" s="453">
        <v>-754.14999999999964</v>
      </c>
      <c r="AE146" s="453">
        <v>-1267.3700000000008</v>
      </c>
      <c r="AF146" s="453">
        <v>0</v>
      </c>
      <c r="AG146" s="453">
        <v>-403.73</v>
      </c>
      <c r="AH146" s="453">
        <v>-556.66999999999996</v>
      </c>
      <c r="AI146" s="453">
        <v>-640.56000000000006</v>
      </c>
      <c r="AJ146" s="453">
        <v>-447.48999999999978</v>
      </c>
      <c r="AK146" s="453">
        <v>-532.32000000000016</v>
      </c>
      <c r="AL146" s="453">
        <v>-674.82000000000016</v>
      </c>
      <c r="AM146" s="453">
        <v>-511.92999999999984</v>
      </c>
      <c r="AN146" s="453">
        <v>-844.08000000000038</v>
      </c>
    </row>
    <row r="147" spans="1:40" outlineLevel="1" collapsed="1" x14ac:dyDescent="0.25">
      <c r="A147" s="452">
        <v>4539</v>
      </c>
      <c r="B147" t="s">
        <v>1456</v>
      </c>
      <c r="C147" t="s">
        <v>1457</v>
      </c>
      <c r="D147" t="s">
        <v>1391</v>
      </c>
      <c r="E147" s="453">
        <f t="shared" si="23"/>
        <v>0</v>
      </c>
      <c r="F147" s="453">
        <f t="shared" si="24"/>
        <v>0</v>
      </c>
      <c r="G147" s="453">
        <f t="shared" si="25"/>
        <v>0</v>
      </c>
      <c r="H147" s="453">
        <v>0</v>
      </c>
      <c r="I147" s="453">
        <v>0</v>
      </c>
      <c r="J147" s="453">
        <v>0</v>
      </c>
      <c r="K147" s="453">
        <v>0</v>
      </c>
      <c r="L147" s="453">
        <v>0</v>
      </c>
      <c r="M147" s="453">
        <v>0</v>
      </c>
      <c r="N147" s="453">
        <v>0</v>
      </c>
      <c r="O147" s="453">
        <v>0</v>
      </c>
      <c r="P147" s="453">
        <v>0</v>
      </c>
      <c r="Q147" s="453">
        <v>0</v>
      </c>
      <c r="R147" s="453">
        <v>0</v>
      </c>
      <c r="S147" s="453">
        <v>0</v>
      </c>
      <c r="T147" s="453">
        <v>0</v>
      </c>
      <c r="U147" s="453">
        <v>0</v>
      </c>
      <c r="V147" s="453">
        <v>0</v>
      </c>
      <c r="W147" s="453">
        <v>0</v>
      </c>
      <c r="X147" s="453">
        <v>0</v>
      </c>
      <c r="Y147" s="453">
        <v>0</v>
      </c>
      <c r="Z147" s="453">
        <v>0</v>
      </c>
      <c r="AA147" s="453">
        <v>0</v>
      </c>
      <c r="AB147" s="453">
        <v>0</v>
      </c>
      <c r="AC147" s="453">
        <v>0</v>
      </c>
      <c r="AD147" s="453">
        <v>0</v>
      </c>
      <c r="AE147" s="453">
        <v>0</v>
      </c>
      <c r="AF147" s="453">
        <v>0</v>
      </c>
      <c r="AG147" s="453">
        <v>0</v>
      </c>
      <c r="AH147" s="453">
        <v>0</v>
      </c>
      <c r="AI147" s="453">
        <v>0</v>
      </c>
      <c r="AJ147" s="453">
        <v>0</v>
      </c>
      <c r="AK147" s="453">
        <v>0</v>
      </c>
      <c r="AL147" s="453">
        <v>0</v>
      </c>
      <c r="AM147" s="453">
        <v>0</v>
      </c>
      <c r="AN147" s="453">
        <v>0</v>
      </c>
    </row>
    <row r="148" spans="1:40" outlineLevel="1" collapsed="1" x14ac:dyDescent="0.25">
      <c r="A148" s="452">
        <v>4540</v>
      </c>
      <c r="B148" t="s">
        <v>1458</v>
      </c>
      <c r="C148" t="s">
        <v>1459</v>
      </c>
      <c r="D148" t="s">
        <v>1391</v>
      </c>
      <c r="E148" s="453">
        <f t="shared" si="23"/>
        <v>-2738.31</v>
      </c>
      <c r="F148" s="453">
        <f t="shared" si="24"/>
        <v>0</v>
      </c>
      <c r="G148" s="453">
        <f t="shared" si="25"/>
        <v>0</v>
      </c>
      <c r="H148" s="453">
        <v>0</v>
      </c>
      <c r="I148" s="453">
        <v>0</v>
      </c>
      <c r="J148" s="453">
        <v>0</v>
      </c>
      <c r="K148" s="453">
        <v>-2166.34</v>
      </c>
      <c r="L148" s="453">
        <v>0</v>
      </c>
      <c r="M148" s="453">
        <v>-243.42999999999984</v>
      </c>
      <c r="N148" s="453">
        <v>0</v>
      </c>
      <c r="O148" s="453">
        <v>0</v>
      </c>
      <c r="P148" s="453">
        <v>0</v>
      </c>
      <c r="Q148" s="453">
        <v>0</v>
      </c>
      <c r="R148" s="453">
        <v>-328.53999999999996</v>
      </c>
      <c r="S148" s="453">
        <v>0</v>
      </c>
      <c r="T148" s="453">
        <v>0</v>
      </c>
      <c r="U148" s="453">
        <v>0</v>
      </c>
      <c r="V148" s="453">
        <v>0</v>
      </c>
      <c r="W148" s="453">
        <v>0</v>
      </c>
      <c r="X148" s="453">
        <v>0</v>
      </c>
      <c r="Y148" s="453">
        <v>0</v>
      </c>
      <c r="Z148" s="453">
        <v>0</v>
      </c>
      <c r="AA148" s="453">
        <v>0</v>
      </c>
      <c r="AB148" s="453">
        <v>0</v>
      </c>
      <c r="AC148" s="453">
        <v>0</v>
      </c>
      <c r="AD148" s="453">
        <v>0</v>
      </c>
      <c r="AE148" s="453">
        <v>0</v>
      </c>
      <c r="AF148" s="453">
        <v>0</v>
      </c>
      <c r="AG148" s="453">
        <v>0</v>
      </c>
      <c r="AH148" s="453">
        <v>0</v>
      </c>
      <c r="AI148" s="453">
        <v>0</v>
      </c>
      <c r="AJ148" s="453">
        <v>0</v>
      </c>
      <c r="AK148" s="453">
        <v>0</v>
      </c>
      <c r="AL148" s="453">
        <v>0</v>
      </c>
      <c r="AM148" s="453">
        <v>0</v>
      </c>
      <c r="AN148" s="453">
        <v>0</v>
      </c>
    </row>
    <row r="149" spans="1:40" outlineLevel="1" collapsed="1" x14ac:dyDescent="0.25">
      <c r="A149" s="452">
        <v>4540</v>
      </c>
      <c r="B149" t="s">
        <v>1460</v>
      </c>
      <c r="C149" t="s">
        <v>1461</v>
      </c>
      <c r="D149" t="s">
        <v>1391</v>
      </c>
      <c r="E149" s="453">
        <f t="shared" si="23"/>
        <v>0</v>
      </c>
      <c r="F149" s="453">
        <f t="shared" si="24"/>
        <v>-3345.8299999999995</v>
      </c>
      <c r="G149" s="453">
        <f t="shared" si="25"/>
        <v>-2935.48</v>
      </c>
      <c r="H149" s="453">
        <v>0</v>
      </c>
      <c r="I149" s="453">
        <v>0</v>
      </c>
      <c r="J149" s="453">
        <v>0</v>
      </c>
      <c r="K149" s="453">
        <v>0</v>
      </c>
      <c r="L149" s="453">
        <v>0</v>
      </c>
      <c r="M149" s="453">
        <v>0</v>
      </c>
      <c r="N149" s="453">
        <v>0</v>
      </c>
      <c r="O149" s="453">
        <v>0</v>
      </c>
      <c r="P149" s="453">
        <v>0</v>
      </c>
      <c r="Q149" s="453">
        <v>0</v>
      </c>
      <c r="R149" s="453">
        <v>0</v>
      </c>
      <c r="S149" s="453">
        <v>0</v>
      </c>
      <c r="T149" s="453">
        <v>0</v>
      </c>
      <c r="U149" s="453">
        <v>-571.42999999999995</v>
      </c>
      <c r="V149" s="453">
        <v>0</v>
      </c>
      <c r="W149" s="453">
        <v>0</v>
      </c>
      <c r="X149" s="453">
        <v>-29.410000000000082</v>
      </c>
      <c r="Y149" s="453">
        <v>0</v>
      </c>
      <c r="Z149" s="453">
        <v>0</v>
      </c>
      <c r="AA149" s="453">
        <v>-660.2399999999999</v>
      </c>
      <c r="AB149" s="453">
        <v>-2042.73</v>
      </c>
      <c r="AC149" s="453">
        <v>-42.019999999999982</v>
      </c>
      <c r="AD149" s="453">
        <v>0</v>
      </c>
      <c r="AE149" s="453">
        <v>0</v>
      </c>
      <c r="AF149" s="453">
        <v>0</v>
      </c>
      <c r="AG149" s="453">
        <v>0</v>
      </c>
      <c r="AH149" s="453">
        <v>-159.66</v>
      </c>
      <c r="AI149" s="453">
        <v>-791.6</v>
      </c>
      <c r="AJ149" s="453">
        <v>-1984.22</v>
      </c>
      <c r="AK149" s="453">
        <v>0</v>
      </c>
      <c r="AL149" s="453">
        <v>0</v>
      </c>
      <c r="AM149" s="453">
        <v>0</v>
      </c>
      <c r="AN149" s="453">
        <v>0</v>
      </c>
    </row>
    <row r="150" spans="1:40" outlineLevel="1" collapsed="1" x14ac:dyDescent="0.25">
      <c r="A150" s="452">
        <v>4541</v>
      </c>
      <c r="B150" t="s">
        <v>1462</v>
      </c>
      <c r="C150" t="s">
        <v>1463</v>
      </c>
      <c r="D150" t="s">
        <v>1391</v>
      </c>
      <c r="E150" s="453">
        <f t="shared" si="23"/>
        <v>0</v>
      </c>
      <c r="F150" s="453">
        <f t="shared" si="24"/>
        <v>0</v>
      </c>
      <c r="G150" s="453">
        <f t="shared" si="25"/>
        <v>0</v>
      </c>
      <c r="H150" s="453">
        <v>0</v>
      </c>
      <c r="I150" s="453">
        <v>0</v>
      </c>
      <c r="J150" s="453">
        <v>0</v>
      </c>
      <c r="K150" s="453">
        <v>0</v>
      </c>
      <c r="L150" s="453">
        <v>0</v>
      </c>
      <c r="M150" s="453">
        <v>0</v>
      </c>
      <c r="N150" s="453">
        <v>0</v>
      </c>
      <c r="O150" s="453">
        <v>0</v>
      </c>
      <c r="P150" s="453">
        <v>0</v>
      </c>
      <c r="Q150" s="453">
        <v>0</v>
      </c>
      <c r="R150" s="453">
        <v>0</v>
      </c>
      <c r="S150" s="453">
        <v>0</v>
      </c>
      <c r="T150" s="453">
        <v>0</v>
      </c>
      <c r="U150" s="453">
        <v>0</v>
      </c>
      <c r="V150" s="453">
        <v>0</v>
      </c>
      <c r="W150" s="453">
        <v>0</v>
      </c>
      <c r="X150" s="453">
        <v>0</v>
      </c>
      <c r="Y150" s="453">
        <v>0</v>
      </c>
      <c r="Z150" s="453">
        <v>0</v>
      </c>
      <c r="AA150" s="453">
        <v>0</v>
      </c>
      <c r="AB150" s="453">
        <v>0</v>
      </c>
      <c r="AC150" s="453">
        <v>0</v>
      </c>
      <c r="AD150" s="453">
        <v>0</v>
      </c>
      <c r="AE150" s="453">
        <v>0</v>
      </c>
      <c r="AF150" s="453">
        <v>0</v>
      </c>
      <c r="AG150" s="453">
        <v>0</v>
      </c>
      <c r="AH150" s="453">
        <v>0</v>
      </c>
      <c r="AI150" s="453">
        <v>0</v>
      </c>
      <c r="AJ150" s="453">
        <v>0</v>
      </c>
      <c r="AK150" s="453">
        <v>0</v>
      </c>
      <c r="AL150" s="453">
        <v>0</v>
      </c>
      <c r="AM150" s="453">
        <v>0</v>
      </c>
      <c r="AN150" s="453">
        <v>0</v>
      </c>
    </row>
    <row r="151" spans="1:40" outlineLevel="1" collapsed="1" x14ac:dyDescent="0.25">
      <c r="A151" s="452">
        <v>4542</v>
      </c>
      <c r="B151" t="s">
        <v>1464</v>
      </c>
      <c r="C151" t="s">
        <v>1465</v>
      </c>
      <c r="D151" t="s">
        <v>1391</v>
      </c>
      <c r="E151" s="453">
        <f t="shared" si="23"/>
        <v>-2477.13</v>
      </c>
      <c r="F151" s="453">
        <f t="shared" si="24"/>
        <v>0</v>
      </c>
      <c r="G151" s="453">
        <f t="shared" si="25"/>
        <v>0</v>
      </c>
      <c r="H151" s="453">
        <v>0</v>
      </c>
      <c r="I151" s="453">
        <v>-1285.6400000000001</v>
      </c>
      <c r="J151" s="453">
        <v>0</v>
      </c>
      <c r="K151" s="453">
        <v>-113.11999999999989</v>
      </c>
      <c r="L151" s="453">
        <v>0</v>
      </c>
      <c r="M151" s="453">
        <v>0</v>
      </c>
      <c r="N151" s="453">
        <v>0</v>
      </c>
      <c r="O151" s="453">
        <v>-69.75</v>
      </c>
      <c r="P151" s="453">
        <v>0</v>
      </c>
      <c r="Q151" s="453">
        <v>-143.3599999999999</v>
      </c>
      <c r="R151" s="453">
        <v>0</v>
      </c>
      <c r="S151" s="453">
        <v>-865.26000000000022</v>
      </c>
      <c r="T151" s="453">
        <v>0</v>
      </c>
      <c r="U151" s="453">
        <v>0</v>
      </c>
      <c r="V151" s="453">
        <v>0</v>
      </c>
      <c r="W151" s="453">
        <v>0</v>
      </c>
      <c r="X151" s="453">
        <v>0</v>
      </c>
      <c r="Y151" s="453">
        <v>0</v>
      </c>
      <c r="Z151" s="453">
        <v>0</v>
      </c>
      <c r="AA151" s="453">
        <v>0</v>
      </c>
      <c r="AB151" s="453">
        <v>0</v>
      </c>
      <c r="AC151" s="453">
        <v>0</v>
      </c>
      <c r="AD151" s="453">
        <v>0</v>
      </c>
      <c r="AE151" s="453">
        <v>0</v>
      </c>
      <c r="AF151" s="453">
        <v>0</v>
      </c>
      <c r="AG151" s="453">
        <v>0</v>
      </c>
      <c r="AH151" s="453">
        <v>0</v>
      </c>
      <c r="AI151" s="453">
        <v>0</v>
      </c>
      <c r="AJ151" s="453">
        <v>0</v>
      </c>
      <c r="AK151" s="453">
        <v>0</v>
      </c>
      <c r="AL151" s="453">
        <v>0</v>
      </c>
      <c r="AM151" s="453">
        <v>0</v>
      </c>
      <c r="AN151" s="453">
        <v>0</v>
      </c>
    </row>
    <row r="152" spans="1:40" outlineLevel="1" collapsed="1" x14ac:dyDescent="0.25">
      <c r="A152" s="452">
        <v>4542</v>
      </c>
      <c r="B152" t="s">
        <v>1466</v>
      </c>
      <c r="C152" t="s">
        <v>1467</v>
      </c>
      <c r="D152" t="s">
        <v>1391</v>
      </c>
      <c r="E152" s="453">
        <f t="shared" si="23"/>
        <v>0</v>
      </c>
      <c r="F152" s="453">
        <f t="shared" si="24"/>
        <v>-3369.76</v>
      </c>
      <c r="G152" s="453">
        <f t="shared" si="25"/>
        <v>-1849.3400000000001</v>
      </c>
      <c r="H152" s="453">
        <v>0</v>
      </c>
      <c r="I152" s="453">
        <v>0</v>
      </c>
      <c r="J152" s="453">
        <v>0</v>
      </c>
      <c r="K152" s="453">
        <v>0</v>
      </c>
      <c r="L152" s="453">
        <v>0</v>
      </c>
      <c r="M152" s="453">
        <v>0</v>
      </c>
      <c r="N152" s="453">
        <v>0</v>
      </c>
      <c r="O152" s="453">
        <v>0</v>
      </c>
      <c r="P152" s="453">
        <v>0</v>
      </c>
      <c r="Q152" s="453">
        <v>0</v>
      </c>
      <c r="R152" s="453">
        <v>0</v>
      </c>
      <c r="S152" s="453">
        <v>0</v>
      </c>
      <c r="T152" s="453">
        <v>0</v>
      </c>
      <c r="U152" s="453">
        <v>0</v>
      </c>
      <c r="V152" s="453">
        <v>0</v>
      </c>
      <c r="W152" s="453">
        <v>-286.72000000000003</v>
      </c>
      <c r="X152" s="453">
        <v>-300</v>
      </c>
      <c r="Y152" s="453">
        <v>-1676.32</v>
      </c>
      <c r="Z152" s="453">
        <v>0</v>
      </c>
      <c r="AA152" s="453">
        <v>0</v>
      </c>
      <c r="AB152" s="453">
        <v>0</v>
      </c>
      <c r="AC152" s="453">
        <v>-806.72000000000025</v>
      </c>
      <c r="AD152" s="453">
        <v>0</v>
      </c>
      <c r="AE152" s="453">
        <v>-300</v>
      </c>
      <c r="AF152" s="453">
        <v>0</v>
      </c>
      <c r="AG152" s="453">
        <v>0</v>
      </c>
      <c r="AH152" s="453">
        <v>0</v>
      </c>
      <c r="AI152" s="453">
        <v>-143.36000000000001</v>
      </c>
      <c r="AJ152" s="453">
        <v>-1405.98</v>
      </c>
      <c r="AK152" s="453">
        <v>0</v>
      </c>
      <c r="AL152" s="453">
        <v>0</v>
      </c>
      <c r="AM152" s="453">
        <v>0</v>
      </c>
      <c r="AN152" s="453">
        <v>-300</v>
      </c>
    </row>
    <row r="153" spans="1:40" outlineLevel="1" collapsed="1" x14ac:dyDescent="0.25">
      <c r="A153" s="452">
        <v>4543</v>
      </c>
      <c r="B153" t="s">
        <v>1468</v>
      </c>
      <c r="C153" t="s">
        <v>1469</v>
      </c>
      <c r="D153" t="s">
        <v>1391</v>
      </c>
      <c r="E153" s="453">
        <f t="shared" si="23"/>
        <v>-3815.8</v>
      </c>
      <c r="F153" s="453">
        <f t="shared" si="24"/>
        <v>0</v>
      </c>
      <c r="G153" s="453">
        <f t="shared" si="25"/>
        <v>0</v>
      </c>
      <c r="H153" s="453">
        <v>0</v>
      </c>
      <c r="I153" s="453">
        <v>-921.78</v>
      </c>
      <c r="J153" s="453">
        <v>0</v>
      </c>
      <c r="K153" s="453">
        <v>0</v>
      </c>
      <c r="L153" s="453">
        <v>0</v>
      </c>
      <c r="M153" s="453">
        <v>0</v>
      </c>
      <c r="N153" s="453">
        <v>-2245.9800000000005</v>
      </c>
      <c r="O153" s="453">
        <v>0</v>
      </c>
      <c r="P153" s="453">
        <v>0</v>
      </c>
      <c r="Q153" s="453">
        <v>0</v>
      </c>
      <c r="R153" s="453">
        <v>-125.11999999999989</v>
      </c>
      <c r="S153" s="453">
        <v>-522.92000000000007</v>
      </c>
      <c r="T153" s="453">
        <v>0</v>
      </c>
      <c r="U153" s="453">
        <v>0</v>
      </c>
      <c r="V153" s="453">
        <v>0</v>
      </c>
      <c r="W153" s="453">
        <v>0</v>
      </c>
      <c r="X153" s="453">
        <v>0</v>
      </c>
      <c r="Y153" s="453">
        <v>0</v>
      </c>
      <c r="Z153" s="453">
        <v>0</v>
      </c>
      <c r="AA153" s="453">
        <v>0</v>
      </c>
      <c r="AB153" s="453">
        <v>0</v>
      </c>
      <c r="AC153" s="453">
        <v>0</v>
      </c>
      <c r="AD153" s="453">
        <v>0</v>
      </c>
      <c r="AE153" s="453">
        <v>0</v>
      </c>
      <c r="AF153" s="453">
        <v>0</v>
      </c>
      <c r="AG153" s="453">
        <v>0</v>
      </c>
      <c r="AH153" s="453">
        <v>0</v>
      </c>
      <c r="AI153" s="453">
        <v>0</v>
      </c>
      <c r="AJ153" s="453">
        <v>0</v>
      </c>
      <c r="AK153" s="453">
        <v>0</v>
      </c>
      <c r="AL153" s="453">
        <v>0</v>
      </c>
      <c r="AM153" s="453">
        <v>0</v>
      </c>
      <c r="AN153" s="453">
        <v>0</v>
      </c>
    </row>
    <row r="154" spans="1:40" outlineLevel="1" collapsed="1" x14ac:dyDescent="0.25">
      <c r="A154" s="452">
        <v>4543</v>
      </c>
      <c r="B154" t="s">
        <v>1470</v>
      </c>
      <c r="C154" t="s">
        <v>1471</v>
      </c>
      <c r="D154" t="s">
        <v>1391</v>
      </c>
      <c r="E154" s="453">
        <f t="shared" si="23"/>
        <v>0</v>
      </c>
      <c r="F154" s="453">
        <f t="shared" si="24"/>
        <v>-3942.67</v>
      </c>
      <c r="G154" s="453">
        <f t="shared" si="25"/>
        <v>-3248.66</v>
      </c>
      <c r="H154" s="453">
        <v>0</v>
      </c>
      <c r="I154" s="453">
        <v>0</v>
      </c>
      <c r="J154" s="453">
        <v>0</v>
      </c>
      <c r="K154" s="453">
        <v>0</v>
      </c>
      <c r="L154" s="453">
        <v>0</v>
      </c>
      <c r="M154" s="453">
        <v>0</v>
      </c>
      <c r="N154" s="453">
        <v>0</v>
      </c>
      <c r="O154" s="453">
        <v>0</v>
      </c>
      <c r="P154" s="453">
        <v>0</v>
      </c>
      <c r="Q154" s="453">
        <v>0</v>
      </c>
      <c r="R154" s="453">
        <v>0</v>
      </c>
      <c r="S154" s="453">
        <v>0</v>
      </c>
      <c r="T154" s="453">
        <v>0</v>
      </c>
      <c r="U154" s="453">
        <v>0</v>
      </c>
      <c r="V154" s="453">
        <v>0</v>
      </c>
      <c r="W154" s="453">
        <v>-1316.6</v>
      </c>
      <c r="X154" s="453">
        <v>-696.44</v>
      </c>
      <c r="Y154" s="453">
        <v>-64.740000000000236</v>
      </c>
      <c r="Z154" s="453">
        <v>-31.839999999999691</v>
      </c>
      <c r="AA154" s="453">
        <v>-31.840000000000146</v>
      </c>
      <c r="AB154" s="453">
        <v>-31.840000000000146</v>
      </c>
      <c r="AC154" s="453">
        <v>-775.52</v>
      </c>
      <c r="AD154" s="453">
        <v>-861.67999999999984</v>
      </c>
      <c r="AE154" s="453">
        <v>-132.17000000000007</v>
      </c>
      <c r="AF154" s="453">
        <v>-825.63</v>
      </c>
      <c r="AG154" s="453">
        <v>-31.840000000000032</v>
      </c>
      <c r="AH154" s="453">
        <v>-353</v>
      </c>
      <c r="AI154" s="453">
        <v>-766.74</v>
      </c>
      <c r="AJ154" s="453">
        <v>-247.27999999999975</v>
      </c>
      <c r="AK154" s="453">
        <v>0</v>
      </c>
      <c r="AL154" s="453">
        <v>-63.680000000000291</v>
      </c>
      <c r="AM154" s="453">
        <v>-928.65000000000009</v>
      </c>
      <c r="AN154" s="453">
        <v>-31.839999999999691</v>
      </c>
    </row>
    <row r="155" spans="1:40" outlineLevel="1" collapsed="1" x14ac:dyDescent="0.25">
      <c r="A155" s="452">
        <v>4544</v>
      </c>
      <c r="B155" t="s">
        <v>1472</v>
      </c>
      <c r="C155" t="s">
        <v>1473</v>
      </c>
      <c r="D155" t="s">
        <v>1391</v>
      </c>
      <c r="E155" s="453">
        <f t="shared" si="23"/>
        <v>-4780.91</v>
      </c>
      <c r="F155" s="453">
        <f t="shared" si="24"/>
        <v>-4879.63</v>
      </c>
      <c r="G155" s="453">
        <f t="shared" si="25"/>
        <v>-4032.52</v>
      </c>
      <c r="H155" s="453">
        <v>0</v>
      </c>
      <c r="I155" s="453">
        <v>0</v>
      </c>
      <c r="J155" s="453">
        <v>-1360.74</v>
      </c>
      <c r="K155" s="453">
        <v>0</v>
      </c>
      <c r="L155" s="453">
        <v>-955.87999999999988</v>
      </c>
      <c r="M155" s="453">
        <v>-582.63000000000011</v>
      </c>
      <c r="N155" s="453">
        <v>0</v>
      </c>
      <c r="O155" s="453">
        <v>0</v>
      </c>
      <c r="P155" s="453">
        <v>0</v>
      </c>
      <c r="Q155" s="453">
        <v>0</v>
      </c>
      <c r="R155" s="453">
        <v>-1863.4700000000003</v>
      </c>
      <c r="S155" s="453">
        <v>-18.1899999999996</v>
      </c>
      <c r="T155" s="453">
        <v>0</v>
      </c>
      <c r="U155" s="453">
        <v>-1727.09</v>
      </c>
      <c r="V155" s="453">
        <v>-469.43000000000006</v>
      </c>
      <c r="W155" s="453">
        <v>-140.42000000000007</v>
      </c>
      <c r="X155" s="453">
        <v>0</v>
      </c>
      <c r="Y155" s="453">
        <v>0</v>
      </c>
      <c r="Z155" s="453">
        <v>-21.009999999999764</v>
      </c>
      <c r="AA155" s="453">
        <v>-1032.73</v>
      </c>
      <c r="AB155" s="453">
        <v>0</v>
      </c>
      <c r="AC155" s="453">
        <v>-945.84999999999991</v>
      </c>
      <c r="AD155" s="453">
        <v>0</v>
      </c>
      <c r="AE155" s="453">
        <v>-543.10000000000036</v>
      </c>
      <c r="AF155" s="453">
        <v>-636.64</v>
      </c>
      <c r="AG155" s="453">
        <v>0</v>
      </c>
      <c r="AH155" s="453">
        <v>0</v>
      </c>
      <c r="AI155" s="453">
        <v>-160</v>
      </c>
      <c r="AJ155" s="453">
        <v>-683.11</v>
      </c>
      <c r="AK155" s="453">
        <v>0</v>
      </c>
      <c r="AL155" s="453">
        <v>-2222.0700000000002</v>
      </c>
      <c r="AM155" s="453">
        <v>-330.69999999999982</v>
      </c>
      <c r="AN155" s="453">
        <v>0</v>
      </c>
    </row>
    <row r="156" spans="1:40" outlineLevel="1" collapsed="1" x14ac:dyDescent="0.25">
      <c r="A156" s="452">
        <v>4545</v>
      </c>
      <c r="B156" t="s">
        <v>1474</v>
      </c>
      <c r="C156" t="s">
        <v>1475</v>
      </c>
      <c r="D156" t="s">
        <v>1391</v>
      </c>
      <c r="E156" s="453">
        <f t="shared" si="23"/>
        <v>-563.85</v>
      </c>
      <c r="F156" s="453">
        <f t="shared" si="24"/>
        <v>0</v>
      </c>
      <c r="G156" s="453">
        <f t="shared" si="25"/>
        <v>0</v>
      </c>
      <c r="H156" s="453">
        <v>0</v>
      </c>
      <c r="I156" s="453">
        <v>0</v>
      </c>
      <c r="J156" s="453">
        <v>0</v>
      </c>
      <c r="K156" s="453">
        <v>0</v>
      </c>
      <c r="L156" s="453">
        <v>-468.8</v>
      </c>
      <c r="M156" s="453">
        <v>0</v>
      </c>
      <c r="N156" s="453">
        <v>0</v>
      </c>
      <c r="O156" s="453">
        <v>-95.050000000000011</v>
      </c>
      <c r="P156" s="453">
        <v>0</v>
      </c>
      <c r="Q156" s="453">
        <v>0</v>
      </c>
      <c r="R156" s="453">
        <v>0</v>
      </c>
      <c r="S156" s="453">
        <v>0</v>
      </c>
      <c r="T156" s="453">
        <v>0</v>
      </c>
      <c r="U156" s="453">
        <v>0</v>
      </c>
      <c r="V156" s="453">
        <v>0</v>
      </c>
      <c r="W156" s="453">
        <v>0</v>
      </c>
      <c r="X156" s="453">
        <v>0</v>
      </c>
      <c r="Y156" s="453">
        <v>0</v>
      </c>
      <c r="Z156" s="453">
        <v>0</v>
      </c>
      <c r="AA156" s="453">
        <v>0</v>
      </c>
      <c r="AB156" s="453">
        <v>0</v>
      </c>
      <c r="AC156" s="453">
        <v>0</v>
      </c>
      <c r="AD156" s="453">
        <v>0</v>
      </c>
      <c r="AE156" s="453">
        <v>0</v>
      </c>
      <c r="AF156" s="453">
        <v>0</v>
      </c>
      <c r="AG156" s="453">
        <v>0</v>
      </c>
      <c r="AH156" s="453">
        <v>0</v>
      </c>
      <c r="AI156" s="453">
        <v>0</v>
      </c>
      <c r="AJ156" s="453">
        <v>0</v>
      </c>
      <c r="AK156" s="453">
        <v>0</v>
      </c>
      <c r="AL156" s="453">
        <v>0</v>
      </c>
      <c r="AM156" s="453">
        <v>0</v>
      </c>
      <c r="AN156" s="453">
        <v>0</v>
      </c>
    </row>
    <row r="157" spans="1:40" outlineLevel="1" collapsed="1" x14ac:dyDescent="0.25">
      <c r="A157" s="452">
        <v>4545</v>
      </c>
      <c r="B157" t="s">
        <v>1476</v>
      </c>
      <c r="C157" t="s">
        <v>1477</v>
      </c>
      <c r="D157" t="s">
        <v>1391</v>
      </c>
      <c r="E157" s="453">
        <f t="shared" si="23"/>
        <v>0</v>
      </c>
      <c r="F157" s="453">
        <f t="shared" si="24"/>
        <v>-3714.4499999999994</v>
      </c>
      <c r="G157" s="453">
        <f t="shared" si="25"/>
        <v>-1132.2999999999997</v>
      </c>
      <c r="H157" s="453">
        <v>0</v>
      </c>
      <c r="I157" s="453">
        <v>0</v>
      </c>
      <c r="J157" s="453">
        <v>0</v>
      </c>
      <c r="K157" s="453">
        <v>0</v>
      </c>
      <c r="L157" s="453">
        <v>0</v>
      </c>
      <c r="M157" s="453">
        <v>0</v>
      </c>
      <c r="N157" s="453">
        <v>0</v>
      </c>
      <c r="O157" s="453">
        <v>0</v>
      </c>
      <c r="P157" s="453">
        <v>0</v>
      </c>
      <c r="Q157" s="453">
        <v>0</v>
      </c>
      <c r="R157" s="453">
        <v>0</v>
      </c>
      <c r="S157" s="453">
        <v>0</v>
      </c>
      <c r="T157" s="453">
        <v>0</v>
      </c>
      <c r="U157" s="453">
        <v>0</v>
      </c>
      <c r="V157" s="453">
        <v>-102.13</v>
      </c>
      <c r="W157" s="453">
        <v>-1041.17</v>
      </c>
      <c r="X157" s="453">
        <v>0</v>
      </c>
      <c r="Y157" s="453">
        <v>-198.44000000000005</v>
      </c>
      <c r="Z157" s="453">
        <v>-44.369999999999891</v>
      </c>
      <c r="AA157" s="453">
        <v>-44.370000000000118</v>
      </c>
      <c r="AB157" s="453">
        <v>-44.369999999999891</v>
      </c>
      <c r="AC157" s="453">
        <v>-44.370000000000118</v>
      </c>
      <c r="AD157" s="453">
        <v>-2150.8599999999997</v>
      </c>
      <c r="AE157" s="453">
        <v>-44.369999999999891</v>
      </c>
      <c r="AF157" s="453">
        <v>-44.37</v>
      </c>
      <c r="AG157" s="453">
        <v>-44.37</v>
      </c>
      <c r="AH157" s="453">
        <v>-44.370000000000019</v>
      </c>
      <c r="AI157" s="453">
        <v>-170.41999999999996</v>
      </c>
      <c r="AJ157" s="453">
        <v>-44.370000000000005</v>
      </c>
      <c r="AK157" s="453">
        <v>-651.29000000000008</v>
      </c>
      <c r="AL157" s="453">
        <v>-44.369999999999891</v>
      </c>
      <c r="AM157" s="453">
        <v>-44.370000000000118</v>
      </c>
      <c r="AN157" s="453">
        <v>-44.369999999999891</v>
      </c>
    </row>
    <row r="158" spans="1:40" outlineLevel="1" collapsed="1" x14ac:dyDescent="0.25">
      <c r="A158" s="452">
        <v>4546</v>
      </c>
      <c r="B158" t="s">
        <v>1478</v>
      </c>
      <c r="C158" t="s">
        <v>1479</v>
      </c>
      <c r="D158" t="s">
        <v>1391</v>
      </c>
      <c r="E158" s="453">
        <f t="shared" ref="E158:E221" si="26">S158+R158+Q158+P158+O158+N158+M158+L158+K158+J158+I158+H158</f>
        <v>-3351.13</v>
      </c>
      <c r="F158" s="453">
        <f t="shared" ref="F158:F221" si="27">AE158+AD158+AC158+AB158+AA158+Z158+Y158+X158+W158+V158+U158+T158</f>
        <v>0</v>
      </c>
      <c r="G158" s="453">
        <f t="shared" ref="G158:G221" si="28">AN158+AM158+AL158+AK158+AJ158+AI158+AH158+AG158+AF158</f>
        <v>0</v>
      </c>
      <c r="H158" s="453">
        <v>-29.46</v>
      </c>
      <c r="I158" s="453">
        <v>0</v>
      </c>
      <c r="J158" s="453">
        <v>0</v>
      </c>
      <c r="K158" s="453">
        <v>-428.3</v>
      </c>
      <c r="L158" s="453">
        <v>-615.63000000000011</v>
      </c>
      <c r="M158" s="453">
        <v>0</v>
      </c>
      <c r="N158" s="453">
        <v>0</v>
      </c>
      <c r="O158" s="453">
        <v>0</v>
      </c>
      <c r="P158" s="453">
        <v>0</v>
      </c>
      <c r="Q158" s="453">
        <v>0</v>
      </c>
      <c r="R158" s="453">
        <v>-548.34999999999991</v>
      </c>
      <c r="S158" s="453">
        <v>-1729.39</v>
      </c>
      <c r="T158" s="453">
        <v>0</v>
      </c>
      <c r="U158" s="453">
        <v>0</v>
      </c>
      <c r="V158" s="453">
        <v>0</v>
      </c>
      <c r="W158" s="453">
        <v>0</v>
      </c>
      <c r="X158" s="453">
        <v>0</v>
      </c>
      <c r="Y158" s="453">
        <v>0</v>
      </c>
      <c r="Z158" s="453">
        <v>0</v>
      </c>
      <c r="AA158" s="453">
        <v>0</v>
      </c>
      <c r="AB158" s="453">
        <v>0</v>
      </c>
      <c r="AC158" s="453">
        <v>0</v>
      </c>
      <c r="AD158" s="453">
        <v>0</v>
      </c>
      <c r="AE158" s="453">
        <v>0</v>
      </c>
      <c r="AF158" s="453">
        <v>0</v>
      </c>
      <c r="AG158" s="453">
        <v>0</v>
      </c>
      <c r="AH158" s="453">
        <v>0</v>
      </c>
      <c r="AI158" s="453">
        <v>0</v>
      </c>
      <c r="AJ158" s="453">
        <v>0</v>
      </c>
      <c r="AK158" s="453">
        <v>0</v>
      </c>
      <c r="AL158" s="453">
        <v>0</v>
      </c>
      <c r="AM158" s="453">
        <v>0</v>
      </c>
      <c r="AN158" s="453">
        <v>0</v>
      </c>
    </row>
    <row r="159" spans="1:40" outlineLevel="1" collapsed="1" x14ac:dyDescent="0.25">
      <c r="A159" s="452">
        <v>4546</v>
      </c>
      <c r="B159" t="s">
        <v>1480</v>
      </c>
      <c r="C159" t="s">
        <v>1481</v>
      </c>
      <c r="D159" t="s">
        <v>1391</v>
      </c>
      <c r="E159" s="453">
        <f t="shared" si="26"/>
        <v>0</v>
      </c>
      <c r="F159" s="453">
        <f t="shared" si="27"/>
        <v>-5684.87</v>
      </c>
      <c r="G159" s="453">
        <f t="shared" si="28"/>
        <v>0</v>
      </c>
      <c r="H159" s="453">
        <v>0</v>
      </c>
      <c r="I159" s="453">
        <v>0</v>
      </c>
      <c r="J159" s="453">
        <v>0</v>
      </c>
      <c r="K159" s="453">
        <v>0</v>
      </c>
      <c r="L159" s="453">
        <v>0</v>
      </c>
      <c r="M159" s="453">
        <v>0</v>
      </c>
      <c r="N159" s="453">
        <v>0</v>
      </c>
      <c r="O159" s="453">
        <v>0</v>
      </c>
      <c r="P159" s="453">
        <v>0</v>
      </c>
      <c r="Q159" s="453">
        <v>0</v>
      </c>
      <c r="R159" s="453">
        <v>0</v>
      </c>
      <c r="S159" s="453">
        <v>0</v>
      </c>
      <c r="T159" s="453">
        <v>0</v>
      </c>
      <c r="U159" s="453">
        <v>-697.82</v>
      </c>
      <c r="V159" s="453">
        <v>0</v>
      </c>
      <c r="W159" s="453">
        <v>-621.00999999999988</v>
      </c>
      <c r="X159" s="453">
        <v>-271.12000000000012</v>
      </c>
      <c r="Y159" s="453">
        <v>0</v>
      </c>
      <c r="Z159" s="453">
        <v>0</v>
      </c>
      <c r="AA159" s="453">
        <v>-160</v>
      </c>
      <c r="AB159" s="453">
        <v>0</v>
      </c>
      <c r="AC159" s="453">
        <v>-3934.92</v>
      </c>
      <c r="AD159" s="453">
        <v>0</v>
      </c>
      <c r="AE159" s="453">
        <v>0</v>
      </c>
      <c r="AF159" s="453">
        <v>0</v>
      </c>
      <c r="AG159" s="453">
        <v>0</v>
      </c>
      <c r="AH159" s="453">
        <v>0</v>
      </c>
      <c r="AI159" s="453">
        <v>0</v>
      </c>
      <c r="AJ159" s="453">
        <v>0</v>
      </c>
      <c r="AK159" s="453">
        <v>0</v>
      </c>
      <c r="AL159" s="453">
        <v>0</v>
      </c>
      <c r="AM159" s="453">
        <v>0</v>
      </c>
      <c r="AN159" s="453">
        <v>0</v>
      </c>
    </row>
    <row r="160" spans="1:40" outlineLevel="1" collapsed="1" x14ac:dyDescent="0.25">
      <c r="A160" s="452">
        <v>4546</v>
      </c>
      <c r="B160" t="s">
        <v>1482</v>
      </c>
      <c r="C160" t="s">
        <v>1483</v>
      </c>
      <c r="D160" t="s">
        <v>1391</v>
      </c>
      <c r="E160" s="453">
        <f t="shared" si="26"/>
        <v>0</v>
      </c>
      <c r="F160" s="453">
        <f t="shared" si="27"/>
        <v>0</v>
      </c>
      <c r="G160" s="453">
        <f t="shared" si="28"/>
        <v>-1579.26</v>
      </c>
      <c r="H160" s="453">
        <v>0</v>
      </c>
      <c r="I160" s="453">
        <v>0</v>
      </c>
      <c r="J160" s="453">
        <v>0</v>
      </c>
      <c r="K160" s="453">
        <v>0</v>
      </c>
      <c r="L160" s="453">
        <v>0</v>
      </c>
      <c r="M160" s="453">
        <v>0</v>
      </c>
      <c r="N160" s="453">
        <v>0</v>
      </c>
      <c r="O160" s="453">
        <v>0</v>
      </c>
      <c r="P160" s="453">
        <v>0</v>
      </c>
      <c r="Q160" s="453">
        <v>0</v>
      </c>
      <c r="R160" s="453">
        <v>0</v>
      </c>
      <c r="S160" s="453">
        <v>0</v>
      </c>
      <c r="T160" s="453">
        <v>0</v>
      </c>
      <c r="U160" s="453">
        <v>0</v>
      </c>
      <c r="V160" s="453">
        <v>0</v>
      </c>
      <c r="W160" s="453">
        <v>0</v>
      </c>
      <c r="X160" s="453">
        <v>0</v>
      </c>
      <c r="Y160" s="453">
        <v>0</v>
      </c>
      <c r="Z160" s="453">
        <v>0</v>
      </c>
      <c r="AA160" s="453">
        <v>0</v>
      </c>
      <c r="AB160" s="453">
        <v>0</v>
      </c>
      <c r="AC160" s="453">
        <v>0</v>
      </c>
      <c r="AD160" s="453">
        <v>0</v>
      </c>
      <c r="AE160" s="453">
        <v>0</v>
      </c>
      <c r="AF160" s="453">
        <v>0</v>
      </c>
      <c r="AG160" s="453">
        <v>0</v>
      </c>
      <c r="AH160" s="453">
        <v>0</v>
      </c>
      <c r="AI160" s="453">
        <v>-237.81</v>
      </c>
      <c r="AJ160" s="453">
        <v>0</v>
      </c>
      <c r="AK160" s="453">
        <v>0</v>
      </c>
      <c r="AL160" s="453">
        <v>-885.45</v>
      </c>
      <c r="AM160" s="453">
        <v>-456</v>
      </c>
      <c r="AN160" s="453">
        <v>0</v>
      </c>
    </row>
    <row r="161" spans="1:40" outlineLevel="1" collapsed="1" x14ac:dyDescent="0.25">
      <c r="A161" s="452">
        <v>4547</v>
      </c>
      <c r="B161" t="s">
        <v>1484</v>
      </c>
      <c r="C161" t="s">
        <v>1485</v>
      </c>
      <c r="D161" t="s">
        <v>1391</v>
      </c>
      <c r="E161" s="453">
        <f t="shared" si="26"/>
        <v>-7572.0699999999988</v>
      </c>
      <c r="F161" s="453">
        <f t="shared" si="27"/>
        <v>0</v>
      </c>
      <c r="G161" s="453">
        <f t="shared" si="28"/>
        <v>0</v>
      </c>
      <c r="H161" s="453">
        <v>0</v>
      </c>
      <c r="I161" s="453">
        <v>-215.03</v>
      </c>
      <c r="J161" s="453">
        <v>-86.4</v>
      </c>
      <c r="K161" s="453">
        <v>-1640.1599999999999</v>
      </c>
      <c r="L161" s="453">
        <v>-748.44000000000028</v>
      </c>
      <c r="M161" s="453">
        <v>-1145.3899999999999</v>
      </c>
      <c r="N161" s="453">
        <v>0</v>
      </c>
      <c r="O161" s="453">
        <v>0</v>
      </c>
      <c r="P161" s="453">
        <v>-2967.7299999999996</v>
      </c>
      <c r="Q161" s="453">
        <v>0</v>
      </c>
      <c r="R161" s="453">
        <v>-768.92000000000007</v>
      </c>
      <c r="S161" s="453">
        <v>0</v>
      </c>
      <c r="T161" s="453">
        <v>0</v>
      </c>
      <c r="U161" s="453">
        <v>0</v>
      </c>
      <c r="V161" s="453">
        <v>0</v>
      </c>
      <c r="W161" s="453">
        <v>0</v>
      </c>
      <c r="X161" s="453">
        <v>0</v>
      </c>
      <c r="Y161" s="453">
        <v>0</v>
      </c>
      <c r="Z161" s="453">
        <v>0</v>
      </c>
      <c r="AA161" s="453">
        <v>0</v>
      </c>
      <c r="AB161" s="453">
        <v>0</v>
      </c>
      <c r="AC161" s="453">
        <v>0</v>
      </c>
      <c r="AD161" s="453">
        <v>0</v>
      </c>
      <c r="AE161" s="453">
        <v>0</v>
      </c>
      <c r="AF161" s="453">
        <v>0</v>
      </c>
      <c r="AG161" s="453">
        <v>0</v>
      </c>
      <c r="AH161" s="453">
        <v>0</v>
      </c>
      <c r="AI161" s="453">
        <v>0</v>
      </c>
      <c r="AJ161" s="453">
        <v>0</v>
      </c>
      <c r="AK161" s="453">
        <v>0</v>
      </c>
      <c r="AL161" s="453">
        <v>0</v>
      </c>
      <c r="AM161" s="453">
        <v>0</v>
      </c>
      <c r="AN161" s="453">
        <v>0</v>
      </c>
    </row>
    <row r="162" spans="1:40" outlineLevel="1" collapsed="1" x14ac:dyDescent="0.25">
      <c r="A162" s="452">
        <v>4547</v>
      </c>
      <c r="B162" t="s">
        <v>1486</v>
      </c>
      <c r="C162" t="s">
        <v>1487</v>
      </c>
      <c r="D162" t="s">
        <v>1391</v>
      </c>
      <c r="E162" s="453">
        <f t="shared" si="26"/>
        <v>0</v>
      </c>
      <c r="F162" s="453">
        <f t="shared" si="27"/>
        <v>-2653.69</v>
      </c>
      <c r="G162" s="453">
        <f t="shared" si="28"/>
        <v>-2275.7200000000003</v>
      </c>
      <c r="H162" s="453">
        <v>0</v>
      </c>
      <c r="I162" s="453">
        <v>0</v>
      </c>
      <c r="J162" s="453">
        <v>0</v>
      </c>
      <c r="K162" s="453">
        <v>0</v>
      </c>
      <c r="L162" s="453">
        <v>0</v>
      </c>
      <c r="M162" s="453">
        <v>0</v>
      </c>
      <c r="N162" s="453">
        <v>0</v>
      </c>
      <c r="O162" s="453">
        <v>0</v>
      </c>
      <c r="P162" s="453">
        <v>0</v>
      </c>
      <c r="Q162" s="453">
        <v>0</v>
      </c>
      <c r="R162" s="453">
        <v>0</v>
      </c>
      <c r="S162" s="453">
        <v>0</v>
      </c>
      <c r="T162" s="453">
        <v>0</v>
      </c>
      <c r="U162" s="453">
        <v>-44.1</v>
      </c>
      <c r="V162" s="453">
        <v>-450</v>
      </c>
      <c r="W162" s="453">
        <v>-121.84000000000003</v>
      </c>
      <c r="X162" s="453">
        <v>-405.45999999999992</v>
      </c>
      <c r="Y162" s="453">
        <v>0</v>
      </c>
      <c r="Z162" s="453">
        <v>-300.00000000000011</v>
      </c>
      <c r="AA162" s="453">
        <v>0</v>
      </c>
      <c r="AB162" s="453">
        <v>-150</v>
      </c>
      <c r="AC162" s="453">
        <v>-873.23999999999978</v>
      </c>
      <c r="AD162" s="453">
        <v>-77.740000000000236</v>
      </c>
      <c r="AE162" s="453">
        <v>-231.30999999999995</v>
      </c>
      <c r="AF162" s="453">
        <v>0</v>
      </c>
      <c r="AG162" s="453">
        <v>0</v>
      </c>
      <c r="AH162" s="453">
        <v>-166.84</v>
      </c>
      <c r="AI162" s="453">
        <v>-2007.8300000000002</v>
      </c>
      <c r="AJ162" s="453">
        <v>-77.739999999999782</v>
      </c>
      <c r="AK162" s="453">
        <v>0</v>
      </c>
      <c r="AL162" s="453">
        <v>0</v>
      </c>
      <c r="AM162" s="453">
        <v>-23.309999999999945</v>
      </c>
      <c r="AN162" s="453">
        <v>0</v>
      </c>
    </row>
    <row r="163" spans="1:40" outlineLevel="1" collapsed="1" x14ac:dyDescent="0.25">
      <c r="A163" s="452">
        <v>4548</v>
      </c>
      <c r="B163" t="s">
        <v>1488</v>
      </c>
      <c r="C163" t="s">
        <v>1489</v>
      </c>
      <c r="D163" t="s">
        <v>1391</v>
      </c>
      <c r="E163" s="453">
        <f t="shared" si="26"/>
        <v>-3282.3999999999996</v>
      </c>
      <c r="F163" s="453">
        <f t="shared" si="27"/>
        <v>-4788.5</v>
      </c>
      <c r="G163" s="453">
        <f t="shared" si="28"/>
        <v>-3977.33</v>
      </c>
      <c r="H163" s="453">
        <v>0</v>
      </c>
      <c r="I163" s="453">
        <v>0</v>
      </c>
      <c r="J163" s="453">
        <v>0</v>
      </c>
      <c r="K163" s="453">
        <v>0</v>
      </c>
      <c r="L163" s="453">
        <v>0</v>
      </c>
      <c r="M163" s="453">
        <v>-151.16</v>
      </c>
      <c r="N163" s="453">
        <v>-151.16</v>
      </c>
      <c r="O163" s="453">
        <v>-651.16000000000008</v>
      </c>
      <c r="P163" s="453">
        <v>-651.16000000000008</v>
      </c>
      <c r="Q163" s="453">
        <v>-1230.99</v>
      </c>
      <c r="R163" s="453">
        <v>-151.15999999999985</v>
      </c>
      <c r="S163" s="453">
        <v>-295.61000000000013</v>
      </c>
      <c r="T163" s="453">
        <v>-151.16</v>
      </c>
      <c r="U163" s="453">
        <v>-2149.86</v>
      </c>
      <c r="V163" s="453">
        <v>-285.61000000000013</v>
      </c>
      <c r="W163" s="453">
        <v>-246.96000000000004</v>
      </c>
      <c r="X163" s="453">
        <v>-151.15999999999985</v>
      </c>
      <c r="Y163" s="453">
        <v>-651.15999999999985</v>
      </c>
      <c r="Z163" s="453">
        <v>-151.16000000000031</v>
      </c>
      <c r="AA163" s="453">
        <v>-151.15999999999985</v>
      </c>
      <c r="AB163" s="453">
        <v>-151.15999999999985</v>
      </c>
      <c r="AC163" s="453">
        <v>-262.33999999999969</v>
      </c>
      <c r="AD163" s="453">
        <v>-151.16000000000076</v>
      </c>
      <c r="AE163" s="453">
        <v>-285.60999999999967</v>
      </c>
      <c r="AF163" s="453">
        <v>-151.16</v>
      </c>
      <c r="AG163" s="453">
        <v>-151.16</v>
      </c>
      <c r="AH163" s="453">
        <v>-434.26000000000005</v>
      </c>
      <c r="AI163" s="453">
        <v>-262.33999999999992</v>
      </c>
      <c r="AJ163" s="453">
        <v>-651.16</v>
      </c>
      <c r="AK163" s="453">
        <v>-151.16000000000008</v>
      </c>
      <c r="AL163" s="453">
        <v>-151.16000000000008</v>
      </c>
      <c r="AM163" s="453">
        <v>-151.15999999999985</v>
      </c>
      <c r="AN163" s="453">
        <v>-1873.77</v>
      </c>
    </row>
    <row r="164" spans="1:40" outlineLevel="1" collapsed="1" x14ac:dyDescent="0.25">
      <c r="A164" s="452">
        <v>4549</v>
      </c>
      <c r="B164" t="s">
        <v>1490</v>
      </c>
      <c r="C164" t="s">
        <v>1491</v>
      </c>
      <c r="D164" t="s">
        <v>1391</v>
      </c>
      <c r="E164" s="453">
        <f t="shared" si="26"/>
        <v>-64</v>
      </c>
      <c r="F164" s="453">
        <f t="shared" si="27"/>
        <v>-184</v>
      </c>
      <c r="G164" s="453">
        <f t="shared" si="28"/>
        <v>-204</v>
      </c>
      <c r="H164" s="453">
        <v>0</v>
      </c>
      <c r="I164" s="453">
        <v>0</v>
      </c>
      <c r="J164" s="453">
        <v>0</v>
      </c>
      <c r="K164" s="453">
        <v>0</v>
      </c>
      <c r="L164" s="453">
        <v>-8</v>
      </c>
      <c r="M164" s="453">
        <v>-8</v>
      </c>
      <c r="N164" s="453">
        <v>-8</v>
      </c>
      <c r="O164" s="453">
        <v>-8</v>
      </c>
      <c r="P164" s="453">
        <v>-8</v>
      </c>
      <c r="Q164" s="453">
        <v>-8</v>
      </c>
      <c r="R164" s="453">
        <v>-8</v>
      </c>
      <c r="S164" s="453">
        <v>-8</v>
      </c>
      <c r="T164" s="453">
        <v>-8</v>
      </c>
      <c r="U164" s="453">
        <v>-8</v>
      </c>
      <c r="V164" s="453">
        <v>-8</v>
      </c>
      <c r="W164" s="453">
        <v>-8</v>
      </c>
      <c r="X164" s="453">
        <v>-8</v>
      </c>
      <c r="Y164" s="453">
        <v>-24</v>
      </c>
      <c r="Z164" s="453">
        <v>-20</v>
      </c>
      <c r="AA164" s="453">
        <v>-20</v>
      </c>
      <c r="AB164" s="453">
        <v>-20</v>
      </c>
      <c r="AC164" s="453">
        <v>-20</v>
      </c>
      <c r="AD164" s="453">
        <v>-20</v>
      </c>
      <c r="AE164" s="453">
        <v>-20</v>
      </c>
      <c r="AF164" s="453">
        <v>-20</v>
      </c>
      <c r="AG164" s="453">
        <v>-20</v>
      </c>
      <c r="AH164" s="453">
        <v>-20</v>
      </c>
      <c r="AI164" s="453">
        <v>-20</v>
      </c>
      <c r="AJ164" s="453">
        <v>-28</v>
      </c>
      <c r="AK164" s="453">
        <v>-24</v>
      </c>
      <c r="AL164" s="453">
        <v>-24</v>
      </c>
      <c r="AM164" s="453">
        <v>-24</v>
      </c>
      <c r="AN164" s="453">
        <v>-24</v>
      </c>
    </row>
    <row r="165" spans="1:40" outlineLevel="1" collapsed="1" x14ac:dyDescent="0.25">
      <c r="A165" s="452">
        <v>4570</v>
      </c>
      <c r="B165" t="s">
        <v>1492</v>
      </c>
      <c r="C165" t="s">
        <v>1493</v>
      </c>
      <c r="D165" t="s">
        <v>1391</v>
      </c>
      <c r="E165" s="453">
        <f t="shared" si="26"/>
        <v>-7163.1600000000017</v>
      </c>
      <c r="F165" s="453">
        <f t="shared" si="27"/>
        <v>0</v>
      </c>
      <c r="G165" s="453">
        <f t="shared" si="28"/>
        <v>0</v>
      </c>
      <c r="H165" s="453">
        <v>-596.92999999999995</v>
      </c>
      <c r="I165" s="453">
        <v>-596.92999999999995</v>
      </c>
      <c r="J165" s="453">
        <v>-596.93000000000006</v>
      </c>
      <c r="K165" s="453">
        <v>-596.92999999999984</v>
      </c>
      <c r="L165" s="453">
        <v>-596.93000000000029</v>
      </c>
      <c r="M165" s="453">
        <v>-596.92999999999984</v>
      </c>
      <c r="N165" s="453">
        <v>-596.93000000000029</v>
      </c>
      <c r="O165" s="453">
        <v>-596.92999999999938</v>
      </c>
      <c r="P165" s="453">
        <v>-596.93000000000029</v>
      </c>
      <c r="Q165" s="453">
        <v>-596.93000000000029</v>
      </c>
      <c r="R165" s="453">
        <v>-596.92999999999938</v>
      </c>
      <c r="S165" s="453">
        <v>-596.93000000000029</v>
      </c>
      <c r="T165" s="453">
        <v>0</v>
      </c>
      <c r="U165" s="453">
        <v>0</v>
      </c>
      <c r="V165" s="453">
        <v>0</v>
      </c>
      <c r="W165" s="453">
        <v>0</v>
      </c>
      <c r="X165" s="453">
        <v>0</v>
      </c>
      <c r="Y165" s="453">
        <v>0</v>
      </c>
      <c r="Z165" s="453">
        <v>0</v>
      </c>
      <c r="AA165" s="453">
        <v>0</v>
      </c>
      <c r="AB165" s="453">
        <v>0</v>
      </c>
      <c r="AC165" s="453">
        <v>0</v>
      </c>
      <c r="AD165" s="453">
        <v>0</v>
      </c>
      <c r="AE165" s="453">
        <v>0</v>
      </c>
      <c r="AF165" s="453">
        <v>0</v>
      </c>
      <c r="AG165" s="453">
        <v>0</v>
      </c>
      <c r="AH165" s="453">
        <v>0</v>
      </c>
      <c r="AI165" s="453">
        <v>0</v>
      </c>
      <c r="AJ165" s="453">
        <v>0</v>
      </c>
      <c r="AK165" s="453">
        <v>0</v>
      </c>
      <c r="AL165" s="453">
        <v>0</v>
      </c>
      <c r="AM165" s="453">
        <v>0</v>
      </c>
      <c r="AN165" s="453">
        <v>0</v>
      </c>
    </row>
    <row r="166" spans="1:40" outlineLevel="1" collapsed="1" x14ac:dyDescent="0.25">
      <c r="A166" s="452">
        <v>4570</v>
      </c>
      <c r="B166" t="s">
        <v>1494</v>
      </c>
      <c r="C166" t="s">
        <v>1495</v>
      </c>
      <c r="D166" t="s">
        <v>1391</v>
      </c>
      <c r="E166" s="453">
        <f t="shared" si="26"/>
        <v>0</v>
      </c>
      <c r="F166" s="453">
        <f t="shared" si="27"/>
        <v>-11643.090000000002</v>
      </c>
      <c r="G166" s="453">
        <f t="shared" si="28"/>
        <v>0</v>
      </c>
      <c r="H166" s="453">
        <v>0</v>
      </c>
      <c r="I166" s="453">
        <v>0</v>
      </c>
      <c r="J166" s="453">
        <v>0</v>
      </c>
      <c r="K166" s="453">
        <v>0</v>
      </c>
      <c r="L166" s="453">
        <v>0</v>
      </c>
      <c r="M166" s="453">
        <v>0</v>
      </c>
      <c r="N166" s="453">
        <v>0</v>
      </c>
      <c r="O166" s="453">
        <v>0</v>
      </c>
      <c r="P166" s="453">
        <v>0</v>
      </c>
      <c r="Q166" s="453">
        <v>0</v>
      </c>
      <c r="R166" s="453">
        <v>0</v>
      </c>
      <c r="S166" s="453">
        <v>0</v>
      </c>
      <c r="T166" s="453">
        <v>-596.92999999999995</v>
      </c>
      <c r="U166" s="453">
        <v>-680.2700000000001</v>
      </c>
      <c r="V166" s="453">
        <v>-2040.1699999999998</v>
      </c>
      <c r="W166" s="453">
        <v>-925.07999999999993</v>
      </c>
      <c r="X166" s="453">
        <v>-925.07999999999993</v>
      </c>
      <c r="Y166" s="453">
        <v>-925.07999999999993</v>
      </c>
      <c r="Z166" s="453">
        <v>-925.07999999999993</v>
      </c>
      <c r="AA166" s="453">
        <v>-925.08000000000084</v>
      </c>
      <c r="AB166" s="453">
        <v>-925.07999999999993</v>
      </c>
      <c r="AC166" s="453">
        <v>-925.07999999999993</v>
      </c>
      <c r="AD166" s="453">
        <v>-925.07999999999993</v>
      </c>
      <c r="AE166" s="453">
        <v>-925.07999999999993</v>
      </c>
      <c r="AF166" s="453">
        <v>0</v>
      </c>
      <c r="AG166" s="453">
        <v>0</v>
      </c>
      <c r="AH166" s="453">
        <v>0</v>
      </c>
      <c r="AI166" s="453">
        <v>0</v>
      </c>
      <c r="AJ166" s="453">
        <v>0</v>
      </c>
      <c r="AK166" s="453">
        <v>0</v>
      </c>
      <c r="AL166" s="453">
        <v>0</v>
      </c>
      <c r="AM166" s="453">
        <v>0</v>
      </c>
      <c r="AN166" s="453">
        <v>0</v>
      </c>
    </row>
    <row r="167" spans="1:40" outlineLevel="1" collapsed="1" x14ac:dyDescent="0.25">
      <c r="A167" s="452">
        <v>4570</v>
      </c>
      <c r="B167" t="s">
        <v>1496</v>
      </c>
      <c r="C167" t="s">
        <v>1497</v>
      </c>
      <c r="D167" t="s">
        <v>1391</v>
      </c>
      <c r="E167" s="453">
        <f t="shared" si="26"/>
        <v>0</v>
      </c>
      <c r="F167" s="453">
        <f t="shared" si="27"/>
        <v>0</v>
      </c>
      <c r="G167" s="453">
        <f t="shared" si="28"/>
        <v>-8325.7199999999993</v>
      </c>
      <c r="H167" s="453">
        <v>0</v>
      </c>
      <c r="I167" s="453">
        <v>0</v>
      </c>
      <c r="J167" s="453">
        <v>0</v>
      </c>
      <c r="K167" s="453">
        <v>0</v>
      </c>
      <c r="L167" s="453">
        <v>0</v>
      </c>
      <c r="M167" s="453">
        <v>0</v>
      </c>
      <c r="N167" s="453">
        <v>0</v>
      </c>
      <c r="O167" s="453">
        <v>0</v>
      </c>
      <c r="P167" s="453">
        <v>0</v>
      </c>
      <c r="Q167" s="453">
        <v>0</v>
      </c>
      <c r="R167" s="453">
        <v>0</v>
      </c>
      <c r="S167" s="453">
        <v>0</v>
      </c>
      <c r="T167" s="453">
        <v>0</v>
      </c>
      <c r="U167" s="453">
        <v>0</v>
      </c>
      <c r="V167" s="453">
        <v>0</v>
      </c>
      <c r="W167" s="453">
        <v>0</v>
      </c>
      <c r="X167" s="453">
        <v>0</v>
      </c>
      <c r="Y167" s="453">
        <v>0</v>
      </c>
      <c r="Z167" s="453">
        <v>0</v>
      </c>
      <c r="AA167" s="453">
        <v>0</v>
      </c>
      <c r="AB167" s="453">
        <v>0</v>
      </c>
      <c r="AC167" s="453">
        <v>0</v>
      </c>
      <c r="AD167" s="453">
        <v>0</v>
      </c>
      <c r="AE167" s="453">
        <v>0</v>
      </c>
      <c r="AF167" s="453">
        <v>-925.08</v>
      </c>
      <c r="AG167" s="453">
        <v>-925.08</v>
      </c>
      <c r="AH167" s="453">
        <v>-925.0799999999997</v>
      </c>
      <c r="AI167" s="453">
        <v>-925.08000000000038</v>
      </c>
      <c r="AJ167" s="453">
        <v>-925.07999999999947</v>
      </c>
      <c r="AK167" s="453">
        <v>-925.07999999999993</v>
      </c>
      <c r="AL167" s="453">
        <v>-925.08000000000084</v>
      </c>
      <c r="AM167" s="453">
        <v>-925.07999999999993</v>
      </c>
      <c r="AN167" s="453">
        <v>-925.07999999999902</v>
      </c>
    </row>
    <row r="168" spans="1:40" outlineLevel="1" collapsed="1" x14ac:dyDescent="0.25">
      <c r="A168" s="452">
        <v>4571</v>
      </c>
      <c r="B168" t="s">
        <v>1498</v>
      </c>
      <c r="C168" t="s">
        <v>1499</v>
      </c>
      <c r="D168" t="s">
        <v>1391</v>
      </c>
      <c r="E168" s="453">
        <f t="shared" si="26"/>
        <v>0</v>
      </c>
      <c r="F168" s="453">
        <f t="shared" si="27"/>
        <v>0</v>
      </c>
      <c r="G168" s="453">
        <f t="shared" si="28"/>
        <v>0</v>
      </c>
      <c r="H168" s="453">
        <v>0</v>
      </c>
      <c r="I168" s="453">
        <v>0</v>
      </c>
      <c r="J168" s="453">
        <v>0</v>
      </c>
      <c r="K168" s="453">
        <v>0</v>
      </c>
      <c r="L168" s="453">
        <v>0</v>
      </c>
      <c r="M168" s="453">
        <v>0</v>
      </c>
      <c r="N168" s="453">
        <v>0</v>
      </c>
      <c r="O168" s="453">
        <v>0</v>
      </c>
      <c r="P168" s="453">
        <v>0</v>
      </c>
      <c r="Q168" s="453">
        <v>0</v>
      </c>
      <c r="R168" s="453">
        <v>0</v>
      </c>
      <c r="S168" s="453">
        <v>0</v>
      </c>
      <c r="T168" s="453">
        <v>0</v>
      </c>
      <c r="U168" s="453">
        <v>0</v>
      </c>
      <c r="V168" s="453">
        <v>0</v>
      </c>
      <c r="W168" s="453">
        <v>0</v>
      </c>
      <c r="X168" s="453">
        <v>0</v>
      </c>
      <c r="Y168" s="453">
        <v>0</v>
      </c>
      <c r="Z168" s="453">
        <v>0</v>
      </c>
      <c r="AA168" s="453">
        <v>0</v>
      </c>
      <c r="AB168" s="453">
        <v>0</v>
      </c>
      <c r="AC168" s="453">
        <v>0</v>
      </c>
      <c r="AD168" s="453">
        <v>0</v>
      </c>
      <c r="AE168" s="453">
        <v>0</v>
      </c>
      <c r="AF168" s="453">
        <v>0</v>
      </c>
      <c r="AG168" s="453">
        <v>0</v>
      </c>
      <c r="AH168" s="453">
        <v>0</v>
      </c>
      <c r="AI168" s="453">
        <v>0</v>
      </c>
      <c r="AJ168" s="453">
        <v>0</v>
      </c>
      <c r="AK168" s="453">
        <v>0</v>
      </c>
      <c r="AL168" s="453">
        <v>0</v>
      </c>
      <c r="AM168" s="453">
        <v>0</v>
      </c>
      <c r="AN168" s="453">
        <v>0</v>
      </c>
    </row>
    <row r="169" spans="1:40" outlineLevel="1" collapsed="1" x14ac:dyDescent="0.25">
      <c r="A169" s="452">
        <v>4572</v>
      </c>
      <c r="B169" t="s">
        <v>1500</v>
      </c>
      <c r="C169" t="s">
        <v>1501</v>
      </c>
      <c r="D169" t="s">
        <v>1391</v>
      </c>
      <c r="E169" s="453">
        <f t="shared" si="26"/>
        <v>-17911.990000000002</v>
      </c>
      <c r="F169" s="453">
        <f t="shared" si="27"/>
        <v>0</v>
      </c>
      <c r="G169" s="453">
        <f t="shared" si="28"/>
        <v>0</v>
      </c>
      <c r="H169" s="453">
        <v>-701.35</v>
      </c>
      <c r="I169" s="453">
        <v>-701.35</v>
      </c>
      <c r="J169" s="453">
        <v>2033.3400000000001</v>
      </c>
      <c r="K169" s="453">
        <v>-2942.08</v>
      </c>
      <c r="L169" s="453">
        <v>-818.67999999999984</v>
      </c>
      <c r="M169" s="453">
        <v>-4504.3599999999997</v>
      </c>
      <c r="N169" s="453">
        <v>-1703.2399999999998</v>
      </c>
      <c r="O169" s="453">
        <v>-1703.2399999999998</v>
      </c>
      <c r="P169" s="453">
        <v>-1703.2400000000016</v>
      </c>
      <c r="Q169" s="453">
        <v>-1703.2399999999998</v>
      </c>
      <c r="R169" s="453">
        <v>-1703.2399999999998</v>
      </c>
      <c r="S169" s="453">
        <v>-1761.3100000000013</v>
      </c>
      <c r="T169" s="453">
        <v>0</v>
      </c>
      <c r="U169" s="453">
        <v>0</v>
      </c>
      <c r="V169" s="453">
        <v>0</v>
      </c>
      <c r="W169" s="453">
        <v>0</v>
      </c>
      <c r="X169" s="453">
        <v>0</v>
      </c>
      <c r="Y169" s="453">
        <v>0</v>
      </c>
      <c r="Z169" s="453">
        <v>0</v>
      </c>
      <c r="AA169" s="453">
        <v>0</v>
      </c>
      <c r="AB169" s="453">
        <v>0</v>
      </c>
      <c r="AC169" s="453">
        <v>0</v>
      </c>
      <c r="AD169" s="453">
        <v>0</v>
      </c>
      <c r="AE169" s="453">
        <v>0</v>
      </c>
      <c r="AF169" s="453">
        <v>0</v>
      </c>
      <c r="AG169" s="453">
        <v>0</v>
      </c>
      <c r="AH169" s="453">
        <v>0</v>
      </c>
      <c r="AI169" s="453">
        <v>0</v>
      </c>
      <c r="AJ169" s="453">
        <v>0</v>
      </c>
      <c r="AK169" s="453">
        <v>0</v>
      </c>
      <c r="AL169" s="453">
        <v>0</v>
      </c>
      <c r="AM169" s="453">
        <v>0</v>
      </c>
      <c r="AN169" s="453">
        <v>0</v>
      </c>
    </row>
    <row r="170" spans="1:40" outlineLevel="1" collapsed="1" x14ac:dyDescent="0.25">
      <c r="A170" s="452">
        <v>4572</v>
      </c>
      <c r="B170" t="s">
        <v>1502</v>
      </c>
      <c r="C170" t="s">
        <v>1503</v>
      </c>
      <c r="D170" t="s">
        <v>1391</v>
      </c>
      <c r="E170" s="453">
        <f t="shared" si="26"/>
        <v>0</v>
      </c>
      <c r="F170" s="453">
        <f t="shared" si="27"/>
        <v>-23535.91</v>
      </c>
      <c r="G170" s="453">
        <f t="shared" si="28"/>
        <v>0</v>
      </c>
      <c r="H170" s="453">
        <v>0</v>
      </c>
      <c r="I170" s="453">
        <v>0</v>
      </c>
      <c r="J170" s="453">
        <v>0</v>
      </c>
      <c r="K170" s="453">
        <v>0</v>
      </c>
      <c r="L170" s="453">
        <v>0</v>
      </c>
      <c r="M170" s="453">
        <v>0</v>
      </c>
      <c r="N170" s="453">
        <v>0</v>
      </c>
      <c r="O170" s="453">
        <v>0</v>
      </c>
      <c r="P170" s="453">
        <v>0</v>
      </c>
      <c r="Q170" s="453">
        <v>0</v>
      </c>
      <c r="R170" s="453">
        <v>0</v>
      </c>
      <c r="S170" s="453">
        <v>0</v>
      </c>
      <c r="T170" s="453">
        <v>-2283.9</v>
      </c>
      <c r="U170" s="453">
        <v>-2517.44</v>
      </c>
      <c r="V170" s="453">
        <v>-2400.6099999999997</v>
      </c>
      <c r="W170" s="453">
        <v>-2400.6099999999997</v>
      </c>
      <c r="X170" s="453">
        <v>-2400.6100000000006</v>
      </c>
      <c r="Y170" s="453">
        <v>-1375.8799999999992</v>
      </c>
      <c r="Z170" s="453">
        <v>-1576.1000000000004</v>
      </c>
      <c r="AA170" s="453">
        <v>-1865.08</v>
      </c>
      <c r="AB170" s="453">
        <v>-1748.369999999999</v>
      </c>
      <c r="AC170" s="453">
        <v>-1748.3700000000026</v>
      </c>
      <c r="AD170" s="453">
        <v>-1526.1299999999974</v>
      </c>
      <c r="AE170" s="453">
        <v>-1692.8100000000013</v>
      </c>
      <c r="AF170" s="453">
        <v>0</v>
      </c>
      <c r="AG170" s="453">
        <v>0</v>
      </c>
      <c r="AH170" s="453">
        <v>0</v>
      </c>
      <c r="AI170" s="453">
        <v>0</v>
      </c>
      <c r="AJ170" s="453">
        <v>0</v>
      </c>
      <c r="AK170" s="453">
        <v>0</v>
      </c>
      <c r="AL170" s="453">
        <v>0</v>
      </c>
      <c r="AM170" s="453">
        <v>0</v>
      </c>
      <c r="AN170" s="453">
        <v>0</v>
      </c>
    </row>
    <row r="171" spans="1:40" outlineLevel="1" collapsed="1" x14ac:dyDescent="0.25">
      <c r="A171" s="452">
        <v>4572</v>
      </c>
      <c r="B171" t="s">
        <v>1504</v>
      </c>
      <c r="C171" t="s">
        <v>1505</v>
      </c>
      <c r="D171" t="s">
        <v>1391</v>
      </c>
      <c r="E171" s="453">
        <f t="shared" si="26"/>
        <v>0</v>
      </c>
      <c r="F171" s="453">
        <f t="shared" si="27"/>
        <v>0</v>
      </c>
      <c r="G171" s="453">
        <f t="shared" si="28"/>
        <v>-15235.29</v>
      </c>
      <c r="H171" s="453">
        <v>0</v>
      </c>
      <c r="I171" s="453">
        <v>0</v>
      </c>
      <c r="J171" s="453">
        <v>0</v>
      </c>
      <c r="K171" s="453">
        <v>0</v>
      </c>
      <c r="L171" s="453">
        <v>0</v>
      </c>
      <c r="M171" s="453">
        <v>0</v>
      </c>
      <c r="N171" s="453">
        <v>0</v>
      </c>
      <c r="O171" s="453">
        <v>0</v>
      </c>
      <c r="P171" s="453">
        <v>0</v>
      </c>
      <c r="Q171" s="453">
        <v>0</v>
      </c>
      <c r="R171" s="453">
        <v>0</v>
      </c>
      <c r="S171" s="453">
        <v>0</v>
      </c>
      <c r="T171" s="453">
        <v>0</v>
      </c>
      <c r="U171" s="453">
        <v>0</v>
      </c>
      <c r="V171" s="453">
        <v>0</v>
      </c>
      <c r="W171" s="453">
        <v>0</v>
      </c>
      <c r="X171" s="453">
        <v>0</v>
      </c>
      <c r="Y171" s="453">
        <v>0</v>
      </c>
      <c r="Z171" s="453">
        <v>0</v>
      </c>
      <c r="AA171" s="453">
        <v>0</v>
      </c>
      <c r="AB171" s="453">
        <v>0</v>
      </c>
      <c r="AC171" s="453">
        <v>0</v>
      </c>
      <c r="AD171" s="453">
        <v>0</v>
      </c>
      <c r="AE171" s="453">
        <v>0</v>
      </c>
      <c r="AF171" s="453">
        <v>-1692.81</v>
      </c>
      <c r="AG171" s="453">
        <v>-1692.81</v>
      </c>
      <c r="AH171" s="453">
        <v>-1692.8100000000004</v>
      </c>
      <c r="AI171" s="453">
        <v>-1692.8099999999995</v>
      </c>
      <c r="AJ171" s="453">
        <v>-1692.8099999999995</v>
      </c>
      <c r="AK171" s="453">
        <v>-1692.8100000000013</v>
      </c>
      <c r="AL171" s="453">
        <v>-1692.8099999999995</v>
      </c>
      <c r="AM171" s="453">
        <v>-1692.8099999999995</v>
      </c>
      <c r="AN171" s="453">
        <v>-1692.8100000000013</v>
      </c>
    </row>
    <row r="172" spans="1:40" outlineLevel="1" collapsed="1" x14ac:dyDescent="0.25">
      <c r="A172" s="452">
        <v>4573</v>
      </c>
      <c r="B172" t="s">
        <v>1506</v>
      </c>
      <c r="C172" t="s">
        <v>1507</v>
      </c>
      <c r="D172" t="s">
        <v>1391</v>
      </c>
      <c r="E172" s="453">
        <f t="shared" si="26"/>
        <v>-12340.07</v>
      </c>
      <c r="F172" s="453">
        <f t="shared" si="27"/>
        <v>0</v>
      </c>
      <c r="G172" s="453">
        <f t="shared" si="28"/>
        <v>0</v>
      </c>
      <c r="H172" s="453">
        <v>-1175</v>
      </c>
      <c r="I172" s="453">
        <v>-1175</v>
      </c>
      <c r="J172" s="453">
        <v>-1175</v>
      </c>
      <c r="K172" s="453">
        <v>-1175</v>
      </c>
      <c r="L172" s="453">
        <v>-1175</v>
      </c>
      <c r="M172" s="453">
        <v>-1175</v>
      </c>
      <c r="N172" s="453">
        <v>-1175</v>
      </c>
      <c r="O172" s="453">
        <v>-370.39999999999964</v>
      </c>
      <c r="P172" s="453">
        <v>-899.97999999999956</v>
      </c>
      <c r="Q172" s="453">
        <v>-948.23000000000138</v>
      </c>
      <c r="R172" s="453">
        <v>-948.22999999999956</v>
      </c>
      <c r="S172" s="453">
        <v>-948.22999999999956</v>
      </c>
      <c r="T172" s="453">
        <v>0</v>
      </c>
      <c r="U172" s="453">
        <v>0</v>
      </c>
      <c r="V172" s="453">
        <v>0</v>
      </c>
      <c r="W172" s="453">
        <v>0</v>
      </c>
      <c r="X172" s="453">
        <v>0</v>
      </c>
      <c r="Y172" s="453">
        <v>0</v>
      </c>
      <c r="Z172" s="453">
        <v>0</v>
      </c>
      <c r="AA172" s="453">
        <v>0</v>
      </c>
      <c r="AB172" s="453">
        <v>0</v>
      </c>
      <c r="AC172" s="453">
        <v>0</v>
      </c>
      <c r="AD172" s="453">
        <v>0</v>
      </c>
      <c r="AE172" s="453">
        <v>0</v>
      </c>
      <c r="AF172" s="453">
        <v>0</v>
      </c>
      <c r="AG172" s="453">
        <v>0</v>
      </c>
      <c r="AH172" s="453">
        <v>0</v>
      </c>
      <c r="AI172" s="453">
        <v>0</v>
      </c>
      <c r="AJ172" s="453">
        <v>0</v>
      </c>
      <c r="AK172" s="453">
        <v>0</v>
      </c>
      <c r="AL172" s="453">
        <v>0</v>
      </c>
      <c r="AM172" s="453">
        <v>0</v>
      </c>
      <c r="AN172" s="453">
        <v>0</v>
      </c>
    </row>
    <row r="173" spans="1:40" outlineLevel="1" collapsed="1" x14ac:dyDescent="0.25">
      <c r="A173" s="452">
        <v>4573</v>
      </c>
      <c r="B173" t="s">
        <v>1508</v>
      </c>
      <c r="C173" t="s">
        <v>1509</v>
      </c>
      <c r="D173" t="s">
        <v>1391</v>
      </c>
      <c r="E173" s="453">
        <f t="shared" si="26"/>
        <v>0</v>
      </c>
      <c r="F173" s="453">
        <f t="shared" si="27"/>
        <v>-14346.919999999998</v>
      </c>
      <c r="G173" s="453">
        <f t="shared" si="28"/>
        <v>-11859.39</v>
      </c>
      <c r="H173" s="453">
        <v>0</v>
      </c>
      <c r="I173" s="453">
        <v>0</v>
      </c>
      <c r="J173" s="453">
        <v>0</v>
      </c>
      <c r="K173" s="453">
        <v>0</v>
      </c>
      <c r="L173" s="453">
        <v>0</v>
      </c>
      <c r="M173" s="453">
        <v>0</v>
      </c>
      <c r="N173" s="453">
        <v>0</v>
      </c>
      <c r="O173" s="453">
        <v>0</v>
      </c>
      <c r="P173" s="453">
        <v>0</v>
      </c>
      <c r="Q173" s="453">
        <v>0</v>
      </c>
      <c r="R173" s="453">
        <v>0</v>
      </c>
      <c r="S173" s="453">
        <v>0</v>
      </c>
      <c r="T173" s="453">
        <v>-948.23</v>
      </c>
      <c r="U173" s="453">
        <v>-948.23</v>
      </c>
      <c r="V173" s="453">
        <v>-948.23</v>
      </c>
      <c r="W173" s="453">
        <v>-948.23</v>
      </c>
      <c r="X173" s="453">
        <v>-948.22999999999956</v>
      </c>
      <c r="Y173" s="453">
        <v>-1699.5100000000002</v>
      </c>
      <c r="Z173" s="453">
        <v>-1317.71</v>
      </c>
      <c r="AA173" s="453">
        <v>-1317.71</v>
      </c>
      <c r="AB173" s="453">
        <v>-1317.7100000000009</v>
      </c>
      <c r="AC173" s="453">
        <v>-1317.7099999999991</v>
      </c>
      <c r="AD173" s="453">
        <v>-1317.7099999999991</v>
      </c>
      <c r="AE173" s="453">
        <v>-1317.7100000000009</v>
      </c>
      <c r="AF173" s="453">
        <v>-1317.71</v>
      </c>
      <c r="AG173" s="453">
        <v>-1317.71</v>
      </c>
      <c r="AH173" s="453">
        <v>-1317.71</v>
      </c>
      <c r="AI173" s="453">
        <v>-1317.71</v>
      </c>
      <c r="AJ173" s="453">
        <v>-1317.71</v>
      </c>
      <c r="AK173" s="453">
        <v>-1349.5500000000002</v>
      </c>
      <c r="AL173" s="453">
        <v>-1285.869999999999</v>
      </c>
      <c r="AM173" s="453">
        <v>-1317.7100000000009</v>
      </c>
      <c r="AN173" s="453">
        <v>-1317.7099999999991</v>
      </c>
    </row>
    <row r="174" spans="1:40" outlineLevel="1" collapsed="1" x14ac:dyDescent="0.25">
      <c r="A174" s="452">
        <v>4574</v>
      </c>
      <c r="B174" t="s">
        <v>1510</v>
      </c>
      <c r="C174" t="s">
        <v>1511</v>
      </c>
      <c r="D174" t="s">
        <v>1391</v>
      </c>
      <c r="E174" s="453">
        <f t="shared" si="26"/>
        <v>-14087.88</v>
      </c>
      <c r="F174" s="453">
        <f t="shared" si="27"/>
        <v>0</v>
      </c>
      <c r="G174" s="453">
        <f t="shared" si="28"/>
        <v>-7689.9599999999991</v>
      </c>
      <c r="H174" s="453">
        <v>-1173.99</v>
      </c>
      <c r="I174" s="453">
        <v>-1173.99</v>
      </c>
      <c r="J174" s="453">
        <v>-1173.9899999999998</v>
      </c>
      <c r="K174" s="453">
        <v>-1173.9900000000002</v>
      </c>
      <c r="L174" s="453">
        <v>-1173.9899999999998</v>
      </c>
      <c r="M174" s="453">
        <v>-1173.9899999999998</v>
      </c>
      <c r="N174" s="453">
        <v>-1173.9900000000007</v>
      </c>
      <c r="O174" s="453">
        <v>-1173.9899999999998</v>
      </c>
      <c r="P174" s="453">
        <v>-1173.9899999999998</v>
      </c>
      <c r="Q174" s="453">
        <v>-1173.9899999999998</v>
      </c>
      <c r="R174" s="453">
        <v>-1173.9899999999998</v>
      </c>
      <c r="S174" s="453">
        <v>-1173.9899999999998</v>
      </c>
      <c r="T174" s="453">
        <v>0</v>
      </c>
      <c r="U174" s="453">
        <v>0</v>
      </c>
      <c r="V174" s="453">
        <v>0</v>
      </c>
      <c r="W174" s="453">
        <v>0</v>
      </c>
      <c r="X174" s="453">
        <v>0</v>
      </c>
      <c r="Y174" s="453">
        <v>0</v>
      </c>
      <c r="Z174" s="453">
        <v>0</v>
      </c>
      <c r="AA174" s="453">
        <v>0</v>
      </c>
      <c r="AB174" s="453">
        <v>0</v>
      </c>
      <c r="AC174" s="453">
        <v>0</v>
      </c>
      <c r="AD174" s="453">
        <v>0</v>
      </c>
      <c r="AE174" s="453">
        <v>0</v>
      </c>
      <c r="AF174" s="453">
        <v>-1173.99</v>
      </c>
      <c r="AG174" s="453">
        <v>-1173.99</v>
      </c>
      <c r="AH174" s="453">
        <v>-835.98999999999978</v>
      </c>
      <c r="AI174" s="453">
        <v>-835.99000000000024</v>
      </c>
      <c r="AJ174" s="453">
        <v>-734</v>
      </c>
      <c r="AK174" s="453">
        <v>-734</v>
      </c>
      <c r="AL174" s="453">
        <v>-734</v>
      </c>
      <c r="AM174" s="453">
        <v>-734</v>
      </c>
      <c r="AN174" s="453">
        <v>-734</v>
      </c>
    </row>
    <row r="175" spans="1:40" outlineLevel="1" collapsed="1" x14ac:dyDescent="0.25">
      <c r="A175" s="452">
        <v>4574</v>
      </c>
      <c r="B175" t="s">
        <v>1512</v>
      </c>
      <c r="C175" t="s">
        <v>1513</v>
      </c>
      <c r="D175" t="s">
        <v>1391</v>
      </c>
      <c r="E175" s="453">
        <f t="shared" si="26"/>
        <v>0</v>
      </c>
      <c r="F175" s="453">
        <f t="shared" si="27"/>
        <v>-14087.88</v>
      </c>
      <c r="G175" s="453">
        <f t="shared" si="28"/>
        <v>0</v>
      </c>
      <c r="H175" s="453">
        <v>0</v>
      </c>
      <c r="I175" s="453">
        <v>0</v>
      </c>
      <c r="J175" s="453">
        <v>0</v>
      </c>
      <c r="K175" s="453">
        <v>0</v>
      </c>
      <c r="L175" s="453">
        <v>0</v>
      </c>
      <c r="M175" s="453">
        <v>0</v>
      </c>
      <c r="N175" s="453">
        <v>0</v>
      </c>
      <c r="O175" s="453">
        <v>0</v>
      </c>
      <c r="P175" s="453">
        <v>0</v>
      </c>
      <c r="Q175" s="453">
        <v>0</v>
      </c>
      <c r="R175" s="453">
        <v>0</v>
      </c>
      <c r="S175" s="453">
        <v>0</v>
      </c>
      <c r="T175" s="453">
        <v>-1173.99</v>
      </c>
      <c r="U175" s="453">
        <v>-1173.99</v>
      </c>
      <c r="V175" s="453">
        <v>-1173.9899999999998</v>
      </c>
      <c r="W175" s="453">
        <v>-1173.9900000000002</v>
      </c>
      <c r="X175" s="453">
        <v>-1173.9899999999998</v>
      </c>
      <c r="Y175" s="453">
        <v>-1173.9899999999998</v>
      </c>
      <c r="Z175" s="453">
        <v>-1173.9900000000007</v>
      </c>
      <c r="AA175" s="453">
        <v>-1173.9899999999998</v>
      </c>
      <c r="AB175" s="453">
        <v>-1173.9899999999998</v>
      </c>
      <c r="AC175" s="453">
        <v>-1173.9899999999998</v>
      </c>
      <c r="AD175" s="453">
        <v>-1173.9899999999998</v>
      </c>
      <c r="AE175" s="453">
        <v>-1173.9899999999998</v>
      </c>
      <c r="AF175" s="453">
        <v>0</v>
      </c>
      <c r="AG175" s="453">
        <v>0</v>
      </c>
      <c r="AH175" s="453">
        <v>0</v>
      </c>
      <c r="AI175" s="453">
        <v>0</v>
      </c>
      <c r="AJ175" s="453">
        <v>0</v>
      </c>
      <c r="AK175" s="453">
        <v>0</v>
      </c>
      <c r="AL175" s="453">
        <v>0</v>
      </c>
      <c r="AM175" s="453">
        <v>0</v>
      </c>
      <c r="AN175" s="453">
        <v>0</v>
      </c>
    </row>
    <row r="176" spans="1:40" outlineLevel="1" collapsed="1" x14ac:dyDescent="0.25">
      <c r="A176" s="452">
        <v>4575</v>
      </c>
      <c r="B176" t="s">
        <v>1514</v>
      </c>
      <c r="C176" t="s">
        <v>1515</v>
      </c>
      <c r="D176" t="s">
        <v>1391</v>
      </c>
      <c r="E176" s="453">
        <f t="shared" si="26"/>
        <v>-6396</v>
      </c>
      <c r="F176" s="453">
        <f t="shared" si="27"/>
        <v>0</v>
      </c>
      <c r="G176" s="453">
        <f t="shared" si="28"/>
        <v>0</v>
      </c>
      <c r="H176" s="453">
        <v>-533</v>
      </c>
      <c r="I176" s="453">
        <v>-533</v>
      </c>
      <c r="J176" s="453">
        <v>-533</v>
      </c>
      <c r="K176" s="453">
        <v>-533</v>
      </c>
      <c r="L176" s="453">
        <v>-533</v>
      </c>
      <c r="M176" s="453">
        <v>-533</v>
      </c>
      <c r="N176" s="453">
        <v>-533</v>
      </c>
      <c r="O176" s="453">
        <v>-533</v>
      </c>
      <c r="P176" s="453">
        <v>-533</v>
      </c>
      <c r="Q176" s="453">
        <v>-533</v>
      </c>
      <c r="R176" s="453">
        <v>-533</v>
      </c>
      <c r="S176" s="453">
        <v>-533</v>
      </c>
      <c r="T176" s="453">
        <v>0</v>
      </c>
      <c r="U176" s="453">
        <v>0</v>
      </c>
      <c r="V176" s="453">
        <v>0</v>
      </c>
      <c r="W176" s="453">
        <v>0</v>
      </c>
      <c r="X176" s="453">
        <v>0</v>
      </c>
      <c r="Y176" s="453">
        <v>0</v>
      </c>
      <c r="Z176" s="453">
        <v>0</v>
      </c>
      <c r="AA176" s="453">
        <v>0</v>
      </c>
      <c r="AB176" s="453">
        <v>0</v>
      </c>
      <c r="AC176" s="453">
        <v>0</v>
      </c>
      <c r="AD176" s="453">
        <v>0</v>
      </c>
      <c r="AE176" s="453">
        <v>0</v>
      </c>
      <c r="AF176" s="453">
        <v>0</v>
      </c>
      <c r="AG176" s="453">
        <v>0</v>
      </c>
      <c r="AH176" s="453">
        <v>0</v>
      </c>
      <c r="AI176" s="453">
        <v>0</v>
      </c>
      <c r="AJ176" s="453">
        <v>0</v>
      </c>
      <c r="AK176" s="453">
        <v>0</v>
      </c>
      <c r="AL176" s="453">
        <v>0</v>
      </c>
      <c r="AM176" s="453">
        <v>0</v>
      </c>
      <c r="AN176" s="453">
        <v>0</v>
      </c>
    </row>
    <row r="177" spans="1:40" outlineLevel="1" collapsed="1" x14ac:dyDescent="0.25">
      <c r="A177" s="452">
        <v>4575</v>
      </c>
      <c r="B177" t="s">
        <v>1516</v>
      </c>
      <c r="C177" t="s">
        <v>1517</v>
      </c>
      <c r="D177" t="s">
        <v>1391</v>
      </c>
      <c r="E177" s="453">
        <f t="shared" si="26"/>
        <v>0</v>
      </c>
      <c r="F177" s="453">
        <f t="shared" si="27"/>
        <v>-13325.3</v>
      </c>
      <c r="G177" s="453">
        <f t="shared" si="28"/>
        <v>-14261.31</v>
      </c>
      <c r="H177" s="453">
        <v>0</v>
      </c>
      <c r="I177" s="453">
        <v>0</v>
      </c>
      <c r="J177" s="453">
        <v>0</v>
      </c>
      <c r="K177" s="453">
        <v>0</v>
      </c>
      <c r="L177" s="453">
        <v>0</v>
      </c>
      <c r="M177" s="453">
        <v>0</v>
      </c>
      <c r="N177" s="453">
        <v>0</v>
      </c>
      <c r="O177" s="453">
        <v>0</v>
      </c>
      <c r="P177" s="453">
        <v>0</v>
      </c>
      <c r="Q177" s="453">
        <v>0</v>
      </c>
      <c r="R177" s="453">
        <v>0</v>
      </c>
      <c r="S177" s="453">
        <v>0</v>
      </c>
      <c r="T177" s="453">
        <v>-426.4</v>
      </c>
      <c r="U177" s="453">
        <v>-533</v>
      </c>
      <c r="V177" s="453">
        <v>-639.6</v>
      </c>
      <c r="W177" s="453">
        <v>-533</v>
      </c>
      <c r="X177" s="453">
        <v>640.95000000000005</v>
      </c>
      <c r="Y177" s="453">
        <v>-2326.71</v>
      </c>
      <c r="Z177" s="453">
        <v>-1584.5900000000001</v>
      </c>
      <c r="AA177" s="453">
        <v>-1584.5899999999992</v>
      </c>
      <c r="AB177" s="453">
        <v>-1584.5900000000011</v>
      </c>
      <c r="AC177" s="453">
        <v>-1584.5900000000001</v>
      </c>
      <c r="AD177" s="453">
        <v>-1584.5899999999983</v>
      </c>
      <c r="AE177" s="453">
        <v>-1584.5900000000001</v>
      </c>
      <c r="AF177" s="453">
        <v>-1584.59</v>
      </c>
      <c r="AG177" s="453">
        <v>-1584.59</v>
      </c>
      <c r="AH177" s="453">
        <v>-1584.5900000000006</v>
      </c>
      <c r="AI177" s="453">
        <v>-1584.5899999999992</v>
      </c>
      <c r="AJ177" s="453">
        <v>-1584.5900000000001</v>
      </c>
      <c r="AK177" s="453">
        <v>-1584.5900000000011</v>
      </c>
      <c r="AL177" s="453">
        <v>-1584.5899999999983</v>
      </c>
      <c r="AM177" s="453">
        <v>-1584.5900000000001</v>
      </c>
      <c r="AN177" s="453">
        <v>-1584.5900000000001</v>
      </c>
    </row>
    <row r="178" spans="1:40" outlineLevel="1" collapsed="1" x14ac:dyDescent="0.25">
      <c r="A178" s="452">
        <v>4576</v>
      </c>
      <c r="B178" t="s">
        <v>1518</v>
      </c>
      <c r="C178" t="s">
        <v>1519</v>
      </c>
      <c r="D178" t="s">
        <v>1391</v>
      </c>
      <c r="E178" s="453">
        <f t="shared" si="26"/>
        <v>-17669.14</v>
      </c>
      <c r="F178" s="453">
        <f t="shared" si="27"/>
        <v>0</v>
      </c>
      <c r="G178" s="453">
        <f t="shared" si="28"/>
        <v>0</v>
      </c>
      <c r="H178" s="453">
        <v>-1382.99</v>
      </c>
      <c r="I178" s="453">
        <v>-1401.07</v>
      </c>
      <c r="J178" s="453">
        <v>-1403.85</v>
      </c>
      <c r="K178" s="453">
        <v>-1403.8500000000004</v>
      </c>
      <c r="L178" s="453">
        <v>-1403.8499999999995</v>
      </c>
      <c r="M178" s="453">
        <v>-1403.8499999999995</v>
      </c>
      <c r="N178" s="453">
        <v>-1403.8500000000004</v>
      </c>
      <c r="O178" s="453">
        <v>-1403.8500000000004</v>
      </c>
      <c r="P178" s="453">
        <v>-1403.8500000000004</v>
      </c>
      <c r="Q178" s="453">
        <v>-364.86000000000058</v>
      </c>
      <c r="R178" s="453">
        <v>-48.649999999999636</v>
      </c>
      <c r="S178" s="453">
        <v>-4644.619999999999</v>
      </c>
      <c r="T178" s="453">
        <v>0</v>
      </c>
      <c r="U178" s="453">
        <v>0</v>
      </c>
      <c r="V178" s="453">
        <v>0</v>
      </c>
      <c r="W178" s="453">
        <v>0</v>
      </c>
      <c r="X178" s="453">
        <v>0</v>
      </c>
      <c r="Y178" s="453">
        <v>0</v>
      </c>
      <c r="Z178" s="453">
        <v>0</v>
      </c>
      <c r="AA178" s="453">
        <v>0</v>
      </c>
      <c r="AB178" s="453">
        <v>0</v>
      </c>
      <c r="AC178" s="453">
        <v>0</v>
      </c>
      <c r="AD178" s="453">
        <v>0</v>
      </c>
      <c r="AE178" s="453">
        <v>0</v>
      </c>
      <c r="AF178" s="453">
        <v>0</v>
      </c>
      <c r="AG178" s="453">
        <v>0</v>
      </c>
      <c r="AH178" s="453">
        <v>0</v>
      </c>
      <c r="AI178" s="453">
        <v>0</v>
      </c>
      <c r="AJ178" s="453">
        <v>0</v>
      </c>
      <c r="AK178" s="453">
        <v>0</v>
      </c>
      <c r="AL178" s="453">
        <v>0</v>
      </c>
      <c r="AM178" s="453">
        <v>0</v>
      </c>
      <c r="AN178" s="453">
        <v>0</v>
      </c>
    </row>
    <row r="179" spans="1:40" outlineLevel="1" collapsed="1" x14ac:dyDescent="0.25">
      <c r="A179" s="452">
        <v>4576</v>
      </c>
      <c r="B179" t="s">
        <v>1520</v>
      </c>
      <c r="C179" t="s">
        <v>1521</v>
      </c>
      <c r="D179" t="s">
        <v>1391</v>
      </c>
      <c r="E179" s="453">
        <f t="shared" si="26"/>
        <v>0</v>
      </c>
      <c r="F179" s="453">
        <f t="shared" si="27"/>
        <v>-23024.680000000008</v>
      </c>
      <c r="G179" s="453">
        <f t="shared" si="28"/>
        <v>-24244.199999999997</v>
      </c>
      <c r="H179" s="453">
        <v>0</v>
      </c>
      <c r="I179" s="453">
        <v>0</v>
      </c>
      <c r="J179" s="453">
        <v>0</v>
      </c>
      <c r="K179" s="453">
        <v>0</v>
      </c>
      <c r="L179" s="453">
        <v>0</v>
      </c>
      <c r="M179" s="453">
        <v>0</v>
      </c>
      <c r="N179" s="453">
        <v>0</v>
      </c>
      <c r="O179" s="453">
        <v>0</v>
      </c>
      <c r="P179" s="453">
        <v>0</v>
      </c>
      <c r="Q179" s="453">
        <v>0</v>
      </c>
      <c r="R179" s="453">
        <v>0</v>
      </c>
      <c r="S179" s="453">
        <v>0</v>
      </c>
      <c r="T179" s="453">
        <v>-1568.9</v>
      </c>
      <c r="U179" s="453">
        <v>-1568.9</v>
      </c>
      <c r="V179" s="453">
        <v>-1568.8999999999996</v>
      </c>
      <c r="W179" s="453">
        <v>-1568.9000000000005</v>
      </c>
      <c r="X179" s="453">
        <v>-1568.8999999999996</v>
      </c>
      <c r="Y179" s="453">
        <v>-1568.8999999999996</v>
      </c>
      <c r="Z179" s="453">
        <v>-1568.8999999999996</v>
      </c>
      <c r="AA179" s="453">
        <v>-1568.9000000000015</v>
      </c>
      <c r="AB179" s="453">
        <v>-5896.68</v>
      </c>
      <c r="AC179" s="453">
        <v>-2693.7999999999993</v>
      </c>
      <c r="AD179" s="453">
        <v>810.79999999999927</v>
      </c>
      <c r="AE179" s="453">
        <v>-2693.7999999999993</v>
      </c>
      <c r="AF179" s="453">
        <v>-2693.8</v>
      </c>
      <c r="AG179" s="453">
        <v>-2693.8</v>
      </c>
      <c r="AH179" s="453">
        <v>-2693.7999999999993</v>
      </c>
      <c r="AI179" s="453">
        <v>-2693.8000000000011</v>
      </c>
      <c r="AJ179" s="453">
        <v>-2693.7999999999993</v>
      </c>
      <c r="AK179" s="453">
        <v>-2693.7999999999993</v>
      </c>
      <c r="AL179" s="453">
        <v>-2693.7999999999993</v>
      </c>
      <c r="AM179" s="453">
        <v>-2693.8000000000029</v>
      </c>
      <c r="AN179" s="453">
        <v>-2693.7999999999993</v>
      </c>
    </row>
    <row r="180" spans="1:40" outlineLevel="1" collapsed="1" x14ac:dyDescent="0.25">
      <c r="A180" s="452">
        <v>4577</v>
      </c>
      <c r="B180" t="s">
        <v>1522</v>
      </c>
      <c r="C180" t="s">
        <v>1523</v>
      </c>
      <c r="D180" t="s">
        <v>1391</v>
      </c>
      <c r="E180" s="453">
        <f t="shared" si="26"/>
        <v>-12996</v>
      </c>
      <c r="F180" s="453">
        <f t="shared" si="27"/>
        <v>0</v>
      </c>
      <c r="G180" s="453">
        <f t="shared" si="28"/>
        <v>0</v>
      </c>
      <c r="H180" s="453">
        <v>-524</v>
      </c>
      <c r="I180" s="453">
        <v>-524</v>
      </c>
      <c r="J180" s="453">
        <v>-524</v>
      </c>
      <c r="K180" s="453">
        <v>-2760</v>
      </c>
      <c r="L180" s="453">
        <v>-1083</v>
      </c>
      <c r="M180" s="453">
        <v>-1083</v>
      </c>
      <c r="N180" s="453">
        <v>-1083</v>
      </c>
      <c r="O180" s="453">
        <v>-1083</v>
      </c>
      <c r="P180" s="453">
        <v>-1083</v>
      </c>
      <c r="Q180" s="453">
        <v>-1083</v>
      </c>
      <c r="R180" s="453">
        <v>-1083</v>
      </c>
      <c r="S180" s="453">
        <v>-1083</v>
      </c>
      <c r="T180" s="453">
        <v>0</v>
      </c>
      <c r="U180" s="453">
        <v>0</v>
      </c>
      <c r="V180" s="453">
        <v>0</v>
      </c>
      <c r="W180" s="453">
        <v>0</v>
      </c>
      <c r="X180" s="453">
        <v>0</v>
      </c>
      <c r="Y180" s="453">
        <v>0</v>
      </c>
      <c r="Z180" s="453">
        <v>0</v>
      </c>
      <c r="AA180" s="453">
        <v>0</v>
      </c>
      <c r="AB180" s="453">
        <v>0</v>
      </c>
      <c r="AC180" s="453">
        <v>0</v>
      </c>
      <c r="AD180" s="453">
        <v>0</v>
      </c>
      <c r="AE180" s="453">
        <v>0</v>
      </c>
      <c r="AF180" s="453">
        <v>0</v>
      </c>
      <c r="AG180" s="453">
        <v>0</v>
      </c>
      <c r="AH180" s="453">
        <v>0</v>
      </c>
      <c r="AI180" s="453">
        <v>0</v>
      </c>
      <c r="AJ180" s="453">
        <v>0</v>
      </c>
      <c r="AK180" s="453">
        <v>0</v>
      </c>
      <c r="AL180" s="453">
        <v>0</v>
      </c>
      <c r="AM180" s="453">
        <v>0</v>
      </c>
      <c r="AN180" s="453">
        <v>0</v>
      </c>
    </row>
    <row r="181" spans="1:40" outlineLevel="1" collapsed="1" x14ac:dyDescent="0.25">
      <c r="A181" s="452">
        <v>4577</v>
      </c>
      <c r="B181" t="s">
        <v>1524</v>
      </c>
      <c r="C181" t="s">
        <v>1525</v>
      </c>
      <c r="D181" t="s">
        <v>1391</v>
      </c>
      <c r="E181" s="453">
        <f t="shared" si="26"/>
        <v>0</v>
      </c>
      <c r="F181" s="453">
        <f t="shared" si="27"/>
        <v>-18297.189999999999</v>
      </c>
      <c r="G181" s="453">
        <f t="shared" si="28"/>
        <v>-12609</v>
      </c>
      <c r="H181" s="453">
        <v>0</v>
      </c>
      <c r="I181" s="453">
        <v>0</v>
      </c>
      <c r="J181" s="453">
        <v>0</v>
      </c>
      <c r="K181" s="453">
        <v>0</v>
      </c>
      <c r="L181" s="453">
        <v>0</v>
      </c>
      <c r="M181" s="453">
        <v>0</v>
      </c>
      <c r="N181" s="453">
        <v>0</v>
      </c>
      <c r="O181" s="453">
        <v>0</v>
      </c>
      <c r="P181" s="453">
        <v>0</v>
      </c>
      <c r="Q181" s="453">
        <v>0</v>
      </c>
      <c r="R181" s="453">
        <v>0</v>
      </c>
      <c r="S181" s="453">
        <v>0</v>
      </c>
      <c r="T181" s="453">
        <v>-1083</v>
      </c>
      <c r="U181" s="453">
        <v>-1083</v>
      </c>
      <c r="V181" s="453">
        <v>-1083</v>
      </c>
      <c r="W181" s="453">
        <v>-1083</v>
      </c>
      <c r="X181" s="453">
        <v>-559</v>
      </c>
      <c r="Y181" s="453">
        <v>-1361</v>
      </c>
      <c r="Z181" s="453">
        <v>-5040.1900000000005</v>
      </c>
      <c r="AA181" s="453">
        <v>-1401</v>
      </c>
      <c r="AB181" s="453">
        <v>-1401</v>
      </c>
      <c r="AC181" s="453">
        <v>-1401</v>
      </c>
      <c r="AD181" s="453">
        <v>-1400.9999999999982</v>
      </c>
      <c r="AE181" s="453">
        <v>-1401</v>
      </c>
      <c r="AF181" s="453">
        <v>-1401</v>
      </c>
      <c r="AG181" s="453">
        <v>-1401</v>
      </c>
      <c r="AH181" s="453">
        <v>-1401</v>
      </c>
      <c r="AI181" s="453">
        <v>-1401</v>
      </c>
      <c r="AJ181" s="453">
        <v>-1401</v>
      </c>
      <c r="AK181" s="453">
        <v>-1401</v>
      </c>
      <c r="AL181" s="453">
        <v>-1401</v>
      </c>
      <c r="AM181" s="453">
        <v>-1401</v>
      </c>
      <c r="AN181" s="453">
        <v>-1401</v>
      </c>
    </row>
    <row r="182" spans="1:40" outlineLevel="1" collapsed="1" x14ac:dyDescent="0.25">
      <c r="A182" s="452">
        <v>4578</v>
      </c>
      <c r="B182" t="s">
        <v>1526</v>
      </c>
      <c r="C182" t="s">
        <v>1527</v>
      </c>
      <c r="D182" t="s">
        <v>1391</v>
      </c>
      <c r="E182" s="453">
        <f t="shared" si="26"/>
        <v>-9946.5599999999977</v>
      </c>
      <c r="F182" s="453">
        <f t="shared" si="27"/>
        <v>-14367.84</v>
      </c>
      <c r="G182" s="453">
        <f t="shared" si="28"/>
        <v>-10775.88</v>
      </c>
      <c r="H182" s="453">
        <v>-707.8</v>
      </c>
      <c r="I182" s="453">
        <v>-707.8</v>
      </c>
      <c r="J182" s="453">
        <v>-707.80000000000018</v>
      </c>
      <c r="K182" s="453">
        <v>2012.2800000000002</v>
      </c>
      <c r="L182" s="453">
        <v>-1454.1999999999998</v>
      </c>
      <c r="M182" s="453">
        <v>-1197.32</v>
      </c>
      <c r="N182" s="453">
        <v>-1197.3200000000002</v>
      </c>
      <c r="O182" s="453">
        <v>-1197.3199999999997</v>
      </c>
      <c r="P182" s="453">
        <v>-1197.3200000000006</v>
      </c>
      <c r="Q182" s="453">
        <v>-1197.3199999999997</v>
      </c>
      <c r="R182" s="453">
        <v>-1197.3199999999997</v>
      </c>
      <c r="S182" s="453">
        <v>-1197.3199999999997</v>
      </c>
      <c r="T182" s="453">
        <v>-1197.32</v>
      </c>
      <c r="U182" s="453">
        <v>-1197.32</v>
      </c>
      <c r="V182" s="453">
        <v>-1197.3200000000002</v>
      </c>
      <c r="W182" s="453">
        <v>-1197.3199999999997</v>
      </c>
      <c r="X182" s="453">
        <v>-1197.3200000000006</v>
      </c>
      <c r="Y182" s="453">
        <v>-1197.3199999999997</v>
      </c>
      <c r="Z182" s="453">
        <v>-1197.3199999999997</v>
      </c>
      <c r="AA182" s="453">
        <v>-1197.3199999999997</v>
      </c>
      <c r="AB182" s="453">
        <v>-1197.3199999999997</v>
      </c>
      <c r="AC182" s="453">
        <v>-1197.3200000000015</v>
      </c>
      <c r="AD182" s="453">
        <v>-1197.3199999999997</v>
      </c>
      <c r="AE182" s="453">
        <v>-1197.3199999999997</v>
      </c>
      <c r="AF182" s="453">
        <v>-1197.32</v>
      </c>
      <c r="AG182" s="453">
        <v>-1197.32</v>
      </c>
      <c r="AH182" s="453">
        <v>-1197.3200000000002</v>
      </c>
      <c r="AI182" s="453">
        <v>-1197.3199999999997</v>
      </c>
      <c r="AJ182" s="453">
        <v>-1197.3200000000006</v>
      </c>
      <c r="AK182" s="453">
        <v>-1197.3199999999997</v>
      </c>
      <c r="AL182" s="453">
        <v>-1197.3199999999997</v>
      </c>
      <c r="AM182" s="453">
        <v>-1197.3199999999997</v>
      </c>
      <c r="AN182" s="453">
        <v>-1197.3199999999997</v>
      </c>
    </row>
    <row r="183" spans="1:40" outlineLevel="1" collapsed="1" x14ac:dyDescent="0.25">
      <c r="A183" s="452">
        <v>4579</v>
      </c>
      <c r="B183" t="s">
        <v>1528</v>
      </c>
      <c r="C183" t="s">
        <v>1529</v>
      </c>
      <c r="D183" t="s">
        <v>1391</v>
      </c>
      <c r="E183" s="453">
        <f t="shared" si="26"/>
        <v>-1699.92</v>
      </c>
      <c r="F183" s="453">
        <f t="shared" si="27"/>
        <v>-5210.3599999999988</v>
      </c>
      <c r="G183" s="453">
        <f t="shared" si="28"/>
        <v>-5796.3600000000006</v>
      </c>
      <c r="H183" s="453">
        <v>-559</v>
      </c>
      <c r="I183" s="453">
        <v>-559</v>
      </c>
      <c r="J183" s="453">
        <v>-559</v>
      </c>
      <c r="K183" s="453">
        <v>1677</v>
      </c>
      <c r="L183" s="453">
        <v>-212.49</v>
      </c>
      <c r="M183" s="453">
        <v>-212.49</v>
      </c>
      <c r="N183" s="453">
        <v>-212.49</v>
      </c>
      <c r="O183" s="453">
        <v>-212.49</v>
      </c>
      <c r="P183" s="453">
        <v>-212.49</v>
      </c>
      <c r="Q183" s="453">
        <v>-212.49</v>
      </c>
      <c r="R183" s="453">
        <v>-212.49</v>
      </c>
      <c r="S183" s="453">
        <v>-212.49</v>
      </c>
      <c r="T183" s="453">
        <v>-212.49</v>
      </c>
      <c r="U183" s="453">
        <v>-212.49</v>
      </c>
      <c r="V183" s="453">
        <v>-212.49</v>
      </c>
      <c r="W183" s="453">
        <v>-212.49</v>
      </c>
      <c r="X183" s="453">
        <v>-212.49</v>
      </c>
      <c r="Y183" s="453">
        <v>-708.1099999999999</v>
      </c>
      <c r="Z183" s="453">
        <v>-573.30000000000018</v>
      </c>
      <c r="AA183" s="453">
        <v>-573.29999999999973</v>
      </c>
      <c r="AB183" s="453">
        <v>-573.30000000000018</v>
      </c>
      <c r="AC183" s="453">
        <v>-573.30000000000018</v>
      </c>
      <c r="AD183" s="453">
        <v>-573.30000000000018</v>
      </c>
      <c r="AE183" s="453">
        <v>-573.29999999999927</v>
      </c>
      <c r="AF183" s="453">
        <v>-573.29999999999995</v>
      </c>
      <c r="AG183" s="453">
        <v>-573.29999999999995</v>
      </c>
      <c r="AH183" s="453">
        <v>-573.30000000000018</v>
      </c>
      <c r="AI183" s="453">
        <v>-573.29999999999973</v>
      </c>
      <c r="AJ183" s="453">
        <v>-785.52</v>
      </c>
      <c r="AK183" s="453">
        <v>-679.41000000000031</v>
      </c>
      <c r="AL183" s="453">
        <v>-679.40999999999985</v>
      </c>
      <c r="AM183" s="453">
        <v>-679.40999999999985</v>
      </c>
      <c r="AN183" s="453">
        <v>-679.40999999999985</v>
      </c>
    </row>
    <row r="184" spans="1:40" outlineLevel="1" collapsed="1" x14ac:dyDescent="0.25">
      <c r="A184" s="452">
        <v>4580</v>
      </c>
      <c r="B184" t="s">
        <v>1530</v>
      </c>
      <c r="C184" t="s">
        <v>1531</v>
      </c>
      <c r="D184" t="s">
        <v>1391</v>
      </c>
      <c r="E184" s="453">
        <f t="shared" si="26"/>
        <v>-90.07</v>
      </c>
      <c r="F184" s="453">
        <f t="shared" si="27"/>
        <v>0</v>
      </c>
      <c r="G184" s="453">
        <f t="shared" si="28"/>
        <v>0</v>
      </c>
      <c r="H184" s="453">
        <v>-22.32</v>
      </c>
      <c r="I184" s="453">
        <v>0</v>
      </c>
      <c r="J184" s="453">
        <v>-4.0300000000000011</v>
      </c>
      <c r="K184" s="453">
        <v>-3.0299999999999976</v>
      </c>
      <c r="L184" s="453">
        <v>-7.9300000000000033</v>
      </c>
      <c r="M184" s="453">
        <v>-5.0399999999999991</v>
      </c>
      <c r="N184" s="453">
        <v>-4.0300000000000011</v>
      </c>
      <c r="O184" s="453">
        <v>-3.029999999999994</v>
      </c>
      <c r="P184" s="453">
        <v>-2.0100000000000051</v>
      </c>
      <c r="Q184" s="453">
        <v>-31.929999999999993</v>
      </c>
      <c r="R184" s="453">
        <v>-3.3599999999999994</v>
      </c>
      <c r="S184" s="453">
        <v>-3.3599999999999994</v>
      </c>
      <c r="T184" s="453">
        <v>0</v>
      </c>
      <c r="U184" s="453">
        <v>0</v>
      </c>
      <c r="V184" s="453">
        <v>0</v>
      </c>
      <c r="W184" s="453">
        <v>0</v>
      </c>
      <c r="X184" s="453">
        <v>0</v>
      </c>
      <c r="Y184" s="453">
        <v>0</v>
      </c>
      <c r="Z184" s="453">
        <v>0</v>
      </c>
      <c r="AA184" s="453">
        <v>0</v>
      </c>
      <c r="AB184" s="453">
        <v>0</v>
      </c>
      <c r="AC184" s="453">
        <v>0</v>
      </c>
      <c r="AD184" s="453">
        <v>0</v>
      </c>
      <c r="AE184" s="453">
        <v>0</v>
      </c>
      <c r="AF184" s="453">
        <v>0</v>
      </c>
      <c r="AG184" s="453">
        <v>0</v>
      </c>
      <c r="AH184" s="453">
        <v>0</v>
      </c>
      <c r="AI184" s="453">
        <v>0</v>
      </c>
      <c r="AJ184" s="453">
        <v>0</v>
      </c>
      <c r="AK184" s="453">
        <v>0</v>
      </c>
      <c r="AL184" s="453">
        <v>0</v>
      </c>
      <c r="AM184" s="453">
        <v>0</v>
      </c>
      <c r="AN184" s="453">
        <v>0</v>
      </c>
    </row>
    <row r="185" spans="1:40" outlineLevel="1" collapsed="1" x14ac:dyDescent="0.25">
      <c r="A185" s="452">
        <v>4580</v>
      </c>
      <c r="B185" t="s">
        <v>1532</v>
      </c>
      <c r="C185" t="s">
        <v>1533</v>
      </c>
      <c r="D185" t="s">
        <v>1391</v>
      </c>
      <c r="E185" s="453">
        <f t="shared" si="26"/>
        <v>0</v>
      </c>
      <c r="F185" s="453">
        <f t="shared" si="27"/>
        <v>-2656.31</v>
      </c>
      <c r="G185" s="453">
        <f t="shared" si="28"/>
        <v>-336.14</v>
      </c>
      <c r="H185" s="453">
        <v>0</v>
      </c>
      <c r="I185" s="453">
        <v>0</v>
      </c>
      <c r="J185" s="453">
        <v>0</v>
      </c>
      <c r="K185" s="453">
        <v>0</v>
      </c>
      <c r="L185" s="453">
        <v>0</v>
      </c>
      <c r="M185" s="453">
        <v>0</v>
      </c>
      <c r="N185" s="453">
        <v>0</v>
      </c>
      <c r="O185" s="453">
        <v>0</v>
      </c>
      <c r="P185" s="453">
        <v>0</v>
      </c>
      <c r="Q185" s="453">
        <v>0</v>
      </c>
      <c r="R185" s="453">
        <v>0</v>
      </c>
      <c r="S185" s="453">
        <v>0</v>
      </c>
      <c r="T185" s="453">
        <v>-3.03</v>
      </c>
      <c r="U185" s="453">
        <v>-1200.8399999999999</v>
      </c>
      <c r="V185" s="453">
        <v>-103.36000000000013</v>
      </c>
      <c r="W185" s="453">
        <v>-894.96</v>
      </c>
      <c r="X185" s="453">
        <v>-205.38000000000011</v>
      </c>
      <c r="Y185" s="453">
        <v>-47.919999999999618</v>
      </c>
      <c r="Z185" s="453">
        <v>0</v>
      </c>
      <c r="AA185" s="453">
        <v>-10.450000000000273</v>
      </c>
      <c r="AB185" s="453">
        <v>-89.670000000000073</v>
      </c>
      <c r="AC185" s="453">
        <v>-88.599999999999909</v>
      </c>
      <c r="AD185" s="453">
        <v>-7.9000000000000909</v>
      </c>
      <c r="AE185" s="453">
        <v>-4.1999999999998181</v>
      </c>
      <c r="AF185" s="453">
        <v>0</v>
      </c>
      <c r="AG185" s="453">
        <v>-4.2</v>
      </c>
      <c r="AH185" s="453">
        <v>-4.2</v>
      </c>
      <c r="AI185" s="453">
        <v>-46.22</v>
      </c>
      <c r="AJ185" s="453">
        <v>0</v>
      </c>
      <c r="AK185" s="453">
        <v>-8.4000000000000057</v>
      </c>
      <c r="AL185" s="453">
        <v>-15.189999999999991</v>
      </c>
      <c r="AM185" s="453">
        <v>-97.160000000000011</v>
      </c>
      <c r="AN185" s="453">
        <v>-160.76999999999998</v>
      </c>
    </row>
    <row r="186" spans="1:40" outlineLevel="1" collapsed="1" x14ac:dyDescent="0.25">
      <c r="A186" s="452">
        <v>4581</v>
      </c>
      <c r="B186" t="s">
        <v>1534</v>
      </c>
      <c r="C186" t="s">
        <v>1535</v>
      </c>
      <c r="D186" t="s">
        <v>1391</v>
      </c>
      <c r="E186" s="453">
        <f t="shared" si="26"/>
        <v>0</v>
      </c>
      <c r="F186" s="453">
        <f t="shared" si="27"/>
        <v>0</v>
      </c>
      <c r="G186" s="453">
        <f t="shared" si="28"/>
        <v>0</v>
      </c>
      <c r="H186" s="453">
        <v>0</v>
      </c>
      <c r="I186" s="453">
        <v>0</v>
      </c>
      <c r="J186" s="453">
        <v>0</v>
      </c>
      <c r="K186" s="453">
        <v>0</v>
      </c>
      <c r="L186" s="453">
        <v>0</v>
      </c>
      <c r="M186" s="453">
        <v>0</v>
      </c>
      <c r="N186" s="453">
        <v>0</v>
      </c>
      <c r="O186" s="453">
        <v>0</v>
      </c>
      <c r="P186" s="453">
        <v>0</v>
      </c>
      <c r="Q186" s="453">
        <v>0</v>
      </c>
      <c r="R186" s="453">
        <v>0</v>
      </c>
      <c r="S186" s="453">
        <v>0</v>
      </c>
      <c r="T186" s="453">
        <v>0</v>
      </c>
      <c r="U186" s="453">
        <v>0</v>
      </c>
      <c r="V186" s="453">
        <v>0</v>
      </c>
      <c r="W186" s="453">
        <v>0</v>
      </c>
      <c r="X186" s="453">
        <v>0</v>
      </c>
      <c r="Y186" s="453">
        <v>0</v>
      </c>
      <c r="Z186" s="453">
        <v>0</v>
      </c>
      <c r="AA186" s="453">
        <v>0</v>
      </c>
      <c r="AB186" s="453">
        <v>0</v>
      </c>
      <c r="AC186" s="453">
        <v>0</v>
      </c>
      <c r="AD186" s="453">
        <v>0</v>
      </c>
      <c r="AE186" s="453">
        <v>0</v>
      </c>
      <c r="AF186" s="453">
        <v>0</v>
      </c>
      <c r="AG186" s="453">
        <v>0</v>
      </c>
      <c r="AH186" s="453">
        <v>0</v>
      </c>
      <c r="AI186" s="453">
        <v>0</v>
      </c>
      <c r="AJ186" s="453">
        <v>0</v>
      </c>
      <c r="AK186" s="453">
        <v>0</v>
      </c>
      <c r="AL186" s="453">
        <v>0</v>
      </c>
      <c r="AM186" s="453">
        <v>0</v>
      </c>
      <c r="AN186" s="453">
        <v>0</v>
      </c>
    </row>
    <row r="187" spans="1:40" outlineLevel="1" collapsed="1" x14ac:dyDescent="0.25">
      <c r="A187" s="452">
        <v>4582</v>
      </c>
      <c r="B187" t="s">
        <v>1536</v>
      </c>
      <c r="C187" t="s">
        <v>1537</v>
      </c>
      <c r="D187" t="s">
        <v>1391</v>
      </c>
      <c r="E187" s="453">
        <f t="shared" si="26"/>
        <v>-471.34000000000003</v>
      </c>
      <c r="F187" s="453">
        <f t="shared" si="27"/>
        <v>0</v>
      </c>
      <c r="G187" s="453">
        <f t="shared" si="28"/>
        <v>0</v>
      </c>
      <c r="H187" s="453">
        <v>-210.08</v>
      </c>
      <c r="I187" s="453">
        <v>-43.699999999999989</v>
      </c>
      <c r="J187" s="453">
        <v>-246.03</v>
      </c>
      <c r="K187" s="453">
        <v>0</v>
      </c>
      <c r="L187" s="453">
        <v>201.26</v>
      </c>
      <c r="M187" s="453">
        <v>-34.56</v>
      </c>
      <c r="N187" s="453">
        <v>0</v>
      </c>
      <c r="O187" s="453">
        <v>-47.06</v>
      </c>
      <c r="P187" s="453">
        <v>-25.629999999999995</v>
      </c>
      <c r="Q187" s="453">
        <v>-12.610000000000014</v>
      </c>
      <c r="R187" s="453">
        <v>-49.569999999999993</v>
      </c>
      <c r="S187" s="453">
        <v>-3.3599999999999568</v>
      </c>
      <c r="T187" s="453">
        <v>0</v>
      </c>
      <c r="U187" s="453">
        <v>0</v>
      </c>
      <c r="V187" s="453">
        <v>0</v>
      </c>
      <c r="W187" s="453">
        <v>0</v>
      </c>
      <c r="X187" s="453">
        <v>0</v>
      </c>
      <c r="Y187" s="453">
        <v>0</v>
      </c>
      <c r="Z187" s="453">
        <v>0</v>
      </c>
      <c r="AA187" s="453">
        <v>0</v>
      </c>
      <c r="AB187" s="453">
        <v>0</v>
      </c>
      <c r="AC187" s="453">
        <v>0</v>
      </c>
      <c r="AD187" s="453">
        <v>0</v>
      </c>
      <c r="AE187" s="453">
        <v>0</v>
      </c>
      <c r="AF187" s="453">
        <v>0</v>
      </c>
      <c r="AG187" s="453">
        <v>0</v>
      </c>
      <c r="AH187" s="453">
        <v>0</v>
      </c>
      <c r="AI187" s="453">
        <v>0</v>
      </c>
      <c r="AJ187" s="453">
        <v>0</v>
      </c>
      <c r="AK187" s="453">
        <v>0</v>
      </c>
      <c r="AL187" s="453">
        <v>0</v>
      </c>
      <c r="AM187" s="453">
        <v>0</v>
      </c>
      <c r="AN187" s="453">
        <v>0</v>
      </c>
    </row>
    <row r="188" spans="1:40" outlineLevel="1" collapsed="1" x14ac:dyDescent="0.25">
      <c r="A188" s="452">
        <v>4582</v>
      </c>
      <c r="B188" t="s">
        <v>1538</v>
      </c>
      <c r="C188" t="s">
        <v>1539</v>
      </c>
      <c r="D188" t="s">
        <v>1391</v>
      </c>
      <c r="E188" s="453">
        <f t="shared" si="26"/>
        <v>0</v>
      </c>
      <c r="F188" s="453">
        <f t="shared" si="27"/>
        <v>-428.13</v>
      </c>
      <c r="G188" s="453">
        <f t="shared" si="28"/>
        <v>-120.44</v>
      </c>
      <c r="H188" s="453">
        <v>0</v>
      </c>
      <c r="I188" s="453">
        <v>0</v>
      </c>
      <c r="J188" s="453">
        <v>0</v>
      </c>
      <c r="K188" s="453">
        <v>0</v>
      </c>
      <c r="L188" s="453">
        <v>0</v>
      </c>
      <c r="M188" s="453">
        <v>0</v>
      </c>
      <c r="N188" s="453">
        <v>0</v>
      </c>
      <c r="O188" s="453">
        <v>0</v>
      </c>
      <c r="P188" s="453">
        <v>0</v>
      </c>
      <c r="Q188" s="453">
        <v>0</v>
      </c>
      <c r="R188" s="453">
        <v>0</v>
      </c>
      <c r="S188" s="453">
        <v>0</v>
      </c>
      <c r="T188" s="453">
        <v>0</v>
      </c>
      <c r="U188" s="453">
        <v>-35.17</v>
      </c>
      <c r="V188" s="453">
        <v>-51.459999999999994</v>
      </c>
      <c r="W188" s="453">
        <v>-4</v>
      </c>
      <c r="X188" s="453">
        <v>-70.240000000000009</v>
      </c>
      <c r="Y188" s="453">
        <v>0</v>
      </c>
      <c r="Z188" s="453">
        <v>-59.16</v>
      </c>
      <c r="AA188" s="453">
        <v>-16.370000000000005</v>
      </c>
      <c r="AB188" s="453">
        <v>-11.689999999999998</v>
      </c>
      <c r="AC188" s="453">
        <v>-36.97</v>
      </c>
      <c r="AD188" s="453">
        <v>-3.3600000000000136</v>
      </c>
      <c r="AE188" s="453">
        <v>-139.70999999999998</v>
      </c>
      <c r="AF188" s="453">
        <v>0</v>
      </c>
      <c r="AG188" s="453">
        <v>-6.72</v>
      </c>
      <c r="AH188" s="453">
        <v>-31.090000000000003</v>
      </c>
      <c r="AI188" s="453">
        <v>-1.259999999999998</v>
      </c>
      <c r="AJ188" s="453">
        <v>-20.409999999999997</v>
      </c>
      <c r="AK188" s="453">
        <v>0</v>
      </c>
      <c r="AL188" s="453">
        <v>0</v>
      </c>
      <c r="AM188" s="453">
        <v>-2.75</v>
      </c>
      <c r="AN188" s="453">
        <v>-58.21</v>
      </c>
    </row>
    <row r="189" spans="1:40" outlineLevel="1" collapsed="1" x14ac:dyDescent="0.25">
      <c r="A189" s="452">
        <v>4583</v>
      </c>
      <c r="B189" t="s">
        <v>1540</v>
      </c>
      <c r="C189" t="s">
        <v>1541</v>
      </c>
      <c r="D189" t="s">
        <v>1391</v>
      </c>
      <c r="E189" s="453">
        <f t="shared" si="26"/>
        <v>-1777.0800000000002</v>
      </c>
      <c r="F189" s="453">
        <f t="shared" si="27"/>
        <v>0</v>
      </c>
      <c r="G189" s="453">
        <f t="shared" si="28"/>
        <v>0</v>
      </c>
      <c r="H189" s="453">
        <v>-50.42</v>
      </c>
      <c r="I189" s="453">
        <v>0</v>
      </c>
      <c r="J189" s="453">
        <v>0</v>
      </c>
      <c r="K189" s="453">
        <v>-93.74</v>
      </c>
      <c r="L189" s="453">
        <v>24.36999999999999</v>
      </c>
      <c r="M189" s="453">
        <v>0</v>
      </c>
      <c r="N189" s="453">
        <v>0</v>
      </c>
      <c r="O189" s="453">
        <v>-1336.97</v>
      </c>
      <c r="P189" s="453">
        <v>0</v>
      </c>
      <c r="Q189" s="453">
        <v>-105.03999999999996</v>
      </c>
      <c r="R189" s="453">
        <v>-70.569999999999936</v>
      </c>
      <c r="S189" s="453">
        <v>-144.71000000000004</v>
      </c>
      <c r="T189" s="453">
        <v>0</v>
      </c>
      <c r="U189" s="453">
        <v>0</v>
      </c>
      <c r="V189" s="453">
        <v>0</v>
      </c>
      <c r="W189" s="453">
        <v>0</v>
      </c>
      <c r="X189" s="453">
        <v>0</v>
      </c>
      <c r="Y189" s="453">
        <v>0</v>
      </c>
      <c r="Z189" s="453">
        <v>0</v>
      </c>
      <c r="AA189" s="453">
        <v>0</v>
      </c>
      <c r="AB189" s="453">
        <v>0</v>
      </c>
      <c r="AC189" s="453">
        <v>0</v>
      </c>
      <c r="AD189" s="453">
        <v>0</v>
      </c>
      <c r="AE189" s="453">
        <v>0</v>
      </c>
      <c r="AF189" s="453">
        <v>0</v>
      </c>
      <c r="AG189" s="453">
        <v>0</v>
      </c>
      <c r="AH189" s="453">
        <v>0</v>
      </c>
      <c r="AI189" s="453">
        <v>0</v>
      </c>
      <c r="AJ189" s="453">
        <v>0</v>
      </c>
      <c r="AK189" s="453">
        <v>0</v>
      </c>
      <c r="AL189" s="453">
        <v>0</v>
      </c>
      <c r="AM189" s="453">
        <v>0</v>
      </c>
      <c r="AN189" s="453">
        <v>0</v>
      </c>
    </row>
    <row r="190" spans="1:40" outlineLevel="1" collapsed="1" x14ac:dyDescent="0.25">
      <c r="A190" s="452">
        <v>4583</v>
      </c>
      <c r="B190" t="s">
        <v>1542</v>
      </c>
      <c r="C190" t="s">
        <v>1543</v>
      </c>
      <c r="D190" t="s">
        <v>1391</v>
      </c>
      <c r="E190" s="453">
        <f t="shared" si="26"/>
        <v>0</v>
      </c>
      <c r="F190" s="453">
        <f t="shared" si="27"/>
        <v>-709.9</v>
      </c>
      <c r="G190" s="453">
        <f t="shared" si="28"/>
        <v>-207.58999999999997</v>
      </c>
      <c r="H190" s="453">
        <v>0</v>
      </c>
      <c r="I190" s="453">
        <v>0</v>
      </c>
      <c r="J190" s="453">
        <v>0</v>
      </c>
      <c r="K190" s="453">
        <v>0</v>
      </c>
      <c r="L190" s="453">
        <v>0</v>
      </c>
      <c r="M190" s="453">
        <v>0</v>
      </c>
      <c r="N190" s="453">
        <v>0</v>
      </c>
      <c r="O190" s="453">
        <v>0</v>
      </c>
      <c r="P190" s="453">
        <v>0</v>
      </c>
      <c r="Q190" s="453">
        <v>0</v>
      </c>
      <c r="R190" s="453">
        <v>0</v>
      </c>
      <c r="S190" s="453">
        <v>0</v>
      </c>
      <c r="T190" s="453">
        <v>0</v>
      </c>
      <c r="U190" s="453">
        <v>-12.61</v>
      </c>
      <c r="V190" s="453">
        <v>-21.009999999999998</v>
      </c>
      <c r="W190" s="453">
        <v>-3.3599999999999994</v>
      </c>
      <c r="X190" s="453">
        <v>-62.18</v>
      </c>
      <c r="Y190" s="453">
        <v>-105.88</v>
      </c>
      <c r="Z190" s="453">
        <v>-77.310000000000031</v>
      </c>
      <c r="AA190" s="453">
        <v>-55.45999999999998</v>
      </c>
      <c r="AB190" s="453">
        <v>-3.3600000000000136</v>
      </c>
      <c r="AC190" s="453">
        <v>-100.83999999999997</v>
      </c>
      <c r="AD190" s="453">
        <v>-55.879999999999995</v>
      </c>
      <c r="AE190" s="453">
        <v>-212.01</v>
      </c>
      <c r="AF190" s="453">
        <v>0</v>
      </c>
      <c r="AG190" s="453">
        <v>0</v>
      </c>
      <c r="AH190" s="453">
        <v>-5.88</v>
      </c>
      <c r="AI190" s="453">
        <v>-34.199999999999996</v>
      </c>
      <c r="AJ190" s="453">
        <v>-4.2000000000000028</v>
      </c>
      <c r="AK190" s="453">
        <v>-15.129999999999995</v>
      </c>
      <c r="AL190" s="453">
        <v>-108.20000000000002</v>
      </c>
      <c r="AM190" s="453">
        <v>-17.289999999999992</v>
      </c>
      <c r="AN190" s="453">
        <v>-22.689999999999998</v>
      </c>
    </row>
    <row r="191" spans="1:40" outlineLevel="1" collapsed="1" x14ac:dyDescent="0.25">
      <c r="A191" s="452">
        <v>4584</v>
      </c>
      <c r="B191" t="s">
        <v>1544</v>
      </c>
      <c r="C191" t="s">
        <v>1545</v>
      </c>
      <c r="D191" t="s">
        <v>1391</v>
      </c>
      <c r="E191" s="453">
        <f t="shared" si="26"/>
        <v>-447.2</v>
      </c>
      <c r="F191" s="453">
        <f t="shared" si="27"/>
        <v>-427.43999999999994</v>
      </c>
      <c r="G191" s="453">
        <f t="shared" si="28"/>
        <v>-172.85</v>
      </c>
      <c r="H191" s="453">
        <v>-16.46</v>
      </c>
      <c r="I191" s="453">
        <v>-2</v>
      </c>
      <c r="J191" s="453">
        <v>-22.17</v>
      </c>
      <c r="K191" s="453">
        <v>0</v>
      </c>
      <c r="L191" s="453">
        <v>8.240000000000002</v>
      </c>
      <c r="M191" s="453">
        <v>0</v>
      </c>
      <c r="N191" s="453">
        <v>0</v>
      </c>
      <c r="O191" s="453">
        <v>-1.6799999999999997</v>
      </c>
      <c r="P191" s="453">
        <v>0</v>
      </c>
      <c r="Q191" s="453">
        <v>-2.509999999999998</v>
      </c>
      <c r="R191" s="453">
        <v>-45.120000000000005</v>
      </c>
      <c r="S191" s="453">
        <v>-365.5</v>
      </c>
      <c r="T191" s="453">
        <v>0</v>
      </c>
      <c r="U191" s="453">
        <v>0</v>
      </c>
      <c r="V191" s="453">
        <v>0</v>
      </c>
      <c r="W191" s="453">
        <v>-21.93</v>
      </c>
      <c r="X191" s="453">
        <v>-10.079999999999998</v>
      </c>
      <c r="Y191" s="453">
        <v>-96.4</v>
      </c>
      <c r="Z191" s="453">
        <v>0</v>
      </c>
      <c r="AA191" s="453">
        <v>0</v>
      </c>
      <c r="AB191" s="453">
        <v>-1</v>
      </c>
      <c r="AC191" s="453">
        <v>-103.78</v>
      </c>
      <c r="AD191" s="453">
        <v>0</v>
      </c>
      <c r="AE191" s="453">
        <v>-194.25</v>
      </c>
      <c r="AF191" s="453">
        <v>0</v>
      </c>
      <c r="AG191" s="453">
        <v>-2.68</v>
      </c>
      <c r="AH191" s="453">
        <v>0</v>
      </c>
      <c r="AI191" s="453">
        <v>0</v>
      </c>
      <c r="AJ191" s="453">
        <v>0</v>
      </c>
      <c r="AK191" s="453">
        <v>-85.36</v>
      </c>
      <c r="AL191" s="453">
        <v>-42.61</v>
      </c>
      <c r="AM191" s="453">
        <v>-27.099999999999994</v>
      </c>
      <c r="AN191" s="453">
        <v>-15.099999999999994</v>
      </c>
    </row>
    <row r="192" spans="1:40" outlineLevel="1" collapsed="1" x14ac:dyDescent="0.25">
      <c r="A192" s="452">
        <v>4585</v>
      </c>
      <c r="B192" t="s">
        <v>1546</v>
      </c>
      <c r="C192" t="s">
        <v>1547</v>
      </c>
      <c r="D192" t="s">
        <v>1391</v>
      </c>
      <c r="E192" s="453">
        <f t="shared" si="26"/>
        <v>-344.56</v>
      </c>
      <c r="F192" s="453">
        <f t="shared" si="27"/>
        <v>0</v>
      </c>
      <c r="G192" s="453">
        <f t="shared" si="28"/>
        <v>0</v>
      </c>
      <c r="H192" s="453">
        <v>0</v>
      </c>
      <c r="I192" s="453">
        <v>0</v>
      </c>
      <c r="J192" s="453">
        <v>-69.55</v>
      </c>
      <c r="K192" s="453">
        <v>0</v>
      </c>
      <c r="L192" s="453">
        <v>-19.75</v>
      </c>
      <c r="M192" s="453">
        <v>0</v>
      </c>
      <c r="N192" s="453">
        <v>-78.989999999999995</v>
      </c>
      <c r="O192" s="453">
        <v>-32.02000000000001</v>
      </c>
      <c r="P192" s="453">
        <v>0</v>
      </c>
      <c r="Q192" s="453">
        <v>-30.25</v>
      </c>
      <c r="R192" s="453">
        <v>-114</v>
      </c>
      <c r="S192" s="453">
        <v>0</v>
      </c>
      <c r="T192" s="453">
        <v>0</v>
      </c>
      <c r="U192" s="453">
        <v>0</v>
      </c>
      <c r="V192" s="453">
        <v>0</v>
      </c>
      <c r="W192" s="453">
        <v>0</v>
      </c>
      <c r="X192" s="453">
        <v>0</v>
      </c>
      <c r="Y192" s="453">
        <v>0</v>
      </c>
      <c r="Z192" s="453">
        <v>0</v>
      </c>
      <c r="AA192" s="453">
        <v>0</v>
      </c>
      <c r="AB192" s="453">
        <v>0</v>
      </c>
      <c r="AC192" s="453">
        <v>0</v>
      </c>
      <c r="AD192" s="453">
        <v>0</v>
      </c>
      <c r="AE192" s="453">
        <v>0</v>
      </c>
      <c r="AF192" s="453">
        <v>0</v>
      </c>
      <c r="AG192" s="453">
        <v>0</v>
      </c>
      <c r="AH192" s="453">
        <v>0</v>
      </c>
      <c r="AI192" s="453">
        <v>0</v>
      </c>
      <c r="AJ192" s="453">
        <v>0</v>
      </c>
      <c r="AK192" s="453">
        <v>0</v>
      </c>
      <c r="AL192" s="453">
        <v>0</v>
      </c>
      <c r="AM192" s="453">
        <v>0</v>
      </c>
      <c r="AN192" s="453">
        <v>0</v>
      </c>
    </row>
    <row r="193" spans="1:40" outlineLevel="1" collapsed="1" x14ac:dyDescent="0.25">
      <c r="A193" s="452">
        <v>4585</v>
      </c>
      <c r="B193" t="s">
        <v>1548</v>
      </c>
      <c r="C193" t="s">
        <v>1549</v>
      </c>
      <c r="D193" t="s">
        <v>1391</v>
      </c>
      <c r="E193" s="453">
        <f t="shared" si="26"/>
        <v>0</v>
      </c>
      <c r="F193" s="453">
        <f t="shared" si="27"/>
        <v>-1436.42</v>
      </c>
      <c r="G193" s="453">
        <f t="shared" si="28"/>
        <v>-173.72</v>
      </c>
      <c r="H193" s="453">
        <v>0</v>
      </c>
      <c r="I193" s="453">
        <v>0</v>
      </c>
      <c r="J193" s="453">
        <v>0</v>
      </c>
      <c r="K193" s="453">
        <v>0</v>
      </c>
      <c r="L193" s="453">
        <v>0</v>
      </c>
      <c r="M193" s="453">
        <v>0</v>
      </c>
      <c r="N193" s="453">
        <v>0</v>
      </c>
      <c r="O193" s="453">
        <v>0</v>
      </c>
      <c r="P193" s="453">
        <v>0</v>
      </c>
      <c r="Q193" s="453">
        <v>0</v>
      </c>
      <c r="R193" s="453">
        <v>0</v>
      </c>
      <c r="S193" s="453">
        <v>0</v>
      </c>
      <c r="T193" s="453">
        <v>0</v>
      </c>
      <c r="U193" s="453">
        <v>-38.380000000000003</v>
      </c>
      <c r="V193" s="453">
        <v>-32.020000000000003</v>
      </c>
      <c r="W193" s="453">
        <v>0</v>
      </c>
      <c r="X193" s="453">
        <v>-74.009999999999991</v>
      </c>
      <c r="Y193" s="453">
        <v>-1025</v>
      </c>
      <c r="Z193" s="453">
        <v>-33.529999999999973</v>
      </c>
      <c r="AA193" s="453">
        <v>-36.970000000000027</v>
      </c>
      <c r="AB193" s="453">
        <v>-2.3499999999999091</v>
      </c>
      <c r="AC193" s="453">
        <v>-112.6400000000001</v>
      </c>
      <c r="AD193" s="453">
        <v>-25.209999999999809</v>
      </c>
      <c r="AE193" s="453">
        <v>-56.310000000000173</v>
      </c>
      <c r="AF193" s="453">
        <v>0</v>
      </c>
      <c r="AG193" s="453">
        <v>-66.34</v>
      </c>
      <c r="AH193" s="453">
        <v>-35.11</v>
      </c>
      <c r="AI193" s="453">
        <v>0</v>
      </c>
      <c r="AJ193" s="453">
        <v>-5.8799999999999955</v>
      </c>
      <c r="AK193" s="453">
        <v>0</v>
      </c>
      <c r="AL193" s="453">
        <v>0</v>
      </c>
      <c r="AM193" s="453">
        <v>-66.39</v>
      </c>
      <c r="AN193" s="453">
        <v>0</v>
      </c>
    </row>
    <row r="194" spans="1:40" outlineLevel="1" collapsed="1" x14ac:dyDescent="0.25">
      <c r="A194" s="452">
        <v>4586</v>
      </c>
      <c r="B194" t="s">
        <v>1550</v>
      </c>
      <c r="C194" t="s">
        <v>1551</v>
      </c>
      <c r="D194" t="s">
        <v>1391</v>
      </c>
      <c r="E194" s="453">
        <f t="shared" si="26"/>
        <v>-1197.5400000000002</v>
      </c>
      <c r="F194" s="453">
        <f t="shared" si="27"/>
        <v>0</v>
      </c>
      <c r="G194" s="453">
        <f t="shared" si="28"/>
        <v>0</v>
      </c>
      <c r="H194" s="453">
        <v>0</v>
      </c>
      <c r="I194" s="453">
        <v>-38.729999999999997</v>
      </c>
      <c r="J194" s="453">
        <v>-9.9200000000000017</v>
      </c>
      <c r="K194" s="453">
        <v>-38.57</v>
      </c>
      <c r="L194" s="453">
        <v>-21.510000000000005</v>
      </c>
      <c r="M194" s="453">
        <v>-12.769999999999996</v>
      </c>
      <c r="N194" s="453">
        <v>-20</v>
      </c>
      <c r="O194" s="453">
        <v>-20.930000000000007</v>
      </c>
      <c r="P194" s="453">
        <v>-28.400000000000006</v>
      </c>
      <c r="Q194" s="453">
        <v>-24.199999999999989</v>
      </c>
      <c r="R194" s="453">
        <v>-13.780000000000001</v>
      </c>
      <c r="S194" s="453">
        <v>-968.73</v>
      </c>
      <c r="T194" s="453">
        <v>0</v>
      </c>
      <c r="U194" s="453">
        <v>0</v>
      </c>
      <c r="V194" s="453">
        <v>0</v>
      </c>
      <c r="W194" s="453">
        <v>0</v>
      </c>
      <c r="X194" s="453">
        <v>0</v>
      </c>
      <c r="Y194" s="453">
        <v>0</v>
      </c>
      <c r="Z194" s="453">
        <v>0</v>
      </c>
      <c r="AA194" s="453">
        <v>0</v>
      </c>
      <c r="AB194" s="453">
        <v>0</v>
      </c>
      <c r="AC194" s="453">
        <v>0</v>
      </c>
      <c r="AD194" s="453">
        <v>0</v>
      </c>
      <c r="AE194" s="453">
        <v>0</v>
      </c>
      <c r="AF194" s="453">
        <v>0</v>
      </c>
      <c r="AG194" s="453">
        <v>0</v>
      </c>
      <c r="AH194" s="453">
        <v>0</v>
      </c>
      <c r="AI194" s="453">
        <v>0</v>
      </c>
      <c r="AJ194" s="453">
        <v>0</v>
      </c>
      <c r="AK194" s="453">
        <v>0</v>
      </c>
      <c r="AL194" s="453">
        <v>0</v>
      </c>
      <c r="AM194" s="453">
        <v>0</v>
      </c>
      <c r="AN194" s="453">
        <v>0</v>
      </c>
    </row>
    <row r="195" spans="1:40" outlineLevel="1" collapsed="1" x14ac:dyDescent="0.25">
      <c r="A195" s="452">
        <v>4586</v>
      </c>
      <c r="B195" t="s">
        <v>1552</v>
      </c>
      <c r="C195" t="s">
        <v>1553</v>
      </c>
      <c r="D195" t="s">
        <v>1391</v>
      </c>
      <c r="E195" s="453">
        <f t="shared" si="26"/>
        <v>0</v>
      </c>
      <c r="F195" s="453">
        <f t="shared" si="27"/>
        <v>-1496.04</v>
      </c>
      <c r="G195" s="453">
        <f t="shared" si="28"/>
        <v>-5.21</v>
      </c>
      <c r="H195" s="453">
        <v>0</v>
      </c>
      <c r="I195" s="453">
        <v>0</v>
      </c>
      <c r="J195" s="453">
        <v>0</v>
      </c>
      <c r="K195" s="453">
        <v>0</v>
      </c>
      <c r="L195" s="453">
        <v>0</v>
      </c>
      <c r="M195" s="453">
        <v>0</v>
      </c>
      <c r="N195" s="453">
        <v>0</v>
      </c>
      <c r="O195" s="453">
        <v>0</v>
      </c>
      <c r="P195" s="453">
        <v>0</v>
      </c>
      <c r="Q195" s="453">
        <v>0</v>
      </c>
      <c r="R195" s="453">
        <v>0</v>
      </c>
      <c r="S195" s="453">
        <v>0</v>
      </c>
      <c r="T195" s="453">
        <v>0</v>
      </c>
      <c r="U195" s="453">
        <v>-12.77</v>
      </c>
      <c r="V195" s="453">
        <v>-15.46</v>
      </c>
      <c r="W195" s="453">
        <v>-19.319999999999997</v>
      </c>
      <c r="X195" s="453">
        <v>-7.3100000000000023</v>
      </c>
      <c r="Y195" s="453">
        <v>-7.730000000000004</v>
      </c>
      <c r="Z195" s="453">
        <v>-39.92</v>
      </c>
      <c r="AA195" s="453">
        <v>-1363.28</v>
      </c>
      <c r="AB195" s="453">
        <v>-5.0399999999999636</v>
      </c>
      <c r="AC195" s="453">
        <v>-10.420000000000073</v>
      </c>
      <c r="AD195" s="453">
        <v>0</v>
      </c>
      <c r="AE195" s="453">
        <v>-14.789999999999964</v>
      </c>
      <c r="AF195" s="453">
        <v>0</v>
      </c>
      <c r="AG195" s="453">
        <v>0</v>
      </c>
      <c r="AH195" s="453">
        <v>0</v>
      </c>
      <c r="AI195" s="453">
        <v>0</v>
      </c>
      <c r="AJ195" s="453">
        <v>0</v>
      </c>
      <c r="AK195" s="453">
        <v>0</v>
      </c>
      <c r="AL195" s="453">
        <v>-5.21</v>
      </c>
      <c r="AM195" s="453">
        <v>0</v>
      </c>
      <c r="AN195" s="453">
        <v>0</v>
      </c>
    </row>
    <row r="196" spans="1:40" outlineLevel="1" collapsed="1" x14ac:dyDescent="0.25">
      <c r="A196" s="452">
        <v>4587</v>
      </c>
      <c r="B196" t="s">
        <v>1554</v>
      </c>
      <c r="C196" t="s">
        <v>1555</v>
      </c>
      <c r="D196" t="s">
        <v>1391</v>
      </c>
      <c r="E196" s="453">
        <f t="shared" si="26"/>
        <v>-627.80000000000007</v>
      </c>
      <c r="F196" s="453">
        <f t="shared" si="27"/>
        <v>0</v>
      </c>
      <c r="G196" s="453">
        <f t="shared" si="28"/>
        <v>0</v>
      </c>
      <c r="H196" s="453">
        <v>0</v>
      </c>
      <c r="I196" s="453">
        <v>0</v>
      </c>
      <c r="J196" s="453">
        <v>0</v>
      </c>
      <c r="K196" s="453">
        <v>0</v>
      </c>
      <c r="L196" s="453">
        <v>0</v>
      </c>
      <c r="M196" s="453">
        <v>0</v>
      </c>
      <c r="N196" s="453">
        <v>-7.23</v>
      </c>
      <c r="O196" s="453">
        <v>-4.1999999999999993</v>
      </c>
      <c r="P196" s="453">
        <v>0</v>
      </c>
      <c r="Q196" s="453">
        <v>0</v>
      </c>
      <c r="R196" s="453">
        <v>-4.620000000000001</v>
      </c>
      <c r="S196" s="453">
        <v>-611.75</v>
      </c>
      <c r="T196" s="453">
        <v>0</v>
      </c>
      <c r="U196" s="453">
        <v>0</v>
      </c>
      <c r="V196" s="453">
        <v>0</v>
      </c>
      <c r="W196" s="453">
        <v>0</v>
      </c>
      <c r="X196" s="453">
        <v>0</v>
      </c>
      <c r="Y196" s="453">
        <v>0</v>
      </c>
      <c r="Z196" s="453">
        <v>0</v>
      </c>
      <c r="AA196" s="453">
        <v>0</v>
      </c>
      <c r="AB196" s="453">
        <v>0</v>
      </c>
      <c r="AC196" s="453">
        <v>0</v>
      </c>
      <c r="AD196" s="453">
        <v>0</v>
      </c>
      <c r="AE196" s="453">
        <v>0</v>
      </c>
      <c r="AF196" s="453">
        <v>0</v>
      </c>
      <c r="AG196" s="453">
        <v>0</v>
      </c>
      <c r="AH196" s="453">
        <v>0</v>
      </c>
      <c r="AI196" s="453">
        <v>0</v>
      </c>
      <c r="AJ196" s="453">
        <v>0</v>
      </c>
      <c r="AK196" s="453">
        <v>0</v>
      </c>
      <c r="AL196" s="453">
        <v>0</v>
      </c>
      <c r="AM196" s="453">
        <v>0</v>
      </c>
      <c r="AN196" s="453">
        <v>0</v>
      </c>
    </row>
    <row r="197" spans="1:40" outlineLevel="1" collapsed="1" x14ac:dyDescent="0.25">
      <c r="A197" s="452">
        <v>4587</v>
      </c>
      <c r="B197" t="s">
        <v>1556</v>
      </c>
      <c r="C197" t="s">
        <v>1557</v>
      </c>
      <c r="D197" t="s">
        <v>1391</v>
      </c>
      <c r="E197" s="453">
        <f t="shared" si="26"/>
        <v>0</v>
      </c>
      <c r="F197" s="453">
        <f t="shared" si="27"/>
        <v>-2597.7299999999996</v>
      </c>
      <c r="G197" s="453">
        <f t="shared" si="28"/>
        <v>-36.19</v>
      </c>
      <c r="H197" s="453">
        <v>0</v>
      </c>
      <c r="I197" s="453">
        <v>0</v>
      </c>
      <c r="J197" s="453">
        <v>0</v>
      </c>
      <c r="K197" s="453">
        <v>0</v>
      </c>
      <c r="L197" s="453">
        <v>0</v>
      </c>
      <c r="M197" s="453">
        <v>0</v>
      </c>
      <c r="N197" s="453">
        <v>0</v>
      </c>
      <c r="O197" s="453">
        <v>0</v>
      </c>
      <c r="P197" s="453">
        <v>0</v>
      </c>
      <c r="Q197" s="453">
        <v>0</v>
      </c>
      <c r="R197" s="453">
        <v>0</v>
      </c>
      <c r="S197" s="453">
        <v>0</v>
      </c>
      <c r="T197" s="453">
        <v>0</v>
      </c>
      <c r="U197" s="453">
        <v>-82.24</v>
      </c>
      <c r="V197" s="453">
        <v>-261.09999999999997</v>
      </c>
      <c r="W197" s="453">
        <v>-209.11000000000007</v>
      </c>
      <c r="X197" s="453">
        <v>-141.15999999999997</v>
      </c>
      <c r="Y197" s="453">
        <v>-1957.1399999999999</v>
      </c>
      <c r="Z197" s="453">
        <v>0</v>
      </c>
      <c r="AA197" s="453">
        <v>-335.63000000000011</v>
      </c>
      <c r="AB197" s="453">
        <v>-51.049999999999727</v>
      </c>
      <c r="AC197" s="453">
        <v>-46.840000000000146</v>
      </c>
      <c r="AD197" s="453">
        <v>-31.849999999999909</v>
      </c>
      <c r="AE197" s="453">
        <v>518.38999999999987</v>
      </c>
      <c r="AF197" s="453">
        <v>0</v>
      </c>
      <c r="AG197" s="453">
        <v>0</v>
      </c>
      <c r="AH197" s="453">
        <v>0</v>
      </c>
      <c r="AI197" s="453">
        <v>-12.61</v>
      </c>
      <c r="AJ197" s="453">
        <v>0</v>
      </c>
      <c r="AK197" s="453">
        <v>-5.0399999999999991</v>
      </c>
      <c r="AL197" s="453">
        <v>0</v>
      </c>
      <c r="AM197" s="453">
        <v>-18.54</v>
      </c>
      <c r="AN197" s="453">
        <v>0</v>
      </c>
    </row>
    <row r="198" spans="1:40" outlineLevel="1" collapsed="1" x14ac:dyDescent="0.25">
      <c r="A198" s="452">
        <v>4588</v>
      </c>
      <c r="B198" t="s">
        <v>1558</v>
      </c>
      <c r="C198" t="s">
        <v>1559</v>
      </c>
      <c r="D198" t="s">
        <v>1391</v>
      </c>
      <c r="E198" s="453">
        <f t="shared" si="26"/>
        <v>-4490.0399999999991</v>
      </c>
      <c r="F198" s="453">
        <f t="shared" si="27"/>
        <v>-668.37999999999988</v>
      </c>
      <c r="G198" s="453">
        <f t="shared" si="28"/>
        <v>-404.45</v>
      </c>
      <c r="H198" s="453">
        <v>0</v>
      </c>
      <c r="I198" s="453">
        <v>0</v>
      </c>
      <c r="J198" s="453">
        <v>0</v>
      </c>
      <c r="K198" s="453">
        <v>-1498</v>
      </c>
      <c r="L198" s="453">
        <v>0</v>
      </c>
      <c r="M198" s="453">
        <v>0</v>
      </c>
      <c r="N198" s="453">
        <v>0</v>
      </c>
      <c r="O198" s="453">
        <v>-166.48000000000002</v>
      </c>
      <c r="P198" s="453">
        <v>-70.589999999999918</v>
      </c>
      <c r="Q198" s="453">
        <v>-14.610000000000127</v>
      </c>
      <c r="R198" s="453">
        <v>-2650.8599999999997</v>
      </c>
      <c r="S198" s="453">
        <v>-89.5</v>
      </c>
      <c r="T198" s="453">
        <v>0</v>
      </c>
      <c r="U198" s="453">
        <v>-68.069999999999993</v>
      </c>
      <c r="V198" s="453">
        <v>-84.920000000000016</v>
      </c>
      <c r="W198" s="453">
        <v>-10.5</v>
      </c>
      <c r="X198" s="453">
        <v>-88.949999999999989</v>
      </c>
      <c r="Y198" s="453">
        <v>-25.20999999999998</v>
      </c>
      <c r="Z198" s="453">
        <v>-36.100000000000023</v>
      </c>
      <c r="AA198" s="453">
        <v>-84.44</v>
      </c>
      <c r="AB198" s="453">
        <v>-33.19</v>
      </c>
      <c r="AC198" s="453">
        <v>-59.319999999999993</v>
      </c>
      <c r="AD198" s="453">
        <v>-59.449999999999989</v>
      </c>
      <c r="AE198" s="453">
        <v>-118.23000000000002</v>
      </c>
      <c r="AF198" s="453">
        <v>0</v>
      </c>
      <c r="AG198" s="453">
        <v>0</v>
      </c>
      <c r="AH198" s="453">
        <v>-37.19</v>
      </c>
      <c r="AI198" s="453">
        <v>-57.980000000000004</v>
      </c>
      <c r="AJ198" s="453">
        <v>-27.409999999999997</v>
      </c>
      <c r="AK198" s="453">
        <v>-44.000000000000014</v>
      </c>
      <c r="AL198" s="453">
        <v>-29.20999999999998</v>
      </c>
      <c r="AM198" s="453">
        <v>-19.330000000000013</v>
      </c>
      <c r="AN198" s="453">
        <v>-189.32999999999998</v>
      </c>
    </row>
    <row r="199" spans="1:40" outlineLevel="1" collapsed="1" x14ac:dyDescent="0.25">
      <c r="A199" s="452">
        <v>4589</v>
      </c>
      <c r="B199" t="s">
        <v>1560</v>
      </c>
      <c r="C199" t="s">
        <v>1561</v>
      </c>
      <c r="D199" t="s">
        <v>1391</v>
      </c>
      <c r="E199" s="453">
        <f t="shared" si="26"/>
        <v>0</v>
      </c>
      <c r="F199" s="453">
        <f t="shared" si="27"/>
        <v>0</v>
      </c>
      <c r="G199" s="453">
        <f t="shared" si="28"/>
        <v>0</v>
      </c>
      <c r="H199" s="453">
        <v>0</v>
      </c>
      <c r="I199" s="453">
        <v>0</v>
      </c>
      <c r="J199" s="453">
        <v>0</v>
      </c>
      <c r="K199" s="453">
        <v>0</v>
      </c>
      <c r="L199" s="453">
        <v>0</v>
      </c>
      <c r="M199" s="453">
        <v>0</v>
      </c>
      <c r="N199" s="453">
        <v>0</v>
      </c>
      <c r="O199" s="453">
        <v>0</v>
      </c>
      <c r="P199" s="453">
        <v>0</v>
      </c>
      <c r="Q199" s="453">
        <v>0</v>
      </c>
      <c r="R199" s="453">
        <v>0</v>
      </c>
      <c r="S199" s="453">
        <v>0</v>
      </c>
      <c r="T199" s="453">
        <v>0</v>
      </c>
      <c r="U199" s="453">
        <v>0</v>
      </c>
      <c r="V199" s="453">
        <v>0</v>
      </c>
      <c r="W199" s="453">
        <v>0</v>
      </c>
      <c r="X199" s="453">
        <v>0</v>
      </c>
      <c r="Y199" s="453">
        <v>0</v>
      </c>
      <c r="Z199" s="453">
        <v>0</v>
      </c>
      <c r="AA199" s="453">
        <v>0</v>
      </c>
      <c r="AB199" s="453">
        <v>0</v>
      </c>
      <c r="AC199" s="453">
        <v>0</v>
      </c>
      <c r="AD199" s="453">
        <v>0</v>
      </c>
      <c r="AE199" s="453">
        <v>0</v>
      </c>
      <c r="AF199" s="453">
        <v>0</v>
      </c>
      <c r="AG199" s="453">
        <v>0</v>
      </c>
      <c r="AH199" s="453">
        <v>0</v>
      </c>
      <c r="AI199" s="453">
        <v>0</v>
      </c>
      <c r="AJ199" s="453">
        <v>0</v>
      </c>
      <c r="AK199" s="453">
        <v>0</v>
      </c>
      <c r="AL199" s="453">
        <v>0</v>
      </c>
      <c r="AM199" s="453">
        <v>0</v>
      </c>
      <c r="AN199" s="453">
        <v>0</v>
      </c>
    </row>
    <row r="200" spans="1:40" outlineLevel="1" collapsed="1" x14ac:dyDescent="0.25">
      <c r="A200" s="452">
        <v>4595</v>
      </c>
      <c r="B200" t="s">
        <v>1562</v>
      </c>
      <c r="C200" t="s">
        <v>1563</v>
      </c>
      <c r="D200" t="s">
        <v>1391</v>
      </c>
      <c r="E200" s="453">
        <f t="shared" si="26"/>
        <v>-1446.9199999999998</v>
      </c>
      <c r="F200" s="453">
        <f t="shared" si="27"/>
        <v>-1366.0300000000002</v>
      </c>
      <c r="G200" s="453">
        <f t="shared" si="28"/>
        <v>-748.52</v>
      </c>
      <c r="H200" s="453">
        <v>0</v>
      </c>
      <c r="I200" s="453">
        <v>0</v>
      </c>
      <c r="J200" s="453">
        <v>0</v>
      </c>
      <c r="K200" s="453">
        <v>-134.28</v>
      </c>
      <c r="L200" s="453">
        <v>-57.370000000000005</v>
      </c>
      <c r="M200" s="453">
        <v>-16.799999999999983</v>
      </c>
      <c r="N200" s="453">
        <v>-294.04000000000002</v>
      </c>
      <c r="O200" s="453">
        <v>-444.31999999999994</v>
      </c>
      <c r="P200" s="453">
        <v>0</v>
      </c>
      <c r="Q200" s="453">
        <v>-12.610000000000014</v>
      </c>
      <c r="R200" s="453">
        <v>0</v>
      </c>
      <c r="S200" s="453">
        <v>-487.50000000000011</v>
      </c>
      <c r="T200" s="453">
        <v>0</v>
      </c>
      <c r="U200" s="453">
        <v>-100.52</v>
      </c>
      <c r="V200" s="453">
        <v>-112.44000000000001</v>
      </c>
      <c r="W200" s="453">
        <v>0</v>
      </c>
      <c r="X200" s="453">
        <v>-25.129999999999995</v>
      </c>
      <c r="Y200" s="453">
        <v>-539.1</v>
      </c>
      <c r="Z200" s="453">
        <v>0</v>
      </c>
      <c r="AA200" s="453">
        <v>-211.70999999999992</v>
      </c>
      <c r="AB200" s="453">
        <v>-4.2000000000000455</v>
      </c>
      <c r="AC200" s="453">
        <v>0</v>
      </c>
      <c r="AD200" s="453">
        <v>-25.129999999999995</v>
      </c>
      <c r="AE200" s="453">
        <v>-347.79999999999995</v>
      </c>
      <c r="AF200" s="453">
        <v>0</v>
      </c>
      <c r="AG200" s="453">
        <v>-15.97</v>
      </c>
      <c r="AH200" s="453">
        <v>0</v>
      </c>
      <c r="AI200" s="453">
        <v>-8.4099999999999984</v>
      </c>
      <c r="AJ200" s="453">
        <v>-31.51</v>
      </c>
      <c r="AK200" s="453">
        <v>-610.84</v>
      </c>
      <c r="AL200" s="453">
        <v>0</v>
      </c>
      <c r="AM200" s="453">
        <v>-39.769999999999982</v>
      </c>
      <c r="AN200" s="453">
        <v>-42.019999999999982</v>
      </c>
    </row>
    <row r="201" spans="1:40" outlineLevel="1" collapsed="1" x14ac:dyDescent="0.25">
      <c r="A201" s="452">
        <v>4600</v>
      </c>
      <c r="B201" t="s">
        <v>1564</v>
      </c>
      <c r="C201" t="s">
        <v>1565</v>
      </c>
      <c r="D201" t="s">
        <v>1566</v>
      </c>
      <c r="E201" s="453">
        <f t="shared" si="26"/>
        <v>-18036.669999999995</v>
      </c>
      <c r="F201" s="453">
        <f t="shared" si="27"/>
        <v>-14088.81</v>
      </c>
      <c r="G201" s="453">
        <f t="shared" si="28"/>
        <v>-8862.2800000000007</v>
      </c>
      <c r="H201" s="453">
        <v>-113.19</v>
      </c>
      <c r="I201" s="453">
        <v>-999.72</v>
      </c>
      <c r="J201" s="453">
        <v>-178.01</v>
      </c>
      <c r="K201" s="453">
        <v>-1296.5999999999999</v>
      </c>
      <c r="L201" s="453">
        <v>-370.86999999999989</v>
      </c>
      <c r="M201" s="453">
        <v>-11710.800000000001</v>
      </c>
      <c r="N201" s="453">
        <v>-1911.1900000000005</v>
      </c>
      <c r="O201" s="453">
        <v>0</v>
      </c>
      <c r="P201" s="453">
        <v>0</v>
      </c>
      <c r="Q201" s="453">
        <v>-113.18999999999869</v>
      </c>
      <c r="R201" s="453">
        <v>-1133.0999999999985</v>
      </c>
      <c r="S201" s="453">
        <v>-210</v>
      </c>
      <c r="T201" s="453">
        <v>-2129.7199999999998</v>
      </c>
      <c r="U201" s="453">
        <v>0</v>
      </c>
      <c r="V201" s="453">
        <v>-931.11000000000013</v>
      </c>
      <c r="W201" s="453">
        <v>-1565.3199999999997</v>
      </c>
      <c r="X201" s="453">
        <v>-756.05000000000018</v>
      </c>
      <c r="Y201" s="453">
        <v>-1392.6000000000004</v>
      </c>
      <c r="Z201" s="453">
        <v>-599.75</v>
      </c>
      <c r="AA201" s="453">
        <v>-548.17999999999938</v>
      </c>
      <c r="AB201" s="453">
        <v>-2492.4700000000012</v>
      </c>
      <c r="AC201" s="453">
        <v>-2605.2299999999996</v>
      </c>
      <c r="AD201" s="453">
        <v>-922.09000000000015</v>
      </c>
      <c r="AE201" s="453">
        <v>-146.28999999999905</v>
      </c>
      <c r="AF201" s="453">
        <v>-317.75</v>
      </c>
      <c r="AG201" s="453">
        <v>-2248.02</v>
      </c>
      <c r="AH201" s="453">
        <v>-3916.28</v>
      </c>
      <c r="AI201" s="453">
        <v>-169.01999999999953</v>
      </c>
      <c r="AJ201" s="453">
        <v>-603.48000000000047</v>
      </c>
      <c r="AK201" s="453">
        <v>0</v>
      </c>
      <c r="AL201" s="453">
        <v>-599.75</v>
      </c>
      <c r="AM201" s="453">
        <v>0</v>
      </c>
      <c r="AN201" s="453">
        <v>-1007.9800000000005</v>
      </c>
    </row>
    <row r="202" spans="1:40" outlineLevel="1" collapsed="1" x14ac:dyDescent="0.25">
      <c r="A202" s="452">
        <v>4605</v>
      </c>
      <c r="B202" t="s">
        <v>1567</v>
      </c>
      <c r="C202" t="s">
        <v>1568</v>
      </c>
      <c r="D202" t="s">
        <v>1566</v>
      </c>
      <c r="E202" s="453">
        <f t="shared" si="26"/>
        <v>-6374.38</v>
      </c>
      <c r="F202" s="453">
        <f t="shared" si="27"/>
        <v>-3645.5299999999997</v>
      </c>
      <c r="G202" s="453">
        <f t="shared" si="28"/>
        <v>-1575.8399999999997</v>
      </c>
      <c r="H202" s="453">
        <v>-8.39</v>
      </c>
      <c r="I202" s="453">
        <v>0</v>
      </c>
      <c r="J202" s="453">
        <v>-1164.9799999999998</v>
      </c>
      <c r="K202" s="453">
        <v>-725</v>
      </c>
      <c r="L202" s="453">
        <v>-1811.21</v>
      </c>
      <c r="M202" s="453">
        <v>0</v>
      </c>
      <c r="N202" s="453">
        <v>0</v>
      </c>
      <c r="O202" s="453">
        <v>-1244.75</v>
      </c>
      <c r="P202" s="453">
        <v>-435</v>
      </c>
      <c r="Q202" s="453">
        <v>-643.94999999999982</v>
      </c>
      <c r="R202" s="453">
        <v>0</v>
      </c>
      <c r="S202" s="453">
        <v>-341.10000000000036</v>
      </c>
      <c r="T202" s="453">
        <v>-649.99</v>
      </c>
      <c r="U202" s="453">
        <v>0</v>
      </c>
      <c r="V202" s="453">
        <v>0</v>
      </c>
      <c r="W202" s="453">
        <v>0</v>
      </c>
      <c r="X202" s="453">
        <v>0</v>
      </c>
      <c r="Y202" s="453">
        <v>0</v>
      </c>
      <c r="Z202" s="453">
        <v>-1980.3</v>
      </c>
      <c r="AA202" s="453">
        <v>0</v>
      </c>
      <c r="AB202" s="453">
        <v>0</v>
      </c>
      <c r="AC202" s="453">
        <v>-3.7800000000002001</v>
      </c>
      <c r="AD202" s="453">
        <v>-966.25</v>
      </c>
      <c r="AE202" s="453">
        <v>-45.210000000000036</v>
      </c>
      <c r="AF202" s="453">
        <v>0</v>
      </c>
      <c r="AG202" s="453">
        <v>0</v>
      </c>
      <c r="AH202" s="453">
        <v>0</v>
      </c>
      <c r="AI202" s="453">
        <v>-217.81</v>
      </c>
      <c r="AJ202" s="453">
        <v>-707.32999999999993</v>
      </c>
      <c r="AK202" s="453">
        <v>-650.69999999999993</v>
      </c>
      <c r="AL202" s="453">
        <v>0</v>
      </c>
      <c r="AM202" s="453">
        <v>0</v>
      </c>
      <c r="AN202" s="453">
        <v>0</v>
      </c>
    </row>
    <row r="203" spans="1:40" outlineLevel="1" collapsed="1" x14ac:dyDescent="0.25">
      <c r="A203" s="452">
        <v>4620</v>
      </c>
      <c r="B203" t="s">
        <v>1569</v>
      </c>
      <c r="C203" t="s">
        <v>1570</v>
      </c>
      <c r="D203" t="s">
        <v>1566</v>
      </c>
      <c r="E203" s="453">
        <f t="shared" si="26"/>
        <v>-41300.910000000003</v>
      </c>
      <c r="F203" s="453">
        <f t="shared" si="27"/>
        <v>-46948.17</v>
      </c>
      <c r="G203" s="453">
        <f t="shared" si="28"/>
        <v>-33377.230000000003</v>
      </c>
      <c r="H203" s="453">
        <v>-416</v>
      </c>
      <c r="I203" s="453">
        <v>0</v>
      </c>
      <c r="J203" s="453">
        <v>-5400</v>
      </c>
      <c r="K203" s="453">
        <v>-5670</v>
      </c>
      <c r="L203" s="453">
        <v>-1758.7099999999991</v>
      </c>
      <c r="M203" s="453">
        <v>-6695</v>
      </c>
      <c r="N203" s="453">
        <v>-4565.5400000000009</v>
      </c>
      <c r="O203" s="453">
        <v>-190.06999999999971</v>
      </c>
      <c r="P203" s="453">
        <v>-4995.2900000000009</v>
      </c>
      <c r="Q203" s="453">
        <v>-8702.5</v>
      </c>
      <c r="R203" s="453">
        <v>-1772.2299999999959</v>
      </c>
      <c r="S203" s="453">
        <v>-1135.570000000007</v>
      </c>
      <c r="T203" s="453">
        <v>0</v>
      </c>
      <c r="U203" s="453">
        <v>-100</v>
      </c>
      <c r="V203" s="453">
        <v>-3122.57</v>
      </c>
      <c r="W203" s="453">
        <v>-15602.71</v>
      </c>
      <c r="X203" s="453">
        <v>-7080</v>
      </c>
      <c r="Y203" s="453">
        <v>-6127</v>
      </c>
      <c r="Z203" s="453">
        <v>-3918.5</v>
      </c>
      <c r="AA203" s="453">
        <v>-731</v>
      </c>
      <c r="AB203" s="453">
        <v>-3560.6399999999994</v>
      </c>
      <c r="AC203" s="453">
        <v>-5477.7799999999988</v>
      </c>
      <c r="AD203" s="453">
        <v>-516.70000000000437</v>
      </c>
      <c r="AE203" s="453">
        <v>-711.2699999999968</v>
      </c>
      <c r="AF203" s="453">
        <v>-5400</v>
      </c>
      <c r="AG203" s="453">
        <v>0</v>
      </c>
      <c r="AH203" s="453">
        <v>-150</v>
      </c>
      <c r="AI203" s="453">
        <v>-1038.1899999999996</v>
      </c>
      <c r="AJ203" s="453">
        <v>-2936.5800000000008</v>
      </c>
      <c r="AK203" s="453">
        <v>-8751.5400000000009</v>
      </c>
      <c r="AL203" s="453">
        <v>-3617.5</v>
      </c>
      <c r="AM203" s="453">
        <v>-550</v>
      </c>
      <c r="AN203" s="453">
        <v>-10933.420000000002</v>
      </c>
    </row>
    <row r="204" spans="1:40" outlineLevel="1" collapsed="1" x14ac:dyDescent="0.25">
      <c r="A204" s="452">
        <v>4631</v>
      </c>
      <c r="B204" t="s">
        <v>1571</v>
      </c>
      <c r="C204" t="s">
        <v>1572</v>
      </c>
      <c r="D204" t="s">
        <v>1566</v>
      </c>
      <c r="E204" s="453">
        <f t="shared" si="26"/>
        <v>-7329.05</v>
      </c>
      <c r="F204" s="453">
        <f t="shared" si="27"/>
        <v>-16627.61</v>
      </c>
      <c r="G204" s="453">
        <f t="shared" si="28"/>
        <v>0</v>
      </c>
      <c r="H204" s="453">
        <v>0</v>
      </c>
      <c r="I204" s="453">
        <v>0</v>
      </c>
      <c r="J204" s="453">
        <v>0</v>
      </c>
      <c r="K204" s="453">
        <v>0</v>
      </c>
      <c r="L204" s="453">
        <v>0</v>
      </c>
      <c r="M204" s="453">
        <v>0</v>
      </c>
      <c r="N204" s="453">
        <v>0</v>
      </c>
      <c r="O204" s="453">
        <v>0</v>
      </c>
      <c r="P204" s="453">
        <v>0</v>
      </c>
      <c r="Q204" s="453">
        <v>0</v>
      </c>
      <c r="R204" s="453">
        <v>0</v>
      </c>
      <c r="S204" s="453">
        <v>-7329.05</v>
      </c>
      <c r="T204" s="453">
        <v>0</v>
      </c>
      <c r="U204" s="453">
        <v>0</v>
      </c>
      <c r="V204" s="453">
        <v>0</v>
      </c>
      <c r="W204" s="453">
        <v>0</v>
      </c>
      <c r="X204" s="453">
        <v>0</v>
      </c>
      <c r="Y204" s="453">
        <v>0</v>
      </c>
      <c r="Z204" s="453">
        <v>0</v>
      </c>
      <c r="AA204" s="453">
        <v>0</v>
      </c>
      <c r="AB204" s="453">
        <v>0</v>
      </c>
      <c r="AC204" s="453">
        <v>0</v>
      </c>
      <c r="AD204" s="453">
        <v>0</v>
      </c>
      <c r="AE204" s="453">
        <v>-16627.61</v>
      </c>
      <c r="AF204" s="453">
        <v>0</v>
      </c>
      <c r="AG204" s="453">
        <v>0</v>
      </c>
      <c r="AH204" s="453">
        <v>0</v>
      </c>
      <c r="AI204" s="453">
        <v>0</v>
      </c>
      <c r="AJ204" s="453">
        <v>0</v>
      </c>
      <c r="AK204" s="453">
        <v>0</v>
      </c>
      <c r="AL204" s="453">
        <v>0</v>
      </c>
      <c r="AM204" s="453">
        <v>0</v>
      </c>
      <c r="AN204" s="453">
        <v>0</v>
      </c>
    </row>
    <row r="205" spans="1:40" outlineLevel="1" collapsed="1" x14ac:dyDescent="0.25">
      <c r="A205" s="452">
        <v>4632</v>
      </c>
      <c r="B205" t="s">
        <v>1573</v>
      </c>
      <c r="C205" t="s">
        <v>1574</v>
      </c>
      <c r="D205" t="s">
        <v>1566</v>
      </c>
      <c r="E205" s="453">
        <f t="shared" si="26"/>
        <v>-2727.37</v>
      </c>
      <c r="F205" s="453">
        <f t="shared" si="27"/>
        <v>-6250.84</v>
      </c>
      <c r="G205" s="453">
        <f t="shared" si="28"/>
        <v>0</v>
      </c>
      <c r="H205" s="453">
        <v>0</v>
      </c>
      <c r="I205" s="453">
        <v>0</v>
      </c>
      <c r="J205" s="453">
        <v>0</v>
      </c>
      <c r="K205" s="453">
        <v>0</v>
      </c>
      <c r="L205" s="453">
        <v>0</v>
      </c>
      <c r="M205" s="453">
        <v>0</v>
      </c>
      <c r="N205" s="453">
        <v>0</v>
      </c>
      <c r="O205" s="453">
        <v>0</v>
      </c>
      <c r="P205" s="453">
        <v>0</v>
      </c>
      <c r="Q205" s="453">
        <v>0</v>
      </c>
      <c r="R205" s="453">
        <v>0</v>
      </c>
      <c r="S205" s="453">
        <v>-2727.37</v>
      </c>
      <c r="T205" s="453">
        <v>0</v>
      </c>
      <c r="U205" s="453">
        <v>0</v>
      </c>
      <c r="V205" s="453">
        <v>0</v>
      </c>
      <c r="W205" s="453">
        <v>0</v>
      </c>
      <c r="X205" s="453">
        <v>0</v>
      </c>
      <c r="Y205" s="453">
        <v>0</v>
      </c>
      <c r="Z205" s="453">
        <v>0</v>
      </c>
      <c r="AA205" s="453">
        <v>0</v>
      </c>
      <c r="AB205" s="453">
        <v>0</v>
      </c>
      <c r="AC205" s="453">
        <v>0</v>
      </c>
      <c r="AD205" s="453">
        <v>0</v>
      </c>
      <c r="AE205" s="453">
        <v>-6250.84</v>
      </c>
      <c r="AF205" s="453">
        <v>0</v>
      </c>
      <c r="AG205" s="453">
        <v>0</v>
      </c>
      <c r="AH205" s="453">
        <v>0</v>
      </c>
      <c r="AI205" s="453">
        <v>0</v>
      </c>
      <c r="AJ205" s="453">
        <v>0</v>
      </c>
      <c r="AK205" s="453">
        <v>0</v>
      </c>
      <c r="AL205" s="453">
        <v>0</v>
      </c>
      <c r="AM205" s="453">
        <v>0</v>
      </c>
      <c r="AN205" s="453">
        <v>0</v>
      </c>
    </row>
    <row r="206" spans="1:40" outlineLevel="1" collapsed="1" x14ac:dyDescent="0.25">
      <c r="A206" s="452">
        <v>4640</v>
      </c>
      <c r="B206" t="s">
        <v>1575</v>
      </c>
      <c r="C206" t="s">
        <v>1576</v>
      </c>
      <c r="D206" t="s">
        <v>1566</v>
      </c>
      <c r="E206" s="453">
        <f t="shared" si="26"/>
        <v>-7368.3899999999994</v>
      </c>
      <c r="F206" s="453">
        <f t="shared" si="27"/>
        <v>-13928.72</v>
      </c>
      <c r="G206" s="453">
        <f t="shared" si="28"/>
        <v>-16274.850000000002</v>
      </c>
      <c r="H206" s="453">
        <v>-819.26</v>
      </c>
      <c r="I206" s="453">
        <v>-422.83999999999992</v>
      </c>
      <c r="J206" s="453">
        <v>-671.51</v>
      </c>
      <c r="K206" s="453">
        <v>-409.33000000000015</v>
      </c>
      <c r="L206" s="453">
        <v>-300.7199999999998</v>
      </c>
      <c r="M206" s="453">
        <v>-890.72000000000025</v>
      </c>
      <c r="N206" s="453">
        <v>-349.44000000000005</v>
      </c>
      <c r="O206" s="453">
        <v>-30338.33</v>
      </c>
      <c r="P206" s="453">
        <v>-4158.4799999999959</v>
      </c>
      <c r="Q206" s="453">
        <v>-1069.6900000000023</v>
      </c>
      <c r="R206" s="453">
        <v>-2035.5</v>
      </c>
      <c r="S206" s="453">
        <v>34097.43</v>
      </c>
      <c r="T206" s="453">
        <v>-1137.47</v>
      </c>
      <c r="U206" s="453">
        <v>-1919.2299999999998</v>
      </c>
      <c r="V206" s="453">
        <v>-1807.62</v>
      </c>
      <c r="W206" s="453">
        <v>-1629.3000000000002</v>
      </c>
      <c r="X206" s="453">
        <v>-1193.6500000000005</v>
      </c>
      <c r="Y206" s="453">
        <v>-1363.08</v>
      </c>
      <c r="Z206" s="453">
        <v>-1548.4799999999996</v>
      </c>
      <c r="AA206" s="453">
        <v>-1266.0400000000009</v>
      </c>
      <c r="AB206" s="453">
        <v>-2346.0499999999993</v>
      </c>
      <c r="AC206" s="453">
        <v>-4782.2300000000014</v>
      </c>
      <c r="AD206" s="453">
        <v>-4941.3499999999985</v>
      </c>
      <c r="AE206" s="453">
        <v>10005.780000000001</v>
      </c>
      <c r="AF206" s="453">
        <v>-359.09</v>
      </c>
      <c r="AG206" s="453">
        <v>-2480.29</v>
      </c>
      <c r="AH206" s="453">
        <v>-1811.6099999999997</v>
      </c>
      <c r="AI206" s="453">
        <v>-1634.4400000000005</v>
      </c>
      <c r="AJ206" s="453">
        <v>-3717.9599999999991</v>
      </c>
      <c r="AK206" s="453">
        <v>-1261.4400000000005</v>
      </c>
      <c r="AL206" s="453">
        <v>-1807.83</v>
      </c>
      <c r="AM206" s="453">
        <v>-1521.6599999999999</v>
      </c>
      <c r="AN206" s="453">
        <v>-1680.5300000000007</v>
      </c>
    </row>
    <row r="207" spans="1:40" outlineLevel="1" collapsed="1" x14ac:dyDescent="0.25">
      <c r="A207" s="452">
        <v>4641</v>
      </c>
      <c r="B207" t="s">
        <v>1577</v>
      </c>
      <c r="C207" t="s">
        <v>1578</v>
      </c>
      <c r="D207" t="s">
        <v>1566</v>
      </c>
      <c r="E207" s="453">
        <f t="shared" si="26"/>
        <v>-32306.75</v>
      </c>
      <c r="F207" s="453">
        <f t="shared" si="27"/>
        <v>0</v>
      </c>
      <c r="G207" s="453">
        <f t="shared" si="28"/>
        <v>0</v>
      </c>
      <c r="H207" s="453">
        <v>0</v>
      </c>
      <c r="I207" s="453">
        <v>0</v>
      </c>
      <c r="J207" s="453">
        <v>0</v>
      </c>
      <c r="K207" s="453">
        <v>0</v>
      </c>
      <c r="L207" s="453">
        <v>0</v>
      </c>
      <c r="M207" s="453">
        <v>0</v>
      </c>
      <c r="N207" s="453">
        <v>0</v>
      </c>
      <c r="O207" s="453">
        <v>0</v>
      </c>
      <c r="P207" s="453">
        <v>0</v>
      </c>
      <c r="Q207" s="453">
        <v>0</v>
      </c>
      <c r="R207" s="453">
        <v>0</v>
      </c>
      <c r="S207" s="453">
        <v>-32306.75</v>
      </c>
      <c r="T207" s="453">
        <v>0</v>
      </c>
      <c r="U207" s="453">
        <v>0</v>
      </c>
      <c r="V207" s="453">
        <v>0</v>
      </c>
      <c r="W207" s="453">
        <v>0</v>
      </c>
      <c r="X207" s="453">
        <v>0</v>
      </c>
      <c r="Y207" s="453">
        <v>0</v>
      </c>
      <c r="Z207" s="453">
        <v>0</v>
      </c>
      <c r="AA207" s="453">
        <v>0</v>
      </c>
      <c r="AB207" s="453">
        <v>0</v>
      </c>
      <c r="AC207" s="453">
        <v>0</v>
      </c>
      <c r="AD207" s="453">
        <v>0</v>
      </c>
      <c r="AE207" s="453">
        <v>0</v>
      </c>
      <c r="AF207" s="453">
        <v>0</v>
      </c>
      <c r="AG207" s="453">
        <v>0</v>
      </c>
      <c r="AH207" s="453">
        <v>0</v>
      </c>
      <c r="AI207" s="453">
        <v>0</v>
      </c>
      <c r="AJ207" s="453">
        <v>0</v>
      </c>
      <c r="AK207" s="453">
        <v>0</v>
      </c>
      <c r="AL207" s="453">
        <v>0</v>
      </c>
      <c r="AM207" s="453">
        <v>0</v>
      </c>
      <c r="AN207" s="453">
        <v>0</v>
      </c>
    </row>
    <row r="208" spans="1:40" outlineLevel="1" collapsed="1" x14ac:dyDescent="0.25">
      <c r="A208" s="452">
        <v>4650</v>
      </c>
      <c r="B208" t="s">
        <v>1579</v>
      </c>
      <c r="C208" t="s">
        <v>1580</v>
      </c>
      <c r="D208" t="s">
        <v>1566</v>
      </c>
      <c r="E208" s="453">
        <f t="shared" si="26"/>
        <v>-2743.1999999999994</v>
      </c>
      <c r="F208" s="453">
        <f t="shared" si="27"/>
        <v>-2737.3500000000004</v>
      </c>
      <c r="G208" s="453">
        <f t="shared" si="28"/>
        <v>-1563.42</v>
      </c>
      <c r="H208" s="453">
        <v>-33.35</v>
      </c>
      <c r="I208" s="453">
        <v>-131.46</v>
      </c>
      <c r="J208" s="453">
        <v>-377.41</v>
      </c>
      <c r="K208" s="453">
        <v>-320.57999999999993</v>
      </c>
      <c r="L208" s="453">
        <v>-162.54999999999995</v>
      </c>
      <c r="M208" s="453">
        <v>-174.54000000000019</v>
      </c>
      <c r="N208" s="453">
        <v>-243.72999999999979</v>
      </c>
      <c r="O208" s="453">
        <v>-126.61000000000013</v>
      </c>
      <c r="P208" s="453">
        <v>-142.41000000000008</v>
      </c>
      <c r="Q208" s="453">
        <v>-223.39999999999986</v>
      </c>
      <c r="R208" s="453">
        <v>-508.61999999999989</v>
      </c>
      <c r="S208" s="453">
        <v>-298.53999999999996</v>
      </c>
      <c r="T208" s="453">
        <v>-14.69</v>
      </c>
      <c r="U208" s="453">
        <v>0</v>
      </c>
      <c r="V208" s="453">
        <v>-208.88</v>
      </c>
      <c r="W208" s="453">
        <v>-342.3</v>
      </c>
      <c r="X208" s="453">
        <v>-242.05999999999995</v>
      </c>
      <c r="Y208" s="453">
        <v>-143.60000000000002</v>
      </c>
      <c r="Z208" s="453">
        <v>-184.13000000000011</v>
      </c>
      <c r="AA208" s="453">
        <v>-146.47000000000003</v>
      </c>
      <c r="AB208" s="453">
        <v>-104.13999999999987</v>
      </c>
      <c r="AC208" s="453">
        <v>-707.82000000000016</v>
      </c>
      <c r="AD208" s="453">
        <v>-88.839999999999691</v>
      </c>
      <c r="AE208" s="453">
        <v>-554.42000000000007</v>
      </c>
      <c r="AF208" s="453">
        <v>-52.35</v>
      </c>
      <c r="AG208" s="453">
        <v>-177.95000000000002</v>
      </c>
      <c r="AH208" s="453">
        <v>-218.18</v>
      </c>
      <c r="AI208" s="453">
        <v>-343.75</v>
      </c>
      <c r="AJ208" s="453">
        <v>-233.8599999999999</v>
      </c>
      <c r="AK208" s="453">
        <v>-203.31000000000017</v>
      </c>
      <c r="AL208" s="453">
        <v>-206.08999999999992</v>
      </c>
      <c r="AM208" s="453">
        <v>-68.349999999999909</v>
      </c>
      <c r="AN208" s="453">
        <v>-59.580000000000155</v>
      </c>
    </row>
    <row r="209" spans="1:40" outlineLevel="1" collapsed="1" x14ac:dyDescent="0.25">
      <c r="A209" s="452">
        <v>4654</v>
      </c>
      <c r="B209" t="s">
        <v>1581</v>
      </c>
      <c r="C209" t="s">
        <v>1582</v>
      </c>
      <c r="D209" t="s">
        <v>1566</v>
      </c>
      <c r="E209" s="453">
        <f t="shared" si="26"/>
        <v>-1175.7199999999998</v>
      </c>
      <c r="F209" s="453">
        <f t="shared" si="27"/>
        <v>-1173.1600000000001</v>
      </c>
      <c r="G209" s="453">
        <f t="shared" si="28"/>
        <v>-670.05</v>
      </c>
      <c r="H209" s="453">
        <v>-14.29</v>
      </c>
      <c r="I209" s="453">
        <v>-56.35</v>
      </c>
      <c r="J209" s="453">
        <v>-161.76</v>
      </c>
      <c r="K209" s="453">
        <v>-137.37999999999997</v>
      </c>
      <c r="L209" s="453">
        <v>-69.670000000000016</v>
      </c>
      <c r="M209" s="453">
        <v>-74.800000000000011</v>
      </c>
      <c r="N209" s="453">
        <v>-104.47000000000003</v>
      </c>
      <c r="O209" s="453">
        <v>-54.259999999999991</v>
      </c>
      <c r="P209" s="453">
        <v>-61.049999999999955</v>
      </c>
      <c r="Q209" s="453">
        <v>-95.75</v>
      </c>
      <c r="R209" s="453">
        <v>-217.99</v>
      </c>
      <c r="S209" s="453">
        <v>-127.95000000000005</v>
      </c>
      <c r="T209" s="453">
        <v>-6.29</v>
      </c>
      <c r="U209" s="453">
        <v>0</v>
      </c>
      <c r="V209" s="453">
        <v>-47.04</v>
      </c>
      <c r="W209" s="453">
        <v>-189.19</v>
      </c>
      <c r="X209" s="453">
        <v>-103.72999999999999</v>
      </c>
      <c r="Y209" s="453">
        <v>-61.54000000000002</v>
      </c>
      <c r="Z209" s="453">
        <v>-78.919999999999959</v>
      </c>
      <c r="AA209" s="453">
        <v>-62.770000000000039</v>
      </c>
      <c r="AB209" s="453">
        <v>-44.639999999999986</v>
      </c>
      <c r="AC209" s="453">
        <v>-303.35000000000002</v>
      </c>
      <c r="AD209" s="453">
        <v>-38.069999999999936</v>
      </c>
      <c r="AE209" s="453">
        <v>-237.62000000000012</v>
      </c>
      <c r="AF209" s="453">
        <v>-22.44</v>
      </c>
      <c r="AG209" s="453">
        <v>-76.260000000000005</v>
      </c>
      <c r="AH209" s="453">
        <v>-93.499999999999986</v>
      </c>
      <c r="AI209" s="453">
        <v>-147.32999999999998</v>
      </c>
      <c r="AJ209" s="453">
        <v>-100.23000000000002</v>
      </c>
      <c r="AK209" s="453">
        <v>-87.13</v>
      </c>
      <c r="AL209" s="453">
        <v>-88.32000000000005</v>
      </c>
      <c r="AM209" s="453">
        <v>-29.299999999999955</v>
      </c>
      <c r="AN209" s="453">
        <v>-25.539999999999964</v>
      </c>
    </row>
    <row r="210" spans="1:40" outlineLevel="1" collapsed="1" x14ac:dyDescent="0.25">
      <c r="A210" s="452">
        <v>4663</v>
      </c>
      <c r="B210" t="s">
        <v>1583</v>
      </c>
      <c r="C210" t="s">
        <v>1584</v>
      </c>
      <c r="D210" t="s">
        <v>1566</v>
      </c>
      <c r="E210" s="453">
        <f t="shared" si="26"/>
        <v>-8772.5300000000007</v>
      </c>
      <c r="F210" s="453">
        <f t="shared" si="27"/>
        <v>-7620.7399999999989</v>
      </c>
      <c r="G210" s="453">
        <f t="shared" si="28"/>
        <v>-5050.82</v>
      </c>
      <c r="H210" s="453">
        <v>-225.23</v>
      </c>
      <c r="I210" s="453">
        <v>-1752.2</v>
      </c>
      <c r="J210" s="453">
        <v>-80.979999999999791</v>
      </c>
      <c r="K210" s="453">
        <v>-324.35000000000036</v>
      </c>
      <c r="L210" s="453">
        <v>-2300.58</v>
      </c>
      <c r="M210" s="453">
        <v>-304.85999999999967</v>
      </c>
      <c r="N210" s="453">
        <v>-320.07000000000062</v>
      </c>
      <c r="O210" s="453">
        <v>-898.75</v>
      </c>
      <c r="P210" s="453">
        <v>-92.799999999999272</v>
      </c>
      <c r="Q210" s="453">
        <v>-880.86000000000058</v>
      </c>
      <c r="R210" s="453">
        <v>-239.72999999999956</v>
      </c>
      <c r="S210" s="453">
        <v>-1352.1200000000008</v>
      </c>
      <c r="T210" s="453">
        <v>-848.96</v>
      </c>
      <c r="U210" s="453">
        <v>127.06000000000006</v>
      </c>
      <c r="V210" s="453">
        <v>-446.13</v>
      </c>
      <c r="W210" s="453">
        <v>-799.78</v>
      </c>
      <c r="X210" s="453">
        <v>-150.07999999999993</v>
      </c>
      <c r="Y210" s="453">
        <v>-1112.46</v>
      </c>
      <c r="Z210" s="453">
        <v>-407.71000000000004</v>
      </c>
      <c r="AA210" s="453">
        <v>-883.7199999999998</v>
      </c>
      <c r="AB210" s="453">
        <v>-959.55000000000018</v>
      </c>
      <c r="AC210" s="453">
        <v>-487.72000000000025</v>
      </c>
      <c r="AD210" s="453">
        <v>-948.65999999999985</v>
      </c>
      <c r="AE210" s="453">
        <v>-703.02999999999975</v>
      </c>
      <c r="AF210" s="453">
        <v>0</v>
      </c>
      <c r="AG210" s="453">
        <v>-1670.31</v>
      </c>
      <c r="AH210" s="453">
        <v>-213.35000000000014</v>
      </c>
      <c r="AI210" s="453">
        <v>-817.26999999999975</v>
      </c>
      <c r="AJ210" s="453">
        <v>-385.98</v>
      </c>
      <c r="AK210" s="453">
        <v>-146.26000000000022</v>
      </c>
      <c r="AL210" s="453">
        <v>-164.40000000000009</v>
      </c>
      <c r="AM210" s="453">
        <v>-1282.3499999999999</v>
      </c>
      <c r="AN210" s="453">
        <v>-370.89999999999964</v>
      </c>
    </row>
    <row r="211" spans="1:40" outlineLevel="1" collapsed="1" x14ac:dyDescent="0.25">
      <c r="A211" s="452">
        <v>4664</v>
      </c>
      <c r="B211" t="s">
        <v>1585</v>
      </c>
      <c r="C211" t="s">
        <v>1586</v>
      </c>
      <c r="D211" t="s">
        <v>1566</v>
      </c>
      <c r="E211" s="453">
        <f t="shared" si="26"/>
        <v>-7788.5999999999985</v>
      </c>
      <c r="F211" s="453">
        <f t="shared" si="27"/>
        <v>-13134.6</v>
      </c>
      <c r="G211" s="453">
        <f t="shared" si="28"/>
        <v>-4012</v>
      </c>
      <c r="H211" s="453">
        <v>-296.8</v>
      </c>
      <c r="I211" s="453">
        <v>-95.199999999999989</v>
      </c>
      <c r="J211" s="453">
        <v>-500.4</v>
      </c>
      <c r="K211" s="453">
        <v>-512.00000000000011</v>
      </c>
      <c r="L211" s="453">
        <v>508.60000000000014</v>
      </c>
      <c r="M211" s="453">
        <v>-582.40000000000009</v>
      </c>
      <c r="N211" s="453">
        <v>-939.60000000000014</v>
      </c>
      <c r="O211" s="453">
        <v>-1212.7999999999997</v>
      </c>
      <c r="P211" s="453">
        <v>-291.20000000000027</v>
      </c>
      <c r="Q211" s="453">
        <v>-965.19999999999982</v>
      </c>
      <c r="R211" s="453">
        <v>-1002.3999999999996</v>
      </c>
      <c r="S211" s="453">
        <v>-1899.2000000000007</v>
      </c>
      <c r="T211" s="453">
        <v>0</v>
      </c>
      <c r="U211" s="453">
        <v>-627.20000000000005</v>
      </c>
      <c r="V211" s="453">
        <v>-768.8</v>
      </c>
      <c r="W211" s="453">
        <v>-2069.58</v>
      </c>
      <c r="X211" s="453">
        <v>-1867.1999999999998</v>
      </c>
      <c r="Y211" s="453">
        <v>511.57999999999993</v>
      </c>
      <c r="Z211" s="453">
        <v>-788</v>
      </c>
      <c r="AA211" s="453">
        <v>-567</v>
      </c>
      <c r="AB211" s="453">
        <v>-1503.4000000000005</v>
      </c>
      <c r="AC211" s="453">
        <v>-640.39999999999964</v>
      </c>
      <c r="AD211" s="453">
        <v>-900.20000000000073</v>
      </c>
      <c r="AE211" s="453">
        <v>-3914.3999999999996</v>
      </c>
      <c r="AF211" s="453">
        <v>0</v>
      </c>
      <c r="AG211" s="453">
        <v>-314.39999999999998</v>
      </c>
      <c r="AH211" s="453">
        <v>-131.60000000000002</v>
      </c>
      <c r="AI211" s="453">
        <v>-509.6</v>
      </c>
      <c r="AJ211" s="453">
        <v>-120.39999999999998</v>
      </c>
      <c r="AK211" s="453">
        <v>-1320</v>
      </c>
      <c r="AL211" s="453">
        <v>-432.80000000000018</v>
      </c>
      <c r="AM211" s="453">
        <v>-858.39999999999964</v>
      </c>
      <c r="AN211" s="453">
        <v>-324.80000000000018</v>
      </c>
    </row>
    <row r="212" spans="1:40" outlineLevel="1" collapsed="1" x14ac:dyDescent="0.25">
      <c r="A212" s="452">
        <v>4666</v>
      </c>
      <c r="B212" t="s">
        <v>1587</v>
      </c>
      <c r="C212" t="s">
        <v>1588</v>
      </c>
      <c r="D212" t="s">
        <v>1566</v>
      </c>
      <c r="E212" s="453">
        <f t="shared" si="26"/>
        <v>-38756.17</v>
      </c>
      <c r="F212" s="453">
        <f t="shared" si="27"/>
        <v>-27341.48</v>
      </c>
      <c r="G212" s="453">
        <f t="shared" si="28"/>
        <v>-13294.1</v>
      </c>
      <c r="H212" s="453">
        <v>-765.42</v>
      </c>
      <c r="I212" s="453">
        <v>-445.67999999999995</v>
      </c>
      <c r="J212" s="453">
        <v>-3177.4</v>
      </c>
      <c r="K212" s="453">
        <v>-809.5</v>
      </c>
      <c r="L212" s="453">
        <v>-714.4399999999996</v>
      </c>
      <c r="M212" s="453">
        <v>-2899.95</v>
      </c>
      <c r="N212" s="453">
        <v>-869.40000000000146</v>
      </c>
      <c r="O212" s="453">
        <v>-3434.6099999999988</v>
      </c>
      <c r="P212" s="453">
        <v>-2599.7600000000002</v>
      </c>
      <c r="Q212" s="453">
        <v>-1466.7200000000012</v>
      </c>
      <c r="R212" s="453">
        <v>-3827.8600000000006</v>
      </c>
      <c r="S212" s="453">
        <v>-17745.429999999997</v>
      </c>
      <c r="T212" s="453">
        <v>0</v>
      </c>
      <c r="U212" s="453">
        <v>-1981.97</v>
      </c>
      <c r="V212" s="453">
        <v>-2676.75</v>
      </c>
      <c r="W212" s="453">
        <v>-3726.9199999999992</v>
      </c>
      <c r="X212" s="453">
        <v>-3809</v>
      </c>
      <c r="Y212" s="453">
        <v>-2630.2200000000012</v>
      </c>
      <c r="Z212" s="453">
        <v>-2533.9199999999983</v>
      </c>
      <c r="AA212" s="453">
        <v>-3085.5400000000009</v>
      </c>
      <c r="AB212" s="453">
        <v>-1469.2999999999993</v>
      </c>
      <c r="AC212" s="453">
        <v>-7612.07</v>
      </c>
      <c r="AD212" s="453">
        <v>-5621.5499999999993</v>
      </c>
      <c r="AE212" s="453">
        <v>7805.7599999999984</v>
      </c>
      <c r="AF212" s="453">
        <v>0</v>
      </c>
      <c r="AG212" s="453">
        <v>-1063.69</v>
      </c>
      <c r="AH212" s="453">
        <v>-1047.2999999999997</v>
      </c>
      <c r="AI212" s="453">
        <v>-2648.6000000000004</v>
      </c>
      <c r="AJ212" s="453">
        <v>-1081.2600000000002</v>
      </c>
      <c r="AK212" s="453">
        <v>-1910.54</v>
      </c>
      <c r="AL212" s="453">
        <v>-2593.5500000000002</v>
      </c>
      <c r="AM212" s="453">
        <v>-1006.5100000000002</v>
      </c>
      <c r="AN212" s="453">
        <v>-1942.6499999999996</v>
      </c>
    </row>
    <row r="213" spans="1:40" outlineLevel="1" collapsed="1" x14ac:dyDescent="0.25">
      <c r="A213" s="452">
        <v>4668</v>
      </c>
      <c r="B213" t="s">
        <v>1589</v>
      </c>
      <c r="C213" t="s">
        <v>1590</v>
      </c>
      <c r="D213" t="s">
        <v>1566</v>
      </c>
      <c r="E213" s="453">
        <f t="shared" si="26"/>
        <v>-2740.2</v>
      </c>
      <c r="F213" s="453">
        <f t="shared" si="27"/>
        <v>-609.62</v>
      </c>
      <c r="G213" s="453">
        <f t="shared" si="28"/>
        <v>-406.80000000000007</v>
      </c>
      <c r="H213" s="453">
        <v>-38.1</v>
      </c>
      <c r="I213" s="453">
        <v>-18.899999999999999</v>
      </c>
      <c r="J213" s="453">
        <v>-496.79999999999995</v>
      </c>
      <c r="K213" s="453">
        <v>-560.40000000000009</v>
      </c>
      <c r="L213" s="453">
        <v>-1034.1000000000001</v>
      </c>
      <c r="M213" s="453">
        <v>0</v>
      </c>
      <c r="N213" s="453">
        <v>0</v>
      </c>
      <c r="O213" s="453">
        <v>-3.8999999999996362</v>
      </c>
      <c r="P213" s="453">
        <v>-66</v>
      </c>
      <c r="Q213" s="453">
        <v>-71.100000000000364</v>
      </c>
      <c r="R213" s="453">
        <v>-413.69999999999982</v>
      </c>
      <c r="S213" s="453">
        <v>-37.199999999999818</v>
      </c>
      <c r="T213" s="453">
        <v>-15.3</v>
      </c>
      <c r="U213" s="453">
        <v>-29.099999999999998</v>
      </c>
      <c r="V213" s="453">
        <v>-9</v>
      </c>
      <c r="W213" s="453">
        <v>-92.4</v>
      </c>
      <c r="X213" s="453">
        <v>-19.5</v>
      </c>
      <c r="Y213" s="453">
        <v>-52.5</v>
      </c>
      <c r="Z213" s="453">
        <v>-45.300000000000011</v>
      </c>
      <c r="AA213" s="453">
        <v>0</v>
      </c>
      <c r="AB213" s="453">
        <v>-71.12</v>
      </c>
      <c r="AC213" s="453">
        <v>-7.5</v>
      </c>
      <c r="AD213" s="453">
        <v>-247.79999999999995</v>
      </c>
      <c r="AE213" s="453">
        <v>-20.100000000000023</v>
      </c>
      <c r="AF213" s="453">
        <v>0</v>
      </c>
      <c r="AG213" s="453">
        <v>-3</v>
      </c>
      <c r="AH213" s="453">
        <v>-6</v>
      </c>
      <c r="AI213" s="453">
        <v>0</v>
      </c>
      <c r="AJ213" s="453">
        <v>-93.6</v>
      </c>
      <c r="AK213" s="453">
        <v>-181.79999999999998</v>
      </c>
      <c r="AL213" s="453">
        <v>-16.800000000000011</v>
      </c>
      <c r="AM213" s="453">
        <v>-105.60000000000002</v>
      </c>
      <c r="AN213" s="453">
        <v>0</v>
      </c>
    </row>
    <row r="214" spans="1:40" outlineLevel="1" collapsed="1" x14ac:dyDescent="0.25">
      <c r="A214" s="452">
        <v>4730</v>
      </c>
      <c r="B214" t="s">
        <v>1591</v>
      </c>
      <c r="C214" t="s">
        <v>1592</v>
      </c>
      <c r="D214" t="s">
        <v>1593</v>
      </c>
      <c r="E214" s="453">
        <f t="shared" si="26"/>
        <v>-285329.80999999994</v>
      </c>
      <c r="F214" s="453">
        <f t="shared" si="27"/>
        <v>-294960.43</v>
      </c>
      <c r="G214" s="453">
        <f t="shared" si="28"/>
        <v>-271424.34000000003</v>
      </c>
      <c r="H214" s="453">
        <v>-21851.48</v>
      </c>
      <c r="I214" s="453">
        <v>-22646.16</v>
      </c>
      <c r="J214" s="453">
        <v>-22332.119999999995</v>
      </c>
      <c r="K214" s="453">
        <v>-29122.350000000006</v>
      </c>
      <c r="L214" s="453">
        <v>-14875.779999999999</v>
      </c>
      <c r="M214" s="453">
        <v>-26055.949999999997</v>
      </c>
      <c r="N214" s="453">
        <v>-22966.98000000001</v>
      </c>
      <c r="O214" s="453">
        <v>-27645.929999999993</v>
      </c>
      <c r="P214" s="453">
        <v>-23126.890000000014</v>
      </c>
      <c r="Q214" s="453">
        <v>-24409.26999999999</v>
      </c>
      <c r="R214" s="453">
        <v>-22967.880000000005</v>
      </c>
      <c r="S214" s="453">
        <v>-27329.01999999999</v>
      </c>
      <c r="T214" s="453">
        <v>-21166.26</v>
      </c>
      <c r="U214" s="453">
        <v>-25223.16</v>
      </c>
      <c r="V214" s="453">
        <v>-27558.800000000003</v>
      </c>
      <c r="W214" s="453">
        <v>-24663.539999999994</v>
      </c>
      <c r="X214" s="453">
        <v>-25548.790000000008</v>
      </c>
      <c r="Y214" s="453">
        <v>-25395.37000000001</v>
      </c>
      <c r="Z214" s="453">
        <v>-22785.729999999981</v>
      </c>
      <c r="AA214" s="453">
        <v>-23347.089999999997</v>
      </c>
      <c r="AB214" s="453">
        <v>-26197.110000000015</v>
      </c>
      <c r="AC214" s="453">
        <v>-29000.540000000008</v>
      </c>
      <c r="AD214" s="453">
        <v>-25268.010000000009</v>
      </c>
      <c r="AE214" s="453">
        <v>-18806.02999999997</v>
      </c>
      <c r="AF214" s="453">
        <v>-28315.83</v>
      </c>
      <c r="AG214" s="453">
        <v>-33930.54</v>
      </c>
      <c r="AH214" s="453">
        <v>-36187.749999999993</v>
      </c>
      <c r="AI214" s="453">
        <v>-30887.78</v>
      </c>
      <c r="AJ214" s="453">
        <v>-35153.440000000002</v>
      </c>
      <c r="AK214" s="453">
        <v>-27580.53</v>
      </c>
      <c r="AL214" s="453">
        <v>-25763.25</v>
      </c>
      <c r="AM214" s="453">
        <v>-28222.679999999993</v>
      </c>
      <c r="AN214" s="453">
        <v>-25382.540000000037</v>
      </c>
    </row>
    <row r="215" spans="1:40" outlineLevel="1" collapsed="1" x14ac:dyDescent="0.25">
      <c r="A215" s="452">
        <v>4780</v>
      </c>
      <c r="B215" t="s">
        <v>1594</v>
      </c>
      <c r="C215" t="s">
        <v>1595</v>
      </c>
      <c r="D215" t="s">
        <v>1596</v>
      </c>
      <c r="E215" s="453">
        <f t="shared" si="26"/>
        <v>0</v>
      </c>
      <c r="F215" s="453">
        <f t="shared" si="27"/>
        <v>0</v>
      </c>
      <c r="G215" s="453">
        <f t="shared" si="28"/>
        <v>0</v>
      </c>
      <c r="H215" s="453">
        <v>-3200</v>
      </c>
      <c r="I215" s="453">
        <v>-3200</v>
      </c>
      <c r="J215" s="453">
        <v>-3200</v>
      </c>
      <c r="K215" s="453">
        <v>-3200</v>
      </c>
      <c r="L215" s="453">
        <v>-3200</v>
      </c>
      <c r="M215" s="453">
        <v>-3200</v>
      </c>
      <c r="N215" s="453">
        <v>-3200</v>
      </c>
      <c r="O215" s="453">
        <v>-3200</v>
      </c>
      <c r="P215" s="453">
        <v>-3200</v>
      </c>
      <c r="Q215" s="453">
        <v>-67820</v>
      </c>
      <c r="R215" s="453">
        <v>-3200</v>
      </c>
      <c r="S215" s="453">
        <v>99820</v>
      </c>
      <c r="T215" s="453">
        <v>0</v>
      </c>
      <c r="U215" s="453">
        <v>0</v>
      </c>
      <c r="V215" s="453">
        <v>0</v>
      </c>
      <c r="W215" s="453">
        <v>0</v>
      </c>
      <c r="X215" s="453">
        <v>0</v>
      </c>
      <c r="Y215" s="453">
        <v>0</v>
      </c>
      <c r="Z215" s="453">
        <v>0</v>
      </c>
      <c r="AA215" s="453">
        <v>0</v>
      </c>
      <c r="AB215" s="453">
        <v>0</v>
      </c>
      <c r="AC215" s="453">
        <v>0</v>
      </c>
      <c r="AD215" s="453">
        <v>0</v>
      </c>
      <c r="AE215" s="453">
        <v>0</v>
      </c>
      <c r="AF215" s="453">
        <v>0</v>
      </c>
      <c r="AG215" s="453">
        <v>0</v>
      </c>
      <c r="AH215" s="453">
        <v>0</v>
      </c>
      <c r="AI215" s="453">
        <v>0</v>
      </c>
      <c r="AJ215" s="453">
        <v>0</v>
      </c>
      <c r="AK215" s="453">
        <v>0</v>
      </c>
      <c r="AL215" s="453">
        <v>0</v>
      </c>
      <c r="AM215" s="453">
        <v>0</v>
      </c>
      <c r="AN215" s="453">
        <v>0</v>
      </c>
    </row>
    <row r="216" spans="1:40" outlineLevel="1" collapsed="1" x14ac:dyDescent="0.25">
      <c r="A216" s="452">
        <v>4790</v>
      </c>
      <c r="B216" t="s">
        <v>1597</v>
      </c>
      <c r="C216" t="s">
        <v>1598</v>
      </c>
      <c r="D216" t="s">
        <v>1593</v>
      </c>
      <c r="E216" s="453">
        <f t="shared" si="26"/>
        <v>-98</v>
      </c>
      <c r="F216" s="453">
        <f t="shared" si="27"/>
        <v>-6423</v>
      </c>
      <c r="G216" s="453">
        <f t="shared" si="28"/>
        <v>0</v>
      </c>
      <c r="H216" s="453">
        <v>0</v>
      </c>
      <c r="I216" s="453">
        <v>0</v>
      </c>
      <c r="J216" s="453">
        <v>0</v>
      </c>
      <c r="K216" s="453">
        <v>0</v>
      </c>
      <c r="L216" s="453">
        <v>0</v>
      </c>
      <c r="M216" s="453">
        <v>0</v>
      </c>
      <c r="N216" s="453">
        <v>0</v>
      </c>
      <c r="O216" s="453">
        <v>0</v>
      </c>
      <c r="P216" s="453">
        <v>0</v>
      </c>
      <c r="Q216" s="453">
        <v>0</v>
      </c>
      <c r="R216" s="453">
        <v>0</v>
      </c>
      <c r="S216" s="453">
        <v>-98</v>
      </c>
      <c r="T216" s="453">
        <v>0</v>
      </c>
      <c r="U216" s="453">
        <v>0</v>
      </c>
      <c r="V216" s="453">
        <v>0</v>
      </c>
      <c r="W216" s="453">
        <v>0</v>
      </c>
      <c r="X216" s="453">
        <v>0</v>
      </c>
      <c r="Y216" s="453">
        <v>0</v>
      </c>
      <c r="Z216" s="453">
        <v>0</v>
      </c>
      <c r="AA216" s="453">
        <v>0</v>
      </c>
      <c r="AB216" s="453">
        <v>0</v>
      </c>
      <c r="AC216" s="453">
        <v>0</v>
      </c>
      <c r="AD216" s="453">
        <v>0</v>
      </c>
      <c r="AE216" s="453">
        <v>-6423</v>
      </c>
      <c r="AF216" s="453">
        <v>0</v>
      </c>
      <c r="AG216" s="453">
        <v>0</v>
      </c>
      <c r="AH216" s="453">
        <v>0</v>
      </c>
      <c r="AI216" s="453">
        <v>0</v>
      </c>
      <c r="AJ216" s="453">
        <v>0</v>
      </c>
      <c r="AK216" s="453">
        <v>0</v>
      </c>
      <c r="AL216" s="453">
        <v>0</v>
      </c>
      <c r="AM216" s="453">
        <v>0</v>
      </c>
      <c r="AN216" s="453">
        <v>0</v>
      </c>
    </row>
    <row r="217" spans="1:40" outlineLevel="1" collapsed="1" x14ac:dyDescent="0.25">
      <c r="A217" s="452">
        <v>4800</v>
      </c>
      <c r="B217" t="s">
        <v>1599</v>
      </c>
      <c r="C217" t="s">
        <v>1600</v>
      </c>
      <c r="D217" t="s">
        <v>1601</v>
      </c>
      <c r="E217" s="453">
        <f t="shared" si="26"/>
        <v>-55405.43</v>
      </c>
      <c r="F217" s="453">
        <f t="shared" si="27"/>
        <v>-59746.210000000006</v>
      </c>
      <c r="G217" s="453">
        <f t="shared" si="28"/>
        <v>-39977.49</v>
      </c>
      <c r="H217" s="453">
        <v>-226.4</v>
      </c>
      <c r="I217" s="453">
        <v>-2608.14</v>
      </c>
      <c r="J217" s="453">
        <v>-1687.1999999999998</v>
      </c>
      <c r="K217" s="453">
        <v>-7226.27</v>
      </c>
      <c r="L217" s="453">
        <v>-4890.5599999999995</v>
      </c>
      <c r="M217" s="453">
        <v>-513</v>
      </c>
      <c r="N217" s="453">
        <v>-9961.3499999999985</v>
      </c>
      <c r="O217" s="453">
        <v>-1959.0300000000025</v>
      </c>
      <c r="P217" s="453">
        <v>-4545.5600000000013</v>
      </c>
      <c r="Q217" s="453">
        <v>-437.82999999999447</v>
      </c>
      <c r="R217" s="453">
        <v>-8468.8000000000029</v>
      </c>
      <c r="S217" s="453">
        <v>-12881.29</v>
      </c>
      <c r="T217" s="453">
        <v>-3400.73</v>
      </c>
      <c r="U217" s="453">
        <v>-2070.44</v>
      </c>
      <c r="V217" s="453">
        <v>-1500.0599999999995</v>
      </c>
      <c r="W217" s="453">
        <v>-9760.2099999999991</v>
      </c>
      <c r="X217" s="453">
        <v>-8222.4700000000012</v>
      </c>
      <c r="Y217" s="453">
        <v>-7431.5600000000013</v>
      </c>
      <c r="Z217" s="453">
        <v>-3920.7999999999956</v>
      </c>
      <c r="AA217" s="453">
        <v>-1412.0300000000061</v>
      </c>
      <c r="AB217" s="453">
        <v>-3866.7199999999939</v>
      </c>
      <c r="AC217" s="453">
        <v>-4786.5900000000038</v>
      </c>
      <c r="AD217" s="453">
        <v>-1008.4499999999971</v>
      </c>
      <c r="AE217" s="453">
        <v>-12366.150000000001</v>
      </c>
      <c r="AF217" s="453">
        <v>-4330.05</v>
      </c>
      <c r="AG217" s="453">
        <v>-5758.5899999999992</v>
      </c>
      <c r="AH217" s="453">
        <v>-1141.0100000000002</v>
      </c>
      <c r="AI217" s="453">
        <v>-6764.0199999999986</v>
      </c>
      <c r="AJ217" s="453">
        <v>-8145.8600000000006</v>
      </c>
      <c r="AK217" s="453">
        <v>-3513.09</v>
      </c>
      <c r="AL217" s="453">
        <v>-4355.2400000000016</v>
      </c>
      <c r="AM217" s="453">
        <v>-1856.9300000000003</v>
      </c>
      <c r="AN217" s="453">
        <v>-4112.6999999999971</v>
      </c>
    </row>
    <row r="218" spans="1:40" outlineLevel="1" collapsed="1" x14ac:dyDescent="0.25">
      <c r="A218" s="452">
        <v>4805</v>
      </c>
      <c r="B218" t="s">
        <v>1602</v>
      </c>
      <c r="C218" t="s">
        <v>1603</v>
      </c>
      <c r="D218" t="s">
        <v>1601</v>
      </c>
      <c r="E218" s="453">
        <f t="shared" si="26"/>
        <v>-6634.9</v>
      </c>
      <c r="F218" s="453">
        <f t="shared" si="27"/>
        <v>-36669.120000000003</v>
      </c>
      <c r="G218" s="453">
        <f t="shared" si="28"/>
        <v>-9337.02</v>
      </c>
      <c r="H218" s="453">
        <v>-125.33</v>
      </c>
      <c r="I218" s="453">
        <v>-43.2</v>
      </c>
      <c r="J218" s="453">
        <v>-899.10000000000014</v>
      </c>
      <c r="K218" s="453">
        <v>-380.11999999999989</v>
      </c>
      <c r="L218" s="453">
        <v>-41.049999999999955</v>
      </c>
      <c r="M218" s="453">
        <v>-224.34000000000015</v>
      </c>
      <c r="N218" s="453">
        <v>-513.26999999999975</v>
      </c>
      <c r="O218" s="453">
        <v>-1720.94</v>
      </c>
      <c r="P218" s="453">
        <v>-1302.0300000000002</v>
      </c>
      <c r="Q218" s="453">
        <v>-1048.5999999999995</v>
      </c>
      <c r="R218" s="453">
        <v>-13.570000000000618</v>
      </c>
      <c r="S218" s="453">
        <v>-323.34999999999945</v>
      </c>
      <c r="T218" s="453">
        <v>-626.13</v>
      </c>
      <c r="U218" s="453">
        <v>-5192.3</v>
      </c>
      <c r="V218" s="453">
        <v>-473.03999999999996</v>
      </c>
      <c r="W218" s="453">
        <v>-4487.03</v>
      </c>
      <c r="X218" s="453">
        <v>-746.95999999999913</v>
      </c>
      <c r="Y218" s="453">
        <v>-678.67000000000007</v>
      </c>
      <c r="Z218" s="453">
        <v>-2889.8000000000011</v>
      </c>
      <c r="AA218" s="453">
        <v>-8583.5499999999993</v>
      </c>
      <c r="AB218" s="453">
        <v>-3306.1100000000006</v>
      </c>
      <c r="AC218" s="453">
        <v>-8304.9699999999975</v>
      </c>
      <c r="AD218" s="453">
        <v>-742.61000000000058</v>
      </c>
      <c r="AE218" s="453">
        <v>-637.95000000000437</v>
      </c>
      <c r="AF218" s="453">
        <v>0</v>
      </c>
      <c r="AG218" s="453">
        <v>0</v>
      </c>
      <c r="AH218" s="453">
        <v>-242.9</v>
      </c>
      <c r="AI218" s="453">
        <v>-3931.2599999999998</v>
      </c>
      <c r="AJ218" s="453">
        <v>-1212.1900000000005</v>
      </c>
      <c r="AK218" s="453">
        <v>-869.86999999999989</v>
      </c>
      <c r="AL218" s="453">
        <v>-675.92999999999938</v>
      </c>
      <c r="AM218" s="453">
        <v>-2228.1900000000005</v>
      </c>
      <c r="AN218" s="453">
        <v>-176.68000000000029</v>
      </c>
    </row>
    <row r="219" spans="1:40" outlineLevel="1" collapsed="1" x14ac:dyDescent="0.25">
      <c r="A219" s="452">
        <v>4806</v>
      </c>
      <c r="B219" t="s">
        <v>1604</v>
      </c>
      <c r="C219" t="s">
        <v>1605</v>
      </c>
      <c r="D219" t="s">
        <v>1601</v>
      </c>
      <c r="E219" s="453">
        <f t="shared" si="26"/>
        <v>-62241.16</v>
      </c>
      <c r="F219" s="453">
        <f t="shared" si="27"/>
        <v>-36897.480000000003</v>
      </c>
      <c r="G219" s="453">
        <f t="shared" si="28"/>
        <v>-31184.27</v>
      </c>
      <c r="H219" s="453">
        <v>-3787.56</v>
      </c>
      <c r="I219" s="453">
        <v>-8912.3000000000011</v>
      </c>
      <c r="J219" s="453">
        <v>-9895.3999999999978</v>
      </c>
      <c r="K219" s="453">
        <v>-2458.7400000000016</v>
      </c>
      <c r="L219" s="453">
        <v>-3547.9799999999996</v>
      </c>
      <c r="M219" s="453">
        <v>-3966.619999999999</v>
      </c>
      <c r="N219" s="453">
        <v>-2509.9800000000032</v>
      </c>
      <c r="O219" s="453">
        <v>-1696.75</v>
      </c>
      <c r="P219" s="453">
        <v>-6242.7699999999968</v>
      </c>
      <c r="Q219" s="453">
        <v>-2070.8300000000017</v>
      </c>
      <c r="R219" s="453">
        <v>-4892.9099999999962</v>
      </c>
      <c r="S219" s="453">
        <v>-12259.320000000007</v>
      </c>
      <c r="T219" s="453">
        <v>-3760.17</v>
      </c>
      <c r="U219" s="453">
        <v>-2959.96</v>
      </c>
      <c r="V219" s="453">
        <v>-8322.7900000000009</v>
      </c>
      <c r="W219" s="453">
        <v>-1319.17</v>
      </c>
      <c r="X219" s="453">
        <v>-1132.3400000000001</v>
      </c>
      <c r="Y219" s="453">
        <v>-2801.2299999999996</v>
      </c>
      <c r="Z219" s="453">
        <v>-4372.5600000000013</v>
      </c>
      <c r="AA219" s="453">
        <v>-886.5</v>
      </c>
      <c r="AB219" s="453">
        <v>-1931.2199999999975</v>
      </c>
      <c r="AC219" s="453">
        <v>-4076.16</v>
      </c>
      <c r="AD219" s="453">
        <v>-4307.760000000002</v>
      </c>
      <c r="AE219" s="453">
        <v>-1027.6200000000026</v>
      </c>
      <c r="AF219" s="453">
        <v>-3982.04</v>
      </c>
      <c r="AG219" s="453">
        <v>-3013.25</v>
      </c>
      <c r="AH219" s="453">
        <v>-14766.59</v>
      </c>
      <c r="AI219" s="453">
        <v>-1927.4699999999975</v>
      </c>
      <c r="AJ219" s="453">
        <v>-1568.3600000000006</v>
      </c>
      <c r="AK219" s="453">
        <v>-1007.6500000000015</v>
      </c>
      <c r="AL219" s="453">
        <v>-6035.59</v>
      </c>
      <c r="AM219" s="453">
        <v>3147.4900000000016</v>
      </c>
      <c r="AN219" s="453">
        <v>-2030.8100000000013</v>
      </c>
    </row>
    <row r="220" spans="1:40" outlineLevel="1" collapsed="1" x14ac:dyDescent="0.25">
      <c r="A220" s="452">
        <v>4810</v>
      </c>
      <c r="B220" t="s">
        <v>1606</v>
      </c>
      <c r="C220" t="s">
        <v>1607</v>
      </c>
      <c r="D220" t="s">
        <v>1352</v>
      </c>
      <c r="E220" s="453">
        <f t="shared" si="26"/>
        <v>-40187.760000000009</v>
      </c>
      <c r="F220" s="453">
        <f t="shared" si="27"/>
        <v>-43768.480000000003</v>
      </c>
      <c r="G220" s="453">
        <f t="shared" si="28"/>
        <v>-73043.350000000006</v>
      </c>
      <c r="H220" s="453">
        <v>-3205.62</v>
      </c>
      <c r="I220" s="453">
        <v>-3205.62</v>
      </c>
      <c r="J220" s="453">
        <v>-3205.6200000000008</v>
      </c>
      <c r="K220" s="453">
        <v>-3903.3599999999988</v>
      </c>
      <c r="L220" s="453">
        <v>-3344.7199999999993</v>
      </c>
      <c r="M220" s="453">
        <v>-2689.3100000000013</v>
      </c>
      <c r="N220" s="453">
        <v>-3387.0499999999993</v>
      </c>
      <c r="O220" s="453">
        <v>-3387.0499999999993</v>
      </c>
      <c r="P220" s="453">
        <v>-3387.0500000000029</v>
      </c>
      <c r="Q220" s="453">
        <v>-3406.5800000000017</v>
      </c>
      <c r="R220" s="453">
        <v>-3406.5799999999945</v>
      </c>
      <c r="S220" s="453">
        <v>-3659.2000000000044</v>
      </c>
      <c r="T220" s="453">
        <v>-3541.13</v>
      </c>
      <c r="U220" s="453">
        <v>-3541.13</v>
      </c>
      <c r="V220" s="453">
        <v>-3623.58</v>
      </c>
      <c r="W220" s="453">
        <v>-5235.1900000000005</v>
      </c>
      <c r="X220" s="453">
        <v>-5250.6</v>
      </c>
      <c r="Y220" s="453">
        <v>-445.18999999999869</v>
      </c>
      <c r="Z220" s="453">
        <v>-3688.6100000000006</v>
      </c>
      <c r="AA220" s="453">
        <v>-3688.6100000000006</v>
      </c>
      <c r="AB220" s="453">
        <v>-3688.6100000000006</v>
      </c>
      <c r="AC220" s="453">
        <v>-3688.6100000000006</v>
      </c>
      <c r="AD220" s="453">
        <v>-5278.3099999999977</v>
      </c>
      <c r="AE220" s="453">
        <v>-2098.9100000000035</v>
      </c>
      <c r="AF220" s="453">
        <v>-7065.51</v>
      </c>
      <c r="AG220" s="453">
        <v>-9157.43</v>
      </c>
      <c r="AH220" s="453">
        <v>-8111.4699999999993</v>
      </c>
      <c r="AI220" s="453">
        <v>-8118.1500000000015</v>
      </c>
      <c r="AJ220" s="453">
        <v>-8118.16</v>
      </c>
      <c r="AK220" s="453">
        <v>-8118.1599999999962</v>
      </c>
      <c r="AL220" s="453">
        <v>-8118.1600000000035</v>
      </c>
      <c r="AM220" s="453">
        <v>-8118.1599999999962</v>
      </c>
      <c r="AN220" s="453">
        <v>-8118.1500000000087</v>
      </c>
    </row>
    <row r="221" spans="1:40" outlineLevel="1" collapsed="1" x14ac:dyDescent="0.25">
      <c r="A221" s="452">
        <v>4900</v>
      </c>
      <c r="B221" t="s">
        <v>1608</v>
      </c>
      <c r="C221" t="s">
        <v>1609</v>
      </c>
      <c r="D221" t="s">
        <v>1352</v>
      </c>
      <c r="E221" s="453">
        <f t="shared" si="26"/>
        <v>-87185.78</v>
      </c>
      <c r="F221" s="453">
        <f t="shared" si="27"/>
        <v>-44158.12</v>
      </c>
      <c r="G221" s="453">
        <f t="shared" si="28"/>
        <v>-20972.740000000005</v>
      </c>
      <c r="H221" s="453">
        <v>-11547.59</v>
      </c>
      <c r="I221" s="453">
        <v>-9931.3499999999985</v>
      </c>
      <c r="J221" s="453">
        <v>-704.31000000000131</v>
      </c>
      <c r="K221" s="453">
        <v>-5380.2999999999993</v>
      </c>
      <c r="L221" s="453">
        <v>-10042.680000000004</v>
      </c>
      <c r="M221" s="453">
        <v>-3461.1699999999983</v>
      </c>
      <c r="N221" s="453">
        <v>-22098.18</v>
      </c>
      <c r="O221" s="453">
        <v>-6738.9900000000052</v>
      </c>
      <c r="P221" s="453">
        <v>-6093.8299999999872</v>
      </c>
      <c r="Q221" s="453">
        <v>-5176.5</v>
      </c>
      <c r="R221" s="453">
        <v>-1567.5200000000041</v>
      </c>
      <c r="S221" s="453">
        <v>-4443.3600000000006</v>
      </c>
      <c r="T221" s="453">
        <v>-2298.5500000000002</v>
      </c>
      <c r="U221" s="453">
        <v>-3053.49</v>
      </c>
      <c r="V221" s="453">
        <v>-2397.1800000000003</v>
      </c>
      <c r="W221" s="453">
        <v>-8428.0299999999988</v>
      </c>
      <c r="X221" s="453">
        <v>-1081.2000000000007</v>
      </c>
      <c r="Y221" s="453">
        <v>-3549.7599999999984</v>
      </c>
      <c r="Z221" s="453">
        <v>-4014.1100000000006</v>
      </c>
      <c r="AA221" s="453">
        <v>-7505.6399999999994</v>
      </c>
      <c r="AB221" s="453">
        <v>-2669.4300000000003</v>
      </c>
      <c r="AC221" s="453">
        <v>-6428.2700000000041</v>
      </c>
      <c r="AD221" s="453">
        <v>-3158.8299999999945</v>
      </c>
      <c r="AE221" s="453">
        <v>426.36999999999534</v>
      </c>
      <c r="AF221" s="453">
        <v>-2908.62</v>
      </c>
      <c r="AG221" s="453">
        <v>-931.06</v>
      </c>
      <c r="AH221" s="453">
        <v>-712.15000000000009</v>
      </c>
      <c r="AI221" s="453">
        <v>-1420.8100000000004</v>
      </c>
      <c r="AJ221" s="453">
        <v>-6960.9899999999989</v>
      </c>
      <c r="AK221" s="453">
        <v>-1659.7100000000009</v>
      </c>
      <c r="AL221" s="453">
        <v>-2221.9599999999991</v>
      </c>
      <c r="AM221" s="453">
        <v>-3467.5300000000025</v>
      </c>
      <c r="AN221" s="453">
        <v>-689.90999999999985</v>
      </c>
    </row>
    <row r="222" spans="1:40" outlineLevel="1" collapsed="1" x14ac:dyDescent="0.25">
      <c r="A222" s="452">
        <v>4905</v>
      </c>
      <c r="B222" t="s">
        <v>1610</v>
      </c>
      <c r="C222" t="s">
        <v>1611</v>
      </c>
      <c r="D222" t="s">
        <v>1352</v>
      </c>
      <c r="E222" s="453">
        <f t="shared" ref="E222:E240" si="29">S222+R222+Q222+P222+O222+N222+M222+L222+K222+J222+I222+H222</f>
        <v>-0.99</v>
      </c>
      <c r="F222" s="453">
        <f t="shared" ref="F222:F240" si="30">AE222+AD222+AC222+AB222+AA222+Z222+Y222+X222+W222+V222+U222+T222</f>
        <v>0</v>
      </c>
      <c r="G222" s="453">
        <f t="shared" ref="G222:G240" si="31">AN222+AM222+AL222+AK222+AJ222+AI222+AH222+AG222+AF222</f>
        <v>0</v>
      </c>
      <c r="H222" s="453">
        <v>0</v>
      </c>
      <c r="I222" s="453">
        <v>0</v>
      </c>
      <c r="J222" s="453">
        <v>0</v>
      </c>
      <c r="K222" s="453">
        <v>0</v>
      </c>
      <c r="L222" s="453">
        <v>0</v>
      </c>
      <c r="M222" s="453">
        <v>0</v>
      </c>
      <c r="N222" s="453">
        <v>0</v>
      </c>
      <c r="O222" s="453">
        <v>0</v>
      </c>
      <c r="P222" s="453">
        <v>0</v>
      </c>
      <c r="Q222" s="453">
        <v>-0.15</v>
      </c>
      <c r="R222" s="453">
        <v>0</v>
      </c>
      <c r="S222" s="453">
        <v>-0.84</v>
      </c>
      <c r="T222" s="453">
        <v>0</v>
      </c>
      <c r="U222" s="453">
        <v>0</v>
      </c>
      <c r="V222" s="453">
        <v>0</v>
      </c>
      <c r="W222" s="453">
        <v>0</v>
      </c>
      <c r="X222" s="453">
        <v>0</v>
      </c>
      <c r="Y222" s="453">
        <v>0</v>
      </c>
      <c r="Z222" s="453">
        <v>0</v>
      </c>
      <c r="AA222" s="453">
        <v>0</v>
      </c>
      <c r="AB222" s="453">
        <v>0</v>
      </c>
      <c r="AC222" s="453">
        <v>0</v>
      </c>
      <c r="AD222" s="453">
        <v>0</v>
      </c>
      <c r="AE222" s="453">
        <v>0</v>
      </c>
      <c r="AF222" s="453">
        <v>0</v>
      </c>
      <c r="AG222" s="453">
        <v>0</v>
      </c>
      <c r="AH222" s="453">
        <v>0</v>
      </c>
      <c r="AI222" s="453">
        <v>0</v>
      </c>
      <c r="AJ222" s="453">
        <v>0</v>
      </c>
      <c r="AK222" s="453">
        <v>0</v>
      </c>
      <c r="AL222" s="453">
        <v>0</v>
      </c>
      <c r="AM222" s="453">
        <v>0</v>
      </c>
      <c r="AN222" s="453">
        <v>0</v>
      </c>
    </row>
    <row r="223" spans="1:40" outlineLevel="1" collapsed="1" x14ac:dyDescent="0.25">
      <c r="A223" s="452">
        <v>4910</v>
      </c>
      <c r="B223" t="s">
        <v>1612</v>
      </c>
      <c r="C223" t="s">
        <v>1613</v>
      </c>
      <c r="D223" t="s">
        <v>1352</v>
      </c>
      <c r="E223" s="453">
        <f t="shared" si="29"/>
        <v>-3396.9299999999994</v>
      </c>
      <c r="F223" s="453">
        <f t="shared" si="30"/>
        <v>-2038.37</v>
      </c>
      <c r="G223" s="453">
        <f t="shared" si="31"/>
        <v>-790.8</v>
      </c>
      <c r="H223" s="453">
        <v>0</v>
      </c>
      <c r="I223" s="453">
        <v>-304</v>
      </c>
      <c r="J223" s="453">
        <v>-175.49</v>
      </c>
      <c r="K223" s="453">
        <v>-218</v>
      </c>
      <c r="L223" s="453">
        <v>-239</v>
      </c>
      <c r="M223" s="453">
        <v>-531.03</v>
      </c>
      <c r="N223" s="453">
        <v>0</v>
      </c>
      <c r="O223" s="453">
        <v>-87.1400000000001</v>
      </c>
      <c r="P223" s="453">
        <v>-8.2300000000000182</v>
      </c>
      <c r="Q223" s="453">
        <v>-75.5</v>
      </c>
      <c r="R223" s="453">
        <v>-829.97999999999979</v>
      </c>
      <c r="S223" s="453">
        <v>-928.56</v>
      </c>
      <c r="T223" s="453">
        <v>-485.99</v>
      </c>
      <c r="U223" s="453">
        <v>-48</v>
      </c>
      <c r="V223" s="453">
        <v>-88.480000000000018</v>
      </c>
      <c r="W223" s="453">
        <v>-124</v>
      </c>
      <c r="X223" s="453">
        <v>0</v>
      </c>
      <c r="Y223" s="453">
        <v>-390</v>
      </c>
      <c r="Z223" s="453">
        <v>0</v>
      </c>
      <c r="AA223" s="453">
        <v>0</v>
      </c>
      <c r="AB223" s="453">
        <v>0</v>
      </c>
      <c r="AC223" s="453">
        <v>-275</v>
      </c>
      <c r="AD223" s="453">
        <v>-480</v>
      </c>
      <c r="AE223" s="453">
        <v>-146.89999999999986</v>
      </c>
      <c r="AF223" s="453">
        <v>0</v>
      </c>
      <c r="AG223" s="453">
        <v>0</v>
      </c>
      <c r="AH223" s="453">
        <v>-213.5</v>
      </c>
      <c r="AI223" s="453">
        <v>0</v>
      </c>
      <c r="AJ223" s="453">
        <v>-332</v>
      </c>
      <c r="AK223" s="453">
        <v>-55.299999999999955</v>
      </c>
      <c r="AL223" s="453">
        <v>0</v>
      </c>
      <c r="AM223" s="453">
        <v>-190</v>
      </c>
      <c r="AN223" s="453">
        <v>0</v>
      </c>
    </row>
    <row r="224" spans="1:40" outlineLevel="1" collapsed="1" x14ac:dyDescent="0.25">
      <c r="A224" s="452">
        <v>4920</v>
      </c>
      <c r="B224" t="s">
        <v>1614</v>
      </c>
      <c r="C224" t="s">
        <v>1615</v>
      </c>
      <c r="D224" t="s">
        <v>1352</v>
      </c>
      <c r="E224" s="453">
        <f t="shared" si="29"/>
        <v>-8205.99</v>
      </c>
      <c r="F224" s="453">
        <f t="shared" si="30"/>
        <v>-7431.7</v>
      </c>
      <c r="G224" s="453">
        <f t="shared" si="31"/>
        <v>-6716.8900000000012</v>
      </c>
      <c r="H224" s="453">
        <v>-910.17</v>
      </c>
      <c r="I224" s="453">
        <v>-974.5200000000001</v>
      </c>
      <c r="J224" s="453">
        <v>-896.40999999999985</v>
      </c>
      <c r="K224" s="453">
        <v>-941.72000000000025</v>
      </c>
      <c r="L224" s="453">
        <v>-567.50999999999976</v>
      </c>
      <c r="M224" s="453">
        <v>998.44999999999982</v>
      </c>
      <c r="N224" s="453">
        <v>-772.52</v>
      </c>
      <c r="O224" s="453">
        <v>-853.4699999999998</v>
      </c>
      <c r="P224" s="453">
        <v>-837.65000000000055</v>
      </c>
      <c r="Q224" s="453">
        <v>-817.60999999999967</v>
      </c>
      <c r="R224" s="453">
        <v>-837.14000000000033</v>
      </c>
      <c r="S224" s="453">
        <v>-795.71999999999935</v>
      </c>
      <c r="T224" s="453">
        <v>-826.47</v>
      </c>
      <c r="U224" s="453">
        <v>-810.16000000000008</v>
      </c>
      <c r="V224" s="453">
        <v>-830.50999999999976</v>
      </c>
      <c r="W224" s="453">
        <v>-842.25</v>
      </c>
      <c r="X224" s="453">
        <v>-810.69</v>
      </c>
      <c r="Y224" s="453">
        <v>-785.22000000000025</v>
      </c>
      <c r="Z224" s="453">
        <v>-789.73999999999978</v>
      </c>
      <c r="AA224" s="453">
        <v>-811.11999999999989</v>
      </c>
      <c r="AB224" s="453">
        <v>-780.86000000000058</v>
      </c>
      <c r="AC224" s="453">
        <v>-845.50999999999931</v>
      </c>
      <c r="AD224" s="453">
        <v>1470.92</v>
      </c>
      <c r="AE224" s="453">
        <v>-770.09000000000015</v>
      </c>
      <c r="AF224" s="453">
        <v>-711</v>
      </c>
      <c r="AG224" s="453">
        <v>-822.09999999999991</v>
      </c>
      <c r="AH224" s="453">
        <v>-775.18000000000029</v>
      </c>
      <c r="AI224" s="453">
        <v>-740.84999999999991</v>
      </c>
      <c r="AJ224" s="453">
        <v>-701.31999999999971</v>
      </c>
      <c r="AK224" s="453">
        <v>-747.02000000000044</v>
      </c>
      <c r="AL224" s="453">
        <v>-719.26999999999953</v>
      </c>
      <c r="AM224" s="453">
        <v>-742.54</v>
      </c>
      <c r="AN224" s="453">
        <v>-757.61000000000058</v>
      </c>
    </row>
    <row r="225" spans="1:40" outlineLevel="1" collapsed="1" x14ac:dyDescent="0.25">
      <c r="A225" s="452">
        <v>4930</v>
      </c>
      <c r="B225" t="s">
        <v>1616</v>
      </c>
      <c r="C225" t="s">
        <v>1617</v>
      </c>
      <c r="D225" t="s">
        <v>1352</v>
      </c>
      <c r="E225" s="453">
        <f t="shared" si="29"/>
        <v>-6908.99</v>
      </c>
      <c r="F225" s="453">
        <f t="shared" si="30"/>
        <v>-6461.66</v>
      </c>
      <c r="G225" s="453">
        <f t="shared" si="31"/>
        <v>-3826.3499999999995</v>
      </c>
      <c r="H225" s="453">
        <v>-846.81</v>
      </c>
      <c r="I225" s="453">
        <v>-645.6400000000001</v>
      </c>
      <c r="J225" s="453">
        <v>-230.95000000000005</v>
      </c>
      <c r="K225" s="453">
        <v>-582.71</v>
      </c>
      <c r="L225" s="453">
        <v>-350.56999999999971</v>
      </c>
      <c r="M225" s="453">
        <v>-929.0300000000002</v>
      </c>
      <c r="N225" s="453">
        <v>-786.02999999999975</v>
      </c>
      <c r="O225" s="453">
        <v>-309.11000000000058</v>
      </c>
      <c r="P225" s="453">
        <v>-210.26999999999953</v>
      </c>
      <c r="Q225" s="453">
        <v>-667.10000000000036</v>
      </c>
      <c r="R225" s="453">
        <v>-525.46999999999935</v>
      </c>
      <c r="S225" s="453">
        <v>-825.30000000000018</v>
      </c>
      <c r="T225" s="453">
        <v>-714.65</v>
      </c>
      <c r="U225" s="453">
        <v>-423.80000000000007</v>
      </c>
      <c r="V225" s="453">
        <v>-232.64999999999986</v>
      </c>
      <c r="W225" s="453">
        <v>-628.55000000000018</v>
      </c>
      <c r="X225" s="453">
        <v>-156</v>
      </c>
      <c r="Y225" s="453">
        <v>-539.86999999999989</v>
      </c>
      <c r="Z225" s="453">
        <v>-1163</v>
      </c>
      <c r="AA225" s="453">
        <v>-105.17999999999984</v>
      </c>
      <c r="AB225" s="453">
        <v>-284.67000000000007</v>
      </c>
      <c r="AC225" s="453">
        <v>-786.55000000000018</v>
      </c>
      <c r="AD225" s="453">
        <v>-376.48999999999978</v>
      </c>
      <c r="AE225" s="453">
        <v>-1050.25</v>
      </c>
      <c r="AF225" s="453">
        <v>-577.66</v>
      </c>
      <c r="AG225" s="453">
        <v>-185.43000000000006</v>
      </c>
      <c r="AH225" s="453">
        <v>-347.4799999999999</v>
      </c>
      <c r="AI225" s="453">
        <v>-664.2</v>
      </c>
      <c r="AJ225" s="453">
        <v>-162.6400000000001</v>
      </c>
      <c r="AK225" s="453">
        <v>-331.87000000000012</v>
      </c>
      <c r="AL225" s="453">
        <v>-751.58999999999969</v>
      </c>
      <c r="AM225" s="453">
        <v>-422.65000000000009</v>
      </c>
      <c r="AN225" s="453">
        <v>-382.82999999999993</v>
      </c>
    </row>
    <row r="226" spans="1:40" outlineLevel="1" collapsed="1" x14ac:dyDescent="0.25">
      <c r="A226" s="452">
        <v>4940</v>
      </c>
      <c r="B226" t="s">
        <v>1618</v>
      </c>
      <c r="C226" t="s">
        <v>1619</v>
      </c>
      <c r="D226" t="s">
        <v>1352</v>
      </c>
      <c r="E226" s="453">
        <f t="shared" si="29"/>
        <v>-4168.24</v>
      </c>
      <c r="F226" s="453">
        <f t="shared" si="30"/>
        <v>0</v>
      </c>
      <c r="G226" s="453">
        <f t="shared" si="31"/>
        <v>0</v>
      </c>
      <c r="H226" s="453">
        <v>-742.64</v>
      </c>
      <c r="I226" s="453">
        <v>-261.30000000000007</v>
      </c>
      <c r="J226" s="453">
        <v>-229.81999999999994</v>
      </c>
      <c r="K226" s="453">
        <v>-1048.95</v>
      </c>
      <c r="L226" s="453">
        <v>-276.86000000000013</v>
      </c>
      <c r="M226" s="453">
        <v>-465.35999999999967</v>
      </c>
      <c r="N226" s="453">
        <v>-122.25</v>
      </c>
      <c r="O226" s="453">
        <v>-71.980000000000018</v>
      </c>
      <c r="P226" s="453">
        <v>-225.5</v>
      </c>
      <c r="Q226" s="453">
        <v>0</v>
      </c>
      <c r="R226" s="453">
        <v>-599</v>
      </c>
      <c r="S226" s="453">
        <v>-124.57999999999993</v>
      </c>
      <c r="T226" s="453">
        <v>0</v>
      </c>
      <c r="U226" s="453">
        <v>0</v>
      </c>
      <c r="V226" s="453">
        <v>0</v>
      </c>
      <c r="W226" s="453">
        <v>0</v>
      </c>
      <c r="X226" s="453">
        <v>0</v>
      </c>
      <c r="Y226" s="453">
        <v>0</v>
      </c>
      <c r="Z226" s="453">
        <v>0</v>
      </c>
      <c r="AA226" s="453">
        <v>0</v>
      </c>
      <c r="AB226" s="453">
        <v>0</v>
      </c>
      <c r="AC226" s="453">
        <v>0</v>
      </c>
      <c r="AD226" s="453">
        <v>0</v>
      </c>
      <c r="AE226" s="453">
        <v>0</v>
      </c>
      <c r="AF226" s="453">
        <v>0</v>
      </c>
      <c r="AG226" s="453">
        <v>0</v>
      </c>
      <c r="AH226" s="453">
        <v>0</v>
      </c>
      <c r="AI226" s="453">
        <v>0</v>
      </c>
      <c r="AJ226" s="453">
        <v>0</v>
      </c>
      <c r="AK226" s="453">
        <v>0</v>
      </c>
      <c r="AL226" s="453">
        <v>0</v>
      </c>
      <c r="AM226" s="453">
        <v>0</v>
      </c>
      <c r="AN226" s="453">
        <v>0</v>
      </c>
    </row>
    <row r="227" spans="1:40" outlineLevel="1" collapsed="1" x14ac:dyDescent="0.25">
      <c r="A227" s="452">
        <v>4940</v>
      </c>
      <c r="B227" t="s">
        <v>1620</v>
      </c>
      <c r="C227" t="s">
        <v>1621</v>
      </c>
      <c r="D227" t="s">
        <v>1352</v>
      </c>
      <c r="E227" s="453">
        <f t="shared" si="29"/>
        <v>0</v>
      </c>
      <c r="F227" s="453">
        <f t="shared" si="30"/>
        <v>-4925.66</v>
      </c>
      <c r="G227" s="453">
        <f t="shared" si="31"/>
        <v>-2913.73</v>
      </c>
      <c r="H227" s="453">
        <v>0</v>
      </c>
      <c r="I227" s="453">
        <v>0</v>
      </c>
      <c r="J227" s="453">
        <v>0</v>
      </c>
      <c r="K227" s="453">
        <v>0</v>
      </c>
      <c r="L227" s="453">
        <v>0</v>
      </c>
      <c r="M227" s="453">
        <v>0</v>
      </c>
      <c r="N227" s="453">
        <v>0</v>
      </c>
      <c r="O227" s="453">
        <v>0</v>
      </c>
      <c r="P227" s="453">
        <v>0</v>
      </c>
      <c r="Q227" s="453">
        <v>0</v>
      </c>
      <c r="R227" s="453">
        <v>0</v>
      </c>
      <c r="S227" s="453">
        <v>0</v>
      </c>
      <c r="T227" s="453">
        <v>-614.15</v>
      </c>
      <c r="U227" s="453">
        <v>0</v>
      </c>
      <c r="V227" s="453">
        <v>-1424.2600000000002</v>
      </c>
      <c r="W227" s="453">
        <v>-947.99999999999977</v>
      </c>
      <c r="X227" s="453">
        <v>-148.23000000000002</v>
      </c>
      <c r="Y227" s="453">
        <v>-942.40000000000009</v>
      </c>
      <c r="Z227" s="453">
        <v>0</v>
      </c>
      <c r="AA227" s="453">
        <v>-44.850000000000364</v>
      </c>
      <c r="AB227" s="453">
        <v>0</v>
      </c>
      <c r="AC227" s="453">
        <v>0</v>
      </c>
      <c r="AD227" s="453">
        <v>-599</v>
      </c>
      <c r="AE227" s="453">
        <v>-204.76999999999953</v>
      </c>
      <c r="AF227" s="453">
        <v>-196.97</v>
      </c>
      <c r="AG227" s="453">
        <v>-802.06999999999994</v>
      </c>
      <c r="AH227" s="453">
        <v>0</v>
      </c>
      <c r="AI227" s="453">
        <v>-1355.67</v>
      </c>
      <c r="AJ227" s="453">
        <v>-290.82000000000016</v>
      </c>
      <c r="AK227" s="453">
        <v>-143.38999999999987</v>
      </c>
      <c r="AL227" s="453">
        <v>0</v>
      </c>
      <c r="AM227" s="453">
        <v>-124.80999999999995</v>
      </c>
      <c r="AN227" s="453">
        <v>0</v>
      </c>
    </row>
    <row r="228" spans="1:40" outlineLevel="1" collapsed="1" x14ac:dyDescent="0.25">
      <c r="A228" s="452">
        <v>4945</v>
      </c>
      <c r="B228" t="s">
        <v>1622</v>
      </c>
      <c r="C228" t="s">
        <v>1623</v>
      </c>
      <c r="D228" t="s">
        <v>1352</v>
      </c>
      <c r="E228" s="453">
        <f t="shared" si="29"/>
        <v>-14198.86</v>
      </c>
      <c r="F228" s="453">
        <f t="shared" si="30"/>
        <v>-14579.43</v>
      </c>
      <c r="G228" s="453">
        <f t="shared" si="31"/>
        <v>-8408</v>
      </c>
      <c r="H228" s="453">
        <v>0</v>
      </c>
      <c r="I228" s="453">
        <v>-439</v>
      </c>
      <c r="J228" s="453">
        <v>0</v>
      </c>
      <c r="K228" s="453">
        <v>-1888.1999999999998</v>
      </c>
      <c r="L228" s="453">
        <v>-890</v>
      </c>
      <c r="M228" s="453">
        <v>-265</v>
      </c>
      <c r="N228" s="453">
        <v>-505</v>
      </c>
      <c r="O228" s="453">
        <v>0</v>
      </c>
      <c r="P228" s="453">
        <v>-2910</v>
      </c>
      <c r="Q228" s="453">
        <v>-2085.0000000000009</v>
      </c>
      <c r="R228" s="453">
        <v>-5186.66</v>
      </c>
      <c r="S228" s="453">
        <v>-30</v>
      </c>
      <c r="T228" s="453">
        <v>-270</v>
      </c>
      <c r="U228" s="453">
        <v>0</v>
      </c>
      <c r="V228" s="453">
        <v>-1395</v>
      </c>
      <c r="W228" s="453">
        <v>0</v>
      </c>
      <c r="X228" s="453">
        <v>-1569</v>
      </c>
      <c r="Y228" s="453">
        <v>-1160.4300000000003</v>
      </c>
      <c r="Z228" s="453">
        <v>-1610</v>
      </c>
      <c r="AA228" s="453">
        <v>-170</v>
      </c>
      <c r="AB228" s="453">
        <v>-2450</v>
      </c>
      <c r="AC228" s="453">
        <v>-2170</v>
      </c>
      <c r="AD228" s="453">
        <v>-3700</v>
      </c>
      <c r="AE228" s="453">
        <v>-85</v>
      </c>
      <c r="AF228" s="453">
        <v>0</v>
      </c>
      <c r="AG228" s="453">
        <v>0</v>
      </c>
      <c r="AH228" s="453">
        <v>0</v>
      </c>
      <c r="AI228" s="453">
        <v>-1570</v>
      </c>
      <c r="AJ228" s="453">
        <v>-1892</v>
      </c>
      <c r="AK228" s="453">
        <v>-2110</v>
      </c>
      <c r="AL228" s="453">
        <v>-1591</v>
      </c>
      <c r="AM228" s="453">
        <v>-1245</v>
      </c>
      <c r="AN228" s="453">
        <v>0</v>
      </c>
    </row>
    <row r="229" spans="1:40" outlineLevel="1" collapsed="1" x14ac:dyDescent="0.25">
      <c r="A229" s="452">
        <v>4950</v>
      </c>
      <c r="B229" t="s">
        <v>1624</v>
      </c>
      <c r="C229" t="s">
        <v>1625</v>
      </c>
      <c r="D229" t="s">
        <v>1352</v>
      </c>
      <c r="E229" s="453">
        <f t="shared" si="29"/>
        <v>-306619.32</v>
      </c>
      <c r="F229" s="453">
        <f t="shared" si="30"/>
        <v>-323410.85000000003</v>
      </c>
      <c r="G229" s="453">
        <f t="shared" si="31"/>
        <v>-194498.92</v>
      </c>
      <c r="H229" s="453">
        <v>-14661.08</v>
      </c>
      <c r="I229" s="453">
        <v>-7982.0399999999991</v>
      </c>
      <c r="J229" s="453">
        <v>-63858.66</v>
      </c>
      <c r="K229" s="453">
        <v>-46917.320000000007</v>
      </c>
      <c r="L229" s="453">
        <v>-18718.889999999985</v>
      </c>
      <c r="M229" s="453">
        <v>-11368.529999999999</v>
      </c>
      <c r="N229" s="453">
        <v>-31834.820000000007</v>
      </c>
      <c r="O229" s="453">
        <v>-21027.01999999999</v>
      </c>
      <c r="P229" s="453">
        <v>-17425.350000000006</v>
      </c>
      <c r="Q229" s="453">
        <v>-14076.5</v>
      </c>
      <c r="R229" s="453">
        <v>-31571.449999999983</v>
      </c>
      <c r="S229" s="453">
        <v>-27177.660000000033</v>
      </c>
      <c r="T229" s="453">
        <v>-25769.7</v>
      </c>
      <c r="U229" s="453">
        <v>-15644.999999999996</v>
      </c>
      <c r="V229" s="453">
        <v>-15586.970000000001</v>
      </c>
      <c r="W229" s="453">
        <v>-20763.119999999995</v>
      </c>
      <c r="X229" s="453">
        <v>-16764.200000000012</v>
      </c>
      <c r="Y229" s="453">
        <v>-20110.729999999996</v>
      </c>
      <c r="Z229" s="453">
        <v>-46555.72</v>
      </c>
      <c r="AA229" s="453">
        <v>-24430.5</v>
      </c>
      <c r="AB229" s="453">
        <v>-19327.239999999991</v>
      </c>
      <c r="AC229" s="453">
        <v>-15949</v>
      </c>
      <c r="AD229" s="453">
        <v>-17636</v>
      </c>
      <c r="AE229" s="453">
        <v>-84872.669999999984</v>
      </c>
      <c r="AF229" s="453">
        <v>-16604.13</v>
      </c>
      <c r="AG229" s="453">
        <v>-13923.23</v>
      </c>
      <c r="AH229" s="453">
        <v>-44872.09</v>
      </c>
      <c r="AI229" s="453">
        <v>-20332.410000000003</v>
      </c>
      <c r="AJ229" s="453">
        <v>-16402.850000000006</v>
      </c>
      <c r="AK229" s="453">
        <v>-32337.539999999994</v>
      </c>
      <c r="AL229" s="453">
        <v>-27596.670000000013</v>
      </c>
      <c r="AM229" s="453">
        <v>-7655.5</v>
      </c>
      <c r="AN229" s="453">
        <v>-14774.5</v>
      </c>
    </row>
    <row r="230" spans="1:40" outlineLevel="1" collapsed="1" x14ac:dyDescent="0.25">
      <c r="A230" s="452">
        <v>4951</v>
      </c>
      <c r="B230" t="s">
        <v>1626</v>
      </c>
      <c r="C230" t="s">
        <v>1627</v>
      </c>
      <c r="D230" t="s">
        <v>1352</v>
      </c>
      <c r="E230" s="453">
        <f t="shared" si="29"/>
        <v>0</v>
      </c>
      <c r="F230" s="453">
        <f t="shared" si="30"/>
        <v>0</v>
      </c>
      <c r="G230" s="453">
        <f t="shared" si="31"/>
        <v>-17425</v>
      </c>
      <c r="H230" s="453">
        <v>0</v>
      </c>
      <c r="I230" s="453">
        <v>0</v>
      </c>
      <c r="J230" s="453">
        <v>0</v>
      </c>
      <c r="K230" s="453">
        <v>0</v>
      </c>
      <c r="L230" s="453">
        <v>0</v>
      </c>
      <c r="M230" s="453">
        <v>0</v>
      </c>
      <c r="N230" s="453">
        <v>0</v>
      </c>
      <c r="O230" s="453">
        <v>0</v>
      </c>
      <c r="P230" s="453">
        <v>0</v>
      </c>
      <c r="Q230" s="453">
        <v>0</v>
      </c>
      <c r="R230" s="453">
        <v>0</v>
      </c>
      <c r="S230" s="453">
        <v>0</v>
      </c>
      <c r="T230" s="453">
        <v>0</v>
      </c>
      <c r="U230" s="453">
        <v>0</v>
      </c>
      <c r="V230" s="453">
        <v>0</v>
      </c>
      <c r="W230" s="453">
        <v>0</v>
      </c>
      <c r="X230" s="453">
        <v>0</v>
      </c>
      <c r="Y230" s="453">
        <v>0</v>
      </c>
      <c r="Z230" s="453">
        <v>0</v>
      </c>
      <c r="AA230" s="453">
        <v>0</v>
      </c>
      <c r="AB230" s="453">
        <v>0</v>
      </c>
      <c r="AC230" s="453">
        <v>-165197.81</v>
      </c>
      <c r="AD230" s="453">
        <v>-6400</v>
      </c>
      <c r="AE230" s="453">
        <v>171597.81</v>
      </c>
      <c r="AF230" s="453">
        <v>-87056.960000000006</v>
      </c>
      <c r="AG230" s="453">
        <v>-3200</v>
      </c>
      <c r="AH230" s="453">
        <v>-3200</v>
      </c>
      <c r="AI230" s="453">
        <v>-885.57999999998719</v>
      </c>
      <c r="AJ230" s="453">
        <v>-5425.3600000000006</v>
      </c>
      <c r="AK230" s="453">
        <v>-10075</v>
      </c>
      <c r="AL230" s="453">
        <v>109842.9</v>
      </c>
      <c r="AM230" s="453">
        <v>-6875</v>
      </c>
      <c r="AN230" s="453">
        <v>-10550</v>
      </c>
    </row>
    <row r="231" spans="1:40" outlineLevel="1" collapsed="1" x14ac:dyDescent="0.25">
      <c r="A231" s="452">
        <v>4952</v>
      </c>
      <c r="B231" t="s">
        <v>1628</v>
      </c>
      <c r="C231" t="s">
        <v>1629</v>
      </c>
      <c r="D231" t="s">
        <v>1352</v>
      </c>
      <c r="E231" s="453">
        <f t="shared" si="29"/>
        <v>0</v>
      </c>
      <c r="F231" s="453">
        <f t="shared" si="30"/>
        <v>0</v>
      </c>
      <c r="G231" s="453">
        <f t="shared" si="31"/>
        <v>-15484.96</v>
      </c>
      <c r="H231" s="453">
        <v>0</v>
      </c>
      <c r="I231" s="453">
        <v>0</v>
      </c>
      <c r="J231" s="453">
        <v>0</v>
      </c>
      <c r="K231" s="453">
        <v>0</v>
      </c>
      <c r="L231" s="453">
        <v>0</v>
      </c>
      <c r="M231" s="453">
        <v>0</v>
      </c>
      <c r="N231" s="453">
        <v>0</v>
      </c>
      <c r="O231" s="453">
        <v>0</v>
      </c>
      <c r="P231" s="453">
        <v>0</v>
      </c>
      <c r="Q231" s="453">
        <v>0</v>
      </c>
      <c r="R231" s="453">
        <v>0</v>
      </c>
      <c r="S231" s="453">
        <v>0</v>
      </c>
      <c r="T231" s="453">
        <v>0</v>
      </c>
      <c r="U231" s="453">
        <v>0</v>
      </c>
      <c r="V231" s="453">
        <v>0</v>
      </c>
      <c r="W231" s="453">
        <v>0</v>
      </c>
      <c r="X231" s="453">
        <v>0</v>
      </c>
      <c r="Y231" s="453">
        <v>0</v>
      </c>
      <c r="Z231" s="453">
        <v>0</v>
      </c>
      <c r="AA231" s="453">
        <v>0</v>
      </c>
      <c r="AB231" s="453">
        <v>0</v>
      </c>
      <c r="AC231" s="453">
        <v>0</v>
      </c>
      <c r="AD231" s="453">
        <v>0</v>
      </c>
      <c r="AE231" s="453">
        <v>0</v>
      </c>
      <c r="AF231" s="453">
        <v>0</v>
      </c>
      <c r="AG231" s="453">
        <v>0</v>
      </c>
      <c r="AH231" s="453">
        <v>0</v>
      </c>
      <c r="AI231" s="453">
        <v>0</v>
      </c>
      <c r="AJ231" s="453">
        <v>-2550</v>
      </c>
      <c r="AK231" s="453">
        <v>-894</v>
      </c>
      <c r="AL231" s="453">
        <v>3444</v>
      </c>
      <c r="AM231" s="453">
        <v>-525.84</v>
      </c>
      <c r="AN231" s="453">
        <v>-14959.119999999999</v>
      </c>
    </row>
    <row r="232" spans="1:40" outlineLevel="1" collapsed="1" x14ac:dyDescent="0.25">
      <c r="A232" s="452">
        <v>4960</v>
      </c>
      <c r="B232" t="s">
        <v>1630</v>
      </c>
      <c r="C232" t="s">
        <v>1631</v>
      </c>
      <c r="D232" t="s">
        <v>1352</v>
      </c>
      <c r="E232" s="453">
        <f t="shared" si="29"/>
        <v>0</v>
      </c>
      <c r="F232" s="453">
        <f t="shared" si="30"/>
        <v>-6681.97</v>
      </c>
      <c r="G232" s="453">
        <f t="shared" si="31"/>
        <v>-6912.98</v>
      </c>
      <c r="H232" s="453">
        <v>0</v>
      </c>
      <c r="I232" s="453">
        <v>0</v>
      </c>
      <c r="J232" s="453">
        <v>0</v>
      </c>
      <c r="K232" s="453">
        <v>0</v>
      </c>
      <c r="L232" s="453">
        <v>0</v>
      </c>
      <c r="M232" s="453">
        <v>0</v>
      </c>
      <c r="N232" s="453">
        <v>0</v>
      </c>
      <c r="O232" s="453">
        <v>0</v>
      </c>
      <c r="P232" s="453">
        <v>0</v>
      </c>
      <c r="Q232" s="453">
        <v>0</v>
      </c>
      <c r="R232" s="453">
        <v>0</v>
      </c>
      <c r="S232" s="453">
        <v>0</v>
      </c>
      <c r="T232" s="453">
        <v>0</v>
      </c>
      <c r="U232" s="453">
        <v>0</v>
      </c>
      <c r="V232" s="453">
        <v>0</v>
      </c>
      <c r="W232" s="453">
        <v>-336</v>
      </c>
      <c r="X232" s="453">
        <v>0</v>
      </c>
      <c r="Y232" s="453">
        <v>0</v>
      </c>
      <c r="Z232" s="453">
        <v>0</v>
      </c>
      <c r="AA232" s="453">
        <v>0</v>
      </c>
      <c r="AB232" s="453">
        <v>-825.47</v>
      </c>
      <c r="AC232" s="453">
        <v>-1529.9999999999998</v>
      </c>
      <c r="AD232" s="453">
        <v>-696</v>
      </c>
      <c r="AE232" s="453">
        <v>-3294.5000000000005</v>
      </c>
      <c r="AF232" s="453">
        <v>0</v>
      </c>
      <c r="AG232" s="453">
        <v>0</v>
      </c>
      <c r="AH232" s="453">
        <v>0</v>
      </c>
      <c r="AI232" s="453">
        <v>-365.55</v>
      </c>
      <c r="AJ232" s="453">
        <v>0</v>
      </c>
      <c r="AK232" s="453">
        <v>-849.13000000000011</v>
      </c>
      <c r="AL232" s="453">
        <v>-2513.3000000000002</v>
      </c>
      <c r="AM232" s="453">
        <v>0</v>
      </c>
      <c r="AN232" s="453">
        <v>-3184.9999999999995</v>
      </c>
    </row>
    <row r="233" spans="1:40" outlineLevel="1" collapsed="1" x14ac:dyDescent="0.25">
      <c r="A233" s="452">
        <v>4964</v>
      </c>
      <c r="B233" t="s">
        <v>1632</v>
      </c>
      <c r="C233" t="s">
        <v>1633</v>
      </c>
      <c r="D233" t="s">
        <v>1352</v>
      </c>
      <c r="E233" s="453">
        <f t="shared" si="29"/>
        <v>-312084.98</v>
      </c>
      <c r="F233" s="453">
        <f t="shared" si="30"/>
        <v>-527074.59</v>
      </c>
      <c r="G233" s="453">
        <f t="shared" si="31"/>
        <v>-303933.34999999998</v>
      </c>
      <c r="H233" s="453">
        <v>0</v>
      </c>
      <c r="I233" s="453">
        <v>0</v>
      </c>
      <c r="J233" s="453">
        <v>0</v>
      </c>
      <c r="K233" s="453">
        <v>-61396.28</v>
      </c>
      <c r="L233" s="453">
        <v>0</v>
      </c>
      <c r="M233" s="453">
        <v>-66427.180000000008</v>
      </c>
      <c r="N233" s="453">
        <v>0</v>
      </c>
      <c r="O233" s="453">
        <v>0</v>
      </c>
      <c r="P233" s="453">
        <v>-85380.79</v>
      </c>
      <c r="Q233" s="453">
        <v>0</v>
      </c>
      <c r="R233" s="453">
        <v>0</v>
      </c>
      <c r="S233" s="453">
        <v>-98880.729999999981</v>
      </c>
      <c r="T233" s="453">
        <v>0</v>
      </c>
      <c r="U233" s="453">
        <v>-98880.67</v>
      </c>
      <c r="V233" s="453">
        <v>0</v>
      </c>
      <c r="W233" s="453">
        <v>0</v>
      </c>
      <c r="X233" s="453">
        <v>-115307.71</v>
      </c>
      <c r="Y233" s="453">
        <v>-10301.479999999981</v>
      </c>
      <c r="Z233" s="453">
        <v>0</v>
      </c>
      <c r="AA233" s="453">
        <v>0</v>
      </c>
      <c r="AB233" s="453">
        <v>0</v>
      </c>
      <c r="AC233" s="453">
        <v>-161478.62</v>
      </c>
      <c r="AD233" s="453">
        <v>0</v>
      </c>
      <c r="AE233" s="453">
        <v>-141106.10999999999</v>
      </c>
      <c r="AF233" s="453">
        <v>0</v>
      </c>
      <c r="AG233" s="453">
        <v>0</v>
      </c>
      <c r="AH233" s="453">
        <v>0</v>
      </c>
      <c r="AI233" s="453">
        <v>0</v>
      </c>
      <c r="AJ233" s="453">
        <v>-128486.31</v>
      </c>
      <c r="AK233" s="453">
        <v>0</v>
      </c>
      <c r="AL233" s="453">
        <v>-175447.03999999998</v>
      </c>
      <c r="AM233" s="453">
        <v>0</v>
      </c>
      <c r="AN233" s="453">
        <v>0</v>
      </c>
    </row>
    <row r="234" spans="1:40" outlineLevel="1" collapsed="1" x14ac:dyDescent="0.25">
      <c r="A234" s="452">
        <v>4969</v>
      </c>
      <c r="B234" t="s">
        <v>1634</v>
      </c>
      <c r="C234" t="s">
        <v>1635</v>
      </c>
      <c r="D234" t="s">
        <v>1352</v>
      </c>
      <c r="E234" s="453">
        <f t="shared" si="29"/>
        <v>-8932.5700000000015</v>
      </c>
      <c r="F234" s="453">
        <f t="shared" si="30"/>
        <v>-12407.2</v>
      </c>
      <c r="G234" s="453">
        <f t="shared" si="31"/>
        <v>-11903.08</v>
      </c>
      <c r="H234" s="453">
        <v>-542.78</v>
      </c>
      <c r="I234" s="453">
        <v>-4214.05</v>
      </c>
      <c r="J234" s="453">
        <v>-1339.0900000000001</v>
      </c>
      <c r="K234" s="453">
        <v>-663.90999999999985</v>
      </c>
      <c r="L234" s="453">
        <v>-218.35999999999967</v>
      </c>
      <c r="M234" s="453">
        <v>-257.41000000000076</v>
      </c>
      <c r="N234" s="453">
        <v>-125.61999999999989</v>
      </c>
      <c r="O234" s="453">
        <v>-369.69999999999982</v>
      </c>
      <c r="P234" s="453">
        <v>-297.53999999999996</v>
      </c>
      <c r="Q234" s="453">
        <v>-266.82000000000062</v>
      </c>
      <c r="R234" s="453">
        <v>-484.23999999999978</v>
      </c>
      <c r="S234" s="453">
        <v>-153.04999999999927</v>
      </c>
      <c r="T234" s="453">
        <v>-6649.55</v>
      </c>
      <c r="U234" s="453">
        <v>-285.51999999999953</v>
      </c>
      <c r="V234" s="453">
        <v>-908.40999999999985</v>
      </c>
      <c r="W234" s="453">
        <v>-708.15999999999985</v>
      </c>
      <c r="X234" s="453">
        <v>-302.90999999999985</v>
      </c>
      <c r="Y234" s="453">
        <v>-411.75</v>
      </c>
      <c r="Z234" s="453">
        <v>-772.19000000000051</v>
      </c>
      <c r="AA234" s="453">
        <v>-366.6200000000008</v>
      </c>
      <c r="AB234" s="453">
        <v>-352.34999999999854</v>
      </c>
      <c r="AC234" s="453">
        <v>-430.84000000000015</v>
      </c>
      <c r="AD234" s="453">
        <v>-676.39000000000124</v>
      </c>
      <c r="AE234" s="453">
        <v>-542.51000000000022</v>
      </c>
      <c r="AF234" s="453">
        <v>-587.86</v>
      </c>
      <c r="AG234" s="453">
        <v>-552.6</v>
      </c>
      <c r="AH234" s="453">
        <v>-8943.89</v>
      </c>
      <c r="AI234" s="453">
        <v>-424.86999999999898</v>
      </c>
      <c r="AJ234" s="453">
        <v>-346.15000000000146</v>
      </c>
      <c r="AK234" s="453">
        <v>-308.38999999999942</v>
      </c>
      <c r="AL234" s="453">
        <v>-289.40999999999985</v>
      </c>
      <c r="AM234" s="453">
        <v>-289.95999999999913</v>
      </c>
      <c r="AN234" s="453">
        <v>-159.95000000000073</v>
      </c>
    </row>
    <row r="235" spans="1:40" outlineLevel="1" collapsed="1" x14ac:dyDescent="0.25">
      <c r="A235" s="452">
        <v>4970</v>
      </c>
      <c r="B235" t="s">
        <v>1636</v>
      </c>
      <c r="C235" t="s">
        <v>1637</v>
      </c>
      <c r="D235" t="s">
        <v>1352</v>
      </c>
      <c r="E235" s="453">
        <f t="shared" si="29"/>
        <v>-6101.1000000000013</v>
      </c>
      <c r="F235" s="453">
        <f t="shared" si="30"/>
        <v>-6829.4700000000012</v>
      </c>
      <c r="G235" s="453">
        <f t="shared" si="31"/>
        <v>-6593.9099999999989</v>
      </c>
      <c r="H235" s="453">
        <v>-466.06</v>
      </c>
      <c r="I235" s="453">
        <v>-664.45</v>
      </c>
      <c r="J235" s="453">
        <v>-360.43000000000006</v>
      </c>
      <c r="K235" s="453">
        <v>-376.78999999999996</v>
      </c>
      <c r="L235" s="453">
        <v>-495.94000000000005</v>
      </c>
      <c r="M235" s="453">
        <v>-733.61000000000013</v>
      </c>
      <c r="N235" s="453">
        <v>-441.20999999999958</v>
      </c>
      <c r="O235" s="453">
        <v>-352.84000000000015</v>
      </c>
      <c r="P235" s="453">
        <v>-311.94999999999982</v>
      </c>
      <c r="Q235" s="453">
        <v>-491.8100000000004</v>
      </c>
      <c r="R235" s="453">
        <v>-538.60999999999967</v>
      </c>
      <c r="S235" s="453">
        <v>-867.40000000000055</v>
      </c>
      <c r="T235" s="453">
        <v>-444.3</v>
      </c>
      <c r="U235" s="453">
        <v>-473.8</v>
      </c>
      <c r="V235" s="453">
        <v>-555.75999999999988</v>
      </c>
      <c r="W235" s="453">
        <v>-602.56999999999994</v>
      </c>
      <c r="X235" s="453">
        <v>-685.95000000000027</v>
      </c>
      <c r="Y235" s="453">
        <v>-628.44999999999982</v>
      </c>
      <c r="Z235" s="453">
        <v>-478.0300000000002</v>
      </c>
      <c r="AA235" s="453">
        <v>-445.98</v>
      </c>
      <c r="AB235" s="453">
        <v>-487.05999999999949</v>
      </c>
      <c r="AC235" s="453">
        <v>-948.98000000000047</v>
      </c>
      <c r="AD235" s="453">
        <v>-604.80999999999949</v>
      </c>
      <c r="AE235" s="453">
        <v>-473.78000000000065</v>
      </c>
      <c r="AF235" s="453">
        <v>-678.8</v>
      </c>
      <c r="AG235" s="453">
        <v>-739.41000000000008</v>
      </c>
      <c r="AH235" s="453">
        <v>-982.32000000000016</v>
      </c>
      <c r="AI235" s="453">
        <v>-1010.0499999999997</v>
      </c>
      <c r="AJ235" s="453">
        <v>-666.05000000000018</v>
      </c>
      <c r="AK235" s="453">
        <v>-580.77999999999975</v>
      </c>
      <c r="AL235" s="453">
        <v>-624.05000000000018</v>
      </c>
      <c r="AM235" s="453">
        <v>-589.86999999999989</v>
      </c>
      <c r="AN235" s="453">
        <v>-722.57999999999993</v>
      </c>
    </row>
    <row r="236" spans="1:40" outlineLevel="1" collapsed="1" x14ac:dyDescent="0.25">
      <c r="A236" s="452">
        <v>4971</v>
      </c>
      <c r="B236" t="s">
        <v>1638</v>
      </c>
      <c r="C236" t="s">
        <v>1639</v>
      </c>
      <c r="D236" t="s">
        <v>1352</v>
      </c>
      <c r="E236" s="453">
        <f t="shared" si="29"/>
        <v>0</v>
      </c>
      <c r="F236" s="453">
        <f t="shared" si="30"/>
        <v>0</v>
      </c>
      <c r="G236" s="453">
        <f t="shared" si="31"/>
        <v>0</v>
      </c>
      <c r="H236" s="453">
        <v>0</v>
      </c>
      <c r="I236" s="453">
        <v>0</v>
      </c>
      <c r="J236" s="453">
        <v>0</v>
      </c>
      <c r="K236" s="453">
        <v>0</v>
      </c>
      <c r="L236" s="453">
        <v>0</v>
      </c>
      <c r="M236" s="453">
        <v>0</v>
      </c>
      <c r="N236" s="453">
        <v>0</v>
      </c>
      <c r="O236" s="453">
        <v>0</v>
      </c>
      <c r="P236" s="453">
        <v>0</v>
      </c>
      <c r="Q236" s="453">
        <v>0</v>
      </c>
      <c r="R236" s="453">
        <v>0</v>
      </c>
      <c r="S236" s="453">
        <v>0</v>
      </c>
      <c r="T236" s="453">
        <v>0</v>
      </c>
      <c r="U236" s="453">
        <v>0</v>
      </c>
      <c r="V236" s="453">
        <v>0</v>
      </c>
      <c r="W236" s="453">
        <v>0</v>
      </c>
      <c r="X236" s="453">
        <v>0</v>
      </c>
      <c r="Y236" s="453">
        <v>0</v>
      </c>
      <c r="Z236" s="453">
        <v>0</v>
      </c>
      <c r="AA236" s="453">
        <v>0</v>
      </c>
      <c r="AB236" s="453">
        <v>0</v>
      </c>
      <c r="AC236" s="453">
        <v>0</v>
      </c>
      <c r="AD236" s="453">
        <v>0</v>
      </c>
      <c r="AE236" s="453">
        <v>0</v>
      </c>
      <c r="AF236" s="453">
        <v>0</v>
      </c>
      <c r="AG236" s="453">
        <v>0</v>
      </c>
      <c r="AH236" s="453">
        <v>0</v>
      </c>
      <c r="AI236" s="453">
        <v>0</v>
      </c>
      <c r="AJ236" s="453">
        <v>0</v>
      </c>
      <c r="AK236" s="453">
        <v>0</v>
      </c>
      <c r="AL236" s="453">
        <v>0</v>
      </c>
      <c r="AM236" s="453">
        <v>0</v>
      </c>
      <c r="AN236" s="453">
        <v>0</v>
      </c>
    </row>
    <row r="237" spans="1:40" outlineLevel="1" collapsed="1" x14ac:dyDescent="0.25">
      <c r="A237" s="452">
        <v>4980</v>
      </c>
      <c r="B237" t="s">
        <v>1640</v>
      </c>
      <c r="C237" t="s">
        <v>1609</v>
      </c>
      <c r="D237" t="s">
        <v>1352</v>
      </c>
      <c r="E237" s="453">
        <f t="shared" si="29"/>
        <v>-54370.12</v>
      </c>
      <c r="F237" s="453">
        <f t="shared" si="30"/>
        <v>-63670.35</v>
      </c>
      <c r="G237" s="453">
        <f t="shared" si="31"/>
        <v>-38310.649999999994</v>
      </c>
      <c r="H237" s="453">
        <v>-6209.9</v>
      </c>
      <c r="I237" s="453">
        <v>-2959.91</v>
      </c>
      <c r="J237" s="453">
        <v>-5622.0500000000011</v>
      </c>
      <c r="K237" s="453">
        <v>-3040.739999999998</v>
      </c>
      <c r="L237" s="453">
        <v>-4102.5</v>
      </c>
      <c r="M237" s="453">
        <v>-5383.09</v>
      </c>
      <c r="N237" s="453">
        <v>-4349.880000000001</v>
      </c>
      <c r="O237" s="453">
        <v>-4492.6999999999971</v>
      </c>
      <c r="P237" s="453">
        <v>-2724.5300000000061</v>
      </c>
      <c r="Q237" s="453">
        <v>-5248.2899999999936</v>
      </c>
      <c r="R237" s="453">
        <v>-5817.4800000000032</v>
      </c>
      <c r="S237" s="453">
        <v>-4419.0500000000029</v>
      </c>
      <c r="T237" s="453">
        <v>-3338.26</v>
      </c>
      <c r="U237" s="453">
        <v>-4700.67</v>
      </c>
      <c r="V237" s="453">
        <v>-3985.3899999999994</v>
      </c>
      <c r="W237" s="453">
        <v>-6518.5600000000013</v>
      </c>
      <c r="X237" s="453">
        <v>-5759.0299999999988</v>
      </c>
      <c r="Y237" s="453">
        <v>-4441.0999999999985</v>
      </c>
      <c r="Z237" s="453">
        <v>-6743.02</v>
      </c>
      <c r="AA237" s="453">
        <v>-6621.8300000000017</v>
      </c>
      <c r="AB237" s="453">
        <v>-6115.1200000000026</v>
      </c>
      <c r="AC237" s="453">
        <v>-7131.9799999999959</v>
      </c>
      <c r="AD237" s="453">
        <v>-5147.4599999999991</v>
      </c>
      <c r="AE237" s="453">
        <v>-3167.9300000000003</v>
      </c>
      <c r="AF237" s="453">
        <v>-4623.63</v>
      </c>
      <c r="AG237" s="453">
        <v>-6207.31</v>
      </c>
      <c r="AH237" s="453">
        <v>-3046.7899999999991</v>
      </c>
      <c r="AI237" s="453">
        <v>-5844.75</v>
      </c>
      <c r="AJ237" s="453">
        <v>-3908.0400000000009</v>
      </c>
      <c r="AK237" s="453">
        <v>-3222.4300000000003</v>
      </c>
      <c r="AL237" s="453">
        <v>-3139.119999999999</v>
      </c>
      <c r="AM237" s="453">
        <v>-4341.3300000000017</v>
      </c>
      <c r="AN237" s="453">
        <v>-3977.25</v>
      </c>
    </row>
    <row r="238" spans="1:40" outlineLevel="1" collapsed="1" x14ac:dyDescent="0.25">
      <c r="A238" s="452">
        <v>8801</v>
      </c>
      <c r="B238" t="s">
        <v>1641</v>
      </c>
      <c r="C238" t="s">
        <v>1642</v>
      </c>
      <c r="D238" t="s">
        <v>1352</v>
      </c>
      <c r="E238" s="453">
        <f t="shared" si="29"/>
        <v>0</v>
      </c>
      <c r="F238" s="453">
        <f t="shared" si="30"/>
        <v>1</v>
      </c>
      <c r="G238" s="453">
        <f t="shared" si="31"/>
        <v>4651</v>
      </c>
      <c r="H238" s="453">
        <v>0</v>
      </c>
      <c r="I238" s="453">
        <v>0</v>
      </c>
      <c r="J238" s="453">
        <v>0</v>
      </c>
      <c r="K238" s="453">
        <v>0</v>
      </c>
      <c r="L238" s="453">
        <v>0</v>
      </c>
      <c r="M238" s="453">
        <v>0</v>
      </c>
      <c r="N238" s="453">
        <v>0</v>
      </c>
      <c r="O238" s="453">
        <v>0</v>
      </c>
      <c r="P238" s="453">
        <v>0</v>
      </c>
      <c r="Q238" s="453">
        <v>0</v>
      </c>
      <c r="R238" s="453">
        <v>0</v>
      </c>
      <c r="S238" s="453">
        <v>0</v>
      </c>
      <c r="T238" s="453">
        <v>0</v>
      </c>
      <c r="U238" s="453">
        <v>0</v>
      </c>
      <c r="V238" s="453">
        <v>0</v>
      </c>
      <c r="W238" s="453">
        <v>0</v>
      </c>
      <c r="X238" s="453">
        <v>0</v>
      </c>
      <c r="Y238" s="453">
        <v>0</v>
      </c>
      <c r="Z238" s="453">
        <v>0</v>
      </c>
      <c r="AA238" s="453">
        <v>0</v>
      </c>
      <c r="AB238" s="453">
        <v>1</v>
      </c>
      <c r="AC238" s="453">
        <v>0</v>
      </c>
      <c r="AD238" s="453">
        <v>0</v>
      </c>
      <c r="AE238" s="453">
        <v>0</v>
      </c>
      <c r="AF238" s="453">
        <v>2550</v>
      </c>
      <c r="AG238" s="453">
        <v>0</v>
      </c>
      <c r="AH238" s="453">
        <v>2101</v>
      </c>
      <c r="AI238" s="453">
        <v>0</v>
      </c>
      <c r="AJ238" s="453">
        <v>0</v>
      </c>
      <c r="AK238" s="453">
        <v>0</v>
      </c>
      <c r="AL238" s="453">
        <v>0</v>
      </c>
      <c r="AM238" s="453">
        <v>0</v>
      </c>
      <c r="AN238" s="453">
        <v>0</v>
      </c>
    </row>
    <row r="239" spans="1:40" outlineLevel="1" collapsed="1" x14ac:dyDescent="0.25">
      <c r="A239" s="452">
        <v>8807</v>
      </c>
      <c r="B239" t="s">
        <v>1643</v>
      </c>
      <c r="C239" t="s">
        <v>1644</v>
      </c>
      <c r="D239" t="s">
        <v>1352</v>
      </c>
      <c r="E239" s="453">
        <f t="shared" si="29"/>
        <v>0</v>
      </c>
      <c r="F239" s="453">
        <f t="shared" si="30"/>
        <v>1</v>
      </c>
      <c r="G239" s="453">
        <f t="shared" si="31"/>
        <v>0</v>
      </c>
      <c r="H239" s="453">
        <v>0</v>
      </c>
      <c r="I239" s="453">
        <v>0</v>
      </c>
      <c r="J239" s="453">
        <v>0</v>
      </c>
      <c r="K239" s="453">
        <v>0</v>
      </c>
      <c r="L239" s="453">
        <v>0</v>
      </c>
      <c r="M239" s="453">
        <v>0</v>
      </c>
      <c r="N239" s="453">
        <v>0</v>
      </c>
      <c r="O239" s="453">
        <v>0</v>
      </c>
      <c r="P239" s="453">
        <v>0</v>
      </c>
      <c r="Q239" s="453">
        <v>0</v>
      </c>
      <c r="R239" s="453">
        <v>0</v>
      </c>
      <c r="S239" s="453">
        <v>0</v>
      </c>
      <c r="T239" s="453">
        <v>0</v>
      </c>
      <c r="U239" s="453">
        <v>0</v>
      </c>
      <c r="V239" s="453">
        <v>0</v>
      </c>
      <c r="W239" s="453">
        <v>0</v>
      </c>
      <c r="X239" s="453">
        <v>0</v>
      </c>
      <c r="Y239" s="453">
        <v>0</v>
      </c>
      <c r="Z239" s="453">
        <v>1</v>
      </c>
      <c r="AA239" s="453">
        <v>0</v>
      </c>
      <c r="AB239" s="453">
        <v>0</v>
      </c>
      <c r="AC239" s="453">
        <v>0</v>
      </c>
      <c r="AD239" s="453">
        <v>0</v>
      </c>
      <c r="AE239" s="453">
        <v>0</v>
      </c>
      <c r="AF239" s="453">
        <v>0</v>
      </c>
      <c r="AG239" s="453">
        <v>0</v>
      </c>
      <c r="AH239" s="453">
        <v>0</v>
      </c>
      <c r="AI239" s="453">
        <v>0</v>
      </c>
      <c r="AJ239" s="453">
        <v>0</v>
      </c>
      <c r="AK239" s="453">
        <v>0</v>
      </c>
      <c r="AL239" s="453">
        <v>0</v>
      </c>
      <c r="AM239" s="453">
        <v>0</v>
      </c>
      <c r="AN239" s="453">
        <v>0</v>
      </c>
    </row>
    <row r="240" spans="1:40" outlineLevel="1" collapsed="1" x14ac:dyDescent="0.25">
      <c r="A240" s="452">
        <v>8818</v>
      </c>
      <c r="B240" t="s">
        <v>1645</v>
      </c>
      <c r="C240" t="s">
        <v>1646</v>
      </c>
      <c r="D240" t="s">
        <v>1352</v>
      </c>
      <c r="E240" s="453">
        <f t="shared" si="29"/>
        <v>0</v>
      </c>
      <c r="F240" s="453">
        <f t="shared" si="30"/>
        <v>80849.600000000006</v>
      </c>
      <c r="G240" s="453">
        <f t="shared" si="31"/>
        <v>0</v>
      </c>
      <c r="H240" s="453">
        <v>0</v>
      </c>
      <c r="I240" s="453">
        <v>0</v>
      </c>
      <c r="J240" s="453">
        <v>0</v>
      </c>
      <c r="K240" s="453">
        <v>0</v>
      </c>
      <c r="L240" s="453">
        <v>0</v>
      </c>
      <c r="M240" s="453">
        <v>0</v>
      </c>
      <c r="N240" s="453">
        <v>0</v>
      </c>
      <c r="O240" s="453">
        <v>0</v>
      </c>
      <c r="P240" s="453">
        <v>0</v>
      </c>
      <c r="Q240" s="453">
        <v>0</v>
      </c>
      <c r="R240" s="453">
        <v>0</v>
      </c>
      <c r="S240" s="453">
        <v>0</v>
      </c>
      <c r="T240" s="453">
        <v>0</v>
      </c>
      <c r="U240" s="453">
        <v>0</v>
      </c>
      <c r="V240" s="453">
        <v>0</v>
      </c>
      <c r="W240" s="453">
        <v>0</v>
      </c>
      <c r="X240" s="453">
        <v>0</v>
      </c>
      <c r="Y240" s="453">
        <v>0</v>
      </c>
      <c r="Z240" s="453">
        <v>0</v>
      </c>
      <c r="AA240" s="453">
        <v>0</v>
      </c>
      <c r="AB240" s="453">
        <v>0</v>
      </c>
      <c r="AC240" s="453">
        <v>80849.600000000006</v>
      </c>
      <c r="AD240" s="453">
        <v>0</v>
      </c>
      <c r="AE240" s="453">
        <v>0</v>
      </c>
      <c r="AF240" s="453">
        <v>0</v>
      </c>
      <c r="AG240" s="453">
        <v>0</v>
      </c>
      <c r="AH240" s="453">
        <v>0</v>
      </c>
      <c r="AI240" s="453">
        <v>0</v>
      </c>
      <c r="AJ240" s="453">
        <v>0</v>
      </c>
      <c r="AK240" s="453">
        <v>0</v>
      </c>
      <c r="AL240" s="453">
        <v>0</v>
      </c>
      <c r="AM240" s="453">
        <v>0</v>
      </c>
      <c r="AN240" s="453">
        <v>0</v>
      </c>
    </row>
    <row r="241" spans="1:40" s="451" customFormat="1" x14ac:dyDescent="0.25">
      <c r="B241" s="451" t="s">
        <v>94</v>
      </c>
      <c r="C241" s="451" t="s">
        <v>103</v>
      </c>
      <c r="E241" s="460">
        <f t="shared" ref="E241:AN241" si="32">SUM(E94:E240)</f>
        <v>-2262133.9299999997</v>
      </c>
      <c r="F241" s="460">
        <f t="shared" si="32"/>
        <v>-2594750.9900000012</v>
      </c>
      <c r="G241" s="460">
        <f t="shared" si="32"/>
        <v>-1712616.3299999998</v>
      </c>
      <c r="H241" s="460">
        <f t="shared" si="32"/>
        <v>-130156.60999999996</v>
      </c>
      <c r="I241" s="460">
        <f t="shared" si="32"/>
        <v>-142804.27999999997</v>
      </c>
      <c r="J241" s="460">
        <f t="shared" si="32"/>
        <v>-198358.40999999997</v>
      </c>
      <c r="K241" s="460">
        <f t="shared" si="32"/>
        <v>-235406.64000000004</v>
      </c>
      <c r="L241" s="460">
        <f t="shared" si="32"/>
        <v>-129850.5</v>
      </c>
      <c r="M241" s="460">
        <f t="shared" si="32"/>
        <v>-213624.49999999994</v>
      </c>
      <c r="N241" s="460">
        <f t="shared" si="32"/>
        <v>-167186.53000000006</v>
      </c>
      <c r="O241" s="460">
        <f t="shared" si="32"/>
        <v>-170391.12</v>
      </c>
      <c r="P241" s="460">
        <f t="shared" si="32"/>
        <v>-231445.53999999998</v>
      </c>
      <c r="Q241" s="460">
        <f t="shared" si="32"/>
        <v>-204698.45999999996</v>
      </c>
      <c r="R241" s="460">
        <f t="shared" si="32"/>
        <v>-164972.84999999995</v>
      </c>
      <c r="S241" s="460">
        <f t="shared" si="32"/>
        <v>-273238.49</v>
      </c>
      <c r="T241" s="460">
        <f t="shared" si="32"/>
        <v>-138118.64000000001</v>
      </c>
      <c r="U241" s="460">
        <f t="shared" si="32"/>
        <v>-248715.16000000003</v>
      </c>
      <c r="V241" s="460">
        <f t="shared" si="32"/>
        <v>-160561.96000000002</v>
      </c>
      <c r="W241" s="460">
        <f t="shared" si="32"/>
        <v>-206180.73</v>
      </c>
      <c r="X241" s="460">
        <f t="shared" si="32"/>
        <v>-283500.97000000009</v>
      </c>
      <c r="Y241" s="460">
        <f t="shared" si="32"/>
        <v>-170803.43000000002</v>
      </c>
      <c r="Z241" s="460">
        <f t="shared" si="32"/>
        <v>-182785.94</v>
      </c>
      <c r="AA241" s="460">
        <f t="shared" si="32"/>
        <v>-170385.12000000005</v>
      </c>
      <c r="AB241" s="460">
        <f t="shared" si="32"/>
        <v>-152442.08000000002</v>
      </c>
      <c r="AC241" s="460">
        <f t="shared" si="32"/>
        <v>-526753.17999999993</v>
      </c>
      <c r="AD241" s="460">
        <f t="shared" si="32"/>
        <v>-150441.81</v>
      </c>
      <c r="AE241" s="460">
        <f t="shared" si="32"/>
        <v>-204061.96999999991</v>
      </c>
      <c r="AF241" s="460">
        <f t="shared" si="32"/>
        <v>-221858.53999999998</v>
      </c>
      <c r="AG241" s="460">
        <f t="shared" si="32"/>
        <v>-156534.86999999997</v>
      </c>
      <c r="AH241" s="460">
        <f t="shared" si="32"/>
        <v>-196047.58</v>
      </c>
      <c r="AI241" s="460">
        <f t="shared" si="32"/>
        <v>-153669.51999999996</v>
      </c>
      <c r="AJ241" s="460">
        <f t="shared" si="32"/>
        <v>-292765</v>
      </c>
      <c r="AK241" s="460">
        <f t="shared" si="32"/>
        <v>-169022.41</v>
      </c>
      <c r="AL241" s="460">
        <f t="shared" si="32"/>
        <v>-227919.00000000003</v>
      </c>
      <c r="AM241" s="460">
        <f t="shared" si="32"/>
        <v>-127012.13999999994</v>
      </c>
      <c r="AN241" s="460">
        <f t="shared" si="32"/>
        <v>-167787.27000000005</v>
      </c>
    </row>
    <row r="242" spans="1:40" x14ac:dyDescent="0.25">
      <c r="B242" t="s">
        <v>1128</v>
      </c>
      <c r="C242" t="s">
        <v>1129</v>
      </c>
      <c r="E242" s="457">
        <f t="shared" ref="E242:AN242" si="33">(E241)/(E44)</f>
        <v>-0.14405944993986464</v>
      </c>
      <c r="F242" s="457">
        <f t="shared" si="33"/>
        <v>-0.15019979126071936</v>
      </c>
      <c r="G242" s="457">
        <f t="shared" si="33"/>
        <v>-0.14733517523085971</v>
      </c>
      <c r="H242" s="457">
        <f t="shared" si="33"/>
        <v>-0.11626553624846682</v>
      </c>
      <c r="I242" s="457">
        <f t="shared" si="33"/>
        <v>-0.11530393703424567</v>
      </c>
      <c r="J242" s="457">
        <f t="shared" si="33"/>
        <v>-0.13624850833613186</v>
      </c>
      <c r="K242" s="457">
        <f t="shared" si="33"/>
        <v>-0.17776585389008948</v>
      </c>
      <c r="L242" s="457">
        <f t="shared" si="33"/>
        <v>-0.10628689777193641</v>
      </c>
      <c r="M242" s="457">
        <f t="shared" si="33"/>
        <v>-0.15513750985329741</v>
      </c>
      <c r="N242" s="457">
        <f t="shared" si="33"/>
        <v>-0.1368909748139942</v>
      </c>
      <c r="O242" s="457">
        <f t="shared" si="33"/>
        <v>-0.12214143589973342</v>
      </c>
      <c r="P242" s="457">
        <f t="shared" si="33"/>
        <v>-0.17468327526923974</v>
      </c>
      <c r="Q242" s="457">
        <f t="shared" si="33"/>
        <v>-0.18716604393638439</v>
      </c>
      <c r="R242" s="457">
        <f t="shared" si="33"/>
        <v>-0.1238449631681518</v>
      </c>
      <c r="S242" s="457">
        <f t="shared" si="33"/>
        <v>-0.17088714509044223</v>
      </c>
      <c r="T242" s="457">
        <f t="shared" si="33"/>
        <v>-0.10036347967214421</v>
      </c>
      <c r="U242" s="457">
        <f t="shared" si="33"/>
        <v>-0.17620768767047168</v>
      </c>
      <c r="V242" s="457">
        <f t="shared" si="33"/>
        <v>-9.6315714547221751E-2</v>
      </c>
      <c r="W242" s="457">
        <f t="shared" si="33"/>
        <v>-0.15200382808246554</v>
      </c>
      <c r="X242" s="457">
        <f t="shared" si="33"/>
        <v>-0.15879655165197817</v>
      </c>
      <c r="Y242" s="457">
        <f t="shared" si="33"/>
        <v>-0.14041334903289659</v>
      </c>
      <c r="Z242" s="457">
        <f t="shared" si="33"/>
        <v>-0.12313332065169158</v>
      </c>
      <c r="AA242" s="457">
        <f t="shared" si="33"/>
        <v>-0.13201382872646333</v>
      </c>
      <c r="AB242" s="457">
        <f t="shared" si="33"/>
        <v>-0.10511776625229406</v>
      </c>
      <c r="AC242" s="457">
        <f t="shared" si="33"/>
        <v>-0.38348117089333539</v>
      </c>
      <c r="AD242" s="457">
        <f t="shared" si="33"/>
        <v>-0.11278115945178659</v>
      </c>
      <c r="AE242" s="457">
        <f t="shared" si="33"/>
        <v>-0.13340840245679869</v>
      </c>
      <c r="AF242" s="457">
        <f t="shared" si="33"/>
        <v>-0.16080067579925711</v>
      </c>
      <c r="AG242" s="457">
        <f t="shared" si="33"/>
        <v>-0.10564569696657192</v>
      </c>
      <c r="AH242" s="457">
        <f t="shared" si="33"/>
        <v>-0.16937902524221851</v>
      </c>
      <c r="AI242" s="457">
        <f t="shared" si="33"/>
        <v>-0.11200956583777309</v>
      </c>
      <c r="AJ242" s="457">
        <f t="shared" si="33"/>
        <v>-0.19227703413523708</v>
      </c>
      <c r="AK242" s="457">
        <f t="shared" si="33"/>
        <v>-0.1586287125306835</v>
      </c>
      <c r="AL242" s="457">
        <f t="shared" si="33"/>
        <v>-0.20303444468811302</v>
      </c>
      <c r="AM242" s="457">
        <f t="shared" si="33"/>
        <v>-9.1555940281216622E-2</v>
      </c>
      <c r="AN242" s="457">
        <f t="shared" si="33"/>
        <v>-0.14780552658780063</v>
      </c>
    </row>
    <row r="244" spans="1:40" s="455" customFormat="1" x14ac:dyDescent="0.25">
      <c r="B244" s="455" t="s">
        <v>225</v>
      </c>
      <c r="C244" s="455" t="s">
        <v>225</v>
      </c>
      <c r="E244" s="456">
        <f t="shared" ref="E244:AN244" si="34">E65+E91+E241</f>
        <v>1595159.9900000007</v>
      </c>
      <c r="F244" s="456">
        <f t="shared" si="34"/>
        <v>1760340.7699999968</v>
      </c>
      <c r="G244" s="456">
        <f t="shared" si="34"/>
        <v>1435945.5300000019</v>
      </c>
      <c r="H244" s="456">
        <f t="shared" si="34"/>
        <v>253.84999999994761</v>
      </c>
      <c r="I244" s="456">
        <f t="shared" si="34"/>
        <v>-74515.919999999896</v>
      </c>
      <c r="J244" s="456">
        <f t="shared" si="34"/>
        <v>-4602.4499999999534</v>
      </c>
      <c r="K244" s="456">
        <f t="shared" si="34"/>
        <v>156328.09999999995</v>
      </c>
      <c r="L244" s="456">
        <f t="shared" si="34"/>
        <v>-159393.84999999963</v>
      </c>
      <c r="M244" s="456">
        <f t="shared" si="34"/>
        <v>872963.22999999952</v>
      </c>
      <c r="N244" s="456">
        <f t="shared" si="34"/>
        <v>36343.970000000292</v>
      </c>
      <c r="O244" s="456">
        <f t="shared" si="34"/>
        <v>447676.76000000059</v>
      </c>
      <c r="P244" s="456">
        <f t="shared" si="34"/>
        <v>48918.169999998994</v>
      </c>
      <c r="Q244" s="456">
        <f t="shared" si="34"/>
        <v>46387.630000000237</v>
      </c>
      <c r="R244" s="456">
        <f t="shared" si="34"/>
        <v>397545.17999999947</v>
      </c>
      <c r="S244" s="456">
        <f t="shared" si="34"/>
        <v>-172744.67999999941</v>
      </c>
      <c r="T244" s="456">
        <f t="shared" si="34"/>
        <v>197523.36000000004</v>
      </c>
      <c r="U244" s="456">
        <f t="shared" si="34"/>
        <v>309144.68999999971</v>
      </c>
      <c r="V244" s="456">
        <f t="shared" si="34"/>
        <v>516829.65000000008</v>
      </c>
      <c r="W244" s="456">
        <f t="shared" si="34"/>
        <v>135944.49000000002</v>
      </c>
      <c r="X244" s="456">
        <f t="shared" si="34"/>
        <v>48992.050000000163</v>
      </c>
      <c r="Y244" s="456">
        <f t="shared" si="34"/>
        <v>-185454.25000000003</v>
      </c>
      <c r="Z244" s="456">
        <f t="shared" si="34"/>
        <v>-776246.84999999963</v>
      </c>
      <c r="AA244" s="456">
        <f t="shared" si="34"/>
        <v>237260.89999999927</v>
      </c>
      <c r="AB244" s="456">
        <f t="shared" si="34"/>
        <v>-250729.44000000006</v>
      </c>
      <c r="AC244" s="456">
        <f t="shared" si="34"/>
        <v>100789.85999999917</v>
      </c>
      <c r="AD244" s="456">
        <f t="shared" si="34"/>
        <v>233322.85000000184</v>
      </c>
      <c r="AE244" s="456">
        <f t="shared" si="34"/>
        <v>1192963.4599999983</v>
      </c>
      <c r="AF244" s="456">
        <f t="shared" si="34"/>
        <v>136716.57999999996</v>
      </c>
      <c r="AG244" s="456">
        <f t="shared" si="34"/>
        <v>129184.53000000046</v>
      </c>
      <c r="AH244" s="456">
        <f t="shared" si="34"/>
        <v>-64843.730000000534</v>
      </c>
      <c r="AI244" s="456">
        <f t="shared" si="34"/>
        <v>150591.23000000045</v>
      </c>
      <c r="AJ244" s="456">
        <f t="shared" si="34"/>
        <v>171925.40000000026</v>
      </c>
      <c r="AK244" s="456">
        <f t="shared" si="34"/>
        <v>256337.93999999974</v>
      </c>
      <c r="AL244" s="456">
        <f t="shared" si="34"/>
        <v>-14944.720000000234</v>
      </c>
      <c r="AM244" s="456">
        <f t="shared" si="34"/>
        <v>475215.83000000048</v>
      </c>
      <c r="AN244" s="456">
        <f t="shared" si="34"/>
        <v>195762.47000000058</v>
      </c>
    </row>
    <row r="245" spans="1:40" x14ac:dyDescent="0.25">
      <c r="B245" t="s">
        <v>1128</v>
      </c>
      <c r="C245" t="s">
        <v>1129</v>
      </c>
      <c r="E245" s="457">
        <f t="shared" ref="E245:AN245" si="35">(E244)/(E44)</f>
        <v>0.10158455592657156</v>
      </c>
      <c r="F245" s="457">
        <f t="shared" si="35"/>
        <v>0.10189910986477102</v>
      </c>
      <c r="G245" s="457">
        <f t="shared" si="35"/>
        <v>0.12353338139927698</v>
      </c>
      <c r="H245" s="457">
        <f t="shared" si="35"/>
        <v>2.2675764509130363E-4</v>
      </c>
      <c r="I245" s="457">
        <f t="shared" si="35"/>
        <v>-6.0166116503853229E-2</v>
      </c>
      <c r="J245" s="457">
        <f t="shared" si="35"/>
        <v>-3.1613327974933047E-3</v>
      </c>
      <c r="K245" s="457">
        <f t="shared" si="35"/>
        <v>0.1180501883188821</v>
      </c>
      <c r="L245" s="457">
        <f t="shared" si="35"/>
        <v>-0.13046909977570612</v>
      </c>
      <c r="M245" s="457">
        <f t="shared" si="35"/>
        <v>0.63395978315076829</v>
      </c>
      <c r="N245" s="457">
        <f t="shared" si="35"/>
        <v>2.9758147871784883E-2</v>
      </c>
      <c r="O245" s="457">
        <f t="shared" si="35"/>
        <v>0.32090805134293626</v>
      </c>
      <c r="P245" s="457">
        <f t="shared" si="35"/>
        <v>3.6920936803436742E-2</v>
      </c>
      <c r="Q245" s="457">
        <f t="shared" si="35"/>
        <v>4.2414531084820024E-2</v>
      </c>
      <c r="R245" s="457">
        <f t="shared" si="35"/>
        <v>0.29843679232538095</v>
      </c>
      <c r="S245" s="457">
        <f t="shared" si="35"/>
        <v>-0.10803692113348275</v>
      </c>
      <c r="T245" s="457">
        <f t="shared" si="35"/>
        <v>0.14352973448141124</v>
      </c>
      <c r="U245" s="457">
        <f t="shared" si="35"/>
        <v>0.21902030813282442</v>
      </c>
      <c r="V245" s="457">
        <f t="shared" si="35"/>
        <v>0.31002870816313233</v>
      </c>
      <c r="W245" s="457">
        <f t="shared" si="35"/>
        <v>0.10022315318564667</v>
      </c>
      <c r="X245" s="457">
        <f t="shared" si="35"/>
        <v>2.7441770652006307E-2</v>
      </c>
      <c r="Y245" s="457">
        <f t="shared" si="35"/>
        <v>-0.15245743211880503</v>
      </c>
      <c r="Z245" s="457">
        <f t="shared" si="35"/>
        <v>-0.52291687361684103</v>
      </c>
      <c r="AA245" s="457">
        <f t="shared" si="35"/>
        <v>0.18382896238877219</v>
      </c>
      <c r="AB245" s="457">
        <f t="shared" si="35"/>
        <v>-0.17289267285311635</v>
      </c>
      <c r="AC245" s="457">
        <f t="shared" si="35"/>
        <v>7.3375947207333495E-2</v>
      </c>
      <c r="AD245" s="457">
        <f t="shared" si="35"/>
        <v>0.17491428446384347</v>
      </c>
      <c r="AE245" s="457">
        <f t="shared" si="35"/>
        <v>0.77991675464044052</v>
      </c>
      <c r="AF245" s="457">
        <f t="shared" si="35"/>
        <v>9.9090701926386041E-2</v>
      </c>
      <c r="AG245" s="457">
        <f t="shared" si="35"/>
        <v>8.7186897776508662E-2</v>
      </c>
      <c r="AH245" s="457">
        <f t="shared" si="35"/>
        <v>-5.6022970446611448E-2</v>
      </c>
      <c r="AI245" s="457">
        <f t="shared" si="35"/>
        <v>0.10976580320727418</v>
      </c>
      <c r="AJ245" s="457">
        <f t="shared" si="35"/>
        <v>0.11291413251076576</v>
      </c>
      <c r="AK245" s="457">
        <f t="shared" si="35"/>
        <v>0.24057494739879498</v>
      </c>
      <c r="AL245" s="457">
        <f t="shared" si="35"/>
        <v>-1.3313031937747109E-2</v>
      </c>
      <c r="AM245" s="457">
        <f t="shared" si="35"/>
        <v>0.34255648438148395</v>
      </c>
      <c r="AN245" s="457">
        <f t="shared" si="35"/>
        <v>0.17244916711785468</v>
      </c>
    </row>
    <row r="247" spans="1:40" outlineLevel="1" collapsed="1" x14ac:dyDescent="0.25">
      <c r="A247" s="452">
        <v>4822</v>
      </c>
      <c r="B247" t="s">
        <v>1130</v>
      </c>
      <c r="C247" t="s">
        <v>1131</v>
      </c>
      <c r="D247" t="s">
        <v>695</v>
      </c>
      <c r="E247" s="453">
        <f>S247+R247+Q247+P247+O247+N247+M247+L247+K247+J247+I247+H247</f>
        <v>-2548.0000000000005</v>
      </c>
      <c r="F247" s="453">
        <f>AE247+AD247+AC247+AB247+AA247+Z247+Y247+X247+W247+V247+U247+T247</f>
        <v>-2497</v>
      </c>
      <c r="G247" s="453">
        <f>AN247+AM247+AL247+AK247+AJ247+AI247+AH247+AG247+AF247</f>
        <v>-1102</v>
      </c>
      <c r="H247" s="453">
        <v>-212.32</v>
      </c>
      <c r="I247" s="453">
        <v>-212.34000000000003</v>
      </c>
      <c r="J247" s="453">
        <v>-212.32</v>
      </c>
      <c r="K247" s="453">
        <v>-212.34000000000003</v>
      </c>
      <c r="L247" s="453">
        <v>-212.34000000000003</v>
      </c>
      <c r="M247" s="453">
        <v>-212.31999999999994</v>
      </c>
      <c r="N247" s="453">
        <v>-212.33999999999992</v>
      </c>
      <c r="O247" s="453">
        <v>-212.34000000000015</v>
      </c>
      <c r="P247" s="453">
        <v>-212.31999999999994</v>
      </c>
      <c r="Q247" s="453">
        <v>-212.34000000000015</v>
      </c>
      <c r="R247" s="453">
        <v>-212.33999999999969</v>
      </c>
      <c r="S247" s="453">
        <v>-212.34000000000015</v>
      </c>
      <c r="T247" s="453">
        <v>-212.18</v>
      </c>
      <c r="U247" s="453">
        <v>-212.19</v>
      </c>
      <c r="V247" s="453">
        <v>-212.17999999999995</v>
      </c>
      <c r="W247" s="453">
        <v>-212.20000000000005</v>
      </c>
      <c r="X247" s="453">
        <v>-212.19000000000005</v>
      </c>
      <c r="Y247" s="453">
        <v>-212.17999999999984</v>
      </c>
      <c r="Z247" s="453">
        <v>-212.19000000000005</v>
      </c>
      <c r="AA247" s="453">
        <v>-212.20000000000005</v>
      </c>
      <c r="AB247" s="453">
        <v>-212.18000000000006</v>
      </c>
      <c r="AC247" s="453">
        <v>-212.19000000000005</v>
      </c>
      <c r="AD247" s="453">
        <v>-212.19000000000005</v>
      </c>
      <c r="AE247" s="453">
        <v>-162.92999999999984</v>
      </c>
      <c r="AF247" s="453">
        <v>-162.5</v>
      </c>
      <c r="AG247" s="453">
        <v>-162.5</v>
      </c>
      <c r="AH247" s="453">
        <v>-111</v>
      </c>
      <c r="AI247" s="453">
        <v>-111</v>
      </c>
      <c r="AJ247" s="453">
        <v>-111</v>
      </c>
      <c r="AK247" s="453">
        <v>-111</v>
      </c>
      <c r="AL247" s="453">
        <v>-111</v>
      </c>
      <c r="AM247" s="453">
        <v>-111</v>
      </c>
      <c r="AN247" s="453">
        <v>-111</v>
      </c>
    </row>
    <row r="248" spans="1:40" outlineLevel="1" collapsed="1" x14ac:dyDescent="0.25">
      <c r="A248" s="452">
        <v>4830</v>
      </c>
      <c r="B248" t="s">
        <v>1132</v>
      </c>
      <c r="C248" t="s">
        <v>1133</v>
      </c>
      <c r="D248" t="s">
        <v>695</v>
      </c>
      <c r="E248" s="453">
        <f>S248+R248+Q248+P248+O248+N248+M248+L248+K248+J248+I248+H248</f>
        <v>-309569.17999999993</v>
      </c>
      <c r="F248" s="453">
        <f>AE248+AD248+AC248+AB248+AA248+Z248+Y248+X248+W248+V248+U248+T248</f>
        <v>-297729.64</v>
      </c>
      <c r="G248" s="453">
        <f>AN248+AM248+AL248+AK248+AJ248+AI248+AH248+AG248+AF248</f>
        <v>-201224.40000000002</v>
      </c>
      <c r="H248" s="453">
        <v>-27771.42</v>
      </c>
      <c r="I248" s="453">
        <v>-27608.61</v>
      </c>
      <c r="J248" s="453">
        <v>-27495.430000000008</v>
      </c>
      <c r="K248" s="453">
        <v>-27534.199999999997</v>
      </c>
      <c r="L248" s="453">
        <v>-21952.5</v>
      </c>
      <c r="M248" s="453">
        <v>-25274.720000000001</v>
      </c>
      <c r="N248" s="453">
        <v>-25979.739999999991</v>
      </c>
      <c r="O248" s="453">
        <v>-25841.089999999997</v>
      </c>
      <c r="P248" s="453">
        <v>-25440.460000000021</v>
      </c>
      <c r="Q248" s="453">
        <v>-25637.559999999998</v>
      </c>
      <c r="R248" s="453">
        <v>-25432.309999999969</v>
      </c>
      <c r="S248" s="453">
        <v>-23601.140000000014</v>
      </c>
      <c r="T248" s="453">
        <v>-22812.94</v>
      </c>
      <c r="U248" s="453">
        <v>-22357.41</v>
      </c>
      <c r="V248" s="453">
        <v>-22144.299999999996</v>
      </c>
      <c r="W248" s="453">
        <v>-24788.190000000002</v>
      </c>
      <c r="X248" s="453">
        <v>-24022.520000000004</v>
      </c>
      <c r="Y248" s="453">
        <v>-24601.150000000009</v>
      </c>
      <c r="Z248" s="453">
        <v>-25302.22</v>
      </c>
      <c r="AA248" s="453">
        <v>-25972.28</v>
      </c>
      <c r="AB248" s="453">
        <v>-24990.699999999983</v>
      </c>
      <c r="AC248" s="453">
        <v>-24405.680000000022</v>
      </c>
      <c r="AD248" s="453">
        <v>-30726.010000000009</v>
      </c>
      <c r="AE248" s="453">
        <v>-25606.239999999991</v>
      </c>
      <c r="AF248" s="453">
        <v>-24011.98</v>
      </c>
      <c r="AG248" s="453">
        <v>-23393.140000000003</v>
      </c>
      <c r="AH248" s="453">
        <v>-23476.30999999999</v>
      </c>
      <c r="AI248" s="453">
        <v>-22843.560000000012</v>
      </c>
      <c r="AJ248" s="453">
        <v>-22433.22</v>
      </c>
      <c r="AK248" s="453">
        <v>-22103.550000000003</v>
      </c>
      <c r="AL248" s="453">
        <v>-21323.979999999981</v>
      </c>
      <c r="AM248" s="453">
        <v>-21165</v>
      </c>
      <c r="AN248" s="453">
        <v>-20473.660000000003</v>
      </c>
    </row>
    <row r="249" spans="1:40" outlineLevel="1" collapsed="1" x14ac:dyDescent="0.25">
      <c r="A249" s="452">
        <v>4840</v>
      </c>
      <c r="B249" t="s">
        <v>1136</v>
      </c>
      <c r="C249" t="s">
        <v>1647</v>
      </c>
      <c r="D249" t="s">
        <v>695</v>
      </c>
      <c r="E249" s="453">
        <f>S249+R249+Q249+P249+O249+N249+M249+L249+K249+J249+I249+H249</f>
        <v>0</v>
      </c>
      <c r="F249" s="453">
        <f>AE249+AD249+AC249+AB249+AA249+Z249+Y249+X249+W249+V249+U249+T249</f>
        <v>0</v>
      </c>
      <c r="G249" s="453">
        <f>AN249+AM249+AL249+AK249+AJ249+AI249+AH249+AG249+AF249</f>
        <v>0</v>
      </c>
      <c r="H249" s="453">
        <v>0</v>
      </c>
      <c r="I249" s="453">
        <v>0</v>
      </c>
      <c r="J249" s="453">
        <v>0</v>
      </c>
      <c r="K249" s="453">
        <v>0</v>
      </c>
      <c r="L249" s="453">
        <v>0</v>
      </c>
      <c r="M249" s="453">
        <v>0</v>
      </c>
      <c r="N249" s="453">
        <v>0</v>
      </c>
      <c r="O249" s="453">
        <v>0</v>
      </c>
      <c r="P249" s="453">
        <v>0</v>
      </c>
      <c r="Q249" s="453">
        <v>0</v>
      </c>
      <c r="R249" s="453">
        <v>0</v>
      </c>
      <c r="S249" s="453">
        <v>0</v>
      </c>
      <c r="T249" s="453">
        <v>0</v>
      </c>
      <c r="U249" s="453">
        <v>0</v>
      </c>
      <c r="V249" s="453">
        <v>0</v>
      </c>
      <c r="W249" s="453">
        <v>0</v>
      </c>
      <c r="X249" s="453">
        <v>0</v>
      </c>
      <c r="Y249" s="453">
        <v>0</v>
      </c>
      <c r="Z249" s="453">
        <v>0</v>
      </c>
      <c r="AA249" s="453">
        <v>0</v>
      </c>
      <c r="AB249" s="453">
        <v>0</v>
      </c>
      <c r="AC249" s="453">
        <v>0</v>
      </c>
      <c r="AD249" s="453">
        <v>0</v>
      </c>
      <c r="AE249" s="453">
        <v>0</v>
      </c>
      <c r="AF249" s="453">
        <v>0</v>
      </c>
      <c r="AG249" s="453">
        <v>0</v>
      </c>
      <c r="AH249" s="453">
        <v>0</v>
      </c>
      <c r="AI249" s="453">
        <v>0</v>
      </c>
      <c r="AJ249" s="453">
        <v>0</v>
      </c>
      <c r="AK249" s="453">
        <v>0</v>
      </c>
      <c r="AL249" s="453">
        <v>0</v>
      </c>
      <c r="AM249" s="453">
        <v>0</v>
      </c>
      <c r="AN249" s="453">
        <v>0</v>
      </c>
    </row>
    <row r="250" spans="1:40" outlineLevel="1" collapsed="1" x14ac:dyDescent="0.25">
      <c r="A250" s="452">
        <v>4855</v>
      </c>
      <c r="B250" t="s">
        <v>1134</v>
      </c>
      <c r="C250" t="s">
        <v>1135</v>
      </c>
      <c r="D250" t="s">
        <v>695</v>
      </c>
      <c r="E250" s="453">
        <f>S250+R250+Q250+P250+O250+N250+M250+L250+K250+J250+I250+H250</f>
        <v>-12522.739999999998</v>
      </c>
      <c r="F250" s="453">
        <f>AE250+AD250+AC250+AB250+AA250+Z250+Y250+X250+W250+V250+U250+T250</f>
        <v>-15493.07</v>
      </c>
      <c r="G250" s="453">
        <f>AN250+AM250+AL250+AK250+AJ250+AI250+AH250+AG250+AF250</f>
        <v>-6091.56</v>
      </c>
      <c r="H250" s="453">
        <v>-724.71</v>
      </c>
      <c r="I250" s="453">
        <v>0</v>
      </c>
      <c r="J250" s="453">
        <v>-1227.58</v>
      </c>
      <c r="K250" s="453">
        <v>-1274.8899999999999</v>
      </c>
      <c r="L250" s="453">
        <v>-557.35000000000036</v>
      </c>
      <c r="M250" s="453">
        <v>-737.73</v>
      </c>
      <c r="N250" s="453">
        <v>-1755.0900000000001</v>
      </c>
      <c r="O250" s="453">
        <v>41.210000000000036</v>
      </c>
      <c r="P250" s="453">
        <v>0</v>
      </c>
      <c r="Q250" s="453">
        <v>-647.82999999999993</v>
      </c>
      <c r="R250" s="453">
        <v>-3400.4399999999996</v>
      </c>
      <c r="S250" s="453">
        <v>-2238.33</v>
      </c>
      <c r="T250" s="453">
        <v>-565.04999999999995</v>
      </c>
      <c r="U250" s="453">
        <v>-1859.45</v>
      </c>
      <c r="V250" s="453">
        <v>-979.40999999999985</v>
      </c>
      <c r="W250" s="453">
        <v>-2027.2300000000005</v>
      </c>
      <c r="X250" s="453">
        <v>-1819.3999999999996</v>
      </c>
      <c r="Y250" s="453">
        <v>-472</v>
      </c>
      <c r="Z250" s="453">
        <v>-2031.7200000000003</v>
      </c>
      <c r="AA250" s="453">
        <v>0</v>
      </c>
      <c r="AB250" s="453">
        <v>-646.20999999999913</v>
      </c>
      <c r="AC250" s="453">
        <v>-2773.2300000000014</v>
      </c>
      <c r="AD250" s="453">
        <v>-1959.369999999999</v>
      </c>
      <c r="AE250" s="453">
        <v>-360</v>
      </c>
      <c r="AF250" s="453">
        <v>-201</v>
      </c>
      <c r="AG250" s="453">
        <v>-225.87</v>
      </c>
      <c r="AH250" s="453">
        <v>-1590.3600000000001</v>
      </c>
      <c r="AI250" s="453">
        <v>-215.96000000000004</v>
      </c>
      <c r="AJ250" s="453">
        <v>-159.57999999999993</v>
      </c>
      <c r="AK250" s="453">
        <v>-1227.54</v>
      </c>
      <c r="AL250" s="453">
        <v>-430.27</v>
      </c>
      <c r="AM250" s="453">
        <v>-789.04</v>
      </c>
      <c r="AN250" s="453">
        <v>-1251.9400000000005</v>
      </c>
    </row>
    <row r="251" spans="1:40" outlineLevel="1" collapsed="1" x14ac:dyDescent="0.25">
      <c r="A251" s="452">
        <v>4870</v>
      </c>
      <c r="B251" t="s">
        <v>1137</v>
      </c>
      <c r="C251" t="s">
        <v>1138</v>
      </c>
      <c r="D251" t="s">
        <v>695</v>
      </c>
      <c r="E251" s="453">
        <f>S251+R251+Q251+P251+O251+N251+M251+L251+K251+J251+I251+H251</f>
        <v>-35078.5</v>
      </c>
      <c r="F251" s="453">
        <f>AE251+AD251+AC251+AB251+AA251+Z251+Y251+X251+W251+V251+U251+T251</f>
        <v>-4073.29</v>
      </c>
      <c r="G251" s="453">
        <f>AN251+AM251+AL251+AK251+AJ251+AI251+AH251+AG251+AF251</f>
        <v>0</v>
      </c>
      <c r="H251" s="453">
        <v>0</v>
      </c>
      <c r="I251" s="453">
        <v>0</v>
      </c>
      <c r="J251" s="453">
        <v>0</v>
      </c>
      <c r="K251" s="453">
        <v>0</v>
      </c>
      <c r="L251" s="453">
        <v>0</v>
      </c>
      <c r="M251" s="453">
        <v>0</v>
      </c>
      <c r="N251" s="453">
        <v>0</v>
      </c>
      <c r="O251" s="453">
        <v>0</v>
      </c>
      <c r="P251" s="453">
        <v>-3656.62</v>
      </c>
      <c r="Q251" s="453">
        <v>3656.62</v>
      </c>
      <c r="R251" s="453">
        <v>0</v>
      </c>
      <c r="S251" s="453">
        <v>-35078.5</v>
      </c>
      <c r="T251" s="453">
        <v>0</v>
      </c>
      <c r="U251" s="453">
        <v>0</v>
      </c>
      <c r="V251" s="453">
        <v>0</v>
      </c>
      <c r="W251" s="453">
        <v>0</v>
      </c>
      <c r="X251" s="453">
        <v>0</v>
      </c>
      <c r="Y251" s="453">
        <v>0</v>
      </c>
      <c r="Z251" s="453">
        <v>0</v>
      </c>
      <c r="AA251" s="453">
        <v>0</v>
      </c>
      <c r="AB251" s="453">
        <v>0</v>
      </c>
      <c r="AC251" s="453">
        <v>0</v>
      </c>
      <c r="AD251" s="453">
        <v>0</v>
      </c>
      <c r="AE251" s="453">
        <v>-4073.29</v>
      </c>
      <c r="AF251" s="453">
        <v>0</v>
      </c>
      <c r="AG251" s="453">
        <v>0</v>
      </c>
      <c r="AH251" s="453">
        <v>0</v>
      </c>
      <c r="AI251" s="453">
        <v>0</v>
      </c>
      <c r="AJ251" s="453">
        <v>0</v>
      </c>
      <c r="AK251" s="453">
        <v>0</v>
      </c>
      <c r="AL251" s="453">
        <v>0</v>
      </c>
      <c r="AM251" s="453">
        <v>0</v>
      </c>
      <c r="AN251" s="453">
        <v>0</v>
      </c>
    </row>
    <row r="252" spans="1:40" s="451" customFormat="1" x14ac:dyDescent="0.25">
      <c r="B252" s="451" t="s">
        <v>255</v>
      </c>
      <c r="C252" s="451" t="s">
        <v>254</v>
      </c>
      <c r="E252" s="460">
        <f t="shared" ref="E252:AN252" si="36">SUM(E247:E251)</f>
        <v>-359718.41999999993</v>
      </c>
      <c r="F252" s="460">
        <f t="shared" si="36"/>
        <v>-319793</v>
      </c>
      <c r="G252" s="460">
        <f t="shared" si="36"/>
        <v>-208417.96000000002</v>
      </c>
      <c r="H252" s="460">
        <f t="shared" si="36"/>
        <v>-28708.449999999997</v>
      </c>
      <c r="I252" s="460">
        <f t="shared" si="36"/>
        <v>-27820.95</v>
      </c>
      <c r="J252" s="460">
        <f t="shared" si="36"/>
        <v>-28935.330000000009</v>
      </c>
      <c r="K252" s="460">
        <f t="shared" si="36"/>
        <v>-29021.429999999997</v>
      </c>
      <c r="L252" s="460">
        <f t="shared" si="36"/>
        <v>-22722.190000000002</v>
      </c>
      <c r="M252" s="460">
        <f t="shared" si="36"/>
        <v>-26224.77</v>
      </c>
      <c r="N252" s="460">
        <f t="shared" si="36"/>
        <v>-27947.169999999991</v>
      </c>
      <c r="O252" s="460">
        <f t="shared" si="36"/>
        <v>-26012.219999999998</v>
      </c>
      <c r="P252" s="460">
        <f t="shared" si="36"/>
        <v>-29309.40000000002</v>
      </c>
      <c r="Q252" s="460">
        <f t="shared" si="36"/>
        <v>-22841.109999999997</v>
      </c>
      <c r="R252" s="460">
        <f t="shared" si="36"/>
        <v>-29045.089999999967</v>
      </c>
      <c r="S252" s="460">
        <f t="shared" si="36"/>
        <v>-61130.310000000012</v>
      </c>
      <c r="T252" s="460">
        <f t="shared" si="36"/>
        <v>-23590.17</v>
      </c>
      <c r="U252" s="460">
        <f t="shared" si="36"/>
        <v>-24429.05</v>
      </c>
      <c r="V252" s="460">
        <f t="shared" si="36"/>
        <v>-23335.889999999996</v>
      </c>
      <c r="W252" s="460">
        <f t="shared" si="36"/>
        <v>-27027.620000000003</v>
      </c>
      <c r="X252" s="460">
        <f t="shared" si="36"/>
        <v>-26054.11</v>
      </c>
      <c r="Y252" s="460">
        <f t="shared" si="36"/>
        <v>-25285.330000000009</v>
      </c>
      <c r="Z252" s="460">
        <f t="shared" si="36"/>
        <v>-27546.13</v>
      </c>
      <c r="AA252" s="460">
        <f t="shared" si="36"/>
        <v>-26184.48</v>
      </c>
      <c r="AB252" s="460">
        <f t="shared" si="36"/>
        <v>-25849.089999999982</v>
      </c>
      <c r="AC252" s="460">
        <f t="shared" si="36"/>
        <v>-27391.10000000002</v>
      </c>
      <c r="AD252" s="460">
        <f t="shared" si="36"/>
        <v>-32897.570000000007</v>
      </c>
      <c r="AE252" s="460">
        <f t="shared" si="36"/>
        <v>-30202.459999999992</v>
      </c>
      <c r="AF252" s="460">
        <f t="shared" si="36"/>
        <v>-24375.48</v>
      </c>
      <c r="AG252" s="460">
        <f t="shared" si="36"/>
        <v>-23781.510000000002</v>
      </c>
      <c r="AH252" s="460">
        <f t="shared" si="36"/>
        <v>-25177.669999999991</v>
      </c>
      <c r="AI252" s="460">
        <f t="shared" si="36"/>
        <v>-23170.520000000011</v>
      </c>
      <c r="AJ252" s="460">
        <f t="shared" si="36"/>
        <v>-22703.800000000003</v>
      </c>
      <c r="AK252" s="460">
        <f t="shared" si="36"/>
        <v>-23442.090000000004</v>
      </c>
      <c r="AL252" s="460">
        <f t="shared" si="36"/>
        <v>-21865.249999999982</v>
      </c>
      <c r="AM252" s="460">
        <f t="shared" si="36"/>
        <v>-22065.040000000001</v>
      </c>
      <c r="AN252" s="460">
        <f t="shared" si="36"/>
        <v>-21836.600000000006</v>
      </c>
    </row>
    <row r="253" spans="1:40" x14ac:dyDescent="0.25">
      <c r="B253" t="s">
        <v>1128</v>
      </c>
      <c r="C253" t="s">
        <v>1129</v>
      </c>
      <c r="E253" s="457">
        <f t="shared" ref="E253:AN253" si="37">(E252)/(E44)</f>
        <v>-2.2907944145657725E-2</v>
      </c>
      <c r="F253" s="457">
        <f t="shared" si="37"/>
        <v>-1.8511541967516199E-2</v>
      </c>
      <c r="G253" s="457">
        <f t="shared" si="37"/>
        <v>-1.7930050134380253E-2</v>
      </c>
      <c r="H253" s="457">
        <f t="shared" si="37"/>
        <v>-2.5644516510627453E-2</v>
      </c>
      <c r="I253" s="457">
        <f t="shared" si="37"/>
        <v>-2.2463367813856126E-2</v>
      </c>
      <c r="J253" s="457">
        <f t="shared" si="37"/>
        <v>-1.9875111676453387E-2</v>
      </c>
      <c r="K253" s="457">
        <f t="shared" si="37"/>
        <v>-2.1915351602068058E-2</v>
      </c>
      <c r="L253" s="457">
        <f t="shared" si="37"/>
        <v>-1.8598858577244724E-2</v>
      </c>
      <c r="M253" s="457">
        <f t="shared" si="37"/>
        <v>-1.9044845110347638E-2</v>
      </c>
      <c r="N253" s="457">
        <f t="shared" si="37"/>
        <v>-2.2882916133210088E-2</v>
      </c>
      <c r="O253" s="457">
        <f t="shared" si="37"/>
        <v>-1.8646334983535313E-2</v>
      </c>
      <c r="P253" s="457">
        <f t="shared" si="37"/>
        <v>-2.2121238491682575E-2</v>
      </c>
      <c r="Q253" s="457">
        <f t="shared" si="37"/>
        <v>-2.0884769713537605E-2</v>
      </c>
      <c r="R253" s="457">
        <f t="shared" si="37"/>
        <v>-2.1804121716183306E-2</v>
      </c>
      <c r="S253" s="457">
        <f t="shared" si="37"/>
        <v>-3.8231744562758026E-2</v>
      </c>
      <c r="T253" s="457">
        <f t="shared" si="37"/>
        <v>-1.7141723573714782E-2</v>
      </c>
      <c r="U253" s="457">
        <f t="shared" si="37"/>
        <v>-1.7307294064770058E-2</v>
      </c>
      <c r="V253" s="457">
        <f t="shared" si="37"/>
        <v>-1.3998414817216767E-2</v>
      </c>
      <c r="W253" s="457">
        <f t="shared" si="37"/>
        <v>-1.9925730711876938E-2</v>
      </c>
      <c r="X253" s="457">
        <f t="shared" si="37"/>
        <v>-1.4593610823840636E-2</v>
      </c>
      <c r="Y253" s="457">
        <f t="shared" si="37"/>
        <v>-2.0786455322952077E-2</v>
      </c>
      <c r="Z253" s="457">
        <f t="shared" si="37"/>
        <v>-1.8556385999947158E-2</v>
      </c>
      <c r="AA253" s="457">
        <f t="shared" si="37"/>
        <v>-2.0287648698498455E-2</v>
      </c>
      <c r="AB253" s="457">
        <f t="shared" si="37"/>
        <v>-1.7824465531134905E-2</v>
      </c>
      <c r="AC253" s="457">
        <f t="shared" si="37"/>
        <v>-1.994097330377094E-2</v>
      </c>
      <c r="AD253" s="457">
        <f t="shared" si="37"/>
        <v>-2.4662200539506348E-2</v>
      </c>
      <c r="AE253" s="457">
        <f t="shared" si="37"/>
        <v>-1.974528589950085E-2</v>
      </c>
      <c r="AF253" s="457">
        <f t="shared" si="37"/>
        <v>-1.7667084877288367E-2</v>
      </c>
      <c r="AG253" s="457">
        <f t="shared" si="37"/>
        <v>-1.6050188682352376E-2</v>
      </c>
      <c r="AH253" s="457">
        <f t="shared" si="37"/>
        <v>-2.1752725549941735E-2</v>
      </c>
      <c r="AI253" s="457">
        <f t="shared" si="37"/>
        <v>-1.6888969819359362E-2</v>
      </c>
      <c r="AJ253" s="457">
        <f t="shared" si="37"/>
        <v>-1.491100140932009E-2</v>
      </c>
      <c r="AK253" s="457">
        <f t="shared" si="37"/>
        <v>-2.2000565225217244E-2</v>
      </c>
      <c r="AL253" s="457">
        <f t="shared" si="37"/>
        <v>-1.9477967574957587E-2</v>
      </c>
      <c r="AM253" s="457">
        <f t="shared" si="37"/>
        <v>-1.590545190831882E-2</v>
      </c>
      <c r="AN253" s="457">
        <f t="shared" si="37"/>
        <v>-1.9236084846527196E-2</v>
      </c>
    </row>
    <row r="255" spans="1:40" s="455" customFormat="1" x14ac:dyDescent="0.25">
      <c r="B255" s="455" t="s">
        <v>156</v>
      </c>
      <c r="C255" s="455" t="s">
        <v>156</v>
      </c>
      <c r="E255" s="456">
        <f t="shared" ref="E255:AN255" si="38">E244+E252</f>
        <v>1235441.5700000008</v>
      </c>
      <c r="F255" s="456">
        <f t="shared" si="38"/>
        <v>1440547.7699999968</v>
      </c>
      <c r="G255" s="456">
        <f t="shared" si="38"/>
        <v>1227527.5700000019</v>
      </c>
      <c r="H255" s="456">
        <f t="shared" si="38"/>
        <v>-28454.600000000049</v>
      </c>
      <c r="I255" s="456">
        <f t="shared" si="38"/>
        <v>-102336.86999999989</v>
      </c>
      <c r="J255" s="456">
        <f t="shared" si="38"/>
        <v>-33537.779999999962</v>
      </c>
      <c r="K255" s="456">
        <f t="shared" si="38"/>
        <v>127306.66999999995</v>
      </c>
      <c r="L255" s="456">
        <f t="shared" si="38"/>
        <v>-182116.03999999963</v>
      </c>
      <c r="M255" s="456">
        <f t="shared" si="38"/>
        <v>846738.4599999995</v>
      </c>
      <c r="N255" s="456">
        <f t="shared" si="38"/>
        <v>8396.8000000003012</v>
      </c>
      <c r="O255" s="456">
        <f t="shared" si="38"/>
        <v>421664.54000000062</v>
      </c>
      <c r="P255" s="456">
        <f t="shared" si="38"/>
        <v>19608.769999998975</v>
      </c>
      <c r="Q255" s="456">
        <f t="shared" si="38"/>
        <v>23546.520000000241</v>
      </c>
      <c r="R255" s="456">
        <f t="shared" si="38"/>
        <v>368500.0899999995</v>
      </c>
      <c r="S255" s="456">
        <f t="shared" si="38"/>
        <v>-233874.98999999941</v>
      </c>
      <c r="T255" s="456">
        <f t="shared" si="38"/>
        <v>173933.19000000006</v>
      </c>
      <c r="U255" s="456">
        <f t="shared" si="38"/>
        <v>284715.63999999972</v>
      </c>
      <c r="V255" s="456">
        <f t="shared" si="38"/>
        <v>493493.76000000007</v>
      </c>
      <c r="W255" s="456">
        <f t="shared" si="38"/>
        <v>108916.87000000002</v>
      </c>
      <c r="X255" s="456">
        <f t="shared" si="38"/>
        <v>22937.940000000162</v>
      </c>
      <c r="Y255" s="456">
        <f t="shared" si="38"/>
        <v>-210739.58000000005</v>
      </c>
      <c r="Z255" s="456">
        <f t="shared" si="38"/>
        <v>-803792.97999999963</v>
      </c>
      <c r="AA255" s="456">
        <f t="shared" si="38"/>
        <v>211076.41999999926</v>
      </c>
      <c r="AB255" s="456">
        <f t="shared" si="38"/>
        <v>-276578.53000000003</v>
      </c>
      <c r="AC255" s="456">
        <f t="shared" si="38"/>
        <v>73398.759999999151</v>
      </c>
      <c r="AD255" s="456">
        <f t="shared" si="38"/>
        <v>200425.28000000183</v>
      </c>
      <c r="AE255" s="456">
        <f t="shared" si="38"/>
        <v>1162760.9999999984</v>
      </c>
      <c r="AF255" s="456">
        <f t="shared" si="38"/>
        <v>112341.09999999996</v>
      </c>
      <c r="AG255" s="456">
        <f t="shared" si="38"/>
        <v>105403.02000000046</v>
      </c>
      <c r="AH255" s="456">
        <f t="shared" si="38"/>
        <v>-90021.400000000518</v>
      </c>
      <c r="AI255" s="456">
        <f t="shared" si="38"/>
        <v>127420.71000000043</v>
      </c>
      <c r="AJ255" s="456">
        <f t="shared" si="38"/>
        <v>149221.60000000027</v>
      </c>
      <c r="AK255" s="456">
        <f t="shared" si="38"/>
        <v>232895.84999999974</v>
      </c>
      <c r="AL255" s="456">
        <f t="shared" si="38"/>
        <v>-36809.970000000219</v>
      </c>
      <c r="AM255" s="456">
        <f t="shared" si="38"/>
        <v>453150.7900000005</v>
      </c>
      <c r="AN255" s="456">
        <f t="shared" si="38"/>
        <v>173925.87000000058</v>
      </c>
    </row>
    <row r="256" spans="1:40" x14ac:dyDescent="0.25">
      <c r="B256" t="s">
        <v>1128</v>
      </c>
      <c r="C256" t="s">
        <v>1129</v>
      </c>
      <c r="E256" s="457">
        <f t="shared" ref="E256:AN256" si="39">(E255)/(E44)</f>
        <v>7.8676611780913827E-2</v>
      </c>
      <c r="F256" s="457">
        <f t="shared" si="39"/>
        <v>8.3387567897254822E-2</v>
      </c>
      <c r="G256" s="457">
        <f t="shared" si="39"/>
        <v>0.10560333126489674</v>
      </c>
      <c r="H256" s="457">
        <f t="shared" si="39"/>
        <v>-2.5417758865536148E-2</v>
      </c>
      <c r="I256" s="457">
        <f t="shared" si="39"/>
        <v>-8.2629484317709348E-2</v>
      </c>
      <c r="J256" s="457">
        <f t="shared" si="39"/>
        <v>-2.3036444473946694E-2</v>
      </c>
      <c r="K256" s="457">
        <f t="shared" si="39"/>
        <v>9.6134836716814054E-2</v>
      </c>
      <c r="L256" s="457">
        <f t="shared" si="39"/>
        <v>-0.14906795835295084</v>
      </c>
      <c r="M256" s="457">
        <f t="shared" si="39"/>
        <v>0.61491493804042063</v>
      </c>
      <c r="N256" s="457">
        <f t="shared" si="39"/>
        <v>6.8752317385747967E-3</v>
      </c>
      <c r="O256" s="457">
        <f t="shared" si="39"/>
        <v>0.30226171635940102</v>
      </c>
      <c r="P256" s="457">
        <f t="shared" si="39"/>
        <v>1.4799698311754166E-2</v>
      </c>
      <c r="Q256" s="457">
        <f t="shared" si="39"/>
        <v>2.1529761371282419E-2</v>
      </c>
      <c r="R256" s="457">
        <f t="shared" si="39"/>
        <v>0.27663267060919766</v>
      </c>
      <c r="S256" s="457">
        <f t="shared" si="39"/>
        <v>-0.14626866569624078</v>
      </c>
      <c r="T256" s="457">
        <f t="shared" si="39"/>
        <v>0.12638801090769644</v>
      </c>
      <c r="U256" s="457">
        <f t="shared" si="39"/>
        <v>0.20171301406805436</v>
      </c>
      <c r="V256" s="457">
        <f t="shared" si="39"/>
        <v>0.29603029334591557</v>
      </c>
      <c r="W256" s="457">
        <f t="shared" si="39"/>
        <v>8.0297422473769739E-2</v>
      </c>
      <c r="X256" s="457">
        <f t="shared" si="39"/>
        <v>1.2848159828165669E-2</v>
      </c>
      <c r="Y256" s="457">
        <f t="shared" si="39"/>
        <v>-0.17324388744175712</v>
      </c>
      <c r="Z256" s="457">
        <f t="shared" si="39"/>
        <v>-0.54147325961678816</v>
      </c>
      <c r="AA256" s="457">
        <f t="shared" si="39"/>
        <v>0.16354131369027372</v>
      </c>
      <c r="AB256" s="457">
        <f t="shared" si="39"/>
        <v>-0.19071713838425125</v>
      </c>
      <c r="AC256" s="457">
        <f t="shared" si="39"/>
        <v>5.3434973903562555E-2</v>
      </c>
      <c r="AD256" s="457">
        <f t="shared" si="39"/>
        <v>0.15025208392433712</v>
      </c>
      <c r="AE256" s="457">
        <f t="shared" si="39"/>
        <v>0.76017146874093966</v>
      </c>
      <c r="AF256" s="457">
        <f t="shared" si="39"/>
        <v>8.1423617049097674E-2</v>
      </c>
      <c r="AG256" s="457">
        <f t="shared" si="39"/>
        <v>7.1136709094156272E-2</v>
      </c>
      <c r="AH256" s="457">
        <f t="shared" si="39"/>
        <v>-7.7775695996553179E-2</v>
      </c>
      <c r="AI256" s="457">
        <f t="shared" si="39"/>
        <v>9.2876833387914817E-2</v>
      </c>
      <c r="AJ256" s="457">
        <f t="shared" si="39"/>
        <v>9.8003131101445692E-2</v>
      </c>
      <c r="AK256" s="457">
        <f t="shared" si="39"/>
        <v>0.21857438217357772</v>
      </c>
      <c r="AL256" s="457">
        <f t="shared" si="39"/>
        <v>-3.2790999512704699E-2</v>
      </c>
      <c r="AM256" s="457">
        <f t="shared" si="39"/>
        <v>0.32665103247316518</v>
      </c>
      <c r="AN256" s="457">
        <f t="shared" si="39"/>
        <v>0.15321308227132746</v>
      </c>
    </row>
    <row r="258" spans="1:40" outlineLevel="1" collapsed="1" x14ac:dyDescent="0.25">
      <c r="A258" s="452">
        <v>2650</v>
      </c>
      <c r="B258" t="s">
        <v>1141</v>
      </c>
      <c r="C258" t="s">
        <v>1142</v>
      </c>
      <c r="D258" t="s">
        <v>689</v>
      </c>
      <c r="E258" s="453">
        <f>S258+R258+Q258+P258+O258+N258+M258+L258+K258+J258+I258+H258</f>
        <v>4425</v>
      </c>
      <c r="F258" s="453">
        <f>AE258+AD258+AC258+AB258+AA258+Z258+Y258+X258+W258+V258+U258+T258</f>
        <v>3037.66</v>
      </c>
      <c r="G258" s="453">
        <f>AN258+AM258+AL258+AK258+AJ258+AI258+AH258+AG258+AF258</f>
        <v>2206.2600000000002</v>
      </c>
      <c r="H258" s="453">
        <v>0</v>
      </c>
      <c r="I258" s="453">
        <v>2020</v>
      </c>
      <c r="J258" s="453">
        <v>0</v>
      </c>
      <c r="K258" s="453">
        <v>0</v>
      </c>
      <c r="L258" s="453">
        <v>2400</v>
      </c>
      <c r="M258" s="453">
        <v>5</v>
      </c>
      <c r="N258" s="453">
        <v>0</v>
      </c>
      <c r="O258" s="453">
        <v>0</v>
      </c>
      <c r="P258" s="453">
        <v>0</v>
      </c>
      <c r="Q258" s="453">
        <v>0</v>
      </c>
      <c r="R258" s="453">
        <v>0</v>
      </c>
      <c r="S258" s="453">
        <v>0</v>
      </c>
      <c r="T258" s="453">
        <v>0</v>
      </c>
      <c r="U258" s="453">
        <v>1100</v>
      </c>
      <c r="V258" s="453">
        <v>0</v>
      </c>
      <c r="W258" s="453">
        <v>1819.1599999999999</v>
      </c>
      <c r="X258" s="453">
        <v>110</v>
      </c>
      <c r="Y258" s="453">
        <v>6.2600000000002183</v>
      </c>
      <c r="Z258" s="453">
        <v>0</v>
      </c>
      <c r="AA258" s="453">
        <v>0</v>
      </c>
      <c r="AB258" s="453">
        <v>0</v>
      </c>
      <c r="AC258" s="453">
        <v>0</v>
      </c>
      <c r="AD258" s="453">
        <v>0</v>
      </c>
      <c r="AE258" s="453">
        <v>2.2399999999997817</v>
      </c>
      <c r="AF258" s="453">
        <v>0</v>
      </c>
      <c r="AG258" s="453">
        <v>0</v>
      </c>
      <c r="AH258" s="453">
        <v>1300</v>
      </c>
      <c r="AI258" s="453">
        <v>900</v>
      </c>
      <c r="AJ258" s="453">
        <v>0</v>
      </c>
      <c r="AK258" s="453">
        <v>6.2600000000002183</v>
      </c>
      <c r="AL258" s="453">
        <v>0</v>
      </c>
      <c r="AM258" s="453">
        <v>0</v>
      </c>
      <c r="AN258" s="453">
        <v>0</v>
      </c>
    </row>
    <row r="259" spans="1:40" outlineLevel="1" collapsed="1" x14ac:dyDescent="0.25">
      <c r="A259" s="452">
        <v>2658</v>
      </c>
      <c r="B259" t="s">
        <v>1143</v>
      </c>
      <c r="C259" t="s">
        <v>1144</v>
      </c>
      <c r="D259" t="s">
        <v>689</v>
      </c>
      <c r="E259" s="453">
        <f>S259+R259+Q259+P259+O259+N259+M259+L259+K259+J259+I259+H259</f>
        <v>0</v>
      </c>
      <c r="F259" s="453">
        <f>AE259+AD259+AC259+AB259+AA259+Z259+Y259+X259+W259+V259+U259+T259</f>
        <v>97</v>
      </c>
      <c r="G259" s="453">
        <f>AN259+AM259+AL259+AK259+AJ259+AI259+AH259+AG259+AF259</f>
        <v>0</v>
      </c>
      <c r="H259" s="453">
        <v>0</v>
      </c>
      <c r="I259" s="453">
        <v>0</v>
      </c>
      <c r="J259" s="453">
        <v>0</v>
      </c>
      <c r="K259" s="453">
        <v>0</v>
      </c>
      <c r="L259" s="453">
        <v>0</v>
      </c>
      <c r="M259" s="453">
        <v>0</v>
      </c>
      <c r="N259" s="453">
        <v>0</v>
      </c>
      <c r="O259" s="453">
        <v>0</v>
      </c>
      <c r="P259" s="453">
        <v>0</v>
      </c>
      <c r="Q259" s="453">
        <v>0</v>
      </c>
      <c r="R259" s="453">
        <v>0</v>
      </c>
      <c r="S259" s="453">
        <v>0</v>
      </c>
      <c r="T259" s="453">
        <v>0</v>
      </c>
      <c r="U259" s="453">
        <v>0</v>
      </c>
      <c r="V259" s="453">
        <v>97</v>
      </c>
      <c r="W259" s="453">
        <v>0</v>
      </c>
      <c r="X259" s="453">
        <v>0</v>
      </c>
      <c r="Y259" s="453">
        <v>0</v>
      </c>
      <c r="Z259" s="453">
        <v>0</v>
      </c>
      <c r="AA259" s="453">
        <v>0</v>
      </c>
      <c r="AB259" s="453">
        <v>0</v>
      </c>
      <c r="AC259" s="453">
        <v>0</v>
      </c>
      <c r="AD259" s="453">
        <v>0</v>
      </c>
      <c r="AE259" s="453">
        <v>0</v>
      </c>
      <c r="AF259" s="453">
        <v>0</v>
      </c>
      <c r="AG259" s="453">
        <v>0</v>
      </c>
      <c r="AH259" s="453">
        <v>0</v>
      </c>
      <c r="AI259" s="453">
        <v>0</v>
      </c>
      <c r="AJ259" s="453">
        <v>0</v>
      </c>
      <c r="AK259" s="453">
        <v>0</v>
      </c>
      <c r="AL259" s="453">
        <v>0</v>
      </c>
      <c r="AM259" s="453">
        <v>0</v>
      </c>
      <c r="AN259" s="453">
        <v>0</v>
      </c>
    </row>
    <row r="260" spans="1:40" s="451" customFormat="1" x14ac:dyDescent="0.25">
      <c r="B260" s="451" t="s">
        <v>1648</v>
      </c>
      <c r="C260" s="451" t="s">
        <v>1649</v>
      </c>
      <c r="E260" s="460">
        <f t="shared" ref="E260:AN260" si="40">SUM(E258:E259)</f>
        <v>4425</v>
      </c>
      <c r="F260" s="460">
        <f t="shared" si="40"/>
        <v>3134.66</v>
      </c>
      <c r="G260" s="460">
        <f t="shared" si="40"/>
        <v>2206.2600000000002</v>
      </c>
      <c r="H260" s="460">
        <f t="shared" si="40"/>
        <v>0</v>
      </c>
      <c r="I260" s="460">
        <f t="shared" si="40"/>
        <v>2020</v>
      </c>
      <c r="J260" s="460">
        <f t="shared" si="40"/>
        <v>0</v>
      </c>
      <c r="K260" s="460">
        <f t="shared" si="40"/>
        <v>0</v>
      </c>
      <c r="L260" s="460">
        <f t="shared" si="40"/>
        <v>2400</v>
      </c>
      <c r="M260" s="460">
        <f t="shared" si="40"/>
        <v>5</v>
      </c>
      <c r="N260" s="460">
        <f t="shared" si="40"/>
        <v>0</v>
      </c>
      <c r="O260" s="460">
        <f t="shared" si="40"/>
        <v>0</v>
      </c>
      <c r="P260" s="460">
        <f t="shared" si="40"/>
        <v>0</v>
      </c>
      <c r="Q260" s="460">
        <f t="shared" si="40"/>
        <v>0</v>
      </c>
      <c r="R260" s="460">
        <f t="shared" si="40"/>
        <v>0</v>
      </c>
      <c r="S260" s="460">
        <f t="shared" si="40"/>
        <v>0</v>
      </c>
      <c r="T260" s="460">
        <f t="shared" si="40"/>
        <v>0</v>
      </c>
      <c r="U260" s="460">
        <f t="shared" si="40"/>
        <v>1100</v>
      </c>
      <c r="V260" s="460">
        <f t="shared" si="40"/>
        <v>97</v>
      </c>
      <c r="W260" s="460">
        <f t="shared" si="40"/>
        <v>1819.1599999999999</v>
      </c>
      <c r="X260" s="460">
        <f t="shared" si="40"/>
        <v>110</v>
      </c>
      <c r="Y260" s="460">
        <f t="shared" si="40"/>
        <v>6.2600000000002183</v>
      </c>
      <c r="Z260" s="460">
        <f t="shared" si="40"/>
        <v>0</v>
      </c>
      <c r="AA260" s="460">
        <f t="shared" si="40"/>
        <v>0</v>
      </c>
      <c r="AB260" s="460">
        <f t="shared" si="40"/>
        <v>0</v>
      </c>
      <c r="AC260" s="460">
        <f t="shared" si="40"/>
        <v>0</v>
      </c>
      <c r="AD260" s="460">
        <f t="shared" si="40"/>
        <v>0</v>
      </c>
      <c r="AE260" s="460">
        <f t="shared" si="40"/>
        <v>2.2399999999997817</v>
      </c>
      <c r="AF260" s="460">
        <f t="shared" si="40"/>
        <v>0</v>
      </c>
      <c r="AG260" s="460">
        <f t="shared" si="40"/>
        <v>0</v>
      </c>
      <c r="AH260" s="460">
        <f t="shared" si="40"/>
        <v>1300</v>
      </c>
      <c r="AI260" s="460">
        <f t="shared" si="40"/>
        <v>900</v>
      </c>
      <c r="AJ260" s="460">
        <f t="shared" si="40"/>
        <v>0</v>
      </c>
      <c r="AK260" s="460">
        <f t="shared" si="40"/>
        <v>6.2600000000002183</v>
      </c>
      <c r="AL260" s="460">
        <f t="shared" si="40"/>
        <v>0</v>
      </c>
      <c r="AM260" s="460">
        <f t="shared" si="40"/>
        <v>0</v>
      </c>
      <c r="AN260" s="460">
        <f t="shared" si="40"/>
        <v>0</v>
      </c>
    </row>
    <row r="261" spans="1:40" x14ac:dyDescent="0.25">
      <c r="B261" t="s">
        <v>1128</v>
      </c>
      <c r="C261" t="s">
        <v>1129</v>
      </c>
      <c r="E261" s="457">
        <f t="shared" ref="E261:AN261" si="41">(E260)/(E44)</f>
        <v>2.8179722585386493E-4</v>
      </c>
      <c r="F261" s="457">
        <f t="shared" si="41"/>
        <v>1.8145297159066748E-4</v>
      </c>
      <c r="G261" s="457">
        <f t="shared" si="41"/>
        <v>1.8980299207168986E-4</v>
      </c>
      <c r="H261" s="457">
        <f t="shared" si="41"/>
        <v>0</v>
      </c>
      <c r="I261" s="457">
        <f t="shared" si="41"/>
        <v>1.6310012053502619E-3</v>
      </c>
      <c r="J261" s="457">
        <f t="shared" si="41"/>
        <v>0</v>
      </c>
      <c r="K261" s="457">
        <f t="shared" si="41"/>
        <v>0</v>
      </c>
      <c r="L261" s="457">
        <f t="shared" si="41"/>
        <v>1.9644788017962765E-3</v>
      </c>
      <c r="M261" s="457">
        <f t="shared" si="41"/>
        <v>3.6310795309830439E-6</v>
      </c>
      <c r="N261" s="457">
        <f t="shared" si="41"/>
        <v>0</v>
      </c>
      <c r="O261" s="457">
        <f t="shared" si="41"/>
        <v>0</v>
      </c>
      <c r="P261" s="457">
        <f t="shared" si="41"/>
        <v>0</v>
      </c>
      <c r="Q261" s="457">
        <f t="shared" si="41"/>
        <v>0</v>
      </c>
      <c r="R261" s="457">
        <f t="shared" si="41"/>
        <v>0</v>
      </c>
      <c r="S261" s="457">
        <f t="shared" si="41"/>
        <v>0</v>
      </c>
      <c r="T261" s="457">
        <f t="shared" si="41"/>
        <v>0</v>
      </c>
      <c r="U261" s="457">
        <f t="shared" si="41"/>
        <v>7.793190267835656E-4</v>
      </c>
      <c r="V261" s="457">
        <f t="shared" si="41"/>
        <v>5.8187034532217401E-5</v>
      </c>
      <c r="W261" s="457">
        <f t="shared" si="41"/>
        <v>1.3411499895964959E-3</v>
      </c>
      <c r="X261" s="457">
        <f t="shared" si="41"/>
        <v>6.1613971485591714E-5</v>
      </c>
      <c r="Y261" s="457">
        <f t="shared" si="41"/>
        <v>5.1461938729565515E-6</v>
      </c>
      <c r="Z261" s="457">
        <f t="shared" si="41"/>
        <v>0</v>
      </c>
      <c r="AA261" s="457">
        <f t="shared" si="41"/>
        <v>0</v>
      </c>
      <c r="AB261" s="457">
        <f t="shared" si="41"/>
        <v>0</v>
      </c>
      <c r="AC261" s="457">
        <f t="shared" si="41"/>
        <v>0</v>
      </c>
      <c r="AD261" s="457">
        <f t="shared" si="41"/>
        <v>0</v>
      </c>
      <c r="AE261" s="457">
        <f t="shared" si="41"/>
        <v>1.464431718968508E-6</v>
      </c>
      <c r="AF261" s="457">
        <f t="shared" si="41"/>
        <v>0</v>
      </c>
      <c r="AG261" s="457">
        <f t="shared" si="41"/>
        <v>0</v>
      </c>
      <c r="AH261" s="457">
        <f t="shared" si="41"/>
        <v>1.1231596575427458E-3</v>
      </c>
      <c r="AI261" s="457">
        <f t="shared" si="41"/>
        <v>6.5600913736176046E-4</v>
      </c>
      <c r="AJ261" s="457">
        <f t="shared" si="41"/>
        <v>0</v>
      </c>
      <c r="AK261" s="457">
        <f t="shared" si="41"/>
        <v>5.8750537306982749E-6</v>
      </c>
      <c r="AL261" s="457">
        <f t="shared" si="41"/>
        <v>0</v>
      </c>
      <c r="AM261" s="457">
        <f t="shared" si="41"/>
        <v>0</v>
      </c>
      <c r="AN261" s="457">
        <f t="shared" si="41"/>
        <v>0</v>
      </c>
    </row>
    <row r="263" spans="1:40" outlineLevel="1" collapsed="1" x14ac:dyDescent="0.25">
      <c r="A263" s="452">
        <v>2110</v>
      </c>
      <c r="B263" t="s">
        <v>1147</v>
      </c>
      <c r="C263" t="s">
        <v>1148</v>
      </c>
      <c r="D263" t="s">
        <v>696</v>
      </c>
      <c r="E263" s="453">
        <f>S263+R263+Q263+P263+O263+N263+M263+L263+K263+J263+I263+H263</f>
        <v>-129.13999999999999</v>
      </c>
      <c r="F263" s="453">
        <f>AE263+AD263+AC263+AB263+AA263+Z263+Y263+X263+W263+V263+U263+T263</f>
        <v>-15.52</v>
      </c>
      <c r="G263" s="453">
        <f>AN263+AM263+AL263+AK263+AJ263+AI263+AH263+AG263+AF263</f>
        <v>-162.62</v>
      </c>
      <c r="H263" s="453">
        <v>-129.13999999999999</v>
      </c>
      <c r="I263" s="453">
        <v>0</v>
      </c>
      <c r="J263" s="453">
        <v>0</v>
      </c>
      <c r="K263" s="453">
        <v>0</v>
      </c>
      <c r="L263" s="453">
        <v>0</v>
      </c>
      <c r="M263" s="453">
        <v>0</v>
      </c>
      <c r="N263" s="453">
        <v>0</v>
      </c>
      <c r="O263" s="453">
        <v>0</v>
      </c>
      <c r="P263" s="453">
        <v>0</v>
      </c>
      <c r="Q263" s="453">
        <v>0</v>
      </c>
      <c r="R263" s="453">
        <v>0</v>
      </c>
      <c r="S263" s="453">
        <v>0</v>
      </c>
      <c r="T263" s="453">
        <v>0</v>
      </c>
      <c r="U263" s="453">
        <v>0</v>
      </c>
      <c r="V263" s="453">
        <v>0</v>
      </c>
      <c r="W263" s="453">
        <v>0</v>
      </c>
      <c r="X263" s="453">
        <v>0</v>
      </c>
      <c r="Y263" s="453">
        <v>0</v>
      </c>
      <c r="Z263" s="453">
        <v>0</v>
      </c>
      <c r="AA263" s="453">
        <v>0</v>
      </c>
      <c r="AB263" s="453">
        <v>0</v>
      </c>
      <c r="AC263" s="453">
        <v>0</v>
      </c>
      <c r="AD263" s="453">
        <v>0</v>
      </c>
      <c r="AE263" s="453">
        <v>-15.52</v>
      </c>
      <c r="AF263" s="453">
        <v>0</v>
      </c>
      <c r="AG263" s="453">
        <v>0</v>
      </c>
      <c r="AH263" s="453">
        <v>-84.87</v>
      </c>
      <c r="AI263" s="453">
        <v>0</v>
      </c>
      <c r="AJ263" s="453">
        <v>0</v>
      </c>
      <c r="AK263" s="453">
        <v>-25.72999999999999</v>
      </c>
      <c r="AL263" s="453">
        <v>-52.02000000000001</v>
      </c>
      <c r="AM263" s="453">
        <v>0</v>
      </c>
      <c r="AN263" s="453">
        <v>0</v>
      </c>
    </row>
    <row r="264" spans="1:40" outlineLevel="1" collapsed="1" x14ac:dyDescent="0.25">
      <c r="A264" s="452">
        <v>2120</v>
      </c>
      <c r="B264" t="s">
        <v>1650</v>
      </c>
      <c r="C264" t="s">
        <v>1651</v>
      </c>
      <c r="D264" t="s">
        <v>696</v>
      </c>
      <c r="E264" s="453">
        <f>S264+R264+Q264+P264+O264+N264+M264+L264+K264+J264+I264+H264</f>
        <v>0</v>
      </c>
      <c r="F264" s="453">
        <f>AE264+AD264+AC264+AB264+AA264+Z264+Y264+X264+W264+V264+U264+T264</f>
        <v>0</v>
      </c>
      <c r="G264" s="453">
        <f>AN264+AM264+AL264+AK264+AJ264+AI264+AH264+AG264+AF264</f>
        <v>-48.83</v>
      </c>
      <c r="H264" s="453">
        <v>0</v>
      </c>
      <c r="I264" s="453">
        <v>0</v>
      </c>
      <c r="J264" s="453">
        <v>0</v>
      </c>
      <c r="K264" s="453">
        <v>0</v>
      </c>
      <c r="L264" s="453">
        <v>0</v>
      </c>
      <c r="M264" s="453">
        <v>0</v>
      </c>
      <c r="N264" s="453">
        <v>0</v>
      </c>
      <c r="O264" s="453">
        <v>0</v>
      </c>
      <c r="P264" s="453">
        <v>0</v>
      </c>
      <c r="Q264" s="453">
        <v>0</v>
      </c>
      <c r="R264" s="453">
        <v>0</v>
      </c>
      <c r="S264" s="453">
        <v>0</v>
      </c>
      <c r="T264" s="453">
        <v>0</v>
      </c>
      <c r="U264" s="453">
        <v>0</v>
      </c>
      <c r="V264" s="453">
        <v>0</v>
      </c>
      <c r="W264" s="453">
        <v>0</v>
      </c>
      <c r="X264" s="453">
        <v>0</v>
      </c>
      <c r="Y264" s="453">
        <v>0</v>
      </c>
      <c r="Z264" s="453">
        <v>0</v>
      </c>
      <c r="AA264" s="453">
        <v>0</v>
      </c>
      <c r="AB264" s="453">
        <v>0</v>
      </c>
      <c r="AC264" s="453">
        <v>0</v>
      </c>
      <c r="AD264" s="453">
        <v>0</v>
      </c>
      <c r="AE264" s="453">
        <v>0</v>
      </c>
      <c r="AF264" s="453">
        <v>0</v>
      </c>
      <c r="AG264" s="453">
        <v>0</v>
      </c>
      <c r="AH264" s="453">
        <v>0</v>
      </c>
      <c r="AI264" s="453">
        <v>0</v>
      </c>
      <c r="AJ264" s="453">
        <v>0</v>
      </c>
      <c r="AK264" s="453">
        <v>-4.84</v>
      </c>
      <c r="AL264" s="453">
        <v>0</v>
      </c>
      <c r="AM264" s="453">
        <v>0</v>
      </c>
      <c r="AN264" s="453">
        <v>-43.989999999999995</v>
      </c>
    </row>
    <row r="265" spans="1:40" outlineLevel="1" collapsed="1" x14ac:dyDescent="0.25">
      <c r="A265" s="452">
        <v>2146</v>
      </c>
      <c r="B265" t="s">
        <v>1149</v>
      </c>
      <c r="C265" t="s">
        <v>1150</v>
      </c>
      <c r="D265" t="s">
        <v>696</v>
      </c>
      <c r="E265" s="453">
        <f>S265+R265+Q265+P265+O265+N265+M265+L265+K265+J265+I265+H265</f>
        <v>-3561</v>
      </c>
      <c r="F265" s="453">
        <f>AE265+AD265+AC265+AB265+AA265+Z265+Y265+X265+W265+V265+U265+T265</f>
        <v>-3491</v>
      </c>
      <c r="G265" s="453">
        <f>AN265+AM265+AL265+AK265+AJ265+AI265+AH265+AG265+AF265</f>
        <v>0</v>
      </c>
      <c r="H265" s="453">
        <v>0</v>
      </c>
      <c r="I265" s="453">
        <v>0</v>
      </c>
      <c r="J265" s="453">
        <v>0</v>
      </c>
      <c r="K265" s="453">
        <v>0</v>
      </c>
      <c r="L265" s="453">
        <v>0</v>
      </c>
      <c r="M265" s="453">
        <v>0</v>
      </c>
      <c r="N265" s="453">
        <v>0</v>
      </c>
      <c r="O265" s="453">
        <v>0</v>
      </c>
      <c r="P265" s="453">
        <v>-3561</v>
      </c>
      <c r="Q265" s="453">
        <v>0</v>
      </c>
      <c r="R265" s="453">
        <v>0</v>
      </c>
      <c r="S265" s="453">
        <v>0</v>
      </c>
      <c r="T265" s="453">
        <v>0</v>
      </c>
      <c r="U265" s="453">
        <v>0</v>
      </c>
      <c r="V265" s="453">
        <v>0</v>
      </c>
      <c r="W265" s="453">
        <v>0</v>
      </c>
      <c r="X265" s="453">
        <v>0</v>
      </c>
      <c r="Y265" s="453">
        <v>0</v>
      </c>
      <c r="Z265" s="453">
        <v>0</v>
      </c>
      <c r="AA265" s="453">
        <v>0</v>
      </c>
      <c r="AB265" s="453">
        <v>0</v>
      </c>
      <c r="AC265" s="453">
        <v>0</v>
      </c>
      <c r="AD265" s="453">
        <v>0</v>
      </c>
      <c r="AE265" s="453">
        <v>-3491</v>
      </c>
      <c r="AF265" s="453">
        <v>0</v>
      </c>
      <c r="AG265" s="453">
        <v>0</v>
      </c>
      <c r="AH265" s="453">
        <v>0</v>
      </c>
      <c r="AI265" s="453">
        <v>0</v>
      </c>
      <c r="AJ265" s="453">
        <v>0</v>
      </c>
      <c r="AK265" s="453">
        <v>0</v>
      </c>
      <c r="AL265" s="453">
        <v>0</v>
      </c>
      <c r="AM265" s="453">
        <v>0</v>
      </c>
      <c r="AN265" s="453">
        <v>0</v>
      </c>
    </row>
    <row r="266" spans="1:40" s="451" customFormat="1" x14ac:dyDescent="0.25">
      <c r="B266" s="451" t="s">
        <v>1151</v>
      </c>
      <c r="C266" s="451" t="s">
        <v>1152</v>
      </c>
      <c r="E266" s="460">
        <f t="shared" ref="E266:AN266" si="42">SUM(E263:E265)</f>
        <v>-3690.14</v>
      </c>
      <c r="F266" s="460">
        <f t="shared" si="42"/>
        <v>-3506.52</v>
      </c>
      <c r="G266" s="460">
        <f t="shared" si="42"/>
        <v>-211.45</v>
      </c>
      <c r="H266" s="460">
        <f t="shared" si="42"/>
        <v>-129.13999999999999</v>
      </c>
      <c r="I266" s="460">
        <f t="shared" si="42"/>
        <v>0</v>
      </c>
      <c r="J266" s="460">
        <f t="shared" si="42"/>
        <v>0</v>
      </c>
      <c r="K266" s="460">
        <f t="shared" si="42"/>
        <v>0</v>
      </c>
      <c r="L266" s="460">
        <f t="shared" si="42"/>
        <v>0</v>
      </c>
      <c r="M266" s="460">
        <f t="shared" si="42"/>
        <v>0</v>
      </c>
      <c r="N266" s="460">
        <f t="shared" si="42"/>
        <v>0</v>
      </c>
      <c r="O266" s="460">
        <f t="shared" si="42"/>
        <v>0</v>
      </c>
      <c r="P266" s="460">
        <f t="shared" si="42"/>
        <v>-3561</v>
      </c>
      <c r="Q266" s="460">
        <f t="shared" si="42"/>
        <v>0</v>
      </c>
      <c r="R266" s="460">
        <f t="shared" si="42"/>
        <v>0</v>
      </c>
      <c r="S266" s="460">
        <f t="shared" si="42"/>
        <v>0</v>
      </c>
      <c r="T266" s="460">
        <f t="shared" si="42"/>
        <v>0</v>
      </c>
      <c r="U266" s="460">
        <f t="shared" si="42"/>
        <v>0</v>
      </c>
      <c r="V266" s="460">
        <f t="shared" si="42"/>
        <v>0</v>
      </c>
      <c r="W266" s="460">
        <f t="shared" si="42"/>
        <v>0</v>
      </c>
      <c r="X266" s="460">
        <f t="shared" si="42"/>
        <v>0</v>
      </c>
      <c r="Y266" s="460">
        <f t="shared" si="42"/>
        <v>0</v>
      </c>
      <c r="Z266" s="460">
        <f t="shared" si="42"/>
        <v>0</v>
      </c>
      <c r="AA266" s="460">
        <f t="shared" si="42"/>
        <v>0</v>
      </c>
      <c r="AB266" s="460">
        <f t="shared" si="42"/>
        <v>0</v>
      </c>
      <c r="AC266" s="460">
        <f t="shared" si="42"/>
        <v>0</v>
      </c>
      <c r="AD266" s="460">
        <f t="shared" si="42"/>
        <v>0</v>
      </c>
      <c r="AE266" s="460">
        <f t="shared" si="42"/>
        <v>-3506.52</v>
      </c>
      <c r="AF266" s="460">
        <f t="shared" si="42"/>
        <v>0</v>
      </c>
      <c r="AG266" s="460">
        <f t="shared" si="42"/>
        <v>0</v>
      </c>
      <c r="AH266" s="460">
        <f t="shared" si="42"/>
        <v>-84.87</v>
      </c>
      <c r="AI266" s="460">
        <f t="shared" si="42"/>
        <v>0</v>
      </c>
      <c r="AJ266" s="460">
        <f t="shared" si="42"/>
        <v>0</v>
      </c>
      <c r="AK266" s="460">
        <f t="shared" si="42"/>
        <v>-30.56999999999999</v>
      </c>
      <c r="AL266" s="460">
        <f t="shared" si="42"/>
        <v>-52.02000000000001</v>
      </c>
      <c r="AM266" s="460">
        <f t="shared" si="42"/>
        <v>0</v>
      </c>
      <c r="AN266" s="460">
        <f t="shared" si="42"/>
        <v>-43.989999999999995</v>
      </c>
    </row>
    <row r="267" spans="1:40" x14ac:dyDescent="0.25">
      <c r="B267" t="s">
        <v>1128</v>
      </c>
      <c r="C267" t="s">
        <v>1129</v>
      </c>
      <c r="E267" s="457">
        <f t="shared" ref="E267:AN267" si="43">(E266)/(E44)</f>
        <v>-2.3499914463556636E-4</v>
      </c>
      <c r="F267" s="457">
        <f t="shared" si="43"/>
        <v>-2.0297846463160514E-4</v>
      </c>
      <c r="G267" s="457">
        <f t="shared" si="43"/>
        <v>-1.8190894397559135E-5</v>
      </c>
      <c r="H267" s="457">
        <f t="shared" si="43"/>
        <v>-1.1535742480636988E-4</v>
      </c>
      <c r="I267" s="457">
        <f t="shared" si="43"/>
        <v>0</v>
      </c>
      <c r="J267" s="457">
        <f t="shared" si="43"/>
        <v>0</v>
      </c>
      <c r="K267" s="457">
        <f t="shared" si="43"/>
        <v>0</v>
      </c>
      <c r="L267" s="457">
        <f t="shared" si="43"/>
        <v>0</v>
      </c>
      <c r="M267" s="457">
        <f t="shared" si="43"/>
        <v>0</v>
      </c>
      <c r="N267" s="457">
        <f t="shared" si="43"/>
        <v>0</v>
      </c>
      <c r="O267" s="457">
        <f t="shared" si="43"/>
        <v>0</v>
      </c>
      <c r="P267" s="457">
        <f t="shared" si="43"/>
        <v>-2.687660964362341E-3</v>
      </c>
      <c r="Q267" s="457">
        <f t="shared" si="43"/>
        <v>0</v>
      </c>
      <c r="R267" s="457">
        <f t="shared" si="43"/>
        <v>0</v>
      </c>
      <c r="S267" s="457">
        <f t="shared" si="43"/>
        <v>0</v>
      </c>
      <c r="T267" s="457">
        <f t="shared" si="43"/>
        <v>0</v>
      </c>
      <c r="U267" s="457">
        <f t="shared" si="43"/>
        <v>0</v>
      </c>
      <c r="V267" s="457">
        <f t="shared" si="43"/>
        <v>0</v>
      </c>
      <c r="W267" s="457">
        <f t="shared" si="43"/>
        <v>0</v>
      </c>
      <c r="X267" s="457">
        <f t="shared" si="43"/>
        <v>0</v>
      </c>
      <c r="Y267" s="457">
        <f t="shared" si="43"/>
        <v>0</v>
      </c>
      <c r="Z267" s="457">
        <f t="shared" si="43"/>
        <v>0</v>
      </c>
      <c r="AA267" s="457">
        <f t="shared" si="43"/>
        <v>0</v>
      </c>
      <c r="AB267" s="457">
        <f t="shared" si="43"/>
        <v>0</v>
      </c>
      <c r="AC267" s="457">
        <f t="shared" si="43"/>
        <v>0</v>
      </c>
      <c r="AD267" s="457">
        <f t="shared" si="43"/>
        <v>0</v>
      </c>
      <c r="AE267" s="457">
        <f t="shared" si="43"/>
        <v>-2.2924371032133719E-3</v>
      </c>
      <c r="AF267" s="457">
        <f t="shared" si="43"/>
        <v>0</v>
      </c>
      <c r="AG267" s="457">
        <f t="shared" si="43"/>
        <v>0</v>
      </c>
      <c r="AH267" s="457">
        <f t="shared" si="43"/>
        <v>-7.3325046258194493E-5</v>
      </c>
      <c r="AI267" s="457">
        <f t="shared" si="43"/>
        <v>0</v>
      </c>
      <c r="AJ267" s="457">
        <f t="shared" si="43"/>
        <v>0</v>
      </c>
      <c r="AK267" s="457">
        <f t="shared" si="43"/>
        <v>-2.8690158553904145E-5</v>
      </c>
      <c r="AL267" s="457">
        <f t="shared" si="43"/>
        <v>-4.6340374486881914E-5</v>
      </c>
      <c r="AM267" s="457">
        <f t="shared" si="43"/>
        <v>0</v>
      </c>
      <c r="AN267" s="457">
        <f t="shared" si="43"/>
        <v>-3.8751242061434979E-5</v>
      </c>
    </row>
    <row r="269" spans="1:40" outlineLevel="1" collapsed="1" x14ac:dyDescent="0.25">
      <c r="A269" s="452">
        <v>2200</v>
      </c>
      <c r="B269" t="s">
        <v>1153</v>
      </c>
      <c r="C269" t="s">
        <v>1154</v>
      </c>
      <c r="D269" t="s">
        <v>698</v>
      </c>
      <c r="E269" s="453">
        <f t="shared" ref="E269:E276" si="44">S269+R269+Q269+P269+O269+N269+M269+L269+K269+J269+I269+H269</f>
        <v>-187173</v>
      </c>
      <c r="F269" s="453">
        <f t="shared" ref="F269:F276" si="45">AE269+AD269+AC269+AB269+AA269+Z269+Y269+X269+W269+V269+U269+T269</f>
        <v>-187879</v>
      </c>
      <c r="G269" s="453">
        <f t="shared" ref="G269:G276" si="46">AN269+AM269+AL269+AK269+AJ269+AI269+AH269+AG269+AF269</f>
        <v>-140379</v>
      </c>
      <c r="H269" s="453">
        <v>0</v>
      </c>
      <c r="I269" s="453">
        <v>0</v>
      </c>
      <c r="J269" s="453">
        <v>-80929</v>
      </c>
      <c r="K269" s="453">
        <v>0</v>
      </c>
      <c r="L269" s="453">
        <v>0</v>
      </c>
      <c r="M269" s="453">
        <v>-80929</v>
      </c>
      <c r="N269" s="453">
        <v>0</v>
      </c>
      <c r="O269" s="453">
        <v>0</v>
      </c>
      <c r="P269" s="453">
        <v>-80929</v>
      </c>
      <c r="Q269" s="453">
        <v>0</v>
      </c>
      <c r="R269" s="453">
        <v>0</v>
      </c>
      <c r="S269" s="453">
        <v>55614</v>
      </c>
      <c r="T269" s="453">
        <v>0</v>
      </c>
      <c r="U269" s="453">
        <v>0</v>
      </c>
      <c r="V269" s="453">
        <v>-57962</v>
      </c>
      <c r="W269" s="453">
        <v>0</v>
      </c>
      <c r="X269" s="453">
        <v>0</v>
      </c>
      <c r="Y269" s="453">
        <v>-72603</v>
      </c>
      <c r="Z269" s="453">
        <v>0</v>
      </c>
      <c r="AA269" s="453">
        <v>0</v>
      </c>
      <c r="AB269" s="453">
        <v>-57962</v>
      </c>
      <c r="AC269" s="453">
        <v>0</v>
      </c>
      <c r="AD269" s="453">
        <v>0</v>
      </c>
      <c r="AE269" s="453">
        <v>648</v>
      </c>
      <c r="AF269" s="453">
        <v>0</v>
      </c>
      <c r="AG269" s="453">
        <v>0</v>
      </c>
      <c r="AH269" s="453">
        <v>-46793</v>
      </c>
      <c r="AI269" s="453">
        <v>0</v>
      </c>
      <c r="AJ269" s="453">
        <v>0</v>
      </c>
      <c r="AK269" s="453">
        <v>-46793</v>
      </c>
      <c r="AL269" s="453">
        <v>0</v>
      </c>
      <c r="AM269" s="453">
        <v>0</v>
      </c>
      <c r="AN269" s="453">
        <v>-46793</v>
      </c>
    </row>
    <row r="270" spans="1:40" outlineLevel="1" collapsed="1" x14ac:dyDescent="0.25">
      <c r="A270" s="452">
        <v>2204</v>
      </c>
      <c r="B270" t="s">
        <v>1155</v>
      </c>
      <c r="C270" t="s">
        <v>1156</v>
      </c>
      <c r="D270" t="s">
        <v>698</v>
      </c>
      <c r="E270" s="453">
        <f t="shared" si="44"/>
        <v>0</v>
      </c>
      <c r="F270" s="453">
        <f t="shared" si="45"/>
        <v>0</v>
      </c>
      <c r="G270" s="453">
        <f t="shared" si="46"/>
        <v>1</v>
      </c>
      <c r="H270" s="453">
        <v>0</v>
      </c>
      <c r="I270" s="453">
        <v>0</v>
      </c>
      <c r="J270" s="453">
        <v>0</v>
      </c>
      <c r="K270" s="453">
        <v>0</v>
      </c>
      <c r="L270" s="453">
        <v>0</v>
      </c>
      <c r="M270" s="453">
        <v>0</v>
      </c>
      <c r="N270" s="453">
        <v>0</v>
      </c>
      <c r="O270" s="453">
        <v>0</v>
      </c>
      <c r="P270" s="453">
        <v>0</v>
      </c>
      <c r="Q270" s="453">
        <v>0</v>
      </c>
      <c r="R270" s="453">
        <v>0</v>
      </c>
      <c r="S270" s="453">
        <v>0</v>
      </c>
      <c r="T270" s="453">
        <v>0</v>
      </c>
      <c r="U270" s="453">
        <v>0</v>
      </c>
      <c r="V270" s="453">
        <v>0</v>
      </c>
      <c r="W270" s="453">
        <v>0</v>
      </c>
      <c r="X270" s="453">
        <v>0</v>
      </c>
      <c r="Y270" s="453">
        <v>0</v>
      </c>
      <c r="Z270" s="453">
        <v>0</v>
      </c>
      <c r="AA270" s="453">
        <v>0</v>
      </c>
      <c r="AB270" s="453">
        <v>0</v>
      </c>
      <c r="AC270" s="453">
        <v>0</v>
      </c>
      <c r="AD270" s="453">
        <v>0</v>
      </c>
      <c r="AE270" s="453">
        <v>0</v>
      </c>
      <c r="AF270" s="453">
        <v>1</v>
      </c>
      <c r="AG270" s="453">
        <v>0</v>
      </c>
      <c r="AH270" s="453">
        <v>0</v>
      </c>
      <c r="AI270" s="453">
        <v>0</v>
      </c>
      <c r="AJ270" s="453">
        <v>0</v>
      </c>
      <c r="AK270" s="453">
        <v>0</v>
      </c>
      <c r="AL270" s="453">
        <v>0</v>
      </c>
      <c r="AM270" s="453">
        <v>0</v>
      </c>
      <c r="AN270" s="453">
        <v>0</v>
      </c>
    </row>
    <row r="271" spans="1:40" outlineLevel="1" collapsed="1" x14ac:dyDescent="0.25">
      <c r="A271" s="452">
        <v>2208</v>
      </c>
      <c r="B271" t="s">
        <v>1157</v>
      </c>
      <c r="C271" t="s">
        <v>1158</v>
      </c>
      <c r="D271" t="s">
        <v>698</v>
      </c>
      <c r="E271" s="453">
        <f t="shared" si="44"/>
        <v>-10294.51</v>
      </c>
      <c r="F271" s="453">
        <f t="shared" si="45"/>
        <v>-10333.35</v>
      </c>
      <c r="G271" s="453">
        <f t="shared" si="46"/>
        <v>-7719</v>
      </c>
      <c r="H271" s="453">
        <v>0</v>
      </c>
      <c r="I271" s="453">
        <v>0</v>
      </c>
      <c r="J271" s="453">
        <v>-4451</v>
      </c>
      <c r="K271" s="453">
        <v>0</v>
      </c>
      <c r="L271" s="453">
        <v>0</v>
      </c>
      <c r="M271" s="453">
        <v>-4451</v>
      </c>
      <c r="N271" s="453">
        <v>0</v>
      </c>
      <c r="O271" s="453">
        <v>0</v>
      </c>
      <c r="P271" s="453">
        <v>-4451</v>
      </c>
      <c r="Q271" s="453">
        <v>0</v>
      </c>
      <c r="R271" s="453">
        <v>0</v>
      </c>
      <c r="S271" s="453">
        <v>3058.49</v>
      </c>
      <c r="T271" s="453">
        <v>0</v>
      </c>
      <c r="U271" s="453">
        <v>0</v>
      </c>
      <c r="V271" s="453">
        <v>-3188</v>
      </c>
      <c r="W271" s="453">
        <v>0</v>
      </c>
      <c r="X271" s="453">
        <v>0</v>
      </c>
      <c r="Y271" s="453">
        <v>-3993.08</v>
      </c>
      <c r="Z271" s="453">
        <v>0</v>
      </c>
      <c r="AA271" s="453">
        <v>0</v>
      </c>
      <c r="AB271" s="453">
        <v>-3188</v>
      </c>
      <c r="AC271" s="453">
        <v>0</v>
      </c>
      <c r="AD271" s="453">
        <v>0</v>
      </c>
      <c r="AE271" s="453">
        <v>35.729999999999563</v>
      </c>
      <c r="AF271" s="453">
        <v>0</v>
      </c>
      <c r="AG271" s="453">
        <v>0</v>
      </c>
      <c r="AH271" s="453">
        <v>-2573</v>
      </c>
      <c r="AI271" s="453">
        <v>0</v>
      </c>
      <c r="AJ271" s="453">
        <v>0</v>
      </c>
      <c r="AK271" s="453">
        <v>-2573</v>
      </c>
      <c r="AL271" s="453">
        <v>0</v>
      </c>
      <c r="AM271" s="453">
        <v>0</v>
      </c>
      <c r="AN271" s="453">
        <v>-2573</v>
      </c>
    </row>
    <row r="272" spans="1:40" outlineLevel="1" collapsed="1" x14ac:dyDescent="0.25">
      <c r="A272" s="452">
        <v>2213</v>
      </c>
      <c r="B272" t="s">
        <v>1161</v>
      </c>
      <c r="C272" t="s">
        <v>1162</v>
      </c>
      <c r="D272" t="s">
        <v>698</v>
      </c>
      <c r="E272" s="453">
        <f t="shared" si="44"/>
        <v>-1106.25</v>
      </c>
      <c r="F272" s="453">
        <f t="shared" si="45"/>
        <v>-542.13</v>
      </c>
      <c r="G272" s="453">
        <f t="shared" si="46"/>
        <v>-325</v>
      </c>
      <c r="H272" s="453">
        <v>0</v>
      </c>
      <c r="I272" s="453">
        <v>-505</v>
      </c>
      <c r="J272" s="453">
        <v>0</v>
      </c>
      <c r="K272" s="453">
        <v>0</v>
      </c>
      <c r="L272" s="453">
        <v>-600</v>
      </c>
      <c r="M272" s="453">
        <v>-1.25</v>
      </c>
      <c r="N272" s="453">
        <v>0</v>
      </c>
      <c r="O272" s="453">
        <v>0</v>
      </c>
      <c r="P272" s="453">
        <v>0</v>
      </c>
      <c r="Q272" s="453">
        <v>0</v>
      </c>
      <c r="R272" s="453">
        <v>0</v>
      </c>
      <c r="S272" s="453">
        <v>0</v>
      </c>
      <c r="T272" s="453">
        <v>0</v>
      </c>
      <c r="U272" s="453">
        <v>-275</v>
      </c>
      <c r="V272" s="453">
        <v>0</v>
      </c>
      <c r="W272" s="453">
        <v>-237.5</v>
      </c>
      <c r="X272" s="453">
        <v>-27.5</v>
      </c>
      <c r="Y272" s="453">
        <v>0</v>
      </c>
      <c r="Z272" s="453">
        <v>0</v>
      </c>
      <c r="AA272" s="453">
        <v>0</v>
      </c>
      <c r="AB272" s="453">
        <v>0</v>
      </c>
      <c r="AC272" s="453">
        <v>0</v>
      </c>
      <c r="AD272" s="453">
        <v>0</v>
      </c>
      <c r="AE272" s="453">
        <v>-2.1299999999999955</v>
      </c>
      <c r="AF272" s="453">
        <v>0</v>
      </c>
      <c r="AG272" s="453">
        <v>0</v>
      </c>
      <c r="AH272" s="453">
        <v>-325</v>
      </c>
      <c r="AI272" s="453">
        <v>0</v>
      </c>
      <c r="AJ272" s="453">
        <v>0</v>
      </c>
      <c r="AK272" s="453">
        <v>0</v>
      </c>
      <c r="AL272" s="453">
        <v>0</v>
      </c>
      <c r="AM272" s="453">
        <v>0</v>
      </c>
      <c r="AN272" s="453">
        <v>0</v>
      </c>
    </row>
    <row r="273" spans="1:40" outlineLevel="1" collapsed="1" x14ac:dyDescent="0.25">
      <c r="A273" s="452">
        <v>2216</v>
      </c>
      <c r="B273" t="s">
        <v>1163</v>
      </c>
      <c r="C273" t="s">
        <v>1164</v>
      </c>
      <c r="D273" t="s">
        <v>698</v>
      </c>
      <c r="E273" s="453">
        <f t="shared" si="44"/>
        <v>-60.83</v>
      </c>
      <c r="F273" s="453">
        <f t="shared" si="45"/>
        <v>-29.8</v>
      </c>
      <c r="G273" s="453">
        <f t="shared" si="46"/>
        <v>-17.87</v>
      </c>
      <c r="H273" s="453">
        <v>0</v>
      </c>
      <c r="I273" s="453">
        <v>-27.77</v>
      </c>
      <c r="J273" s="453">
        <v>0</v>
      </c>
      <c r="K273" s="453">
        <v>0</v>
      </c>
      <c r="L273" s="453">
        <v>-33</v>
      </c>
      <c r="M273" s="453">
        <v>-5.9999999999995168E-2</v>
      </c>
      <c r="N273" s="453">
        <v>0</v>
      </c>
      <c r="O273" s="453">
        <v>0</v>
      </c>
      <c r="P273" s="453">
        <v>0</v>
      </c>
      <c r="Q273" s="453">
        <v>0</v>
      </c>
      <c r="R273" s="453">
        <v>0</v>
      </c>
      <c r="S273" s="453">
        <v>0</v>
      </c>
      <c r="T273" s="453">
        <v>0</v>
      </c>
      <c r="U273" s="453">
        <v>-15.12</v>
      </c>
      <c r="V273" s="453">
        <v>0</v>
      </c>
      <c r="W273" s="453">
        <v>-13.06</v>
      </c>
      <c r="X273" s="453">
        <v>-1.5100000000000016</v>
      </c>
      <c r="Y273" s="453">
        <v>0</v>
      </c>
      <c r="Z273" s="453">
        <v>0</v>
      </c>
      <c r="AA273" s="453">
        <v>0</v>
      </c>
      <c r="AB273" s="453">
        <v>0</v>
      </c>
      <c r="AC273" s="453">
        <v>0</v>
      </c>
      <c r="AD273" s="453">
        <v>0</v>
      </c>
      <c r="AE273" s="453">
        <v>-0.10999999999999943</v>
      </c>
      <c r="AF273" s="453">
        <v>0</v>
      </c>
      <c r="AG273" s="453">
        <v>0</v>
      </c>
      <c r="AH273" s="453">
        <v>-17.87</v>
      </c>
      <c r="AI273" s="453">
        <v>0</v>
      </c>
      <c r="AJ273" s="453">
        <v>0</v>
      </c>
      <c r="AK273" s="453">
        <v>0</v>
      </c>
      <c r="AL273" s="453">
        <v>0</v>
      </c>
      <c r="AM273" s="453">
        <v>0</v>
      </c>
      <c r="AN273" s="453">
        <v>0</v>
      </c>
    </row>
    <row r="274" spans="1:40" outlineLevel="1" collapsed="1" x14ac:dyDescent="0.25">
      <c r="A274" s="452">
        <v>2250</v>
      </c>
      <c r="B274" t="s">
        <v>1652</v>
      </c>
      <c r="C274" t="s">
        <v>1166</v>
      </c>
      <c r="D274" t="s">
        <v>698</v>
      </c>
      <c r="E274" s="453">
        <f t="shared" si="44"/>
        <v>0</v>
      </c>
      <c r="F274" s="453">
        <f t="shared" si="45"/>
        <v>-48876</v>
      </c>
      <c r="G274" s="453">
        <f t="shared" si="46"/>
        <v>0</v>
      </c>
      <c r="H274" s="453">
        <v>0</v>
      </c>
      <c r="I274" s="453">
        <v>0</v>
      </c>
      <c r="J274" s="453">
        <v>0</v>
      </c>
      <c r="K274" s="453">
        <v>0</v>
      </c>
      <c r="L274" s="453">
        <v>0</v>
      </c>
      <c r="M274" s="453">
        <v>0</v>
      </c>
      <c r="N274" s="453">
        <v>0</v>
      </c>
      <c r="O274" s="453">
        <v>0</v>
      </c>
      <c r="P274" s="453">
        <v>0</v>
      </c>
      <c r="Q274" s="453">
        <v>0</v>
      </c>
      <c r="R274" s="453">
        <v>0</v>
      </c>
      <c r="S274" s="453">
        <v>0</v>
      </c>
      <c r="T274" s="453">
        <v>0</v>
      </c>
      <c r="U274" s="453">
        <v>0</v>
      </c>
      <c r="V274" s="453">
        <v>0</v>
      </c>
      <c r="W274" s="453">
        <v>0</v>
      </c>
      <c r="X274" s="453">
        <v>0</v>
      </c>
      <c r="Y274" s="453">
        <v>0</v>
      </c>
      <c r="Z274" s="453">
        <v>0</v>
      </c>
      <c r="AA274" s="453">
        <v>0</v>
      </c>
      <c r="AB274" s="453">
        <v>0</v>
      </c>
      <c r="AC274" s="453">
        <v>0</v>
      </c>
      <c r="AD274" s="453">
        <v>0</v>
      </c>
      <c r="AE274" s="453">
        <v>-48876</v>
      </c>
      <c r="AF274" s="453">
        <v>0</v>
      </c>
      <c r="AG274" s="453">
        <v>0</v>
      </c>
      <c r="AH274" s="453">
        <v>0</v>
      </c>
      <c r="AI274" s="453">
        <v>0</v>
      </c>
      <c r="AJ274" s="453">
        <v>0</v>
      </c>
      <c r="AK274" s="453">
        <v>0</v>
      </c>
      <c r="AL274" s="453">
        <v>0</v>
      </c>
      <c r="AM274" s="453">
        <v>0</v>
      </c>
      <c r="AN274" s="453">
        <v>0</v>
      </c>
    </row>
    <row r="275" spans="1:40" outlineLevel="1" collapsed="1" x14ac:dyDescent="0.25">
      <c r="A275" s="452">
        <v>2281</v>
      </c>
      <c r="B275" t="s">
        <v>1167</v>
      </c>
      <c r="C275" t="s">
        <v>1168</v>
      </c>
      <c r="D275" t="s">
        <v>698</v>
      </c>
      <c r="E275" s="453">
        <f t="shared" si="44"/>
        <v>0</v>
      </c>
      <c r="F275" s="453">
        <f t="shared" si="45"/>
        <v>-0.33</v>
      </c>
      <c r="G275" s="453">
        <f t="shared" si="46"/>
        <v>-0.84</v>
      </c>
      <c r="H275" s="453">
        <v>0</v>
      </c>
      <c r="I275" s="453">
        <v>0</v>
      </c>
      <c r="J275" s="453">
        <v>0</v>
      </c>
      <c r="K275" s="453">
        <v>0</v>
      </c>
      <c r="L275" s="453">
        <v>0</v>
      </c>
      <c r="M275" s="453">
        <v>0</v>
      </c>
      <c r="N275" s="453">
        <v>0</v>
      </c>
      <c r="O275" s="453">
        <v>0</v>
      </c>
      <c r="P275" s="453">
        <v>0</v>
      </c>
      <c r="Q275" s="453">
        <v>0</v>
      </c>
      <c r="R275" s="453">
        <v>0</v>
      </c>
      <c r="S275" s="453">
        <v>0</v>
      </c>
      <c r="T275" s="453">
        <v>0</v>
      </c>
      <c r="U275" s="453">
        <v>0</v>
      </c>
      <c r="V275" s="453">
        <v>0</v>
      </c>
      <c r="W275" s="453">
        <v>-0.33</v>
      </c>
      <c r="X275" s="453">
        <v>0</v>
      </c>
      <c r="Y275" s="453">
        <v>0</v>
      </c>
      <c r="Z275" s="453">
        <v>0</v>
      </c>
      <c r="AA275" s="453">
        <v>0</v>
      </c>
      <c r="AB275" s="453">
        <v>0</v>
      </c>
      <c r="AC275" s="453">
        <v>0</v>
      </c>
      <c r="AD275" s="453">
        <v>0</v>
      </c>
      <c r="AE275" s="453">
        <v>0</v>
      </c>
      <c r="AF275" s="453">
        <v>0</v>
      </c>
      <c r="AG275" s="453">
        <v>-0.84</v>
      </c>
      <c r="AH275" s="453">
        <v>0</v>
      </c>
      <c r="AI275" s="453">
        <v>0</v>
      </c>
      <c r="AJ275" s="453">
        <v>0</v>
      </c>
      <c r="AK275" s="453">
        <v>0</v>
      </c>
      <c r="AL275" s="453">
        <v>0</v>
      </c>
      <c r="AM275" s="453">
        <v>0</v>
      </c>
      <c r="AN275" s="453">
        <v>0</v>
      </c>
    </row>
    <row r="276" spans="1:40" outlineLevel="1" collapsed="1" x14ac:dyDescent="0.25">
      <c r="A276" s="452">
        <v>4320</v>
      </c>
      <c r="B276" t="s">
        <v>1169</v>
      </c>
      <c r="C276" t="s">
        <v>1170</v>
      </c>
      <c r="D276" t="s">
        <v>698</v>
      </c>
      <c r="E276" s="453">
        <f t="shared" si="44"/>
        <v>-191983</v>
      </c>
      <c r="F276" s="453">
        <f t="shared" si="45"/>
        <v>-194461</v>
      </c>
      <c r="G276" s="453">
        <f t="shared" si="46"/>
        <v>-185079</v>
      </c>
      <c r="H276" s="453">
        <v>0</v>
      </c>
      <c r="I276" s="453">
        <v>-82746</v>
      </c>
      <c r="J276" s="453">
        <v>0</v>
      </c>
      <c r="K276" s="453">
        <v>0</v>
      </c>
      <c r="L276" s="453">
        <v>-82746</v>
      </c>
      <c r="M276" s="453">
        <v>0</v>
      </c>
      <c r="N276" s="453">
        <v>0</v>
      </c>
      <c r="O276" s="453">
        <v>-82746</v>
      </c>
      <c r="P276" s="453">
        <v>0</v>
      </c>
      <c r="Q276" s="453">
        <v>0</v>
      </c>
      <c r="R276" s="453">
        <v>-82746</v>
      </c>
      <c r="S276" s="453">
        <v>139001</v>
      </c>
      <c r="T276" s="453">
        <v>0</v>
      </c>
      <c r="U276" s="453">
        <v>-82746</v>
      </c>
      <c r="V276" s="453">
        <v>0</v>
      </c>
      <c r="W276" s="453">
        <v>0</v>
      </c>
      <c r="X276" s="453">
        <v>-51595</v>
      </c>
      <c r="Y276" s="453">
        <v>663</v>
      </c>
      <c r="Z276" s="453">
        <v>0</v>
      </c>
      <c r="AA276" s="453">
        <v>-51595</v>
      </c>
      <c r="AB276" s="453">
        <v>0</v>
      </c>
      <c r="AC276" s="453">
        <v>0</v>
      </c>
      <c r="AD276" s="453">
        <v>-51595</v>
      </c>
      <c r="AE276" s="453">
        <v>42407</v>
      </c>
      <c r="AF276" s="453">
        <v>0</v>
      </c>
      <c r="AG276" s="453">
        <v>-61693</v>
      </c>
      <c r="AH276" s="453">
        <v>0</v>
      </c>
      <c r="AI276" s="453">
        <v>0</v>
      </c>
      <c r="AJ276" s="453">
        <v>-61693</v>
      </c>
      <c r="AK276" s="453">
        <v>0</v>
      </c>
      <c r="AL276" s="453">
        <v>0</v>
      </c>
      <c r="AM276" s="453">
        <v>-61693</v>
      </c>
      <c r="AN276" s="453">
        <v>0</v>
      </c>
    </row>
    <row r="277" spans="1:40" s="451" customFormat="1" x14ac:dyDescent="0.25">
      <c r="B277" s="451" t="s">
        <v>1171</v>
      </c>
      <c r="C277" s="451" t="s">
        <v>1172</v>
      </c>
      <c r="E277" s="460">
        <f t="shared" ref="E277:AN277" si="47">SUM(E269:E276)</f>
        <v>-390617.58999999997</v>
      </c>
      <c r="F277" s="460">
        <f t="shared" si="47"/>
        <v>-442121.61</v>
      </c>
      <c r="G277" s="460">
        <f t="shared" si="47"/>
        <v>-333519.70999999996</v>
      </c>
      <c r="H277" s="460">
        <f t="shared" si="47"/>
        <v>0</v>
      </c>
      <c r="I277" s="460">
        <f t="shared" si="47"/>
        <v>-83278.77</v>
      </c>
      <c r="J277" s="460">
        <f t="shared" si="47"/>
        <v>-85380</v>
      </c>
      <c r="K277" s="460">
        <f t="shared" si="47"/>
        <v>0</v>
      </c>
      <c r="L277" s="460">
        <f t="shared" si="47"/>
        <v>-83379</v>
      </c>
      <c r="M277" s="460">
        <f t="shared" si="47"/>
        <v>-85381.31</v>
      </c>
      <c r="N277" s="460">
        <f t="shared" si="47"/>
        <v>0</v>
      </c>
      <c r="O277" s="460">
        <f t="shared" si="47"/>
        <v>-82746</v>
      </c>
      <c r="P277" s="460">
        <f t="shared" si="47"/>
        <v>-85380</v>
      </c>
      <c r="Q277" s="460">
        <f t="shared" si="47"/>
        <v>0</v>
      </c>
      <c r="R277" s="460">
        <f t="shared" si="47"/>
        <v>-82746</v>
      </c>
      <c r="S277" s="460">
        <f t="shared" si="47"/>
        <v>197673.49</v>
      </c>
      <c r="T277" s="460">
        <f t="shared" si="47"/>
        <v>0</v>
      </c>
      <c r="U277" s="460">
        <f t="shared" si="47"/>
        <v>-83036.12</v>
      </c>
      <c r="V277" s="460">
        <f t="shared" si="47"/>
        <v>-61150</v>
      </c>
      <c r="W277" s="460">
        <f t="shared" si="47"/>
        <v>-250.89000000000001</v>
      </c>
      <c r="X277" s="460">
        <f t="shared" si="47"/>
        <v>-51624.01</v>
      </c>
      <c r="Y277" s="460">
        <f t="shared" si="47"/>
        <v>-75933.08</v>
      </c>
      <c r="Z277" s="460">
        <f t="shared" si="47"/>
        <v>0</v>
      </c>
      <c r="AA277" s="460">
        <f t="shared" si="47"/>
        <v>-51595</v>
      </c>
      <c r="AB277" s="460">
        <f t="shared" si="47"/>
        <v>-61150</v>
      </c>
      <c r="AC277" s="460">
        <f t="shared" si="47"/>
        <v>0</v>
      </c>
      <c r="AD277" s="460">
        <f t="shared" si="47"/>
        <v>-51595</v>
      </c>
      <c r="AE277" s="460">
        <f t="shared" si="47"/>
        <v>-5787.510000000002</v>
      </c>
      <c r="AF277" s="460">
        <f t="shared" si="47"/>
        <v>1</v>
      </c>
      <c r="AG277" s="460">
        <f t="shared" si="47"/>
        <v>-61693.84</v>
      </c>
      <c r="AH277" s="460">
        <f t="shared" si="47"/>
        <v>-49708.87</v>
      </c>
      <c r="AI277" s="460">
        <f t="shared" si="47"/>
        <v>0</v>
      </c>
      <c r="AJ277" s="460">
        <f t="shared" si="47"/>
        <v>-61693</v>
      </c>
      <c r="AK277" s="460">
        <f t="shared" si="47"/>
        <v>-49366</v>
      </c>
      <c r="AL277" s="460">
        <f t="shared" si="47"/>
        <v>0</v>
      </c>
      <c r="AM277" s="460">
        <f t="shared" si="47"/>
        <v>-61693</v>
      </c>
      <c r="AN277" s="460">
        <f t="shared" si="47"/>
        <v>-49366</v>
      </c>
    </row>
    <row r="278" spans="1:40" x14ac:dyDescent="0.25">
      <c r="B278" t="s">
        <v>1128</v>
      </c>
      <c r="C278" t="s">
        <v>1129</v>
      </c>
      <c r="E278" s="457">
        <f t="shared" ref="E278:AN278" si="48">(E277)/(E44)</f>
        <v>-2.4875695645586986E-2</v>
      </c>
      <c r="F278" s="457">
        <f t="shared" si="48"/>
        <v>-2.559265755742255E-2</v>
      </c>
      <c r="G278" s="457">
        <f t="shared" si="48"/>
        <v>-2.8692465472284451E-2</v>
      </c>
      <c r="H278" s="457">
        <f t="shared" si="48"/>
        <v>0</v>
      </c>
      <c r="I278" s="457">
        <f t="shared" si="48"/>
        <v>-6.7241472401033286E-2</v>
      </c>
      <c r="J278" s="457">
        <f t="shared" si="48"/>
        <v>-5.8645850416621813E-2</v>
      </c>
      <c r="K278" s="457">
        <f t="shared" si="48"/>
        <v>0</v>
      </c>
      <c r="L278" s="457">
        <f t="shared" si="48"/>
        <v>-6.8248449172904888E-2</v>
      </c>
      <c r="M278" s="457">
        <f t="shared" si="48"/>
        <v>-6.2005265413903568E-2</v>
      </c>
      <c r="N278" s="457">
        <f t="shared" si="48"/>
        <v>0</v>
      </c>
      <c r="O278" s="457">
        <f t="shared" si="48"/>
        <v>-5.9314800295692298E-2</v>
      </c>
      <c r="P278" s="457">
        <f t="shared" si="48"/>
        <v>-6.4440464233995132E-2</v>
      </c>
      <c r="Q278" s="457">
        <f t="shared" si="48"/>
        <v>0</v>
      </c>
      <c r="R278" s="457">
        <f t="shared" si="48"/>
        <v>-6.2117344292178328E-2</v>
      </c>
      <c r="S278" s="457">
        <f t="shared" si="48"/>
        <v>0.123627745000948</v>
      </c>
      <c r="T278" s="457">
        <f t="shared" si="48"/>
        <v>0</v>
      </c>
      <c r="U278" s="457">
        <f t="shared" si="48"/>
        <v>-5.8828752932984875E-2</v>
      </c>
      <c r="V278" s="457">
        <f t="shared" si="48"/>
        <v>-3.6681826408712308E-2</v>
      </c>
      <c r="W278" s="457">
        <f t="shared" si="48"/>
        <v>-1.8496510526279432E-4</v>
      </c>
      <c r="X278" s="457">
        <f t="shared" si="48"/>
        <v>-2.8916002546471833E-2</v>
      </c>
      <c r="Y278" s="457">
        <f t="shared" si="48"/>
        <v>-6.2422739784457837E-2</v>
      </c>
      <c r="Z278" s="457">
        <f t="shared" si="48"/>
        <v>0</v>
      </c>
      <c r="AA278" s="457">
        <f t="shared" si="48"/>
        <v>-3.9975635742967891E-2</v>
      </c>
      <c r="AB278" s="457">
        <f t="shared" si="48"/>
        <v>-4.2166516006130202E-2</v>
      </c>
      <c r="AC278" s="457">
        <f t="shared" si="48"/>
        <v>0</v>
      </c>
      <c r="AD278" s="457">
        <f t="shared" si="48"/>
        <v>-3.8679034251947172E-2</v>
      </c>
      <c r="AE278" s="457">
        <f t="shared" si="48"/>
        <v>-3.7836666151108297E-3</v>
      </c>
      <c r="AF278" s="457">
        <f t="shared" si="48"/>
        <v>7.2478920937304078E-7</v>
      </c>
      <c r="AG278" s="457">
        <f t="shared" si="48"/>
        <v>-4.1637296056426118E-2</v>
      </c>
      <c r="AH278" s="457">
        <f t="shared" si="48"/>
        <v>-4.2946921081566829E-2</v>
      </c>
      <c r="AI278" s="457">
        <f t="shared" si="48"/>
        <v>0</v>
      </c>
      <c r="AJ278" s="457">
        <f t="shared" si="48"/>
        <v>-4.0517640656858513E-2</v>
      </c>
      <c r="AK278" s="457">
        <f t="shared" si="48"/>
        <v>-4.6330335857770119E-2</v>
      </c>
      <c r="AL278" s="457">
        <f t="shared" si="48"/>
        <v>0</v>
      </c>
      <c r="AM278" s="457">
        <f t="shared" si="48"/>
        <v>-4.447102949189817E-2</v>
      </c>
      <c r="AN278" s="457">
        <f t="shared" si="48"/>
        <v>-4.3487015585469413E-2</v>
      </c>
    </row>
    <row r="280" spans="1:40" outlineLevel="1" collapsed="1" x14ac:dyDescent="0.25">
      <c r="A280" s="452">
        <v>4510</v>
      </c>
      <c r="B280" t="s">
        <v>1653</v>
      </c>
      <c r="C280" t="s">
        <v>1654</v>
      </c>
      <c r="D280" t="s">
        <v>699</v>
      </c>
      <c r="E280" s="453">
        <f t="shared" ref="E280:E295" si="49">S280+R280+Q280+P280+O280+N280+M280+L280+K280+J280+I280+H280</f>
        <v>-300</v>
      </c>
      <c r="F280" s="453">
        <f t="shared" ref="F280:F295" si="50">AE280+AD280+AC280+AB280+AA280+Z280+Y280+X280+W280+V280+U280+T280</f>
        <v>0</v>
      </c>
      <c r="G280" s="453">
        <f t="shared" ref="G280:G295" si="51">AN280+AM280+AL280+AK280+AJ280+AI280+AH280+AG280+AF280</f>
        <v>0</v>
      </c>
      <c r="H280" s="453">
        <v>0</v>
      </c>
      <c r="I280" s="453">
        <v>0</v>
      </c>
      <c r="J280" s="453">
        <v>-300</v>
      </c>
      <c r="K280" s="453">
        <v>0</v>
      </c>
      <c r="L280" s="453">
        <v>0</v>
      </c>
      <c r="M280" s="453">
        <v>0</v>
      </c>
      <c r="N280" s="453">
        <v>0</v>
      </c>
      <c r="O280" s="453">
        <v>0</v>
      </c>
      <c r="P280" s="453">
        <v>0</v>
      </c>
      <c r="Q280" s="453">
        <v>0</v>
      </c>
      <c r="R280" s="453">
        <v>0</v>
      </c>
      <c r="S280" s="453">
        <v>0</v>
      </c>
      <c r="T280" s="453">
        <v>0</v>
      </c>
      <c r="U280" s="453">
        <v>0</v>
      </c>
      <c r="V280" s="453">
        <v>0</v>
      </c>
      <c r="W280" s="453">
        <v>0</v>
      </c>
      <c r="X280" s="453">
        <v>0</v>
      </c>
      <c r="Y280" s="453">
        <v>0</v>
      </c>
      <c r="Z280" s="453">
        <v>0</v>
      </c>
      <c r="AA280" s="453">
        <v>0</v>
      </c>
      <c r="AB280" s="453">
        <v>0</v>
      </c>
      <c r="AC280" s="453">
        <v>0</v>
      </c>
      <c r="AD280" s="453">
        <v>0</v>
      </c>
      <c r="AE280" s="453">
        <v>0</v>
      </c>
      <c r="AF280" s="453">
        <v>0</v>
      </c>
      <c r="AG280" s="453">
        <v>0</v>
      </c>
      <c r="AH280" s="453">
        <v>0</v>
      </c>
      <c r="AI280" s="453">
        <v>0</v>
      </c>
      <c r="AJ280" s="453">
        <v>0</v>
      </c>
      <c r="AK280" s="453">
        <v>0</v>
      </c>
      <c r="AL280" s="453">
        <v>0</v>
      </c>
      <c r="AM280" s="453">
        <v>0</v>
      </c>
      <c r="AN280" s="453">
        <v>0</v>
      </c>
    </row>
    <row r="281" spans="1:40" outlineLevel="1" collapsed="1" x14ac:dyDescent="0.25">
      <c r="A281" s="452">
        <v>4510</v>
      </c>
      <c r="B281" t="s">
        <v>1175</v>
      </c>
      <c r="C281" t="s">
        <v>1176</v>
      </c>
      <c r="D281" t="s">
        <v>699</v>
      </c>
      <c r="E281" s="453">
        <f t="shared" si="49"/>
        <v>0</v>
      </c>
      <c r="F281" s="453">
        <f t="shared" si="50"/>
        <v>-9</v>
      </c>
      <c r="G281" s="453">
        <f t="shared" si="51"/>
        <v>0</v>
      </c>
      <c r="H281" s="453">
        <v>0</v>
      </c>
      <c r="I281" s="453">
        <v>0</v>
      </c>
      <c r="J281" s="453">
        <v>0</v>
      </c>
      <c r="K281" s="453">
        <v>0</v>
      </c>
      <c r="L281" s="453">
        <v>0</v>
      </c>
      <c r="M281" s="453">
        <v>0</v>
      </c>
      <c r="N281" s="453">
        <v>0</v>
      </c>
      <c r="O281" s="453">
        <v>0</v>
      </c>
      <c r="P281" s="453">
        <v>0</v>
      </c>
      <c r="Q281" s="453">
        <v>0</v>
      </c>
      <c r="R281" s="453">
        <v>0</v>
      </c>
      <c r="S281" s="453">
        <v>0</v>
      </c>
      <c r="T281" s="453">
        <v>0</v>
      </c>
      <c r="U281" s="453">
        <v>0</v>
      </c>
      <c r="V281" s="453">
        <v>-300</v>
      </c>
      <c r="W281" s="453">
        <v>291</v>
      </c>
      <c r="X281" s="453">
        <v>0</v>
      </c>
      <c r="Y281" s="453">
        <v>0</v>
      </c>
      <c r="Z281" s="453">
        <v>0</v>
      </c>
      <c r="AA281" s="453">
        <v>0</v>
      </c>
      <c r="AB281" s="453">
        <v>0</v>
      </c>
      <c r="AC281" s="453">
        <v>0</v>
      </c>
      <c r="AD281" s="453">
        <v>0</v>
      </c>
      <c r="AE281" s="453">
        <v>0</v>
      </c>
      <c r="AF281" s="453">
        <v>0</v>
      </c>
      <c r="AG281" s="453">
        <v>0</v>
      </c>
      <c r="AH281" s="453">
        <v>0</v>
      </c>
      <c r="AI281" s="453">
        <v>0</v>
      </c>
      <c r="AJ281" s="453">
        <v>0</v>
      </c>
      <c r="AK281" s="453">
        <v>0</v>
      </c>
      <c r="AL281" s="453">
        <v>0</v>
      </c>
      <c r="AM281" s="453">
        <v>0</v>
      </c>
      <c r="AN281" s="453">
        <v>0</v>
      </c>
    </row>
    <row r="282" spans="1:40" outlineLevel="1" collapsed="1" x14ac:dyDescent="0.25">
      <c r="A282" s="452">
        <v>4511</v>
      </c>
      <c r="B282" t="s">
        <v>1177</v>
      </c>
      <c r="C282" t="s">
        <v>1178</v>
      </c>
      <c r="D282" t="s">
        <v>699</v>
      </c>
      <c r="E282" s="453">
        <f t="shared" si="49"/>
        <v>0</v>
      </c>
      <c r="F282" s="453">
        <f t="shared" si="50"/>
        <v>0</v>
      </c>
      <c r="G282" s="453">
        <f t="shared" si="51"/>
        <v>0</v>
      </c>
      <c r="H282" s="453">
        <v>0</v>
      </c>
      <c r="I282" s="453">
        <v>0</v>
      </c>
      <c r="J282" s="453">
        <v>0</v>
      </c>
      <c r="K282" s="453">
        <v>0</v>
      </c>
      <c r="L282" s="453">
        <v>0</v>
      </c>
      <c r="M282" s="453">
        <v>0</v>
      </c>
      <c r="N282" s="453">
        <v>0</v>
      </c>
      <c r="O282" s="453">
        <v>0</v>
      </c>
      <c r="P282" s="453">
        <v>0</v>
      </c>
      <c r="Q282" s="453">
        <v>0</v>
      </c>
      <c r="R282" s="453">
        <v>0</v>
      </c>
      <c r="S282" s="453">
        <v>0</v>
      </c>
      <c r="T282" s="453">
        <v>0</v>
      </c>
      <c r="U282" s="453">
        <v>0</v>
      </c>
      <c r="V282" s="453">
        <v>0</v>
      </c>
      <c r="W282" s="453">
        <v>0</v>
      </c>
      <c r="X282" s="453">
        <v>0</v>
      </c>
      <c r="Y282" s="453">
        <v>0</v>
      </c>
      <c r="Z282" s="453">
        <v>0</v>
      </c>
      <c r="AA282" s="453">
        <v>0</v>
      </c>
      <c r="AB282" s="453">
        <v>0</v>
      </c>
      <c r="AC282" s="453">
        <v>0</v>
      </c>
      <c r="AD282" s="453">
        <v>0</v>
      </c>
      <c r="AE282" s="453">
        <v>0</v>
      </c>
      <c r="AF282" s="453">
        <v>0</v>
      </c>
      <c r="AG282" s="453">
        <v>0</v>
      </c>
      <c r="AH282" s="453">
        <v>0</v>
      </c>
      <c r="AI282" s="453">
        <v>0</v>
      </c>
      <c r="AJ282" s="453">
        <v>0</v>
      </c>
      <c r="AK282" s="453">
        <v>0</v>
      </c>
      <c r="AL282" s="453">
        <v>0</v>
      </c>
      <c r="AM282" s="453">
        <v>0</v>
      </c>
      <c r="AN282" s="453">
        <v>0</v>
      </c>
    </row>
    <row r="283" spans="1:40" outlineLevel="1" collapsed="1" x14ac:dyDescent="0.25">
      <c r="A283" s="452">
        <v>4512</v>
      </c>
      <c r="B283" t="s">
        <v>1179</v>
      </c>
      <c r="C283" t="s">
        <v>1180</v>
      </c>
      <c r="D283" t="s">
        <v>699</v>
      </c>
      <c r="E283" s="453">
        <f t="shared" si="49"/>
        <v>-6</v>
      </c>
      <c r="F283" s="453">
        <f t="shared" si="50"/>
        <v>0</v>
      </c>
      <c r="G283" s="453">
        <f t="shared" si="51"/>
        <v>0</v>
      </c>
      <c r="H283" s="453">
        <v>0</v>
      </c>
      <c r="I283" s="453">
        <v>0</v>
      </c>
      <c r="J283" s="453">
        <v>-6</v>
      </c>
      <c r="K283" s="453">
        <v>0</v>
      </c>
      <c r="L283" s="453">
        <v>0</v>
      </c>
      <c r="M283" s="453">
        <v>0</v>
      </c>
      <c r="N283" s="453">
        <v>0</v>
      </c>
      <c r="O283" s="453">
        <v>0</v>
      </c>
      <c r="P283" s="453">
        <v>0</v>
      </c>
      <c r="Q283" s="453">
        <v>0</v>
      </c>
      <c r="R283" s="453">
        <v>0</v>
      </c>
      <c r="S283" s="453">
        <v>0</v>
      </c>
      <c r="T283" s="453">
        <v>0</v>
      </c>
      <c r="U283" s="453">
        <v>0</v>
      </c>
      <c r="V283" s="453">
        <v>0</v>
      </c>
      <c r="W283" s="453">
        <v>0</v>
      </c>
      <c r="X283" s="453">
        <v>0</v>
      </c>
      <c r="Y283" s="453">
        <v>0</v>
      </c>
      <c r="Z283" s="453">
        <v>0</v>
      </c>
      <c r="AA283" s="453">
        <v>0</v>
      </c>
      <c r="AB283" s="453">
        <v>0</v>
      </c>
      <c r="AC283" s="453">
        <v>0</v>
      </c>
      <c r="AD283" s="453">
        <v>0</v>
      </c>
      <c r="AE283" s="453">
        <v>0</v>
      </c>
      <c r="AF283" s="453">
        <v>0</v>
      </c>
      <c r="AG283" s="453">
        <v>0</v>
      </c>
      <c r="AH283" s="453">
        <v>0</v>
      </c>
      <c r="AI283" s="453">
        <v>0</v>
      </c>
      <c r="AJ283" s="453">
        <v>0</v>
      </c>
      <c r="AK283" s="453">
        <v>0</v>
      </c>
      <c r="AL283" s="453">
        <v>0</v>
      </c>
      <c r="AM283" s="453">
        <v>0</v>
      </c>
      <c r="AN283" s="453">
        <v>0</v>
      </c>
    </row>
    <row r="284" spans="1:40" outlineLevel="1" collapsed="1" x14ac:dyDescent="0.25">
      <c r="A284" s="452">
        <v>4512</v>
      </c>
      <c r="B284" t="s">
        <v>1655</v>
      </c>
      <c r="C284" t="s">
        <v>1656</v>
      </c>
      <c r="D284" t="s">
        <v>699</v>
      </c>
      <c r="E284" s="453">
        <f t="shared" si="49"/>
        <v>0</v>
      </c>
      <c r="F284" s="453">
        <f t="shared" si="50"/>
        <v>0</v>
      </c>
      <c r="G284" s="453">
        <f t="shared" si="51"/>
        <v>0</v>
      </c>
      <c r="H284" s="453">
        <v>0</v>
      </c>
      <c r="I284" s="453">
        <v>0</v>
      </c>
      <c r="J284" s="453">
        <v>0</v>
      </c>
      <c r="K284" s="453">
        <v>0</v>
      </c>
      <c r="L284" s="453">
        <v>0</v>
      </c>
      <c r="M284" s="453">
        <v>0</v>
      </c>
      <c r="N284" s="453">
        <v>0</v>
      </c>
      <c r="O284" s="453">
        <v>0</v>
      </c>
      <c r="P284" s="453">
        <v>0</v>
      </c>
      <c r="Q284" s="453">
        <v>0</v>
      </c>
      <c r="R284" s="453">
        <v>0</v>
      </c>
      <c r="S284" s="453">
        <v>0</v>
      </c>
      <c r="T284" s="453">
        <v>0</v>
      </c>
      <c r="U284" s="453">
        <v>0</v>
      </c>
      <c r="V284" s="453">
        <v>0</v>
      </c>
      <c r="W284" s="453">
        <v>0</v>
      </c>
      <c r="X284" s="453">
        <v>0</v>
      </c>
      <c r="Y284" s="453">
        <v>0</v>
      </c>
      <c r="Z284" s="453">
        <v>0</v>
      </c>
      <c r="AA284" s="453">
        <v>0</v>
      </c>
      <c r="AB284" s="453">
        <v>0</v>
      </c>
      <c r="AC284" s="453">
        <v>0</v>
      </c>
      <c r="AD284" s="453">
        <v>0</v>
      </c>
      <c r="AE284" s="453">
        <v>0</v>
      </c>
      <c r="AF284" s="453">
        <v>0</v>
      </c>
      <c r="AG284" s="453">
        <v>0</v>
      </c>
      <c r="AH284" s="453">
        <v>0</v>
      </c>
      <c r="AI284" s="453">
        <v>0</v>
      </c>
      <c r="AJ284" s="453">
        <v>0</v>
      </c>
      <c r="AK284" s="453">
        <v>0</v>
      </c>
      <c r="AL284" s="453">
        <v>0</v>
      </c>
      <c r="AM284" s="453">
        <v>0</v>
      </c>
      <c r="AN284" s="453">
        <v>0</v>
      </c>
    </row>
    <row r="285" spans="1:40" outlineLevel="1" collapsed="1" x14ac:dyDescent="0.25">
      <c r="A285" s="452">
        <v>4513</v>
      </c>
      <c r="B285" t="s">
        <v>1657</v>
      </c>
      <c r="C285" t="s">
        <v>1658</v>
      </c>
      <c r="D285" t="s">
        <v>699</v>
      </c>
      <c r="E285" s="453">
        <f t="shared" si="49"/>
        <v>-278</v>
      </c>
      <c r="F285" s="453">
        <f t="shared" si="50"/>
        <v>0</v>
      </c>
      <c r="G285" s="453">
        <f t="shared" si="51"/>
        <v>0</v>
      </c>
      <c r="H285" s="453">
        <v>0</v>
      </c>
      <c r="I285" s="453">
        <v>0</v>
      </c>
      <c r="J285" s="453">
        <v>0</v>
      </c>
      <c r="K285" s="453">
        <v>0</v>
      </c>
      <c r="L285" s="453">
        <v>0</v>
      </c>
      <c r="M285" s="453">
        <v>0</v>
      </c>
      <c r="N285" s="453">
        <v>0</v>
      </c>
      <c r="O285" s="453">
        <v>-320</v>
      </c>
      <c r="P285" s="453">
        <v>42</v>
      </c>
      <c r="Q285" s="453">
        <v>0</v>
      </c>
      <c r="R285" s="453">
        <v>0</v>
      </c>
      <c r="S285" s="453">
        <v>0</v>
      </c>
      <c r="T285" s="453">
        <v>0</v>
      </c>
      <c r="U285" s="453">
        <v>0</v>
      </c>
      <c r="V285" s="453">
        <v>0</v>
      </c>
      <c r="W285" s="453">
        <v>0</v>
      </c>
      <c r="X285" s="453">
        <v>0</v>
      </c>
      <c r="Y285" s="453">
        <v>0</v>
      </c>
      <c r="Z285" s="453">
        <v>0</v>
      </c>
      <c r="AA285" s="453">
        <v>0</v>
      </c>
      <c r="AB285" s="453">
        <v>0</v>
      </c>
      <c r="AC285" s="453">
        <v>0</v>
      </c>
      <c r="AD285" s="453">
        <v>0</v>
      </c>
      <c r="AE285" s="453">
        <v>0</v>
      </c>
      <c r="AF285" s="453">
        <v>0</v>
      </c>
      <c r="AG285" s="453">
        <v>0</v>
      </c>
      <c r="AH285" s="453">
        <v>0</v>
      </c>
      <c r="AI285" s="453">
        <v>0</v>
      </c>
      <c r="AJ285" s="453">
        <v>0</v>
      </c>
      <c r="AK285" s="453">
        <v>0</v>
      </c>
      <c r="AL285" s="453">
        <v>0</v>
      </c>
      <c r="AM285" s="453">
        <v>0</v>
      </c>
      <c r="AN285" s="453">
        <v>0</v>
      </c>
    </row>
    <row r="286" spans="1:40" outlineLevel="1" collapsed="1" x14ac:dyDescent="0.25">
      <c r="A286" s="452">
        <v>4513</v>
      </c>
      <c r="B286" t="s">
        <v>1181</v>
      </c>
      <c r="C286" t="s">
        <v>1182</v>
      </c>
      <c r="D286" t="s">
        <v>699</v>
      </c>
      <c r="E286" s="453">
        <f t="shared" si="49"/>
        <v>0</v>
      </c>
      <c r="F286" s="453">
        <f t="shared" si="50"/>
        <v>-456</v>
      </c>
      <c r="G286" s="453">
        <f t="shared" si="51"/>
        <v>-456</v>
      </c>
      <c r="H286" s="453">
        <v>0</v>
      </c>
      <c r="I286" s="453">
        <v>0</v>
      </c>
      <c r="J286" s="453">
        <v>0</v>
      </c>
      <c r="K286" s="453">
        <v>0</v>
      </c>
      <c r="L286" s="453">
        <v>0</v>
      </c>
      <c r="M286" s="453">
        <v>0</v>
      </c>
      <c r="N286" s="453">
        <v>0</v>
      </c>
      <c r="O286" s="453">
        <v>0</v>
      </c>
      <c r="P286" s="453">
        <v>0</v>
      </c>
      <c r="Q286" s="453">
        <v>0</v>
      </c>
      <c r="R286" s="453">
        <v>0</v>
      </c>
      <c r="S286" s="453">
        <v>0</v>
      </c>
      <c r="T286" s="453">
        <v>0</v>
      </c>
      <c r="U286" s="453">
        <v>0</v>
      </c>
      <c r="V286" s="453">
        <v>0</v>
      </c>
      <c r="W286" s="453">
        <v>0</v>
      </c>
      <c r="X286" s="453">
        <v>0</v>
      </c>
      <c r="Y286" s="453">
        <v>-177</v>
      </c>
      <c r="Z286" s="453">
        <v>0</v>
      </c>
      <c r="AA286" s="453">
        <v>-279</v>
      </c>
      <c r="AB286" s="453">
        <v>0</v>
      </c>
      <c r="AC286" s="453">
        <v>0</v>
      </c>
      <c r="AD286" s="453">
        <v>0</v>
      </c>
      <c r="AE286" s="453">
        <v>0</v>
      </c>
      <c r="AF286" s="453">
        <v>0</v>
      </c>
      <c r="AG286" s="453">
        <v>0</v>
      </c>
      <c r="AH286" s="453">
        <v>0</v>
      </c>
      <c r="AI286" s="453">
        <v>-177</v>
      </c>
      <c r="AJ286" s="453">
        <v>0</v>
      </c>
      <c r="AK286" s="453">
        <v>0</v>
      </c>
      <c r="AL286" s="453">
        <v>0</v>
      </c>
      <c r="AM286" s="453">
        <v>-279</v>
      </c>
      <c r="AN286" s="453">
        <v>0</v>
      </c>
    </row>
    <row r="287" spans="1:40" outlineLevel="1" collapsed="1" x14ac:dyDescent="0.25">
      <c r="A287" s="452">
        <v>4514</v>
      </c>
      <c r="B287" t="s">
        <v>1183</v>
      </c>
      <c r="C287" t="s">
        <v>1184</v>
      </c>
      <c r="D287" t="s">
        <v>699</v>
      </c>
      <c r="E287" s="453">
        <f t="shared" si="49"/>
        <v>-622</v>
      </c>
      <c r="F287" s="453">
        <f t="shared" si="50"/>
        <v>-622</v>
      </c>
      <c r="G287" s="453">
        <f t="shared" si="51"/>
        <v>-622</v>
      </c>
      <c r="H287" s="453">
        <v>0</v>
      </c>
      <c r="I287" s="453">
        <v>0</v>
      </c>
      <c r="J287" s="453">
        <v>-311</v>
      </c>
      <c r="K287" s="453">
        <v>0</v>
      </c>
      <c r="L287" s="453">
        <v>-311</v>
      </c>
      <c r="M287" s="453">
        <v>0</v>
      </c>
      <c r="N287" s="453">
        <v>0</v>
      </c>
      <c r="O287" s="453">
        <v>0</v>
      </c>
      <c r="P287" s="453">
        <v>0</v>
      </c>
      <c r="Q287" s="453">
        <v>0</v>
      </c>
      <c r="R287" s="453">
        <v>0</v>
      </c>
      <c r="S287" s="453">
        <v>0</v>
      </c>
      <c r="T287" s="453">
        <v>0</v>
      </c>
      <c r="U287" s="453">
        <v>0</v>
      </c>
      <c r="V287" s="453">
        <v>-311</v>
      </c>
      <c r="W287" s="453">
        <v>0</v>
      </c>
      <c r="X287" s="453">
        <v>-311</v>
      </c>
      <c r="Y287" s="453">
        <v>0</v>
      </c>
      <c r="Z287" s="453">
        <v>0</v>
      </c>
      <c r="AA287" s="453">
        <v>0</v>
      </c>
      <c r="AB287" s="453">
        <v>0</v>
      </c>
      <c r="AC287" s="453">
        <v>0</v>
      </c>
      <c r="AD287" s="453">
        <v>0</v>
      </c>
      <c r="AE287" s="453">
        <v>0</v>
      </c>
      <c r="AF287" s="453">
        <v>0</v>
      </c>
      <c r="AG287" s="453">
        <v>0</v>
      </c>
      <c r="AH287" s="453">
        <v>-311</v>
      </c>
      <c r="AI287" s="453">
        <v>0</v>
      </c>
      <c r="AJ287" s="453">
        <v>-311</v>
      </c>
      <c r="AK287" s="453">
        <v>0</v>
      </c>
      <c r="AL287" s="453">
        <v>0</v>
      </c>
      <c r="AM287" s="453">
        <v>0</v>
      </c>
      <c r="AN287" s="453">
        <v>0</v>
      </c>
    </row>
    <row r="288" spans="1:40" outlineLevel="1" collapsed="1" x14ac:dyDescent="0.25">
      <c r="A288" s="452">
        <v>4515</v>
      </c>
      <c r="B288" t="s">
        <v>1659</v>
      </c>
      <c r="C288" t="s">
        <v>1660</v>
      </c>
      <c r="D288" t="s">
        <v>699</v>
      </c>
      <c r="E288" s="453">
        <f t="shared" si="49"/>
        <v>-238</v>
      </c>
      <c r="F288" s="453">
        <f t="shared" si="50"/>
        <v>0</v>
      </c>
      <c r="G288" s="453">
        <f t="shared" si="51"/>
        <v>0</v>
      </c>
      <c r="H288" s="453">
        <v>-238</v>
      </c>
      <c r="I288" s="453">
        <v>0</v>
      </c>
      <c r="J288" s="453">
        <v>0</v>
      </c>
      <c r="K288" s="453">
        <v>0</v>
      </c>
      <c r="L288" s="453">
        <v>0</v>
      </c>
      <c r="M288" s="453">
        <v>0</v>
      </c>
      <c r="N288" s="453">
        <v>0</v>
      </c>
      <c r="O288" s="453">
        <v>0</v>
      </c>
      <c r="P288" s="453">
        <v>0</v>
      </c>
      <c r="Q288" s="453">
        <v>0</v>
      </c>
      <c r="R288" s="453">
        <v>0</v>
      </c>
      <c r="S288" s="453">
        <v>0</v>
      </c>
      <c r="T288" s="453">
        <v>0</v>
      </c>
      <c r="U288" s="453">
        <v>0</v>
      </c>
      <c r="V288" s="453">
        <v>0</v>
      </c>
      <c r="W288" s="453">
        <v>0</v>
      </c>
      <c r="X288" s="453">
        <v>0</v>
      </c>
      <c r="Y288" s="453">
        <v>0</v>
      </c>
      <c r="Z288" s="453">
        <v>0</v>
      </c>
      <c r="AA288" s="453">
        <v>0</v>
      </c>
      <c r="AB288" s="453">
        <v>0</v>
      </c>
      <c r="AC288" s="453">
        <v>0</v>
      </c>
      <c r="AD288" s="453">
        <v>0</v>
      </c>
      <c r="AE288" s="453">
        <v>0</v>
      </c>
      <c r="AF288" s="453">
        <v>0</v>
      </c>
      <c r="AG288" s="453">
        <v>0</v>
      </c>
      <c r="AH288" s="453">
        <v>0</v>
      </c>
      <c r="AI288" s="453">
        <v>0</v>
      </c>
      <c r="AJ288" s="453">
        <v>0</v>
      </c>
      <c r="AK288" s="453">
        <v>0</v>
      </c>
      <c r="AL288" s="453">
        <v>0</v>
      </c>
      <c r="AM288" s="453">
        <v>0</v>
      </c>
      <c r="AN288" s="453">
        <v>0</v>
      </c>
    </row>
    <row r="289" spans="1:40" outlineLevel="1" collapsed="1" x14ac:dyDescent="0.25">
      <c r="A289" s="452">
        <v>4515</v>
      </c>
      <c r="B289" t="s">
        <v>1185</v>
      </c>
      <c r="C289" t="s">
        <v>1186</v>
      </c>
      <c r="D289" t="s">
        <v>699</v>
      </c>
      <c r="E289" s="453">
        <f t="shared" si="49"/>
        <v>0</v>
      </c>
      <c r="F289" s="453">
        <f t="shared" si="50"/>
        <v>-504</v>
      </c>
      <c r="G289" s="453">
        <f t="shared" si="51"/>
        <v>-432</v>
      </c>
      <c r="H289" s="453">
        <v>0</v>
      </c>
      <c r="I289" s="453">
        <v>0</v>
      </c>
      <c r="J289" s="453">
        <v>0</v>
      </c>
      <c r="K289" s="453">
        <v>0</v>
      </c>
      <c r="L289" s="453">
        <v>0</v>
      </c>
      <c r="M289" s="453">
        <v>0</v>
      </c>
      <c r="N289" s="453">
        <v>0</v>
      </c>
      <c r="O289" s="453">
        <v>0</v>
      </c>
      <c r="P289" s="453">
        <v>0</v>
      </c>
      <c r="Q289" s="453">
        <v>0</v>
      </c>
      <c r="R289" s="453">
        <v>0</v>
      </c>
      <c r="S289" s="453">
        <v>0</v>
      </c>
      <c r="T289" s="453">
        <v>-238</v>
      </c>
      <c r="U289" s="453">
        <v>0</v>
      </c>
      <c r="V289" s="453">
        <v>0</v>
      </c>
      <c r="W289" s="453">
        <v>0</v>
      </c>
      <c r="X289" s="453">
        <v>0</v>
      </c>
      <c r="Y289" s="453">
        <v>-94</v>
      </c>
      <c r="Z289" s="453">
        <v>-172</v>
      </c>
      <c r="AA289" s="453">
        <v>0</v>
      </c>
      <c r="AB289" s="453">
        <v>0</v>
      </c>
      <c r="AC289" s="453">
        <v>0</v>
      </c>
      <c r="AD289" s="453">
        <v>0</v>
      </c>
      <c r="AE289" s="453">
        <v>0</v>
      </c>
      <c r="AF289" s="453">
        <v>0</v>
      </c>
      <c r="AG289" s="453">
        <v>0</v>
      </c>
      <c r="AH289" s="453">
        <v>0</v>
      </c>
      <c r="AI289" s="453">
        <v>-260</v>
      </c>
      <c r="AJ289" s="453">
        <v>0</v>
      </c>
      <c r="AK289" s="453">
        <v>-172</v>
      </c>
      <c r="AL289" s="453">
        <v>0</v>
      </c>
      <c r="AM289" s="453">
        <v>0</v>
      </c>
      <c r="AN289" s="453">
        <v>0</v>
      </c>
    </row>
    <row r="290" spans="1:40" outlineLevel="1" collapsed="1" x14ac:dyDescent="0.25">
      <c r="A290" s="452">
        <v>4516</v>
      </c>
      <c r="B290" t="s">
        <v>1661</v>
      </c>
      <c r="C290" t="s">
        <v>1662</v>
      </c>
      <c r="D290" t="s">
        <v>699</v>
      </c>
      <c r="E290" s="453">
        <f t="shared" si="49"/>
        <v>-684</v>
      </c>
      <c r="F290" s="453">
        <f t="shared" si="50"/>
        <v>0</v>
      </c>
      <c r="G290" s="453">
        <f t="shared" si="51"/>
        <v>0</v>
      </c>
      <c r="H290" s="453">
        <v>0</v>
      </c>
      <c r="I290" s="453">
        <v>-152</v>
      </c>
      <c r="J290" s="453">
        <v>0</v>
      </c>
      <c r="K290" s="453">
        <v>-552</v>
      </c>
      <c r="L290" s="453">
        <v>0</v>
      </c>
      <c r="M290" s="453">
        <v>0</v>
      </c>
      <c r="N290" s="453">
        <v>0</v>
      </c>
      <c r="O290" s="453">
        <v>0</v>
      </c>
      <c r="P290" s="453">
        <v>0</v>
      </c>
      <c r="Q290" s="453">
        <v>0</v>
      </c>
      <c r="R290" s="453">
        <v>0</v>
      </c>
      <c r="S290" s="453">
        <v>20</v>
      </c>
      <c r="T290" s="453">
        <v>0</v>
      </c>
      <c r="U290" s="453">
        <v>0</v>
      </c>
      <c r="V290" s="453">
        <v>0</v>
      </c>
      <c r="W290" s="453">
        <v>0</v>
      </c>
      <c r="X290" s="453">
        <v>0</v>
      </c>
      <c r="Y290" s="453">
        <v>0</v>
      </c>
      <c r="Z290" s="453">
        <v>0</v>
      </c>
      <c r="AA290" s="453">
        <v>0</v>
      </c>
      <c r="AB290" s="453">
        <v>0</v>
      </c>
      <c r="AC290" s="453">
        <v>0</v>
      </c>
      <c r="AD290" s="453">
        <v>0</v>
      </c>
      <c r="AE290" s="453">
        <v>0</v>
      </c>
      <c r="AF290" s="453">
        <v>0</v>
      </c>
      <c r="AG290" s="453">
        <v>0</v>
      </c>
      <c r="AH290" s="453">
        <v>0</v>
      </c>
      <c r="AI290" s="453">
        <v>0</v>
      </c>
      <c r="AJ290" s="453">
        <v>0</v>
      </c>
      <c r="AK290" s="453">
        <v>0</v>
      </c>
      <c r="AL290" s="453">
        <v>0</v>
      </c>
      <c r="AM290" s="453">
        <v>0</v>
      </c>
      <c r="AN290" s="453">
        <v>0</v>
      </c>
    </row>
    <row r="291" spans="1:40" outlineLevel="1" collapsed="1" x14ac:dyDescent="0.25">
      <c r="A291" s="452">
        <v>4516</v>
      </c>
      <c r="B291" t="s">
        <v>1187</v>
      </c>
      <c r="C291" t="s">
        <v>1188</v>
      </c>
      <c r="D291" t="s">
        <v>699</v>
      </c>
      <c r="E291" s="453">
        <f t="shared" si="49"/>
        <v>0</v>
      </c>
      <c r="F291" s="453">
        <f t="shared" si="50"/>
        <v>-379</v>
      </c>
      <c r="G291" s="453">
        <f t="shared" si="51"/>
        <v>-186</v>
      </c>
      <c r="H291" s="453">
        <v>0</v>
      </c>
      <c r="I291" s="453">
        <v>0</v>
      </c>
      <c r="J291" s="453">
        <v>0</v>
      </c>
      <c r="K291" s="453">
        <v>0</v>
      </c>
      <c r="L291" s="453">
        <v>0</v>
      </c>
      <c r="M291" s="453">
        <v>0</v>
      </c>
      <c r="N291" s="453">
        <v>0</v>
      </c>
      <c r="O291" s="453">
        <v>0</v>
      </c>
      <c r="P291" s="453">
        <v>0</v>
      </c>
      <c r="Q291" s="453">
        <v>0</v>
      </c>
      <c r="R291" s="453">
        <v>0</v>
      </c>
      <c r="S291" s="453">
        <v>0</v>
      </c>
      <c r="T291" s="453">
        <v>-176</v>
      </c>
      <c r="U291" s="453">
        <v>0</v>
      </c>
      <c r="V291" s="453">
        <v>0</v>
      </c>
      <c r="W291" s="453">
        <v>-552</v>
      </c>
      <c r="X291" s="453">
        <v>0</v>
      </c>
      <c r="Y291" s="453">
        <v>0</v>
      </c>
      <c r="Z291" s="453">
        <v>0</v>
      </c>
      <c r="AA291" s="453">
        <v>0</v>
      </c>
      <c r="AB291" s="453">
        <v>379</v>
      </c>
      <c r="AC291" s="453">
        <v>-30</v>
      </c>
      <c r="AD291" s="453">
        <v>0</v>
      </c>
      <c r="AE291" s="453">
        <v>0</v>
      </c>
      <c r="AF291" s="453">
        <v>-176</v>
      </c>
      <c r="AG291" s="453">
        <v>0</v>
      </c>
      <c r="AH291" s="453">
        <v>0</v>
      </c>
      <c r="AI291" s="453">
        <v>0</v>
      </c>
      <c r="AJ291" s="453">
        <v>0</v>
      </c>
      <c r="AK291" s="453">
        <v>0</v>
      </c>
      <c r="AL291" s="453">
        <v>0</v>
      </c>
      <c r="AM291" s="453">
        <v>-10</v>
      </c>
      <c r="AN291" s="453">
        <v>0</v>
      </c>
    </row>
    <row r="292" spans="1:40" outlineLevel="1" collapsed="1" x14ac:dyDescent="0.25">
      <c r="A292" s="452">
        <v>4517</v>
      </c>
      <c r="B292" t="s">
        <v>1663</v>
      </c>
      <c r="C292" t="s">
        <v>1664</v>
      </c>
      <c r="D292" t="s">
        <v>699</v>
      </c>
      <c r="E292" s="453">
        <f t="shared" si="49"/>
        <v>-563</v>
      </c>
      <c r="F292" s="453">
        <f t="shared" si="50"/>
        <v>0</v>
      </c>
      <c r="G292" s="453">
        <f t="shared" si="51"/>
        <v>0</v>
      </c>
      <c r="H292" s="453">
        <v>0</v>
      </c>
      <c r="I292" s="453">
        <v>-309</v>
      </c>
      <c r="J292" s="453">
        <v>0</v>
      </c>
      <c r="K292" s="453">
        <v>-254</v>
      </c>
      <c r="L292" s="453">
        <v>0</v>
      </c>
      <c r="M292" s="453">
        <v>0</v>
      </c>
      <c r="N292" s="453">
        <v>0</v>
      </c>
      <c r="O292" s="453">
        <v>0</v>
      </c>
      <c r="P292" s="453">
        <v>0</v>
      </c>
      <c r="Q292" s="453">
        <v>0</v>
      </c>
      <c r="R292" s="453">
        <v>0</v>
      </c>
      <c r="S292" s="453">
        <v>0</v>
      </c>
      <c r="T292" s="453">
        <v>0</v>
      </c>
      <c r="U292" s="453">
        <v>0</v>
      </c>
      <c r="V292" s="453">
        <v>0</v>
      </c>
      <c r="W292" s="453">
        <v>0</v>
      </c>
      <c r="X292" s="453">
        <v>0</v>
      </c>
      <c r="Y292" s="453">
        <v>0</v>
      </c>
      <c r="Z292" s="453">
        <v>0</v>
      </c>
      <c r="AA292" s="453">
        <v>0</v>
      </c>
      <c r="AB292" s="453">
        <v>0</v>
      </c>
      <c r="AC292" s="453">
        <v>0</v>
      </c>
      <c r="AD292" s="453">
        <v>0</v>
      </c>
      <c r="AE292" s="453">
        <v>0</v>
      </c>
      <c r="AF292" s="453">
        <v>0</v>
      </c>
      <c r="AG292" s="453">
        <v>0</v>
      </c>
      <c r="AH292" s="453">
        <v>0</v>
      </c>
      <c r="AI292" s="453">
        <v>0</v>
      </c>
      <c r="AJ292" s="453">
        <v>0</v>
      </c>
      <c r="AK292" s="453">
        <v>0</v>
      </c>
      <c r="AL292" s="453">
        <v>0</v>
      </c>
      <c r="AM292" s="453">
        <v>0</v>
      </c>
      <c r="AN292" s="453">
        <v>0</v>
      </c>
    </row>
    <row r="293" spans="1:40" outlineLevel="1" collapsed="1" x14ac:dyDescent="0.25">
      <c r="A293" s="452">
        <v>4517</v>
      </c>
      <c r="B293" t="s">
        <v>1189</v>
      </c>
      <c r="C293" t="s">
        <v>1190</v>
      </c>
      <c r="D293" t="s">
        <v>699</v>
      </c>
      <c r="E293" s="453">
        <f t="shared" si="49"/>
        <v>0</v>
      </c>
      <c r="F293" s="453">
        <f t="shared" si="50"/>
        <v>-801</v>
      </c>
      <c r="G293" s="453">
        <f t="shared" si="51"/>
        <v>-557</v>
      </c>
      <c r="H293" s="453">
        <v>0</v>
      </c>
      <c r="I293" s="453">
        <v>0</v>
      </c>
      <c r="J293" s="453">
        <v>0</v>
      </c>
      <c r="K293" s="453">
        <v>0</v>
      </c>
      <c r="L293" s="453">
        <v>0</v>
      </c>
      <c r="M293" s="453">
        <v>0</v>
      </c>
      <c r="N293" s="453">
        <v>0</v>
      </c>
      <c r="O293" s="453">
        <v>0</v>
      </c>
      <c r="P293" s="453">
        <v>0</v>
      </c>
      <c r="Q293" s="453">
        <v>0</v>
      </c>
      <c r="R293" s="453">
        <v>0</v>
      </c>
      <c r="S293" s="453">
        <v>0</v>
      </c>
      <c r="T293" s="453">
        <v>-254</v>
      </c>
      <c r="U293" s="453">
        <v>-309</v>
      </c>
      <c r="V293" s="453">
        <v>0</v>
      </c>
      <c r="W293" s="453">
        <v>0</v>
      </c>
      <c r="X293" s="453">
        <v>0</v>
      </c>
      <c r="Y293" s="453">
        <v>0</v>
      </c>
      <c r="Z293" s="453">
        <v>-238</v>
      </c>
      <c r="AA293" s="453">
        <v>0</v>
      </c>
      <c r="AB293" s="453">
        <v>0</v>
      </c>
      <c r="AC293" s="453">
        <v>0</v>
      </c>
      <c r="AD293" s="453">
        <v>0</v>
      </c>
      <c r="AE293" s="453">
        <v>0</v>
      </c>
      <c r="AF293" s="453">
        <v>0</v>
      </c>
      <c r="AG293" s="453">
        <v>0</v>
      </c>
      <c r="AH293" s="453">
        <v>0</v>
      </c>
      <c r="AI293" s="453">
        <v>0</v>
      </c>
      <c r="AJ293" s="453">
        <v>-314</v>
      </c>
      <c r="AK293" s="453">
        <v>-243</v>
      </c>
      <c r="AL293" s="453">
        <v>0</v>
      </c>
      <c r="AM293" s="453">
        <v>0</v>
      </c>
      <c r="AN293" s="453">
        <v>0</v>
      </c>
    </row>
    <row r="294" spans="1:40" outlineLevel="1" collapsed="1" x14ac:dyDescent="0.25">
      <c r="A294" s="452">
        <v>4518</v>
      </c>
      <c r="B294" t="s">
        <v>1191</v>
      </c>
      <c r="C294" t="s">
        <v>1192</v>
      </c>
      <c r="D294" t="s">
        <v>699</v>
      </c>
      <c r="E294" s="453">
        <f t="shared" si="49"/>
        <v>-231</v>
      </c>
      <c r="F294" s="453">
        <f t="shared" si="50"/>
        <v>-231</v>
      </c>
      <c r="G294" s="453">
        <f t="shared" si="51"/>
        <v>-231</v>
      </c>
      <c r="H294" s="453">
        <v>0</v>
      </c>
      <c r="I294" s="453">
        <v>0</v>
      </c>
      <c r="J294" s="453">
        <v>0</v>
      </c>
      <c r="K294" s="453">
        <v>0</v>
      </c>
      <c r="L294" s="453">
        <v>0</v>
      </c>
      <c r="M294" s="453">
        <v>-231</v>
      </c>
      <c r="N294" s="453">
        <v>0</v>
      </c>
      <c r="O294" s="453">
        <v>0</v>
      </c>
      <c r="P294" s="453">
        <v>0</v>
      </c>
      <c r="Q294" s="453">
        <v>0</v>
      </c>
      <c r="R294" s="453">
        <v>0</v>
      </c>
      <c r="S294" s="453">
        <v>0</v>
      </c>
      <c r="T294" s="453">
        <v>0</v>
      </c>
      <c r="U294" s="453">
        <v>0</v>
      </c>
      <c r="V294" s="453">
        <v>0</v>
      </c>
      <c r="W294" s="453">
        <v>-231</v>
      </c>
      <c r="X294" s="453">
        <v>0</v>
      </c>
      <c r="Y294" s="453">
        <v>0</v>
      </c>
      <c r="Z294" s="453">
        <v>0</v>
      </c>
      <c r="AA294" s="453">
        <v>0</v>
      </c>
      <c r="AB294" s="453">
        <v>0</v>
      </c>
      <c r="AC294" s="453">
        <v>0</v>
      </c>
      <c r="AD294" s="453">
        <v>0</v>
      </c>
      <c r="AE294" s="453">
        <v>0</v>
      </c>
      <c r="AF294" s="453">
        <v>0</v>
      </c>
      <c r="AG294" s="453">
        <v>0</v>
      </c>
      <c r="AH294" s="453">
        <v>0</v>
      </c>
      <c r="AI294" s="453">
        <v>-231</v>
      </c>
      <c r="AJ294" s="453">
        <v>0</v>
      </c>
      <c r="AK294" s="453">
        <v>0</v>
      </c>
      <c r="AL294" s="453">
        <v>0</v>
      </c>
      <c r="AM294" s="453">
        <v>0</v>
      </c>
      <c r="AN294" s="453">
        <v>0</v>
      </c>
    </row>
    <row r="295" spans="1:40" outlineLevel="1" collapsed="1" x14ac:dyDescent="0.25">
      <c r="A295" s="452">
        <v>4519</v>
      </c>
      <c r="B295" t="s">
        <v>1665</v>
      </c>
      <c r="C295" t="s">
        <v>1666</v>
      </c>
      <c r="D295" t="s">
        <v>699</v>
      </c>
      <c r="E295" s="453">
        <f t="shared" si="49"/>
        <v>0</v>
      </c>
      <c r="F295" s="453">
        <f t="shared" si="50"/>
        <v>0</v>
      </c>
      <c r="G295" s="453">
        <f t="shared" si="51"/>
        <v>0</v>
      </c>
      <c r="H295" s="453">
        <v>-254</v>
      </c>
      <c r="I295" s="453">
        <v>0</v>
      </c>
      <c r="J295" s="453">
        <v>0</v>
      </c>
      <c r="K295" s="453">
        <v>254</v>
      </c>
      <c r="L295" s="453">
        <v>0</v>
      </c>
      <c r="M295" s="453">
        <v>0</v>
      </c>
      <c r="N295" s="453">
        <v>0</v>
      </c>
      <c r="O295" s="453">
        <v>0</v>
      </c>
      <c r="P295" s="453">
        <v>0</v>
      </c>
      <c r="Q295" s="453">
        <v>0</v>
      </c>
      <c r="R295" s="453">
        <v>0</v>
      </c>
      <c r="S295" s="453">
        <v>0</v>
      </c>
      <c r="T295" s="453">
        <v>0</v>
      </c>
      <c r="U295" s="453">
        <v>0</v>
      </c>
      <c r="V295" s="453">
        <v>0</v>
      </c>
      <c r="W295" s="453">
        <v>0</v>
      </c>
      <c r="X295" s="453">
        <v>0</v>
      </c>
      <c r="Y295" s="453">
        <v>0</v>
      </c>
      <c r="Z295" s="453">
        <v>0</v>
      </c>
      <c r="AA295" s="453">
        <v>0</v>
      </c>
      <c r="AB295" s="453">
        <v>0</v>
      </c>
      <c r="AC295" s="453">
        <v>0</v>
      </c>
      <c r="AD295" s="453">
        <v>0</v>
      </c>
      <c r="AE295" s="453">
        <v>0</v>
      </c>
      <c r="AF295" s="453">
        <v>0</v>
      </c>
      <c r="AG295" s="453">
        <v>0</v>
      </c>
      <c r="AH295" s="453">
        <v>0</v>
      </c>
      <c r="AI295" s="453">
        <v>0</v>
      </c>
      <c r="AJ295" s="453">
        <v>0</v>
      </c>
      <c r="AK295" s="453">
        <v>0</v>
      </c>
      <c r="AL295" s="453">
        <v>0</v>
      </c>
      <c r="AM295" s="453">
        <v>0</v>
      </c>
      <c r="AN295" s="453">
        <v>0</v>
      </c>
    </row>
    <row r="296" spans="1:40" s="451" customFormat="1" x14ac:dyDescent="0.25">
      <c r="B296" s="451" t="s">
        <v>243</v>
      </c>
      <c r="C296" s="451" t="s">
        <v>242</v>
      </c>
      <c r="E296" s="460">
        <f t="shared" ref="E296:AN296" si="52">SUM(E280:E295)</f>
        <v>-2922</v>
      </c>
      <c r="F296" s="460">
        <f t="shared" si="52"/>
        <v>-3002</v>
      </c>
      <c r="G296" s="460">
        <f t="shared" si="52"/>
        <v>-2484</v>
      </c>
      <c r="H296" s="460">
        <f t="shared" si="52"/>
        <v>-492</v>
      </c>
      <c r="I296" s="460">
        <f t="shared" si="52"/>
        <v>-461</v>
      </c>
      <c r="J296" s="460">
        <f t="shared" si="52"/>
        <v>-617</v>
      </c>
      <c r="K296" s="460">
        <f t="shared" si="52"/>
        <v>-552</v>
      </c>
      <c r="L296" s="460">
        <f t="shared" si="52"/>
        <v>-311</v>
      </c>
      <c r="M296" s="460">
        <f t="shared" si="52"/>
        <v>-231</v>
      </c>
      <c r="N296" s="460">
        <f t="shared" si="52"/>
        <v>0</v>
      </c>
      <c r="O296" s="460">
        <f t="shared" si="52"/>
        <v>-320</v>
      </c>
      <c r="P296" s="460">
        <f t="shared" si="52"/>
        <v>42</v>
      </c>
      <c r="Q296" s="460">
        <f t="shared" si="52"/>
        <v>0</v>
      </c>
      <c r="R296" s="460">
        <f t="shared" si="52"/>
        <v>0</v>
      </c>
      <c r="S296" s="460">
        <f t="shared" si="52"/>
        <v>20</v>
      </c>
      <c r="T296" s="460">
        <f t="shared" si="52"/>
        <v>-668</v>
      </c>
      <c r="U296" s="460">
        <f t="shared" si="52"/>
        <v>-309</v>
      </c>
      <c r="V296" s="460">
        <f t="shared" si="52"/>
        <v>-611</v>
      </c>
      <c r="W296" s="460">
        <f t="shared" si="52"/>
        <v>-492</v>
      </c>
      <c r="X296" s="460">
        <f t="shared" si="52"/>
        <v>-311</v>
      </c>
      <c r="Y296" s="460">
        <f t="shared" si="52"/>
        <v>-271</v>
      </c>
      <c r="Z296" s="460">
        <f t="shared" si="52"/>
        <v>-410</v>
      </c>
      <c r="AA296" s="460">
        <f t="shared" si="52"/>
        <v>-279</v>
      </c>
      <c r="AB296" s="460">
        <f t="shared" si="52"/>
        <v>379</v>
      </c>
      <c r="AC296" s="460">
        <f t="shared" si="52"/>
        <v>-30</v>
      </c>
      <c r="AD296" s="460">
        <f t="shared" si="52"/>
        <v>0</v>
      </c>
      <c r="AE296" s="460">
        <f t="shared" si="52"/>
        <v>0</v>
      </c>
      <c r="AF296" s="460">
        <f t="shared" si="52"/>
        <v>-176</v>
      </c>
      <c r="AG296" s="460">
        <f t="shared" si="52"/>
        <v>0</v>
      </c>
      <c r="AH296" s="460">
        <f t="shared" si="52"/>
        <v>-311</v>
      </c>
      <c r="AI296" s="460">
        <f t="shared" si="52"/>
        <v>-668</v>
      </c>
      <c r="AJ296" s="460">
        <f t="shared" si="52"/>
        <v>-625</v>
      </c>
      <c r="AK296" s="460">
        <f t="shared" si="52"/>
        <v>-415</v>
      </c>
      <c r="AL296" s="460">
        <f t="shared" si="52"/>
        <v>0</v>
      </c>
      <c r="AM296" s="460">
        <f t="shared" si="52"/>
        <v>-289</v>
      </c>
      <c r="AN296" s="460">
        <f t="shared" si="52"/>
        <v>0</v>
      </c>
    </row>
    <row r="297" spans="1:40" x14ac:dyDescent="0.25">
      <c r="B297" t="s">
        <v>1128</v>
      </c>
      <c r="C297" t="s">
        <v>1129</v>
      </c>
      <c r="E297" s="457">
        <f t="shared" ref="E297:AN297" si="53">(E296)/(E44)</f>
        <v>-1.8608169354689116E-4</v>
      </c>
      <c r="F297" s="457">
        <f t="shared" si="53"/>
        <v>-1.737738130180574E-4</v>
      </c>
      <c r="G297" s="457">
        <f t="shared" si="53"/>
        <v>-2.1369676842533409E-4</v>
      </c>
      <c r="H297" s="457">
        <f t="shared" si="53"/>
        <v>-4.3949088589696441E-4</v>
      </c>
      <c r="I297" s="457">
        <f t="shared" si="53"/>
        <v>-3.7222354240914394E-4</v>
      </c>
      <c r="J297" s="457">
        <f t="shared" si="53"/>
        <v>-4.238052202747208E-4</v>
      </c>
      <c r="K297" s="457">
        <f t="shared" si="53"/>
        <v>-4.1683935231108765E-4</v>
      </c>
      <c r="L297" s="457">
        <f t="shared" si="53"/>
        <v>-2.5456371139943412E-4</v>
      </c>
      <c r="M297" s="457">
        <f t="shared" si="53"/>
        <v>-1.6775587433141663E-4</v>
      </c>
      <c r="N297" s="457">
        <f t="shared" si="53"/>
        <v>0</v>
      </c>
      <c r="O297" s="457">
        <f t="shared" si="53"/>
        <v>-2.2938554243856545E-4</v>
      </c>
      <c r="P297" s="457">
        <f t="shared" si="53"/>
        <v>3.1699455350524664E-5</v>
      </c>
      <c r="Q297" s="457">
        <f t="shared" si="53"/>
        <v>0</v>
      </c>
      <c r="R297" s="457">
        <f t="shared" si="53"/>
        <v>0</v>
      </c>
      <c r="S297" s="457">
        <f t="shared" si="53"/>
        <v>1.2508277665452055E-5</v>
      </c>
      <c r="T297" s="457">
        <f t="shared" si="53"/>
        <v>-4.8540011993306856E-4</v>
      </c>
      <c r="U297" s="457">
        <f t="shared" si="53"/>
        <v>-2.1891779934192889E-4</v>
      </c>
      <c r="V297" s="457">
        <f t="shared" si="53"/>
        <v>-3.6651833091943126E-4</v>
      </c>
      <c r="W297" s="457">
        <f t="shared" si="53"/>
        <v>-3.6272004380124678E-4</v>
      </c>
      <c r="X297" s="457">
        <f t="shared" si="53"/>
        <v>-1.7419950120017293E-4</v>
      </c>
      <c r="Y297" s="457">
        <f t="shared" si="53"/>
        <v>-2.227825143084947E-4</v>
      </c>
      <c r="Z297" s="457">
        <f t="shared" si="53"/>
        <v>-2.7619554035279487E-4</v>
      </c>
      <c r="AA297" s="457">
        <f t="shared" si="53"/>
        <v>-2.1616827933497511E-4</v>
      </c>
      <c r="AB297" s="457">
        <f t="shared" si="53"/>
        <v>2.6134275660381597E-4</v>
      </c>
      <c r="AC297" s="457">
        <f t="shared" si="53"/>
        <v>-2.1840276553812288E-5</v>
      </c>
      <c r="AD297" s="457">
        <f t="shared" si="53"/>
        <v>0</v>
      </c>
      <c r="AE297" s="457">
        <f t="shared" si="53"/>
        <v>0</v>
      </c>
      <c r="AF297" s="457">
        <f t="shared" si="53"/>
        <v>-1.2756290084965516E-4</v>
      </c>
      <c r="AG297" s="457">
        <f t="shared" si="53"/>
        <v>0</v>
      </c>
      <c r="AH297" s="457">
        <f t="shared" si="53"/>
        <v>-2.6869434884291846E-4</v>
      </c>
      <c r="AI297" s="457">
        <f t="shared" si="53"/>
        <v>-4.8690455973072891E-4</v>
      </c>
      <c r="AJ297" s="457">
        <f t="shared" si="53"/>
        <v>-4.1047647886367284E-4</v>
      </c>
      <c r="AK297" s="457">
        <f t="shared" si="53"/>
        <v>-3.8948039907982414E-4</v>
      </c>
      <c r="AL297" s="457">
        <f t="shared" si="53"/>
        <v>0</v>
      </c>
      <c r="AM297" s="457">
        <f t="shared" si="53"/>
        <v>-2.0832391881021463E-4</v>
      </c>
      <c r="AN297" s="457">
        <f t="shared" si="53"/>
        <v>0</v>
      </c>
    </row>
    <row r="299" spans="1:40" s="458" customFormat="1" ht="15.75" thickBot="1" x14ac:dyDescent="0.3">
      <c r="B299" s="458" t="s">
        <v>241</v>
      </c>
      <c r="C299" s="458" t="s">
        <v>1667</v>
      </c>
      <c r="E299" s="459">
        <f t="shared" ref="E299:AN299" si="54">E255+E260+E266+E277+E296</f>
        <v>842636.8400000009</v>
      </c>
      <c r="F299" s="459">
        <f t="shared" si="54"/>
        <v>995052.29999999667</v>
      </c>
      <c r="G299" s="459">
        <f t="shared" si="54"/>
        <v>893518.67000000202</v>
      </c>
      <c r="H299" s="459">
        <f t="shared" si="54"/>
        <v>-29075.740000000049</v>
      </c>
      <c r="I299" s="459">
        <f t="shared" si="54"/>
        <v>-184056.6399999999</v>
      </c>
      <c r="J299" s="459">
        <f t="shared" si="54"/>
        <v>-119534.77999999997</v>
      </c>
      <c r="K299" s="459">
        <f t="shared" si="54"/>
        <v>126754.66999999995</v>
      </c>
      <c r="L299" s="459">
        <f t="shared" si="54"/>
        <v>-263406.03999999963</v>
      </c>
      <c r="M299" s="459">
        <f t="shared" si="54"/>
        <v>761131.14999999944</v>
      </c>
      <c r="N299" s="459">
        <f t="shared" si="54"/>
        <v>8396.8000000003012</v>
      </c>
      <c r="O299" s="459">
        <f t="shared" si="54"/>
        <v>338598.54000000062</v>
      </c>
      <c r="P299" s="459">
        <f t="shared" si="54"/>
        <v>-69290.230000001029</v>
      </c>
      <c r="Q299" s="459">
        <f t="shared" si="54"/>
        <v>23546.520000000241</v>
      </c>
      <c r="R299" s="459">
        <f t="shared" si="54"/>
        <v>285754.0899999995</v>
      </c>
      <c r="S299" s="459">
        <f t="shared" si="54"/>
        <v>-36181.499999999418</v>
      </c>
      <c r="T299" s="459">
        <f t="shared" si="54"/>
        <v>173265.19000000006</v>
      </c>
      <c r="U299" s="459">
        <f t="shared" si="54"/>
        <v>202470.51999999973</v>
      </c>
      <c r="V299" s="459">
        <f t="shared" si="54"/>
        <v>431829.76000000007</v>
      </c>
      <c r="W299" s="459">
        <f t="shared" si="54"/>
        <v>109993.14000000003</v>
      </c>
      <c r="X299" s="459">
        <f t="shared" si="54"/>
        <v>-28887.06999999984</v>
      </c>
      <c r="Y299" s="459">
        <f t="shared" si="54"/>
        <v>-286937.40000000002</v>
      </c>
      <c r="Z299" s="459">
        <f t="shared" si="54"/>
        <v>-804202.97999999963</v>
      </c>
      <c r="AA299" s="459">
        <f t="shared" si="54"/>
        <v>159202.41999999926</v>
      </c>
      <c r="AB299" s="459">
        <f t="shared" si="54"/>
        <v>-337349.53</v>
      </c>
      <c r="AC299" s="459">
        <f t="shared" si="54"/>
        <v>73368.759999999151</v>
      </c>
      <c r="AD299" s="459">
        <f t="shared" si="54"/>
        <v>148830.28000000183</v>
      </c>
      <c r="AE299" s="459">
        <f t="shared" si="54"/>
        <v>1153469.2099999983</v>
      </c>
      <c r="AF299" s="459">
        <f t="shared" si="54"/>
        <v>112166.09999999996</v>
      </c>
      <c r="AG299" s="459">
        <f t="shared" si="54"/>
        <v>43709.180000000459</v>
      </c>
      <c r="AH299" s="459">
        <f t="shared" si="54"/>
        <v>-138826.14000000051</v>
      </c>
      <c r="AI299" s="459">
        <f t="shared" si="54"/>
        <v>127652.71000000043</v>
      </c>
      <c r="AJ299" s="459">
        <f t="shared" si="54"/>
        <v>86903.600000000268</v>
      </c>
      <c r="AK299" s="459">
        <f t="shared" si="54"/>
        <v>183090.53999999975</v>
      </c>
      <c r="AL299" s="459">
        <f t="shared" si="54"/>
        <v>-36861.990000000216</v>
      </c>
      <c r="AM299" s="459">
        <f t="shared" si="54"/>
        <v>391168.7900000005</v>
      </c>
      <c r="AN299" s="459">
        <f t="shared" si="54"/>
        <v>124515.88000000059</v>
      </c>
    </row>
    <row r="300" spans="1:40" ht="15.75" thickTop="1" x14ac:dyDescent="0.25">
      <c r="B300" t="s">
        <v>1128</v>
      </c>
      <c r="C300" t="s">
        <v>1129</v>
      </c>
      <c r="E300" s="457">
        <f t="shared" ref="E300:AN300" si="55">(E299)/(E44)</f>
        <v>5.3661632522998264E-2</v>
      </c>
      <c r="F300" s="457">
        <f t="shared" si="55"/>
        <v>5.7599611033773278E-2</v>
      </c>
      <c r="G300" s="457">
        <f t="shared" si="55"/>
        <v>7.6868781121861088E-2</v>
      </c>
      <c r="H300" s="457">
        <f t="shared" si="55"/>
        <v>-2.5972607176239483E-2</v>
      </c>
      <c r="I300" s="457">
        <f t="shared" si="55"/>
        <v>-0.14861217905580151</v>
      </c>
      <c r="J300" s="457">
        <f t="shared" si="55"/>
        <v>-8.2106100110843239E-2</v>
      </c>
      <c r="K300" s="457">
        <f t="shared" si="55"/>
        <v>9.5717997364502955E-2</v>
      </c>
      <c r="L300" s="457">
        <f t="shared" si="55"/>
        <v>-0.21560649243545887</v>
      </c>
      <c r="M300" s="457">
        <f t="shared" si="55"/>
        <v>0.55274554783171659</v>
      </c>
      <c r="N300" s="457">
        <f t="shared" si="55"/>
        <v>6.8752317385747967E-3</v>
      </c>
      <c r="O300" s="457">
        <f t="shared" si="55"/>
        <v>0.24271753052127013</v>
      </c>
      <c r="P300" s="457">
        <f t="shared" si="55"/>
        <v>-5.2296727431252785E-2</v>
      </c>
      <c r="Q300" s="457">
        <f t="shared" si="55"/>
        <v>2.1529761371282419E-2</v>
      </c>
      <c r="R300" s="457">
        <f t="shared" si="55"/>
        <v>0.21451532631701933</v>
      </c>
      <c r="S300" s="457">
        <f t="shared" si="55"/>
        <v>-2.2628412417627312E-2</v>
      </c>
      <c r="T300" s="457">
        <f t="shared" si="55"/>
        <v>0.12590261078776338</v>
      </c>
      <c r="U300" s="457">
        <f t="shared" si="55"/>
        <v>0.14344466236251113</v>
      </c>
      <c r="V300" s="457">
        <f t="shared" si="55"/>
        <v>0.25904013564081602</v>
      </c>
      <c r="W300" s="457">
        <f t="shared" si="55"/>
        <v>8.1090887314302196E-2</v>
      </c>
      <c r="X300" s="457">
        <f t="shared" si="55"/>
        <v>-1.6180428248020746E-2</v>
      </c>
      <c r="Y300" s="457">
        <f t="shared" si="55"/>
        <v>-0.23588426354665046</v>
      </c>
      <c r="Z300" s="457">
        <f t="shared" si="55"/>
        <v>-0.54174945515714101</v>
      </c>
      <c r="AA300" s="457">
        <f t="shared" si="55"/>
        <v>0.12334950966797086</v>
      </c>
      <c r="AB300" s="457">
        <f t="shared" si="55"/>
        <v>-0.23262231163377764</v>
      </c>
      <c r="AC300" s="457">
        <f t="shared" si="55"/>
        <v>5.3413133627008738E-2</v>
      </c>
      <c r="AD300" s="457">
        <f t="shared" si="55"/>
        <v>0.11157304967238994</v>
      </c>
      <c r="AE300" s="457">
        <f t="shared" si="55"/>
        <v>0.75409682945433443</v>
      </c>
      <c r="AF300" s="457">
        <f t="shared" si="55"/>
        <v>8.1296778937457403E-2</v>
      </c>
      <c r="AG300" s="457">
        <f t="shared" si="55"/>
        <v>2.9499413037730158E-2</v>
      </c>
      <c r="AH300" s="457">
        <f t="shared" si="55"/>
        <v>-0.11994147681567836</v>
      </c>
      <c r="AI300" s="457">
        <f t="shared" si="55"/>
        <v>9.3045937965545847E-2</v>
      </c>
      <c r="AJ300" s="457">
        <f t="shared" si="55"/>
        <v>5.7075013965723502E-2</v>
      </c>
      <c r="AK300" s="457">
        <f t="shared" si="55"/>
        <v>0.17183175081190458</v>
      </c>
      <c r="AL300" s="457">
        <f t="shared" si="55"/>
        <v>-3.2837339887191577E-2</v>
      </c>
      <c r="AM300" s="457">
        <f t="shared" si="55"/>
        <v>0.28197167906245679</v>
      </c>
      <c r="AN300" s="457">
        <f t="shared" si="55"/>
        <v>0.10968731544379663</v>
      </c>
    </row>
    <row r="304" spans="1:40" x14ac:dyDescent="0.25">
      <c r="B304" t="s">
        <v>1668</v>
      </c>
      <c r="C304" t="s">
        <v>1669</v>
      </c>
      <c r="E304" s="457">
        <f t="shared" ref="E304:AN304" si="56">(ABS(E62))/(E44)</f>
        <v>0.5149726412530341</v>
      </c>
      <c r="F304" s="457">
        <f t="shared" si="56"/>
        <v>0.48612022420271889</v>
      </c>
      <c r="G304" s="457">
        <f t="shared" si="56"/>
        <v>0.45221021741338874</v>
      </c>
      <c r="H304" s="457">
        <f t="shared" si="56"/>
        <v>0.62032321624718489</v>
      </c>
      <c r="I304" s="457">
        <f t="shared" si="56"/>
        <v>0.74143109713890321</v>
      </c>
      <c r="J304" s="457">
        <f t="shared" si="56"/>
        <v>0.67741989415062798</v>
      </c>
      <c r="K304" s="457">
        <f t="shared" si="56"/>
        <v>0.49728584344010807</v>
      </c>
      <c r="L304" s="457">
        <f t="shared" si="56"/>
        <v>0.77348788357359211</v>
      </c>
      <c r="M304" s="457">
        <f t="shared" si="56"/>
        <v>4.4286781034633418E-2</v>
      </c>
      <c r="N304" s="457">
        <f t="shared" si="56"/>
        <v>0.59107781637635515</v>
      </c>
      <c r="O304" s="457">
        <f t="shared" si="56"/>
        <v>0.35993312694608065</v>
      </c>
      <c r="P304" s="457">
        <f t="shared" si="56"/>
        <v>0.53359182981256859</v>
      </c>
      <c r="Q304" s="457">
        <f t="shared" si="56"/>
        <v>0.46713424576810897</v>
      </c>
      <c r="R304" s="457">
        <f t="shared" si="56"/>
        <v>0.32062524193153941</v>
      </c>
      <c r="S304" s="457">
        <f t="shared" si="56"/>
        <v>0.67299185668595785</v>
      </c>
      <c r="T304" s="457">
        <f t="shared" si="56"/>
        <v>0.51062398076420357</v>
      </c>
      <c r="U304" s="457">
        <f t="shared" si="56"/>
        <v>0.36375416253775189</v>
      </c>
      <c r="V304" s="457">
        <f t="shared" si="56"/>
        <v>0.37422074663635146</v>
      </c>
      <c r="W304" s="457">
        <f t="shared" si="56"/>
        <v>0.47791824881475886</v>
      </c>
      <c r="X304" s="457">
        <f t="shared" si="56"/>
        <v>0.59820183209032174</v>
      </c>
      <c r="Y304" s="457">
        <f t="shared" si="56"/>
        <v>0.68160921054927992</v>
      </c>
      <c r="Z304" s="457">
        <f t="shared" si="56"/>
        <v>1.1245036412474838</v>
      </c>
      <c r="AA304" s="457">
        <f t="shared" si="56"/>
        <v>0.38345900471242966</v>
      </c>
      <c r="AB304" s="457">
        <f t="shared" si="56"/>
        <v>0.80465572949758657</v>
      </c>
      <c r="AC304" s="457">
        <f t="shared" si="56"/>
        <v>0.25732093714180637</v>
      </c>
      <c r="AD304" s="457">
        <f t="shared" si="56"/>
        <v>0.44195549892209529</v>
      </c>
      <c r="AE304" s="457">
        <f t="shared" si="56"/>
        <v>0.17100150223236282</v>
      </c>
      <c r="AF304" s="457">
        <f t="shared" si="56"/>
        <v>0.48296913871464536</v>
      </c>
      <c r="AG304" s="457">
        <f t="shared" si="56"/>
        <v>0.57628959936872348</v>
      </c>
      <c r="AH304" s="457">
        <f t="shared" si="56"/>
        <v>0.57434471971282941</v>
      </c>
      <c r="AI304" s="457">
        <f t="shared" si="56"/>
        <v>0.51275142178864797</v>
      </c>
      <c r="AJ304" s="457">
        <f t="shared" si="56"/>
        <v>0.46053965480596304</v>
      </c>
      <c r="AK304" s="457">
        <f t="shared" si="56"/>
        <v>0.27320443271490064</v>
      </c>
      <c r="AL304" s="457">
        <f t="shared" si="56"/>
        <v>0.4509676167726217</v>
      </c>
      <c r="AM304" s="457">
        <f t="shared" si="56"/>
        <v>0.32187022199811333</v>
      </c>
      <c r="AN304" s="457">
        <f t="shared" si="56"/>
        <v>0.37253492901651564</v>
      </c>
    </row>
    <row r="305" spans="2:40" x14ac:dyDescent="0.25">
      <c r="B305" t="s">
        <v>1670</v>
      </c>
      <c r="C305" t="s">
        <v>1671</v>
      </c>
      <c r="E305" s="457">
        <f t="shared" ref="E305:AN305" si="57">(ABS(E91))/(E44)</f>
        <v>0.23938335288052964</v>
      </c>
      <c r="F305" s="457">
        <f t="shared" si="57"/>
        <v>0.26178087467179068</v>
      </c>
      <c r="G305" s="457">
        <f t="shared" si="57"/>
        <v>0.27692122595647456</v>
      </c>
      <c r="H305" s="457">
        <f t="shared" si="57"/>
        <v>0.26318448985925696</v>
      </c>
      <c r="I305" s="457">
        <f t="shared" si="57"/>
        <v>0.20343108233070431</v>
      </c>
      <c r="J305" s="457">
        <f t="shared" si="57"/>
        <v>0.18949293031073342</v>
      </c>
      <c r="K305" s="457">
        <f t="shared" si="57"/>
        <v>0.20689811435092037</v>
      </c>
      <c r="L305" s="457">
        <f t="shared" si="57"/>
        <v>0.25069431843017764</v>
      </c>
      <c r="M305" s="457">
        <f t="shared" si="57"/>
        <v>0.25518948803056762</v>
      </c>
      <c r="N305" s="457">
        <f t="shared" si="57"/>
        <v>0.24227306093786574</v>
      </c>
      <c r="O305" s="457">
        <f t="shared" si="57"/>
        <v>0.1970173858112497</v>
      </c>
      <c r="P305" s="457">
        <f t="shared" si="57"/>
        <v>0.25480395811475498</v>
      </c>
      <c r="Q305" s="457">
        <f t="shared" si="57"/>
        <v>0.30328517921068654</v>
      </c>
      <c r="R305" s="457">
        <f t="shared" si="57"/>
        <v>0.25709300257492784</v>
      </c>
      <c r="S305" s="457">
        <f t="shared" si="57"/>
        <v>0.26415791935708266</v>
      </c>
      <c r="T305" s="457">
        <f t="shared" si="57"/>
        <v>0.24548280508224099</v>
      </c>
      <c r="U305" s="457">
        <f t="shared" si="57"/>
        <v>0.24101784165895201</v>
      </c>
      <c r="V305" s="457">
        <f t="shared" si="57"/>
        <v>0.21943483065329447</v>
      </c>
      <c r="W305" s="457">
        <f t="shared" si="57"/>
        <v>0.26985476991712898</v>
      </c>
      <c r="X305" s="457">
        <f t="shared" si="57"/>
        <v>0.2155598456056938</v>
      </c>
      <c r="Y305" s="457">
        <f t="shared" si="57"/>
        <v>0.33043487253662845</v>
      </c>
      <c r="Z305" s="457">
        <f t="shared" si="57"/>
        <v>0.27527991171766564</v>
      </c>
      <c r="AA305" s="457">
        <f t="shared" si="57"/>
        <v>0.30069820417233489</v>
      </c>
      <c r="AB305" s="457">
        <f t="shared" si="57"/>
        <v>0.26311917710323574</v>
      </c>
      <c r="AC305" s="457">
        <f t="shared" si="57"/>
        <v>0.28582194475752476</v>
      </c>
      <c r="AD305" s="457">
        <f t="shared" si="57"/>
        <v>0.27034905716227464</v>
      </c>
      <c r="AE305" s="457">
        <f t="shared" si="57"/>
        <v>0.25767634513512355</v>
      </c>
      <c r="AF305" s="457">
        <f t="shared" si="57"/>
        <v>0.25713948355971145</v>
      </c>
      <c r="AG305" s="457">
        <f t="shared" si="57"/>
        <v>0.2308778058881959</v>
      </c>
      <c r="AH305" s="457">
        <f t="shared" si="57"/>
        <v>0.31229922549156347</v>
      </c>
      <c r="AI305" s="457">
        <f t="shared" si="57"/>
        <v>0.26547320916630479</v>
      </c>
      <c r="AJ305" s="457">
        <f t="shared" si="57"/>
        <v>0.23426917854803411</v>
      </c>
      <c r="AK305" s="457">
        <f t="shared" si="57"/>
        <v>0.32759190735562088</v>
      </c>
      <c r="AL305" s="457">
        <f t="shared" si="57"/>
        <v>0.35931097047701244</v>
      </c>
      <c r="AM305" s="457">
        <f t="shared" si="57"/>
        <v>0.24401735333918612</v>
      </c>
      <c r="AN305" s="457">
        <f t="shared" si="57"/>
        <v>0.30721037727782902</v>
      </c>
    </row>
    <row r="306" spans="2:40" x14ac:dyDescent="0.25">
      <c r="B306" t="s">
        <v>1672</v>
      </c>
      <c r="C306" t="s">
        <v>1673</v>
      </c>
      <c r="E306" s="457">
        <f t="shared" ref="E306:AN306" si="58">(ABS(E241))/(E44)</f>
        <v>0.14405944993986464</v>
      </c>
      <c r="F306" s="457">
        <f t="shared" si="58"/>
        <v>0.15019979126071936</v>
      </c>
      <c r="G306" s="457">
        <f t="shared" si="58"/>
        <v>0.14733517523085971</v>
      </c>
      <c r="H306" s="457">
        <f t="shared" si="58"/>
        <v>0.11626553624846682</v>
      </c>
      <c r="I306" s="457">
        <f t="shared" si="58"/>
        <v>0.11530393703424567</v>
      </c>
      <c r="J306" s="457">
        <f t="shared" si="58"/>
        <v>0.13624850833613186</v>
      </c>
      <c r="K306" s="457">
        <f t="shared" si="58"/>
        <v>0.17776585389008948</v>
      </c>
      <c r="L306" s="457">
        <f t="shared" si="58"/>
        <v>0.10628689777193641</v>
      </c>
      <c r="M306" s="457">
        <f t="shared" si="58"/>
        <v>0.15513750985329741</v>
      </c>
      <c r="N306" s="457">
        <f t="shared" si="58"/>
        <v>0.1368909748139942</v>
      </c>
      <c r="O306" s="457">
        <f t="shared" si="58"/>
        <v>0.12214143589973342</v>
      </c>
      <c r="P306" s="457">
        <f t="shared" si="58"/>
        <v>0.17468327526923974</v>
      </c>
      <c r="Q306" s="457">
        <f t="shared" si="58"/>
        <v>0.18716604393638439</v>
      </c>
      <c r="R306" s="457">
        <f t="shared" si="58"/>
        <v>0.1238449631681518</v>
      </c>
      <c r="S306" s="457">
        <f t="shared" si="58"/>
        <v>0.17088714509044223</v>
      </c>
      <c r="T306" s="457">
        <f t="shared" si="58"/>
        <v>0.10036347967214421</v>
      </c>
      <c r="U306" s="457">
        <f t="shared" si="58"/>
        <v>0.17620768767047168</v>
      </c>
      <c r="V306" s="457">
        <f t="shared" si="58"/>
        <v>9.6315714547221751E-2</v>
      </c>
      <c r="W306" s="457">
        <f t="shared" si="58"/>
        <v>0.15200382808246554</v>
      </c>
      <c r="X306" s="457">
        <f t="shared" si="58"/>
        <v>0.15879655165197817</v>
      </c>
      <c r="Y306" s="457">
        <f t="shared" si="58"/>
        <v>0.14041334903289659</v>
      </c>
      <c r="Z306" s="457">
        <f t="shared" si="58"/>
        <v>0.12313332065169158</v>
      </c>
      <c r="AA306" s="457">
        <f t="shared" si="58"/>
        <v>0.13201382872646333</v>
      </c>
      <c r="AB306" s="457">
        <f t="shared" si="58"/>
        <v>0.10511776625229406</v>
      </c>
      <c r="AC306" s="457">
        <f t="shared" si="58"/>
        <v>0.38348117089333539</v>
      </c>
      <c r="AD306" s="457">
        <f t="shared" si="58"/>
        <v>0.11278115945178659</v>
      </c>
      <c r="AE306" s="457">
        <f t="shared" si="58"/>
        <v>0.13340840245679869</v>
      </c>
      <c r="AF306" s="457">
        <f t="shared" si="58"/>
        <v>0.16080067579925711</v>
      </c>
      <c r="AG306" s="457">
        <f t="shared" si="58"/>
        <v>0.10564569696657192</v>
      </c>
      <c r="AH306" s="457">
        <f t="shared" si="58"/>
        <v>0.16937902524221851</v>
      </c>
      <c r="AI306" s="457">
        <f t="shared" si="58"/>
        <v>0.11200956583777309</v>
      </c>
      <c r="AJ306" s="457">
        <f t="shared" si="58"/>
        <v>0.19227703413523708</v>
      </c>
      <c r="AK306" s="457">
        <f t="shared" si="58"/>
        <v>0.1586287125306835</v>
      </c>
      <c r="AL306" s="457">
        <f t="shared" si="58"/>
        <v>0.20303444468811302</v>
      </c>
      <c r="AM306" s="457">
        <f t="shared" si="58"/>
        <v>9.1555940281216622E-2</v>
      </c>
      <c r="AN306" s="457">
        <f t="shared" si="58"/>
        <v>0.14780552658780063</v>
      </c>
    </row>
  </sheetData>
  <pageMargins left="0.7" right="0.7" top="0.75" bottom="0.75" header="0.3" footer="0.3"/>
  <pageSetup orientation="portrait" horizontalDpi="4294967295" verticalDpi="4294967295"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D712-25FF-4CAA-9B24-0D9FD3912DDF}">
  <sheetPr>
    <tabColor theme="9"/>
  </sheetPr>
  <dimension ref="A1:AN185"/>
  <sheetViews>
    <sheetView workbookViewId="0"/>
  </sheetViews>
  <sheetFormatPr defaultColWidth="8.85546875" defaultRowHeight="15" outlineLevelRow="4" x14ac:dyDescent="0.25"/>
  <cols>
    <col min="1" max="1" width="9" style="452" customWidth="1"/>
    <col min="2" max="4" width="50" customWidth="1"/>
    <col min="5" max="40" width="20" style="453" customWidth="1"/>
  </cols>
  <sheetData>
    <row r="1" spans="1:40" s="451" customFormat="1" x14ac:dyDescent="0.25">
      <c r="A1" s="448" t="s">
        <v>864</v>
      </c>
      <c r="B1" s="449"/>
      <c r="C1" s="449"/>
      <c r="D1" s="449" t="s">
        <v>1197</v>
      </c>
      <c r="E1" s="450" t="s">
        <v>1198</v>
      </c>
      <c r="F1" s="450" t="s">
        <v>1199</v>
      </c>
      <c r="G1" s="450" t="s">
        <v>1200</v>
      </c>
      <c r="H1" s="450" t="s">
        <v>1201</v>
      </c>
      <c r="I1" s="450" t="s">
        <v>1202</v>
      </c>
      <c r="J1" s="450" t="s">
        <v>1203</v>
      </c>
      <c r="K1" s="450" t="s">
        <v>1204</v>
      </c>
      <c r="L1" s="450" t="s">
        <v>1205</v>
      </c>
      <c r="M1" s="450" t="s">
        <v>1206</v>
      </c>
      <c r="N1" s="450" t="s">
        <v>1207</v>
      </c>
      <c r="O1" s="450" t="s">
        <v>1208</v>
      </c>
      <c r="P1" s="450" t="s">
        <v>1209</v>
      </c>
      <c r="Q1" s="450" t="s">
        <v>1210</v>
      </c>
      <c r="R1" s="450" t="s">
        <v>1211</v>
      </c>
      <c r="S1" s="450" t="s">
        <v>1212</v>
      </c>
      <c r="T1" s="450" t="s">
        <v>1213</v>
      </c>
      <c r="U1" s="450" t="s">
        <v>1214</v>
      </c>
      <c r="V1" s="450" t="s">
        <v>1215</v>
      </c>
      <c r="W1" s="450" t="s">
        <v>1216</v>
      </c>
      <c r="X1" s="450" t="s">
        <v>1217</v>
      </c>
      <c r="Y1" s="450" t="s">
        <v>1218</v>
      </c>
      <c r="Z1" s="450" t="s">
        <v>1219</v>
      </c>
      <c r="AA1" s="450" t="s">
        <v>1220</v>
      </c>
      <c r="AB1" s="450" t="s">
        <v>1221</v>
      </c>
      <c r="AC1" s="450" t="s">
        <v>1222</v>
      </c>
      <c r="AD1" s="450" t="s">
        <v>1223</v>
      </c>
      <c r="AE1" s="450" t="s">
        <v>1224</v>
      </c>
      <c r="AF1" s="450" t="s">
        <v>1225</v>
      </c>
      <c r="AG1" s="450" t="s">
        <v>1226</v>
      </c>
      <c r="AH1" s="450" t="s">
        <v>1227</v>
      </c>
      <c r="AI1" s="450" t="s">
        <v>1228</v>
      </c>
      <c r="AJ1" s="450" t="s">
        <v>1229</v>
      </c>
      <c r="AK1" s="450" t="s">
        <v>1230</v>
      </c>
      <c r="AL1" s="450" t="s">
        <v>1231</v>
      </c>
      <c r="AM1" s="450" t="s">
        <v>1232</v>
      </c>
      <c r="AN1" s="450" t="s">
        <v>1233</v>
      </c>
    </row>
    <row r="3" spans="1:40" hidden="1" outlineLevel="4" collapsed="1" x14ac:dyDescent="0.25">
      <c r="A3" s="452">
        <v>48</v>
      </c>
      <c r="B3" t="s">
        <v>869</v>
      </c>
      <c r="C3" t="s">
        <v>870</v>
      </c>
      <c r="D3" t="s">
        <v>1674</v>
      </c>
      <c r="E3" s="453">
        <f>S3</f>
        <v>0</v>
      </c>
      <c r="F3" s="453">
        <f>AE3</f>
        <v>203167.17</v>
      </c>
      <c r="G3" s="453">
        <f>AN3</f>
        <v>344694.47</v>
      </c>
      <c r="AE3" s="453">
        <v>203167.17</v>
      </c>
      <c r="AF3" s="453">
        <v>203167.17</v>
      </c>
      <c r="AG3" s="453">
        <v>203167.17</v>
      </c>
      <c r="AH3" s="453">
        <v>203167.17</v>
      </c>
      <c r="AI3" s="453">
        <v>203167.17</v>
      </c>
      <c r="AJ3" s="453">
        <v>203167.17</v>
      </c>
      <c r="AK3" s="453">
        <v>203167.17</v>
      </c>
      <c r="AL3" s="453">
        <v>344694.47</v>
      </c>
      <c r="AM3" s="453">
        <v>344694.47</v>
      </c>
      <c r="AN3" s="453">
        <v>344694.47</v>
      </c>
    </row>
    <row r="4" spans="1:40" hidden="1" outlineLevel="3" collapsed="1" x14ac:dyDescent="0.25">
      <c r="B4" t="s">
        <v>871</v>
      </c>
      <c r="C4" t="s">
        <v>872</v>
      </c>
      <c r="D4" t="s">
        <v>1674</v>
      </c>
      <c r="E4" s="453">
        <f>S4</f>
        <v>0</v>
      </c>
      <c r="F4" s="453">
        <f>AE4</f>
        <v>203167.17</v>
      </c>
      <c r="G4" s="453">
        <f>AN4</f>
        <v>344694.47</v>
      </c>
      <c r="H4" s="453">
        <f t="shared" ref="H4:AN4" si="0">SUM(H3:H3)</f>
        <v>0</v>
      </c>
      <c r="I4" s="453">
        <f t="shared" si="0"/>
        <v>0</v>
      </c>
      <c r="J4" s="453">
        <f t="shared" si="0"/>
        <v>0</v>
      </c>
      <c r="K4" s="453">
        <f t="shared" si="0"/>
        <v>0</v>
      </c>
      <c r="L4" s="453">
        <f t="shared" si="0"/>
        <v>0</v>
      </c>
      <c r="M4" s="453">
        <f t="shared" si="0"/>
        <v>0</v>
      </c>
      <c r="N4" s="453">
        <f t="shared" si="0"/>
        <v>0</v>
      </c>
      <c r="O4" s="453">
        <f t="shared" si="0"/>
        <v>0</v>
      </c>
      <c r="P4" s="453">
        <f t="shared" si="0"/>
        <v>0</v>
      </c>
      <c r="Q4" s="453">
        <f t="shared" si="0"/>
        <v>0</v>
      </c>
      <c r="R4" s="453">
        <f t="shared" si="0"/>
        <v>0</v>
      </c>
      <c r="S4" s="453">
        <f t="shared" si="0"/>
        <v>0</v>
      </c>
      <c r="T4" s="453">
        <f t="shared" si="0"/>
        <v>0</v>
      </c>
      <c r="U4" s="453">
        <f t="shared" si="0"/>
        <v>0</v>
      </c>
      <c r="V4" s="453">
        <f t="shared" si="0"/>
        <v>0</v>
      </c>
      <c r="W4" s="453">
        <f t="shared" si="0"/>
        <v>0</v>
      </c>
      <c r="X4" s="453">
        <f t="shared" si="0"/>
        <v>0</v>
      </c>
      <c r="Y4" s="453">
        <f t="shared" si="0"/>
        <v>0</v>
      </c>
      <c r="Z4" s="453">
        <f t="shared" si="0"/>
        <v>0</v>
      </c>
      <c r="AA4" s="453">
        <f t="shared" si="0"/>
        <v>0</v>
      </c>
      <c r="AB4" s="453">
        <f t="shared" si="0"/>
        <v>0</v>
      </c>
      <c r="AC4" s="453">
        <f t="shared" si="0"/>
        <v>0</v>
      </c>
      <c r="AD4" s="453">
        <f t="shared" si="0"/>
        <v>0</v>
      </c>
      <c r="AE4" s="453">
        <f t="shared" si="0"/>
        <v>203167.17</v>
      </c>
      <c r="AF4" s="453">
        <f t="shared" si="0"/>
        <v>203167.17</v>
      </c>
      <c r="AG4" s="453">
        <f t="shared" si="0"/>
        <v>203167.17</v>
      </c>
      <c r="AH4" s="453">
        <f t="shared" si="0"/>
        <v>203167.17</v>
      </c>
      <c r="AI4" s="453">
        <f t="shared" si="0"/>
        <v>203167.17</v>
      </c>
      <c r="AJ4" s="453">
        <f t="shared" si="0"/>
        <v>203167.17</v>
      </c>
      <c r="AK4" s="453">
        <f t="shared" si="0"/>
        <v>203167.17</v>
      </c>
      <c r="AL4" s="453">
        <f t="shared" si="0"/>
        <v>344694.47</v>
      </c>
      <c r="AM4" s="453">
        <f t="shared" si="0"/>
        <v>344694.47</v>
      </c>
      <c r="AN4" s="453">
        <f t="shared" si="0"/>
        <v>344694.47</v>
      </c>
    </row>
    <row r="5" spans="1:40" s="461" customFormat="1" ht="11.25" hidden="1" outlineLevel="3" collapsed="1" x14ac:dyDescent="0.2">
      <c r="B5" s="461" t="s">
        <v>1675</v>
      </c>
      <c r="C5" s="461" t="s">
        <v>1676</v>
      </c>
      <c r="AE5" s="462">
        <v>203167.17</v>
      </c>
    </row>
    <row r="6" spans="1:40" s="461" customFormat="1" ht="11.25" hidden="1" outlineLevel="3" collapsed="1" x14ac:dyDescent="0.2">
      <c r="B6" s="461" t="s">
        <v>1677</v>
      </c>
      <c r="C6" s="461" t="s">
        <v>1678</v>
      </c>
      <c r="AE6" s="462">
        <f>ABS(AE5) - ABS(AE4)</f>
        <v>0</v>
      </c>
    </row>
    <row r="7" spans="1:40" hidden="1" outlineLevel="4" collapsed="1" x14ac:dyDescent="0.25">
      <c r="A7" s="452">
        <v>27</v>
      </c>
      <c r="B7" t="s">
        <v>873</v>
      </c>
      <c r="C7" t="s">
        <v>1679</v>
      </c>
      <c r="D7" t="s">
        <v>1674</v>
      </c>
      <c r="E7" s="453">
        <f>S7</f>
        <v>3606</v>
      </c>
      <c r="F7" s="453">
        <f>AE7</f>
        <v>1109</v>
      </c>
      <c r="G7" s="453">
        <f>AN7</f>
        <v>7</v>
      </c>
      <c r="H7" s="453">
        <v>5941.68</v>
      </c>
      <c r="I7" s="453">
        <v>5729.34</v>
      </c>
      <c r="J7" s="453">
        <v>5517.02</v>
      </c>
      <c r="K7" s="453">
        <v>5304.68</v>
      </c>
      <c r="L7" s="453">
        <v>5092.34</v>
      </c>
      <c r="M7" s="453">
        <v>4880.0200000000004</v>
      </c>
      <c r="N7" s="453">
        <v>4667.68</v>
      </c>
      <c r="O7" s="453">
        <v>4455.34</v>
      </c>
      <c r="P7" s="453">
        <v>4243.0200000000004</v>
      </c>
      <c r="Q7" s="453">
        <v>4030.68</v>
      </c>
      <c r="R7" s="453">
        <v>3818.34</v>
      </c>
      <c r="S7" s="453">
        <v>3606</v>
      </c>
      <c r="T7" s="453">
        <v>3393.82</v>
      </c>
      <c r="U7" s="453">
        <v>3181.63</v>
      </c>
      <c r="V7" s="453">
        <v>2969.45</v>
      </c>
      <c r="W7" s="453">
        <v>2757.25</v>
      </c>
      <c r="X7" s="453">
        <v>2545.06</v>
      </c>
      <c r="Y7" s="453">
        <v>2332.88</v>
      </c>
      <c r="Z7" s="453">
        <v>2120.69</v>
      </c>
      <c r="AA7" s="453">
        <v>1908.49</v>
      </c>
      <c r="AB7" s="453">
        <v>1696.31</v>
      </c>
      <c r="AC7" s="453">
        <v>1484.12</v>
      </c>
      <c r="AD7" s="453">
        <v>1271.93</v>
      </c>
      <c r="AE7" s="453">
        <v>1109</v>
      </c>
      <c r="AF7" s="453">
        <v>946.5</v>
      </c>
      <c r="AG7" s="453">
        <v>784</v>
      </c>
      <c r="AH7" s="453">
        <v>673</v>
      </c>
      <c r="AI7" s="453">
        <v>562</v>
      </c>
      <c r="AJ7" s="453">
        <v>451</v>
      </c>
      <c r="AK7" s="453">
        <v>340</v>
      </c>
      <c r="AL7" s="453">
        <v>229</v>
      </c>
      <c r="AM7" s="453">
        <v>118</v>
      </c>
      <c r="AN7" s="453">
        <v>7</v>
      </c>
    </row>
    <row r="8" spans="1:40" hidden="1" outlineLevel="3" collapsed="1" x14ac:dyDescent="0.25">
      <c r="B8" t="s">
        <v>875</v>
      </c>
      <c r="C8" t="s">
        <v>876</v>
      </c>
      <c r="D8" t="s">
        <v>1674</v>
      </c>
      <c r="E8" s="453">
        <f>S8</f>
        <v>3606</v>
      </c>
      <c r="F8" s="453">
        <f>AE8</f>
        <v>1109</v>
      </c>
      <c r="G8" s="453">
        <f>AN8</f>
        <v>7</v>
      </c>
      <c r="H8" s="453">
        <f t="shared" ref="H8:AN8" si="1">SUM(H7:H7)</f>
        <v>5941.68</v>
      </c>
      <c r="I8" s="453">
        <f t="shared" si="1"/>
        <v>5729.34</v>
      </c>
      <c r="J8" s="453">
        <f t="shared" si="1"/>
        <v>5517.02</v>
      </c>
      <c r="K8" s="453">
        <f t="shared" si="1"/>
        <v>5304.68</v>
      </c>
      <c r="L8" s="453">
        <f t="shared" si="1"/>
        <v>5092.34</v>
      </c>
      <c r="M8" s="453">
        <f t="shared" si="1"/>
        <v>4880.0200000000004</v>
      </c>
      <c r="N8" s="453">
        <f t="shared" si="1"/>
        <v>4667.68</v>
      </c>
      <c r="O8" s="453">
        <f t="shared" si="1"/>
        <v>4455.34</v>
      </c>
      <c r="P8" s="453">
        <f t="shared" si="1"/>
        <v>4243.0200000000004</v>
      </c>
      <c r="Q8" s="453">
        <f t="shared" si="1"/>
        <v>4030.68</v>
      </c>
      <c r="R8" s="453">
        <f t="shared" si="1"/>
        <v>3818.34</v>
      </c>
      <c r="S8" s="453">
        <f t="shared" si="1"/>
        <v>3606</v>
      </c>
      <c r="T8" s="453">
        <f t="shared" si="1"/>
        <v>3393.82</v>
      </c>
      <c r="U8" s="453">
        <f t="shared" si="1"/>
        <v>3181.63</v>
      </c>
      <c r="V8" s="453">
        <f t="shared" si="1"/>
        <v>2969.45</v>
      </c>
      <c r="W8" s="453">
        <f t="shared" si="1"/>
        <v>2757.25</v>
      </c>
      <c r="X8" s="453">
        <f t="shared" si="1"/>
        <v>2545.06</v>
      </c>
      <c r="Y8" s="453">
        <f t="shared" si="1"/>
        <v>2332.88</v>
      </c>
      <c r="Z8" s="453">
        <f t="shared" si="1"/>
        <v>2120.69</v>
      </c>
      <c r="AA8" s="453">
        <f t="shared" si="1"/>
        <v>1908.49</v>
      </c>
      <c r="AB8" s="453">
        <f t="shared" si="1"/>
        <v>1696.31</v>
      </c>
      <c r="AC8" s="453">
        <f t="shared" si="1"/>
        <v>1484.12</v>
      </c>
      <c r="AD8" s="453">
        <f t="shared" si="1"/>
        <v>1271.93</v>
      </c>
      <c r="AE8" s="453">
        <f t="shared" si="1"/>
        <v>1109</v>
      </c>
      <c r="AF8" s="453">
        <f t="shared" si="1"/>
        <v>946.5</v>
      </c>
      <c r="AG8" s="453">
        <f t="shared" si="1"/>
        <v>784</v>
      </c>
      <c r="AH8" s="453">
        <f t="shared" si="1"/>
        <v>673</v>
      </c>
      <c r="AI8" s="453">
        <f t="shared" si="1"/>
        <v>562</v>
      </c>
      <c r="AJ8" s="453">
        <f t="shared" si="1"/>
        <v>451</v>
      </c>
      <c r="AK8" s="453">
        <f t="shared" si="1"/>
        <v>340</v>
      </c>
      <c r="AL8" s="453">
        <f t="shared" si="1"/>
        <v>229</v>
      </c>
      <c r="AM8" s="453">
        <f t="shared" si="1"/>
        <v>118</v>
      </c>
      <c r="AN8" s="453">
        <f t="shared" si="1"/>
        <v>7</v>
      </c>
    </row>
    <row r="9" spans="1:40" s="461" customFormat="1" ht="11.25" hidden="1" outlineLevel="3" collapsed="1" x14ac:dyDescent="0.2">
      <c r="B9" s="461" t="s">
        <v>1680</v>
      </c>
      <c r="C9" s="461" t="s">
        <v>1681</v>
      </c>
      <c r="S9" s="462">
        <v>3606</v>
      </c>
      <c r="AE9" s="462">
        <v>1109</v>
      </c>
    </row>
    <row r="10" spans="1:40" s="461" customFormat="1" ht="11.25" hidden="1" outlineLevel="3" collapsed="1" x14ac:dyDescent="0.2">
      <c r="B10" s="461" t="s">
        <v>1682</v>
      </c>
      <c r="C10" s="461" t="s">
        <v>1683</v>
      </c>
      <c r="S10" s="462">
        <f>ABS(S9) - ABS(S8)</f>
        <v>0</v>
      </c>
      <c r="AE10" s="462">
        <f>ABS(AE9) - ABS(AE8)</f>
        <v>0</v>
      </c>
    </row>
    <row r="11" spans="1:40" hidden="1" outlineLevel="2" collapsed="1" x14ac:dyDescent="0.25">
      <c r="B11" t="s">
        <v>877</v>
      </c>
      <c r="C11" t="s">
        <v>878</v>
      </c>
      <c r="D11" t="s">
        <v>1674</v>
      </c>
      <c r="E11" s="453">
        <f>S11</f>
        <v>3606</v>
      </c>
      <c r="F11" s="453">
        <f>AE11</f>
        <v>204276.17</v>
      </c>
      <c r="G11" s="453">
        <f>AN11</f>
        <v>344701.47</v>
      </c>
      <c r="H11" s="453">
        <f t="shared" ref="H11:AN11" si="2">H4+H8</f>
        <v>5941.68</v>
      </c>
      <c r="I11" s="453">
        <f t="shared" si="2"/>
        <v>5729.34</v>
      </c>
      <c r="J11" s="453">
        <f t="shared" si="2"/>
        <v>5517.02</v>
      </c>
      <c r="K11" s="453">
        <f t="shared" si="2"/>
        <v>5304.68</v>
      </c>
      <c r="L11" s="453">
        <f t="shared" si="2"/>
        <v>5092.34</v>
      </c>
      <c r="M11" s="453">
        <f t="shared" si="2"/>
        <v>4880.0200000000004</v>
      </c>
      <c r="N11" s="453">
        <f t="shared" si="2"/>
        <v>4667.68</v>
      </c>
      <c r="O11" s="453">
        <f t="shared" si="2"/>
        <v>4455.34</v>
      </c>
      <c r="P11" s="453">
        <f t="shared" si="2"/>
        <v>4243.0200000000004</v>
      </c>
      <c r="Q11" s="453">
        <f t="shared" si="2"/>
        <v>4030.68</v>
      </c>
      <c r="R11" s="453">
        <f t="shared" si="2"/>
        <v>3818.34</v>
      </c>
      <c r="S11" s="453">
        <f t="shared" si="2"/>
        <v>3606</v>
      </c>
      <c r="T11" s="453">
        <f t="shared" si="2"/>
        <v>3393.82</v>
      </c>
      <c r="U11" s="453">
        <f t="shared" si="2"/>
        <v>3181.63</v>
      </c>
      <c r="V11" s="453">
        <f t="shared" si="2"/>
        <v>2969.45</v>
      </c>
      <c r="W11" s="453">
        <f t="shared" si="2"/>
        <v>2757.25</v>
      </c>
      <c r="X11" s="453">
        <f t="shared" si="2"/>
        <v>2545.06</v>
      </c>
      <c r="Y11" s="453">
        <f t="shared" si="2"/>
        <v>2332.88</v>
      </c>
      <c r="Z11" s="453">
        <f t="shared" si="2"/>
        <v>2120.69</v>
      </c>
      <c r="AA11" s="453">
        <f t="shared" si="2"/>
        <v>1908.49</v>
      </c>
      <c r="AB11" s="453">
        <f t="shared" si="2"/>
        <v>1696.31</v>
      </c>
      <c r="AC11" s="453">
        <f t="shared" si="2"/>
        <v>1484.12</v>
      </c>
      <c r="AD11" s="453">
        <f t="shared" si="2"/>
        <v>1271.93</v>
      </c>
      <c r="AE11" s="453">
        <f t="shared" si="2"/>
        <v>204276.17</v>
      </c>
      <c r="AF11" s="453">
        <f t="shared" si="2"/>
        <v>204113.67</v>
      </c>
      <c r="AG11" s="453">
        <f t="shared" si="2"/>
        <v>203951.17</v>
      </c>
      <c r="AH11" s="453">
        <f t="shared" si="2"/>
        <v>203840.17</v>
      </c>
      <c r="AI11" s="453">
        <f t="shared" si="2"/>
        <v>203729.17</v>
      </c>
      <c r="AJ11" s="453">
        <f t="shared" si="2"/>
        <v>203618.17</v>
      </c>
      <c r="AK11" s="453">
        <f t="shared" si="2"/>
        <v>203507.17</v>
      </c>
      <c r="AL11" s="453">
        <f t="shared" si="2"/>
        <v>344923.47</v>
      </c>
      <c r="AM11" s="453">
        <f t="shared" si="2"/>
        <v>344812.47</v>
      </c>
      <c r="AN11" s="453">
        <f t="shared" si="2"/>
        <v>344701.47</v>
      </c>
    </row>
    <row r="12" spans="1:40" s="461" customFormat="1" ht="11.25" hidden="1" outlineLevel="2" collapsed="1" x14ac:dyDescent="0.2">
      <c r="B12" s="461" t="s">
        <v>1684</v>
      </c>
      <c r="C12" s="461" t="s">
        <v>1685</v>
      </c>
      <c r="S12" s="462">
        <v>3606</v>
      </c>
      <c r="AE12" s="462">
        <v>204276.17</v>
      </c>
    </row>
    <row r="13" spans="1:40" s="461" customFormat="1" ht="11.25" hidden="1" outlineLevel="2" collapsed="1" x14ac:dyDescent="0.2">
      <c r="B13" s="461" t="s">
        <v>1686</v>
      </c>
      <c r="C13" s="461" t="s">
        <v>1687</v>
      </c>
      <c r="S13" s="462">
        <f>ABS(S12) - ABS(S11)</f>
        <v>0</v>
      </c>
      <c r="AE13" s="462">
        <f>ABS(AE12) - ABS(AE11)</f>
        <v>0</v>
      </c>
    </row>
    <row r="14" spans="1:40" hidden="1" outlineLevel="4" collapsed="1" x14ac:dyDescent="0.25">
      <c r="A14" s="452">
        <v>210</v>
      </c>
      <c r="B14" t="s">
        <v>879</v>
      </c>
      <c r="C14" t="s">
        <v>880</v>
      </c>
      <c r="D14" t="s">
        <v>1674</v>
      </c>
      <c r="E14" s="453">
        <f>S14</f>
        <v>1</v>
      </c>
      <c r="F14" s="453">
        <f>AE14</f>
        <v>1</v>
      </c>
      <c r="G14" s="453">
        <f>AN14</f>
        <v>1</v>
      </c>
      <c r="H14" s="453">
        <v>1</v>
      </c>
      <c r="I14" s="453">
        <v>1</v>
      </c>
      <c r="J14" s="453">
        <v>1</v>
      </c>
      <c r="K14" s="453">
        <v>1</v>
      </c>
      <c r="L14" s="453">
        <v>1</v>
      </c>
      <c r="M14" s="453">
        <v>1</v>
      </c>
      <c r="N14" s="453">
        <v>1</v>
      </c>
      <c r="O14" s="453">
        <v>1</v>
      </c>
      <c r="P14" s="453">
        <v>1</v>
      </c>
      <c r="Q14" s="453">
        <v>1</v>
      </c>
      <c r="R14" s="453">
        <v>1</v>
      </c>
      <c r="S14" s="453">
        <v>1</v>
      </c>
      <c r="T14" s="453">
        <v>1</v>
      </c>
      <c r="U14" s="453">
        <v>1</v>
      </c>
      <c r="V14" s="453">
        <v>1</v>
      </c>
      <c r="W14" s="453">
        <v>1</v>
      </c>
      <c r="X14" s="453">
        <v>1</v>
      </c>
      <c r="Y14" s="453">
        <v>1</v>
      </c>
      <c r="Z14" s="453">
        <v>1</v>
      </c>
      <c r="AA14" s="453">
        <v>1</v>
      </c>
      <c r="AB14" s="453">
        <v>1</v>
      </c>
      <c r="AC14" s="453">
        <v>1</v>
      </c>
      <c r="AD14" s="453">
        <v>1</v>
      </c>
      <c r="AE14" s="453">
        <v>1</v>
      </c>
      <c r="AF14" s="453">
        <v>1</v>
      </c>
      <c r="AG14" s="453">
        <v>1</v>
      </c>
      <c r="AH14" s="453">
        <v>1</v>
      </c>
      <c r="AI14" s="453">
        <v>1</v>
      </c>
      <c r="AJ14" s="453">
        <v>1</v>
      </c>
      <c r="AK14" s="453">
        <v>1</v>
      </c>
      <c r="AL14" s="453">
        <v>1</v>
      </c>
      <c r="AM14" s="453">
        <v>1</v>
      </c>
      <c r="AN14" s="453">
        <v>1</v>
      </c>
    </row>
    <row r="15" spans="1:40" hidden="1" outlineLevel="3" collapsed="1" x14ac:dyDescent="0.25">
      <c r="B15" t="s">
        <v>881</v>
      </c>
      <c r="C15" t="s">
        <v>882</v>
      </c>
      <c r="D15" t="s">
        <v>1674</v>
      </c>
      <c r="E15" s="453">
        <f>S15</f>
        <v>1</v>
      </c>
      <c r="F15" s="453">
        <f>AE15</f>
        <v>1</v>
      </c>
      <c r="G15" s="453">
        <f>AN15</f>
        <v>1</v>
      </c>
      <c r="H15" s="453">
        <f t="shared" ref="H15:AN15" si="3">SUM(H14:H14)</f>
        <v>1</v>
      </c>
      <c r="I15" s="453">
        <f t="shared" si="3"/>
        <v>1</v>
      </c>
      <c r="J15" s="453">
        <f t="shared" si="3"/>
        <v>1</v>
      </c>
      <c r="K15" s="453">
        <f t="shared" si="3"/>
        <v>1</v>
      </c>
      <c r="L15" s="453">
        <f t="shared" si="3"/>
        <v>1</v>
      </c>
      <c r="M15" s="453">
        <f t="shared" si="3"/>
        <v>1</v>
      </c>
      <c r="N15" s="453">
        <f t="shared" si="3"/>
        <v>1</v>
      </c>
      <c r="O15" s="453">
        <f t="shared" si="3"/>
        <v>1</v>
      </c>
      <c r="P15" s="453">
        <f t="shared" si="3"/>
        <v>1</v>
      </c>
      <c r="Q15" s="453">
        <f t="shared" si="3"/>
        <v>1</v>
      </c>
      <c r="R15" s="453">
        <f t="shared" si="3"/>
        <v>1</v>
      </c>
      <c r="S15" s="453">
        <f t="shared" si="3"/>
        <v>1</v>
      </c>
      <c r="T15" s="453">
        <f t="shared" si="3"/>
        <v>1</v>
      </c>
      <c r="U15" s="453">
        <f t="shared" si="3"/>
        <v>1</v>
      </c>
      <c r="V15" s="453">
        <f t="shared" si="3"/>
        <v>1</v>
      </c>
      <c r="W15" s="453">
        <f t="shared" si="3"/>
        <v>1</v>
      </c>
      <c r="X15" s="453">
        <f t="shared" si="3"/>
        <v>1</v>
      </c>
      <c r="Y15" s="453">
        <f t="shared" si="3"/>
        <v>1</v>
      </c>
      <c r="Z15" s="453">
        <f t="shared" si="3"/>
        <v>1</v>
      </c>
      <c r="AA15" s="453">
        <f t="shared" si="3"/>
        <v>1</v>
      </c>
      <c r="AB15" s="453">
        <f t="shared" si="3"/>
        <v>1</v>
      </c>
      <c r="AC15" s="453">
        <f t="shared" si="3"/>
        <v>1</v>
      </c>
      <c r="AD15" s="453">
        <f t="shared" si="3"/>
        <v>1</v>
      </c>
      <c r="AE15" s="453">
        <f t="shared" si="3"/>
        <v>1</v>
      </c>
      <c r="AF15" s="453">
        <f t="shared" si="3"/>
        <v>1</v>
      </c>
      <c r="AG15" s="453">
        <f t="shared" si="3"/>
        <v>1</v>
      </c>
      <c r="AH15" s="453">
        <f t="shared" si="3"/>
        <v>1</v>
      </c>
      <c r="AI15" s="453">
        <f t="shared" si="3"/>
        <v>1</v>
      </c>
      <c r="AJ15" s="453">
        <f t="shared" si="3"/>
        <v>1</v>
      </c>
      <c r="AK15" s="453">
        <f t="shared" si="3"/>
        <v>1</v>
      </c>
      <c r="AL15" s="453">
        <f t="shared" si="3"/>
        <v>1</v>
      </c>
      <c r="AM15" s="453">
        <f t="shared" si="3"/>
        <v>1</v>
      </c>
      <c r="AN15" s="453">
        <f t="shared" si="3"/>
        <v>1</v>
      </c>
    </row>
    <row r="16" spans="1:40" s="461" customFormat="1" ht="11.25" hidden="1" outlineLevel="3" collapsed="1" x14ac:dyDescent="0.2">
      <c r="B16" s="461" t="s">
        <v>1688</v>
      </c>
      <c r="C16" s="461" t="s">
        <v>1689</v>
      </c>
      <c r="S16" s="462">
        <v>1</v>
      </c>
      <c r="AE16" s="462">
        <v>1</v>
      </c>
    </row>
    <row r="17" spans="1:40" s="461" customFormat="1" ht="11.25" hidden="1" outlineLevel="3" collapsed="1" x14ac:dyDescent="0.2">
      <c r="B17" s="461" t="s">
        <v>1690</v>
      </c>
      <c r="C17" s="461" t="s">
        <v>1691</v>
      </c>
      <c r="S17" s="462">
        <f>ABS(S16) - ABS(S15)</f>
        <v>0</v>
      </c>
      <c r="AE17" s="462">
        <f>ABS(AE16) - ABS(AE15)</f>
        <v>0</v>
      </c>
    </row>
    <row r="18" spans="1:40" hidden="1" outlineLevel="4" collapsed="1" x14ac:dyDescent="0.25">
      <c r="A18" s="452">
        <v>400</v>
      </c>
      <c r="B18" t="s">
        <v>883</v>
      </c>
      <c r="C18" t="s">
        <v>884</v>
      </c>
      <c r="D18" t="s">
        <v>1674</v>
      </c>
      <c r="E18" s="453">
        <f>S18</f>
        <v>243990</v>
      </c>
      <c r="F18" s="453">
        <f>AE18</f>
        <v>303552</v>
      </c>
      <c r="G18" s="453">
        <f>AN18</f>
        <v>264585.34999999998</v>
      </c>
      <c r="H18" s="453">
        <v>271609.39</v>
      </c>
      <c r="I18" s="453">
        <v>263686.52</v>
      </c>
      <c r="J18" s="453">
        <v>263016.53999999998</v>
      </c>
      <c r="K18" s="453">
        <v>257253.5</v>
      </c>
      <c r="L18" s="453">
        <v>266464.58</v>
      </c>
      <c r="M18" s="453">
        <v>260959.59</v>
      </c>
      <c r="N18" s="453">
        <v>255470.73</v>
      </c>
      <c r="O18" s="453">
        <v>254064.14</v>
      </c>
      <c r="P18" s="453">
        <v>247155.95</v>
      </c>
      <c r="Q18" s="453">
        <v>257992.12</v>
      </c>
      <c r="R18" s="453">
        <v>250970.65</v>
      </c>
      <c r="S18" s="453">
        <v>243990</v>
      </c>
      <c r="T18" s="453">
        <v>238052.49</v>
      </c>
      <c r="U18" s="453">
        <v>232137.74</v>
      </c>
      <c r="V18" s="453">
        <v>234117.42</v>
      </c>
      <c r="W18" s="453">
        <v>269725.58</v>
      </c>
      <c r="X18" s="453">
        <v>270487.96999999997</v>
      </c>
      <c r="Y18" s="453">
        <v>276138.11</v>
      </c>
      <c r="Z18" s="453">
        <v>273207.96999999997</v>
      </c>
      <c r="AA18" s="453">
        <v>305381.42</v>
      </c>
      <c r="AB18" s="453">
        <v>299350.38</v>
      </c>
      <c r="AC18" s="453">
        <v>356647.7</v>
      </c>
      <c r="AD18" s="453">
        <v>521769.12</v>
      </c>
      <c r="AE18" s="453">
        <v>303552</v>
      </c>
      <c r="AF18" s="453">
        <v>297424.90000000002</v>
      </c>
      <c r="AG18" s="453">
        <v>291423.59999999998</v>
      </c>
      <c r="AH18" s="453">
        <v>293787.09999999998</v>
      </c>
      <c r="AI18" s="453">
        <v>291908.43</v>
      </c>
      <c r="AJ18" s="453">
        <v>285912.06</v>
      </c>
      <c r="AK18" s="453">
        <v>279970.5</v>
      </c>
      <c r="AL18" s="453">
        <v>274032.92</v>
      </c>
      <c r="AM18" s="453">
        <v>268099.21000000002</v>
      </c>
      <c r="AN18" s="453">
        <v>264585.34999999998</v>
      </c>
    </row>
    <row r="19" spans="1:40" hidden="1" outlineLevel="4" collapsed="1" x14ac:dyDescent="0.25">
      <c r="A19" s="452">
        <v>440</v>
      </c>
      <c r="B19" t="s">
        <v>885</v>
      </c>
      <c r="C19" t="s">
        <v>886</v>
      </c>
      <c r="D19" t="s">
        <v>1674</v>
      </c>
      <c r="E19" s="453">
        <f>S19</f>
        <v>45408</v>
      </c>
      <c r="F19" s="453">
        <f>AE19</f>
        <v>36265</v>
      </c>
      <c r="G19" s="453">
        <f>AN19</f>
        <v>27927.31</v>
      </c>
      <c r="H19" s="453">
        <v>64084.68</v>
      </c>
      <c r="I19" s="453">
        <v>62146.29</v>
      </c>
      <c r="J19" s="453">
        <v>60207.96</v>
      </c>
      <c r="K19" s="453">
        <v>58269.49</v>
      </c>
      <c r="L19" s="453">
        <v>56595.360000000001</v>
      </c>
      <c r="M19" s="453">
        <v>54921.279999999999</v>
      </c>
      <c r="N19" s="453">
        <v>53247.06</v>
      </c>
      <c r="O19" s="453">
        <v>51572.92</v>
      </c>
      <c r="P19" s="453">
        <v>49898.85</v>
      </c>
      <c r="Q19" s="453">
        <v>48340.4</v>
      </c>
      <c r="R19" s="453">
        <v>50040.74</v>
      </c>
      <c r="S19" s="453">
        <v>45408</v>
      </c>
      <c r="T19" s="453">
        <v>49322.98</v>
      </c>
      <c r="U19" s="453">
        <v>48135.88</v>
      </c>
      <c r="V19" s="453">
        <v>46948.86</v>
      </c>
      <c r="W19" s="453">
        <v>45761.73</v>
      </c>
      <c r="X19" s="453">
        <v>44574.63</v>
      </c>
      <c r="Y19" s="453">
        <v>43387.61</v>
      </c>
      <c r="Z19" s="453">
        <v>42200.480000000003</v>
      </c>
      <c r="AA19" s="453">
        <v>41013.379999999997</v>
      </c>
      <c r="AB19" s="453">
        <v>39826.36</v>
      </c>
      <c r="AC19" s="453">
        <v>38639.230000000003</v>
      </c>
      <c r="AD19" s="453">
        <v>37452.129999999997</v>
      </c>
      <c r="AE19" s="453">
        <v>36265</v>
      </c>
      <c r="AF19" s="453">
        <v>35237.629999999997</v>
      </c>
      <c r="AG19" s="453">
        <v>34210.19</v>
      </c>
      <c r="AH19" s="453">
        <v>33254.82</v>
      </c>
      <c r="AI19" s="453">
        <v>32299.35</v>
      </c>
      <c r="AJ19" s="453">
        <v>31415.16</v>
      </c>
      <c r="AK19" s="453">
        <v>30543.24</v>
      </c>
      <c r="AL19" s="453">
        <v>29671.22</v>
      </c>
      <c r="AM19" s="453">
        <v>28799.23</v>
      </c>
      <c r="AN19" s="453">
        <v>27927.31</v>
      </c>
    </row>
    <row r="20" spans="1:40" hidden="1" outlineLevel="4" collapsed="1" x14ac:dyDescent="0.25">
      <c r="A20" s="452">
        <v>490</v>
      </c>
      <c r="B20" t="s">
        <v>887</v>
      </c>
      <c r="C20" t="s">
        <v>1692</v>
      </c>
      <c r="D20" t="s">
        <v>1674</v>
      </c>
      <c r="E20" s="453">
        <f>S20</f>
        <v>425777</v>
      </c>
      <c r="F20" s="453">
        <f>AE20</f>
        <v>486646</v>
      </c>
      <c r="G20" s="453">
        <f>AN20</f>
        <v>322550.92</v>
      </c>
      <c r="H20" s="453">
        <v>593440.51</v>
      </c>
      <c r="I20" s="453">
        <v>575837.66</v>
      </c>
      <c r="J20" s="453">
        <v>567619.93999999994</v>
      </c>
      <c r="K20" s="453">
        <v>549970.66</v>
      </c>
      <c r="L20" s="453">
        <v>517148.43</v>
      </c>
      <c r="M20" s="453">
        <v>500603.92</v>
      </c>
      <c r="N20" s="453">
        <v>489169.67</v>
      </c>
      <c r="O20" s="453">
        <v>481982.81</v>
      </c>
      <c r="P20" s="453">
        <v>478815.91</v>
      </c>
      <c r="Q20" s="453">
        <v>463401.54</v>
      </c>
      <c r="R20" s="453">
        <v>448079.16</v>
      </c>
      <c r="S20" s="453">
        <v>425777</v>
      </c>
      <c r="T20" s="453">
        <v>402812.38</v>
      </c>
      <c r="U20" s="453">
        <v>378937.82</v>
      </c>
      <c r="V20" s="453">
        <v>365617.66</v>
      </c>
      <c r="W20" s="453">
        <v>444872.08</v>
      </c>
      <c r="X20" s="453">
        <v>427765.77</v>
      </c>
      <c r="Y20" s="453">
        <v>483044.08</v>
      </c>
      <c r="Z20" s="453">
        <v>443841.43</v>
      </c>
      <c r="AA20" s="453">
        <v>424682.2</v>
      </c>
      <c r="AB20" s="453">
        <v>440866.33</v>
      </c>
      <c r="AC20" s="453">
        <v>425547.6</v>
      </c>
      <c r="AD20" s="453">
        <v>457341.99</v>
      </c>
      <c r="AE20" s="453">
        <v>486646</v>
      </c>
      <c r="AF20" s="453">
        <v>465200.29</v>
      </c>
      <c r="AG20" s="453">
        <v>448835.89</v>
      </c>
      <c r="AH20" s="453">
        <v>411743.25</v>
      </c>
      <c r="AI20" s="453">
        <v>395851.83</v>
      </c>
      <c r="AJ20" s="453">
        <v>380299.17</v>
      </c>
      <c r="AK20" s="453">
        <v>365009.1</v>
      </c>
      <c r="AL20" s="453">
        <v>350494.71999999997</v>
      </c>
      <c r="AM20" s="453">
        <v>336135.42</v>
      </c>
      <c r="AN20" s="453">
        <v>322550.92</v>
      </c>
    </row>
    <row r="21" spans="1:40" hidden="1" outlineLevel="3" collapsed="1" x14ac:dyDescent="0.25">
      <c r="B21" t="s">
        <v>889</v>
      </c>
      <c r="C21" t="s">
        <v>890</v>
      </c>
      <c r="D21" t="s">
        <v>1674</v>
      </c>
      <c r="E21" s="453">
        <f>S21</f>
        <v>715175</v>
      </c>
      <c r="F21" s="453">
        <f>AE21</f>
        <v>826463</v>
      </c>
      <c r="G21" s="453">
        <f>AN21</f>
        <v>615063.57999999996</v>
      </c>
      <c r="H21" s="453">
        <f t="shared" ref="H21:AN21" si="4">SUM(H18:H20)</f>
        <v>929134.58000000007</v>
      </c>
      <c r="I21" s="453">
        <f t="shared" si="4"/>
        <v>901670.47</v>
      </c>
      <c r="J21" s="453">
        <f t="shared" si="4"/>
        <v>890844.44</v>
      </c>
      <c r="K21" s="453">
        <f t="shared" si="4"/>
        <v>865493.65</v>
      </c>
      <c r="L21" s="453">
        <f t="shared" si="4"/>
        <v>840208.37</v>
      </c>
      <c r="M21" s="453">
        <f t="shared" si="4"/>
        <v>816484.79</v>
      </c>
      <c r="N21" s="453">
        <f t="shared" si="4"/>
        <v>797887.46</v>
      </c>
      <c r="O21" s="453">
        <f t="shared" si="4"/>
        <v>787619.87</v>
      </c>
      <c r="P21" s="453">
        <f t="shared" si="4"/>
        <v>775870.71</v>
      </c>
      <c r="Q21" s="453">
        <f t="shared" si="4"/>
        <v>769734.06</v>
      </c>
      <c r="R21" s="453">
        <f t="shared" si="4"/>
        <v>749090.55</v>
      </c>
      <c r="S21" s="453">
        <f t="shared" si="4"/>
        <v>715175</v>
      </c>
      <c r="T21" s="453">
        <f t="shared" si="4"/>
        <v>690187.85</v>
      </c>
      <c r="U21" s="453">
        <f t="shared" si="4"/>
        <v>659211.43999999994</v>
      </c>
      <c r="V21" s="453">
        <f t="shared" si="4"/>
        <v>646683.93999999994</v>
      </c>
      <c r="W21" s="453">
        <f t="shared" si="4"/>
        <v>760359.39</v>
      </c>
      <c r="X21" s="453">
        <f t="shared" si="4"/>
        <v>742828.37</v>
      </c>
      <c r="Y21" s="453">
        <f t="shared" si="4"/>
        <v>802569.8</v>
      </c>
      <c r="Z21" s="453">
        <f t="shared" si="4"/>
        <v>759249.87999999989</v>
      </c>
      <c r="AA21" s="453">
        <f t="shared" si="4"/>
        <v>771077</v>
      </c>
      <c r="AB21" s="453">
        <f t="shared" si="4"/>
        <v>780043.07000000007</v>
      </c>
      <c r="AC21" s="453">
        <f t="shared" si="4"/>
        <v>820834.53</v>
      </c>
      <c r="AD21" s="453">
        <f t="shared" si="4"/>
        <v>1016563.24</v>
      </c>
      <c r="AE21" s="453">
        <f t="shared" si="4"/>
        <v>826463</v>
      </c>
      <c r="AF21" s="453">
        <f t="shared" si="4"/>
        <v>797862.82000000007</v>
      </c>
      <c r="AG21" s="453">
        <f t="shared" si="4"/>
        <v>774469.67999999993</v>
      </c>
      <c r="AH21" s="453">
        <f t="shared" si="4"/>
        <v>738785.16999999993</v>
      </c>
      <c r="AI21" s="453">
        <f t="shared" si="4"/>
        <v>720059.61</v>
      </c>
      <c r="AJ21" s="453">
        <f t="shared" si="4"/>
        <v>697626.3899999999</v>
      </c>
      <c r="AK21" s="453">
        <f t="shared" si="4"/>
        <v>675522.84</v>
      </c>
      <c r="AL21" s="453">
        <f t="shared" si="4"/>
        <v>654198.86</v>
      </c>
      <c r="AM21" s="453">
        <f t="shared" si="4"/>
        <v>633033.86</v>
      </c>
      <c r="AN21" s="453">
        <f t="shared" si="4"/>
        <v>615063.57999999996</v>
      </c>
    </row>
    <row r="22" spans="1:40" s="461" customFormat="1" ht="11.25" hidden="1" outlineLevel="3" collapsed="1" x14ac:dyDescent="0.2">
      <c r="B22" s="461" t="s">
        <v>1693</v>
      </c>
      <c r="C22" s="461" t="s">
        <v>1694</v>
      </c>
      <c r="S22" s="462">
        <v>715175</v>
      </c>
      <c r="AE22" s="462">
        <v>826463</v>
      </c>
    </row>
    <row r="23" spans="1:40" s="461" customFormat="1" ht="11.25" hidden="1" outlineLevel="3" collapsed="1" x14ac:dyDescent="0.2">
      <c r="B23" s="461" t="s">
        <v>1695</v>
      </c>
      <c r="C23" s="461" t="s">
        <v>1696</v>
      </c>
      <c r="S23" s="462">
        <f>ABS(S22) - ABS(S21)</f>
        <v>0</v>
      </c>
      <c r="AE23" s="462">
        <f>ABS(AE22) - ABS(AE21)</f>
        <v>0</v>
      </c>
    </row>
    <row r="24" spans="1:40" hidden="1" outlineLevel="4" collapsed="1" x14ac:dyDescent="0.25">
      <c r="A24" s="452">
        <v>499</v>
      </c>
      <c r="B24" t="s">
        <v>893</v>
      </c>
      <c r="C24" t="s">
        <v>894</v>
      </c>
      <c r="D24" t="s">
        <v>1674</v>
      </c>
      <c r="E24" s="453">
        <f>S24</f>
        <v>0</v>
      </c>
      <c r="F24" s="453">
        <f>AE24</f>
        <v>0</v>
      </c>
      <c r="G24" s="453">
        <f>AN24</f>
        <v>0</v>
      </c>
      <c r="H24" s="453">
        <v>12000</v>
      </c>
      <c r="I24" s="453">
        <v>12000</v>
      </c>
      <c r="J24" s="453">
        <v>12000</v>
      </c>
      <c r="K24" s="453">
        <v>12000</v>
      </c>
      <c r="L24" s="453">
        <v>12000</v>
      </c>
      <c r="M24" s="453">
        <v>12000</v>
      </c>
      <c r="N24" s="453">
        <v>12000</v>
      </c>
      <c r="O24" s="453">
        <v>12000</v>
      </c>
      <c r="P24" s="453">
        <v>12000</v>
      </c>
      <c r="Q24" s="453">
        <v>12000</v>
      </c>
      <c r="R24" s="453">
        <v>12000</v>
      </c>
      <c r="S24" s="453">
        <v>0</v>
      </c>
      <c r="T24" s="453">
        <v>0</v>
      </c>
      <c r="U24" s="453">
        <v>0</v>
      </c>
      <c r="V24" s="453">
        <v>0</v>
      </c>
      <c r="W24" s="453">
        <v>0</v>
      </c>
      <c r="X24" s="453">
        <v>0</v>
      </c>
      <c r="Y24" s="453">
        <v>0</v>
      </c>
      <c r="Z24" s="453">
        <v>0</v>
      </c>
      <c r="AA24" s="453">
        <v>0</v>
      </c>
      <c r="AB24" s="453">
        <v>0</v>
      </c>
      <c r="AC24" s="453">
        <v>0</v>
      </c>
      <c r="AD24" s="453">
        <v>0</v>
      </c>
      <c r="AE24" s="453">
        <v>0</v>
      </c>
    </row>
    <row r="25" spans="1:40" hidden="1" outlineLevel="3" collapsed="1" x14ac:dyDescent="0.25">
      <c r="B25" t="s">
        <v>895</v>
      </c>
      <c r="C25" t="s">
        <v>896</v>
      </c>
      <c r="D25" t="s">
        <v>1674</v>
      </c>
      <c r="E25" s="453">
        <f>S25</f>
        <v>0</v>
      </c>
      <c r="F25" s="453">
        <f>AE25</f>
        <v>0</v>
      </c>
      <c r="G25" s="453">
        <f>AN25</f>
        <v>0</v>
      </c>
      <c r="H25" s="453">
        <f t="shared" ref="H25:AN25" si="5">SUM(H24:H24)</f>
        <v>12000</v>
      </c>
      <c r="I25" s="453">
        <f t="shared" si="5"/>
        <v>12000</v>
      </c>
      <c r="J25" s="453">
        <f t="shared" si="5"/>
        <v>12000</v>
      </c>
      <c r="K25" s="453">
        <f t="shared" si="5"/>
        <v>12000</v>
      </c>
      <c r="L25" s="453">
        <f t="shared" si="5"/>
        <v>12000</v>
      </c>
      <c r="M25" s="453">
        <f t="shared" si="5"/>
        <v>12000</v>
      </c>
      <c r="N25" s="453">
        <f t="shared" si="5"/>
        <v>12000</v>
      </c>
      <c r="O25" s="453">
        <f t="shared" si="5"/>
        <v>12000</v>
      </c>
      <c r="P25" s="453">
        <f t="shared" si="5"/>
        <v>12000</v>
      </c>
      <c r="Q25" s="453">
        <f t="shared" si="5"/>
        <v>12000</v>
      </c>
      <c r="R25" s="453">
        <f t="shared" si="5"/>
        <v>12000</v>
      </c>
      <c r="S25" s="453">
        <f t="shared" si="5"/>
        <v>0</v>
      </c>
      <c r="T25" s="453">
        <f t="shared" si="5"/>
        <v>0</v>
      </c>
      <c r="U25" s="453">
        <f t="shared" si="5"/>
        <v>0</v>
      </c>
      <c r="V25" s="453">
        <f t="shared" si="5"/>
        <v>0</v>
      </c>
      <c r="W25" s="453">
        <f t="shared" si="5"/>
        <v>0</v>
      </c>
      <c r="X25" s="453">
        <f t="shared" si="5"/>
        <v>0</v>
      </c>
      <c r="Y25" s="453">
        <f t="shared" si="5"/>
        <v>0</v>
      </c>
      <c r="Z25" s="453">
        <f t="shared" si="5"/>
        <v>0</v>
      </c>
      <c r="AA25" s="453">
        <f t="shared" si="5"/>
        <v>0</v>
      </c>
      <c r="AB25" s="453">
        <f t="shared" si="5"/>
        <v>0</v>
      </c>
      <c r="AC25" s="453">
        <f t="shared" si="5"/>
        <v>0</v>
      </c>
      <c r="AD25" s="453">
        <f t="shared" si="5"/>
        <v>0</v>
      </c>
      <c r="AE25" s="453">
        <f t="shared" si="5"/>
        <v>0</v>
      </c>
      <c r="AF25" s="453">
        <f t="shared" si="5"/>
        <v>0</v>
      </c>
      <c r="AG25" s="453">
        <f t="shared" si="5"/>
        <v>0</v>
      </c>
      <c r="AH25" s="453">
        <f t="shared" si="5"/>
        <v>0</v>
      </c>
      <c r="AI25" s="453">
        <f t="shared" si="5"/>
        <v>0</v>
      </c>
      <c r="AJ25" s="453">
        <f t="shared" si="5"/>
        <v>0</v>
      </c>
      <c r="AK25" s="453">
        <f t="shared" si="5"/>
        <v>0</v>
      </c>
      <c r="AL25" s="453">
        <f t="shared" si="5"/>
        <v>0</v>
      </c>
      <c r="AM25" s="453">
        <f t="shared" si="5"/>
        <v>0</v>
      </c>
      <c r="AN25" s="453">
        <f t="shared" si="5"/>
        <v>0</v>
      </c>
    </row>
    <row r="26" spans="1:40" hidden="1" outlineLevel="2" collapsed="1" x14ac:dyDescent="0.25">
      <c r="B26" t="s">
        <v>897</v>
      </c>
      <c r="C26" t="s">
        <v>898</v>
      </c>
      <c r="D26" t="s">
        <v>1674</v>
      </c>
      <c r="E26" s="453">
        <f>S26</f>
        <v>715176</v>
      </c>
      <c r="F26" s="453">
        <f>AE26</f>
        <v>826464</v>
      </c>
      <c r="G26" s="453">
        <f>AN26</f>
        <v>615064.57999999996</v>
      </c>
      <c r="H26" s="453">
        <f t="shared" ref="H26:AN26" si="6">H15+H21+H25</f>
        <v>941135.58000000007</v>
      </c>
      <c r="I26" s="453">
        <f t="shared" si="6"/>
        <v>913671.47</v>
      </c>
      <c r="J26" s="453">
        <f t="shared" si="6"/>
        <v>902845.43999999994</v>
      </c>
      <c r="K26" s="453">
        <f t="shared" si="6"/>
        <v>877494.65</v>
      </c>
      <c r="L26" s="453">
        <f t="shared" si="6"/>
        <v>852209.37</v>
      </c>
      <c r="M26" s="453">
        <f t="shared" si="6"/>
        <v>828485.79</v>
      </c>
      <c r="N26" s="453">
        <f t="shared" si="6"/>
        <v>809888.46</v>
      </c>
      <c r="O26" s="453">
        <f t="shared" si="6"/>
        <v>799620.87</v>
      </c>
      <c r="P26" s="453">
        <f t="shared" si="6"/>
        <v>787871.71</v>
      </c>
      <c r="Q26" s="453">
        <f t="shared" si="6"/>
        <v>781735.06</v>
      </c>
      <c r="R26" s="453">
        <f t="shared" si="6"/>
        <v>761091.55</v>
      </c>
      <c r="S26" s="453">
        <f t="shared" si="6"/>
        <v>715176</v>
      </c>
      <c r="T26" s="453">
        <f t="shared" si="6"/>
        <v>690188.85</v>
      </c>
      <c r="U26" s="453">
        <f t="shared" si="6"/>
        <v>659212.43999999994</v>
      </c>
      <c r="V26" s="453">
        <f t="shared" si="6"/>
        <v>646684.93999999994</v>
      </c>
      <c r="W26" s="453">
        <f t="shared" si="6"/>
        <v>760360.39</v>
      </c>
      <c r="X26" s="453">
        <f t="shared" si="6"/>
        <v>742829.37</v>
      </c>
      <c r="Y26" s="453">
        <f t="shared" si="6"/>
        <v>802570.8</v>
      </c>
      <c r="Z26" s="453">
        <f t="shared" si="6"/>
        <v>759250.87999999989</v>
      </c>
      <c r="AA26" s="453">
        <f t="shared" si="6"/>
        <v>771078</v>
      </c>
      <c r="AB26" s="453">
        <f t="shared" si="6"/>
        <v>780044.07000000007</v>
      </c>
      <c r="AC26" s="453">
        <f t="shared" si="6"/>
        <v>820835.53</v>
      </c>
      <c r="AD26" s="453">
        <f t="shared" si="6"/>
        <v>1016564.24</v>
      </c>
      <c r="AE26" s="453">
        <f t="shared" si="6"/>
        <v>826464</v>
      </c>
      <c r="AF26" s="453">
        <f t="shared" si="6"/>
        <v>797863.82000000007</v>
      </c>
      <c r="AG26" s="453">
        <f t="shared" si="6"/>
        <v>774470.67999999993</v>
      </c>
      <c r="AH26" s="453">
        <f t="shared" si="6"/>
        <v>738786.16999999993</v>
      </c>
      <c r="AI26" s="453">
        <f t="shared" si="6"/>
        <v>720060.61</v>
      </c>
      <c r="AJ26" s="453">
        <f t="shared" si="6"/>
        <v>697627.3899999999</v>
      </c>
      <c r="AK26" s="453">
        <f t="shared" si="6"/>
        <v>675523.84</v>
      </c>
      <c r="AL26" s="453">
        <f t="shared" si="6"/>
        <v>654199.86</v>
      </c>
      <c r="AM26" s="453">
        <f t="shared" si="6"/>
        <v>633034.86</v>
      </c>
      <c r="AN26" s="453">
        <f t="shared" si="6"/>
        <v>615064.57999999996</v>
      </c>
    </row>
    <row r="27" spans="1:40" s="461" customFormat="1" ht="11.25" hidden="1" outlineLevel="2" collapsed="1" x14ac:dyDescent="0.2">
      <c r="B27" s="461" t="s">
        <v>1697</v>
      </c>
      <c r="C27" s="461" t="s">
        <v>1698</v>
      </c>
      <c r="S27" s="462">
        <v>715176</v>
      </c>
      <c r="AE27" s="462">
        <v>826464</v>
      </c>
    </row>
    <row r="28" spans="1:40" s="461" customFormat="1" ht="11.25" hidden="1" outlineLevel="2" collapsed="1" x14ac:dyDescent="0.2">
      <c r="B28" s="461" t="s">
        <v>1699</v>
      </c>
      <c r="C28" s="461" t="s">
        <v>1700</v>
      </c>
      <c r="S28" s="462">
        <f>ABS(S27) - ABS(S26)</f>
        <v>0</v>
      </c>
      <c r="AE28" s="462">
        <f>ABS(AE27) - ABS(AE26)</f>
        <v>0</v>
      </c>
    </row>
    <row r="29" spans="1:40" hidden="1" outlineLevel="4" collapsed="1" x14ac:dyDescent="0.25">
      <c r="A29" s="452">
        <v>525</v>
      </c>
      <c r="B29" t="s">
        <v>899</v>
      </c>
      <c r="C29" t="s">
        <v>900</v>
      </c>
      <c r="D29" t="s">
        <v>1674</v>
      </c>
      <c r="E29" s="453">
        <f>S29</f>
        <v>181978.91</v>
      </c>
      <c r="F29" s="453">
        <f>AE29</f>
        <v>75225.62</v>
      </c>
      <c r="G29" s="453">
        <f>AN29</f>
        <v>43825.62</v>
      </c>
      <c r="H29" s="453">
        <v>206894.12</v>
      </c>
      <c r="I29" s="453">
        <v>206894.12</v>
      </c>
      <c r="J29" s="453">
        <v>206894.12</v>
      </c>
      <c r="K29" s="453">
        <v>206894.12</v>
      </c>
      <c r="L29" s="453">
        <v>206894.12</v>
      </c>
      <c r="M29" s="453">
        <v>206894.12</v>
      </c>
      <c r="N29" s="453">
        <v>206894.12</v>
      </c>
      <c r="O29" s="453">
        <v>206894.12</v>
      </c>
      <c r="P29" s="453">
        <v>203237.5</v>
      </c>
      <c r="Q29" s="453">
        <v>206894.12</v>
      </c>
      <c r="R29" s="453">
        <v>206894.12</v>
      </c>
      <c r="S29" s="453">
        <v>181978.91</v>
      </c>
      <c r="T29" s="453">
        <v>181978.91</v>
      </c>
      <c r="U29" s="453">
        <v>181978.91</v>
      </c>
      <c r="V29" s="453">
        <v>181978.91</v>
      </c>
      <c r="W29" s="453">
        <v>181978.91</v>
      </c>
      <c r="X29" s="453">
        <v>181978.91</v>
      </c>
      <c r="Y29" s="453">
        <v>181978.91</v>
      </c>
      <c r="Z29" s="453">
        <v>181978.91</v>
      </c>
      <c r="AA29" s="453">
        <v>181978.91</v>
      </c>
      <c r="AB29" s="453">
        <v>181978.91</v>
      </c>
      <c r="AC29" s="453">
        <v>79298.91</v>
      </c>
      <c r="AD29" s="453">
        <v>79298.91</v>
      </c>
      <c r="AE29" s="453">
        <v>75225.62</v>
      </c>
      <c r="AF29" s="453">
        <v>75225.62</v>
      </c>
      <c r="AG29" s="453">
        <v>75225.62</v>
      </c>
      <c r="AH29" s="453">
        <v>43825.62</v>
      </c>
      <c r="AI29" s="453">
        <v>43825.62</v>
      </c>
      <c r="AJ29" s="453">
        <v>43825.62</v>
      </c>
      <c r="AK29" s="453">
        <v>43825.62</v>
      </c>
      <c r="AL29" s="453">
        <v>43825.62</v>
      </c>
      <c r="AM29" s="453">
        <v>43825.62</v>
      </c>
      <c r="AN29" s="453">
        <v>43825.62</v>
      </c>
    </row>
    <row r="30" spans="1:40" hidden="1" outlineLevel="3" collapsed="1" x14ac:dyDescent="0.25">
      <c r="B30" t="s">
        <v>901</v>
      </c>
      <c r="C30" t="s">
        <v>902</v>
      </c>
      <c r="D30" t="s">
        <v>1674</v>
      </c>
      <c r="E30" s="453">
        <f>S30</f>
        <v>181978.91</v>
      </c>
      <c r="F30" s="453">
        <f>AE30</f>
        <v>75225.62</v>
      </c>
      <c r="G30" s="453">
        <f>AN30</f>
        <v>43825.62</v>
      </c>
      <c r="H30" s="453">
        <f t="shared" ref="H30:AN30" si="7">SUM(H29:H29)</f>
        <v>206894.12</v>
      </c>
      <c r="I30" s="453">
        <f t="shared" si="7"/>
        <v>206894.12</v>
      </c>
      <c r="J30" s="453">
        <f t="shared" si="7"/>
        <v>206894.12</v>
      </c>
      <c r="K30" s="453">
        <f t="shared" si="7"/>
        <v>206894.12</v>
      </c>
      <c r="L30" s="453">
        <f t="shared" si="7"/>
        <v>206894.12</v>
      </c>
      <c r="M30" s="453">
        <f t="shared" si="7"/>
        <v>206894.12</v>
      </c>
      <c r="N30" s="453">
        <f t="shared" si="7"/>
        <v>206894.12</v>
      </c>
      <c r="O30" s="453">
        <f t="shared" si="7"/>
        <v>206894.12</v>
      </c>
      <c r="P30" s="453">
        <f t="shared" si="7"/>
        <v>203237.5</v>
      </c>
      <c r="Q30" s="453">
        <f t="shared" si="7"/>
        <v>206894.12</v>
      </c>
      <c r="R30" s="453">
        <f t="shared" si="7"/>
        <v>206894.12</v>
      </c>
      <c r="S30" s="453">
        <f t="shared" si="7"/>
        <v>181978.91</v>
      </c>
      <c r="T30" s="453">
        <f t="shared" si="7"/>
        <v>181978.91</v>
      </c>
      <c r="U30" s="453">
        <f t="shared" si="7"/>
        <v>181978.91</v>
      </c>
      <c r="V30" s="453">
        <f t="shared" si="7"/>
        <v>181978.91</v>
      </c>
      <c r="W30" s="453">
        <f t="shared" si="7"/>
        <v>181978.91</v>
      </c>
      <c r="X30" s="453">
        <f t="shared" si="7"/>
        <v>181978.91</v>
      </c>
      <c r="Y30" s="453">
        <f t="shared" si="7"/>
        <v>181978.91</v>
      </c>
      <c r="Z30" s="453">
        <f t="shared" si="7"/>
        <v>181978.91</v>
      </c>
      <c r="AA30" s="453">
        <f t="shared" si="7"/>
        <v>181978.91</v>
      </c>
      <c r="AB30" s="453">
        <f t="shared" si="7"/>
        <v>181978.91</v>
      </c>
      <c r="AC30" s="453">
        <f t="shared" si="7"/>
        <v>79298.91</v>
      </c>
      <c r="AD30" s="453">
        <f t="shared" si="7"/>
        <v>79298.91</v>
      </c>
      <c r="AE30" s="453">
        <f t="shared" si="7"/>
        <v>75225.62</v>
      </c>
      <c r="AF30" s="453">
        <f t="shared" si="7"/>
        <v>75225.62</v>
      </c>
      <c r="AG30" s="453">
        <f t="shared" si="7"/>
        <v>75225.62</v>
      </c>
      <c r="AH30" s="453">
        <f t="shared" si="7"/>
        <v>43825.62</v>
      </c>
      <c r="AI30" s="453">
        <f t="shared" si="7"/>
        <v>43825.62</v>
      </c>
      <c r="AJ30" s="453">
        <f t="shared" si="7"/>
        <v>43825.62</v>
      </c>
      <c r="AK30" s="453">
        <f t="shared" si="7"/>
        <v>43825.62</v>
      </c>
      <c r="AL30" s="453">
        <f t="shared" si="7"/>
        <v>43825.62</v>
      </c>
      <c r="AM30" s="453">
        <f t="shared" si="7"/>
        <v>43825.62</v>
      </c>
      <c r="AN30" s="453">
        <f t="shared" si="7"/>
        <v>43825.62</v>
      </c>
    </row>
    <row r="31" spans="1:40" s="461" customFormat="1" ht="11.25" hidden="1" outlineLevel="3" collapsed="1" x14ac:dyDescent="0.2">
      <c r="B31" s="461" t="s">
        <v>1701</v>
      </c>
      <c r="C31" s="461" t="s">
        <v>1702</v>
      </c>
      <c r="S31" s="462">
        <v>181978.91</v>
      </c>
      <c r="AE31" s="462">
        <v>75225.62</v>
      </c>
    </row>
    <row r="32" spans="1:40" s="461" customFormat="1" ht="11.25" hidden="1" outlineLevel="3" collapsed="1" x14ac:dyDescent="0.2">
      <c r="B32" s="461" t="s">
        <v>1703</v>
      </c>
      <c r="C32" s="461" t="s">
        <v>1704</v>
      </c>
      <c r="S32" s="462">
        <f>ABS(S31) - ABS(S30)</f>
        <v>0</v>
      </c>
      <c r="AE32" s="462">
        <f>ABS(AE31) - ABS(AE30)</f>
        <v>0</v>
      </c>
    </row>
    <row r="33" spans="1:40" hidden="1" outlineLevel="4" collapsed="1" x14ac:dyDescent="0.25">
      <c r="A33" s="452">
        <v>570</v>
      </c>
      <c r="B33" t="s">
        <v>903</v>
      </c>
      <c r="C33" t="s">
        <v>904</v>
      </c>
      <c r="D33" t="s">
        <v>1674</v>
      </c>
      <c r="E33" s="453">
        <f>S33</f>
        <v>200</v>
      </c>
      <c r="F33" s="453">
        <f>AE33</f>
        <v>200</v>
      </c>
      <c r="G33" s="453">
        <f>AN33</f>
        <v>200</v>
      </c>
      <c r="S33" s="453">
        <v>200</v>
      </c>
      <c r="T33" s="453">
        <v>200</v>
      </c>
      <c r="U33" s="453">
        <v>200</v>
      </c>
      <c r="V33" s="453">
        <v>200</v>
      </c>
      <c r="W33" s="453">
        <v>200</v>
      </c>
      <c r="X33" s="453">
        <v>200</v>
      </c>
      <c r="Y33" s="453">
        <v>200</v>
      </c>
      <c r="Z33" s="453">
        <v>200</v>
      </c>
      <c r="AA33" s="453">
        <v>200</v>
      </c>
      <c r="AB33" s="453">
        <v>200</v>
      </c>
      <c r="AC33" s="453">
        <v>200</v>
      </c>
      <c r="AD33" s="453">
        <v>200</v>
      </c>
      <c r="AE33" s="453">
        <v>200</v>
      </c>
      <c r="AF33" s="453">
        <v>200</v>
      </c>
      <c r="AG33" s="453">
        <v>200</v>
      </c>
      <c r="AH33" s="453">
        <v>200</v>
      </c>
      <c r="AI33" s="453">
        <v>200</v>
      </c>
      <c r="AJ33" s="453">
        <v>200</v>
      </c>
      <c r="AK33" s="453">
        <v>200</v>
      </c>
      <c r="AL33" s="453">
        <v>200</v>
      </c>
      <c r="AM33" s="453">
        <v>200</v>
      </c>
      <c r="AN33" s="453">
        <v>200</v>
      </c>
    </row>
    <row r="34" spans="1:40" hidden="1" outlineLevel="3" collapsed="1" x14ac:dyDescent="0.25">
      <c r="B34" t="s">
        <v>905</v>
      </c>
      <c r="C34" t="s">
        <v>906</v>
      </c>
      <c r="D34" t="s">
        <v>1674</v>
      </c>
      <c r="E34" s="453">
        <f>S34</f>
        <v>200</v>
      </c>
      <c r="F34" s="453">
        <f>AE34</f>
        <v>200</v>
      </c>
      <c r="G34" s="453">
        <f>AN34</f>
        <v>200</v>
      </c>
      <c r="H34" s="453">
        <f t="shared" ref="H34:AN34" si="8">SUM(H33:H33)</f>
        <v>0</v>
      </c>
      <c r="I34" s="453">
        <f t="shared" si="8"/>
        <v>0</v>
      </c>
      <c r="J34" s="453">
        <f t="shared" si="8"/>
        <v>0</v>
      </c>
      <c r="K34" s="453">
        <f t="shared" si="8"/>
        <v>0</v>
      </c>
      <c r="L34" s="453">
        <f t="shared" si="8"/>
        <v>0</v>
      </c>
      <c r="M34" s="453">
        <f t="shared" si="8"/>
        <v>0</v>
      </c>
      <c r="N34" s="453">
        <f t="shared" si="8"/>
        <v>0</v>
      </c>
      <c r="O34" s="453">
        <f t="shared" si="8"/>
        <v>0</v>
      </c>
      <c r="P34" s="453">
        <f t="shared" si="8"/>
        <v>0</v>
      </c>
      <c r="Q34" s="453">
        <f t="shared" si="8"/>
        <v>0</v>
      </c>
      <c r="R34" s="453">
        <f t="shared" si="8"/>
        <v>0</v>
      </c>
      <c r="S34" s="453">
        <f t="shared" si="8"/>
        <v>200</v>
      </c>
      <c r="T34" s="453">
        <f t="shared" si="8"/>
        <v>200</v>
      </c>
      <c r="U34" s="453">
        <f t="shared" si="8"/>
        <v>200</v>
      </c>
      <c r="V34" s="453">
        <f t="shared" si="8"/>
        <v>200</v>
      </c>
      <c r="W34" s="453">
        <f t="shared" si="8"/>
        <v>200</v>
      </c>
      <c r="X34" s="453">
        <f t="shared" si="8"/>
        <v>200</v>
      </c>
      <c r="Y34" s="453">
        <f t="shared" si="8"/>
        <v>200</v>
      </c>
      <c r="Z34" s="453">
        <f t="shared" si="8"/>
        <v>200</v>
      </c>
      <c r="AA34" s="453">
        <f t="shared" si="8"/>
        <v>200</v>
      </c>
      <c r="AB34" s="453">
        <f t="shared" si="8"/>
        <v>200</v>
      </c>
      <c r="AC34" s="453">
        <f t="shared" si="8"/>
        <v>200</v>
      </c>
      <c r="AD34" s="453">
        <f t="shared" si="8"/>
        <v>200</v>
      </c>
      <c r="AE34" s="453">
        <f t="shared" si="8"/>
        <v>200</v>
      </c>
      <c r="AF34" s="453">
        <f t="shared" si="8"/>
        <v>200</v>
      </c>
      <c r="AG34" s="453">
        <f t="shared" si="8"/>
        <v>200</v>
      </c>
      <c r="AH34" s="453">
        <f t="shared" si="8"/>
        <v>200</v>
      </c>
      <c r="AI34" s="453">
        <f t="shared" si="8"/>
        <v>200</v>
      </c>
      <c r="AJ34" s="453">
        <f t="shared" si="8"/>
        <v>200</v>
      </c>
      <c r="AK34" s="453">
        <f t="shared" si="8"/>
        <v>200</v>
      </c>
      <c r="AL34" s="453">
        <f t="shared" si="8"/>
        <v>200</v>
      </c>
      <c r="AM34" s="453">
        <f t="shared" si="8"/>
        <v>200</v>
      </c>
      <c r="AN34" s="453">
        <f t="shared" si="8"/>
        <v>200</v>
      </c>
    </row>
    <row r="35" spans="1:40" s="461" customFormat="1" ht="11.25" hidden="1" outlineLevel="3" collapsed="1" x14ac:dyDescent="0.2">
      <c r="B35" s="461" t="s">
        <v>1705</v>
      </c>
      <c r="C35" s="461" t="s">
        <v>1706</v>
      </c>
      <c r="S35" s="462">
        <v>200</v>
      </c>
      <c r="AE35" s="462">
        <v>200</v>
      </c>
    </row>
    <row r="36" spans="1:40" s="461" customFormat="1" ht="11.25" hidden="1" outlineLevel="3" collapsed="1" x14ac:dyDescent="0.2">
      <c r="B36" s="461" t="s">
        <v>1707</v>
      </c>
      <c r="C36" s="461" t="s">
        <v>1708</v>
      </c>
      <c r="S36" s="462">
        <f>ABS(S35) - ABS(S34)</f>
        <v>0</v>
      </c>
      <c r="AE36" s="462">
        <f>ABS(AE35) - ABS(AE34)</f>
        <v>0</v>
      </c>
    </row>
    <row r="37" spans="1:40" hidden="1" outlineLevel="2" collapsed="1" x14ac:dyDescent="0.25">
      <c r="B37" t="s">
        <v>907</v>
      </c>
      <c r="C37" t="s">
        <v>908</v>
      </c>
      <c r="D37" t="s">
        <v>1674</v>
      </c>
      <c r="E37" s="453">
        <f>S37</f>
        <v>182178.91</v>
      </c>
      <c r="F37" s="453">
        <f>AE37</f>
        <v>75425.62</v>
      </c>
      <c r="G37" s="453">
        <f>AN37</f>
        <v>44025.62</v>
      </c>
      <c r="H37" s="453">
        <f t="shared" ref="H37:AN37" si="9">H30+H34</f>
        <v>206894.12</v>
      </c>
      <c r="I37" s="453">
        <f t="shared" si="9"/>
        <v>206894.12</v>
      </c>
      <c r="J37" s="453">
        <f t="shared" si="9"/>
        <v>206894.12</v>
      </c>
      <c r="K37" s="453">
        <f t="shared" si="9"/>
        <v>206894.12</v>
      </c>
      <c r="L37" s="453">
        <f t="shared" si="9"/>
        <v>206894.12</v>
      </c>
      <c r="M37" s="453">
        <f t="shared" si="9"/>
        <v>206894.12</v>
      </c>
      <c r="N37" s="453">
        <f t="shared" si="9"/>
        <v>206894.12</v>
      </c>
      <c r="O37" s="453">
        <f t="shared" si="9"/>
        <v>206894.12</v>
      </c>
      <c r="P37" s="453">
        <f t="shared" si="9"/>
        <v>203237.5</v>
      </c>
      <c r="Q37" s="453">
        <f t="shared" si="9"/>
        <v>206894.12</v>
      </c>
      <c r="R37" s="453">
        <f t="shared" si="9"/>
        <v>206894.12</v>
      </c>
      <c r="S37" s="453">
        <f t="shared" si="9"/>
        <v>182178.91</v>
      </c>
      <c r="T37" s="453">
        <f t="shared" si="9"/>
        <v>182178.91</v>
      </c>
      <c r="U37" s="453">
        <f t="shared" si="9"/>
        <v>182178.91</v>
      </c>
      <c r="V37" s="453">
        <f t="shared" si="9"/>
        <v>182178.91</v>
      </c>
      <c r="W37" s="453">
        <f t="shared" si="9"/>
        <v>182178.91</v>
      </c>
      <c r="X37" s="453">
        <f t="shared" si="9"/>
        <v>182178.91</v>
      </c>
      <c r="Y37" s="453">
        <f t="shared" si="9"/>
        <v>182178.91</v>
      </c>
      <c r="Z37" s="453">
        <f t="shared" si="9"/>
        <v>182178.91</v>
      </c>
      <c r="AA37" s="453">
        <f t="shared" si="9"/>
        <v>182178.91</v>
      </c>
      <c r="AB37" s="453">
        <f t="shared" si="9"/>
        <v>182178.91</v>
      </c>
      <c r="AC37" s="453">
        <f t="shared" si="9"/>
        <v>79498.91</v>
      </c>
      <c r="AD37" s="453">
        <f t="shared" si="9"/>
        <v>79498.91</v>
      </c>
      <c r="AE37" s="453">
        <f t="shared" si="9"/>
        <v>75425.62</v>
      </c>
      <c r="AF37" s="453">
        <f t="shared" si="9"/>
        <v>75425.62</v>
      </c>
      <c r="AG37" s="453">
        <f t="shared" si="9"/>
        <v>75425.62</v>
      </c>
      <c r="AH37" s="453">
        <f t="shared" si="9"/>
        <v>44025.62</v>
      </c>
      <c r="AI37" s="453">
        <f t="shared" si="9"/>
        <v>44025.62</v>
      </c>
      <c r="AJ37" s="453">
        <f t="shared" si="9"/>
        <v>44025.62</v>
      </c>
      <c r="AK37" s="453">
        <f t="shared" si="9"/>
        <v>44025.62</v>
      </c>
      <c r="AL37" s="453">
        <f t="shared" si="9"/>
        <v>44025.62</v>
      </c>
      <c r="AM37" s="453">
        <f t="shared" si="9"/>
        <v>44025.62</v>
      </c>
      <c r="AN37" s="453">
        <f t="shared" si="9"/>
        <v>44025.62</v>
      </c>
    </row>
    <row r="38" spans="1:40" s="461" customFormat="1" ht="11.25" hidden="1" outlineLevel="2" collapsed="1" x14ac:dyDescent="0.2">
      <c r="B38" s="461" t="s">
        <v>1709</v>
      </c>
      <c r="C38" s="461" t="s">
        <v>1710</v>
      </c>
      <c r="S38" s="462">
        <v>182178.91</v>
      </c>
      <c r="AE38" s="462">
        <v>75425.62</v>
      </c>
    </row>
    <row r="39" spans="1:40" s="461" customFormat="1" ht="11.25" hidden="1" outlineLevel="2" collapsed="1" x14ac:dyDescent="0.2">
      <c r="B39" s="461" t="s">
        <v>1711</v>
      </c>
      <c r="C39" s="461" t="s">
        <v>1712</v>
      </c>
      <c r="S39" s="462">
        <f>ABS(S38) - ABS(S37)</f>
        <v>0</v>
      </c>
      <c r="AE39" s="462">
        <f>ABS(AE38) - ABS(AE37)</f>
        <v>0</v>
      </c>
    </row>
    <row r="40" spans="1:40" outlineLevel="1" collapsed="1" x14ac:dyDescent="0.25">
      <c r="B40" t="s">
        <v>909</v>
      </c>
      <c r="C40" t="s">
        <v>910</v>
      </c>
      <c r="D40" t="s">
        <v>1674</v>
      </c>
      <c r="E40" s="453">
        <f>S40</f>
        <v>900960.91</v>
      </c>
      <c r="F40" s="453">
        <f>AE40</f>
        <v>1106165.79</v>
      </c>
      <c r="G40" s="453">
        <f>AN40</f>
        <v>1003791.6699999999</v>
      </c>
      <c r="H40" s="453">
        <f t="shared" ref="H40:AN40" si="10">H11+H26+H37</f>
        <v>1153971.3800000001</v>
      </c>
      <c r="I40" s="453">
        <f t="shared" si="10"/>
        <v>1126294.93</v>
      </c>
      <c r="J40" s="453">
        <f t="shared" si="10"/>
        <v>1115256.58</v>
      </c>
      <c r="K40" s="453">
        <f t="shared" si="10"/>
        <v>1089693.4500000002</v>
      </c>
      <c r="L40" s="453">
        <f t="shared" si="10"/>
        <v>1064195.83</v>
      </c>
      <c r="M40" s="453">
        <f t="shared" si="10"/>
        <v>1040259.93</v>
      </c>
      <c r="N40" s="453">
        <f t="shared" si="10"/>
        <v>1021450.26</v>
      </c>
      <c r="O40" s="453">
        <f t="shared" si="10"/>
        <v>1010970.33</v>
      </c>
      <c r="P40" s="453">
        <f t="shared" si="10"/>
        <v>995352.23</v>
      </c>
      <c r="Q40" s="453">
        <f t="shared" si="10"/>
        <v>992659.8600000001</v>
      </c>
      <c r="R40" s="453">
        <f t="shared" si="10"/>
        <v>971804.01</v>
      </c>
      <c r="S40" s="453">
        <f t="shared" si="10"/>
        <v>900960.91</v>
      </c>
      <c r="T40" s="453">
        <f t="shared" si="10"/>
        <v>875761.58</v>
      </c>
      <c r="U40" s="453">
        <f t="shared" si="10"/>
        <v>844572.98</v>
      </c>
      <c r="V40" s="453">
        <f t="shared" si="10"/>
        <v>831833.29999999993</v>
      </c>
      <c r="W40" s="453">
        <f t="shared" si="10"/>
        <v>945296.55</v>
      </c>
      <c r="X40" s="453">
        <f t="shared" si="10"/>
        <v>927553.34000000008</v>
      </c>
      <c r="Y40" s="453">
        <f t="shared" si="10"/>
        <v>987082.59000000008</v>
      </c>
      <c r="Z40" s="453">
        <f t="shared" si="10"/>
        <v>943550.47999999986</v>
      </c>
      <c r="AA40" s="453">
        <f t="shared" si="10"/>
        <v>955165.4</v>
      </c>
      <c r="AB40" s="453">
        <f t="shared" si="10"/>
        <v>963919.29000000015</v>
      </c>
      <c r="AC40" s="453">
        <f t="shared" si="10"/>
        <v>901818.56</v>
      </c>
      <c r="AD40" s="453">
        <f t="shared" si="10"/>
        <v>1097335.08</v>
      </c>
      <c r="AE40" s="453">
        <f t="shared" si="10"/>
        <v>1106165.79</v>
      </c>
      <c r="AF40" s="453">
        <f t="shared" si="10"/>
        <v>1077403.1100000001</v>
      </c>
      <c r="AG40" s="453">
        <f t="shared" si="10"/>
        <v>1053847.47</v>
      </c>
      <c r="AH40" s="453">
        <f t="shared" si="10"/>
        <v>986651.96</v>
      </c>
      <c r="AI40" s="453">
        <f t="shared" si="10"/>
        <v>967815.4</v>
      </c>
      <c r="AJ40" s="453">
        <f t="shared" si="10"/>
        <v>945271.17999999993</v>
      </c>
      <c r="AK40" s="453">
        <f t="shared" si="10"/>
        <v>923056.63</v>
      </c>
      <c r="AL40" s="453">
        <f t="shared" si="10"/>
        <v>1043148.95</v>
      </c>
      <c r="AM40" s="453">
        <f t="shared" si="10"/>
        <v>1021872.95</v>
      </c>
      <c r="AN40" s="453">
        <f t="shared" si="10"/>
        <v>1003791.6699999999</v>
      </c>
    </row>
    <row r="41" spans="1:40" s="461" customFormat="1" ht="11.25" outlineLevel="1" collapsed="1" x14ac:dyDescent="0.2">
      <c r="B41" s="461" t="s">
        <v>1713</v>
      </c>
      <c r="C41" s="461" t="s">
        <v>1714</v>
      </c>
      <c r="S41" s="462">
        <v>900960.91</v>
      </c>
      <c r="AE41" s="462">
        <v>1106165.79</v>
      </c>
    </row>
    <row r="42" spans="1:40" s="461" customFormat="1" ht="11.25" outlineLevel="1" collapsed="1" x14ac:dyDescent="0.2">
      <c r="B42" s="461" t="s">
        <v>1715</v>
      </c>
      <c r="C42" s="461" t="s">
        <v>1716</v>
      </c>
      <c r="S42" s="462">
        <f>ABS(S41) - ABS(S40)</f>
        <v>0</v>
      </c>
      <c r="AE42" s="462">
        <f>ABS(AE41) - ABS(AE40)</f>
        <v>0</v>
      </c>
    </row>
    <row r="43" spans="1:40" hidden="1" outlineLevel="4" collapsed="1" x14ac:dyDescent="0.25">
      <c r="A43" s="452">
        <v>3970</v>
      </c>
      <c r="B43" t="s">
        <v>911</v>
      </c>
      <c r="C43" t="s">
        <v>912</v>
      </c>
      <c r="D43" t="s">
        <v>1674</v>
      </c>
      <c r="E43" s="453">
        <f>S43</f>
        <v>1132347.71</v>
      </c>
      <c r="F43" s="453">
        <f>AE43</f>
        <v>1243325.5</v>
      </c>
      <c r="G43" s="453">
        <f>AN43</f>
        <v>1243325.5</v>
      </c>
      <c r="H43" s="453">
        <v>874954.12</v>
      </c>
      <c r="I43" s="453">
        <v>874954.12</v>
      </c>
      <c r="J43" s="453">
        <v>874954.12</v>
      </c>
      <c r="K43" s="453">
        <v>874954.12</v>
      </c>
      <c r="L43" s="453">
        <v>874954.12</v>
      </c>
      <c r="M43" s="453">
        <v>1232402.18</v>
      </c>
      <c r="N43" s="453">
        <v>1232402.18</v>
      </c>
      <c r="O43" s="453">
        <v>1232402.18</v>
      </c>
      <c r="P43" s="453">
        <v>1203242.3999999999</v>
      </c>
      <c r="Q43" s="453">
        <v>1203242.3999999999</v>
      </c>
      <c r="R43" s="453">
        <v>1203242.3999999999</v>
      </c>
      <c r="S43" s="453">
        <v>1132347.71</v>
      </c>
      <c r="T43" s="453">
        <v>1132347.71</v>
      </c>
      <c r="U43" s="453">
        <v>1132347.71</v>
      </c>
      <c r="V43" s="453">
        <v>1132347.71</v>
      </c>
      <c r="W43" s="453">
        <v>1132347.71</v>
      </c>
      <c r="X43" s="453">
        <v>1132347.71</v>
      </c>
      <c r="Y43" s="453">
        <v>1184951.19</v>
      </c>
      <c r="Z43" s="453">
        <v>1184951.19</v>
      </c>
      <c r="AA43" s="453">
        <v>1184951.19</v>
      </c>
      <c r="AB43" s="453">
        <v>1184951.19</v>
      </c>
      <c r="AC43" s="453">
        <v>1184951.19</v>
      </c>
      <c r="AD43" s="453">
        <v>1184951.19</v>
      </c>
      <c r="AE43" s="453">
        <v>1243325.5</v>
      </c>
      <c r="AF43" s="453">
        <v>1243325.5</v>
      </c>
      <c r="AG43" s="453">
        <v>1243325.5</v>
      </c>
      <c r="AH43" s="453">
        <v>1243325.5</v>
      </c>
      <c r="AI43" s="453">
        <v>1243325.5</v>
      </c>
      <c r="AJ43" s="453">
        <v>1243325.5</v>
      </c>
      <c r="AK43" s="453">
        <v>1243325.5</v>
      </c>
      <c r="AL43" s="453">
        <v>1243325.5</v>
      </c>
      <c r="AM43" s="453">
        <v>1243325.5</v>
      </c>
      <c r="AN43" s="453">
        <v>1243325.5</v>
      </c>
    </row>
    <row r="44" spans="1:40" hidden="1" outlineLevel="3" collapsed="1" x14ac:dyDescent="0.25">
      <c r="B44" t="s">
        <v>913</v>
      </c>
      <c r="C44" t="s">
        <v>914</v>
      </c>
      <c r="D44" t="s">
        <v>1674</v>
      </c>
      <c r="E44" s="453">
        <f>S44</f>
        <v>1132347.71</v>
      </c>
      <c r="F44" s="453">
        <f>AE44</f>
        <v>1243325.5</v>
      </c>
      <c r="G44" s="453">
        <f>AN44</f>
        <v>1243325.5</v>
      </c>
      <c r="H44" s="453">
        <f t="shared" ref="H44:AN44" si="11">SUM(H43:H43)</f>
        <v>874954.12</v>
      </c>
      <c r="I44" s="453">
        <f t="shared" si="11"/>
        <v>874954.12</v>
      </c>
      <c r="J44" s="453">
        <f t="shared" si="11"/>
        <v>874954.12</v>
      </c>
      <c r="K44" s="453">
        <f t="shared" si="11"/>
        <v>874954.12</v>
      </c>
      <c r="L44" s="453">
        <f t="shared" si="11"/>
        <v>874954.12</v>
      </c>
      <c r="M44" s="453">
        <f t="shared" si="11"/>
        <v>1232402.18</v>
      </c>
      <c r="N44" s="453">
        <f t="shared" si="11"/>
        <v>1232402.18</v>
      </c>
      <c r="O44" s="453">
        <f t="shared" si="11"/>
        <v>1232402.18</v>
      </c>
      <c r="P44" s="453">
        <f t="shared" si="11"/>
        <v>1203242.3999999999</v>
      </c>
      <c r="Q44" s="453">
        <f t="shared" si="11"/>
        <v>1203242.3999999999</v>
      </c>
      <c r="R44" s="453">
        <f t="shared" si="11"/>
        <v>1203242.3999999999</v>
      </c>
      <c r="S44" s="453">
        <f t="shared" si="11"/>
        <v>1132347.71</v>
      </c>
      <c r="T44" s="453">
        <f t="shared" si="11"/>
        <v>1132347.71</v>
      </c>
      <c r="U44" s="453">
        <f t="shared" si="11"/>
        <v>1132347.71</v>
      </c>
      <c r="V44" s="453">
        <f t="shared" si="11"/>
        <v>1132347.71</v>
      </c>
      <c r="W44" s="453">
        <f t="shared" si="11"/>
        <v>1132347.71</v>
      </c>
      <c r="X44" s="453">
        <f t="shared" si="11"/>
        <v>1132347.71</v>
      </c>
      <c r="Y44" s="453">
        <f t="shared" si="11"/>
        <v>1184951.19</v>
      </c>
      <c r="Z44" s="453">
        <f t="shared" si="11"/>
        <v>1184951.19</v>
      </c>
      <c r="AA44" s="453">
        <f t="shared" si="11"/>
        <v>1184951.19</v>
      </c>
      <c r="AB44" s="453">
        <f t="shared" si="11"/>
        <v>1184951.19</v>
      </c>
      <c r="AC44" s="453">
        <f t="shared" si="11"/>
        <v>1184951.19</v>
      </c>
      <c r="AD44" s="453">
        <f t="shared" si="11"/>
        <v>1184951.19</v>
      </c>
      <c r="AE44" s="453">
        <f t="shared" si="11"/>
        <v>1243325.5</v>
      </c>
      <c r="AF44" s="453">
        <f t="shared" si="11"/>
        <v>1243325.5</v>
      </c>
      <c r="AG44" s="453">
        <f t="shared" si="11"/>
        <v>1243325.5</v>
      </c>
      <c r="AH44" s="453">
        <f t="shared" si="11"/>
        <v>1243325.5</v>
      </c>
      <c r="AI44" s="453">
        <f t="shared" si="11"/>
        <v>1243325.5</v>
      </c>
      <c r="AJ44" s="453">
        <f t="shared" si="11"/>
        <v>1243325.5</v>
      </c>
      <c r="AK44" s="453">
        <f t="shared" si="11"/>
        <v>1243325.5</v>
      </c>
      <c r="AL44" s="453">
        <f t="shared" si="11"/>
        <v>1243325.5</v>
      </c>
      <c r="AM44" s="453">
        <f t="shared" si="11"/>
        <v>1243325.5</v>
      </c>
      <c r="AN44" s="453">
        <f t="shared" si="11"/>
        <v>1243325.5</v>
      </c>
    </row>
    <row r="45" spans="1:40" s="461" customFormat="1" ht="11.25" hidden="1" outlineLevel="3" collapsed="1" x14ac:dyDescent="0.2">
      <c r="B45" s="461" t="s">
        <v>1717</v>
      </c>
      <c r="C45" s="461" t="s">
        <v>1718</v>
      </c>
      <c r="S45" s="462">
        <v>1132347.71</v>
      </c>
      <c r="AE45" s="462">
        <v>1243325.5</v>
      </c>
    </row>
    <row r="46" spans="1:40" s="461" customFormat="1" ht="11.25" hidden="1" outlineLevel="3" collapsed="1" x14ac:dyDescent="0.2">
      <c r="B46" s="461" t="s">
        <v>1719</v>
      </c>
      <c r="C46" s="461" t="s">
        <v>1720</v>
      </c>
      <c r="S46" s="462">
        <f>ABS(S45) - ABS(S44)</f>
        <v>0</v>
      </c>
      <c r="AE46" s="462">
        <f>ABS(AE45) - ABS(AE44)</f>
        <v>0</v>
      </c>
    </row>
    <row r="47" spans="1:40" hidden="1" outlineLevel="4" collapsed="1" x14ac:dyDescent="0.25">
      <c r="A47" s="452">
        <v>7050</v>
      </c>
      <c r="B47" t="s">
        <v>915</v>
      </c>
      <c r="C47" t="s">
        <v>916</v>
      </c>
      <c r="D47" t="s">
        <v>1674</v>
      </c>
      <c r="E47" s="453">
        <f>S47</f>
        <v>143733.26999999999</v>
      </c>
      <c r="F47" s="453">
        <f>AE47</f>
        <v>36760.67</v>
      </c>
      <c r="G47" s="453">
        <f>AN47</f>
        <v>36760.67</v>
      </c>
      <c r="H47" s="453">
        <v>31922.95</v>
      </c>
      <c r="I47" s="453">
        <v>31922.95</v>
      </c>
      <c r="J47" s="453">
        <v>31922.95</v>
      </c>
      <c r="K47" s="453">
        <v>31922.95</v>
      </c>
      <c r="L47" s="453">
        <v>31922.95</v>
      </c>
      <c r="M47" s="453">
        <v>68887.429999999993</v>
      </c>
      <c r="N47" s="453">
        <v>68887.429999999993</v>
      </c>
      <c r="O47" s="453">
        <v>68887.429999999993</v>
      </c>
      <c r="P47" s="453">
        <v>107074.57</v>
      </c>
      <c r="Q47" s="453">
        <v>107074.57</v>
      </c>
      <c r="R47" s="453">
        <v>107074.57</v>
      </c>
      <c r="S47" s="453">
        <v>143733.26999999999</v>
      </c>
      <c r="T47" s="453">
        <v>143733.26999999999</v>
      </c>
      <c r="U47" s="453">
        <v>143733.26999999999</v>
      </c>
      <c r="V47" s="453">
        <v>143733.26999999999</v>
      </c>
      <c r="W47" s="453">
        <v>143733.26999999999</v>
      </c>
      <c r="X47" s="453">
        <v>143733.26999999999</v>
      </c>
      <c r="Y47" s="453">
        <v>190282.17</v>
      </c>
      <c r="Z47" s="453">
        <v>190282.17</v>
      </c>
      <c r="AA47" s="453">
        <v>190282.17</v>
      </c>
      <c r="AB47" s="453">
        <v>190282.17</v>
      </c>
      <c r="AC47" s="453">
        <v>190282.17</v>
      </c>
      <c r="AD47" s="453">
        <v>190282.17</v>
      </c>
      <c r="AE47" s="453">
        <v>36760.67</v>
      </c>
      <c r="AF47" s="453">
        <v>36760.67</v>
      </c>
      <c r="AG47" s="453">
        <v>36760.67</v>
      </c>
      <c r="AH47" s="453">
        <v>36760.67</v>
      </c>
      <c r="AI47" s="453">
        <v>36760.67</v>
      </c>
      <c r="AJ47" s="453">
        <v>36760.67</v>
      </c>
      <c r="AK47" s="453">
        <v>36760.67</v>
      </c>
      <c r="AL47" s="453">
        <v>36760.67</v>
      </c>
      <c r="AM47" s="453">
        <v>36760.67</v>
      </c>
      <c r="AN47" s="453">
        <v>36760.67</v>
      </c>
    </row>
    <row r="48" spans="1:40" hidden="1" outlineLevel="3" collapsed="1" x14ac:dyDescent="0.25">
      <c r="B48" t="s">
        <v>917</v>
      </c>
      <c r="C48" t="s">
        <v>918</v>
      </c>
      <c r="D48" t="s">
        <v>1674</v>
      </c>
      <c r="E48" s="453">
        <f>S48</f>
        <v>143733.26999999999</v>
      </c>
      <c r="F48" s="453">
        <f>AE48</f>
        <v>36760.67</v>
      </c>
      <c r="G48" s="453">
        <f>AN48</f>
        <v>36760.67</v>
      </c>
      <c r="H48" s="453">
        <f t="shared" ref="H48:AN48" si="12">SUM(H47:H47)</f>
        <v>31922.95</v>
      </c>
      <c r="I48" s="453">
        <f t="shared" si="12"/>
        <v>31922.95</v>
      </c>
      <c r="J48" s="453">
        <f t="shared" si="12"/>
        <v>31922.95</v>
      </c>
      <c r="K48" s="453">
        <f t="shared" si="12"/>
        <v>31922.95</v>
      </c>
      <c r="L48" s="453">
        <f t="shared" si="12"/>
        <v>31922.95</v>
      </c>
      <c r="M48" s="453">
        <f t="shared" si="12"/>
        <v>68887.429999999993</v>
      </c>
      <c r="N48" s="453">
        <f t="shared" si="12"/>
        <v>68887.429999999993</v>
      </c>
      <c r="O48" s="453">
        <f t="shared" si="12"/>
        <v>68887.429999999993</v>
      </c>
      <c r="P48" s="453">
        <f t="shared" si="12"/>
        <v>107074.57</v>
      </c>
      <c r="Q48" s="453">
        <f t="shared" si="12"/>
        <v>107074.57</v>
      </c>
      <c r="R48" s="453">
        <f t="shared" si="12"/>
        <v>107074.57</v>
      </c>
      <c r="S48" s="453">
        <f t="shared" si="12"/>
        <v>143733.26999999999</v>
      </c>
      <c r="T48" s="453">
        <f t="shared" si="12"/>
        <v>143733.26999999999</v>
      </c>
      <c r="U48" s="453">
        <f t="shared" si="12"/>
        <v>143733.26999999999</v>
      </c>
      <c r="V48" s="453">
        <f t="shared" si="12"/>
        <v>143733.26999999999</v>
      </c>
      <c r="W48" s="453">
        <f t="shared" si="12"/>
        <v>143733.26999999999</v>
      </c>
      <c r="X48" s="453">
        <f t="shared" si="12"/>
        <v>143733.26999999999</v>
      </c>
      <c r="Y48" s="453">
        <f t="shared" si="12"/>
        <v>190282.17</v>
      </c>
      <c r="Z48" s="453">
        <f t="shared" si="12"/>
        <v>190282.17</v>
      </c>
      <c r="AA48" s="453">
        <f t="shared" si="12"/>
        <v>190282.17</v>
      </c>
      <c r="AB48" s="453">
        <f t="shared" si="12"/>
        <v>190282.17</v>
      </c>
      <c r="AC48" s="453">
        <f t="shared" si="12"/>
        <v>190282.17</v>
      </c>
      <c r="AD48" s="453">
        <f t="shared" si="12"/>
        <v>190282.17</v>
      </c>
      <c r="AE48" s="453">
        <f t="shared" si="12"/>
        <v>36760.67</v>
      </c>
      <c r="AF48" s="453">
        <f t="shared" si="12"/>
        <v>36760.67</v>
      </c>
      <c r="AG48" s="453">
        <f t="shared" si="12"/>
        <v>36760.67</v>
      </c>
      <c r="AH48" s="453">
        <f t="shared" si="12"/>
        <v>36760.67</v>
      </c>
      <c r="AI48" s="453">
        <f t="shared" si="12"/>
        <v>36760.67</v>
      </c>
      <c r="AJ48" s="453">
        <f t="shared" si="12"/>
        <v>36760.67</v>
      </c>
      <c r="AK48" s="453">
        <f t="shared" si="12"/>
        <v>36760.67</v>
      </c>
      <c r="AL48" s="453">
        <f t="shared" si="12"/>
        <v>36760.67</v>
      </c>
      <c r="AM48" s="453">
        <f t="shared" si="12"/>
        <v>36760.67</v>
      </c>
      <c r="AN48" s="453">
        <f t="shared" si="12"/>
        <v>36760.67</v>
      </c>
    </row>
    <row r="49" spans="1:40" s="461" customFormat="1" ht="11.25" hidden="1" outlineLevel="3" collapsed="1" x14ac:dyDescent="0.2">
      <c r="B49" s="461" t="s">
        <v>1721</v>
      </c>
      <c r="C49" s="461" t="s">
        <v>1722</v>
      </c>
      <c r="S49" s="462">
        <v>143733.26999999999</v>
      </c>
      <c r="AE49" s="462">
        <v>36760.67</v>
      </c>
    </row>
    <row r="50" spans="1:40" s="461" customFormat="1" ht="11.25" hidden="1" outlineLevel="3" collapsed="1" x14ac:dyDescent="0.2">
      <c r="B50" s="461" t="s">
        <v>1723</v>
      </c>
      <c r="C50" s="461" t="s">
        <v>1724</v>
      </c>
      <c r="S50" s="462">
        <f>ABS(S49) - ABS(S48)</f>
        <v>0</v>
      </c>
      <c r="AE50" s="462">
        <f>ABS(AE49) - ABS(AE48)</f>
        <v>0</v>
      </c>
    </row>
    <row r="51" spans="1:40" hidden="1" outlineLevel="4" collapsed="1" x14ac:dyDescent="0.25">
      <c r="A51" s="452">
        <v>3980</v>
      </c>
      <c r="B51" t="s">
        <v>919</v>
      </c>
      <c r="C51" t="s">
        <v>920</v>
      </c>
      <c r="D51" t="s">
        <v>1674</v>
      </c>
      <c r="E51" s="453">
        <f>S51</f>
        <v>732078.51</v>
      </c>
      <c r="F51" s="453">
        <f>AE51</f>
        <v>1474080.57</v>
      </c>
      <c r="G51" s="453">
        <f>AN51</f>
        <v>1474080.57</v>
      </c>
      <c r="H51" s="453">
        <v>490341.66</v>
      </c>
      <c r="I51" s="453">
        <v>490341.66</v>
      </c>
      <c r="J51" s="453">
        <v>490341.66</v>
      </c>
      <c r="K51" s="453">
        <v>490341.66</v>
      </c>
      <c r="L51" s="453">
        <v>490341.66</v>
      </c>
      <c r="M51" s="453">
        <v>756805.18</v>
      </c>
      <c r="N51" s="453">
        <v>756805.18</v>
      </c>
      <c r="O51" s="453">
        <v>756805.18</v>
      </c>
      <c r="P51" s="453">
        <v>998341.25</v>
      </c>
      <c r="Q51" s="453">
        <v>998341.25</v>
      </c>
      <c r="R51" s="453">
        <v>998341.25</v>
      </c>
      <c r="S51" s="453">
        <v>732078.51</v>
      </c>
      <c r="T51" s="453">
        <v>732078.51</v>
      </c>
      <c r="U51" s="453">
        <v>732078.51</v>
      </c>
      <c r="V51" s="453">
        <v>732078.51</v>
      </c>
      <c r="W51" s="453">
        <v>732078.51</v>
      </c>
      <c r="X51" s="453">
        <v>732078.51</v>
      </c>
      <c r="Y51" s="453">
        <v>517158.2</v>
      </c>
      <c r="Z51" s="453">
        <v>517158.2</v>
      </c>
      <c r="AA51" s="453">
        <v>517158.2</v>
      </c>
      <c r="AB51" s="453">
        <v>517158.2</v>
      </c>
      <c r="AC51" s="453">
        <v>517158.2</v>
      </c>
      <c r="AD51" s="453">
        <v>517158.2</v>
      </c>
      <c r="AE51" s="453">
        <v>1474080.57</v>
      </c>
      <c r="AF51" s="453">
        <v>1474080.57</v>
      </c>
      <c r="AG51" s="453">
        <v>1474080.57</v>
      </c>
      <c r="AH51" s="453">
        <v>1474080.57</v>
      </c>
      <c r="AI51" s="453">
        <v>1474080.57</v>
      </c>
      <c r="AJ51" s="453">
        <v>1474080.57</v>
      </c>
      <c r="AK51" s="453">
        <v>1474080.57</v>
      </c>
      <c r="AL51" s="453">
        <v>1474080.57</v>
      </c>
      <c r="AM51" s="453">
        <v>1474080.57</v>
      </c>
      <c r="AN51" s="453">
        <v>1474080.57</v>
      </c>
    </row>
    <row r="52" spans="1:40" hidden="1" outlineLevel="4" collapsed="1" x14ac:dyDescent="0.25">
      <c r="A52" s="452">
        <v>7100</v>
      </c>
      <c r="B52" t="s">
        <v>921</v>
      </c>
      <c r="C52" t="s">
        <v>922</v>
      </c>
      <c r="D52" t="s">
        <v>1674</v>
      </c>
      <c r="E52" s="453">
        <f>S52</f>
        <v>593949.16</v>
      </c>
      <c r="F52" s="453">
        <f>AE52</f>
        <v>1051716.8999999999</v>
      </c>
      <c r="G52" s="453">
        <f>AN52</f>
        <v>1051716.8999999999</v>
      </c>
      <c r="H52" s="453">
        <v>506182.35</v>
      </c>
      <c r="I52" s="453">
        <v>506182.35</v>
      </c>
      <c r="J52" s="453">
        <v>506182.35</v>
      </c>
      <c r="K52" s="453">
        <v>506182.35</v>
      </c>
      <c r="L52" s="453">
        <v>506182.35</v>
      </c>
      <c r="M52" s="453">
        <v>610245.19999999995</v>
      </c>
      <c r="N52" s="453">
        <v>610245.19999999995</v>
      </c>
      <c r="O52" s="453">
        <v>610245.19999999995</v>
      </c>
      <c r="P52" s="453">
        <v>592071.05000000005</v>
      </c>
      <c r="Q52" s="453">
        <v>592071.05000000005</v>
      </c>
      <c r="R52" s="453">
        <v>592071.05000000005</v>
      </c>
      <c r="S52" s="453">
        <v>593949.16</v>
      </c>
      <c r="T52" s="453">
        <v>593949.16</v>
      </c>
      <c r="U52" s="453">
        <v>593949.16</v>
      </c>
      <c r="V52" s="453">
        <v>593949.16</v>
      </c>
      <c r="W52" s="453">
        <v>593949.16</v>
      </c>
      <c r="X52" s="453">
        <v>593949.16</v>
      </c>
      <c r="Y52" s="453">
        <v>657308.98</v>
      </c>
      <c r="Z52" s="453">
        <v>657308.98</v>
      </c>
      <c r="AA52" s="453">
        <v>657308.98</v>
      </c>
      <c r="AB52" s="453">
        <v>657308.98</v>
      </c>
      <c r="AC52" s="453">
        <v>657308.98</v>
      </c>
      <c r="AD52" s="453">
        <v>657308.98</v>
      </c>
      <c r="AE52" s="453">
        <v>1051716.8999999999</v>
      </c>
      <c r="AF52" s="453">
        <v>1051716.8999999999</v>
      </c>
      <c r="AG52" s="453">
        <v>1051716.8999999999</v>
      </c>
      <c r="AH52" s="453">
        <v>1051716.8999999999</v>
      </c>
      <c r="AI52" s="453">
        <v>1051716.8999999999</v>
      </c>
      <c r="AJ52" s="453">
        <v>1051716.8999999999</v>
      </c>
      <c r="AK52" s="453">
        <v>1051716.8999999999</v>
      </c>
      <c r="AL52" s="453">
        <v>1051716.8999999999</v>
      </c>
      <c r="AM52" s="453">
        <v>1051716.8999999999</v>
      </c>
      <c r="AN52" s="453">
        <v>1051716.8999999999</v>
      </c>
    </row>
    <row r="53" spans="1:40" hidden="1" outlineLevel="3" collapsed="1" x14ac:dyDescent="0.25">
      <c r="B53" t="s">
        <v>923</v>
      </c>
      <c r="C53" t="s">
        <v>924</v>
      </c>
      <c r="D53" t="s">
        <v>1674</v>
      </c>
      <c r="E53" s="453">
        <f>S53</f>
        <v>1326027.67</v>
      </c>
      <c r="F53" s="453">
        <f>AE53</f>
        <v>2525797.4699999997</v>
      </c>
      <c r="G53" s="453">
        <f>AN53</f>
        <v>2525797.4699999997</v>
      </c>
      <c r="H53" s="453">
        <f t="shared" ref="H53:AN53" si="13">SUM(H51:H52)</f>
        <v>996524.01</v>
      </c>
      <c r="I53" s="453">
        <f t="shared" si="13"/>
        <v>996524.01</v>
      </c>
      <c r="J53" s="453">
        <f t="shared" si="13"/>
        <v>996524.01</v>
      </c>
      <c r="K53" s="453">
        <f t="shared" si="13"/>
        <v>996524.01</v>
      </c>
      <c r="L53" s="453">
        <f t="shared" si="13"/>
        <v>996524.01</v>
      </c>
      <c r="M53" s="453">
        <f t="shared" si="13"/>
        <v>1367050.38</v>
      </c>
      <c r="N53" s="453">
        <f t="shared" si="13"/>
        <v>1367050.38</v>
      </c>
      <c r="O53" s="453">
        <f t="shared" si="13"/>
        <v>1367050.38</v>
      </c>
      <c r="P53" s="453">
        <f t="shared" si="13"/>
        <v>1590412.3</v>
      </c>
      <c r="Q53" s="453">
        <f t="shared" si="13"/>
        <v>1590412.3</v>
      </c>
      <c r="R53" s="453">
        <f t="shared" si="13"/>
        <v>1590412.3</v>
      </c>
      <c r="S53" s="453">
        <f t="shared" si="13"/>
        <v>1326027.67</v>
      </c>
      <c r="T53" s="453">
        <f t="shared" si="13"/>
        <v>1326027.67</v>
      </c>
      <c r="U53" s="453">
        <f t="shared" si="13"/>
        <v>1326027.67</v>
      </c>
      <c r="V53" s="453">
        <f t="shared" si="13"/>
        <v>1326027.67</v>
      </c>
      <c r="W53" s="453">
        <f t="shared" si="13"/>
        <v>1326027.67</v>
      </c>
      <c r="X53" s="453">
        <f t="shared" si="13"/>
        <v>1326027.67</v>
      </c>
      <c r="Y53" s="453">
        <f t="shared" si="13"/>
        <v>1174467.18</v>
      </c>
      <c r="Z53" s="453">
        <f t="shared" si="13"/>
        <v>1174467.18</v>
      </c>
      <c r="AA53" s="453">
        <f t="shared" si="13"/>
        <v>1174467.18</v>
      </c>
      <c r="AB53" s="453">
        <f t="shared" si="13"/>
        <v>1174467.18</v>
      </c>
      <c r="AC53" s="453">
        <f t="shared" si="13"/>
        <v>1174467.18</v>
      </c>
      <c r="AD53" s="453">
        <f t="shared" si="13"/>
        <v>1174467.18</v>
      </c>
      <c r="AE53" s="453">
        <f t="shared" si="13"/>
        <v>2525797.4699999997</v>
      </c>
      <c r="AF53" s="453">
        <f t="shared" si="13"/>
        <v>2525797.4699999997</v>
      </c>
      <c r="AG53" s="453">
        <f t="shared" si="13"/>
        <v>2525797.4699999997</v>
      </c>
      <c r="AH53" s="453">
        <f t="shared" si="13"/>
        <v>2525797.4699999997</v>
      </c>
      <c r="AI53" s="453">
        <f t="shared" si="13"/>
        <v>2525797.4699999997</v>
      </c>
      <c r="AJ53" s="453">
        <f t="shared" si="13"/>
        <v>2525797.4699999997</v>
      </c>
      <c r="AK53" s="453">
        <f t="shared" si="13"/>
        <v>2525797.4699999997</v>
      </c>
      <c r="AL53" s="453">
        <f t="shared" si="13"/>
        <v>2525797.4699999997</v>
      </c>
      <c r="AM53" s="453">
        <f t="shared" si="13"/>
        <v>2525797.4699999997</v>
      </c>
      <c r="AN53" s="453">
        <f t="shared" si="13"/>
        <v>2525797.4699999997</v>
      </c>
    </row>
    <row r="54" spans="1:40" s="461" customFormat="1" ht="11.25" hidden="1" outlineLevel="3" collapsed="1" x14ac:dyDescent="0.2">
      <c r="B54" s="461" t="s">
        <v>1725</v>
      </c>
      <c r="C54" s="461" t="s">
        <v>1726</v>
      </c>
      <c r="S54" s="462">
        <v>1326027.67</v>
      </c>
      <c r="AE54" s="462">
        <v>2525797.4700000002</v>
      </c>
    </row>
    <row r="55" spans="1:40" s="461" customFormat="1" ht="11.25" hidden="1" outlineLevel="3" collapsed="1" x14ac:dyDescent="0.2">
      <c r="B55" s="461" t="s">
        <v>1727</v>
      </c>
      <c r="C55" s="461" t="s">
        <v>1728</v>
      </c>
      <c r="S55" s="462">
        <f>ABS(S54) - ABS(S53)</f>
        <v>0</v>
      </c>
      <c r="AE55" s="462">
        <f>ABS(AE54) - ABS(AE53)</f>
        <v>0</v>
      </c>
    </row>
    <row r="56" spans="1:40" hidden="1" outlineLevel="4" collapsed="1" x14ac:dyDescent="0.25">
      <c r="A56" s="452">
        <v>1518</v>
      </c>
      <c r="B56" t="s">
        <v>925</v>
      </c>
      <c r="C56" t="s">
        <v>926</v>
      </c>
      <c r="D56" t="s">
        <v>1674</v>
      </c>
      <c r="E56" s="453">
        <f>S56</f>
        <v>50000</v>
      </c>
      <c r="F56" s="453">
        <f>AE56</f>
        <v>50000</v>
      </c>
      <c r="G56" s="453">
        <f>AN56</f>
        <v>50000</v>
      </c>
      <c r="H56" s="453">
        <v>50000</v>
      </c>
      <c r="I56" s="453">
        <v>50000</v>
      </c>
      <c r="J56" s="453">
        <v>50000</v>
      </c>
      <c r="K56" s="453">
        <v>50000</v>
      </c>
      <c r="L56" s="453">
        <v>50000</v>
      </c>
      <c r="M56" s="453">
        <v>50000</v>
      </c>
      <c r="N56" s="453">
        <v>50000</v>
      </c>
      <c r="O56" s="453">
        <v>50000</v>
      </c>
      <c r="P56" s="453">
        <v>50000</v>
      </c>
      <c r="Q56" s="453">
        <v>50000</v>
      </c>
      <c r="R56" s="453">
        <v>50000</v>
      </c>
      <c r="S56" s="453">
        <v>50000</v>
      </c>
      <c r="T56" s="453">
        <v>50000</v>
      </c>
      <c r="U56" s="453">
        <v>50000</v>
      </c>
      <c r="V56" s="453">
        <v>50000</v>
      </c>
      <c r="W56" s="453">
        <v>50000</v>
      </c>
      <c r="X56" s="453">
        <v>50000</v>
      </c>
      <c r="Y56" s="453">
        <v>106100</v>
      </c>
      <c r="Z56" s="453">
        <v>106100</v>
      </c>
      <c r="AA56" s="453">
        <v>106100</v>
      </c>
      <c r="AB56" s="453">
        <v>106100</v>
      </c>
      <c r="AC56" s="453">
        <v>106100</v>
      </c>
      <c r="AD56" s="453">
        <v>50000</v>
      </c>
      <c r="AE56" s="453">
        <v>50000</v>
      </c>
      <c r="AF56" s="453">
        <v>50000</v>
      </c>
      <c r="AG56" s="453">
        <v>50000</v>
      </c>
      <c r="AH56" s="453">
        <v>50000</v>
      </c>
      <c r="AI56" s="453">
        <v>50000</v>
      </c>
      <c r="AJ56" s="453">
        <v>50000</v>
      </c>
      <c r="AK56" s="453">
        <v>50000</v>
      </c>
      <c r="AL56" s="453">
        <v>50000</v>
      </c>
      <c r="AM56" s="453">
        <v>50000</v>
      </c>
      <c r="AN56" s="453">
        <v>50000</v>
      </c>
    </row>
    <row r="57" spans="1:40" hidden="1" outlineLevel="4" collapsed="1" x14ac:dyDescent="0.25">
      <c r="A57" s="452">
        <v>1510</v>
      </c>
      <c r="B57" t="s">
        <v>1729</v>
      </c>
      <c r="C57" t="s">
        <v>1730</v>
      </c>
      <c r="D57" t="s">
        <v>706</v>
      </c>
      <c r="E57" s="453">
        <f>S57</f>
        <v>0</v>
      </c>
      <c r="F57" s="453">
        <f>AE57</f>
        <v>0</v>
      </c>
      <c r="G57" s="453">
        <f>AN57</f>
        <v>0</v>
      </c>
      <c r="W57" s="453">
        <v>19760</v>
      </c>
      <c r="X57" s="453">
        <v>19760</v>
      </c>
      <c r="Y57" s="453">
        <v>19760</v>
      </c>
      <c r="Z57" s="453">
        <v>19760</v>
      </c>
      <c r="AA57" s="453">
        <v>19760</v>
      </c>
      <c r="AB57" s="453">
        <v>19760</v>
      </c>
      <c r="AC57" s="453">
        <v>0</v>
      </c>
      <c r="AD57" s="453">
        <v>0</v>
      </c>
      <c r="AE57" s="453">
        <v>0</v>
      </c>
      <c r="AF57" s="453">
        <v>0</v>
      </c>
      <c r="AG57" s="453">
        <v>0</v>
      </c>
      <c r="AH57" s="453">
        <v>0</v>
      </c>
      <c r="AI57" s="453">
        <v>0</v>
      </c>
      <c r="AJ57" s="453">
        <v>0</v>
      </c>
      <c r="AK57" s="453">
        <v>0</v>
      </c>
      <c r="AL57" s="453">
        <v>0</v>
      </c>
      <c r="AM57" s="453">
        <v>0</v>
      </c>
      <c r="AN57" s="453">
        <v>0</v>
      </c>
    </row>
    <row r="58" spans="1:40" hidden="1" outlineLevel="3" collapsed="1" x14ac:dyDescent="0.25">
      <c r="B58" t="s">
        <v>927</v>
      </c>
      <c r="C58" t="s">
        <v>928</v>
      </c>
      <c r="D58" t="s">
        <v>1674</v>
      </c>
      <c r="E58" s="453">
        <f>S58</f>
        <v>50000</v>
      </c>
      <c r="F58" s="453">
        <f>AE58</f>
        <v>50000</v>
      </c>
      <c r="G58" s="453">
        <f>AN58</f>
        <v>50000</v>
      </c>
      <c r="H58" s="453">
        <f t="shared" ref="H58:AN58" si="14">SUM(H56:H57)</f>
        <v>50000</v>
      </c>
      <c r="I58" s="453">
        <f t="shared" si="14"/>
        <v>50000</v>
      </c>
      <c r="J58" s="453">
        <f t="shared" si="14"/>
        <v>50000</v>
      </c>
      <c r="K58" s="453">
        <f t="shared" si="14"/>
        <v>50000</v>
      </c>
      <c r="L58" s="453">
        <f t="shared" si="14"/>
        <v>50000</v>
      </c>
      <c r="M58" s="453">
        <f t="shared" si="14"/>
        <v>50000</v>
      </c>
      <c r="N58" s="453">
        <f t="shared" si="14"/>
        <v>50000</v>
      </c>
      <c r="O58" s="453">
        <f t="shared" si="14"/>
        <v>50000</v>
      </c>
      <c r="P58" s="453">
        <f t="shared" si="14"/>
        <v>50000</v>
      </c>
      <c r="Q58" s="453">
        <f t="shared" si="14"/>
        <v>50000</v>
      </c>
      <c r="R58" s="453">
        <f t="shared" si="14"/>
        <v>50000</v>
      </c>
      <c r="S58" s="453">
        <f t="shared" si="14"/>
        <v>50000</v>
      </c>
      <c r="T58" s="453">
        <f t="shared" si="14"/>
        <v>50000</v>
      </c>
      <c r="U58" s="453">
        <f t="shared" si="14"/>
        <v>50000</v>
      </c>
      <c r="V58" s="453">
        <f t="shared" si="14"/>
        <v>50000</v>
      </c>
      <c r="W58" s="453">
        <f t="shared" si="14"/>
        <v>69760</v>
      </c>
      <c r="X58" s="453">
        <f t="shared" si="14"/>
        <v>69760</v>
      </c>
      <c r="Y58" s="453">
        <f t="shared" si="14"/>
        <v>125860</v>
      </c>
      <c r="Z58" s="453">
        <f t="shared" si="14"/>
        <v>125860</v>
      </c>
      <c r="AA58" s="453">
        <f t="shared" si="14"/>
        <v>125860</v>
      </c>
      <c r="AB58" s="453">
        <f t="shared" si="14"/>
        <v>125860</v>
      </c>
      <c r="AC58" s="453">
        <f t="shared" si="14"/>
        <v>106100</v>
      </c>
      <c r="AD58" s="453">
        <f t="shared" si="14"/>
        <v>50000</v>
      </c>
      <c r="AE58" s="453">
        <f t="shared" si="14"/>
        <v>50000</v>
      </c>
      <c r="AF58" s="453">
        <f t="shared" si="14"/>
        <v>50000</v>
      </c>
      <c r="AG58" s="453">
        <f t="shared" si="14"/>
        <v>50000</v>
      </c>
      <c r="AH58" s="453">
        <f t="shared" si="14"/>
        <v>50000</v>
      </c>
      <c r="AI58" s="453">
        <f t="shared" si="14"/>
        <v>50000</v>
      </c>
      <c r="AJ58" s="453">
        <f t="shared" si="14"/>
        <v>50000</v>
      </c>
      <c r="AK58" s="453">
        <f t="shared" si="14"/>
        <v>50000</v>
      </c>
      <c r="AL58" s="453">
        <f t="shared" si="14"/>
        <v>50000</v>
      </c>
      <c r="AM58" s="453">
        <f t="shared" si="14"/>
        <v>50000</v>
      </c>
      <c r="AN58" s="453">
        <f t="shared" si="14"/>
        <v>50000</v>
      </c>
    </row>
    <row r="59" spans="1:40" s="461" customFormat="1" ht="11.25" hidden="1" outlineLevel="3" collapsed="1" x14ac:dyDescent="0.2">
      <c r="B59" s="461" t="s">
        <v>1731</v>
      </c>
      <c r="C59" s="461" t="s">
        <v>1732</v>
      </c>
      <c r="S59" s="462">
        <v>50000</v>
      </c>
      <c r="AE59" s="462">
        <v>50000</v>
      </c>
    </row>
    <row r="60" spans="1:40" s="461" customFormat="1" ht="11.25" hidden="1" outlineLevel="3" collapsed="1" x14ac:dyDescent="0.2">
      <c r="B60" s="461" t="s">
        <v>1733</v>
      </c>
      <c r="C60" s="461" t="s">
        <v>1734</v>
      </c>
      <c r="S60" s="462">
        <f>ABS(S59) - ABS(S58)</f>
        <v>0</v>
      </c>
      <c r="AE60" s="462">
        <f>ABS(AE59) - ABS(AE58)</f>
        <v>0</v>
      </c>
    </row>
    <row r="61" spans="1:40" hidden="1" outlineLevel="2" collapsed="1" x14ac:dyDescent="0.25">
      <c r="B61" t="s">
        <v>929</v>
      </c>
      <c r="C61" t="s">
        <v>930</v>
      </c>
      <c r="D61" t="s">
        <v>1674</v>
      </c>
      <c r="E61" s="453">
        <f>S61</f>
        <v>2652108.65</v>
      </c>
      <c r="F61" s="453">
        <f>AE61</f>
        <v>3855883.6399999997</v>
      </c>
      <c r="G61" s="453">
        <f>AN61</f>
        <v>3855883.6399999997</v>
      </c>
      <c r="H61" s="453">
        <f t="shared" ref="H61:AN61" si="15">H44+H48+H53+H58</f>
        <v>1953401.08</v>
      </c>
      <c r="I61" s="453">
        <f t="shared" si="15"/>
        <v>1953401.08</v>
      </c>
      <c r="J61" s="453">
        <f t="shared" si="15"/>
        <v>1953401.08</v>
      </c>
      <c r="K61" s="453">
        <f t="shared" si="15"/>
        <v>1953401.08</v>
      </c>
      <c r="L61" s="453">
        <f t="shared" si="15"/>
        <v>1953401.08</v>
      </c>
      <c r="M61" s="453">
        <f t="shared" si="15"/>
        <v>2718339.9899999998</v>
      </c>
      <c r="N61" s="453">
        <f t="shared" si="15"/>
        <v>2718339.9899999998</v>
      </c>
      <c r="O61" s="453">
        <f t="shared" si="15"/>
        <v>2718339.9899999998</v>
      </c>
      <c r="P61" s="453">
        <f t="shared" si="15"/>
        <v>2950729.27</v>
      </c>
      <c r="Q61" s="453">
        <f t="shared" si="15"/>
        <v>2950729.27</v>
      </c>
      <c r="R61" s="453">
        <f t="shared" si="15"/>
        <v>2950729.27</v>
      </c>
      <c r="S61" s="453">
        <f t="shared" si="15"/>
        <v>2652108.65</v>
      </c>
      <c r="T61" s="453">
        <f t="shared" si="15"/>
        <v>2652108.65</v>
      </c>
      <c r="U61" s="453">
        <f t="shared" si="15"/>
        <v>2652108.65</v>
      </c>
      <c r="V61" s="453">
        <f t="shared" si="15"/>
        <v>2652108.65</v>
      </c>
      <c r="W61" s="453">
        <f t="shared" si="15"/>
        <v>2671868.65</v>
      </c>
      <c r="X61" s="453">
        <f t="shared" si="15"/>
        <v>2671868.65</v>
      </c>
      <c r="Y61" s="453">
        <f t="shared" si="15"/>
        <v>2675560.54</v>
      </c>
      <c r="Z61" s="453">
        <f t="shared" si="15"/>
        <v>2675560.54</v>
      </c>
      <c r="AA61" s="453">
        <f t="shared" si="15"/>
        <v>2675560.54</v>
      </c>
      <c r="AB61" s="453">
        <f t="shared" si="15"/>
        <v>2675560.54</v>
      </c>
      <c r="AC61" s="453">
        <f t="shared" si="15"/>
        <v>2655800.54</v>
      </c>
      <c r="AD61" s="453">
        <f t="shared" si="15"/>
        <v>2599700.54</v>
      </c>
      <c r="AE61" s="453">
        <f t="shared" si="15"/>
        <v>3855883.6399999997</v>
      </c>
      <c r="AF61" s="453">
        <f t="shared" si="15"/>
        <v>3855883.6399999997</v>
      </c>
      <c r="AG61" s="453">
        <f t="shared" si="15"/>
        <v>3855883.6399999997</v>
      </c>
      <c r="AH61" s="453">
        <f t="shared" si="15"/>
        <v>3855883.6399999997</v>
      </c>
      <c r="AI61" s="453">
        <f t="shared" si="15"/>
        <v>3855883.6399999997</v>
      </c>
      <c r="AJ61" s="453">
        <f t="shared" si="15"/>
        <v>3855883.6399999997</v>
      </c>
      <c r="AK61" s="453">
        <f t="shared" si="15"/>
        <v>3855883.6399999997</v>
      </c>
      <c r="AL61" s="453">
        <f t="shared" si="15"/>
        <v>3855883.6399999997</v>
      </c>
      <c r="AM61" s="453">
        <f t="shared" si="15"/>
        <v>3855883.6399999997</v>
      </c>
      <c r="AN61" s="453">
        <f t="shared" si="15"/>
        <v>3855883.6399999997</v>
      </c>
    </row>
    <row r="62" spans="1:40" s="461" customFormat="1" ht="11.25" hidden="1" outlineLevel="2" collapsed="1" x14ac:dyDescent="0.2">
      <c r="B62" s="461" t="s">
        <v>1735</v>
      </c>
      <c r="C62" s="461" t="s">
        <v>1736</v>
      </c>
      <c r="S62" s="462">
        <v>2652108.65</v>
      </c>
      <c r="AE62" s="462">
        <v>3855883.64</v>
      </c>
    </row>
    <row r="63" spans="1:40" s="461" customFormat="1" ht="11.25" hidden="1" outlineLevel="2" collapsed="1" x14ac:dyDescent="0.2">
      <c r="B63" s="461" t="s">
        <v>1737</v>
      </c>
      <c r="C63" s="461" t="s">
        <v>1738</v>
      </c>
      <c r="S63" s="462">
        <f>ABS(S62) - ABS(S61)</f>
        <v>0</v>
      </c>
      <c r="AE63" s="462">
        <f>ABS(AE62) - ABS(AE61)</f>
        <v>0</v>
      </c>
    </row>
    <row r="64" spans="1:40" hidden="1" outlineLevel="4" collapsed="1" x14ac:dyDescent="0.25">
      <c r="A64" s="452">
        <v>996</v>
      </c>
      <c r="B64" t="s">
        <v>931</v>
      </c>
      <c r="C64" t="s">
        <v>932</v>
      </c>
      <c r="D64" t="s">
        <v>1674</v>
      </c>
      <c r="E64" s="453">
        <f>S64</f>
        <v>-15012</v>
      </c>
      <c r="F64" s="453">
        <f>AE64</f>
        <v>-18893</v>
      </c>
      <c r="G64" s="453">
        <f>AN64</f>
        <v>-18893</v>
      </c>
      <c r="H64" s="453">
        <v>-16704</v>
      </c>
      <c r="I64" s="453">
        <v>-16704</v>
      </c>
      <c r="J64" s="453">
        <v>-16704</v>
      </c>
      <c r="K64" s="453">
        <v>-16704</v>
      </c>
      <c r="L64" s="453">
        <v>-16704</v>
      </c>
      <c r="M64" s="453">
        <v>-16704</v>
      </c>
      <c r="N64" s="453">
        <v>-16704</v>
      </c>
      <c r="O64" s="453">
        <v>-16704</v>
      </c>
      <c r="P64" s="453">
        <v>-16704</v>
      </c>
      <c r="Q64" s="453">
        <v>-16704</v>
      </c>
      <c r="R64" s="453">
        <v>-16704</v>
      </c>
      <c r="S64" s="453">
        <v>-15012</v>
      </c>
      <c r="T64" s="453">
        <v>-15012</v>
      </c>
      <c r="U64" s="453">
        <v>-15012</v>
      </c>
      <c r="V64" s="453">
        <v>-15012</v>
      </c>
      <c r="W64" s="453">
        <v>-15012</v>
      </c>
      <c r="X64" s="453">
        <v>-15012</v>
      </c>
      <c r="Y64" s="453">
        <v>-15012</v>
      </c>
      <c r="Z64" s="453">
        <v>-15012</v>
      </c>
      <c r="AA64" s="453">
        <v>-15012</v>
      </c>
      <c r="AB64" s="453">
        <v>-15012</v>
      </c>
      <c r="AC64" s="453">
        <v>-15012</v>
      </c>
      <c r="AD64" s="453">
        <v>-15012</v>
      </c>
      <c r="AE64" s="453">
        <v>-18893</v>
      </c>
      <c r="AF64" s="453">
        <v>-18893</v>
      </c>
      <c r="AG64" s="453">
        <v>-18893</v>
      </c>
      <c r="AH64" s="453">
        <v>-18893</v>
      </c>
      <c r="AI64" s="453">
        <v>-18893</v>
      </c>
      <c r="AJ64" s="453">
        <v>-18893</v>
      </c>
      <c r="AK64" s="453">
        <v>-18893</v>
      </c>
      <c r="AL64" s="453">
        <v>-18893</v>
      </c>
      <c r="AM64" s="453">
        <v>-18893</v>
      </c>
      <c r="AN64" s="453">
        <v>-18893</v>
      </c>
    </row>
    <row r="65" spans="1:40" hidden="1" outlineLevel="4" collapsed="1" x14ac:dyDescent="0.25">
      <c r="A65" s="452">
        <v>998</v>
      </c>
      <c r="B65" t="s">
        <v>933</v>
      </c>
      <c r="C65" t="s">
        <v>934</v>
      </c>
      <c r="D65" t="s">
        <v>1674</v>
      </c>
      <c r="E65" s="453">
        <f>S65</f>
        <v>-27177</v>
      </c>
      <c r="F65" s="453">
        <f>AE65</f>
        <v>0</v>
      </c>
      <c r="G65" s="453">
        <f>AN65</f>
        <v>0</v>
      </c>
      <c r="H65" s="453">
        <v>-6300</v>
      </c>
      <c r="I65" s="453">
        <v>-6300</v>
      </c>
      <c r="J65" s="453">
        <v>-6300</v>
      </c>
      <c r="K65" s="453">
        <v>-6300</v>
      </c>
      <c r="L65" s="453">
        <v>-6300</v>
      </c>
      <c r="M65" s="453">
        <v>-6300</v>
      </c>
      <c r="N65" s="453">
        <v>-6300</v>
      </c>
      <c r="O65" s="453">
        <v>-6300</v>
      </c>
      <c r="P65" s="453">
        <v>-6300</v>
      </c>
      <c r="Q65" s="453">
        <v>-6300</v>
      </c>
      <c r="R65" s="453">
        <v>-6300</v>
      </c>
      <c r="S65" s="453">
        <v>-27177</v>
      </c>
      <c r="T65" s="453">
        <v>-27177</v>
      </c>
      <c r="U65" s="453">
        <v>-27177</v>
      </c>
      <c r="V65" s="453">
        <v>-27177</v>
      </c>
      <c r="W65" s="453">
        <v>-27177</v>
      </c>
      <c r="X65" s="453">
        <v>-27177</v>
      </c>
      <c r="Y65" s="453">
        <v>-27177</v>
      </c>
      <c r="Z65" s="453">
        <v>-27177</v>
      </c>
      <c r="AA65" s="453">
        <v>-27177</v>
      </c>
      <c r="AB65" s="453">
        <v>-27177</v>
      </c>
      <c r="AC65" s="453">
        <v>0</v>
      </c>
      <c r="AD65" s="453">
        <v>0</v>
      </c>
      <c r="AE65" s="453">
        <v>0</v>
      </c>
      <c r="AF65" s="453">
        <v>0</v>
      </c>
      <c r="AG65" s="453">
        <v>0</v>
      </c>
      <c r="AH65" s="453">
        <v>0</v>
      </c>
      <c r="AI65" s="453">
        <v>0</v>
      </c>
      <c r="AJ65" s="453">
        <v>0</v>
      </c>
      <c r="AK65" s="453">
        <v>0</v>
      </c>
      <c r="AL65" s="453">
        <v>0</v>
      </c>
      <c r="AM65" s="453">
        <v>0</v>
      </c>
      <c r="AN65" s="453">
        <v>0</v>
      </c>
    </row>
    <row r="66" spans="1:40" hidden="1" outlineLevel="4" collapsed="1" x14ac:dyDescent="0.25">
      <c r="A66" s="452">
        <v>1400</v>
      </c>
      <c r="B66" t="s">
        <v>935</v>
      </c>
      <c r="C66" t="s">
        <v>936</v>
      </c>
      <c r="D66" t="s">
        <v>1674</v>
      </c>
      <c r="E66" s="453">
        <f>S66</f>
        <v>1628556.79</v>
      </c>
      <c r="F66" s="453">
        <f>AE66</f>
        <v>2007694.36</v>
      </c>
      <c r="G66" s="453">
        <f>AN66</f>
        <v>1678233.63</v>
      </c>
      <c r="H66" s="453">
        <v>1655604.56</v>
      </c>
      <c r="I66" s="453">
        <v>1816406.59</v>
      </c>
      <c r="J66" s="453">
        <v>1774107.28</v>
      </c>
      <c r="K66" s="453">
        <v>1694635.77</v>
      </c>
      <c r="L66" s="453">
        <v>1662450</v>
      </c>
      <c r="M66" s="453">
        <v>1466898.59</v>
      </c>
      <c r="N66" s="453">
        <v>1371439.24</v>
      </c>
      <c r="O66" s="453">
        <v>1768902.79</v>
      </c>
      <c r="P66" s="453">
        <v>1790186.18</v>
      </c>
      <c r="Q66" s="453">
        <v>1739319.65</v>
      </c>
      <c r="R66" s="453">
        <v>2154156.39</v>
      </c>
      <c r="S66" s="453">
        <v>1628556.79</v>
      </c>
      <c r="T66" s="453">
        <v>1648163.71</v>
      </c>
      <c r="U66" s="453">
        <v>1717136.97</v>
      </c>
      <c r="V66" s="453">
        <v>1846012.19</v>
      </c>
      <c r="W66" s="453">
        <v>1859821.12</v>
      </c>
      <c r="X66" s="453">
        <v>1681145.56</v>
      </c>
      <c r="Y66" s="453">
        <v>1595097.16</v>
      </c>
      <c r="Z66" s="453">
        <v>1380812.95</v>
      </c>
      <c r="AA66" s="453">
        <v>1375917.33</v>
      </c>
      <c r="AB66" s="453">
        <v>1640974.74</v>
      </c>
      <c r="AC66" s="453">
        <v>1546865.97</v>
      </c>
      <c r="AD66" s="453">
        <v>1369870.72</v>
      </c>
      <c r="AE66" s="453">
        <v>2007694.36</v>
      </c>
      <c r="AF66" s="453">
        <v>1596325.36</v>
      </c>
      <c r="AG66" s="453">
        <v>1871257.72</v>
      </c>
      <c r="AH66" s="453">
        <v>1754723.05</v>
      </c>
      <c r="AI66" s="453">
        <v>1773271.65</v>
      </c>
      <c r="AJ66" s="453">
        <v>2030340.95</v>
      </c>
      <c r="AK66" s="453">
        <v>1995702</v>
      </c>
      <c r="AL66" s="453">
        <v>1451381.81</v>
      </c>
      <c r="AM66" s="453">
        <v>1915346.29</v>
      </c>
      <c r="AN66" s="453">
        <v>1678233.63</v>
      </c>
    </row>
    <row r="67" spans="1:40" hidden="1" outlineLevel="3" collapsed="1" x14ac:dyDescent="0.25">
      <c r="B67" t="s">
        <v>937</v>
      </c>
      <c r="C67" t="s">
        <v>938</v>
      </c>
      <c r="D67" t="s">
        <v>1674</v>
      </c>
      <c r="E67" s="453">
        <f>S67</f>
        <v>1586367.79</v>
      </c>
      <c r="F67" s="453">
        <f>AE67</f>
        <v>1988801.36</v>
      </c>
      <c r="G67" s="453">
        <f>AN67</f>
        <v>1659340.63</v>
      </c>
      <c r="H67" s="453">
        <f t="shared" ref="H67:AN67" si="16">SUM(H64:H66)</f>
        <v>1632600.56</v>
      </c>
      <c r="I67" s="453">
        <f t="shared" si="16"/>
        <v>1793402.59</v>
      </c>
      <c r="J67" s="453">
        <f t="shared" si="16"/>
        <v>1751103.28</v>
      </c>
      <c r="K67" s="453">
        <f t="shared" si="16"/>
        <v>1671631.77</v>
      </c>
      <c r="L67" s="453">
        <f t="shared" si="16"/>
        <v>1639446</v>
      </c>
      <c r="M67" s="453">
        <f t="shared" si="16"/>
        <v>1443894.59</v>
      </c>
      <c r="N67" s="453">
        <f t="shared" si="16"/>
        <v>1348435.24</v>
      </c>
      <c r="O67" s="453">
        <f t="shared" si="16"/>
        <v>1745898.79</v>
      </c>
      <c r="P67" s="453">
        <f t="shared" si="16"/>
        <v>1767182.18</v>
      </c>
      <c r="Q67" s="453">
        <f t="shared" si="16"/>
        <v>1716315.65</v>
      </c>
      <c r="R67" s="453">
        <f t="shared" si="16"/>
        <v>2131152.39</v>
      </c>
      <c r="S67" s="453">
        <f t="shared" si="16"/>
        <v>1586367.79</v>
      </c>
      <c r="T67" s="453">
        <f t="shared" si="16"/>
        <v>1605974.71</v>
      </c>
      <c r="U67" s="453">
        <f t="shared" si="16"/>
        <v>1674947.97</v>
      </c>
      <c r="V67" s="453">
        <f t="shared" si="16"/>
        <v>1803823.19</v>
      </c>
      <c r="W67" s="453">
        <f t="shared" si="16"/>
        <v>1817632.12</v>
      </c>
      <c r="X67" s="453">
        <f t="shared" si="16"/>
        <v>1638956.56</v>
      </c>
      <c r="Y67" s="453">
        <f t="shared" si="16"/>
        <v>1552908.16</v>
      </c>
      <c r="Z67" s="453">
        <f t="shared" si="16"/>
        <v>1338623.95</v>
      </c>
      <c r="AA67" s="453">
        <f t="shared" si="16"/>
        <v>1333728.33</v>
      </c>
      <c r="AB67" s="453">
        <f t="shared" si="16"/>
        <v>1598785.74</v>
      </c>
      <c r="AC67" s="453">
        <f t="shared" si="16"/>
        <v>1531853.97</v>
      </c>
      <c r="AD67" s="453">
        <f t="shared" si="16"/>
        <v>1354858.72</v>
      </c>
      <c r="AE67" s="453">
        <f t="shared" si="16"/>
        <v>1988801.36</v>
      </c>
      <c r="AF67" s="453">
        <f t="shared" si="16"/>
        <v>1577432.36</v>
      </c>
      <c r="AG67" s="453">
        <f t="shared" si="16"/>
        <v>1852364.72</v>
      </c>
      <c r="AH67" s="453">
        <f t="shared" si="16"/>
        <v>1735830.05</v>
      </c>
      <c r="AI67" s="453">
        <f t="shared" si="16"/>
        <v>1754378.65</v>
      </c>
      <c r="AJ67" s="453">
        <f t="shared" si="16"/>
        <v>2011447.95</v>
      </c>
      <c r="AK67" s="453">
        <f t="shared" si="16"/>
        <v>1976809</v>
      </c>
      <c r="AL67" s="453">
        <f t="shared" si="16"/>
        <v>1432488.81</v>
      </c>
      <c r="AM67" s="453">
        <f t="shared" si="16"/>
        <v>1896453.29</v>
      </c>
      <c r="AN67" s="453">
        <f t="shared" si="16"/>
        <v>1659340.63</v>
      </c>
    </row>
    <row r="68" spans="1:40" s="461" customFormat="1" ht="11.25" hidden="1" outlineLevel="3" collapsed="1" x14ac:dyDescent="0.2">
      <c r="B68" s="461" t="s">
        <v>1739</v>
      </c>
      <c r="C68" s="461" t="s">
        <v>1740</v>
      </c>
      <c r="S68" s="462">
        <v>1600819.99</v>
      </c>
      <c r="AE68" s="462">
        <v>2003512.98</v>
      </c>
    </row>
    <row r="69" spans="1:40" s="461" customFormat="1" ht="11.25" hidden="1" outlineLevel="3" collapsed="1" x14ac:dyDescent="0.2">
      <c r="B69" s="461" t="s">
        <v>1741</v>
      </c>
      <c r="C69" s="461" t="s">
        <v>1742</v>
      </c>
      <c r="S69" s="462">
        <f>ABS(S68) - ABS(S67)</f>
        <v>14452.199999999953</v>
      </c>
      <c r="AE69" s="462">
        <f>ABS(AE68) - ABS(AE67)</f>
        <v>14711.619999999879</v>
      </c>
    </row>
    <row r="70" spans="1:40" hidden="1" outlineLevel="4" collapsed="1" x14ac:dyDescent="0.25">
      <c r="A70" s="452">
        <v>1500</v>
      </c>
      <c r="B70" t="s">
        <v>941</v>
      </c>
      <c r="C70" t="s">
        <v>1743</v>
      </c>
      <c r="D70" t="s">
        <v>1674</v>
      </c>
      <c r="E70" s="453">
        <f t="shared" ref="E70:E80" si="17">S70</f>
        <v>94129.08</v>
      </c>
      <c r="F70" s="453">
        <f t="shared" ref="F70:F80" si="18">AE70</f>
        <v>0</v>
      </c>
      <c r="G70" s="453">
        <f t="shared" ref="G70:G80" si="19">AN70</f>
        <v>0</v>
      </c>
      <c r="H70" s="453">
        <v>18880.240000000002</v>
      </c>
      <c r="I70" s="453">
        <v>17836</v>
      </c>
      <c r="J70" s="453">
        <v>17836</v>
      </c>
      <c r="K70" s="453">
        <v>0</v>
      </c>
      <c r="L70" s="453">
        <v>0</v>
      </c>
      <c r="M70" s="453">
        <v>0</v>
      </c>
      <c r="N70" s="453">
        <v>0</v>
      </c>
      <c r="O70" s="453">
        <v>0</v>
      </c>
      <c r="P70" s="453">
        <v>0</v>
      </c>
      <c r="Q70" s="453">
        <v>0</v>
      </c>
      <c r="R70" s="453">
        <v>0</v>
      </c>
      <c r="S70" s="453">
        <v>94129.08</v>
      </c>
      <c r="T70" s="453">
        <v>94109.08</v>
      </c>
      <c r="U70" s="453">
        <v>93452</v>
      </c>
      <c r="V70" s="453">
        <v>0</v>
      </c>
      <c r="W70" s="453">
        <v>0</v>
      </c>
      <c r="X70" s="453">
        <v>0</v>
      </c>
      <c r="Y70" s="453">
        <v>0</v>
      </c>
      <c r="Z70" s="453">
        <v>0</v>
      </c>
      <c r="AA70" s="453">
        <v>0</v>
      </c>
      <c r="AB70" s="453">
        <v>0</v>
      </c>
      <c r="AC70" s="453">
        <v>0</v>
      </c>
      <c r="AD70" s="453">
        <v>0</v>
      </c>
      <c r="AE70" s="453">
        <v>0</v>
      </c>
      <c r="AF70" s="453">
        <v>0</v>
      </c>
      <c r="AG70" s="453">
        <v>0</v>
      </c>
      <c r="AH70" s="453">
        <v>0</v>
      </c>
      <c r="AI70" s="453">
        <v>0</v>
      </c>
      <c r="AJ70" s="453">
        <v>0</v>
      </c>
      <c r="AK70" s="453">
        <v>0</v>
      </c>
      <c r="AL70" s="453">
        <v>59500</v>
      </c>
      <c r="AM70" s="453">
        <v>59500</v>
      </c>
      <c r="AN70" s="453">
        <v>0</v>
      </c>
    </row>
    <row r="71" spans="1:40" hidden="1" outlineLevel="4" collapsed="1" x14ac:dyDescent="0.25">
      <c r="A71" s="452">
        <v>1520</v>
      </c>
      <c r="B71" t="s">
        <v>943</v>
      </c>
      <c r="C71" t="s">
        <v>1744</v>
      </c>
      <c r="D71" t="s">
        <v>1674</v>
      </c>
      <c r="E71" s="453">
        <f t="shared" si="17"/>
        <v>0</v>
      </c>
      <c r="F71" s="453">
        <f t="shared" si="18"/>
        <v>1734.16</v>
      </c>
      <c r="G71" s="453">
        <f t="shared" si="19"/>
        <v>0</v>
      </c>
      <c r="H71" s="453">
        <v>560.49</v>
      </c>
      <c r="I71" s="453">
        <v>0</v>
      </c>
      <c r="J71" s="453">
        <v>0</v>
      </c>
      <c r="K71" s="453">
        <v>0</v>
      </c>
      <c r="L71" s="453">
        <v>0</v>
      </c>
      <c r="M71" s="453">
        <v>0</v>
      </c>
      <c r="N71" s="453">
        <v>0</v>
      </c>
      <c r="O71" s="453">
        <v>0</v>
      </c>
      <c r="P71" s="453">
        <v>0</v>
      </c>
      <c r="Q71" s="453">
        <v>0</v>
      </c>
      <c r="R71" s="453">
        <v>0</v>
      </c>
      <c r="S71" s="453">
        <v>0</v>
      </c>
      <c r="T71" s="453">
        <v>0</v>
      </c>
      <c r="U71" s="453">
        <v>0</v>
      </c>
      <c r="V71" s="453">
        <v>0</v>
      </c>
      <c r="W71" s="453">
        <v>0</v>
      </c>
      <c r="X71" s="453">
        <v>0</v>
      </c>
      <c r="Y71" s="453">
        <v>936</v>
      </c>
      <c r="Z71" s="453">
        <v>2691</v>
      </c>
      <c r="AA71" s="453">
        <v>2574</v>
      </c>
      <c r="AB71" s="453">
        <v>2457</v>
      </c>
      <c r="AC71" s="453">
        <v>3190.2</v>
      </c>
      <c r="AD71" s="453">
        <v>3056.04</v>
      </c>
      <c r="AE71" s="453">
        <v>1734.16</v>
      </c>
      <c r="AF71" s="453">
        <v>1641.28</v>
      </c>
      <c r="AG71" s="453">
        <v>1450.24</v>
      </c>
      <c r="AH71" s="453">
        <v>1013.76</v>
      </c>
      <c r="AI71" s="453">
        <v>438.84</v>
      </c>
      <c r="AJ71" s="453">
        <v>101.99</v>
      </c>
      <c r="AK71" s="453">
        <v>792.93</v>
      </c>
      <c r="AL71" s="453">
        <v>384</v>
      </c>
      <c r="AM71" s="453">
        <v>0</v>
      </c>
      <c r="AN71" s="453">
        <v>0</v>
      </c>
    </row>
    <row r="72" spans="1:40" hidden="1" outlineLevel="4" collapsed="1" x14ac:dyDescent="0.25">
      <c r="A72" s="452">
        <v>1525</v>
      </c>
      <c r="B72" t="s">
        <v>945</v>
      </c>
      <c r="C72" t="s">
        <v>946</v>
      </c>
      <c r="D72" t="s">
        <v>1674</v>
      </c>
      <c r="E72" s="453">
        <f t="shared" si="17"/>
        <v>2250</v>
      </c>
      <c r="F72" s="453">
        <f t="shared" si="18"/>
        <v>3550</v>
      </c>
      <c r="G72" s="453">
        <f t="shared" si="19"/>
        <v>3250</v>
      </c>
      <c r="H72" s="453">
        <v>1500</v>
      </c>
      <c r="I72" s="453">
        <v>2000</v>
      </c>
      <c r="J72" s="453">
        <v>3000</v>
      </c>
      <c r="K72" s="453">
        <v>5000</v>
      </c>
      <c r="L72" s="453">
        <v>5000</v>
      </c>
      <c r="M72" s="453">
        <v>2250</v>
      </c>
      <c r="N72" s="453">
        <v>1750</v>
      </c>
      <c r="O72" s="453">
        <v>1750</v>
      </c>
      <c r="P72" s="453">
        <v>2750</v>
      </c>
      <c r="Q72" s="453">
        <v>2750</v>
      </c>
      <c r="R72" s="453">
        <v>3550</v>
      </c>
      <c r="S72" s="453">
        <v>2250</v>
      </c>
      <c r="T72" s="453">
        <v>3050</v>
      </c>
      <c r="U72" s="453">
        <v>3050</v>
      </c>
      <c r="V72" s="453">
        <v>3050</v>
      </c>
      <c r="W72" s="453">
        <v>3050</v>
      </c>
      <c r="X72" s="453">
        <v>3050</v>
      </c>
      <c r="Y72" s="453">
        <v>3550</v>
      </c>
      <c r="Z72" s="453">
        <v>4550</v>
      </c>
      <c r="AA72" s="453">
        <v>4550</v>
      </c>
      <c r="AB72" s="453">
        <v>4550</v>
      </c>
      <c r="AC72" s="453">
        <v>4550</v>
      </c>
      <c r="AD72" s="453">
        <v>4050</v>
      </c>
      <c r="AE72" s="453">
        <v>3550</v>
      </c>
      <c r="AF72" s="453">
        <v>2250</v>
      </c>
      <c r="AG72" s="453">
        <v>2250</v>
      </c>
      <c r="AH72" s="453">
        <v>2250</v>
      </c>
      <c r="AI72" s="453">
        <v>4250</v>
      </c>
      <c r="AJ72" s="453">
        <v>4250</v>
      </c>
      <c r="AK72" s="453">
        <v>4250</v>
      </c>
      <c r="AL72" s="453">
        <v>3250</v>
      </c>
      <c r="AM72" s="453">
        <v>3250</v>
      </c>
      <c r="AN72" s="453">
        <v>3250</v>
      </c>
    </row>
    <row r="73" spans="1:40" hidden="1" outlineLevel="4" collapsed="1" x14ac:dyDescent="0.25">
      <c r="A73" s="452">
        <v>1540</v>
      </c>
      <c r="B73" t="s">
        <v>947</v>
      </c>
      <c r="C73" t="s">
        <v>948</v>
      </c>
      <c r="D73" t="s">
        <v>1674</v>
      </c>
      <c r="E73" s="453">
        <f t="shared" si="17"/>
        <v>45549</v>
      </c>
      <c r="F73" s="453">
        <f t="shared" si="18"/>
        <v>88619</v>
      </c>
      <c r="G73" s="453">
        <f t="shared" si="19"/>
        <v>43070</v>
      </c>
      <c r="S73" s="453">
        <v>45549</v>
      </c>
      <c r="T73" s="453">
        <v>45549</v>
      </c>
      <c r="U73" s="453">
        <v>45549</v>
      </c>
      <c r="V73" s="453">
        <v>45549</v>
      </c>
      <c r="W73" s="453">
        <v>45549</v>
      </c>
      <c r="X73" s="453">
        <v>45549</v>
      </c>
      <c r="Y73" s="453">
        <v>46212</v>
      </c>
      <c r="Z73" s="453">
        <v>46212</v>
      </c>
      <c r="AA73" s="453">
        <v>46212</v>
      </c>
      <c r="AB73" s="453">
        <v>46212</v>
      </c>
      <c r="AC73" s="453">
        <v>46212</v>
      </c>
      <c r="AD73" s="453">
        <v>46212</v>
      </c>
      <c r="AE73" s="453">
        <v>88619</v>
      </c>
      <c r="AF73" s="453">
        <v>88619</v>
      </c>
      <c r="AG73" s="453">
        <v>43070</v>
      </c>
      <c r="AH73" s="453">
        <v>43070</v>
      </c>
      <c r="AI73" s="453">
        <v>43070</v>
      </c>
      <c r="AJ73" s="453">
        <v>43070</v>
      </c>
      <c r="AK73" s="453">
        <v>43070</v>
      </c>
      <c r="AL73" s="453">
        <v>43070</v>
      </c>
      <c r="AM73" s="453">
        <v>43070</v>
      </c>
      <c r="AN73" s="453">
        <v>43070</v>
      </c>
    </row>
    <row r="74" spans="1:40" hidden="1" outlineLevel="4" collapsed="1" x14ac:dyDescent="0.25">
      <c r="A74" s="452">
        <v>1544</v>
      </c>
      <c r="B74" t="s">
        <v>949</v>
      </c>
      <c r="C74" t="s">
        <v>950</v>
      </c>
      <c r="D74" t="s">
        <v>1674</v>
      </c>
      <c r="E74" s="453">
        <f t="shared" si="17"/>
        <v>4121.79</v>
      </c>
      <c r="F74" s="453">
        <f t="shared" si="18"/>
        <v>0</v>
      </c>
      <c r="G74" s="453">
        <f t="shared" si="19"/>
        <v>0</v>
      </c>
      <c r="H74" s="453">
        <v>7574.07</v>
      </c>
      <c r="I74" s="453">
        <v>7380.98</v>
      </c>
      <c r="J74" s="453">
        <v>7380.98</v>
      </c>
      <c r="K74" s="453">
        <v>7380.98</v>
      </c>
      <c r="L74" s="453">
        <v>7380.98</v>
      </c>
      <c r="M74" s="453">
        <v>7380.98</v>
      </c>
      <c r="N74" s="453">
        <v>7380.98</v>
      </c>
      <c r="O74" s="453">
        <v>7380.98</v>
      </c>
      <c r="P74" s="453">
        <v>7380.98</v>
      </c>
      <c r="Q74" s="453">
        <v>4121.79</v>
      </c>
      <c r="R74" s="453">
        <v>4121.79</v>
      </c>
      <c r="S74" s="453">
        <v>4121.79</v>
      </c>
      <c r="T74" s="453">
        <v>4121.79</v>
      </c>
      <c r="U74" s="453">
        <v>4121.79</v>
      </c>
      <c r="V74" s="453">
        <v>4121.79</v>
      </c>
      <c r="W74" s="453">
        <v>4121.79</v>
      </c>
      <c r="X74" s="453">
        <v>4121.79</v>
      </c>
      <c r="Y74" s="453">
        <v>4121.79</v>
      </c>
      <c r="Z74" s="453">
        <v>4121.79</v>
      </c>
      <c r="AA74" s="453">
        <v>4121.79</v>
      </c>
      <c r="AB74" s="453">
        <v>4121.79</v>
      </c>
      <c r="AC74" s="453">
        <v>4121.79</v>
      </c>
      <c r="AD74" s="453">
        <v>4121.79</v>
      </c>
      <c r="AE74" s="453">
        <v>0</v>
      </c>
      <c r="AF74" s="453">
        <v>0</v>
      </c>
      <c r="AG74" s="453">
        <v>0</v>
      </c>
      <c r="AH74" s="453">
        <v>0</v>
      </c>
      <c r="AI74" s="453">
        <v>0</v>
      </c>
      <c r="AJ74" s="453">
        <v>0</v>
      </c>
      <c r="AK74" s="453">
        <v>0</v>
      </c>
      <c r="AL74" s="453">
        <v>0</v>
      </c>
      <c r="AM74" s="453">
        <v>0</v>
      </c>
      <c r="AN74" s="453">
        <v>0</v>
      </c>
    </row>
    <row r="75" spans="1:40" hidden="1" outlineLevel="4" collapsed="1" x14ac:dyDescent="0.25">
      <c r="A75" s="452">
        <v>1548</v>
      </c>
      <c r="B75" t="s">
        <v>951</v>
      </c>
      <c r="C75" t="s">
        <v>952</v>
      </c>
      <c r="D75" t="s">
        <v>1674</v>
      </c>
      <c r="E75" s="453">
        <f t="shared" si="17"/>
        <v>6412.5</v>
      </c>
      <c r="F75" s="453">
        <f t="shared" si="18"/>
        <v>29241.96</v>
      </c>
      <c r="G75" s="453">
        <f t="shared" si="19"/>
        <v>0</v>
      </c>
      <c r="H75" s="453">
        <v>0</v>
      </c>
      <c r="I75" s="453">
        <v>0</v>
      </c>
      <c r="J75" s="453">
        <v>0</v>
      </c>
      <c r="K75" s="453">
        <v>0</v>
      </c>
      <c r="L75" s="453">
        <v>0</v>
      </c>
      <c r="M75" s="453">
        <v>0</v>
      </c>
      <c r="N75" s="453">
        <v>0</v>
      </c>
      <c r="O75" s="453">
        <v>0</v>
      </c>
      <c r="P75" s="453">
        <v>0</v>
      </c>
      <c r="Q75" s="453">
        <v>0</v>
      </c>
      <c r="R75" s="453">
        <v>0</v>
      </c>
      <c r="S75" s="453">
        <v>6412.5</v>
      </c>
      <c r="T75" s="453">
        <v>19</v>
      </c>
      <c r="U75" s="453">
        <v>19</v>
      </c>
      <c r="V75" s="453">
        <v>0</v>
      </c>
      <c r="W75" s="453">
        <v>19</v>
      </c>
      <c r="X75" s="453">
        <v>19</v>
      </c>
      <c r="Y75" s="453">
        <v>0</v>
      </c>
      <c r="Z75" s="453">
        <v>0</v>
      </c>
      <c r="AA75" s="453">
        <v>0</v>
      </c>
      <c r="AB75" s="453">
        <v>0</v>
      </c>
      <c r="AC75" s="453">
        <v>0</v>
      </c>
      <c r="AD75" s="453">
        <v>0</v>
      </c>
      <c r="AE75" s="453">
        <v>29241.96</v>
      </c>
      <c r="AF75" s="453">
        <v>26241.83</v>
      </c>
      <c r="AG75" s="453">
        <v>-963.53</v>
      </c>
      <c r="AH75" s="453">
        <v>-963.53</v>
      </c>
      <c r="AI75" s="453">
        <v>-963.53</v>
      </c>
      <c r="AJ75" s="453">
        <v>-963.53</v>
      </c>
      <c r="AK75" s="453">
        <v>-963.53</v>
      </c>
      <c r="AL75" s="453">
        <v>0</v>
      </c>
      <c r="AM75" s="453">
        <v>0</v>
      </c>
      <c r="AN75" s="453">
        <v>0</v>
      </c>
    </row>
    <row r="76" spans="1:40" hidden="1" outlineLevel="4" collapsed="1" x14ac:dyDescent="0.25">
      <c r="A76" s="452">
        <v>1549</v>
      </c>
      <c r="B76" t="s">
        <v>953</v>
      </c>
      <c r="C76" t="s">
        <v>954</v>
      </c>
      <c r="D76" t="s">
        <v>1674</v>
      </c>
      <c r="E76" s="453">
        <f t="shared" si="17"/>
        <v>144052.49</v>
      </c>
      <c r="F76" s="453">
        <f t="shared" si="18"/>
        <v>190440.14</v>
      </c>
      <c r="G76" s="453">
        <f t="shared" si="19"/>
        <v>46387.65</v>
      </c>
      <c r="S76" s="453">
        <v>144052.49</v>
      </c>
      <c r="T76" s="453">
        <v>144052.49</v>
      </c>
      <c r="U76" s="453">
        <v>144052.49</v>
      </c>
      <c r="V76" s="453">
        <v>144052.49</v>
      </c>
      <c r="W76" s="453">
        <v>144052.49</v>
      </c>
      <c r="X76" s="453">
        <v>144052.49</v>
      </c>
      <c r="Y76" s="453">
        <v>144052.49</v>
      </c>
      <c r="Z76" s="453">
        <v>144052.49</v>
      </c>
      <c r="AA76" s="453">
        <v>144052.49</v>
      </c>
      <c r="AB76" s="453">
        <v>144052.49</v>
      </c>
      <c r="AC76" s="453">
        <v>144052.49</v>
      </c>
      <c r="AD76" s="453">
        <v>144052.49</v>
      </c>
      <c r="AE76" s="453">
        <v>190440.14</v>
      </c>
      <c r="AF76" s="453">
        <v>46387.65</v>
      </c>
      <c r="AG76" s="453">
        <v>46387.65</v>
      </c>
      <c r="AH76" s="453">
        <v>46387.65</v>
      </c>
      <c r="AI76" s="453">
        <v>46387.65</v>
      </c>
      <c r="AJ76" s="453">
        <v>46387.65</v>
      </c>
      <c r="AK76" s="453">
        <v>46387.65</v>
      </c>
      <c r="AL76" s="453">
        <v>46387.65</v>
      </c>
      <c r="AM76" s="453">
        <v>46387.65</v>
      </c>
      <c r="AN76" s="453">
        <v>46387.65</v>
      </c>
    </row>
    <row r="77" spans="1:40" hidden="1" outlineLevel="4" collapsed="1" x14ac:dyDescent="0.25">
      <c r="A77" s="452">
        <v>1600</v>
      </c>
      <c r="B77" t="s">
        <v>955</v>
      </c>
      <c r="C77" t="s">
        <v>1745</v>
      </c>
      <c r="D77" t="s">
        <v>1674</v>
      </c>
      <c r="E77" s="453">
        <f t="shared" si="17"/>
        <v>-848283.56</v>
      </c>
      <c r="F77" s="453">
        <f t="shared" si="18"/>
        <v>-1220438.01</v>
      </c>
      <c r="G77" s="453">
        <f t="shared" si="19"/>
        <v>-381922.89</v>
      </c>
      <c r="H77" s="453">
        <v>-670203.25</v>
      </c>
      <c r="I77" s="453">
        <v>-868935.66</v>
      </c>
      <c r="J77" s="453">
        <v>-1229096.25</v>
      </c>
      <c r="K77" s="453">
        <v>-852916.86</v>
      </c>
      <c r="L77" s="453">
        <v>-806026.28</v>
      </c>
      <c r="M77" s="453">
        <v>-797416.25</v>
      </c>
      <c r="N77" s="453">
        <v>-622217.07999999996</v>
      </c>
      <c r="O77" s="453">
        <v>-511684.08</v>
      </c>
      <c r="P77" s="453">
        <v>-804946.93</v>
      </c>
      <c r="Q77" s="453">
        <v>-600981.43999999994</v>
      </c>
      <c r="R77" s="453">
        <v>-616478.57999999996</v>
      </c>
      <c r="S77" s="453">
        <v>-848283.56</v>
      </c>
      <c r="T77" s="453">
        <v>-921529.21</v>
      </c>
      <c r="U77" s="453">
        <v>-555960.82999999996</v>
      </c>
      <c r="V77" s="453">
        <v>-545022.36</v>
      </c>
      <c r="W77" s="453">
        <v>-747914.6</v>
      </c>
      <c r="X77" s="453">
        <v>-895447.09</v>
      </c>
      <c r="Y77" s="453">
        <v>-822953.72</v>
      </c>
      <c r="Z77" s="453">
        <v>-1562438.31</v>
      </c>
      <c r="AA77" s="453">
        <v>-1110364.6399999999</v>
      </c>
      <c r="AB77" s="453">
        <v>-1277072.6299999999</v>
      </c>
      <c r="AC77" s="453">
        <v>-649238.22</v>
      </c>
      <c r="AD77" s="453">
        <v>-717015.47</v>
      </c>
      <c r="AE77" s="453">
        <v>-1220438.01</v>
      </c>
      <c r="AF77" s="453">
        <v>-1070288.03</v>
      </c>
      <c r="AG77" s="453">
        <v>-1068835.7</v>
      </c>
      <c r="AH77" s="453">
        <v>-788376.27</v>
      </c>
      <c r="AI77" s="453">
        <v>-830927.28</v>
      </c>
      <c r="AJ77" s="453">
        <v>-845066.97</v>
      </c>
      <c r="AK77" s="453">
        <v>-425350.8</v>
      </c>
      <c r="AL77" s="453">
        <v>-598669.30000000005</v>
      </c>
      <c r="AM77" s="453">
        <v>-544478.5</v>
      </c>
      <c r="AN77" s="453">
        <v>-381922.89</v>
      </c>
    </row>
    <row r="78" spans="1:40" hidden="1" outlineLevel="4" collapsed="1" x14ac:dyDescent="0.25">
      <c r="A78" s="452">
        <v>1360</v>
      </c>
      <c r="B78" t="s">
        <v>1746</v>
      </c>
      <c r="C78" t="s">
        <v>1747</v>
      </c>
      <c r="D78" t="s">
        <v>710</v>
      </c>
      <c r="E78" s="453">
        <f t="shared" si="17"/>
        <v>0</v>
      </c>
      <c r="F78" s="453">
        <f t="shared" si="18"/>
        <v>0</v>
      </c>
      <c r="G78" s="453">
        <f t="shared" si="19"/>
        <v>0</v>
      </c>
      <c r="H78" s="453">
        <v>148782.41</v>
      </c>
      <c r="I78" s="453">
        <v>-1397.59</v>
      </c>
      <c r="J78" s="453">
        <v>0</v>
      </c>
      <c r="K78" s="453">
        <v>-12221.83</v>
      </c>
      <c r="L78" s="453">
        <v>-2428.16</v>
      </c>
      <c r="M78" s="453">
        <v>40581.35</v>
      </c>
      <c r="N78" s="453">
        <v>31458.15</v>
      </c>
      <c r="O78" s="453">
        <v>9693.67</v>
      </c>
      <c r="P78" s="453">
        <v>13199.47</v>
      </c>
      <c r="Q78" s="453">
        <v>14205.78</v>
      </c>
      <c r="R78" s="453">
        <v>10849.98</v>
      </c>
      <c r="S78" s="453">
        <v>0</v>
      </c>
      <c r="T78" s="453">
        <v>0</v>
      </c>
      <c r="U78" s="453">
        <v>0</v>
      </c>
      <c r="V78" s="453">
        <v>155</v>
      </c>
      <c r="W78" s="453">
        <v>-1797.75</v>
      </c>
      <c r="X78" s="453">
        <v>4047</v>
      </c>
      <c r="Y78" s="453">
        <v>0</v>
      </c>
      <c r="Z78" s="453">
        <v>0</v>
      </c>
      <c r="AA78" s="453">
        <v>0</v>
      </c>
      <c r="AB78" s="453">
        <v>2045.48</v>
      </c>
      <c r="AC78" s="453">
        <v>2045.48</v>
      </c>
      <c r="AD78" s="453">
        <v>-200</v>
      </c>
      <c r="AE78" s="453">
        <v>0</v>
      </c>
      <c r="AF78" s="453">
        <v>0</v>
      </c>
      <c r="AG78" s="453">
        <v>-2849.23</v>
      </c>
      <c r="AH78" s="453">
        <v>0</v>
      </c>
      <c r="AI78" s="453">
        <v>59543.040000000001</v>
      </c>
      <c r="AJ78" s="453">
        <v>59500</v>
      </c>
      <c r="AK78" s="453">
        <v>59500</v>
      </c>
      <c r="AL78" s="453">
        <v>0</v>
      </c>
      <c r="AM78" s="453">
        <v>0</v>
      </c>
      <c r="AN78" s="453">
        <v>0</v>
      </c>
    </row>
    <row r="79" spans="1:40" hidden="1" outlineLevel="4" collapsed="1" x14ac:dyDescent="0.25">
      <c r="A79" s="452">
        <v>1590</v>
      </c>
      <c r="B79" t="s">
        <v>1748</v>
      </c>
      <c r="C79" t="s">
        <v>1749</v>
      </c>
      <c r="D79" t="s">
        <v>710</v>
      </c>
      <c r="E79" s="453">
        <f t="shared" si="17"/>
        <v>0</v>
      </c>
      <c r="F79" s="453">
        <f t="shared" si="18"/>
        <v>0</v>
      </c>
      <c r="G79" s="453">
        <f t="shared" si="19"/>
        <v>0</v>
      </c>
      <c r="H79" s="453">
        <v>0</v>
      </c>
      <c r="I79" s="453">
        <v>0</v>
      </c>
      <c r="J79" s="453">
        <v>0</v>
      </c>
      <c r="K79" s="453">
        <v>0</v>
      </c>
      <c r="L79" s="453">
        <v>0</v>
      </c>
      <c r="M79" s="453">
        <v>0</v>
      </c>
      <c r="N79" s="453">
        <v>0</v>
      </c>
      <c r="O79" s="453">
        <v>0</v>
      </c>
      <c r="P79" s="453">
        <v>0</v>
      </c>
      <c r="Q79" s="453">
        <v>0</v>
      </c>
      <c r="R79" s="453">
        <v>0</v>
      </c>
      <c r="S79" s="453">
        <v>0</v>
      </c>
      <c r="T79" s="453">
        <v>0</v>
      </c>
      <c r="U79" s="453">
        <v>-765</v>
      </c>
      <c r="V79" s="453">
        <v>0</v>
      </c>
      <c r="W79" s="453">
        <v>0</v>
      </c>
      <c r="X79" s="453">
        <v>0</v>
      </c>
      <c r="Y79" s="453">
        <v>0</v>
      </c>
      <c r="Z79" s="453">
        <v>0</v>
      </c>
      <c r="AA79" s="453">
        <v>0</v>
      </c>
      <c r="AB79" s="453">
        <v>0</v>
      </c>
      <c r="AC79" s="453">
        <v>0</v>
      </c>
      <c r="AD79" s="453">
        <v>0</v>
      </c>
      <c r="AE79" s="453">
        <v>0</v>
      </c>
      <c r="AF79" s="453">
        <v>0</v>
      </c>
      <c r="AG79" s="453">
        <v>0</v>
      </c>
      <c r="AH79" s="453">
        <v>0</v>
      </c>
      <c r="AI79" s="453">
        <v>0</v>
      </c>
      <c r="AJ79" s="453">
        <v>0</v>
      </c>
      <c r="AK79" s="453">
        <v>0</v>
      </c>
      <c r="AL79" s="453">
        <v>0</v>
      </c>
      <c r="AM79" s="453">
        <v>0</v>
      </c>
      <c r="AN79" s="453">
        <v>0</v>
      </c>
    </row>
    <row r="80" spans="1:40" hidden="1" outlineLevel="3" collapsed="1" x14ac:dyDescent="0.25">
      <c r="B80" t="s">
        <v>957</v>
      </c>
      <c r="C80" t="s">
        <v>958</v>
      </c>
      <c r="D80" t="s">
        <v>1674</v>
      </c>
      <c r="E80" s="453">
        <f t="shared" si="17"/>
        <v>-551768.70000000007</v>
      </c>
      <c r="F80" s="453">
        <f t="shared" si="18"/>
        <v>-906852.75</v>
      </c>
      <c r="G80" s="453">
        <f t="shared" si="19"/>
        <v>-289215.24</v>
      </c>
      <c r="H80" s="453">
        <f t="shared" ref="H80:AN80" si="20">SUM(H70:H79)</f>
        <v>-492906.03999999992</v>
      </c>
      <c r="I80" s="453">
        <f t="shared" si="20"/>
        <v>-843116.27</v>
      </c>
      <c r="J80" s="453">
        <f t="shared" si="20"/>
        <v>-1200879.27</v>
      </c>
      <c r="K80" s="453">
        <f t="shared" si="20"/>
        <v>-852757.71</v>
      </c>
      <c r="L80" s="453">
        <f t="shared" si="20"/>
        <v>-796073.46000000008</v>
      </c>
      <c r="M80" s="453">
        <f t="shared" si="20"/>
        <v>-747203.92</v>
      </c>
      <c r="N80" s="453">
        <f t="shared" si="20"/>
        <v>-581627.94999999995</v>
      </c>
      <c r="O80" s="453">
        <f t="shared" si="20"/>
        <v>-492859.43000000005</v>
      </c>
      <c r="P80" s="453">
        <f t="shared" si="20"/>
        <v>-781616.4800000001</v>
      </c>
      <c r="Q80" s="453">
        <f t="shared" si="20"/>
        <v>-579903.86999999988</v>
      </c>
      <c r="R80" s="453">
        <f t="shared" si="20"/>
        <v>-597956.80999999994</v>
      </c>
      <c r="S80" s="453">
        <f t="shared" si="20"/>
        <v>-551768.70000000007</v>
      </c>
      <c r="T80" s="453">
        <f t="shared" si="20"/>
        <v>-630627.85</v>
      </c>
      <c r="U80" s="453">
        <f t="shared" si="20"/>
        <v>-266481.54999999993</v>
      </c>
      <c r="V80" s="453">
        <f t="shared" si="20"/>
        <v>-348094.07999999996</v>
      </c>
      <c r="W80" s="453">
        <f t="shared" si="20"/>
        <v>-552920.06999999995</v>
      </c>
      <c r="X80" s="453">
        <f t="shared" si="20"/>
        <v>-694607.80999999994</v>
      </c>
      <c r="Y80" s="453">
        <f t="shared" si="20"/>
        <v>-624081.43999999994</v>
      </c>
      <c r="Z80" s="453">
        <f t="shared" si="20"/>
        <v>-1360811.03</v>
      </c>
      <c r="AA80" s="453">
        <f t="shared" si="20"/>
        <v>-908854.35999999987</v>
      </c>
      <c r="AB80" s="453">
        <f t="shared" si="20"/>
        <v>-1073633.8699999999</v>
      </c>
      <c r="AC80" s="453">
        <f t="shared" si="20"/>
        <v>-445066.26</v>
      </c>
      <c r="AD80" s="453">
        <f t="shared" si="20"/>
        <v>-515723.14999999997</v>
      </c>
      <c r="AE80" s="453">
        <f t="shared" si="20"/>
        <v>-906852.75</v>
      </c>
      <c r="AF80" s="453">
        <f t="shared" si="20"/>
        <v>-905148.27</v>
      </c>
      <c r="AG80" s="453">
        <f t="shared" si="20"/>
        <v>-979490.57</v>
      </c>
      <c r="AH80" s="453">
        <f t="shared" si="20"/>
        <v>-696618.39</v>
      </c>
      <c r="AI80" s="453">
        <f t="shared" si="20"/>
        <v>-678201.28</v>
      </c>
      <c r="AJ80" s="453">
        <f t="shared" si="20"/>
        <v>-692720.86</v>
      </c>
      <c r="AK80" s="453">
        <f t="shared" si="20"/>
        <v>-272313.75</v>
      </c>
      <c r="AL80" s="453">
        <f t="shared" si="20"/>
        <v>-446077.65</v>
      </c>
      <c r="AM80" s="453">
        <f t="shared" si="20"/>
        <v>-392270.85</v>
      </c>
      <c r="AN80" s="453">
        <f t="shared" si="20"/>
        <v>-289215.24</v>
      </c>
    </row>
    <row r="81" spans="1:40" s="461" customFormat="1" ht="11.25" hidden="1" outlineLevel="3" collapsed="1" x14ac:dyDescent="0.2">
      <c r="B81" s="461" t="s">
        <v>1750</v>
      </c>
      <c r="C81" s="461" t="s">
        <v>1751</v>
      </c>
      <c r="S81" s="462">
        <v>301293.83</v>
      </c>
      <c r="AE81" s="462">
        <v>313911.09000000003</v>
      </c>
    </row>
    <row r="82" spans="1:40" s="461" customFormat="1" ht="11.25" hidden="1" outlineLevel="3" collapsed="1" x14ac:dyDescent="0.2">
      <c r="B82" s="461" t="s">
        <v>1752</v>
      </c>
      <c r="C82" s="461" t="s">
        <v>1753</v>
      </c>
      <c r="S82" s="462">
        <f>ABS(S81) - ABS(S80)</f>
        <v>-250474.87000000005</v>
      </c>
      <c r="AE82" s="462">
        <f>ABS(AE81) - ABS(AE80)</f>
        <v>-592941.65999999992</v>
      </c>
    </row>
    <row r="83" spans="1:40" hidden="1" outlineLevel="2" collapsed="1" x14ac:dyDescent="0.25">
      <c r="B83" t="s">
        <v>959</v>
      </c>
      <c r="C83" t="s">
        <v>960</v>
      </c>
      <c r="D83" t="s">
        <v>1674</v>
      </c>
      <c r="E83" s="453">
        <f>S83</f>
        <v>1034599.09</v>
      </c>
      <c r="F83" s="453">
        <f>AE83</f>
        <v>1081948.6100000001</v>
      </c>
      <c r="G83" s="453">
        <f>AN83</f>
        <v>1370125.39</v>
      </c>
      <c r="H83" s="453">
        <f t="shared" ref="H83:AN83" si="21">H67+H80</f>
        <v>1139694.52</v>
      </c>
      <c r="I83" s="453">
        <f t="shared" si="21"/>
        <v>950286.32000000007</v>
      </c>
      <c r="J83" s="453">
        <f t="shared" si="21"/>
        <v>550224.01</v>
      </c>
      <c r="K83" s="453">
        <f t="shared" si="21"/>
        <v>818874.06</v>
      </c>
      <c r="L83" s="453">
        <f t="shared" si="21"/>
        <v>843372.53999999992</v>
      </c>
      <c r="M83" s="453">
        <f t="shared" si="21"/>
        <v>696690.67</v>
      </c>
      <c r="N83" s="453">
        <f t="shared" si="21"/>
        <v>766807.29</v>
      </c>
      <c r="O83" s="453">
        <f t="shared" si="21"/>
        <v>1253039.3599999999</v>
      </c>
      <c r="P83" s="453">
        <f t="shared" si="21"/>
        <v>985565.69999999984</v>
      </c>
      <c r="Q83" s="453">
        <f t="shared" si="21"/>
        <v>1136411.78</v>
      </c>
      <c r="R83" s="453">
        <f t="shared" si="21"/>
        <v>1533195.58</v>
      </c>
      <c r="S83" s="453">
        <f t="shared" si="21"/>
        <v>1034599.09</v>
      </c>
      <c r="T83" s="453">
        <f t="shared" si="21"/>
        <v>975346.86</v>
      </c>
      <c r="U83" s="453">
        <f t="shared" si="21"/>
        <v>1408466.42</v>
      </c>
      <c r="V83" s="453">
        <f t="shared" si="21"/>
        <v>1455729.1099999999</v>
      </c>
      <c r="W83" s="453">
        <f t="shared" si="21"/>
        <v>1264712.0500000003</v>
      </c>
      <c r="X83" s="453">
        <f t="shared" si="21"/>
        <v>944348.75000000012</v>
      </c>
      <c r="Y83" s="453">
        <f t="shared" si="21"/>
        <v>928826.72</v>
      </c>
      <c r="Z83" s="453">
        <f t="shared" si="21"/>
        <v>-22187.080000000075</v>
      </c>
      <c r="AA83" s="453">
        <f t="shared" si="21"/>
        <v>424873.9700000002</v>
      </c>
      <c r="AB83" s="453">
        <f t="shared" si="21"/>
        <v>525151.87000000011</v>
      </c>
      <c r="AC83" s="453">
        <f t="shared" si="21"/>
        <v>1086787.71</v>
      </c>
      <c r="AD83" s="453">
        <f t="shared" si="21"/>
        <v>839135.57000000007</v>
      </c>
      <c r="AE83" s="453">
        <f t="shared" si="21"/>
        <v>1081948.6100000001</v>
      </c>
      <c r="AF83" s="453">
        <f t="shared" si="21"/>
        <v>672284.09000000008</v>
      </c>
      <c r="AG83" s="453">
        <f t="shared" si="21"/>
        <v>872874.15</v>
      </c>
      <c r="AH83" s="453">
        <f t="shared" si="21"/>
        <v>1039211.66</v>
      </c>
      <c r="AI83" s="453">
        <f t="shared" si="21"/>
        <v>1076177.3699999999</v>
      </c>
      <c r="AJ83" s="453">
        <f t="shared" si="21"/>
        <v>1318727.0899999999</v>
      </c>
      <c r="AK83" s="453">
        <f t="shared" si="21"/>
        <v>1704495.25</v>
      </c>
      <c r="AL83" s="453">
        <f t="shared" si="21"/>
        <v>986411.16</v>
      </c>
      <c r="AM83" s="453">
        <f t="shared" si="21"/>
        <v>1504182.44</v>
      </c>
      <c r="AN83" s="453">
        <f t="shared" si="21"/>
        <v>1370125.39</v>
      </c>
    </row>
    <row r="84" spans="1:40" s="461" customFormat="1" ht="11.25" hidden="1" outlineLevel="2" collapsed="1" x14ac:dyDescent="0.2">
      <c r="B84" s="461" t="s">
        <v>1754</v>
      </c>
      <c r="C84" s="461" t="s">
        <v>1755</v>
      </c>
      <c r="S84" s="462">
        <v>1902113.82</v>
      </c>
      <c r="AE84" s="462">
        <v>2317424.0699999998</v>
      </c>
    </row>
    <row r="85" spans="1:40" s="461" customFormat="1" ht="11.25" hidden="1" outlineLevel="2" collapsed="1" x14ac:dyDescent="0.2">
      <c r="B85" s="461" t="s">
        <v>1756</v>
      </c>
      <c r="C85" s="461" t="s">
        <v>1757</v>
      </c>
      <c r="S85" s="462">
        <f>ABS(S84) - ABS(S83)</f>
        <v>867514.7300000001</v>
      </c>
      <c r="AE85" s="462">
        <f>ABS(AE84) - ABS(AE83)</f>
        <v>1235475.4599999997</v>
      </c>
    </row>
    <row r="86" spans="1:40" hidden="1" outlineLevel="4" collapsed="1" x14ac:dyDescent="0.25">
      <c r="A86" s="452">
        <v>1348</v>
      </c>
      <c r="B86" t="s">
        <v>961</v>
      </c>
      <c r="C86" t="s">
        <v>962</v>
      </c>
      <c r="D86" t="s">
        <v>1674</v>
      </c>
      <c r="E86" s="453">
        <f>S86</f>
        <v>0</v>
      </c>
      <c r="F86" s="453">
        <f>AE86</f>
        <v>109791.75</v>
      </c>
      <c r="G86" s="453">
        <f>AN86</f>
        <v>78650</v>
      </c>
      <c r="H86" s="453">
        <v>0</v>
      </c>
      <c r="I86" s="453">
        <v>0</v>
      </c>
      <c r="J86" s="453">
        <v>0</v>
      </c>
      <c r="K86" s="453">
        <v>0</v>
      </c>
      <c r="L86" s="453">
        <v>0</v>
      </c>
      <c r="M86" s="453">
        <v>0</v>
      </c>
      <c r="N86" s="453">
        <v>0</v>
      </c>
      <c r="O86" s="453">
        <v>0</v>
      </c>
      <c r="P86" s="453">
        <v>0</v>
      </c>
      <c r="Q86" s="453">
        <v>0</v>
      </c>
      <c r="R86" s="453">
        <v>0</v>
      </c>
      <c r="S86" s="453">
        <v>0</v>
      </c>
      <c r="AC86" s="453">
        <v>109884</v>
      </c>
      <c r="AD86" s="453">
        <v>109884</v>
      </c>
      <c r="AE86" s="453">
        <v>109791.75</v>
      </c>
      <c r="AF86" s="453">
        <v>109791.75</v>
      </c>
      <c r="AG86" s="453">
        <v>109791.75</v>
      </c>
      <c r="AH86" s="453">
        <v>78557.75</v>
      </c>
      <c r="AI86" s="453">
        <v>78557.75</v>
      </c>
      <c r="AJ86" s="453">
        <v>78557.75</v>
      </c>
      <c r="AK86" s="453">
        <v>78650</v>
      </c>
      <c r="AL86" s="453">
        <v>78650</v>
      </c>
      <c r="AM86" s="453">
        <v>78650</v>
      </c>
      <c r="AN86" s="453">
        <v>78650</v>
      </c>
    </row>
    <row r="87" spans="1:40" hidden="1" outlineLevel="3" collapsed="1" x14ac:dyDescent="0.25">
      <c r="B87" t="s">
        <v>963</v>
      </c>
      <c r="C87" t="s">
        <v>964</v>
      </c>
      <c r="D87" t="s">
        <v>1674</v>
      </c>
      <c r="E87" s="453">
        <f>S87</f>
        <v>0</v>
      </c>
      <c r="F87" s="453">
        <f>AE87</f>
        <v>109791.75</v>
      </c>
      <c r="G87" s="453">
        <f>AN87</f>
        <v>78650</v>
      </c>
      <c r="H87" s="453">
        <f t="shared" ref="H87:AN87" si="22">SUM(H86:H86)</f>
        <v>0</v>
      </c>
      <c r="I87" s="453">
        <f t="shared" si="22"/>
        <v>0</v>
      </c>
      <c r="J87" s="453">
        <f t="shared" si="22"/>
        <v>0</v>
      </c>
      <c r="K87" s="453">
        <f t="shared" si="22"/>
        <v>0</v>
      </c>
      <c r="L87" s="453">
        <f t="shared" si="22"/>
        <v>0</v>
      </c>
      <c r="M87" s="453">
        <f t="shared" si="22"/>
        <v>0</v>
      </c>
      <c r="N87" s="453">
        <f t="shared" si="22"/>
        <v>0</v>
      </c>
      <c r="O87" s="453">
        <f t="shared" si="22"/>
        <v>0</v>
      </c>
      <c r="P87" s="453">
        <f t="shared" si="22"/>
        <v>0</v>
      </c>
      <c r="Q87" s="453">
        <f t="shared" si="22"/>
        <v>0</v>
      </c>
      <c r="R87" s="453">
        <f t="shared" si="22"/>
        <v>0</v>
      </c>
      <c r="S87" s="453">
        <f t="shared" si="22"/>
        <v>0</v>
      </c>
      <c r="T87" s="453">
        <f t="shared" si="22"/>
        <v>0</v>
      </c>
      <c r="U87" s="453">
        <f t="shared" si="22"/>
        <v>0</v>
      </c>
      <c r="V87" s="453">
        <f t="shared" si="22"/>
        <v>0</v>
      </c>
      <c r="W87" s="453">
        <f t="shared" si="22"/>
        <v>0</v>
      </c>
      <c r="X87" s="453">
        <f t="shared" si="22"/>
        <v>0</v>
      </c>
      <c r="Y87" s="453">
        <f t="shared" si="22"/>
        <v>0</v>
      </c>
      <c r="Z87" s="453">
        <f t="shared" si="22"/>
        <v>0</v>
      </c>
      <c r="AA87" s="453">
        <f t="shared" si="22"/>
        <v>0</v>
      </c>
      <c r="AB87" s="453">
        <f t="shared" si="22"/>
        <v>0</v>
      </c>
      <c r="AC87" s="453">
        <f t="shared" si="22"/>
        <v>109884</v>
      </c>
      <c r="AD87" s="453">
        <f t="shared" si="22"/>
        <v>109884</v>
      </c>
      <c r="AE87" s="453">
        <f t="shared" si="22"/>
        <v>109791.75</v>
      </c>
      <c r="AF87" s="453">
        <f t="shared" si="22"/>
        <v>109791.75</v>
      </c>
      <c r="AG87" s="453">
        <f t="shared" si="22"/>
        <v>109791.75</v>
      </c>
      <c r="AH87" s="453">
        <f t="shared" si="22"/>
        <v>78557.75</v>
      </c>
      <c r="AI87" s="453">
        <f t="shared" si="22"/>
        <v>78557.75</v>
      </c>
      <c r="AJ87" s="453">
        <f t="shared" si="22"/>
        <v>78557.75</v>
      </c>
      <c r="AK87" s="453">
        <f t="shared" si="22"/>
        <v>78650</v>
      </c>
      <c r="AL87" s="453">
        <f t="shared" si="22"/>
        <v>78650</v>
      </c>
      <c r="AM87" s="453">
        <f t="shared" si="22"/>
        <v>78650</v>
      </c>
      <c r="AN87" s="453">
        <f t="shared" si="22"/>
        <v>78650</v>
      </c>
    </row>
    <row r="88" spans="1:40" s="461" customFormat="1" ht="11.25" hidden="1" outlineLevel="3" collapsed="1" x14ac:dyDescent="0.2">
      <c r="B88" s="461" t="s">
        <v>1758</v>
      </c>
      <c r="C88" s="461" t="s">
        <v>1759</v>
      </c>
      <c r="S88" s="462">
        <v>0</v>
      </c>
      <c r="AE88" s="462">
        <v>109791.75</v>
      </c>
    </row>
    <row r="89" spans="1:40" s="461" customFormat="1" ht="11.25" hidden="1" outlineLevel="3" collapsed="1" x14ac:dyDescent="0.2">
      <c r="B89" s="461" t="s">
        <v>1760</v>
      </c>
      <c r="C89" s="461" t="s">
        <v>1761</v>
      </c>
      <c r="S89" s="462">
        <f>ABS(S88) - ABS(S87)</f>
        <v>0</v>
      </c>
      <c r="AE89" s="462">
        <f>ABS(AE88) - ABS(AE87)</f>
        <v>0</v>
      </c>
    </row>
    <row r="90" spans="1:40" hidden="1" outlineLevel="2" collapsed="1" x14ac:dyDescent="0.25">
      <c r="B90" t="s">
        <v>965</v>
      </c>
      <c r="C90" t="s">
        <v>966</v>
      </c>
      <c r="D90" t="s">
        <v>1674</v>
      </c>
      <c r="E90" s="453">
        <f>S90</f>
        <v>0</v>
      </c>
      <c r="F90" s="453">
        <f>AE90</f>
        <v>109791.75</v>
      </c>
      <c r="G90" s="453">
        <f>AN90</f>
        <v>78650</v>
      </c>
      <c r="H90" s="453">
        <f t="shared" ref="H90:AN90" si="23">SUM(H87:H87)</f>
        <v>0</v>
      </c>
      <c r="I90" s="453">
        <f t="shared" si="23"/>
        <v>0</v>
      </c>
      <c r="J90" s="453">
        <f t="shared" si="23"/>
        <v>0</v>
      </c>
      <c r="K90" s="453">
        <f t="shared" si="23"/>
        <v>0</v>
      </c>
      <c r="L90" s="453">
        <f t="shared" si="23"/>
        <v>0</v>
      </c>
      <c r="M90" s="453">
        <f t="shared" si="23"/>
        <v>0</v>
      </c>
      <c r="N90" s="453">
        <f t="shared" si="23"/>
        <v>0</v>
      </c>
      <c r="O90" s="453">
        <f t="shared" si="23"/>
        <v>0</v>
      </c>
      <c r="P90" s="453">
        <f t="shared" si="23"/>
        <v>0</v>
      </c>
      <c r="Q90" s="453">
        <f t="shared" si="23"/>
        <v>0</v>
      </c>
      <c r="R90" s="453">
        <f t="shared" si="23"/>
        <v>0</v>
      </c>
      <c r="S90" s="453">
        <f t="shared" si="23"/>
        <v>0</v>
      </c>
      <c r="T90" s="453">
        <f t="shared" si="23"/>
        <v>0</v>
      </c>
      <c r="U90" s="453">
        <f t="shared" si="23"/>
        <v>0</v>
      </c>
      <c r="V90" s="453">
        <f t="shared" si="23"/>
        <v>0</v>
      </c>
      <c r="W90" s="453">
        <f t="shared" si="23"/>
        <v>0</v>
      </c>
      <c r="X90" s="453">
        <f t="shared" si="23"/>
        <v>0</v>
      </c>
      <c r="Y90" s="453">
        <f t="shared" si="23"/>
        <v>0</v>
      </c>
      <c r="Z90" s="453">
        <f t="shared" si="23"/>
        <v>0</v>
      </c>
      <c r="AA90" s="453">
        <f t="shared" si="23"/>
        <v>0</v>
      </c>
      <c r="AB90" s="453">
        <f t="shared" si="23"/>
        <v>0</v>
      </c>
      <c r="AC90" s="453">
        <f t="shared" si="23"/>
        <v>109884</v>
      </c>
      <c r="AD90" s="453">
        <f t="shared" si="23"/>
        <v>109884</v>
      </c>
      <c r="AE90" s="453">
        <f t="shared" si="23"/>
        <v>109791.75</v>
      </c>
      <c r="AF90" s="453">
        <f t="shared" si="23"/>
        <v>109791.75</v>
      </c>
      <c r="AG90" s="453">
        <f t="shared" si="23"/>
        <v>109791.75</v>
      </c>
      <c r="AH90" s="453">
        <f t="shared" si="23"/>
        <v>78557.75</v>
      </c>
      <c r="AI90" s="453">
        <f t="shared" si="23"/>
        <v>78557.75</v>
      </c>
      <c r="AJ90" s="453">
        <f t="shared" si="23"/>
        <v>78557.75</v>
      </c>
      <c r="AK90" s="453">
        <f t="shared" si="23"/>
        <v>78650</v>
      </c>
      <c r="AL90" s="453">
        <f t="shared" si="23"/>
        <v>78650</v>
      </c>
      <c r="AM90" s="453">
        <f t="shared" si="23"/>
        <v>78650</v>
      </c>
      <c r="AN90" s="453">
        <f t="shared" si="23"/>
        <v>78650</v>
      </c>
    </row>
    <row r="91" spans="1:40" s="461" customFormat="1" ht="11.25" hidden="1" outlineLevel="2" collapsed="1" x14ac:dyDescent="0.2">
      <c r="B91" s="461" t="s">
        <v>1762</v>
      </c>
      <c r="C91" s="461" t="s">
        <v>1763</v>
      </c>
      <c r="AE91" s="462">
        <v>109791.75</v>
      </c>
    </row>
    <row r="92" spans="1:40" s="461" customFormat="1" ht="11.25" hidden="1" outlineLevel="2" collapsed="1" x14ac:dyDescent="0.2">
      <c r="B92" s="461" t="s">
        <v>1764</v>
      </c>
      <c r="C92" s="461" t="s">
        <v>1765</v>
      </c>
      <c r="AE92" s="462">
        <f>ABS(AE91) - ABS(AE90)</f>
        <v>0</v>
      </c>
    </row>
    <row r="93" spans="1:40" hidden="1" outlineLevel="3" collapsed="1" x14ac:dyDescent="0.25">
      <c r="A93" s="452">
        <v>1000</v>
      </c>
      <c r="B93" t="s">
        <v>967</v>
      </c>
      <c r="C93" t="s">
        <v>968</v>
      </c>
      <c r="D93" t="s">
        <v>1674</v>
      </c>
      <c r="E93" s="453">
        <f t="shared" ref="E93:E98" si="24">S93</f>
        <v>106.38</v>
      </c>
      <c r="F93" s="453">
        <f t="shared" ref="F93:F98" si="25">AE93</f>
        <v>86.17</v>
      </c>
      <c r="G93" s="453">
        <f t="shared" ref="G93:G98" si="26">AN93</f>
        <v>48.59</v>
      </c>
      <c r="H93" s="453">
        <v>77.47</v>
      </c>
      <c r="I93" s="453">
        <v>992.47</v>
      </c>
      <c r="J93" s="453">
        <v>922.6</v>
      </c>
      <c r="K93" s="453">
        <v>838.23</v>
      </c>
      <c r="L93" s="453">
        <v>806.6</v>
      </c>
      <c r="M93" s="453">
        <v>806.6</v>
      </c>
      <c r="N93" s="453">
        <v>731.85</v>
      </c>
      <c r="O93" s="453">
        <v>441.55</v>
      </c>
      <c r="P93" s="453">
        <v>142.65</v>
      </c>
      <c r="Q93" s="453">
        <v>262.97000000000003</v>
      </c>
      <c r="R93" s="453">
        <v>598.91</v>
      </c>
      <c r="S93" s="453">
        <v>106.38</v>
      </c>
      <c r="T93" s="453">
        <v>35.770000000000003</v>
      </c>
      <c r="U93" s="453">
        <v>581.66999999999996</v>
      </c>
      <c r="V93" s="453">
        <v>251.45</v>
      </c>
      <c r="W93" s="453">
        <v>245.65</v>
      </c>
      <c r="X93" s="453">
        <v>191.31</v>
      </c>
      <c r="Y93" s="453">
        <v>324.04000000000002</v>
      </c>
      <c r="Z93" s="453">
        <v>84.48</v>
      </c>
      <c r="AA93" s="453">
        <v>60.56</v>
      </c>
      <c r="AB93" s="453">
        <v>27.85</v>
      </c>
      <c r="AC93" s="453">
        <v>20.350000000000001</v>
      </c>
      <c r="AD93" s="453">
        <v>183.17</v>
      </c>
      <c r="AE93" s="453">
        <v>86.17</v>
      </c>
      <c r="AF93" s="453">
        <v>86.17</v>
      </c>
      <c r="AG93" s="453">
        <v>105.17</v>
      </c>
      <c r="AH93" s="453">
        <v>75.89</v>
      </c>
      <c r="AI93" s="453">
        <v>75.89</v>
      </c>
      <c r="AJ93" s="453">
        <v>75.89</v>
      </c>
      <c r="AK93" s="453">
        <v>63.59</v>
      </c>
      <c r="AL93" s="453">
        <v>63.59</v>
      </c>
      <c r="AM93" s="453">
        <v>48.59</v>
      </c>
      <c r="AN93" s="453">
        <v>48.59</v>
      </c>
    </row>
    <row r="94" spans="1:40" hidden="1" outlineLevel="3" collapsed="1" x14ac:dyDescent="0.25">
      <c r="A94" s="452">
        <v>1100</v>
      </c>
      <c r="B94" t="s">
        <v>969</v>
      </c>
      <c r="C94" t="s">
        <v>969</v>
      </c>
      <c r="D94" t="s">
        <v>1674</v>
      </c>
      <c r="E94" s="453">
        <f t="shared" si="24"/>
        <v>366738.97</v>
      </c>
      <c r="F94" s="453">
        <f t="shared" si="25"/>
        <v>187954.81</v>
      </c>
      <c r="G94" s="453">
        <f t="shared" si="26"/>
        <v>169881.95</v>
      </c>
      <c r="H94" s="453">
        <v>325340.48</v>
      </c>
      <c r="I94" s="453">
        <v>354782.23</v>
      </c>
      <c r="J94" s="453">
        <v>383982.39</v>
      </c>
      <c r="K94" s="453">
        <v>444795.15</v>
      </c>
      <c r="L94" s="453">
        <v>446530.01</v>
      </c>
      <c r="M94" s="453">
        <v>478756.85</v>
      </c>
      <c r="N94" s="453">
        <v>485308.77</v>
      </c>
      <c r="O94" s="453">
        <v>508342.28</v>
      </c>
      <c r="P94" s="453">
        <v>512097.73</v>
      </c>
      <c r="Q94" s="453">
        <v>314351.71000000002</v>
      </c>
      <c r="R94" s="453">
        <v>317570.71999999997</v>
      </c>
      <c r="S94" s="453">
        <v>366738.97</v>
      </c>
      <c r="T94" s="453">
        <v>373101.53</v>
      </c>
      <c r="U94" s="453">
        <v>375299.26</v>
      </c>
      <c r="V94" s="453">
        <v>319476.76</v>
      </c>
      <c r="W94" s="453">
        <v>329449.93</v>
      </c>
      <c r="X94" s="453">
        <v>287246.77</v>
      </c>
      <c r="Y94" s="453">
        <v>335690.61</v>
      </c>
      <c r="Z94" s="453">
        <v>287373.03000000003</v>
      </c>
      <c r="AA94" s="453">
        <v>288575.99</v>
      </c>
      <c r="AB94" s="453">
        <v>233104.07</v>
      </c>
      <c r="AC94" s="453">
        <v>136898.28</v>
      </c>
      <c r="AD94" s="453">
        <v>185201.09</v>
      </c>
      <c r="AE94" s="453">
        <v>187954.81</v>
      </c>
      <c r="AF94" s="453">
        <v>189525.62</v>
      </c>
      <c r="AG94" s="453">
        <v>134222.67000000001</v>
      </c>
      <c r="AH94" s="453">
        <v>60941.760000000002</v>
      </c>
      <c r="AI94" s="453">
        <v>68438.34</v>
      </c>
      <c r="AJ94" s="453">
        <v>119825.93</v>
      </c>
      <c r="AK94" s="453">
        <v>124909.36</v>
      </c>
      <c r="AL94" s="453">
        <v>127749.75</v>
      </c>
      <c r="AM94" s="453">
        <v>127822.63</v>
      </c>
      <c r="AN94" s="453">
        <v>169881.95</v>
      </c>
    </row>
    <row r="95" spans="1:40" hidden="1" outlineLevel="3" collapsed="1" x14ac:dyDescent="0.25">
      <c r="A95" s="452">
        <v>1200</v>
      </c>
      <c r="B95" t="s">
        <v>970</v>
      </c>
      <c r="C95" t="s">
        <v>971</v>
      </c>
      <c r="D95" t="s">
        <v>1674</v>
      </c>
      <c r="E95" s="453">
        <f t="shared" si="24"/>
        <v>2008282.57</v>
      </c>
      <c r="F95" s="453">
        <f t="shared" si="25"/>
        <v>626775.54</v>
      </c>
      <c r="G95" s="453">
        <f t="shared" si="26"/>
        <v>1270330.73</v>
      </c>
      <c r="H95" s="453">
        <v>2247397.5499999998</v>
      </c>
      <c r="I95" s="453">
        <v>1669178.51</v>
      </c>
      <c r="J95" s="453">
        <v>1548570.88</v>
      </c>
      <c r="K95" s="453">
        <v>1611655.07</v>
      </c>
      <c r="L95" s="453">
        <v>1197829.58</v>
      </c>
      <c r="M95" s="453">
        <v>1258023.28</v>
      </c>
      <c r="N95" s="453">
        <v>1230862.78</v>
      </c>
      <c r="O95" s="453">
        <v>900137.51</v>
      </c>
      <c r="P95" s="453">
        <v>1197057.46</v>
      </c>
      <c r="Q95" s="453">
        <v>1304886.1499999999</v>
      </c>
      <c r="R95" s="453">
        <v>962274.56</v>
      </c>
      <c r="S95" s="453">
        <v>2008282.57</v>
      </c>
      <c r="T95" s="453">
        <v>1948648.99</v>
      </c>
      <c r="U95" s="453">
        <v>1781459.93</v>
      </c>
      <c r="V95" s="453">
        <v>2106252.65</v>
      </c>
      <c r="W95" s="453">
        <v>1472512.9</v>
      </c>
      <c r="X95" s="453">
        <v>1907012.71</v>
      </c>
      <c r="Y95" s="453">
        <v>1541530.42</v>
      </c>
      <c r="Z95" s="453">
        <v>1640183.64</v>
      </c>
      <c r="AA95" s="453">
        <v>1341648.28</v>
      </c>
      <c r="AB95" s="453">
        <v>1136672.0900000001</v>
      </c>
      <c r="AC95" s="453">
        <v>681750.99</v>
      </c>
      <c r="AD95" s="453">
        <v>871608.77</v>
      </c>
      <c r="AE95" s="453">
        <v>626775.54</v>
      </c>
      <c r="AF95" s="453">
        <v>869487.4</v>
      </c>
      <c r="AG95" s="453">
        <v>792962.04</v>
      </c>
      <c r="AH95" s="453">
        <v>827955.39</v>
      </c>
      <c r="AI95" s="453">
        <v>944230.78</v>
      </c>
      <c r="AJ95" s="453">
        <v>798852.42</v>
      </c>
      <c r="AK95" s="453">
        <v>633405.52</v>
      </c>
      <c r="AL95" s="453">
        <v>1341313.42</v>
      </c>
      <c r="AM95" s="453">
        <v>1185683.95</v>
      </c>
      <c r="AN95" s="453">
        <v>1270330.73</v>
      </c>
    </row>
    <row r="96" spans="1:40" hidden="1" outlineLevel="3" collapsed="1" x14ac:dyDescent="0.25">
      <c r="A96" s="452">
        <v>1210</v>
      </c>
      <c r="B96" t="s">
        <v>972</v>
      </c>
      <c r="C96" t="s">
        <v>972</v>
      </c>
      <c r="D96" t="s">
        <v>1674</v>
      </c>
      <c r="E96" s="453">
        <f t="shared" si="24"/>
        <v>69357.97</v>
      </c>
      <c r="F96" s="453">
        <f t="shared" si="25"/>
        <v>113807.93</v>
      </c>
      <c r="G96" s="453">
        <f t="shared" si="26"/>
        <v>62539.05</v>
      </c>
      <c r="H96" s="453">
        <v>264904.24</v>
      </c>
      <c r="I96" s="453">
        <v>684447.85</v>
      </c>
      <c r="J96" s="453">
        <v>379641.87</v>
      </c>
      <c r="K96" s="453">
        <v>334030.59000000003</v>
      </c>
      <c r="L96" s="453">
        <v>276267.28000000003</v>
      </c>
      <c r="M96" s="453">
        <v>397189.34</v>
      </c>
      <c r="N96" s="453">
        <v>238875.09</v>
      </c>
      <c r="O96" s="453">
        <v>264594.52</v>
      </c>
      <c r="P96" s="453">
        <v>148168.14000000001</v>
      </c>
      <c r="Q96" s="453">
        <v>40249.89</v>
      </c>
      <c r="R96" s="453">
        <v>202608.94</v>
      </c>
      <c r="S96" s="453">
        <v>69357.97</v>
      </c>
      <c r="T96" s="453">
        <v>232804.02</v>
      </c>
      <c r="U96" s="453">
        <v>203550.32</v>
      </c>
      <c r="V96" s="453">
        <v>407833.36</v>
      </c>
      <c r="W96" s="453">
        <v>164413.09</v>
      </c>
      <c r="X96" s="453">
        <v>66379.55</v>
      </c>
      <c r="Y96" s="453">
        <v>110200.98</v>
      </c>
      <c r="Z96" s="453">
        <v>73582.38</v>
      </c>
      <c r="AA96" s="453">
        <v>173878.56</v>
      </c>
      <c r="AB96" s="453">
        <v>47110.38</v>
      </c>
      <c r="AC96" s="453">
        <v>51439.88</v>
      </c>
      <c r="AD96" s="453">
        <v>38107.360000000001</v>
      </c>
      <c r="AE96" s="453">
        <v>113807.93</v>
      </c>
      <c r="AF96" s="453">
        <v>281731.90000000002</v>
      </c>
      <c r="AG96" s="453">
        <v>171812.59</v>
      </c>
      <c r="AH96" s="453">
        <v>59112.45</v>
      </c>
      <c r="AI96" s="453">
        <v>42964.36</v>
      </c>
      <c r="AJ96" s="453">
        <v>44311.32</v>
      </c>
      <c r="AK96" s="453">
        <v>49511.92</v>
      </c>
      <c r="AL96" s="453">
        <v>128219.74</v>
      </c>
      <c r="AM96" s="453">
        <v>102220.74</v>
      </c>
      <c r="AN96" s="453">
        <v>62539.05</v>
      </c>
    </row>
    <row r="97" spans="1:40" hidden="1" outlineLevel="3" collapsed="1" x14ac:dyDescent="0.25">
      <c r="A97" s="452">
        <v>1220</v>
      </c>
      <c r="B97" t="s">
        <v>973</v>
      </c>
      <c r="C97" t="s">
        <v>973</v>
      </c>
      <c r="D97" t="s">
        <v>1674</v>
      </c>
      <c r="E97" s="453">
        <f t="shared" si="24"/>
        <v>271081.40999999997</v>
      </c>
      <c r="F97" s="453">
        <f t="shared" si="25"/>
        <v>75436.39</v>
      </c>
      <c r="G97" s="453">
        <f t="shared" si="26"/>
        <v>206115.27</v>
      </c>
      <c r="H97" s="453">
        <v>209082.48</v>
      </c>
      <c r="I97" s="453">
        <v>265856.67</v>
      </c>
      <c r="J97" s="453">
        <v>323603.59999999998</v>
      </c>
      <c r="K97" s="453">
        <v>157139.81</v>
      </c>
      <c r="L97" s="453">
        <v>186631.52</v>
      </c>
      <c r="M97" s="453">
        <v>250125.76</v>
      </c>
      <c r="N97" s="453">
        <v>278963.19</v>
      </c>
      <c r="O97" s="453">
        <v>336971.89</v>
      </c>
      <c r="P97" s="453">
        <v>303334.81</v>
      </c>
      <c r="Q97" s="453">
        <v>265885.78000000003</v>
      </c>
      <c r="R97" s="453">
        <v>307574.34000000003</v>
      </c>
      <c r="S97" s="453">
        <v>271081.40999999997</v>
      </c>
      <c r="T97" s="453">
        <v>336542.19</v>
      </c>
      <c r="U97" s="453">
        <v>398548.31</v>
      </c>
      <c r="V97" s="453">
        <v>289198.15999999997</v>
      </c>
      <c r="W97" s="453">
        <v>340694.42</v>
      </c>
      <c r="X97" s="453">
        <v>326734.65999999997</v>
      </c>
      <c r="Y97" s="453">
        <v>258474.69</v>
      </c>
      <c r="Z97" s="453">
        <v>301733.56</v>
      </c>
      <c r="AA97" s="453">
        <v>251466.12</v>
      </c>
      <c r="AB97" s="453">
        <v>216127.69</v>
      </c>
      <c r="AC97" s="453">
        <v>192147.64</v>
      </c>
      <c r="AD97" s="453">
        <v>202173.29</v>
      </c>
      <c r="AE97" s="453">
        <v>75436.39</v>
      </c>
      <c r="AF97" s="453">
        <v>67297.759999999995</v>
      </c>
      <c r="AG97" s="453">
        <v>119803.76</v>
      </c>
      <c r="AH97" s="453">
        <v>100815.6</v>
      </c>
      <c r="AI97" s="453">
        <v>106034.94</v>
      </c>
      <c r="AJ97" s="453">
        <v>64887.18</v>
      </c>
      <c r="AK97" s="453">
        <v>66368.399999999994</v>
      </c>
      <c r="AL97" s="453">
        <v>110434.42</v>
      </c>
      <c r="AM97" s="453">
        <v>152065.18</v>
      </c>
      <c r="AN97" s="453">
        <v>206115.27</v>
      </c>
    </row>
    <row r="98" spans="1:40" hidden="1" outlineLevel="2" collapsed="1" x14ac:dyDescent="0.25">
      <c r="B98" t="s">
        <v>974</v>
      </c>
      <c r="C98" t="s">
        <v>975</v>
      </c>
      <c r="D98" t="s">
        <v>1674</v>
      </c>
      <c r="E98" s="453">
        <f t="shared" si="24"/>
        <v>2715567.3000000003</v>
      </c>
      <c r="F98" s="453">
        <f t="shared" si="25"/>
        <v>1004060.84</v>
      </c>
      <c r="G98" s="453">
        <f t="shared" si="26"/>
        <v>1708915.59</v>
      </c>
      <c r="H98" s="453">
        <f t="shared" ref="H98:AN98" si="27">SUM(H93:H97)</f>
        <v>3046802.22</v>
      </c>
      <c r="I98" s="453">
        <f t="shared" si="27"/>
        <v>2975257.73</v>
      </c>
      <c r="J98" s="453">
        <f t="shared" si="27"/>
        <v>2636721.34</v>
      </c>
      <c r="K98" s="453">
        <f t="shared" si="27"/>
        <v>2548458.85</v>
      </c>
      <c r="L98" s="453">
        <f t="shared" si="27"/>
        <v>2108064.9899999998</v>
      </c>
      <c r="M98" s="453">
        <f t="shared" si="27"/>
        <v>2384901.83</v>
      </c>
      <c r="N98" s="453">
        <f t="shared" si="27"/>
        <v>2234741.6800000002</v>
      </c>
      <c r="O98" s="453">
        <f t="shared" si="27"/>
        <v>2010487.75</v>
      </c>
      <c r="P98" s="453">
        <f t="shared" si="27"/>
        <v>2160800.79</v>
      </c>
      <c r="Q98" s="453">
        <f t="shared" si="27"/>
        <v>1925636.4999999998</v>
      </c>
      <c r="R98" s="453">
        <f t="shared" si="27"/>
        <v>1790627.47</v>
      </c>
      <c r="S98" s="453">
        <f t="shared" si="27"/>
        <v>2715567.3000000003</v>
      </c>
      <c r="T98" s="453">
        <f t="shared" si="27"/>
        <v>2891132.5</v>
      </c>
      <c r="U98" s="453">
        <f t="shared" si="27"/>
        <v>2759439.4899999998</v>
      </c>
      <c r="V98" s="453">
        <f t="shared" si="27"/>
        <v>3123012.38</v>
      </c>
      <c r="W98" s="453">
        <f t="shared" si="27"/>
        <v>2307315.9900000002</v>
      </c>
      <c r="X98" s="453">
        <f t="shared" si="27"/>
        <v>2587565</v>
      </c>
      <c r="Y98" s="453">
        <f t="shared" si="27"/>
        <v>2246220.7399999998</v>
      </c>
      <c r="Z98" s="453">
        <f t="shared" si="27"/>
        <v>2302957.09</v>
      </c>
      <c r="AA98" s="453">
        <f t="shared" si="27"/>
        <v>2055629.5100000002</v>
      </c>
      <c r="AB98" s="453">
        <f t="shared" si="27"/>
        <v>1633042.0799999998</v>
      </c>
      <c r="AC98" s="453">
        <f t="shared" si="27"/>
        <v>1062257.1400000001</v>
      </c>
      <c r="AD98" s="453">
        <f t="shared" si="27"/>
        <v>1297273.6800000002</v>
      </c>
      <c r="AE98" s="453">
        <f t="shared" si="27"/>
        <v>1004060.84</v>
      </c>
      <c r="AF98" s="453">
        <f t="shared" si="27"/>
        <v>1408128.8499999999</v>
      </c>
      <c r="AG98" s="453">
        <f t="shared" si="27"/>
        <v>1218906.2300000002</v>
      </c>
      <c r="AH98" s="453">
        <f t="shared" si="27"/>
        <v>1048901.0900000001</v>
      </c>
      <c r="AI98" s="453">
        <f t="shared" si="27"/>
        <v>1161744.31</v>
      </c>
      <c r="AJ98" s="453">
        <f t="shared" si="27"/>
        <v>1027952.74</v>
      </c>
      <c r="AK98" s="453">
        <f t="shared" si="27"/>
        <v>874258.79</v>
      </c>
      <c r="AL98" s="453">
        <f t="shared" si="27"/>
        <v>1707780.92</v>
      </c>
      <c r="AM98" s="453">
        <f t="shared" si="27"/>
        <v>1567841.0899999999</v>
      </c>
      <c r="AN98" s="453">
        <f t="shared" si="27"/>
        <v>1708915.59</v>
      </c>
    </row>
    <row r="99" spans="1:40" s="461" customFormat="1" ht="11.25" hidden="1" outlineLevel="2" collapsed="1" x14ac:dyDescent="0.2">
      <c r="B99" s="461" t="s">
        <v>1766</v>
      </c>
      <c r="C99" s="461" t="s">
        <v>1767</v>
      </c>
      <c r="S99" s="462">
        <v>2715567.3</v>
      </c>
      <c r="AE99" s="462">
        <v>1004060.84</v>
      </c>
    </row>
    <row r="100" spans="1:40" s="461" customFormat="1" ht="11.25" hidden="1" outlineLevel="2" collapsed="1" x14ac:dyDescent="0.2">
      <c r="B100" s="461" t="s">
        <v>1768</v>
      </c>
      <c r="C100" s="461" t="s">
        <v>1769</v>
      </c>
      <c r="S100" s="462">
        <f>ABS(S99) - ABS(S98)</f>
        <v>0</v>
      </c>
      <c r="AE100" s="462">
        <f>ABS(AE99) - ABS(AE98)</f>
        <v>0</v>
      </c>
    </row>
    <row r="101" spans="1:40" outlineLevel="1" collapsed="1" x14ac:dyDescent="0.25">
      <c r="B101" t="s">
        <v>976</v>
      </c>
      <c r="C101" t="s">
        <v>977</v>
      </c>
      <c r="D101" t="s">
        <v>1674</v>
      </c>
      <c r="E101" s="453">
        <f>S101</f>
        <v>6402275.04</v>
      </c>
      <c r="F101" s="453">
        <f>AE101</f>
        <v>6051684.8399999999</v>
      </c>
      <c r="G101" s="453">
        <f>AN101</f>
        <v>7013574.6199999992</v>
      </c>
      <c r="H101" s="453">
        <f t="shared" ref="H101:AN101" si="28">H61+H83+H90+H98</f>
        <v>6139897.8200000003</v>
      </c>
      <c r="I101" s="453">
        <f t="shared" si="28"/>
        <v>5878945.1300000008</v>
      </c>
      <c r="J101" s="453">
        <f t="shared" si="28"/>
        <v>5140346.43</v>
      </c>
      <c r="K101" s="453">
        <f t="shared" si="28"/>
        <v>5320733.99</v>
      </c>
      <c r="L101" s="453">
        <f t="shared" si="28"/>
        <v>4904838.6099999994</v>
      </c>
      <c r="M101" s="453">
        <f t="shared" si="28"/>
        <v>5799932.4900000002</v>
      </c>
      <c r="N101" s="453">
        <f t="shared" si="28"/>
        <v>5719888.96</v>
      </c>
      <c r="O101" s="453">
        <f t="shared" si="28"/>
        <v>5981867.0999999996</v>
      </c>
      <c r="P101" s="453">
        <f t="shared" si="28"/>
        <v>6097095.7599999998</v>
      </c>
      <c r="Q101" s="453">
        <f t="shared" si="28"/>
        <v>6012777.5499999998</v>
      </c>
      <c r="R101" s="453">
        <f t="shared" si="28"/>
        <v>6274552.3199999994</v>
      </c>
      <c r="S101" s="453">
        <f t="shared" si="28"/>
        <v>6402275.04</v>
      </c>
      <c r="T101" s="453">
        <f t="shared" si="28"/>
        <v>6518588.0099999998</v>
      </c>
      <c r="U101" s="453">
        <f t="shared" si="28"/>
        <v>6820014.5599999996</v>
      </c>
      <c r="V101" s="453">
        <f t="shared" si="28"/>
        <v>7230850.1399999997</v>
      </c>
      <c r="W101" s="453">
        <f t="shared" si="28"/>
        <v>6243896.6900000004</v>
      </c>
      <c r="X101" s="453">
        <f t="shared" si="28"/>
        <v>6203782.4000000004</v>
      </c>
      <c r="Y101" s="453">
        <f t="shared" si="28"/>
        <v>5850608</v>
      </c>
      <c r="Z101" s="453">
        <f t="shared" si="28"/>
        <v>4956330.55</v>
      </c>
      <c r="AA101" s="453">
        <f t="shared" si="28"/>
        <v>5156064.0200000005</v>
      </c>
      <c r="AB101" s="453">
        <f t="shared" si="28"/>
        <v>4833754.49</v>
      </c>
      <c r="AC101" s="453">
        <f t="shared" si="28"/>
        <v>4914729.3900000006</v>
      </c>
      <c r="AD101" s="453">
        <f t="shared" si="28"/>
        <v>4845993.790000001</v>
      </c>
      <c r="AE101" s="453">
        <f t="shared" si="28"/>
        <v>6051684.8399999999</v>
      </c>
      <c r="AF101" s="453">
        <f t="shared" si="28"/>
        <v>6046088.3299999991</v>
      </c>
      <c r="AG101" s="453">
        <f t="shared" si="28"/>
        <v>6057455.7700000005</v>
      </c>
      <c r="AH101" s="453">
        <f t="shared" si="28"/>
        <v>6022554.1399999997</v>
      </c>
      <c r="AI101" s="453">
        <f t="shared" si="28"/>
        <v>6172363.0700000003</v>
      </c>
      <c r="AJ101" s="453">
        <f t="shared" si="28"/>
        <v>6281121.2199999997</v>
      </c>
      <c r="AK101" s="453">
        <f t="shared" si="28"/>
        <v>6513287.6799999997</v>
      </c>
      <c r="AL101" s="453">
        <f t="shared" si="28"/>
        <v>6628725.7199999997</v>
      </c>
      <c r="AM101" s="453">
        <f t="shared" si="28"/>
        <v>7006557.1699999999</v>
      </c>
      <c r="AN101" s="453">
        <f t="shared" si="28"/>
        <v>7013574.6199999992</v>
      </c>
    </row>
    <row r="102" spans="1:40" s="461" customFormat="1" ht="11.25" outlineLevel="1" collapsed="1" x14ac:dyDescent="0.2">
      <c r="B102" s="461" t="s">
        <v>1770</v>
      </c>
      <c r="C102" s="461" t="s">
        <v>1771</v>
      </c>
      <c r="S102" s="462">
        <v>7269789.7699999996</v>
      </c>
      <c r="AE102" s="462">
        <v>7287160.2999999998</v>
      </c>
    </row>
    <row r="103" spans="1:40" s="461" customFormat="1" ht="11.25" outlineLevel="1" collapsed="1" x14ac:dyDescent="0.2">
      <c r="B103" s="461" t="s">
        <v>1772</v>
      </c>
      <c r="C103" s="461" t="s">
        <v>1773</v>
      </c>
      <c r="S103" s="462">
        <f>ABS(S102) - ABS(S101)</f>
        <v>867514.72999999952</v>
      </c>
      <c r="AE103" s="462">
        <f>ABS(AE102) - ABS(AE101)</f>
        <v>1235475.46</v>
      </c>
    </row>
    <row r="104" spans="1:40" hidden="1" outlineLevel="2" collapsed="1" x14ac:dyDescent="0.25">
      <c r="A104" s="452">
        <v>980</v>
      </c>
      <c r="B104" t="s">
        <v>978</v>
      </c>
      <c r="C104" t="s">
        <v>979</v>
      </c>
      <c r="D104" t="s">
        <v>1674</v>
      </c>
      <c r="E104" s="453">
        <f>S104</f>
        <v>65903.960000000006</v>
      </c>
      <c r="F104" s="453">
        <f>AE104</f>
        <v>62927.86</v>
      </c>
      <c r="G104" s="453">
        <f>AN104</f>
        <v>66908.600000000006</v>
      </c>
      <c r="H104" s="453">
        <v>43246.28</v>
      </c>
      <c r="I104" s="453">
        <v>37226.120000000003</v>
      </c>
      <c r="J104" s="453">
        <v>49082.9</v>
      </c>
      <c r="K104" s="453">
        <v>71745.600000000006</v>
      </c>
      <c r="L104" s="453">
        <v>65833.62</v>
      </c>
      <c r="M104" s="453">
        <v>62869.48</v>
      </c>
      <c r="N104" s="453">
        <v>59567.94</v>
      </c>
      <c r="O104" s="453">
        <v>72304.570000000007</v>
      </c>
      <c r="P104" s="453">
        <v>62266.3</v>
      </c>
      <c r="Q104" s="453">
        <v>85911.92</v>
      </c>
      <c r="R104" s="453">
        <v>77943.820000000007</v>
      </c>
      <c r="S104" s="453">
        <v>65903.960000000006</v>
      </c>
      <c r="T104" s="453">
        <v>92195.22</v>
      </c>
      <c r="U104" s="453">
        <v>95571.04</v>
      </c>
      <c r="V104" s="453">
        <v>87222.99</v>
      </c>
      <c r="W104" s="453">
        <v>84672.06</v>
      </c>
      <c r="X104" s="453">
        <v>74920.05</v>
      </c>
      <c r="Y104" s="453">
        <v>78408.42</v>
      </c>
      <c r="Z104" s="453">
        <v>75216.160000000003</v>
      </c>
      <c r="AA104" s="453">
        <v>66271.92</v>
      </c>
      <c r="AB104" s="453">
        <v>56557.03</v>
      </c>
      <c r="AC104" s="453">
        <v>80951.070000000007</v>
      </c>
      <c r="AD104" s="453">
        <v>71331.899999999994</v>
      </c>
      <c r="AE104" s="453">
        <v>62927.86</v>
      </c>
      <c r="AF104" s="453">
        <v>132470.49</v>
      </c>
      <c r="AG104" s="453">
        <v>122887.8</v>
      </c>
      <c r="AH104" s="453">
        <v>111715.41</v>
      </c>
      <c r="AI104" s="453">
        <v>110106.9</v>
      </c>
      <c r="AJ104" s="453">
        <v>100517.52</v>
      </c>
      <c r="AK104" s="453">
        <v>93141.82</v>
      </c>
      <c r="AL104" s="453">
        <v>83621.37</v>
      </c>
      <c r="AM104" s="453">
        <v>78102.84</v>
      </c>
      <c r="AN104" s="453">
        <v>66908.600000000006</v>
      </c>
    </row>
    <row r="105" spans="1:40" outlineLevel="1" collapsed="1" x14ac:dyDescent="0.25">
      <c r="B105" t="s">
        <v>980</v>
      </c>
      <c r="C105" t="s">
        <v>981</v>
      </c>
      <c r="D105" t="s">
        <v>1674</v>
      </c>
      <c r="E105" s="453">
        <f>S105</f>
        <v>65903.960000000006</v>
      </c>
      <c r="F105" s="453">
        <f>AE105</f>
        <v>62927.86</v>
      </c>
      <c r="G105" s="453">
        <f>AN105</f>
        <v>66908.600000000006</v>
      </c>
      <c r="H105" s="453">
        <f t="shared" ref="H105:AN105" si="29">SUM(H104:H104)</f>
        <v>43246.28</v>
      </c>
      <c r="I105" s="453">
        <f t="shared" si="29"/>
        <v>37226.120000000003</v>
      </c>
      <c r="J105" s="453">
        <f t="shared" si="29"/>
        <v>49082.9</v>
      </c>
      <c r="K105" s="453">
        <f t="shared" si="29"/>
        <v>71745.600000000006</v>
      </c>
      <c r="L105" s="453">
        <f t="shared" si="29"/>
        <v>65833.62</v>
      </c>
      <c r="M105" s="453">
        <f t="shared" si="29"/>
        <v>62869.48</v>
      </c>
      <c r="N105" s="453">
        <f t="shared" si="29"/>
        <v>59567.94</v>
      </c>
      <c r="O105" s="453">
        <f t="shared" si="29"/>
        <v>72304.570000000007</v>
      </c>
      <c r="P105" s="453">
        <f t="shared" si="29"/>
        <v>62266.3</v>
      </c>
      <c r="Q105" s="453">
        <f t="shared" si="29"/>
        <v>85911.92</v>
      </c>
      <c r="R105" s="453">
        <f t="shared" si="29"/>
        <v>77943.820000000007</v>
      </c>
      <c r="S105" s="453">
        <f t="shared" si="29"/>
        <v>65903.960000000006</v>
      </c>
      <c r="T105" s="453">
        <f t="shared" si="29"/>
        <v>92195.22</v>
      </c>
      <c r="U105" s="453">
        <f t="shared" si="29"/>
        <v>95571.04</v>
      </c>
      <c r="V105" s="453">
        <f t="shared" si="29"/>
        <v>87222.99</v>
      </c>
      <c r="W105" s="453">
        <f t="shared" si="29"/>
        <v>84672.06</v>
      </c>
      <c r="X105" s="453">
        <f t="shared" si="29"/>
        <v>74920.05</v>
      </c>
      <c r="Y105" s="453">
        <f t="shared" si="29"/>
        <v>78408.42</v>
      </c>
      <c r="Z105" s="453">
        <f t="shared" si="29"/>
        <v>75216.160000000003</v>
      </c>
      <c r="AA105" s="453">
        <f t="shared" si="29"/>
        <v>66271.92</v>
      </c>
      <c r="AB105" s="453">
        <f t="shared" si="29"/>
        <v>56557.03</v>
      </c>
      <c r="AC105" s="453">
        <f t="shared" si="29"/>
        <v>80951.070000000007</v>
      </c>
      <c r="AD105" s="453">
        <f t="shared" si="29"/>
        <v>71331.899999999994</v>
      </c>
      <c r="AE105" s="453">
        <f t="shared" si="29"/>
        <v>62927.86</v>
      </c>
      <c r="AF105" s="453">
        <f t="shared" si="29"/>
        <v>132470.49</v>
      </c>
      <c r="AG105" s="453">
        <f t="shared" si="29"/>
        <v>122887.8</v>
      </c>
      <c r="AH105" s="453">
        <f t="shared" si="29"/>
        <v>111715.41</v>
      </c>
      <c r="AI105" s="453">
        <f t="shared" si="29"/>
        <v>110106.9</v>
      </c>
      <c r="AJ105" s="453">
        <f t="shared" si="29"/>
        <v>100517.52</v>
      </c>
      <c r="AK105" s="453">
        <f t="shared" si="29"/>
        <v>93141.82</v>
      </c>
      <c r="AL105" s="453">
        <f t="shared" si="29"/>
        <v>83621.37</v>
      </c>
      <c r="AM105" s="453">
        <f t="shared" si="29"/>
        <v>78102.84</v>
      </c>
      <c r="AN105" s="453">
        <f t="shared" si="29"/>
        <v>66908.600000000006</v>
      </c>
    </row>
    <row r="106" spans="1:40" s="461" customFormat="1" ht="11.25" outlineLevel="1" collapsed="1" x14ac:dyDescent="0.2">
      <c r="B106" s="461" t="s">
        <v>1774</v>
      </c>
      <c r="C106" s="461" t="s">
        <v>1775</v>
      </c>
      <c r="S106" s="462">
        <v>65903.960000000006</v>
      </c>
      <c r="AE106" s="462">
        <v>62927.86</v>
      </c>
    </row>
    <row r="107" spans="1:40" s="461" customFormat="1" ht="11.25" outlineLevel="1" collapsed="1" x14ac:dyDescent="0.2">
      <c r="B107" s="461" t="s">
        <v>1776</v>
      </c>
      <c r="C107" s="461" t="s">
        <v>1777</v>
      </c>
      <c r="S107" s="462">
        <f>ABS(S106) - ABS(S105)</f>
        <v>0</v>
      </c>
      <c r="AE107" s="462">
        <f>ABS(AE106) - ABS(AE105)</f>
        <v>0</v>
      </c>
    </row>
    <row r="108" spans="1:40" s="455" customFormat="1" x14ac:dyDescent="0.25">
      <c r="A108" s="454"/>
      <c r="B108" s="455" t="s">
        <v>982</v>
      </c>
      <c r="C108" s="455" t="s">
        <v>983</v>
      </c>
      <c r="D108" s="455" t="s">
        <v>1674</v>
      </c>
      <c r="E108" s="456">
        <f>S108</f>
        <v>7369139.9100000001</v>
      </c>
      <c r="F108" s="456">
        <f>AE108</f>
        <v>7220778.4900000002</v>
      </c>
      <c r="G108" s="456">
        <f>AN108</f>
        <v>8084274.8899999987</v>
      </c>
      <c r="H108" s="456">
        <f t="shared" ref="H108:AN108" si="30">H40+H101+H105</f>
        <v>7337115.4800000004</v>
      </c>
      <c r="I108" s="456">
        <f t="shared" si="30"/>
        <v>7042466.1800000006</v>
      </c>
      <c r="J108" s="456">
        <f t="shared" si="30"/>
        <v>6304685.9100000001</v>
      </c>
      <c r="K108" s="456">
        <f t="shared" si="30"/>
        <v>6482173.04</v>
      </c>
      <c r="L108" s="456">
        <f t="shared" si="30"/>
        <v>6034868.0599999996</v>
      </c>
      <c r="M108" s="456">
        <f t="shared" si="30"/>
        <v>6903061.9000000004</v>
      </c>
      <c r="N108" s="456">
        <f t="shared" si="30"/>
        <v>6800907.1600000001</v>
      </c>
      <c r="O108" s="456">
        <f t="shared" si="30"/>
        <v>7065142</v>
      </c>
      <c r="P108" s="456">
        <f t="shared" si="30"/>
        <v>7154714.29</v>
      </c>
      <c r="Q108" s="456">
        <f t="shared" si="30"/>
        <v>7091349.3300000001</v>
      </c>
      <c r="R108" s="456">
        <f t="shared" si="30"/>
        <v>7324300.1499999994</v>
      </c>
      <c r="S108" s="456">
        <f t="shared" si="30"/>
        <v>7369139.9100000001</v>
      </c>
      <c r="T108" s="456">
        <f t="shared" si="30"/>
        <v>7486544.8099999996</v>
      </c>
      <c r="U108" s="456">
        <f t="shared" si="30"/>
        <v>7760158.5799999991</v>
      </c>
      <c r="V108" s="456">
        <f t="shared" si="30"/>
        <v>8149906.4299999997</v>
      </c>
      <c r="W108" s="456">
        <f t="shared" si="30"/>
        <v>7273865.2999999998</v>
      </c>
      <c r="X108" s="456">
        <f t="shared" si="30"/>
        <v>7206255.79</v>
      </c>
      <c r="Y108" s="456">
        <f t="shared" si="30"/>
        <v>6916099.0099999998</v>
      </c>
      <c r="Z108" s="456">
        <f t="shared" si="30"/>
        <v>5975097.1899999995</v>
      </c>
      <c r="AA108" s="456">
        <f t="shared" si="30"/>
        <v>6177501.3400000008</v>
      </c>
      <c r="AB108" s="456">
        <f t="shared" si="30"/>
        <v>5854230.8100000005</v>
      </c>
      <c r="AC108" s="456">
        <f t="shared" si="30"/>
        <v>5897499.0200000014</v>
      </c>
      <c r="AD108" s="456">
        <f t="shared" si="30"/>
        <v>6014660.7700000014</v>
      </c>
      <c r="AE108" s="456">
        <f t="shared" si="30"/>
        <v>7220778.4900000002</v>
      </c>
      <c r="AF108" s="456">
        <f t="shared" si="30"/>
        <v>7255961.9299999997</v>
      </c>
      <c r="AG108" s="456">
        <f t="shared" si="30"/>
        <v>7234191.04</v>
      </c>
      <c r="AH108" s="456">
        <f t="shared" si="30"/>
        <v>7120921.5099999998</v>
      </c>
      <c r="AI108" s="456">
        <f t="shared" si="30"/>
        <v>7250285.370000001</v>
      </c>
      <c r="AJ108" s="456">
        <f t="shared" si="30"/>
        <v>7326909.919999999</v>
      </c>
      <c r="AK108" s="456">
        <f t="shared" si="30"/>
        <v>7529486.1299999999</v>
      </c>
      <c r="AL108" s="456">
        <f t="shared" si="30"/>
        <v>7755496.04</v>
      </c>
      <c r="AM108" s="456">
        <f t="shared" si="30"/>
        <v>8106532.96</v>
      </c>
      <c r="AN108" s="456">
        <f t="shared" si="30"/>
        <v>8084274.8899999987</v>
      </c>
    </row>
    <row r="109" spans="1:40" s="461" customFormat="1" ht="11.25" x14ac:dyDescent="0.2">
      <c r="B109" s="461" t="s">
        <v>1778</v>
      </c>
      <c r="C109" s="461" t="s">
        <v>1779</v>
      </c>
      <c r="S109" s="462">
        <v>8236654.6399999997</v>
      </c>
      <c r="AE109" s="462">
        <v>8456253.9499999993</v>
      </c>
    </row>
    <row r="110" spans="1:40" s="461" customFormat="1" ht="11.25" x14ac:dyDescent="0.2">
      <c r="B110" s="461" t="s">
        <v>1780</v>
      </c>
      <c r="C110" s="461" t="s">
        <v>1781</v>
      </c>
      <c r="S110" s="462">
        <f>ABS(S109) - ABS(S108)</f>
        <v>867514.72999999952</v>
      </c>
      <c r="AE110" s="462">
        <f>ABS(AE109) - ABS(AE108)</f>
        <v>1235475.459999999</v>
      </c>
    </row>
    <row r="112" spans="1:40" hidden="1" outlineLevel="2" collapsed="1" x14ac:dyDescent="0.25">
      <c r="B112" t="s">
        <v>992</v>
      </c>
      <c r="C112" t="s">
        <v>993</v>
      </c>
      <c r="D112" t="s">
        <v>700</v>
      </c>
      <c r="E112" s="453">
        <f>S112</f>
        <v>-842636.84000000008</v>
      </c>
      <c r="F112" s="453">
        <f>AE112</f>
        <v>-995052.29999999888</v>
      </c>
      <c r="G112" s="453">
        <f>AN112</f>
        <v>-893518.67000000121</v>
      </c>
      <c r="H112" s="453">
        <f>-1 * ('P&amp;L (Susa)'!H299)</f>
        <v>29075.740000000049</v>
      </c>
      <c r="I112" s="453">
        <f>-1 * ('P&amp;L (Susa)'!H299+'P&amp;L (Susa)'!I299)</f>
        <v>213132.37999999995</v>
      </c>
      <c r="J112" s="453">
        <f>-1 * ('P&amp;L (Susa)'!H299+'P&amp;L (Susa)'!I299+'P&amp;L (Susa)'!J299)</f>
        <v>332667.15999999992</v>
      </c>
      <c r="K112" s="453">
        <f>-1 * ('P&amp;L (Susa)'!H299+'P&amp;L (Susa)'!I299+'P&amp;L (Susa)'!J299+'P&amp;L (Susa)'!K299)</f>
        <v>205912.48999999996</v>
      </c>
      <c r="L112" s="453">
        <f>-1 * ('P&amp;L (Susa)'!H299+'P&amp;L (Susa)'!I299+'P&amp;L (Susa)'!J299+'P&amp;L (Susa)'!K299+'P&amp;L (Susa)'!L299)</f>
        <v>469318.52999999956</v>
      </c>
      <c r="M112" s="453">
        <f>-1 * ('P&amp;L (Susa)'!H299+'P&amp;L (Susa)'!I299+'P&amp;L (Susa)'!J299+'P&amp;L (Susa)'!K299+'P&amp;L (Susa)'!L299+'P&amp;L (Susa)'!M299)</f>
        <v>-291812.61999999988</v>
      </c>
      <c r="N112" s="453">
        <f>-1 * ('P&amp;L (Susa)'!H299+'P&amp;L (Susa)'!I299+'P&amp;L (Susa)'!J299+'P&amp;L (Susa)'!K299+'P&amp;L (Susa)'!L299+'P&amp;L (Susa)'!M299+'P&amp;L (Susa)'!N299)</f>
        <v>-300209.42000000016</v>
      </c>
      <c r="O112" s="453">
        <f>-1 * ('P&amp;L (Susa)'!H299+'P&amp;L (Susa)'!I299+'P&amp;L (Susa)'!J299+'P&amp;L (Susa)'!K299+'P&amp;L (Susa)'!L299+'P&amp;L (Susa)'!M299+'P&amp;L (Susa)'!N299+'P&amp;L (Susa)'!O299)</f>
        <v>-638807.96000000078</v>
      </c>
      <c r="P112" s="453">
        <f>-1 * ('P&amp;L (Susa)'!H299+'P&amp;L (Susa)'!I299+'P&amp;L (Susa)'!J299+'P&amp;L (Susa)'!K299+'P&amp;L (Susa)'!L299+'P&amp;L (Susa)'!M299+'P&amp;L (Susa)'!N299+'P&amp;L (Susa)'!O299+'P&amp;L (Susa)'!P299)</f>
        <v>-569517.72999999975</v>
      </c>
      <c r="Q112" s="453">
        <f>-1 * ('P&amp;L (Susa)'!H299+'P&amp;L (Susa)'!I299+'P&amp;L (Susa)'!J299+'P&amp;L (Susa)'!K299+'P&amp;L (Susa)'!L299+'P&amp;L (Susa)'!M299+'P&amp;L (Susa)'!N299+'P&amp;L (Susa)'!O299+'P&amp;L (Susa)'!P299+'P&amp;L (Susa)'!Q299)</f>
        <v>-593064.25</v>
      </c>
      <c r="R112" s="453">
        <f>-1 * ('P&amp;L (Susa)'!H299+'P&amp;L (Susa)'!I299+'P&amp;L (Susa)'!J299+'P&amp;L (Susa)'!K299+'P&amp;L (Susa)'!L299+'P&amp;L (Susa)'!M299+'P&amp;L (Susa)'!N299+'P&amp;L (Susa)'!O299+'P&amp;L (Susa)'!P299+'P&amp;L (Susa)'!Q299+'P&amp;L (Susa)'!R299)</f>
        <v>-878818.3399999995</v>
      </c>
      <c r="S112" s="453">
        <f>-1 * ('P&amp;L (Susa)'!H299+'P&amp;L (Susa)'!I299+'P&amp;L (Susa)'!J299+'P&amp;L (Susa)'!K299+'P&amp;L (Susa)'!L299+'P&amp;L (Susa)'!M299+'P&amp;L (Susa)'!N299+'P&amp;L (Susa)'!O299+'P&amp;L (Susa)'!P299+'P&amp;L (Susa)'!Q299+'P&amp;L (Susa)'!R299+'P&amp;L (Susa)'!S299)</f>
        <v>-842636.84000000008</v>
      </c>
      <c r="T112" s="453">
        <f>-1 * ('P&amp;L (Susa)'!T299)</f>
        <v>-173265.19000000006</v>
      </c>
      <c r="U112" s="453">
        <f>-1 * ('P&amp;L (Susa)'!T299+'P&amp;L (Susa)'!U299)</f>
        <v>-375735.70999999979</v>
      </c>
      <c r="V112" s="453">
        <f>-1 * ('P&amp;L (Susa)'!T299+'P&amp;L (Susa)'!U299+'P&amp;L (Susa)'!V299)</f>
        <v>-807565.46999999986</v>
      </c>
      <c r="W112" s="453">
        <f>-1 * ('P&amp;L (Susa)'!T299+'P&amp;L (Susa)'!U299+'P&amp;L (Susa)'!V299+'P&amp;L (Susa)'!W299)</f>
        <v>-917558.60999999987</v>
      </c>
      <c r="X112" s="453">
        <f>-1 * ('P&amp;L (Susa)'!T299+'P&amp;L (Susa)'!U299+'P&amp;L (Susa)'!V299+'P&amp;L (Susa)'!W299+'P&amp;L (Susa)'!X299)</f>
        <v>-888671.54</v>
      </c>
      <c r="Y112" s="453">
        <f>-1 * ('P&amp;L (Susa)'!T299+'P&amp;L (Susa)'!U299+'P&amp;L (Susa)'!V299+'P&amp;L (Susa)'!W299+'P&amp;L (Susa)'!X299+'P&amp;L (Susa)'!Y299)</f>
        <v>-601734.14</v>
      </c>
      <c r="Z112" s="453">
        <f>-1 * ('P&amp;L (Susa)'!T299+'P&amp;L (Susa)'!U299+'P&amp;L (Susa)'!V299+'P&amp;L (Susa)'!W299+'P&amp;L (Susa)'!X299+'P&amp;L (Susa)'!Y299+'P&amp;L (Susa)'!Z299)</f>
        <v>202468.83999999962</v>
      </c>
      <c r="AA112" s="453">
        <f>-1 * ('P&amp;L (Susa)'!T299+'P&amp;L (Susa)'!U299+'P&amp;L (Susa)'!V299+'P&amp;L (Susa)'!W299+'P&amp;L (Susa)'!X299+'P&amp;L (Susa)'!Y299+'P&amp;L (Susa)'!Z299+'P&amp;L (Susa)'!AA299)</f>
        <v>43266.420000000362</v>
      </c>
      <c r="AB112" s="453">
        <f>-1 * ('P&amp;L (Susa)'!T299+'P&amp;L (Susa)'!U299+'P&amp;L (Susa)'!V299+'P&amp;L (Susa)'!W299+'P&amp;L (Susa)'!X299+'P&amp;L (Susa)'!Y299+'P&amp;L (Susa)'!Z299+'P&amp;L (Susa)'!AA299+'P&amp;L (Susa)'!AB299)</f>
        <v>380615.95000000042</v>
      </c>
      <c r="AC112" s="453">
        <f>-1 * ('P&amp;L (Susa)'!T299+'P&amp;L (Susa)'!U299+'P&amp;L (Susa)'!V299+'P&amp;L (Susa)'!W299+'P&amp;L (Susa)'!X299+'P&amp;L (Susa)'!Y299+'P&amp;L (Susa)'!Z299+'P&amp;L (Susa)'!AA299+'P&amp;L (Susa)'!AB299+'P&amp;L (Susa)'!AC299)</f>
        <v>307247.19000000128</v>
      </c>
      <c r="AD112" s="453">
        <f>-1 * ('P&amp;L (Susa)'!T299+'P&amp;L (Susa)'!U299+'P&amp;L (Susa)'!V299+'P&amp;L (Susa)'!W299+'P&amp;L (Susa)'!X299+'P&amp;L (Susa)'!Y299+'P&amp;L (Susa)'!Z299+'P&amp;L (Susa)'!AA299+'P&amp;L (Susa)'!AB299+'P&amp;L (Susa)'!AC299+'P&amp;L (Susa)'!AD299)</f>
        <v>158416.90999999945</v>
      </c>
      <c r="AE112" s="453">
        <f>-1 * ('P&amp;L (Susa)'!T299+'P&amp;L (Susa)'!U299+'P&amp;L (Susa)'!V299+'P&amp;L (Susa)'!W299+'P&amp;L (Susa)'!X299+'P&amp;L (Susa)'!Y299+'P&amp;L (Susa)'!Z299+'P&amp;L (Susa)'!AA299+'P&amp;L (Susa)'!AB299+'P&amp;L (Susa)'!AC299+'P&amp;L (Susa)'!AD299+'P&amp;L (Susa)'!AE299)</f>
        <v>-995052.29999999888</v>
      </c>
      <c r="AF112" s="453">
        <f>-1 * ('P&amp;L (Susa)'!AF299)</f>
        <v>-112166.09999999996</v>
      </c>
      <c r="AG112" s="453">
        <f>-1 * ('P&amp;L (Susa)'!AF299+'P&amp;L (Susa)'!AG299)</f>
        <v>-155875.28000000044</v>
      </c>
      <c r="AH112" s="453">
        <f>-1 * ('P&amp;L (Susa)'!AF299+'P&amp;L (Susa)'!AG299+'P&amp;L (Susa)'!AH299)</f>
        <v>-17049.139999999927</v>
      </c>
      <c r="AI112" s="453">
        <f>-1 * ('P&amp;L (Susa)'!AF299+'P&amp;L (Susa)'!AG299+'P&amp;L (Susa)'!AH299+'P&amp;L (Susa)'!AI299)</f>
        <v>-144701.85000000036</v>
      </c>
      <c r="AJ112" s="453">
        <f>-1 * ('P&amp;L (Susa)'!AF299+'P&amp;L (Susa)'!AG299+'P&amp;L (Susa)'!AH299+'P&amp;L (Susa)'!AI299+'P&amp;L (Susa)'!AJ299)</f>
        <v>-231605.45000000062</v>
      </c>
      <c r="AK112" s="453">
        <f>-1 * ('P&amp;L (Susa)'!AF299+'P&amp;L (Susa)'!AG299+'P&amp;L (Susa)'!AH299+'P&amp;L (Susa)'!AI299+'P&amp;L (Susa)'!AJ299+'P&amp;L (Susa)'!AK299)</f>
        <v>-414695.99000000034</v>
      </c>
      <c r="AL112" s="453">
        <f>-1 * ('P&amp;L (Susa)'!AF299+'P&amp;L (Susa)'!AG299+'P&amp;L (Susa)'!AH299+'P&amp;L (Susa)'!AI299+'P&amp;L (Susa)'!AJ299+'P&amp;L (Susa)'!AK299+'P&amp;L (Susa)'!AL299)</f>
        <v>-377834.00000000012</v>
      </c>
      <c r="AM112" s="453">
        <f>-1 * ('P&amp;L (Susa)'!AF299+'P&amp;L (Susa)'!AG299+'P&amp;L (Susa)'!AH299+'P&amp;L (Susa)'!AI299+'P&amp;L (Susa)'!AJ299+'P&amp;L (Susa)'!AK299+'P&amp;L (Susa)'!AL299+'P&amp;L (Susa)'!AM299)</f>
        <v>-769002.79000000062</v>
      </c>
      <c r="AN112" s="453">
        <f>-1 * ('P&amp;L (Susa)'!AF299+'P&amp;L (Susa)'!AG299+'P&amp;L (Susa)'!AH299+'P&amp;L (Susa)'!AI299+'P&amp;L (Susa)'!AJ299+'P&amp;L (Susa)'!AK299+'P&amp;L (Susa)'!AL299+'P&amp;L (Susa)'!AM299+'P&amp;L (Susa)'!AN299)</f>
        <v>-893518.67000000121</v>
      </c>
    </row>
    <row r="113" spans="1:40" hidden="1" outlineLevel="3" collapsed="1" x14ac:dyDescent="0.25">
      <c r="A113" s="452">
        <v>800</v>
      </c>
      <c r="B113" t="s">
        <v>984</v>
      </c>
      <c r="C113" t="s">
        <v>985</v>
      </c>
      <c r="D113" t="s">
        <v>1674</v>
      </c>
      <c r="E113" s="453">
        <f>S113</f>
        <v>-51129.19</v>
      </c>
      <c r="F113" s="453">
        <f>AE113</f>
        <v>-51129.19</v>
      </c>
      <c r="G113" s="453">
        <f>AN113</f>
        <v>-51129.19</v>
      </c>
      <c r="H113" s="453">
        <v>-51129.19</v>
      </c>
      <c r="I113" s="453">
        <v>-51129.19</v>
      </c>
      <c r="J113" s="453">
        <v>-51129.19</v>
      </c>
      <c r="K113" s="453">
        <v>-51129.19</v>
      </c>
      <c r="L113" s="453">
        <v>-51129.19</v>
      </c>
      <c r="M113" s="453">
        <v>-51129.19</v>
      </c>
      <c r="N113" s="453">
        <v>-51129.19</v>
      </c>
      <c r="O113" s="453">
        <v>-51129.19</v>
      </c>
      <c r="P113" s="453">
        <v>-51129.19</v>
      </c>
      <c r="Q113" s="453">
        <v>-51129.19</v>
      </c>
      <c r="R113" s="453">
        <v>-51129.19</v>
      </c>
      <c r="S113" s="453">
        <v>-51129.19</v>
      </c>
      <c r="T113" s="453">
        <v>-51129.19</v>
      </c>
      <c r="U113" s="453">
        <v>-51129.19</v>
      </c>
      <c r="V113" s="453">
        <v>-51129.19</v>
      </c>
      <c r="W113" s="453">
        <v>-51129.19</v>
      </c>
      <c r="X113" s="453">
        <v>-51129.19</v>
      </c>
      <c r="Y113" s="453">
        <v>-51129.19</v>
      </c>
      <c r="Z113" s="453">
        <v>-51129.19</v>
      </c>
      <c r="AA113" s="453">
        <v>-51129.19</v>
      </c>
      <c r="AB113" s="453">
        <v>-51129.19</v>
      </c>
      <c r="AC113" s="453">
        <v>-51129.19</v>
      </c>
      <c r="AD113" s="453">
        <v>-51129.19</v>
      </c>
      <c r="AE113" s="453">
        <v>-51129.19</v>
      </c>
      <c r="AF113" s="453">
        <v>-51129.19</v>
      </c>
      <c r="AG113" s="453">
        <v>-51129.19</v>
      </c>
      <c r="AH113" s="453">
        <v>-51129.19</v>
      </c>
      <c r="AI113" s="453">
        <v>-51129.19</v>
      </c>
      <c r="AJ113" s="453">
        <v>-51129.19</v>
      </c>
      <c r="AK113" s="453">
        <v>-51129.19</v>
      </c>
      <c r="AL113" s="453">
        <v>-51129.19</v>
      </c>
      <c r="AM113" s="453">
        <v>-51129.19</v>
      </c>
      <c r="AN113" s="453">
        <v>-51129.19</v>
      </c>
    </row>
    <row r="114" spans="1:40" hidden="1" outlineLevel="2" collapsed="1" x14ac:dyDescent="0.25">
      <c r="B114" t="s">
        <v>986</v>
      </c>
      <c r="C114" t="s">
        <v>987</v>
      </c>
      <c r="D114" t="s">
        <v>1674</v>
      </c>
      <c r="E114" s="453">
        <f>S114</f>
        <v>-51129.19</v>
      </c>
      <c r="F114" s="453">
        <f>AE114</f>
        <v>-51129.19</v>
      </c>
      <c r="G114" s="453">
        <f>AN114</f>
        <v>-51129.19</v>
      </c>
      <c r="H114" s="453">
        <f t="shared" ref="H114:AN114" si="31">SUM(H113:H113)</f>
        <v>-51129.19</v>
      </c>
      <c r="I114" s="453">
        <f t="shared" si="31"/>
        <v>-51129.19</v>
      </c>
      <c r="J114" s="453">
        <f t="shared" si="31"/>
        <v>-51129.19</v>
      </c>
      <c r="K114" s="453">
        <f t="shared" si="31"/>
        <v>-51129.19</v>
      </c>
      <c r="L114" s="453">
        <f t="shared" si="31"/>
        <v>-51129.19</v>
      </c>
      <c r="M114" s="453">
        <f t="shared" si="31"/>
        <v>-51129.19</v>
      </c>
      <c r="N114" s="453">
        <f t="shared" si="31"/>
        <v>-51129.19</v>
      </c>
      <c r="O114" s="453">
        <f t="shared" si="31"/>
        <v>-51129.19</v>
      </c>
      <c r="P114" s="453">
        <f t="shared" si="31"/>
        <v>-51129.19</v>
      </c>
      <c r="Q114" s="453">
        <f t="shared" si="31"/>
        <v>-51129.19</v>
      </c>
      <c r="R114" s="453">
        <f t="shared" si="31"/>
        <v>-51129.19</v>
      </c>
      <c r="S114" s="453">
        <f t="shared" si="31"/>
        <v>-51129.19</v>
      </c>
      <c r="T114" s="453">
        <f t="shared" si="31"/>
        <v>-51129.19</v>
      </c>
      <c r="U114" s="453">
        <f t="shared" si="31"/>
        <v>-51129.19</v>
      </c>
      <c r="V114" s="453">
        <f t="shared" si="31"/>
        <v>-51129.19</v>
      </c>
      <c r="W114" s="453">
        <f t="shared" si="31"/>
        <v>-51129.19</v>
      </c>
      <c r="X114" s="453">
        <f t="shared" si="31"/>
        <v>-51129.19</v>
      </c>
      <c r="Y114" s="453">
        <f t="shared" si="31"/>
        <v>-51129.19</v>
      </c>
      <c r="Z114" s="453">
        <f t="shared" si="31"/>
        <v>-51129.19</v>
      </c>
      <c r="AA114" s="453">
        <f t="shared" si="31"/>
        <v>-51129.19</v>
      </c>
      <c r="AB114" s="453">
        <f t="shared" si="31"/>
        <v>-51129.19</v>
      </c>
      <c r="AC114" s="453">
        <f t="shared" si="31"/>
        <v>-51129.19</v>
      </c>
      <c r="AD114" s="453">
        <f t="shared" si="31"/>
        <v>-51129.19</v>
      </c>
      <c r="AE114" s="453">
        <f t="shared" si="31"/>
        <v>-51129.19</v>
      </c>
      <c r="AF114" s="453">
        <f t="shared" si="31"/>
        <v>-51129.19</v>
      </c>
      <c r="AG114" s="453">
        <f t="shared" si="31"/>
        <v>-51129.19</v>
      </c>
      <c r="AH114" s="453">
        <f t="shared" si="31"/>
        <v>-51129.19</v>
      </c>
      <c r="AI114" s="453">
        <f t="shared" si="31"/>
        <v>-51129.19</v>
      </c>
      <c r="AJ114" s="453">
        <f t="shared" si="31"/>
        <v>-51129.19</v>
      </c>
      <c r="AK114" s="453">
        <f t="shared" si="31"/>
        <v>-51129.19</v>
      </c>
      <c r="AL114" s="453">
        <f t="shared" si="31"/>
        <v>-51129.19</v>
      </c>
      <c r="AM114" s="453">
        <f t="shared" si="31"/>
        <v>-51129.19</v>
      </c>
      <c r="AN114" s="453">
        <f t="shared" si="31"/>
        <v>-51129.19</v>
      </c>
    </row>
    <row r="115" spans="1:40" s="461" customFormat="1" ht="11.25" hidden="1" outlineLevel="2" collapsed="1" x14ac:dyDescent="0.2">
      <c r="B115" s="461" t="s">
        <v>1782</v>
      </c>
      <c r="C115" s="461" t="s">
        <v>1783</v>
      </c>
      <c r="S115" s="462">
        <v>51129.19</v>
      </c>
      <c r="AE115" s="462">
        <v>51129.19</v>
      </c>
    </row>
    <row r="116" spans="1:40" s="461" customFormat="1" ht="11.25" hidden="1" outlineLevel="2" collapsed="1" x14ac:dyDescent="0.2">
      <c r="B116" s="461" t="s">
        <v>1784</v>
      </c>
      <c r="C116" s="461" t="s">
        <v>1785</v>
      </c>
      <c r="S116" s="462">
        <f>ABS(S115) - ABS(S114)</f>
        <v>0</v>
      </c>
      <c r="AE116" s="462">
        <f>ABS(AE115) - ABS(AE114)</f>
        <v>0</v>
      </c>
    </row>
    <row r="117" spans="1:40" hidden="1" outlineLevel="3" collapsed="1" x14ac:dyDescent="0.25">
      <c r="A117" s="452">
        <v>860</v>
      </c>
      <c r="B117" t="s">
        <v>988</v>
      </c>
      <c r="C117" t="s">
        <v>989</v>
      </c>
      <c r="D117" t="s">
        <v>1674</v>
      </c>
      <c r="E117" s="453">
        <f>S117</f>
        <v>-5293141.88</v>
      </c>
      <c r="F117" s="453">
        <f>AE117</f>
        <v>-5235778.72</v>
      </c>
      <c r="G117" s="453">
        <f>AN117</f>
        <v>-6230831.0199999996</v>
      </c>
      <c r="H117" s="453">
        <v>-5743141.8799999999</v>
      </c>
      <c r="I117" s="453">
        <v>-5743141.8799999999</v>
      </c>
      <c r="J117" s="453">
        <v>-5293141.88</v>
      </c>
      <c r="K117" s="453">
        <v>-5293141.88</v>
      </c>
      <c r="L117" s="453">
        <v>-5293141.88</v>
      </c>
      <c r="M117" s="453">
        <v>-5293141.88</v>
      </c>
      <c r="N117" s="453">
        <v>-5293141.88</v>
      </c>
      <c r="O117" s="453">
        <v>-5293141.88</v>
      </c>
      <c r="P117" s="453">
        <v>-5293141.88</v>
      </c>
      <c r="Q117" s="453">
        <v>-5293141.88</v>
      </c>
      <c r="R117" s="453">
        <v>-5293141.88</v>
      </c>
      <c r="S117" s="453">
        <v>-5293141.88</v>
      </c>
      <c r="T117" s="453">
        <v>-6135778.7199999997</v>
      </c>
      <c r="U117" s="453">
        <v>-6135778.7199999997</v>
      </c>
      <c r="V117" s="453">
        <v>-6135778.7199999997</v>
      </c>
      <c r="W117" s="453">
        <v>-5235778.72</v>
      </c>
      <c r="X117" s="453">
        <v>-5235778.72</v>
      </c>
      <c r="Y117" s="453">
        <v>-5235778.72</v>
      </c>
      <c r="Z117" s="453">
        <v>-5235778.72</v>
      </c>
      <c r="AA117" s="453">
        <v>-5235778.72</v>
      </c>
      <c r="AB117" s="453">
        <v>-5235778.72</v>
      </c>
      <c r="AC117" s="453">
        <v>-5235778.72</v>
      </c>
      <c r="AD117" s="453">
        <v>-5235778.72</v>
      </c>
      <c r="AE117" s="453">
        <v>-5235778.72</v>
      </c>
      <c r="AF117" s="453">
        <v>-6230831.0199999996</v>
      </c>
      <c r="AG117" s="453">
        <v>-6230831.0199999996</v>
      </c>
      <c r="AH117" s="453">
        <v>-6230831.0199999996</v>
      </c>
      <c r="AI117" s="453">
        <v>-6230831.0199999996</v>
      </c>
      <c r="AJ117" s="453">
        <v>-6230831.0199999996</v>
      </c>
      <c r="AK117" s="453">
        <v>-6230831.0199999996</v>
      </c>
      <c r="AL117" s="453">
        <v>-6230831.0199999996</v>
      </c>
      <c r="AM117" s="453">
        <v>-6230831.0199999996</v>
      </c>
      <c r="AN117" s="453">
        <v>-6230831.0199999996</v>
      </c>
    </row>
    <row r="118" spans="1:40" hidden="1" outlineLevel="2" collapsed="1" x14ac:dyDescent="0.25">
      <c r="B118" t="s">
        <v>990</v>
      </c>
      <c r="C118" t="s">
        <v>991</v>
      </c>
      <c r="D118" t="s">
        <v>1674</v>
      </c>
      <c r="E118" s="453">
        <f>S118</f>
        <v>-5293141.88</v>
      </c>
      <c r="F118" s="453">
        <f>AE118</f>
        <v>-5235778.72</v>
      </c>
      <c r="G118" s="453">
        <f>AN118</f>
        <v>-6230831.0199999996</v>
      </c>
      <c r="H118" s="453">
        <f t="shared" ref="H118:AN118" si="32">SUM(H117:H117)</f>
        <v>-5743141.8799999999</v>
      </c>
      <c r="I118" s="453">
        <f t="shared" si="32"/>
        <v>-5743141.8799999999</v>
      </c>
      <c r="J118" s="453">
        <f t="shared" si="32"/>
        <v>-5293141.88</v>
      </c>
      <c r="K118" s="453">
        <f t="shared" si="32"/>
        <v>-5293141.88</v>
      </c>
      <c r="L118" s="453">
        <f t="shared" si="32"/>
        <v>-5293141.88</v>
      </c>
      <c r="M118" s="453">
        <f t="shared" si="32"/>
        <v>-5293141.88</v>
      </c>
      <c r="N118" s="453">
        <f t="shared" si="32"/>
        <v>-5293141.88</v>
      </c>
      <c r="O118" s="453">
        <f t="shared" si="32"/>
        <v>-5293141.88</v>
      </c>
      <c r="P118" s="453">
        <f t="shared" si="32"/>
        <v>-5293141.88</v>
      </c>
      <c r="Q118" s="453">
        <f t="shared" si="32"/>
        <v>-5293141.88</v>
      </c>
      <c r="R118" s="453">
        <f t="shared" si="32"/>
        <v>-5293141.88</v>
      </c>
      <c r="S118" s="453">
        <f t="shared" si="32"/>
        <v>-5293141.88</v>
      </c>
      <c r="T118" s="453">
        <f t="shared" si="32"/>
        <v>-6135778.7199999997</v>
      </c>
      <c r="U118" s="453">
        <f t="shared" si="32"/>
        <v>-6135778.7199999997</v>
      </c>
      <c r="V118" s="453">
        <f t="shared" si="32"/>
        <v>-6135778.7199999997</v>
      </c>
      <c r="W118" s="453">
        <f t="shared" si="32"/>
        <v>-5235778.72</v>
      </c>
      <c r="X118" s="453">
        <f t="shared" si="32"/>
        <v>-5235778.72</v>
      </c>
      <c r="Y118" s="453">
        <f t="shared" si="32"/>
        <v>-5235778.72</v>
      </c>
      <c r="Z118" s="453">
        <f t="shared" si="32"/>
        <v>-5235778.72</v>
      </c>
      <c r="AA118" s="453">
        <f t="shared" si="32"/>
        <v>-5235778.72</v>
      </c>
      <c r="AB118" s="453">
        <f t="shared" si="32"/>
        <v>-5235778.72</v>
      </c>
      <c r="AC118" s="453">
        <f t="shared" si="32"/>
        <v>-5235778.72</v>
      </c>
      <c r="AD118" s="453">
        <f t="shared" si="32"/>
        <v>-5235778.72</v>
      </c>
      <c r="AE118" s="453">
        <f t="shared" si="32"/>
        <v>-5235778.72</v>
      </c>
      <c r="AF118" s="453">
        <f t="shared" si="32"/>
        <v>-6230831.0199999996</v>
      </c>
      <c r="AG118" s="453">
        <f t="shared" si="32"/>
        <v>-6230831.0199999996</v>
      </c>
      <c r="AH118" s="453">
        <f t="shared" si="32"/>
        <v>-6230831.0199999996</v>
      </c>
      <c r="AI118" s="453">
        <f t="shared" si="32"/>
        <v>-6230831.0199999996</v>
      </c>
      <c r="AJ118" s="453">
        <f t="shared" si="32"/>
        <v>-6230831.0199999996</v>
      </c>
      <c r="AK118" s="453">
        <f t="shared" si="32"/>
        <v>-6230831.0199999996</v>
      </c>
      <c r="AL118" s="453">
        <f t="shared" si="32"/>
        <v>-6230831.0199999996</v>
      </c>
      <c r="AM118" s="453">
        <f t="shared" si="32"/>
        <v>-6230831.0199999996</v>
      </c>
      <c r="AN118" s="453">
        <f t="shared" si="32"/>
        <v>-6230831.0199999996</v>
      </c>
    </row>
    <row r="119" spans="1:40" s="461" customFormat="1" ht="11.25" hidden="1" outlineLevel="2" collapsed="1" x14ac:dyDescent="0.2">
      <c r="B119" s="461" t="s">
        <v>1786</v>
      </c>
      <c r="C119" s="461" t="s">
        <v>1787</v>
      </c>
      <c r="S119" s="462">
        <v>5293141.88</v>
      </c>
      <c r="AE119" s="462">
        <v>5235778.72</v>
      </c>
    </row>
    <row r="120" spans="1:40" s="461" customFormat="1" ht="11.25" hidden="1" outlineLevel="2" collapsed="1" x14ac:dyDescent="0.2">
      <c r="B120" s="461" t="s">
        <v>1788</v>
      </c>
      <c r="C120" s="461" t="s">
        <v>1789</v>
      </c>
      <c r="S120" s="462">
        <f>ABS(S119) - ABS(S118)</f>
        <v>0</v>
      </c>
      <c r="AE120" s="462">
        <f>ABS(AE119) - ABS(AE118)</f>
        <v>0</v>
      </c>
    </row>
    <row r="121" spans="1:40" outlineLevel="1" collapsed="1" x14ac:dyDescent="0.25">
      <c r="B121" t="s">
        <v>994</v>
      </c>
      <c r="C121" t="s">
        <v>995</v>
      </c>
      <c r="D121" t="s">
        <v>1674</v>
      </c>
      <c r="E121" s="453">
        <f>S121</f>
        <v>-6186907.9100000001</v>
      </c>
      <c r="F121" s="453">
        <f>AE121</f>
        <v>-6281960.209999999</v>
      </c>
      <c r="G121" s="453">
        <f>AN121</f>
        <v>-7175478.8800000008</v>
      </c>
      <c r="H121" s="453">
        <f t="shared" ref="H121:AN121" si="33">H112+H114+H118</f>
        <v>-5765195.3300000001</v>
      </c>
      <c r="I121" s="453">
        <f t="shared" si="33"/>
        <v>-5581138.6899999995</v>
      </c>
      <c r="J121" s="453">
        <f t="shared" si="33"/>
        <v>-5011603.91</v>
      </c>
      <c r="K121" s="453">
        <f t="shared" si="33"/>
        <v>-5138358.58</v>
      </c>
      <c r="L121" s="453">
        <f t="shared" si="33"/>
        <v>-4874952.54</v>
      </c>
      <c r="M121" s="453">
        <f t="shared" si="33"/>
        <v>-5636083.6899999995</v>
      </c>
      <c r="N121" s="453">
        <f t="shared" si="33"/>
        <v>-5644480.4900000002</v>
      </c>
      <c r="O121" s="453">
        <f t="shared" si="33"/>
        <v>-5983079.0300000012</v>
      </c>
      <c r="P121" s="453">
        <f t="shared" si="33"/>
        <v>-5913788.7999999998</v>
      </c>
      <c r="Q121" s="453">
        <f t="shared" si="33"/>
        <v>-5937335.3200000003</v>
      </c>
      <c r="R121" s="453">
        <f t="shared" si="33"/>
        <v>-6223089.4099999992</v>
      </c>
      <c r="S121" s="453">
        <f t="shared" si="33"/>
        <v>-6186907.9100000001</v>
      </c>
      <c r="T121" s="453">
        <f t="shared" si="33"/>
        <v>-6360173.0999999996</v>
      </c>
      <c r="U121" s="453">
        <f t="shared" si="33"/>
        <v>-6562643.6199999992</v>
      </c>
      <c r="V121" s="453">
        <f t="shared" si="33"/>
        <v>-6994473.3799999999</v>
      </c>
      <c r="W121" s="453">
        <f t="shared" si="33"/>
        <v>-6204466.5199999996</v>
      </c>
      <c r="X121" s="453">
        <f t="shared" si="33"/>
        <v>-6175579.4499999993</v>
      </c>
      <c r="Y121" s="453">
        <f t="shared" si="33"/>
        <v>-5888642.0499999998</v>
      </c>
      <c r="Z121" s="453">
        <f t="shared" si="33"/>
        <v>-5084439.07</v>
      </c>
      <c r="AA121" s="453">
        <f t="shared" si="33"/>
        <v>-5243641.4899999993</v>
      </c>
      <c r="AB121" s="453">
        <f t="shared" si="33"/>
        <v>-4906291.959999999</v>
      </c>
      <c r="AC121" s="453">
        <f t="shared" si="33"/>
        <v>-4979660.7199999988</v>
      </c>
      <c r="AD121" s="453">
        <f t="shared" si="33"/>
        <v>-5128491</v>
      </c>
      <c r="AE121" s="453">
        <f t="shared" si="33"/>
        <v>-6281960.209999999</v>
      </c>
      <c r="AF121" s="453">
        <f t="shared" si="33"/>
        <v>-6394126.3099999996</v>
      </c>
      <c r="AG121" s="453">
        <f t="shared" si="33"/>
        <v>-6437835.4900000002</v>
      </c>
      <c r="AH121" s="453">
        <f t="shared" si="33"/>
        <v>-6299009.3499999996</v>
      </c>
      <c r="AI121" s="453">
        <f t="shared" si="33"/>
        <v>-6426662.0599999996</v>
      </c>
      <c r="AJ121" s="453">
        <f t="shared" si="33"/>
        <v>-6513565.6600000001</v>
      </c>
      <c r="AK121" s="453">
        <f t="shared" si="33"/>
        <v>-6696656.2000000002</v>
      </c>
      <c r="AL121" s="453">
        <f t="shared" si="33"/>
        <v>-6659794.21</v>
      </c>
      <c r="AM121" s="453">
        <f t="shared" si="33"/>
        <v>-7050963</v>
      </c>
      <c r="AN121" s="453">
        <f t="shared" si="33"/>
        <v>-7175478.8800000008</v>
      </c>
    </row>
    <row r="122" spans="1:40" s="461" customFormat="1" ht="11.25" outlineLevel="1" collapsed="1" x14ac:dyDescent="0.2">
      <c r="B122" s="461" t="s">
        <v>1790</v>
      </c>
      <c r="C122" s="461" t="s">
        <v>1791</v>
      </c>
      <c r="S122" s="462">
        <v>6186907.9100000001</v>
      </c>
      <c r="AE122" s="462">
        <v>6281960.21</v>
      </c>
    </row>
    <row r="123" spans="1:40" s="461" customFormat="1" ht="11.25" outlineLevel="1" collapsed="1" x14ac:dyDescent="0.2">
      <c r="B123" s="461" t="s">
        <v>1792</v>
      </c>
      <c r="C123" s="461" t="s">
        <v>1793</v>
      </c>
      <c r="S123" s="462">
        <f>ABS(S122) - ABS(S121)</f>
        <v>0</v>
      </c>
      <c r="AE123" s="462">
        <f>ABS(AE122) - ABS(AE121)</f>
        <v>0</v>
      </c>
    </row>
    <row r="124" spans="1:40" hidden="1" outlineLevel="3" collapsed="1" x14ac:dyDescent="0.25">
      <c r="A124" s="452">
        <v>951</v>
      </c>
      <c r="B124" t="s">
        <v>996</v>
      </c>
      <c r="C124" t="s">
        <v>1794</v>
      </c>
      <c r="D124" t="s">
        <v>1674</v>
      </c>
      <c r="E124" s="453">
        <f>S124</f>
        <v>-192102</v>
      </c>
      <c r="F124" s="453">
        <f>AE124</f>
        <v>-182403</v>
      </c>
      <c r="G124" s="453">
        <f>AN124</f>
        <v>-182403</v>
      </c>
      <c r="H124" s="453">
        <v>-201476</v>
      </c>
      <c r="I124" s="453">
        <v>-201476</v>
      </c>
      <c r="J124" s="453">
        <v>-201476</v>
      </c>
      <c r="K124" s="453">
        <v>-201476</v>
      </c>
      <c r="L124" s="453">
        <v>-201476</v>
      </c>
      <c r="M124" s="453">
        <v>-201476</v>
      </c>
      <c r="N124" s="453">
        <v>-201476</v>
      </c>
      <c r="O124" s="453">
        <v>-201476</v>
      </c>
      <c r="P124" s="453">
        <v>-192102</v>
      </c>
      <c r="Q124" s="453">
        <v>-192102</v>
      </c>
      <c r="R124" s="453">
        <v>-192102</v>
      </c>
      <c r="S124" s="453">
        <v>-192102</v>
      </c>
      <c r="T124" s="453">
        <v>-192102</v>
      </c>
      <c r="U124" s="453">
        <v>-192102</v>
      </c>
      <c r="V124" s="453">
        <v>-192102</v>
      </c>
      <c r="W124" s="453">
        <v>-192102</v>
      </c>
      <c r="X124" s="453">
        <v>-192102</v>
      </c>
      <c r="Y124" s="453">
        <v>-192102</v>
      </c>
      <c r="Z124" s="453">
        <v>-192102</v>
      </c>
      <c r="AA124" s="453">
        <v>-192102</v>
      </c>
      <c r="AB124" s="453">
        <v>-192102</v>
      </c>
      <c r="AC124" s="453">
        <v>-192102</v>
      </c>
      <c r="AD124" s="453">
        <v>-192102</v>
      </c>
      <c r="AE124" s="453">
        <v>-182403</v>
      </c>
      <c r="AF124" s="453">
        <v>-182403</v>
      </c>
      <c r="AG124" s="453">
        <v>-182403</v>
      </c>
      <c r="AH124" s="453">
        <v>-182403</v>
      </c>
      <c r="AI124" s="453">
        <v>-182403</v>
      </c>
      <c r="AJ124" s="453">
        <v>-182403</v>
      </c>
      <c r="AK124" s="453">
        <v>-182403</v>
      </c>
      <c r="AL124" s="453">
        <v>-182403</v>
      </c>
      <c r="AM124" s="453">
        <v>-182403</v>
      </c>
      <c r="AN124" s="453">
        <v>-182403</v>
      </c>
    </row>
    <row r="125" spans="1:40" hidden="1" outlineLevel="2" collapsed="1" x14ac:dyDescent="0.25">
      <c r="B125" t="s">
        <v>998</v>
      </c>
      <c r="C125" t="s">
        <v>999</v>
      </c>
      <c r="D125" t="s">
        <v>1674</v>
      </c>
      <c r="E125" s="453">
        <f>S125</f>
        <v>-192102</v>
      </c>
      <c r="F125" s="453">
        <f>AE125</f>
        <v>-182403</v>
      </c>
      <c r="G125" s="453">
        <f>AN125</f>
        <v>-182403</v>
      </c>
      <c r="H125" s="453">
        <f t="shared" ref="H125:AN125" si="34">SUM(H124:H124)</f>
        <v>-201476</v>
      </c>
      <c r="I125" s="453">
        <f t="shared" si="34"/>
        <v>-201476</v>
      </c>
      <c r="J125" s="453">
        <f t="shared" si="34"/>
        <v>-201476</v>
      </c>
      <c r="K125" s="453">
        <f t="shared" si="34"/>
        <v>-201476</v>
      </c>
      <c r="L125" s="453">
        <f t="shared" si="34"/>
        <v>-201476</v>
      </c>
      <c r="M125" s="453">
        <f t="shared" si="34"/>
        <v>-201476</v>
      </c>
      <c r="N125" s="453">
        <f t="shared" si="34"/>
        <v>-201476</v>
      </c>
      <c r="O125" s="453">
        <f t="shared" si="34"/>
        <v>-201476</v>
      </c>
      <c r="P125" s="453">
        <f t="shared" si="34"/>
        <v>-192102</v>
      </c>
      <c r="Q125" s="453">
        <f t="shared" si="34"/>
        <v>-192102</v>
      </c>
      <c r="R125" s="453">
        <f t="shared" si="34"/>
        <v>-192102</v>
      </c>
      <c r="S125" s="453">
        <f t="shared" si="34"/>
        <v>-192102</v>
      </c>
      <c r="T125" s="453">
        <f t="shared" si="34"/>
        <v>-192102</v>
      </c>
      <c r="U125" s="453">
        <f t="shared" si="34"/>
        <v>-192102</v>
      </c>
      <c r="V125" s="453">
        <f t="shared" si="34"/>
        <v>-192102</v>
      </c>
      <c r="W125" s="453">
        <f t="shared" si="34"/>
        <v>-192102</v>
      </c>
      <c r="X125" s="453">
        <f t="shared" si="34"/>
        <v>-192102</v>
      </c>
      <c r="Y125" s="453">
        <f t="shared" si="34"/>
        <v>-192102</v>
      </c>
      <c r="Z125" s="453">
        <f t="shared" si="34"/>
        <v>-192102</v>
      </c>
      <c r="AA125" s="453">
        <f t="shared" si="34"/>
        <v>-192102</v>
      </c>
      <c r="AB125" s="453">
        <f t="shared" si="34"/>
        <v>-192102</v>
      </c>
      <c r="AC125" s="453">
        <f t="shared" si="34"/>
        <v>-192102</v>
      </c>
      <c r="AD125" s="453">
        <f t="shared" si="34"/>
        <v>-192102</v>
      </c>
      <c r="AE125" s="453">
        <f t="shared" si="34"/>
        <v>-182403</v>
      </c>
      <c r="AF125" s="453">
        <f t="shared" si="34"/>
        <v>-182403</v>
      </c>
      <c r="AG125" s="453">
        <f t="shared" si="34"/>
        <v>-182403</v>
      </c>
      <c r="AH125" s="453">
        <f t="shared" si="34"/>
        <v>-182403</v>
      </c>
      <c r="AI125" s="453">
        <f t="shared" si="34"/>
        <v>-182403</v>
      </c>
      <c r="AJ125" s="453">
        <f t="shared" si="34"/>
        <v>-182403</v>
      </c>
      <c r="AK125" s="453">
        <f t="shared" si="34"/>
        <v>-182403</v>
      </c>
      <c r="AL125" s="453">
        <f t="shared" si="34"/>
        <v>-182403</v>
      </c>
      <c r="AM125" s="453">
        <f t="shared" si="34"/>
        <v>-182403</v>
      </c>
      <c r="AN125" s="453">
        <f t="shared" si="34"/>
        <v>-182403</v>
      </c>
    </row>
    <row r="126" spans="1:40" s="461" customFormat="1" ht="11.25" hidden="1" outlineLevel="2" collapsed="1" x14ac:dyDescent="0.2">
      <c r="B126" s="461" t="s">
        <v>1795</v>
      </c>
      <c r="C126" s="461" t="s">
        <v>1796</v>
      </c>
      <c r="S126" s="462">
        <v>192102</v>
      </c>
      <c r="AE126" s="462">
        <v>182403</v>
      </c>
    </row>
    <row r="127" spans="1:40" s="461" customFormat="1" ht="11.25" hidden="1" outlineLevel="2" collapsed="1" x14ac:dyDescent="0.2">
      <c r="B127" s="461" t="s">
        <v>1797</v>
      </c>
      <c r="C127" s="461" t="s">
        <v>1798</v>
      </c>
      <c r="S127" s="462">
        <f>ABS(S126) - ABS(S125)</f>
        <v>0</v>
      </c>
      <c r="AE127" s="462">
        <f>ABS(AE126) - ABS(AE125)</f>
        <v>0</v>
      </c>
    </row>
    <row r="128" spans="1:40" hidden="1" outlineLevel="3" collapsed="1" x14ac:dyDescent="0.25">
      <c r="A128" s="452">
        <v>956</v>
      </c>
      <c r="B128" t="s">
        <v>1000</v>
      </c>
      <c r="C128" t="s">
        <v>1001</v>
      </c>
      <c r="D128" t="s">
        <v>1674</v>
      </c>
      <c r="E128" s="453">
        <f>S128</f>
        <v>-111300</v>
      </c>
      <c r="F128" s="453">
        <f>AE128</f>
        <v>0</v>
      </c>
      <c r="G128" s="453">
        <f>AN128</f>
        <v>0</v>
      </c>
      <c r="H128" s="453">
        <v>-111300</v>
      </c>
      <c r="I128" s="453">
        <v>-111300</v>
      </c>
      <c r="J128" s="453">
        <v>-111300</v>
      </c>
      <c r="K128" s="453">
        <v>-111300</v>
      </c>
      <c r="L128" s="453">
        <v>-111300</v>
      </c>
      <c r="M128" s="453">
        <v>-111300</v>
      </c>
      <c r="N128" s="453">
        <v>-111300</v>
      </c>
      <c r="O128" s="453">
        <v>-111300</v>
      </c>
      <c r="P128" s="453">
        <v>-111300</v>
      </c>
      <c r="Q128" s="453">
        <v>-111300</v>
      </c>
      <c r="R128" s="453">
        <v>-111300</v>
      </c>
      <c r="S128" s="453">
        <v>-111300</v>
      </c>
      <c r="T128" s="453">
        <v>-111300</v>
      </c>
      <c r="U128" s="453">
        <v>-111300</v>
      </c>
      <c r="V128" s="453">
        <v>-111300</v>
      </c>
      <c r="W128" s="453">
        <v>0</v>
      </c>
      <c r="X128" s="453">
        <v>0</v>
      </c>
      <c r="Y128" s="453">
        <v>0</v>
      </c>
      <c r="Z128" s="453">
        <v>0</v>
      </c>
      <c r="AA128" s="453">
        <v>0</v>
      </c>
      <c r="AB128" s="453">
        <v>0</v>
      </c>
      <c r="AC128" s="453">
        <v>0</v>
      </c>
      <c r="AD128" s="453">
        <v>0</v>
      </c>
      <c r="AE128" s="453">
        <v>0</v>
      </c>
      <c r="AF128" s="453">
        <v>0</v>
      </c>
      <c r="AG128" s="453">
        <v>0</v>
      </c>
      <c r="AH128" s="453">
        <v>0</v>
      </c>
      <c r="AI128" s="453">
        <v>0</v>
      </c>
      <c r="AJ128" s="453">
        <v>0</v>
      </c>
      <c r="AK128" s="453">
        <v>0</v>
      </c>
      <c r="AL128" s="453">
        <v>0</v>
      </c>
      <c r="AM128" s="453">
        <v>0</v>
      </c>
      <c r="AN128" s="453">
        <v>0</v>
      </c>
    </row>
    <row r="129" spans="1:40" hidden="1" outlineLevel="3" collapsed="1" x14ac:dyDescent="0.25">
      <c r="A129" s="452">
        <v>963</v>
      </c>
      <c r="B129" t="s">
        <v>1002</v>
      </c>
      <c r="C129" t="s">
        <v>1799</v>
      </c>
      <c r="D129" t="s">
        <v>1674</v>
      </c>
      <c r="E129" s="453">
        <f>S129</f>
        <v>-113628.19</v>
      </c>
      <c r="F129" s="453">
        <f>AE129</f>
        <v>0</v>
      </c>
      <c r="G129" s="453">
        <f>AN129</f>
        <v>0</v>
      </c>
      <c r="H129" s="453">
        <v>-113628.19</v>
      </c>
      <c r="I129" s="453">
        <v>-113628.19</v>
      </c>
      <c r="J129" s="453">
        <v>-113628.19</v>
      </c>
      <c r="K129" s="453">
        <v>-113628.19</v>
      </c>
      <c r="L129" s="453">
        <v>-113628.19</v>
      </c>
      <c r="M129" s="453">
        <v>-113628.19</v>
      </c>
      <c r="N129" s="453">
        <v>-113628.19</v>
      </c>
      <c r="O129" s="453">
        <v>-113628.19</v>
      </c>
      <c r="P129" s="453">
        <v>-113628.19</v>
      </c>
      <c r="Q129" s="453">
        <v>-113628.19</v>
      </c>
      <c r="R129" s="453">
        <v>-113628.19</v>
      </c>
      <c r="S129" s="453">
        <v>-113628.19</v>
      </c>
      <c r="T129" s="453">
        <v>-113628.19</v>
      </c>
      <c r="U129" s="453">
        <v>-113628.19</v>
      </c>
      <c r="V129" s="453">
        <v>0</v>
      </c>
      <c r="W129" s="453">
        <v>0</v>
      </c>
      <c r="X129" s="453">
        <v>0</v>
      </c>
      <c r="Y129" s="453">
        <v>-15446.08</v>
      </c>
      <c r="Z129" s="453">
        <v>-15446.08</v>
      </c>
      <c r="AA129" s="453">
        <v>-15446.08</v>
      </c>
      <c r="AB129" s="453">
        <v>-15446.08</v>
      </c>
      <c r="AC129" s="453">
        <v>-15446.08</v>
      </c>
      <c r="AD129" s="453">
        <v>-15446.08</v>
      </c>
      <c r="AE129" s="453">
        <v>0</v>
      </c>
      <c r="AF129" s="453">
        <v>0</v>
      </c>
      <c r="AG129" s="453">
        <v>0</v>
      </c>
      <c r="AH129" s="453">
        <v>0</v>
      </c>
      <c r="AI129" s="453">
        <v>0</v>
      </c>
      <c r="AJ129" s="453">
        <v>0</v>
      </c>
      <c r="AK129" s="453">
        <v>0</v>
      </c>
      <c r="AL129" s="453">
        <v>0</v>
      </c>
      <c r="AM129" s="453">
        <v>0</v>
      </c>
      <c r="AN129" s="453">
        <v>0</v>
      </c>
    </row>
    <row r="130" spans="1:40" hidden="1" outlineLevel="2" collapsed="1" x14ac:dyDescent="0.25">
      <c r="B130" t="s">
        <v>1004</v>
      </c>
      <c r="C130" t="s">
        <v>1005</v>
      </c>
      <c r="D130" t="s">
        <v>1674</v>
      </c>
      <c r="E130" s="453">
        <f>S130</f>
        <v>-224928.19</v>
      </c>
      <c r="F130" s="453">
        <f>AE130</f>
        <v>0</v>
      </c>
      <c r="G130" s="453">
        <f>AN130</f>
        <v>0</v>
      </c>
      <c r="H130" s="453">
        <f t="shared" ref="H130:AN130" si="35">SUM(H128:H129)</f>
        <v>-224928.19</v>
      </c>
      <c r="I130" s="453">
        <f t="shared" si="35"/>
        <v>-224928.19</v>
      </c>
      <c r="J130" s="453">
        <f t="shared" si="35"/>
        <v>-224928.19</v>
      </c>
      <c r="K130" s="453">
        <f t="shared" si="35"/>
        <v>-224928.19</v>
      </c>
      <c r="L130" s="453">
        <f t="shared" si="35"/>
        <v>-224928.19</v>
      </c>
      <c r="M130" s="453">
        <f t="shared" si="35"/>
        <v>-224928.19</v>
      </c>
      <c r="N130" s="453">
        <f t="shared" si="35"/>
        <v>-224928.19</v>
      </c>
      <c r="O130" s="453">
        <f t="shared" si="35"/>
        <v>-224928.19</v>
      </c>
      <c r="P130" s="453">
        <f t="shared" si="35"/>
        <v>-224928.19</v>
      </c>
      <c r="Q130" s="453">
        <f t="shared" si="35"/>
        <v>-224928.19</v>
      </c>
      <c r="R130" s="453">
        <f t="shared" si="35"/>
        <v>-224928.19</v>
      </c>
      <c r="S130" s="453">
        <f t="shared" si="35"/>
        <v>-224928.19</v>
      </c>
      <c r="T130" s="453">
        <f t="shared" si="35"/>
        <v>-224928.19</v>
      </c>
      <c r="U130" s="453">
        <f t="shared" si="35"/>
        <v>-224928.19</v>
      </c>
      <c r="V130" s="453">
        <f t="shared" si="35"/>
        <v>-111300</v>
      </c>
      <c r="W130" s="453">
        <f t="shared" si="35"/>
        <v>0</v>
      </c>
      <c r="X130" s="453">
        <f t="shared" si="35"/>
        <v>0</v>
      </c>
      <c r="Y130" s="453">
        <f t="shared" si="35"/>
        <v>-15446.08</v>
      </c>
      <c r="Z130" s="453">
        <f t="shared" si="35"/>
        <v>-15446.08</v>
      </c>
      <c r="AA130" s="453">
        <f t="shared" si="35"/>
        <v>-15446.08</v>
      </c>
      <c r="AB130" s="453">
        <f t="shared" si="35"/>
        <v>-15446.08</v>
      </c>
      <c r="AC130" s="453">
        <f t="shared" si="35"/>
        <v>-15446.08</v>
      </c>
      <c r="AD130" s="453">
        <f t="shared" si="35"/>
        <v>-15446.08</v>
      </c>
      <c r="AE130" s="453">
        <f t="shared" si="35"/>
        <v>0</v>
      </c>
      <c r="AF130" s="453">
        <f t="shared" si="35"/>
        <v>0</v>
      </c>
      <c r="AG130" s="453">
        <f t="shared" si="35"/>
        <v>0</v>
      </c>
      <c r="AH130" s="453">
        <f t="shared" si="35"/>
        <v>0</v>
      </c>
      <c r="AI130" s="453">
        <f t="shared" si="35"/>
        <v>0</v>
      </c>
      <c r="AJ130" s="453">
        <f t="shared" si="35"/>
        <v>0</v>
      </c>
      <c r="AK130" s="453">
        <f t="shared" si="35"/>
        <v>0</v>
      </c>
      <c r="AL130" s="453">
        <f t="shared" si="35"/>
        <v>0</v>
      </c>
      <c r="AM130" s="453">
        <f t="shared" si="35"/>
        <v>0</v>
      </c>
      <c r="AN130" s="453">
        <f t="shared" si="35"/>
        <v>0</v>
      </c>
    </row>
    <row r="131" spans="1:40" s="461" customFormat="1" ht="11.25" hidden="1" outlineLevel="2" collapsed="1" x14ac:dyDescent="0.2">
      <c r="B131" s="461" t="s">
        <v>1800</v>
      </c>
      <c r="C131" s="461" t="s">
        <v>1801</v>
      </c>
      <c r="S131" s="462">
        <v>224928.19</v>
      </c>
      <c r="AE131" s="462">
        <v>0</v>
      </c>
    </row>
    <row r="132" spans="1:40" s="461" customFormat="1" ht="11.25" hidden="1" outlineLevel="2" collapsed="1" x14ac:dyDescent="0.2">
      <c r="B132" s="461" t="s">
        <v>1802</v>
      </c>
      <c r="C132" s="461" t="s">
        <v>1803</v>
      </c>
      <c r="S132" s="462">
        <f>ABS(S131) - ABS(S130)</f>
        <v>0</v>
      </c>
      <c r="AE132" s="462">
        <f>ABS(AE131) - ABS(AE130)</f>
        <v>0</v>
      </c>
    </row>
    <row r="133" spans="1:40" hidden="1" outlineLevel="3" collapsed="1" x14ac:dyDescent="0.25">
      <c r="A133" s="452">
        <v>965</v>
      </c>
      <c r="B133" t="s">
        <v>1006</v>
      </c>
      <c r="C133" t="s">
        <v>1007</v>
      </c>
      <c r="D133" t="s">
        <v>1674</v>
      </c>
      <c r="E133" s="453">
        <f t="shared" ref="E133:E138" si="36">S133</f>
        <v>-195556.22</v>
      </c>
      <c r="F133" s="453">
        <f t="shared" ref="F133:F138" si="37">AE133</f>
        <v>-139441.74</v>
      </c>
      <c r="G133" s="453">
        <f t="shared" ref="G133:G138" si="38">AN133</f>
        <v>-277456.65000000002</v>
      </c>
      <c r="H133" s="453">
        <v>-284834.76</v>
      </c>
      <c r="I133" s="453">
        <v>-293734.76</v>
      </c>
      <c r="J133" s="453">
        <v>-302634.76</v>
      </c>
      <c r="K133" s="453">
        <v>-311534.76</v>
      </c>
      <c r="L133" s="453">
        <v>-320434.76</v>
      </c>
      <c r="M133" s="453">
        <v>-311945.53000000003</v>
      </c>
      <c r="N133" s="453">
        <v>-320845.53000000003</v>
      </c>
      <c r="O133" s="453">
        <v>-294182.93</v>
      </c>
      <c r="P133" s="453">
        <v>-283082.93</v>
      </c>
      <c r="Q133" s="453">
        <v>-245982.93</v>
      </c>
      <c r="R133" s="453">
        <v>-187825.35</v>
      </c>
      <c r="S133" s="453">
        <v>-195556.22</v>
      </c>
      <c r="T133" s="453">
        <v>-185781.47</v>
      </c>
      <c r="U133" s="453">
        <v>-198481.47</v>
      </c>
      <c r="V133" s="453">
        <v>-211181.47</v>
      </c>
      <c r="W133" s="453">
        <v>-223881.47</v>
      </c>
      <c r="X133" s="453">
        <v>-236581.47</v>
      </c>
      <c r="Y133" s="453">
        <v>-203085.15</v>
      </c>
      <c r="Z133" s="453">
        <v>-215785.15</v>
      </c>
      <c r="AA133" s="453">
        <v>-228485.15</v>
      </c>
      <c r="AB133" s="453">
        <v>-241185.15</v>
      </c>
      <c r="AC133" s="453">
        <v>-253885.15</v>
      </c>
      <c r="AD133" s="453">
        <v>-187608.15</v>
      </c>
      <c r="AE133" s="453">
        <v>-139441.74</v>
      </c>
      <c r="AF133" s="453">
        <v>-153841.74</v>
      </c>
      <c r="AG133" s="453">
        <v>-168241.74</v>
      </c>
      <c r="AH133" s="453">
        <v>-182641.74</v>
      </c>
      <c r="AI133" s="453">
        <v>-197041.74</v>
      </c>
      <c r="AJ133" s="453">
        <v>-211441.74</v>
      </c>
      <c r="AK133" s="453">
        <v>-175423.65</v>
      </c>
      <c r="AL133" s="453">
        <v>-247656.65</v>
      </c>
      <c r="AM133" s="453">
        <v>-262556.65000000002</v>
      </c>
      <c r="AN133" s="453">
        <v>-277456.65000000002</v>
      </c>
    </row>
    <row r="134" spans="1:40" hidden="1" outlineLevel="3" collapsed="1" x14ac:dyDescent="0.25">
      <c r="A134" s="452">
        <v>966</v>
      </c>
      <c r="B134" t="s">
        <v>1008</v>
      </c>
      <c r="C134" t="s">
        <v>1009</v>
      </c>
      <c r="D134" t="s">
        <v>1674</v>
      </c>
      <c r="E134" s="453">
        <f t="shared" si="36"/>
        <v>-8000</v>
      </c>
      <c r="F134" s="453">
        <f t="shared" si="37"/>
        <v>-8000</v>
      </c>
      <c r="G134" s="453">
        <f t="shared" si="38"/>
        <v>-8000</v>
      </c>
      <c r="H134" s="453">
        <v>-8000</v>
      </c>
      <c r="I134" s="453">
        <v>-8000</v>
      </c>
      <c r="J134" s="453">
        <v>-8000</v>
      </c>
      <c r="K134" s="453">
        <v>-8000</v>
      </c>
      <c r="L134" s="453">
        <v>-8000</v>
      </c>
      <c r="M134" s="453">
        <v>-8000</v>
      </c>
      <c r="N134" s="453">
        <v>-8000</v>
      </c>
      <c r="O134" s="453">
        <v>-8000</v>
      </c>
      <c r="P134" s="453">
        <v>-8000</v>
      </c>
      <c r="Q134" s="453">
        <v>-8000</v>
      </c>
      <c r="R134" s="453">
        <v>-8000</v>
      </c>
      <c r="S134" s="453">
        <v>-8000</v>
      </c>
      <c r="T134" s="453">
        <v>-8000</v>
      </c>
      <c r="U134" s="453">
        <v>-8000</v>
      </c>
      <c r="V134" s="453">
        <v>-8000</v>
      </c>
      <c r="W134" s="453">
        <v>-8000</v>
      </c>
      <c r="X134" s="453">
        <v>-8000</v>
      </c>
      <c r="Y134" s="453">
        <v>-8000</v>
      </c>
      <c r="Z134" s="453">
        <v>-8000</v>
      </c>
      <c r="AA134" s="453">
        <v>-8000</v>
      </c>
      <c r="AB134" s="453">
        <v>-8000</v>
      </c>
      <c r="AC134" s="453">
        <v>-8000</v>
      </c>
      <c r="AD134" s="453">
        <v>-8000</v>
      </c>
      <c r="AE134" s="453">
        <v>-8000</v>
      </c>
      <c r="AF134" s="453">
        <v>-8000</v>
      </c>
      <c r="AG134" s="453">
        <v>-8000</v>
      </c>
      <c r="AH134" s="453">
        <v>-8000</v>
      </c>
      <c r="AI134" s="453">
        <v>-8000</v>
      </c>
      <c r="AJ134" s="453">
        <v>-8000</v>
      </c>
      <c r="AK134" s="453">
        <v>-8000</v>
      </c>
      <c r="AL134" s="453">
        <v>-8000</v>
      </c>
      <c r="AM134" s="453">
        <v>-8000</v>
      </c>
      <c r="AN134" s="453">
        <v>-8000</v>
      </c>
    </row>
    <row r="135" spans="1:40" hidden="1" outlineLevel="3" collapsed="1" x14ac:dyDescent="0.25">
      <c r="A135" s="452">
        <v>970</v>
      </c>
      <c r="B135" t="s">
        <v>1010</v>
      </c>
      <c r="C135" t="s">
        <v>1011</v>
      </c>
      <c r="D135" t="s">
        <v>1674</v>
      </c>
      <c r="E135" s="453">
        <f t="shared" si="36"/>
        <v>-156334.18</v>
      </c>
      <c r="F135" s="453">
        <f t="shared" si="37"/>
        <v>-10021.209999999999</v>
      </c>
      <c r="G135" s="453">
        <f t="shared" si="38"/>
        <v>-35905.39</v>
      </c>
      <c r="H135" s="453">
        <v>-187037.35</v>
      </c>
      <c r="I135" s="453">
        <v>-41720.080000000002</v>
      </c>
      <c r="J135" s="453">
        <v>-41720.080000000002</v>
      </c>
      <c r="K135" s="453">
        <v>-41720.080000000002</v>
      </c>
      <c r="L135" s="453">
        <v>-21750</v>
      </c>
      <c r="M135" s="453">
        <v>-90177.18</v>
      </c>
      <c r="N135" s="453">
        <v>-90177.18</v>
      </c>
      <c r="O135" s="453">
        <v>-10000</v>
      </c>
      <c r="P135" s="453">
        <v>-95380.79</v>
      </c>
      <c r="Q135" s="453">
        <v>-95380.79</v>
      </c>
      <c r="R135" s="453">
        <v>-95380.79</v>
      </c>
      <c r="S135" s="453">
        <v>-156334.18</v>
      </c>
      <c r="T135" s="453">
        <v>-144157.41</v>
      </c>
      <c r="U135" s="453">
        <v>-143894.21</v>
      </c>
      <c r="V135" s="453">
        <v>-138948.56</v>
      </c>
      <c r="W135" s="453">
        <v>-138948.56</v>
      </c>
      <c r="X135" s="453">
        <v>-138948.56</v>
      </c>
      <c r="Y135" s="453">
        <v>-121182.15</v>
      </c>
      <c r="Z135" s="453">
        <v>-12000</v>
      </c>
      <c r="AA135" s="453">
        <v>-8000</v>
      </c>
      <c r="AB135" s="453">
        <v>-8000</v>
      </c>
      <c r="AC135" s="453">
        <v>-8000</v>
      </c>
      <c r="AD135" s="453">
        <v>-8000</v>
      </c>
      <c r="AE135" s="453">
        <v>-10021.209999999999</v>
      </c>
      <c r="AF135" s="453">
        <v>-2272</v>
      </c>
      <c r="AG135" s="453">
        <v>-2000</v>
      </c>
      <c r="AH135" s="453">
        <v>-2000</v>
      </c>
      <c r="AI135" s="453">
        <v>-2000</v>
      </c>
      <c r="AJ135" s="453">
        <v>-2000</v>
      </c>
      <c r="AK135" s="453">
        <v>-2000</v>
      </c>
      <c r="AL135" s="453">
        <v>-183447.04000000001</v>
      </c>
      <c r="AM135" s="453">
        <v>-183447.04000000001</v>
      </c>
      <c r="AN135" s="453">
        <v>-35905.39</v>
      </c>
    </row>
    <row r="136" spans="1:40" hidden="1" outlineLevel="3" collapsed="1" x14ac:dyDescent="0.25">
      <c r="A136" s="452">
        <v>974</v>
      </c>
      <c r="B136" t="s">
        <v>1012</v>
      </c>
      <c r="C136" t="s">
        <v>1013</v>
      </c>
      <c r="D136" t="s">
        <v>1674</v>
      </c>
      <c r="E136" s="453">
        <f t="shared" si="36"/>
        <v>-27517</v>
      </c>
      <c r="F136" s="453">
        <f t="shared" si="37"/>
        <v>-33940</v>
      </c>
      <c r="G136" s="453">
        <f t="shared" si="38"/>
        <v>-33940</v>
      </c>
      <c r="H136" s="453">
        <v>-27419</v>
      </c>
      <c r="I136" s="453">
        <v>-27419</v>
      </c>
      <c r="J136" s="453">
        <v>-27419</v>
      </c>
      <c r="K136" s="453">
        <v>-27419</v>
      </c>
      <c r="L136" s="453">
        <v>-27419</v>
      </c>
      <c r="M136" s="453">
        <v>-27419</v>
      </c>
      <c r="N136" s="453">
        <v>-27419</v>
      </c>
      <c r="O136" s="453">
        <v>-27419</v>
      </c>
      <c r="P136" s="453">
        <v>-27419</v>
      </c>
      <c r="Q136" s="453">
        <v>-27419</v>
      </c>
      <c r="R136" s="453">
        <v>-27419</v>
      </c>
      <c r="S136" s="453">
        <v>-27517</v>
      </c>
      <c r="T136" s="453">
        <v>-27517</v>
      </c>
      <c r="U136" s="453">
        <v>-27517</v>
      </c>
      <c r="V136" s="453">
        <v>-27517</v>
      </c>
      <c r="W136" s="453">
        <v>-27517</v>
      </c>
      <c r="X136" s="453">
        <v>-27517</v>
      </c>
      <c r="Y136" s="453">
        <v>-27517</v>
      </c>
      <c r="Z136" s="453">
        <v>-27517</v>
      </c>
      <c r="AA136" s="453">
        <v>-27517</v>
      </c>
      <c r="AB136" s="453">
        <v>-27517</v>
      </c>
      <c r="AC136" s="453">
        <v>-27517</v>
      </c>
      <c r="AD136" s="453">
        <v>-27517</v>
      </c>
      <c r="AE136" s="453">
        <v>-33940</v>
      </c>
      <c r="AF136" s="453">
        <v>-33940</v>
      </c>
      <c r="AG136" s="453">
        <v>-33940</v>
      </c>
      <c r="AH136" s="453">
        <v>-33940</v>
      </c>
      <c r="AI136" s="453">
        <v>-33940</v>
      </c>
      <c r="AJ136" s="453">
        <v>-33940</v>
      </c>
      <c r="AK136" s="453">
        <v>-33940</v>
      </c>
      <c r="AL136" s="453">
        <v>-33940</v>
      </c>
      <c r="AM136" s="453">
        <v>-33940</v>
      </c>
      <c r="AN136" s="453">
        <v>-33940</v>
      </c>
    </row>
    <row r="137" spans="1:40" hidden="1" outlineLevel="3" collapsed="1" x14ac:dyDescent="0.25">
      <c r="A137" s="452">
        <v>977</v>
      </c>
      <c r="B137" t="s">
        <v>1014</v>
      </c>
      <c r="C137" t="s">
        <v>1015</v>
      </c>
      <c r="D137" t="s">
        <v>1674</v>
      </c>
      <c r="E137" s="453">
        <f t="shared" si="36"/>
        <v>-37500</v>
      </c>
      <c r="F137" s="453">
        <f t="shared" si="37"/>
        <v>-37000</v>
      </c>
      <c r="G137" s="453">
        <f t="shared" si="38"/>
        <v>-64000</v>
      </c>
      <c r="H137" s="453">
        <v>-35081</v>
      </c>
      <c r="I137" s="453">
        <v>-37581</v>
      </c>
      <c r="J137" s="453">
        <v>-40081</v>
      </c>
      <c r="K137" s="453">
        <v>-42581</v>
      </c>
      <c r="L137" s="453">
        <v>-45081</v>
      </c>
      <c r="M137" s="453">
        <v>-47581</v>
      </c>
      <c r="N137" s="453">
        <v>-50081</v>
      </c>
      <c r="O137" s="453">
        <v>-52581</v>
      </c>
      <c r="P137" s="453">
        <v>-40081</v>
      </c>
      <c r="Q137" s="453">
        <v>-42581</v>
      </c>
      <c r="R137" s="453">
        <v>-45081</v>
      </c>
      <c r="S137" s="453">
        <v>-37500</v>
      </c>
      <c r="T137" s="453">
        <v>-42954</v>
      </c>
      <c r="U137" s="453">
        <v>-45454</v>
      </c>
      <c r="V137" s="453">
        <v>-47954</v>
      </c>
      <c r="W137" s="453">
        <v>-50454</v>
      </c>
      <c r="X137" s="453">
        <v>-52954</v>
      </c>
      <c r="Y137" s="453">
        <v>-55454</v>
      </c>
      <c r="Z137" s="453">
        <v>-57954</v>
      </c>
      <c r="AA137" s="453">
        <v>-60454</v>
      </c>
      <c r="AB137" s="453">
        <v>-62954</v>
      </c>
      <c r="AC137" s="453">
        <v>-65454</v>
      </c>
      <c r="AD137" s="453">
        <v>-67954</v>
      </c>
      <c r="AE137" s="453">
        <v>-37000</v>
      </c>
      <c r="AF137" s="453">
        <v>-40000</v>
      </c>
      <c r="AG137" s="453">
        <v>-43000</v>
      </c>
      <c r="AH137" s="453">
        <v>-46000</v>
      </c>
      <c r="AI137" s="453">
        <v>-49000</v>
      </c>
      <c r="AJ137" s="453">
        <v>-52000</v>
      </c>
      <c r="AK137" s="453">
        <v>-55000</v>
      </c>
      <c r="AL137" s="453">
        <v>-58000</v>
      </c>
      <c r="AM137" s="453">
        <v>-61000</v>
      </c>
      <c r="AN137" s="453">
        <v>-64000</v>
      </c>
    </row>
    <row r="138" spans="1:40" hidden="1" outlineLevel="2" collapsed="1" x14ac:dyDescent="0.25">
      <c r="B138" t="s">
        <v>1016</v>
      </c>
      <c r="C138" t="s">
        <v>1017</v>
      </c>
      <c r="D138" t="s">
        <v>1674</v>
      </c>
      <c r="E138" s="453">
        <f t="shared" si="36"/>
        <v>-424907.4</v>
      </c>
      <c r="F138" s="453">
        <f t="shared" si="37"/>
        <v>-228402.94999999998</v>
      </c>
      <c r="G138" s="453">
        <f t="shared" si="38"/>
        <v>-419302.04000000004</v>
      </c>
      <c r="H138" s="453">
        <f t="shared" ref="H138:AN138" si="39">SUM(H133:H137)</f>
        <v>-542372.11</v>
      </c>
      <c r="I138" s="453">
        <f t="shared" si="39"/>
        <v>-408454.84</v>
      </c>
      <c r="J138" s="453">
        <f t="shared" si="39"/>
        <v>-419854.84</v>
      </c>
      <c r="K138" s="453">
        <f t="shared" si="39"/>
        <v>-431254.84</v>
      </c>
      <c r="L138" s="453">
        <f t="shared" si="39"/>
        <v>-422684.76</v>
      </c>
      <c r="M138" s="453">
        <f t="shared" si="39"/>
        <v>-485122.71</v>
      </c>
      <c r="N138" s="453">
        <f t="shared" si="39"/>
        <v>-496522.71</v>
      </c>
      <c r="O138" s="453">
        <f t="shared" si="39"/>
        <v>-392182.93</v>
      </c>
      <c r="P138" s="453">
        <f t="shared" si="39"/>
        <v>-453963.72</v>
      </c>
      <c r="Q138" s="453">
        <f t="shared" si="39"/>
        <v>-419363.72</v>
      </c>
      <c r="R138" s="453">
        <f t="shared" si="39"/>
        <v>-363706.14</v>
      </c>
      <c r="S138" s="453">
        <f t="shared" si="39"/>
        <v>-424907.4</v>
      </c>
      <c r="T138" s="453">
        <f t="shared" si="39"/>
        <v>-408409.88</v>
      </c>
      <c r="U138" s="453">
        <f t="shared" si="39"/>
        <v>-423346.68</v>
      </c>
      <c r="V138" s="453">
        <f t="shared" si="39"/>
        <v>-433601.03</v>
      </c>
      <c r="W138" s="453">
        <f t="shared" si="39"/>
        <v>-448801.03</v>
      </c>
      <c r="X138" s="453">
        <f t="shared" si="39"/>
        <v>-464001.03</v>
      </c>
      <c r="Y138" s="453">
        <f t="shared" si="39"/>
        <v>-415238.3</v>
      </c>
      <c r="Z138" s="453">
        <f t="shared" si="39"/>
        <v>-321256.15000000002</v>
      </c>
      <c r="AA138" s="453">
        <f t="shared" si="39"/>
        <v>-332456.15000000002</v>
      </c>
      <c r="AB138" s="453">
        <f t="shared" si="39"/>
        <v>-347656.15</v>
      </c>
      <c r="AC138" s="453">
        <f t="shared" si="39"/>
        <v>-362856.15</v>
      </c>
      <c r="AD138" s="453">
        <f t="shared" si="39"/>
        <v>-299079.15000000002</v>
      </c>
      <c r="AE138" s="453">
        <f t="shared" si="39"/>
        <v>-228402.94999999998</v>
      </c>
      <c r="AF138" s="453">
        <f t="shared" si="39"/>
        <v>-238053.74</v>
      </c>
      <c r="AG138" s="453">
        <f t="shared" si="39"/>
        <v>-255181.74</v>
      </c>
      <c r="AH138" s="453">
        <f t="shared" si="39"/>
        <v>-272581.74</v>
      </c>
      <c r="AI138" s="453">
        <f t="shared" si="39"/>
        <v>-289981.74</v>
      </c>
      <c r="AJ138" s="453">
        <f t="shared" si="39"/>
        <v>-307381.74</v>
      </c>
      <c r="AK138" s="453">
        <f t="shared" si="39"/>
        <v>-274363.65000000002</v>
      </c>
      <c r="AL138" s="453">
        <f t="shared" si="39"/>
        <v>-531043.68999999994</v>
      </c>
      <c r="AM138" s="453">
        <f t="shared" si="39"/>
        <v>-548943.69000000006</v>
      </c>
      <c r="AN138" s="453">
        <f t="shared" si="39"/>
        <v>-419302.04000000004</v>
      </c>
    </row>
    <row r="139" spans="1:40" s="461" customFormat="1" ht="11.25" hidden="1" outlineLevel="2" collapsed="1" x14ac:dyDescent="0.2">
      <c r="B139" s="461" t="s">
        <v>1804</v>
      </c>
      <c r="C139" s="461" t="s">
        <v>1805</v>
      </c>
      <c r="S139" s="462">
        <v>424907.4</v>
      </c>
      <c r="AE139" s="462">
        <v>228402.95</v>
      </c>
    </row>
    <row r="140" spans="1:40" s="461" customFormat="1" ht="11.25" hidden="1" outlineLevel="2" collapsed="1" x14ac:dyDescent="0.2">
      <c r="B140" s="461" t="s">
        <v>1806</v>
      </c>
      <c r="C140" s="461" t="s">
        <v>1807</v>
      </c>
      <c r="S140" s="462">
        <f>ABS(S139) - ABS(S138)</f>
        <v>0</v>
      </c>
      <c r="AE140" s="462">
        <f>ABS(AE139) - ABS(AE138)</f>
        <v>0</v>
      </c>
    </row>
    <row r="141" spans="1:40" outlineLevel="1" collapsed="1" x14ac:dyDescent="0.25">
      <c r="B141" t="s">
        <v>1018</v>
      </c>
      <c r="C141" t="s">
        <v>1019</v>
      </c>
      <c r="D141" t="s">
        <v>1674</v>
      </c>
      <c r="E141" s="453">
        <f>S141</f>
        <v>-841937.59000000008</v>
      </c>
      <c r="F141" s="453">
        <f>AE141</f>
        <v>-410805.94999999995</v>
      </c>
      <c r="G141" s="453">
        <f>AN141</f>
        <v>-601705.04</v>
      </c>
      <c r="H141" s="453">
        <f t="shared" ref="H141:AN141" si="40">H125+H130+H138</f>
        <v>-968776.3</v>
      </c>
      <c r="I141" s="453">
        <f t="shared" si="40"/>
        <v>-834859.03</v>
      </c>
      <c r="J141" s="453">
        <f t="shared" si="40"/>
        <v>-846259.03</v>
      </c>
      <c r="K141" s="453">
        <f t="shared" si="40"/>
        <v>-857659.03</v>
      </c>
      <c r="L141" s="453">
        <f t="shared" si="40"/>
        <v>-849088.95</v>
      </c>
      <c r="M141" s="453">
        <f t="shared" si="40"/>
        <v>-911526.9</v>
      </c>
      <c r="N141" s="453">
        <f t="shared" si="40"/>
        <v>-922926.9</v>
      </c>
      <c r="O141" s="453">
        <f t="shared" si="40"/>
        <v>-818587.12</v>
      </c>
      <c r="P141" s="453">
        <f t="shared" si="40"/>
        <v>-870993.90999999992</v>
      </c>
      <c r="Q141" s="453">
        <f t="shared" si="40"/>
        <v>-836393.90999999992</v>
      </c>
      <c r="R141" s="453">
        <f t="shared" si="40"/>
        <v>-780736.33000000007</v>
      </c>
      <c r="S141" s="453">
        <f t="shared" si="40"/>
        <v>-841937.59000000008</v>
      </c>
      <c r="T141" s="453">
        <f t="shared" si="40"/>
        <v>-825440.07000000007</v>
      </c>
      <c r="U141" s="453">
        <f t="shared" si="40"/>
        <v>-840376.87</v>
      </c>
      <c r="V141" s="453">
        <f t="shared" si="40"/>
        <v>-737003.03</v>
      </c>
      <c r="W141" s="453">
        <f t="shared" si="40"/>
        <v>-640903.03</v>
      </c>
      <c r="X141" s="453">
        <f t="shared" si="40"/>
        <v>-656103.03</v>
      </c>
      <c r="Y141" s="453">
        <f t="shared" si="40"/>
        <v>-622786.38</v>
      </c>
      <c r="Z141" s="453">
        <f t="shared" si="40"/>
        <v>-528804.23</v>
      </c>
      <c r="AA141" s="453">
        <f t="shared" si="40"/>
        <v>-540004.23</v>
      </c>
      <c r="AB141" s="453">
        <f t="shared" si="40"/>
        <v>-555204.23</v>
      </c>
      <c r="AC141" s="453">
        <f t="shared" si="40"/>
        <v>-570404.23</v>
      </c>
      <c r="AD141" s="453">
        <f t="shared" si="40"/>
        <v>-506627.23</v>
      </c>
      <c r="AE141" s="453">
        <f t="shared" si="40"/>
        <v>-410805.94999999995</v>
      </c>
      <c r="AF141" s="453">
        <f t="shared" si="40"/>
        <v>-420456.74</v>
      </c>
      <c r="AG141" s="453">
        <f t="shared" si="40"/>
        <v>-437584.74</v>
      </c>
      <c r="AH141" s="453">
        <f t="shared" si="40"/>
        <v>-454984.74</v>
      </c>
      <c r="AI141" s="453">
        <f t="shared" si="40"/>
        <v>-472384.74</v>
      </c>
      <c r="AJ141" s="453">
        <f t="shared" si="40"/>
        <v>-489784.74</v>
      </c>
      <c r="AK141" s="453">
        <f t="shared" si="40"/>
        <v>-456766.65</v>
      </c>
      <c r="AL141" s="453">
        <f t="shared" si="40"/>
        <v>-713446.69</v>
      </c>
      <c r="AM141" s="453">
        <f t="shared" si="40"/>
        <v>-731346.69000000006</v>
      </c>
      <c r="AN141" s="453">
        <f t="shared" si="40"/>
        <v>-601705.04</v>
      </c>
    </row>
    <row r="142" spans="1:40" s="461" customFormat="1" ht="11.25" outlineLevel="1" collapsed="1" x14ac:dyDescent="0.2">
      <c r="B142" s="461" t="s">
        <v>1808</v>
      </c>
      <c r="C142" s="461" t="s">
        <v>1809</v>
      </c>
      <c r="S142" s="462">
        <v>841937.59</v>
      </c>
      <c r="AE142" s="462">
        <v>410805.95</v>
      </c>
    </row>
    <row r="143" spans="1:40" s="461" customFormat="1" ht="11.25" outlineLevel="1" collapsed="1" x14ac:dyDescent="0.2">
      <c r="B143" s="461" t="s">
        <v>1810</v>
      </c>
      <c r="C143" s="461" t="s">
        <v>1811</v>
      </c>
      <c r="S143" s="462">
        <f>ABS(S142) - ABS(S141)</f>
        <v>0</v>
      </c>
      <c r="AE143" s="462">
        <f>ABS(AE142) - ABS(AE141)</f>
        <v>0</v>
      </c>
    </row>
    <row r="144" spans="1:40" hidden="1" outlineLevel="3" collapsed="1" x14ac:dyDescent="0.25">
      <c r="A144" s="452">
        <v>1718</v>
      </c>
      <c r="B144" t="s">
        <v>1020</v>
      </c>
      <c r="C144" t="s">
        <v>1021</v>
      </c>
      <c r="D144" t="s">
        <v>1674</v>
      </c>
      <c r="E144" s="453">
        <f>S144</f>
        <v>-50000</v>
      </c>
      <c r="F144" s="453">
        <f>AE144</f>
        <v>-50000</v>
      </c>
      <c r="G144" s="453">
        <f>AN144</f>
        <v>0</v>
      </c>
      <c r="H144" s="453">
        <v>-50000</v>
      </c>
      <c r="I144" s="453">
        <v>-50000</v>
      </c>
      <c r="J144" s="453">
        <v>-50000</v>
      </c>
      <c r="K144" s="453">
        <v>-50000</v>
      </c>
      <c r="L144" s="453">
        <v>-50000</v>
      </c>
      <c r="M144" s="453">
        <v>-50000</v>
      </c>
      <c r="N144" s="453">
        <v>-50000</v>
      </c>
      <c r="O144" s="453">
        <v>-50000</v>
      </c>
      <c r="P144" s="453">
        <v>-50000</v>
      </c>
      <c r="Q144" s="453">
        <v>-50000</v>
      </c>
      <c r="R144" s="453">
        <v>-50000</v>
      </c>
      <c r="S144" s="453">
        <v>-50000</v>
      </c>
      <c r="T144" s="453">
        <v>-50000</v>
      </c>
      <c r="U144" s="453">
        <v>-50000</v>
      </c>
      <c r="V144" s="453">
        <v>-50000</v>
      </c>
      <c r="W144" s="453">
        <v>-50000</v>
      </c>
      <c r="X144" s="453">
        <v>-50000</v>
      </c>
      <c r="Y144" s="453">
        <v>-50000</v>
      </c>
      <c r="Z144" s="453">
        <v>-50000</v>
      </c>
      <c r="AA144" s="453">
        <v>-50000</v>
      </c>
      <c r="AB144" s="453">
        <v>-50000</v>
      </c>
      <c r="AC144" s="453">
        <v>-50000</v>
      </c>
      <c r="AD144" s="453">
        <v>-50000</v>
      </c>
      <c r="AE144" s="453">
        <v>-50000</v>
      </c>
      <c r="AF144" s="453">
        <v>-50000</v>
      </c>
      <c r="AG144" s="453">
        <v>-50000</v>
      </c>
      <c r="AH144" s="453">
        <v>-50000</v>
      </c>
      <c r="AI144" s="453">
        <v>0</v>
      </c>
      <c r="AJ144" s="453">
        <v>0</v>
      </c>
      <c r="AK144" s="453">
        <v>0</v>
      </c>
      <c r="AL144" s="453">
        <v>0</v>
      </c>
      <c r="AM144" s="453">
        <v>0</v>
      </c>
      <c r="AN144" s="453">
        <v>0</v>
      </c>
    </row>
    <row r="145" spans="1:40" hidden="1" outlineLevel="3" collapsed="1" x14ac:dyDescent="0.25">
      <c r="A145" s="452">
        <v>1710</v>
      </c>
      <c r="B145" t="s">
        <v>1812</v>
      </c>
      <c r="C145" t="s">
        <v>1813</v>
      </c>
      <c r="D145" t="s">
        <v>1814</v>
      </c>
      <c r="E145" s="453">
        <f>S145</f>
        <v>0</v>
      </c>
      <c r="F145" s="453">
        <f>AE145</f>
        <v>0</v>
      </c>
      <c r="G145" s="453">
        <f>AN145</f>
        <v>0</v>
      </c>
      <c r="H145" s="453">
        <v>0</v>
      </c>
      <c r="I145" s="453">
        <v>0</v>
      </c>
      <c r="J145" s="453">
        <v>0</v>
      </c>
      <c r="K145" s="453">
        <v>0</v>
      </c>
      <c r="L145" s="453">
        <v>0</v>
      </c>
      <c r="M145" s="453">
        <v>0</v>
      </c>
      <c r="N145" s="453">
        <v>0</v>
      </c>
      <c r="O145" s="453">
        <v>0</v>
      </c>
      <c r="P145" s="453">
        <v>0</v>
      </c>
      <c r="Q145" s="453">
        <v>0</v>
      </c>
      <c r="R145" s="453">
        <v>0</v>
      </c>
      <c r="S145" s="453">
        <v>0</v>
      </c>
    </row>
    <row r="146" spans="1:40" hidden="1" outlineLevel="2" collapsed="1" x14ac:dyDescent="0.25">
      <c r="B146" t="s">
        <v>1022</v>
      </c>
      <c r="C146" t="s">
        <v>1023</v>
      </c>
      <c r="D146" t="s">
        <v>1674</v>
      </c>
      <c r="E146" s="453">
        <f>S146</f>
        <v>-50000</v>
      </c>
      <c r="F146" s="453">
        <f>AE146</f>
        <v>-50000</v>
      </c>
      <c r="G146" s="453">
        <f>AN146</f>
        <v>0</v>
      </c>
      <c r="H146" s="453">
        <f t="shared" ref="H146:AN146" si="41">SUM(H144:H145)</f>
        <v>-50000</v>
      </c>
      <c r="I146" s="453">
        <f t="shared" si="41"/>
        <v>-50000</v>
      </c>
      <c r="J146" s="453">
        <f t="shared" si="41"/>
        <v>-50000</v>
      </c>
      <c r="K146" s="453">
        <f t="shared" si="41"/>
        <v>-50000</v>
      </c>
      <c r="L146" s="453">
        <f t="shared" si="41"/>
        <v>-50000</v>
      </c>
      <c r="M146" s="453">
        <f t="shared" si="41"/>
        <v>-50000</v>
      </c>
      <c r="N146" s="453">
        <f t="shared" si="41"/>
        <v>-50000</v>
      </c>
      <c r="O146" s="453">
        <f t="shared" si="41"/>
        <v>-50000</v>
      </c>
      <c r="P146" s="453">
        <f t="shared" si="41"/>
        <v>-50000</v>
      </c>
      <c r="Q146" s="453">
        <f t="shared" si="41"/>
        <v>-50000</v>
      </c>
      <c r="R146" s="453">
        <f t="shared" si="41"/>
        <v>-50000</v>
      </c>
      <c r="S146" s="453">
        <f t="shared" si="41"/>
        <v>-50000</v>
      </c>
      <c r="T146" s="453">
        <f t="shared" si="41"/>
        <v>-50000</v>
      </c>
      <c r="U146" s="453">
        <f t="shared" si="41"/>
        <v>-50000</v>
      </c>
      <c r="V146" s="453">
        <f t="shared" si="41"/>
        <v>-50000</v>
      </c>
      <c r="W146" s="453">
        <f t="shared" si="41"/>
        <v>-50000</v>
      </c>
      <c r="X146" s="453">
        <f t="shared" si="41"/>
        <v>-50000</v>
      </c>
      <c r="Y146" s="453">
        <f t="shared" si="41"/>
        <v>-50000</v>
      </c>
      <c r="Z146" s="453">
        <f t="shared" si="41"/>
        <v>-50000</v>
      </c>
      <c r="AA146" s="453">
        <f t="shared" si="41"/>
        <v>-50000</v>
      </c>
      <c r="AB146" s="453">
        <f t="shared" si="41"/>
        <v>-50000</v>
      </c>
      <c r="AC146" s="453">
        <f t="shared" si="41"/>
        <v>-50000</v>
      </c>
      <c r="AD146" s="453">
        <f t="shared" si="41"/>
        <v>-50000</v>
      </c>
      <c r="AE146" s="453">
        <f t="shared" si="41"/>
        <v>-50000</v>
      </c>
      <c r="AF146" s="453">
        <f t="shared" si="41"/>
        <v>-50000</v>
      </c>
      <c r="AG146" s="453">
        <f t="shared" si="41"/>
        <v>-50000</v>
      </c>
      <c r="AH146" s="453">
        <f t="shared" si="41"/>
        <v>-50000</v>
      </c>
      <c r="AI146" s="453">
        <f t="shared" si="41"/>
        <v>0</v>
      </c>
      <c r="AJ146" s="453">
        <f t="shared" si="41"/>
        <v>0</v>
      </c>
      <c r="AK146" s="453">
        <f t="shared" si="41"/>
        <v>0</v>
      </c>
      <c r="AL146" s="453">
        <f t="shared" si="41"/>
        <v>0</v>
      </c>
      <c r="AM146" s="453">
        <f t="shared" si="41"/>
        <v>0</v>
      </c>
      <c r="AN146" s="453">
        <f t="shared" si="41"/>
        <v>0</v>
      </c>
    </row>
    <row r="147" spans="1:40" s="461" customFormat="1" ht="11.25" hidden="1" outlineLevel="2" collapsed="1" x14ac:dyDescent="0.2">
      <c r="B147" s="461" t="s">
        <v>1815</v>
      </c>
      <c r="C147" s="461" t="s">
        <v>1816</v>
      </c>
      <c r="S147" s="462">
        <v>50000</v>
      </c>
      <c r="AE147" s="462">
        <v>50000</v>
      </c>
    </row>
    <row r="148" spans="1:40" s="461" customFormat="1" ht="11.25" hidden="1" outlineLevel="2" collapsed="1" x14ac:dyDescent="0.2">
      <c r="B148" s="461" t="s">
        <v>1817</v>
      </c>
      <c r="C148" s="461" t="s">
        <v>1818</v>
      </c>
      <c r="S148" s="462">
        <f>ABS(S147) - ABS(S146)</f>
        <v>0</v>
      </c>
      <c r="AE148" s="462">
        <f>ABS(AE147) - ABS(AE146)</f>
        <v>0</v>
      </c>
    </row>
    <row r="149" spans="1:40" hidden="1" outlineLevel="3" collapsed="1" x14ac:dyDescent="0.25">
      <c r="A149" s="452">
        <v>1790</v>
      </c>
      <c r="B149" t="s">
        <v>1028</v>
      </c>
      <c r="C149" t="s">
        <v>1029</v>
      </c>
      <c r="D149" t="s">
        <v>1674</v>
      </c>
      <c r="E149" s="453">
        <f t="shared" ref="E149:E169" si="42">S149</f>
        <v>2692.27</v>
      </c>
      <c r="F149" s="453">
        <f t="shared" ref="F149:F169" si="43">AE149</f>
        <v>1513.82</v>
      </c>
      <c r="G149" s="453">
        <f t="shared" ref="G149:G169" si="44">AN149</f>
        <v>0</v>
      </c>
      <c r="H149" s="453">
        <v>-208912.85</v>
      </c>
      <c r="I149" s="453">
        <v>-208912.85</v>
      </c>
      <c r="J149" s="453">
        <v>-139289.67000000001</v>
      </c>
      <c r="K149" s="453">
        <v>-139289.67000000001</v>
      </c>
      <c r="L149" s="453">
        <v>-13919.25</v>
      </c>
      <c r="M149" s="453">
        <v>-13919.25</v>
      </c>
      <c r="N149" s="453">
        <v>-13919.25</v>
      </c>
      <c r="O149" s="453">
        <v>-13919.25</v>
      </c>
      <c r="P149" s="453">
        <v>-13919.25</v>
      </c>
      <c r="Q149" s="453">
        <v>0</v>
      </c>
      <c r="R149" s="453">
        <v>0</v>
      </c>
      <c r="S149" s="453">
        <v>2692.27</v>
      </c>
      <c r="T149" s="453">
        <v>113578.39</v>
      </c>
      <c r="U149" s="453">
        <v>11538.65</v>
      </c>
      <c r="V149" s="453">
        <v>1513.82</v>
      </c>
      <c r="W149" s="453">
        <v>1513.82</v>
      </c>
      <c r="X149" s="453">
        <v>1513.82</v>
      </c>
      <c r="Y149" s="453">
        <v>1513.82</v>
      </c>
      <c r="Z149" s="453">
        <v>1513.82</v>
      </c>
      <c r="AA149" s="453">
        <v>1513.82</v>
      </c>
      <c r="AB149" s="453">
        <v>1513.82</v>
      </c>
      <c r="AC149" s="453">
        <v>1513.82</v>
      </c>
      <c r="AD149" s="453">
        <v>1513.82</v>
      </c>
      <c r="AE149" s="453">
        <v>1513.82</v>
      </c>
    </row>
    <row r="150" spans="1:40" hidden="1" outlineLevel="3" collapsed="1" x14ac:dyDescent="0.25">
      <c r="A150" s="452">
        <v>1789</v>
      </c>
      <c r="B150" t="s">
        <v>1030</v>
      </c>
      <c r="C150" t="s">
        <v>1031</v>
      </c>
      <c r="D150" t="s">
        <v>1674</v>
      </c>
      <c r="E150" s="453">
        <f t="shared" si="42"/>
        <v>-11198.56</v>
      </c>
      <c r="F150" s="453">
        <f t="shared" si="43"/>
        <v>-65679.12</v>
      </c>
      <c r="G150" s="453">
        <f t="shared" si="44"/>
        <v>0</v>
      </c>
      <c r="H150" s="453">
        <v>0</v>
      </c>
      <c r="I150" s="453">
        <v>0</v>
      </c>
      <c r="J150" s="453">
        <v>0</v>
      </c>
      <c r="K150" s="453">
        <v>0</v>
      </c>
      <c r="L150" s="453">
        <v>0</v>
      </c>
      <c r="M150" s="453">
        <v>0</v>
      </c>
      <c r="N150" s="453">
        <v>0</v>
      </c>
      <c r="O150" s="453">
        <v>0</v>
      </c>
      <c r="P150" s="453">
        <v>0</v>
      </c>
      <c r="Q150" s="453">
        <v>0</v>
      </c>
      <c r="R150" s="453">
        <v>0</v>
      </c>
      <c r="S150" s="453">
        <v>-11198.56</v>
      </c>
      <c r="T150" s="453">
        <v>0</v>
      </c>
      <c r="U150" s="453">
        <v>0</v>
      </c>
      <c r="V150" s="453">
        <v>0</v>
      </c>
      <c r="W150" s="453">
        <v>0</v>
      </c>
      <c r="X150" s="453">
        <v>0</v>
      </c>
      <c r="Y150" s="453">
        <v>0</v>
      </c>
      <c r="Z150" s="453">
        <v>0</v>
      </c>
      <c r="AA150" s="453">
        <v>0</v>
      </c>
      <c r="AB150" s="453">
        <v>0</v>
      </c>
      <c r="AC150" s="453">
        <v>0</v>
      </c>
      <c r="AD150" s="453">
        <v>0</v>
      </c>
      <c r="AE150" s="453">
        <v>-65679.12</v>
      </c>
      <c r="AF150" s="453">
        <v>0</v>
      </c>
      <c r="AG150" s="453">
        <v>0</v>
      </c>
      <c r="AH150" s="453">
        <v>0</v>
      </c>
      <c r="AI150" s="453">
        <v>0</v>
      </c>
      <c r="AJ150" s="453">
        <v>0</v>
      </c>
      <c r="AK150" s="453">
        <v>0</v>
      </c>
      <c r="AL150" s="453">
        <v>0</v>
      </c>
      <c r="AM150" s="453">
        <v>0</v>
      </c>
      <c r="AN150" s="453">
        <v>0</v>
      </c>
    </row>
    <row r="151" spans="1:40" hidden="1" outlineLevel="3" collapsed="1" x14ac:dyDescent="0.25">
      <c r="A151" s="452">
        <v>1787</v>
      </c>
      <c r="B151" t="s">
        <v>1032</v>
      </c>
      <c r="C151" t="s">
        <v>1033</v>
      </c>
      <c r="D151" t="s">
        <v>1674</v>
      </c>
      <c r="E151" s="453">
        <f t="shared" si="42"/>
        <v>-27806.22</v>
      </c>
      <c r="F151" s="453">
        <f t="shared" si="43"/>
        <v>-35210.15</v>
      </c>
      <c r="G151" s="453">
        <f t="shared" si="44"/>
        <v>-34584.39</v>
      </c>
      <c r="H151" s="453">
        <v>-522.5</v>
      </c>
      <c r="I151" s="453">
        <v>-522.5</v>
      </c>
      <c r="J151" s="453">
        <v>-1548.5</v>
      </c>
      <c r="K151" s="453">
        <v>-2864.25</v>
      </c>
      <c r="L151" s="453">
        <v>-4577.1000000000004</v>
      </c>
      <c r="M151" s="453">
        <v>-4939.24</v>
      </c>
      <c r="N151" s="453">
        <v>-7212.59</v>
      </c>
      <c r="O151" s="453">
        <v>-7972.59</v>
      </c>
      <c r="P151" s="453">
        <v>-7972.59</v>
      </c>
      <c r="Q151" s="453">
        <v>-9490.2199999999993</v>
      </c>
      <c r="R151" s="453">
        <v>-9490.2199999999993</v>
      </c>
      <c r="S151" s="453">
        <v>-27806.22</v>
      </c>
      <c r="T151" s="453">
        <v>-4700.6000000000004</v>
      </c>
      <c r="U151" s="453">
        <v>-5016</v>
      </c>
      <c r="V151" s="453">
        <v>-6621.5</v>
      </c>
      <c r="W151" s="453">
        <v>-7229.5</v>
      </c>
      <c r="X151" s="453">
        <v>-11641.55</v>
      </c>
      <c r="Y151" s="453">
        <v>-24257.13</v>
      </c>
      <c r="Z151" s="453">
        <v>-26062.13</v>
      </c>
      <c r="AA151" s="453">
        <v>-32011.51</v>
      </c>
      <c r="AB151" s="453">
        <v>-32619.51</v>
      </c>
      <c r="AC151" s="453">
        <v>-33223.46</v>
      </c>
      <c r="AD151" s="453">
        <v>-34591.46</v>
      </c>
      <c r="AE151" s="453">
        <v>-35210.15</v>
      </c>
      <c r="AF151" s="453">
        <v>-18326.82</v>
      </c>
      <c r="AG151" s="453">
        <v>-19000.37</v>
      </c>
      <c r="AH151" s="453">
        <v>-24289.97</v>
      </c>
      <c r="AI151" s="453">
        <v>-24629.23</v>
      </c>
      <c r="AJ151" s="453">
        <v>-26032.49</v>
      </c>
      <c r="AK151" s="453">
        <v>-27248.49</v>
      </c>
      <c r="AL151" s="453">
        <v>-28521.49</v>
      </c>
      <c r="AM151" s="453">
        <v>-33216.39</v>
      </c>
      <c r="AN151" s="453">
        <v>-34584.39</v>
      </c>
    </row>
    <row r="152" spans="1:40" hidden="1" outlineLevel="3" collapsed="1" x14ac:dyDescent="0.25">
      <c r="A152" s="452">
        <v>1781</v>
      </c>
      <c r="B152" t="s">
        <v>1034</v>
      </c>
      <c r="C152" t="s">
        <v>1035</v>
      </c>
      <c r="D152" t="s">
        <v>1674</v>
      </c>
      <c r="E152" s="453">
        <f t="shared" si="42"/>
        <v>212720</v>
      </c>
      <c r="F152" s="453">
        <f t="shared" si="43"/>
        <v>124929</v>
      </c>
      <c r="G152" s="453">
        <f t="shared" si="44"/>
        <v>110118</v>
      </c>
      <c r="H152" s="453">
        <v>0</v>
      </c>
      <c r="I152" s="453">
        <v>0</v>
      </c>
      <c r="J152" s="453">
        <v>148044</v>
      </c>
      <c r="K152" s="453">
        <v>148044</v>
      </c>
      <c r="L152" s="453">
        <v>212720</v>
      </c>
      <c r="M152" s="453">
        <v>212720</v>
      </c>
      <c r="N152" s="453">
        <v>212720</v>
      </c>
      <c r="O152" s="453">
        <v>212720</v>
      </c>
      <c r="P152" s="453">
        <v>212720</v>
      </c>
      <c r="Q152" s="453">
        <v>212720</v>
      </c>
      <c r="R152" s="453">
        <v>212720</v>
      </c>
      <c r="S152" s="453">
        <v>212720</v>
      </c>
      <c r="T152" s="453">
        <v>0</v>
      </c>
      <c r="U152" s="453">
        <v>124929</v>
      </c>
      <c r="V152" s="453">
        <v>124929</v>
      </c>
      <c r="W152" s="453">
        <v>124929</v>
      </c>
      <c r="X152" s="453">
        <v>124929</v>
      </c>
      <c r="Y152" s="453">
        <v>124929</v>
      </c>
      <c r="Z152" s="453">
        <v>124929</v>
      </c>
      <c r="AA152" s="453">
        <v>124929</v>
      </c>
      <c r="AB152" s="453">
        <v>124929</v>
      </c>
      <c r="AC152" s="453">
        <v>124929</v>
      </c>
      <c r="AD152" s="453">
        <v>124929</v>
      </c>
      <c r="AE152" s="453">
        <v>124929</v>
      </c>
      <c r="AF152" s="453">
        <v>0</v>
      </c>
      <c r="AG152" s="453">
        <v>110155</v>
      </c>
      <c r="AH152" s="453">
        <v>110118</v>
      </c>
      <c r="AI152" s="453">
        <v>110118</v>
      </c>
      <c r="AJ152" s="453">
        <v>110118</v>
      </c>
      <c r="AK152" s="453">
        <v>110118</v>
      </c>
      <c r="AL152" s="453">
        <v>110118</v>
      </c>
      <c r="AM152" s="453">
        <v>110118</v>
      </c>
      <c r="AN152" s="453">
        <v>110118</v>
      </c>
    </row>
    <row r="153" spans="1:40" hidden="1" outlineLevel="3" collapsed="1" x14ac:dyDescent="0.25">
      <c r="A153" s="452">
        <v>1780</v>
      </c>
      <c r="B153" t="s">
        <v>1036</v>
      </c>
      <c r="C153" t="s">
        <v>1819</v>
      </c>
      <c r="D153" t="s">
        <v>1674</v>
      </c>
      <c r="E153" s="453">
        <f t="shared" si="42"/>
        <v>1161508.6200000001</v>
      </c>
      <c r="F153" s="453">
        <f t="shared" si="43"/>
        <v>1086374.69</v>
      </c>
      <c r="G153" s="453">
        <f t="shared" si="44"/>
        <v>608206.31999999995</v>
      </c>
      <c r="H153" s="453">
        <v>0</v>
      </c>
      <c r="I153" s="453">
        <v>0</v>
      </c>
      <c r="J153" s="453">
        <v>117800.41</v>
      </c>
      <c r="K153" s="453">
        <v>194661.77</v>
      </c>
      <c r="L153" s="453">
        <v>327563.56</v>
      </c>
      <c r="M153" s="453">
        <v>459391.46</v>
      </c>
      <c r="N153" s="453">
        <v>589481.25</v>
      </c>
      <c r="O153" s="453">
        <v>710342.9</v>
      </c>
      <c r="P153" s="453">
        <v>788332.86</v>
      </c>
      <c r="Q153" s="453">
        <v>927353.99</v>
      </c>
      <c r="R153" s="453">
        <v>1066592.04</v>
      </c>
      <c r="S153" s="453">
        <v>1161508.6200000001</v>
      </c>
      <c r="T153" s="453">
        <v>0</v>
      </c>
      <c r="U153" s="453">
        <v>0</v>
      </c>
      <c r="V153" s="453">
        <v>129186.82</v>
      </c>
      <c r="W153" s="453">
        <v>239532.39</v>
      </c>
      <c r="X153" s="453">
        <v>390376.21</v>
      </c>
      <c r="Y153" s="453">
        <v>503753.5</v>
      </c>
      <c r="Z153" s="453">
        <v>589064.34</v>
      </c>
      <c r="AA153" s="453">
        <v>661947.75</v>
      </c>
      <c r="AB153" s="453">
        <v>744474.31</v>
      </c>
      <c r="AC153" s="453">
        <v>871841.67</v>
      </c>
      <c r="AD153" s="453">
        <v>955705.3</v>
      </c>
      <c r="AE153" s="453">
        <v>1086374.69</v>
      </c>
      <c r="AF153" s="453">
        <v>0</v>
      </c>
      <c r="AG153" s="453">
        <v>0</v>
      </c>
      <c r="AH153" s="453">
        <v>93761.3</v>
      </c>
      <c r="AI153" s="453">
        <v>150798.57</v>
      </c>
      <c r="AJ153" s="453">
        <v>226320.2</v>
      </c>
      <c r="AK153" s="453">
        <v>324188.45</v>
      </c>
      <c r="AL153" s="453">
        <v>394724.69</v>
      </c>
      <c r="AM153" s="453">
        <v>496373.22</v>
      </c>
      <c r="AN153" s="453">
        <v>608206.31999999995</v>
      </c>
    </row>
    <row r="154" spans="1:40" hidden="1" outlineLevel="3" collapsed="1" x14ac:dyDescent="0.25">
      <c r="A154" s="452">
        <v>1776</v>
      </c>
      <c r="B154" t="s">
        <v>1038</v>
      </c>
      <c r="C154" t="s">
        <v>1039</v>
      </c>
      <c r="D154" t="s">
        <v>1674</v>
      </c>
      <c r="E154" s="453">
        <f t="shared" si="42"/>
        <v>-2405171.2000000002</v>
      </c>
      <c r="F154" s="453">
        <f t="shared" si="43"/>
        <v>-2389730.2400000002</v>
      </c>
      <c r="G154" s="453">
        <f t="shared" si="44"/>
        <v>-1522359.1</v>
      </c>
      <c r="H154" s="453">
        <v>-186284.2</v>
      </c>
      <c r="I154" s="453">
        <v>-386822.41</v>
      </c>
      <c r="J154" s="453">
        <v>-621462.93999999994</v>
      </c>
      <c r="K154" s="453">
        <v>-837194.21</v>
      </c>
      <c r="L154" s="453">
        <v>-1040067.9</v>
      </c>
      <c r="M154" s="453">
        <v>-1231928.68</v>
      </c>
      <c r="N154" s="453">
        <v>-1401358.9</v>
      </c>
      <c r="O154" s="453">
        <v>-1626994.23</v>
      </c>
      <c r="P154" s="453">
        <v>-1824183.77</v>
      </c>
      <c r="Q154" s="453">
        <v>-2003781.97</v>
      </c>
      <c r="R154" s="453">
        <v>-2219128.83</v>
      </c>
      <c r="S154" s="453">
        <v>-2405171.2000000002</v>
      </c>
      <c r="T154" s="453">
        <v>-221868.43</v>
      </c>
      <c r="U154" s="453">
        <v>-432698.31</v>
      </c>
      <c r="V154" s="453">
        <v>-670718.06999999995</v>
      </c>
      <c r="W154" s="453">
        <v>-894585.15</v>
      </c>
      <c r="X154" s="453">
        <v>-1115299.67</v>
      </c>
      <c r="Y154" s="453">
        <v>-1283414.54</v>
      </c>
      <c r="Z154" s="453">
        <v>-1479534.22</v>
      </c>
      <c r="AA154" s="453">
        <v>-1668076.51</v>
      </c>
      <c r="AB154" s="453">
        <v>-1828319.32</v>
      </c>
      <c r="AC154" s="453">
        <v>-2019426.21</v>
      </c>
      <c r="AD154" s="453">
        <v>-2192690.98</v>
      </c>
      <c r="AE154" s="453">
        <v>-2389730.2400000002</v>
      </c>
      <c r="AF154" s="453">
        <v>-184936.84</v>
      </c>
      <c r="AG154" s="453">
        <v>-360138.71</v>
      </c>
      <c r="AH154" s="453">
        <v>-539158.42000000004</v>
      </c>
      <c r="AI154" s="453">
        <v>-717513.94</v>
      </c>
      <c r="AJ154" s="453">
        <v>-882013.25</v>
      </c>
      <c r="AK154" s="453">
        <v>-1039904.57</v>
      </c>
      <c r="AL154" s="453">
        <v>-1206713.72</v>
      </c>
      <c r="AM154" s="453">
        <v>-1355330.26</v>
      </c>
      <c r="AN154" s="453">
        <v>-1522359.1</v>
      </c>
    </row>
    <row r="155" spans="1:40" hidden="1" outlineLevel="3" collapsed="1" x14ac:dyDescent="0.25">
      <c r="A155" s="452">
        <v>1774</v>
      </c>
      <c r="B155" t="s">
        <v>1042</v>
      </c>
      <c r="C155" t="s">
        <v>1043</v>
      </c>
      <c r="D155" t="s">
        <v>1674</v>
      </c>
      <c r="E155" s="453">
        <f t="shared" si="42"/>
        <v>-1072863.54</v>
      </c>
      <c r="F155" s="453">
        <f t="shared" si="43"/>
        <v>-1103485.6399999999</v>
      </c>
      <c r="G155" s="453">
        <f t="shared" si="44"/>
        <v>-545203.9</v>
      </c>
      <c r="H155" s="453">
        <v>-84761.96</v>
      </c>
      <c r="I155" s="453">
        <v>-200760.19</v>
      </c>
      <c r="J155" s="453">
        <v>-328492.28000000003</v>
      </c>
      <c r="K155" s="453">
        <v>-413892.72</v>
      </c>
      <c r="L155" s="453">
        <v>-550507.47</v>
      </c>
      <c r="M155" s="453">
        <v>-617843.06000000006</v>
      </c>
      <c r="N155" s="453">
        <v>-704973.85</v>
      </c>
      <c r="O155" s="453">
        <v>-761830.85</v>
      </c>
      <c r="P155" s="453">
        <v>-901442.21</v>
      </c>
      <c r="Q155" s="453">
        <v>-948201.37</v>
      </c>
      <c r="R155" s="453">
        <v>-975275.65</v>
      </c>
      <c r="S155" s="453">
        <v>-1072863.54</v>
      </c>
      <c r="T155" s="453">
        <v>-71135.509999999995</v>
      </c>
      <c r="U155" s="453">
        <v>-122159.03999999999</v>
      </c>
      <c r="V155" s="453">
        <v>-154655.78</v>
      </c>
      <c r="W155" s="453">
        <v>-211995.15</v>
      </c>
      <c r="X155" s="453">
        <v>-328952.46999999997</v>
      </c>
      <c r="Y155" s="453">
        <v>-403118.95</v>
      </c>
      <c r="Z155" s="453">
        <v>-633701.6</v>
      </c>
      <c r="AA155" s="453">
        <v>-691667.71</v>
      </c>
      <c r="AB155" s="453">
        <v>-871051.64</v>
      </c>
      <c r="AC155" s="453">
        <v>-916795.12</v>
      </c>
      <c r="AD155" s="453">
        <v>-984429.45</v>
      </c>
      <c r="AE155" s="453">
        <v>-1103485.6399999999</v>
      </c>
      <c r="AF155" s="453">
        <v>-68296.75</v>
      </c>
      <c r="AG155" s="453">
        <v>-163200.24</v>
      </c>
      <c r="AH155" s="453">
        <v>-214761.05</v>
      </c>
      <c r="AI155" s="453">
        <v>-293586.06</v>
      </c>
      <c r="AJ155" s="453">
        <v>-383006.66</v>
      </c>
      <c r="AK155" s="453">
        <v>-408538.55</v>
      </c>
      <c r="AL155" s="453">
        <v>-475954.3</v>
      </c>
      <c r="AM155" s="453">
        <v>-506347.16</v>
      </c>
      <c r="AN155" s="453">
        <v>-545203.9</v>
      </c>
    </row>
    <row r="156" spans="1:40" hidden="1" outlineLevel="3" collapsed="1" x14ac:dyDescent="0.25">
      <c r="A156" s="452">
        <v>1588</v>
      </c>
      <c r="B156" t="s">
        <v>1046</v>
      </c>
      <c r="C156" t="s">
        <v>1047</v>
      </c>
      <c r="D156" t="s">
        <v>1674</v>
      </c>
      <c r="E156" s="453">
        <f t="shared" si="42"/>
        <v>86952.67</v>
      </c>
      <c r="F156" s="453">
        <f t="shared" si="43"/>
        <v>27757.48</v>
      </c>
      <c r="G156" s="453">
        <f t="shared" si="44"/>
        <v>5484.06</v>
      </c>
      <c r="H156" s="453">
        <v>48.49</v>
      </c>
      <c r="I156" s="453">
        <v>13064.59</v>
      </c>
      <c r="J156" s="453">
        <v>18273.490000000002</v>
      </c>
      <c r="K156" s="453">
        <v>18273.490000000002</v>
      </c>
      <c r="L156" s="453">
        <v>30630.04</v>
      </c>
      <c r="M156" s="453">
        <v>32941.11</v>
      </c>
      <c r="N156" s="453">
        <v>45370.22</v>
      </c>
      <c r="O156" s="453">
        <v>48093.53</v>
      </c>
      <c r="P156" s="453">
        <v>50947.68</v>
      </c>
      <c r="Q156" s="453">
        <v>59614.82</v>
      </c>
      <c r="R156" s="453">
        <v>69462.84</v>
      </c>
      <c r="S156" s="453">
        <v>86952.67</v>
      </c>
      <c r="T156" s="453">
        <v>4900.63</v>
      </c>
      <c r="U156" s="453">
        <v>13911.1</v>
      </c>
      <c r="V156" s="453">
        <v>19336.34</v>
      </c>
      <c r="W156" s="453">
        <v>20322.02</v>
      </c>
      <c r="X156" s="453">
        <v>21959.01</v>
      </c>
      <c r="Y156" s="453">
        <v>22651.59</v>
      </c>
      <c r="Z156" s="453">
        <v>22877.05</v>
      </c>
      <c r="AA156" s="453">
        <v>24948.48</v>
      </c>
      <c r="AB156" s="453">
        <v>25931.15</v>
      </c>
      <c r="AC156" s="453">
        <v>26793.09</v>
      </c>
      <c r="AD156" s="453">
        <v>27201.94</v>
      </c>
      <c r="AE156" s="453">
        <v>27757.48</v>
      </c>
      <c r="AF156" s="453">
        <v>1464.78</v>
      </c>
      <c r="AG156" s="453">
        <v>2099.58</v>
      </c>
      <c r="AH156" s="453">
        <v>2664.46</v>
      </c>
      <c r="AI156" s="453">
        <v>2723.81</v>
      </c>
      <c r="AJ156" s="453">
        <v>3640.54</v>
      </c>
      <c r="AK156" s="453">
        <v>3792.83</v>
      </c>
      <c r="AL156" s="453">
        <v>4655.3100000000004</v>
      </c>
      <c r="AM156" s="453">
        <v>5289.23</v>
      </c>
      <c r="AN156" s="453">
        <v>5484.06</v>
      </c>
    </row>
    <row r="157" spans="1:40" hidden="1" outlineLevel="3" collapsed="1" x14ac:dyDescent="0.25">
      <c r="A157" s="452">
        <v>1577</v>
      </c>
      <c r="B157" t="s">
        <v>1048</v>
      </c>
      <c r="C157" t="s">
        <v>1049</v>
      </c>
      <c r="D157" t="s">
        <v>1674</v>
      </c>
      <c r="E157" s="453">
        <f t="shared" si="42"/>
        <v>27806.22</v>
      </c>
      <c r="F157" s="453">
        <f t="shared" si="43"/>
        <v>35210.15</v>
      </c>
      <c r="G157" s="453">
        <f t="shared" si="44"/>
        <v>34584.39</v>
      </c>
      <c r="H157" s="453">
        <v>522.5</v>
      </c>
      <c r="I157" s="453">
        <v>522.5</v>
      </c>
      <c r="J157" s="453">
        <v>1548.5</v>
      </c>
      <c r="K157" s="453">
        <v>2864.25</v>
      </c>
      <c r="L157" s="453">
        <v>4577.1000000000004</v>
      </c>
      <c r="M157" s="453">
        <v>4939.24</v>
      </c>
      <c r="N157" s="453">
        <v>7212.59</v>
      </c>
      <c r="O157" s="453">
        <v>7972.59</v>
      </c>
      <c r="P157" s="453">
        <v>7972.59</v>
      </c>
      <c r="Q157" s="453">
        <v>9490.2199999999993</v>
      </c>
      <c r="R157" s="453">
        <v>9490.2199999999993</v>
      </c>
      <c r="S157" s="453">
        <v>27806.22</v>
      </c>
      <c r="T157" s="453">
        <v>4700.6000000000004</v>
      </c>
      <c r="U157" s="453">
        <v>5016</v>
      </c>
      <c r="V157" s="453">
        <v>6621.5</v>
      </c>
      <c r="W157" s="453">
        <v>7229.5</v>
      </c>
      <c r="X157" s="453">
        <v>11641.55</v>
      </c>
      <c r="Y157" s="453">
        <v>24257.13</v>
      </c>
      <c r="Z157" s="453">
        <v>26062.13</v>
      </c>
      <c r="AA157" s="453">
        <v>32011.51</v>
      </c>
      <c r="AB157" s="453">
        <v>32619.51</v>
      </c>
      <c r="AC157" s="453">
        <v>33223.46</v>
      </c>
      <c r="AD157" s="453">
        <v>34591.46</v>
      </c>
      <c r="AE157" s="453">
        <v>35210.15</v>
      </c>
      <c r="AF157" s="453">
        <v>18326.82</v>
      </c>
      <c r="AG157" s="453">
        <v>19000.37</v>
      </c>
      <c r="AH157" s="453">
        <v>24289.97</v>
      </c>
      <c r="AI157" s="453">
        <v>24629.23</v>
      </c>
      <c r="AJ157" s="453">
        <v>26032.49</v>
      </c>
      <c r="AK157" s="453">
        <v>27248.49</v>
      </c>
      <c r="AL157" s="453">
        <v>28521.49</v>
      </c>
      <c r="AM157" s="453">
        <v>33216.39</v>
      </c>
      <c r="AN157" s="453">
        <v>34584.39</v>
      </c>
    </row>
    <row r="158" spans="1:40" hidden="1" outlineLevel="3" collapsed="1" x14ac:dyDescent="0.25">
      <c r="A158" s="452">
        <v>1576</v>
      </c>
      <c r="B158" t="s">
        <v>1050</v>
      </c>
      <c r="C158" t="s">
        <v>1051</v>
      </c>
      <c r="D158" t="s">
        <v>1674</v>
      </c>
      <c r="E158" s="453">
        <f t="shared" si="42"/>
        <v>941337.09</v>
      </c>
      <c r="F158" s="453">
        <f t="shared" si="43"/>
        <v>1143096.28</v>
      </c>
      <c r="G158" s="453">
        <f t="shared" si="44"/>
        <v>759343.22</v>
      </c>
      <c r="H158" s="453">
        <v>68294.55</v>
      </c>
      <c r="I158" s="453">
        <v>178728.17</v>
      </c>
      <c r="J158" s="453">
        <v>274862.03000000003</v>
      </c>
      <c r="K158" s="453">
        <v>358633.86</v>
      </c>
      <c r="L158" s="453">
        <v>426162.38</v>
      </c>
      <c r="M158" s="453">
        <v>487089.45</v>
      </c>
      <c r="N158" s="453">
        <v>565953.73</v>
      </c>
      <c r="O158" s="453">
        <v>649462.41</v>
      </c>
      <c r="P158" s="453">
        <v>712796.94</v>
      </c>
      <c r="Q158" s="453">
        <v>791128.57</v>
      </c>
      <c r="R158" s="453">
        <v>872994.21</v>
      </c>
      <c r="S158" s="453">
        <v>941337.09</v>
      </c>
      <c r="T158" s="453">
        <v>87599.06</v>
      </c>
      <c r="U158" s="453">
        <v>178746.31</v>
      </c>
      <c r="V158" s="453">
        <v>257241.18</v>
      </c>
      <c r="W158" s="453">
        <v>366481.85</v>
      </c>
      <c r="X158" s="453">
        <v>499818.81</v>
      </c>
      <c r="Y158" s="453">
        <v>593978.57999999996</v>
      </c>
      <c r="Z158" s="453">
        <v>707042.77</v>
      </c>
      <c r="AA158" s="453">
        <v>765730</v>
      </c>
      <c r="AB158" s="453">
        <v>840925.27</v>
      </c>
      <c r="AC158" s="453">
        <v>965417.7</v>
      </c>
      <c r="AD158" s="453">
        <v>1065086.1499999999</v>
      </c>
      <c r="AE158" s="453">
        <v>1143096.28</v>
      </c>
      <c r="AF158" s="453">
        <v>89666.68</v>
      </c>
      <c r="AG158" s="453">
        <v>206785.63</v>
      </c>
      <c r="AH158" s="453">
        <v>309246.58</v>
      </c>
      <c r="AI158" s="453">
        <v>389242.41</v>
      </c>
      <c r="AJ158" s="453">
        <v>482036.22</v>
      </c>
      <c r="AK158" s="453">
        <v>537860.73</v>
      </c>
      <c r="AL158" s="453">
        <v>591767.56999999995</v>
      </c>
      <c r="AM158" s="453">
        <v>662616.39</v>
      </c>
      <c r="AN158" s="453">
        <v>759343.22</v>
      </c>
    </row>
    <row r="159" spans="1:40" hidden="1" outlineLevel="3" collapsed="1" x14ac:dyDescent="0.25">
      <c r="A159" s="452">
        <v>1574</v>
      </c>
      <c r="B159" t="s">
        <v>1054</v>
      </c>
      <c r="C159" t="s">
        <v>1055</v>
      </c>
      <c r="D159" t="s">
        <v>1674</v>
      </c>
      <c r="E159" s="453">
        <f t="shared" si="42"/>
        <v>1072863.54</v>
      </c>
      <c r="F159" s="453">
        <f t="shared" si="43"/>
        <v>1103485.6399999999</v>
      </c>
      <c r="G159" s="453">
        <f t="shared" si="44"/>
        <v>545203.9</v>
      </c>
      <c r="H159" s="453">
        <v>84761.96</v>
      </c>
      <c r="I159" s="453">
        <v>200760.19</v>
      </c>
      <c r="J159" s="453">
        <v>328492.28000000003</v>
      </c>
      <c r="K159" s="453">
        <v>413892.72</v>
      </c>
      <c r="L159" s="453">
        <v>550507.47</v>
      </c>
      <c r="M159" s="453">
        <v>617843.06000000006</v>
      </c>
      <c r="N159" s="453">
        <v>704973.85</v>
      </c>
      <c r="O159" s="453">
        <v>761830.85</v>
      </c>
      <c r="P159" s="453">
        <v>901442.21</v>
      </c>
      <c r="Q159" s="453">
        <v>948201.37</v>
      </c>
      <c r="R159" s="453">
        <v>975275.65</v>
      </c>
      <c r="S159" s="453">
        <v>1072863.54</v>
      </c>
      <c r="T159" s="453">
        <v>71135.509999999995</v>
      </c>
      <c r="U159" s="453">
        <v>122159.03999999999</v>
      </c>
      <c r="V159" s="453">
        <v>154655.78</v>
      </c>
      <c r="W159" s="453">
        <v>211995.15</v>
      </c>
      <c r="X159" s="453">
        <v>328952.46999999997</v>
      </c>
      <c r="Y159" s="453">
        <v>403118.95</v>
      </c>
      <c r="Z159" s="453">
        <v>633701.6</v>
      </c>
      <c r="AA159" s="453">
        <v>691667.71</v>
      </c>
      <c r="AB159" s="453">
        <v>871051.64</v>
      </c>
      <c r="AC159" s="453">
        <v>916795.12</v>
      </c>
      <c r="AD159" s="453">
        <v>984429.45</v>
      </c>
      <c r="AE159" s="453">
        <v>1103485.6399999999</v>
      </c>
      <c r="AF159" s="453">
        <v>68296.75</v>
      </c>
      <c r="AG159" s="453">
        <v>163200.24</v>
      </c>
      <c r="AH159" s="453">
        <v>214761.05</v>
      </c>
      <c r="AI159" s="453">
        <v>293586.06</v>
      </c>
      <c r="AJ159" s="453">
        <v>383006.66</v>
      </c>
      <c r="AK159" s="453">
        <v>408538.55</v>
      </c>
      <c r="AL159" s="453">
        <v>475954.3</v>
      </c>
      <c r="AM159" s="453">
        <v>506347.16</v>
      </c>
      <c r="AN159" s="453">
        <v>545203.9</v>
      </c>
    </row>
    <row r="160" spans="1:40" hidden="1" outlineLevel="3" collapsed="1" x14ac:dyDescent="0.25">
      <c r="A160" s="452">
        <v>1571</v>
      </c>
      <c r="B160" t="s">
        <v>1058</v>
      </c>
      <c r="C160" t="s">
        <v>1059</v>
      </c>
      <c r="D160" t="s">
        <v>1674</v>
      </c>
      <c r="E160" s="453">
        <f t="shared" si="42"/>
        <v>4167.59</v>
      </c>
      <c r="F160" s="453">
        <f t="shared" si="43"/>
        <v>7572.79</v>
      </c>
      <c r="G160" s="453">
        <f t="shared" si="44"/>
        <v>2648.53</v>
      </c>
      <c r="H160" s="453">
        <v>140.75</v>
      </c>
      <c r="I160" s="453">
        <v>367.88</v>
      </c>
      <c r="J160" s="453">
        <v>763.86</v>
      </c>
      <c r="K160" s="453">
        <v>895.4</v>
      </c>
      <c r="L160" s="453">
        <v>1239.5899999999999</v>
      </c>
      <c r="M160" s="453">
        <v>1555.22</v>
      </c>
      <c r="N160" s="453">
        <v>1702.09</v>
      </c>
      <c r="O160" s="453">
        <v>2084.3000000000002</v>
      </c>
      <c r="P160" s="453">
        <v>2500.11</v>
      </c>
      <c r="Q160" s="453">
        <v>2727.57</v>
      </c>
      <c r="R160" s="453">
        <v>3098.59</v>
      </c>
      <c r="S160" s="453">
        <v>4167.59</v>
      </c>
      <c r="T160" s="453">
        <v>181.92</v>
      </c>
      <c r="U160" s="453">
        <v>508.51</v>
      </c>
      <c r="V160" s="453">
        <v>3764.34</v>
      </c>
      <c r="W160" s="453">
        <v>4027.78</v>
      </c>
      <c r="X160" s="453">
        <v>4457.51</v>
      </c>
      <c r="Y160" s="453">
        <v>4855.62</v>
      </c>
      <c r="Z160" s="453">
        <v>5140.09</v>
      </c>
      <c r="AA160" s="453">
        <v>5556.36</v>
      </c>
      <c r="AB160" s="453">
        <v>5757.6</v>
      </c>
      <c r="AC160" s="453">
        <v>6519.85</v>
      </c>
      <c r="AD160" s="453">
        <v>7077.86</v>
      </c>
      <c r="AE160" s="453">
        <v>7572.79</v>
      </c>
      <c r="AF160" s="453">
        <v>44.08</v>
      </c>
      <c r="AG160" s="453">
        <v>454.93</v>
      </c>
      <c r="AH160" s="453">
        <v>927.18</v>
      </c>
      <c r="AI160" s="453">
        <v>1359.27</v>
      </c>
      <c r="AJ160" s="453">
        <v>1611.8</v>
      </c>
      <c r="AK160" s="453">
        <v>1877.79</v>
      </c>
      <c r="AL160" s="453">
        <v>2084.52</v>
      </c>
      <c r="AM160" s="453">
        <v>2317.27</v>
      </c>
      <c r="AN160" s="453">
        <v>2648.53</v>
      </c>
    </row>
    <row r="161" spans="1:40" hidden="1" outlineLevel="3" collapsed="1" x14ac:dyDescent="0.25">
      <c r="A161" s="452">
        <v>1700</v>
      </c>
      <c r="B161" t="s">
        <v>1063</v>
      </c>
      <c r="C161" t="s">
        <v>1064</v>
      </c>
      <c r="D161" t="s">
        <v>1674</v>
      </c>
      <c r="E161" s="453">
        <f t="shared" si="42"/>
        <v>-14237.6</v>
      </c>
      <c r="F161" s="453">
        <f t="shared" si="43"/>
        <v>-21211.07</v>
      </c>
      <c r="G161" s="453">
        <f t="shared" si="44"/>
        <v>0</v>
      </c>
      <c r="H161" s="453">
        <v>-18023.39</v>
      </c>
      <c r="I161" s="453">
        <v>-10059.799999999999</v>
      </c>
      <c r="J161" s="453">
        <v>-5161.22</v>
      </c>
      <c r="K161" s="453">
        <v>-5161.22</v>
      </c>
      <c r="L161" s="453">
        <v>0</v>
      </c>
      <c r="M161" s="453">
        <v>0</v>
      </c>
      <c r="N161" s="453">
        <v>0</v>
      </c>
      <c r="O161" s="453">
        <v>0</v>
      </c>
      <c r="P161" s="453">
        <v>0</v>
      </c>
      <c r="Q161" s="453">
        <v>0</v>
      </c>
      <c r="R161" s="453">
        <v>0</v>
      </c>
      <c r="S161" s="453">
        <v>-14237.6</v>
      </c>
      <c r="T161" s="453">
        <v>-13600.97</v>
      </c>
      <c r="U161" s="453">
        <v>-8007.18</v>
      </c>
      <c r="V161" s="453">
        <v>-8007.18</v>
      </c>
      <c r="W161" s="453">
        <v>-8007.18</v>
      </c>
      <c r="X161" s="453">
        <v>-2413.39</v>
      </c>
      <c r="Y161" s="453">
        <v>-217.45</v>
      </c>
      <c r="Z161" s="453">
        <v>-217.45</v>
      </c>
      <c r="AA161" s="453">
        <v>-217.45</v>
      </c>
      <c r="AB161" s="453">
        <v>-217.45</v>
      </c>
      <c r="AC161" s="453">
        <v>0</v>
      </c>
      <c r="AD161" s="453">
        <v>0</v>
      </c>
      <c r="AE161" s="453">
        <v>-21211.07</v>
      </c>
      <c r="AF161" s="453">
        <v>-21211.07</v>
      </c>
      <c r="AG161" s="453">
        <v>-14965.45</v>
      </c>
      <c r="AH161" s="453">
        <v>-14965.45</v>
      </c>
      <c r="AI161" s="453">
        <v>-14965.45</v>
      </c>
      <c r="AJ161" s="453">
        <v>-7608.71</v>
      </c>
      <c r="AK161" s="453">
        <v>-7608.71</v>
      </c>
      <c r="AL161" s="453">
        <v>0</v>
      </c>
      <c r="AM161" s="453">
        <v>0</v>
      </c>
      <c r="AN161" s="453">
        <v>0</v>
      </c>
    </row>
    <row r="162" spans="1:40" hidden="1" outlineLevel="3" collapsed="1" x14ac:dyDescent="0.25">
      <c r="A162" s="452">
        <v>1740</v>
      </c>
      <c r="B162" t="s">
        <v>1065</v>
      </c>
      <c r="C162" t="s">
        <v>1066</v>
      </c>
      <c r="D162" t="s">
        <v>1674</v>
      </c>
      <c r="E162" s="453">
        <f t="shared" si="42"/>
        <v>-196264.36</v>
      </c>
      <c r="F162" s="453">
        <f t="shared" si="43"/>
        <v>-249856.51</v>
      </c>
      <c r="G162" s="453">
        <f t="shared" si="44"/>
        <v>-155325.44</v>
      </c>
      <c r="H162" s="453">
        <v>-149969.93</v>
      </c>
      <c r="I162" s="453">
        <v>-127765.91</v>
      </c>
      <c r="J162" s="453">
        <v>-139448.16</v>
      </c>
      <c r="K162" s="453">
        <v>-137907.89000000001</v>
      </c>
      <c r="L162" s="453">
        <v>-149366.41</v>
      </c>
      <c r="M162" s="453">
        <v>-174581.81</v>
      </c>
      <c r="N162" s="453">
        <v>-140841.71</v>
      </c>
      <c r="O162" s="453">
        <v>-144954.82999999999</v>
      </c>
      <c r="P162" s="453">
        <v>-177633.92000000001</v>
      </c>
      <c r="Q162" s="453">
        <v>-184340.46</v>
      </c>
      <c r="R162" s="453">
        <v>-194999.32</v>
      </c>
      <c r="S162" s="453">
        <v>-196264.36</v>
      </c>
      <c r="T162" s="453">
        <v>-164066.74</v>
      </c>
      <c r="U162" s="453">
        <v>-152599.28</v>
      </c>
      <c r="V162" s="453">
        <v>-175972.34</v>
      </c>
      <c r="W162" s="453">
        <v>-179833.96</v>
      </c>
      <c r="X162" s="453">
        <v>-192821.74</v>
      </c>
      <c r="Y162" s="453">
        <v>-240697.64</v>
      </c>
      <c r="Z162" s="453">
        <v>-222683.42</v>
      </c>
      <c r="AA162" s="453">
        <v>-214314.04</v>
      </c>
      <c r="AB162" s="453">
        <v>-212091.89</v>
      </c>
      <c r="AC162" s="453">
        <v>-218913.58</v>
      </c>
      <c r="AD162" s="453">
        <v>-234669.05</v>
      </c>
      <c r="AE162" s="453">
        <v>-249856.51</v>
      </c>
      <c r="AF162" s="453">
        <v>-179904.77</v>
      </c>
      <c r="AG162" s="453">
        <v>-173634.38</v>
      </c>
      <c r="AH162" s="453">
        <v>-183461.81</v>
      </c>
      <c r="AI162" s="453">
        <v>-181907.66</v>
      </c>
      <c r="AJ162" s="453">
        <v>-174194.42</v>
      </c>
      <c r="AK162" s="453">
        <v>-191326.84</v>
      </c>
      <c r="AL162" s="453">
        <v>-173083.55</v>
      </c>
      <c r="AM162" s="453">
        <v>-155431.53</v>
      </c>
      <c r="AN162" s="453">
        <v>-155325.44</v>
      </c>
    </row>
    <row r="163" spans="1:40" hidden="1" outlineLevel="3" collapsed="1" x14ac:dyDescent="0.25">
      <c r="A163" s="452">
        <v>1741</v>
      </c>
      <c r="B163" t="s">
        <v>1067</v>
      </c>
      <c r="C163" t="s">
        <v>1068</v>
      </c>
      <c r="D163" t="s">
        <v>1674</v>
      </c>
      <c r="E163" s="453">
        <f t="shared" si="42"/>
        <v>-70809.820000000007</v>
      </c>
      <c r="F163" s="453">
        <f t="shared" si="43"/>
        <v>-89659.33</v>
      </c>
      <c r="G163" s="453">
        <f t="shared" si="44"/>
        <v>-40128.080000000002</v>
      </c>
      <c r="H163" s="453">
        <v>-46346.239999999998</v>
      </c>
      <c r="I163" s="453">
        <v>-31062.73</v>
      </c>
      <c r="J163" s="453">
        <v>-33569.65</v>
      </c>
      <c r="K163" s="453">
        <v>-35152.51</v>
      </c>
      <c r="L163" s="453">
        <v>-38686.550000000003</v>
      </c>
      <c r="M163" s="453">
        <v>-52840.3</v>
      </c>
      <c r="N163" s="453">
        <v>-37917.03</v>
      </c>
      <c r="O163" s="453">
        <v>-40015.69</v>
      </c>
      <c r="P163" s="453">
        <v>-67934.350000000006</v>
      </c>
      <c r="Q163" s="453">
        <v>-57548.61</v>
      </c>
      <c r="R163" s="453">
        <v>-55236.15</v>
      </c>
      <c r="S163" s="453">
        <v>-70809.820000000007</v>
      </c>
      <c r="T163" s="453">
        <v>-49610.01</v>
      </c>
      <c r="U163" s="453">
        <v>-40386.800000000003</v>
      </c>
      <c r="V163" s="453">
        <v>-45296.82</v>
      </c>
      <c r="W163" s="453">
        <v>-44785.88</v>
      </c>
      <c r="X163" s="453">
        <v>-46352.86</v>
      </c>
      <c r="Y163" s="453">
        <v>-59255.32</v>
      </c>
      <c r="Z163" s="453">
        <v>-49675.16</v>
      </c>
      <c r="AA163" s="453">
        <v>-47876.91</v>
      </c>
      <c r="AB163" s="453">
        <v>-44807.37</v>
      </c>
      <c r="AC163" s="453">
        <v>-48000</v>
      </c>
      <c r="AD163" s="453">
        <v>-60034.29</v>
      </c>
      <c r="AE163" s="453">
        <v>-89659.33</v>
      </c>
      <c r="AF163" s="453">
        <v>-47745.52</v>
      </c>
      <c r="AG163" s="453">
        <v>-36781.919999999998</v>
      </c>
      <c r="AH163" s="453">
        <v>-43800.1</v>
      </c>
      <c r="AI163" s="453">
        <v>-39495.760000000002</v>
      </c>
      <c r="AJ163" s="453">
        <v>-39338.76</v>
      </c>
      <c r="AK163" s="453">
        <v>-49088.480000000003</v>
      </c>
      <c r="AL163" s="453">
        <v>-45156.63</v>
      </c>
      <c r="AM163" s="453">
        <v>-36840.53</v>
      </c>
      <c r="AN163" s="453">
        <v>-40128.080000000002</v>
      </c>
    </row>
    <row r="164" spans="1:40" hidden="1" outlineLevel="3" collapsed="1" x14ac:dyDescent="0.25">
      <c r="A164" s="452">
        <v>1742</v>
      </c>
      <c r="B164" t="s">
        <v>1069</v>
      </c>
      <c r="C164" t="s">
        <v>1070</v>
      </c>
      <c r="D164" t="s">
        <v>1674</v>
      </c>
      <c r="E164" s="453">
        <f t="shared" si="42"/>
        <v>-145.96</v>
      </c>
      <c r="F164" s="453">
        <f t="shared" si="43"/>
        <v>-2494.25</v>
      </c>
      <c r="G164" s="453">
        <f t="shared" si="44"/>
        <v>-5606.06</v>
      </c>
      <c r="H164" s="453">
        <v>-9404.09</v>
      </c>
      <c r="I164" s="453">
        <v>851.07</v>
      </c>
      <c r="J164" s="453">
        <v>-14779.75</v>
      </c>
      <c r="K164" s="453">
        <v>896.92</v>
      </c>
      <c r="L164" s="453">
        <v>-13758.04</v>
      </c>
      <c r="M164" s="453">
        <v>-22966.86</v>
      </c>
      <c r="N164" s="453">
        <v>-1809.86</v>
      </c>
      <c r="O164" s="453">
        <v>-7260.08</v>
      </c>
      <c r="P164" s="453">
        <v>-600.27</v>
      </c>
      <c r="Q164" s="453">
        <v>-11514.79</v>
      </c>
      <c r="R164" s="453">
        <v>-24139.02</v>
      </c>
      <c r="S164" s="453">
        <v>-145.96</v>
      </c>
      <c r="T164" s="453">
        <v>-8767.68</v>
      </c>
      <c r="U164" s="453">
        <v>1056.3499999999999</v>
      </c>
      <c r="V164" s="453">
        <v>-1353.85</v>
      </c>
      <c r="W164" s="453">
        <v>-5037.18</v>
      </c>
      <c r="X164" s="453">
        <v>-7686.75</v>
      </c>
      <c r="Y164" s="453">
        <v>-24955.55</v>
      </c>
      <c r="Z164" s="453">
        <v>-7335.59</v>
      </c>
      <c r="AA164" s="453">
        <v>2944.83</v>
      </c>
      <c r="AB164" s="453">
        <v>2223.52</v>
      </c>
      <c r="AC164" s="453">
        <v>-5056.1499999999996</v>
      </c>
      <c r="AD164" s="453">
        <v>-20609.03</v>
      </c>
      <c r="AE164" s="453">
        <v>-2494.25</v>
      </c>
      <c r="AF164" s="453">
        <v>-5595.63</v>
      </c>
      <c r="AG164" s="453">
        <v>6069.37</v>
      </c>
      <c r="AH164" s="453">
        <v>-3178.77</v>
      </c>
      <c r="AI164" s="453">
        <v>-3245.43</v>
      </c>
      <c r="AJ164" s="453">
        <v>1983.99</v>
      </c>
      <c r="AK164" s="453">
        <v>-13972.64</v>
      </c>
      <c r="AL164" s="453">
        <v>-3170.94</v>
      </c>
      <c r="AM164" s="453">
        <v>4145.33</v>
      </c>
      <c r="AN164" s="453">
        <v>-5606.06</v>
      </c>
    </row>
    <row r="165" spans="1:40" hidden="1" outlineLevel="3" collapsed="1" x14ac:dyDescent="0.25">
      <c r="A165" s="452">
        <v>1759</v>
      </c>
      <c r="B165" t="s">
        <v>1071</v>
      </c>
      <c r="C165" t="s">
        <v>1072</v>
      </c>
      <c r="D165" t="s">
        <v>1674</v>
      </c>
      <c r="E165" s="453">
        <f t="shared" si="42"/>
        <v>-1845.15</v>
      </c>
      <c r="F165" s="453">
        <f t="shared" si="43"/>
        <v>-1749.87</v>
      </c>
      <c r="G165" s="453">
        <f t="shared" si="44"/>
        <v>-1171.42</v>
      </c>
      <c r="H165" s="453">
        <v>-2686.94</v>
      </c>
      <c r="I165" s="453">
        <v>-4856.47</v>
      </c>
      <c r="J165" s="453">
        <v>-2855.37</v>
      </c>
      <c r="K165" s="453">
        <v>-2855.37</v>
      </c>
      <c r="L165" s="453">
        <v>-3343.99</v>
      </c>
      <c r="M165" s="453">
        <v>-2911.65</v>
      </c>
      <c r="N165" s="453">
        <v>-2880.31</v>
      </c>
      <c r="O165" s="453">
        <v>-3034.91</v>
      </c>
      <c r="P165" s="453">
        <v>-2957.61</v>
      </c>
      <c r="Q165" s="453">
        <v>-3979.22</v>
      </c>
      <c r="R165" s="453">
        <v>-1838.77</v>
      </c>
      <c r="S165" s="453">
        <v>-1845.15</v>
      </c>
      <c r="T165" s="453">
        <v>-1970.08</v>
      </c>
      <c r="U165" s="453">
        <v>-4136.4399999999996</v>
      </c>
      <c r="V165" s="453">
        <v>-3053.26</v>
      </c>
      <c r="W165" s="453">
        <v>-3053.26</v>
      </c>
      <c r="X165" s="453">
        <v>-3053.26</v>
      </c>
      <c r="Y165" s="453">
        <v>2187.81</v>
      </c>
      <c r="Z165" s="453">
        <v>-2975.12</v>
      </c>
      <c r="AA165" s="453">
        <v>-940.95</v>
      </c>
      <c r="AB165" s="453">
        <v>-3053.26</v>
      </c>
      <c r="AC165" s="453">
        <v>-3053.26</v>
      </c>
      <c r="AD165" s="453">
        <v>-3053.26</v>
      </c>
      <c r="AE165" s="453">
        <v>-1749.87</v>
      </c>
      <c r="AF165" s="453">
        <v>-1234.93</v>
      </c>
      <c r="AG165" s="453">
        <v>-351.16</v>
      </c>
      <c r="AH165" s="453">
        <v>-204.39</v>
      </c>
      <c r="AI165" s="453">
        <v>523.61</v>
      </c>
      <c r="AJ165" s="453">
        <v>2760.87</v>
      </c>
      <c r="AK165" s="453">
        <v>576.16</v>
      </c>
      <c r="AL165" s="453">
        <v>-204.39</v>
      </c>
      <c r="AM165" s="453">
        <v>-204.39</v>
      </c>
      <c r="AN165" s="453">
        <v>-1171.42</v>
      </c>
    </row>
    <row r="166" spans="1:40" hidden="1" outlineLevel="3" collapsed="1" x14ac:dyDescent="0.25">
      <c r="A166" s="452">
        <v>1790</v>
      </c>
      <c r="B166" t="s">
        <v>1820</v>
      </c>
      <c r="C166" t="s">
        <v>1821</v>
      </c>
      <c r="D166" t="s">
        <v>1674</v>
      </c>
      <c r="E166" s="453">
        <f t="shared" si="42"/>
        <v>0</v>
      </c>
      <c r="F166" s="453">
        <f t="shared" si="43"/>
        <v>0</v>
      </c>
      <c r="G166" s="453">
        <f t="shared" si="44"/>
        <v>0</v>
      </c>
      <c r="AF166" s="453">
        <v>6950.34</v>
      </c>
      <c r="AG166" s="453">
        <v>412.3</v>
      </c>
      <c r="AH166" s="453">
        <v>0</v>
      </c>
      <c r="AI166" s="453">
        <v>0</v>
      </c>
      <c r="AJ166" s="453">
        <v>0</v>
      </c>
      <c r="AK166" s="453">
        <v>0</v>
      </c>
      <c r="AL166" s="453">
        <v>0</v>
      </c>
      <c r="AM166" s="453">
        <v>0</v>
      </c>
      <c r="AN166" s="453">
        <v>0</v>
      </c>
    </row>
    <row r="167" spans="1:40" hidden="1" outlineLevel="3" collapsed="1" x14ac:dyDescent="0.25">
      <c r="A167" s="452">
        <v>1755</v>
      </c>
      <c r="B167" t="s">
        <v>1822</v>
      </c>
      <c r="C167" t="s">
        <v>1823</v>
      </c>
      <c r="D167" t="s">
        <v>711</v>
      </c>
      <c r="E167" s="453">
        <f t="shared" si="42"/>
        <v>0</v>
      </c>
      <c r="F167" s="453">
        <f t="shared" si="43"/>
        <v>0</v>
      </c>
      <c r="G167" s="453">
        <f t="shared" si="44"/>
        <v>0</v>
      </c>
      <c r="H167" s="453">
        <v>0</v>
      </c>
      <c r="I167" s="453">
        <v>0</v>
      </c>
      <c r="J167" s="453">
        <v>0</v>
      </c>
      <c r="K167" s="453">
        <v>0</v>
      </c>
      <c r="L167" s="453">
        <v>0</v>
      </c>
      <c r="M167" s="453">
        <v>0</v>
      </c>
      <c r="N167" s="453">
        <v>0</v>
      </c>
      <c r="O167" s="453">
        <v>0</v>
      </c>
      <c r="P167" s="453">
        <v>0</v>
      </c>
      <c r="Q167" s="453">
        <v>0</v>
      </c>
      <c r="R167" s="453">
        <v>0</v>
      </c>
      <c r="S167" s="453">
        <v>0</v>
      </c>
      <c r="T167" s="453">
        <v>0</v>
      </c>
      <c r="U167" s="453">
        <v>0</v>
      </c>
      <c r="V167" s="453">
        <v>0</v>
      </c>
      <c r="W167" s="453">
        <v>0</v>
      </c>
      <c r="X167" s="453">
        <v>0</v>
      </c>
      <c r="Y167" s="453">
        <v>0</v>
      </c>
      <c r="Z167" s="453">
        <v>0</v>
      </c>
      <c r="AA167" s="453">
        <v>0</v>
      </c>
      <c r="AB167" s="453">
        <v>0</v>
      </c>
      <c r="AC167" s="453">
        <v>0</v>
      </c>
      <c r="AD167" s="453">
        <v>0</v>
      </c>
      <c r="AE167" s="453">
        <v>0</v>
      </c>
      <c r="AF167" s="453">
        <v>0</v>
      </c>
      <c r="AG167" s="453">
        <v>0</v>
      </c>
      <c r="AH167" s="453">
        <v>0</v>
      </c>
      <c r="AI167" s="453">
        <v>0</v>
      </c>
      <c r="AJ167" s="453">
        <v>0</v>
      </c>
      <c r="AK167" s="453">
        <v>0</v>
      </c>
      <c r="AL167" s="453">
        <v>0</v>
      </c>
      <c r="AM167" s="453">
        <v>0</v>
      </c>
      <c r="AN167" s="453">
        <v>0</v>
      </c>
    </row>
    <row r="168" spans="1:40" hidden="1" outlineLevel="3" collapsed="1" x14ac:dyDescent="0.25">
      <c r="A168" s="452">
        <v>1791</v>
      </c>
      <c r="B168" t="s">
        <v>1824</v>
      </c>
      <c r="C168" t="s">
        <v>1825</v>
      </c>
      <c r="D168" t="s">
        <v>711</v>
      </c>
      <c r="E168" s="453">
        <f t="shared" si="42"/>
        <v>0</v>
      </c>
      <c r="F168" s="453">
        <f t="shared" si="43"/>
        <v>0</v>
      </c>
      <c r="G168" s="453">
        <f t="shared" si="44"/>
        <v>0</v>
      </c>
      <c r="T168" s="453">
        <v>2692.27</v>
      </c>
      <c r="U168" s="453">
        <v>0</v>
      </c>
      <c r="V168" s="453">
        <v>0</v>
      </c>
      <c r="W168" s="453">
        <v>0</v>
      </c>
      <c r="X168" s="453">
        <v>0</v>
      </c>
      <c r="Y168" s="453">
        <v>0</v>
      </c>
      <c r="Z168" s="453">
        <v>0</v>
      </c>
      <c r="AA168" s="453">
        <v>0</v>
      </c>
      <c r="AB168" s="453">
        <v>0</v>
      </c>
      <c r="AC168" s="453">
        <v>0</v>
      </c>
      <c r="AD168" s="453">
        <v>0</v>
      </c>
      <c r="AE168" s="453">
        <v>0</v>
      </c>
    </row>
    <row r="169" spans="1:40" hidden="1" outlineLevel="2" collapsed="1" x14ac:dyDescent="0.25">
      <c r="B169" t="s">
        <v>1073</v>
      </c>
      <c r="C169" t="s">
        <v>1074</v>
      </c>
      <c r="D169" t="s">
        <v>1674</v>
      </c>
      <c r="E169" s="453">
        <f t="shared" si="42"/>
        <v>-290294.40999999992</v>
      </c>
      <c r="F169" s="453">
        <f t="shared" si="43"/>
        <v>-429136.33000000037</v>
      </c>
      <c r="G169" s="453">
        <f t="shared" si="44"/>
        <v>-238789.97000000035</v>
      </c>
      <c r="H169" s="453">
        <f t="shared" ref="H169:AN169" si="45">SUM(H149:H168)</f>
        <v>-553143.85</v>
      </c>
      <c r="I169" s="453">
        <f t="shared" si="45"/>
        <v>-576468.46</v>
      </c>
      <c r="J169" s="453">
        <f t="shared" si="45"/>
        <v>-396822.97</v>
      </c>
      <c r="K169" s="453">
        <f t="shared" si="45"/>
        <v>-436155.43000000017</v>
      </c>
      <c r="L169" s="453">
        <f t="shared" si="45"/>
        <v>-260826.57000000015</v>
      </c>
      <c r="M169" s="453">
        <f t="shared" si="45"/>
        <v>-305451.30999999994</v>
      </c>
      <c r="N169" s="453">
        <f t="shared" si="45"/>
        <v>-183499.76999999981</v>
      </c>
      <c r="O169" s="453">
        <f t="shared" si="45"/>
        <v>-213475.84999999989</v>
      </c>
      <c r="P169" s="453">
        <f t="shared" si="45"/>
        <v>-319931.58000000007</v>
      </c>
      <c r="Q169" s="453">
        <f t="shared" si="45"/>
        <v>-267620.0999999998</v>
      </c>
      <c r="R169" s="453">
        <f t="shared" si="45"/>
        <v>-270474.41000000015</v>
      </c>
      <c r="S169" s="453">
        <f t="shared" si="45"/>
        <v>-290294.40999999992</v>
      </c>
      <c r="T169" s="453">
        <f t="shared" si="45"/>
        <v>-250931.63999999998</v>
      </c>
      <c r="U169" s="453">
        <f t="shared" si="45"/>
        <v>-307138.09000000008</v>
      </c>
      <c r="V169" s="453">
        <f t="shared" si="45"/>
        <v>-368430.01999999996</v>
      </c>
      <c r="W169" s="453">
        <f t="shared" si="45"/>
        <v>-378495.74999999994</v>
      </c>
      <c r="X169" s="453">
        <f t="shared" si="45"/>
        <v>-324573.30999999988</v>
      </c>
      <c r="Y169" s="453">
        <f t="shared" si="45"/>
        <v>-354670.58</v>
      </c>
      <c r="Z169" s="453">
        <f t="shared" si="45"/>
        <v>-311853.89000000019</v>
      </c>
      <c r="AA169" s="453">
        <f t="shared" si="45"/>
        <v>-343855.62</v>
      </c>
      <c r="AB169" s="453">
        <f t="shared" si="45"/>
        <v>-342734.61999999988</v>
      </c>
      <c r="AC169" s="453">
        <f t="shared" si="45"/>
        <v>-297434.06999999983</v>
      </c>
      <c r="AD169" s="453">
        <f t="shared" si="45"/>
        <v>-329542.5399999998</v>
      </c>
      <c r="AE169" s="453">
        <f t="shared" si="45"/>
        <v>-429136.33000000037</v>
      </c>
      <c r="AF169" s="453">
        <f t="shared" si="45"/>
        <v>-342502.88</v>
      </c>
      <c r="AG169" s="453">
        <f t="shared" si="45"/>
        <v>-259894.81000000003</v>
      </c>
      <c r="AH169" s="453">
        <f t="shared" si="45"/>
        <v>-268051.4200000001</v>
      </c>
      <c r="AI169" s="453">
        <f t="shared" si="45"/>
        <v>-302362.56999999995</v>
      </c>
      <c r="AJ169" s="453">
        <f t="shared" si="45"/>
        <v>-274683.52000000002</v>
      </c>
      <c r="AK169" s="453">
        <f t="shared" si="45"/>
        <v>-323487.28000000003</v>
      </c>
      <c r="AL169" s="453">
        <f t="shared" si="45"/>
        <v>-324979.14000000007</v>
      </c>
      <c r="AM169" s="453">
        <f t="shared" si="45"/>
        <v>-266947.27000000019</v>
      </c>
      <c r="AN169" s="453">
        <f t="shared" si="45"/>
        <v>-238789.97000000035</v>
      </c>
    </row>
    <row r="170" spans="1:40" s="461" customFormat="1" ht="11.25" hidden="1" outlineLevel="2" collapsed="1" x14ac:dyDescent="0.2">
      <c r="B170" s="461" t="s">
        <v>1826</v>
      </c>
      <c r="C170" s="461" t="s">
        <v>1827</v>
      </c>
      <c r="S170" s="462">
        <v>304746.60999999993</v>
      </c>
      <c r="AE170" s="462">
        <v>443847.95</v>
      </c>
    </row>
    <row r="171" spans="1:40" s="461" customFormat="1" ht="11.25" hidden="1" outlineLevel="2" collapsed="1" x14ac:dyDescent="0.2">
      <c r="B171" s="461" t="s">
        <v>1828</v>
      </c>
      <c r="C171" s="461" t="s">
        <v>1829</v>
      </c>
      <c r="S171" s="462">
        <f>ABS(S170) - ABS(S169)</f>
        <v>14452.200000000012</v>
      </c>
      <c r="AE171" s="462">
        <f>ABS(AE170) - ABS(AE169)</f>
        <v>14711.619999999646</v>
      </c>
    </row>
    <row r="172" spans="1:40" hidden="1" outlineLevel="3" collapsed="1" x14ac:dyDescent="0.25">
      <c r="A172" s="452">
        <v>650</v>
      </c>
      <c r="B172" t="s">
        <v>1830</v>
      </c>
      <c r="C172" t="s">
        <v>1831</v>
      </c>
      <c r="D172" t="s">
        <v>720</v>
      </c>
      <c r="E172" s="453">
        <f>S172</f>
        <v>0</v>
      </c>
      <c r="F172" s="453">
        <f>AE172</f>
        <v>0</v>
      </c>
      <c r="G172" s="453">
        <f>AN172</f>
        <v>-19425</v>
      </c>
      <c r="AK172" s="453">
        <v>-3700</v>
      </c>
      <c r="AL172" s="453">
        <v>-8400</v>
      </c>
      <c r="AM172" s="453">
        <v>-8400</v>
      </c>
      <c r="AN172" s="453">
        <v>-19425</v>
      </c>
    </row>
    <row r="173" spans="1:40" hidden="1" outlineLevel="2" collapsed="1" x14ac:dyDescent="0.25">
      <c r="B173" t="s">
        <v>1832</v>
      </c>
      <c r="C173" t="s">
        <v>1833</v>
      </c>
      <c r="D173" t="s">
        <v>1674</v>
      </c>
      <c r="E173" s="453">
        <f>S173</f>
        <v>0</v>
      </c>
      <c r="F173" s="453">
        <f>AE173</f>
        <v>0</v>
      </c>
      <c r="G173" s="453">
        <f>AN173</f>
        <v>-19425</v>
      </c>
      <c r="H173" s="453">
        <f t="shared" ref="H173:AN173" si="46">SUM(H172:H172)</f>
        <v>0</v>
      </c>
      <c r="I173" s="453">
        <f t="shared" si="46"/>
        <v>0</v>
      </c>
      <c r="J173" s="453">
        <f t="shared" si="46"/>
        <v>0</v>
      </c>
      <c r="K173" s="453">
        <f t="shared" si="46"/>
        <v>0</v>
      </c>
      <c r="L173" s="453">
        <f t="shared" si="46"/>
        <v>0</v>
      </c>
      <c r="M173" s="453">
        <f t="shared" si="46"/>
        <v>0</v>
      </c>
      <c r="N173" s="453">
        <f t="shared" si="46"/>
        <v>0</v>
      </c>
      <c r="O173" s="453">
        <f t="shared" si="46"/>
        <v>0</v>
      </c>
      <c r="P173" s="453">
        <f t="shared" si="46"/>
        <v>0</v>
      </c>
      <c r="Q173" s="453">
        <f t="shared" si="46"/>
        <v>0</v>
      </c>
      <c r="R173" s="453">
        <f t="shared" si="46"/>
        <v>0</v>
      </c>
      <c r="S173" s="453">
        <f t="shared" si="46"/>
        <v>0</v>
      </c>
      <c r="T173" s="453">
        <f t="shared" si="46"/>
        <v>0</v>
      </c>
      <c r="U173" s="453">
        <f t="shared" si="46"/>
        <v>0</v>
      </c>
      <c r="V173" s="453">
        <f t="shared" si="46"/>
        <v>0</v>
      </c>
      <c r="W173" s="453">
        <f t="shared" si="46"/>
        <v>0</v>
      </c>
      <c r="X173" s="453">
        <f t="shared" si="46"/>
        <v>0</v>
      </c>
      <c r="Y173" s="453">
        <f t="shared" si="46"/>
        <v>0</v>
      </c>
      <c r="Z173" s="453">
        <f t="shared" si="46"/>
        <v>0</v>
      </c>
      <c r="AA173" s="453">
        <f t="shared" si="46"/>
        <v>0</v>
      </c>
      <c r="AB173" s="453">
        <f t="shared" si="46"/>
        <v>0</v>
      </c>
      <c r="AC173" s="453">
        <f t="shared" si="46"/>
        <v>0</v>
      </c>
      <c r="AD173" s="453">
        <f t="shared" si="46"/>
        <v>0</v>
      </c>
      <c r="AE173" s="453">
        <f t="shared" si="46"/>
        <v>0</v>
      </c>
      <c r="AF173" s="453">
        <f t="shared" si="46"/>
        <v>0</v>
      </c>
      <c r="AG173" s="453">
        <f t="shared" si="46"/>
        <v>0</v>
      </c>
      <c r="AH173" s="453">
        <f t="shared" si="46"/>
        <v>0</v>
      </c>
      <c r="AI173" s="453">
        <f t="shared" si="46"/>
        <v>0</v>
      </c>
      <c r="AJ173" s="453">
        <f t="shared" si="46"/>
        <v>0</v>
      </c>
      <c r="AK173" s="453">
        <f t="shared" si="46"/>
        <v>-3700</v>
      </c>
      <c r="AL173" s="453">
        <f t="shared" si="46"/>
        <v>-8400</v>
      </c>
      <c r="AM173" s="453">
        <f t="shared" si="46"/>
        <v>-8400</v>
      </c>
      <c r="AN173" s="453">
        <f t="shared" si="46"/>
        <v>-19425</v>
      </c>
    </row>
    <row r="174" spans="1:40" outlineLevel="1" collapsed="1" x14ac:dyDescent="0.25">
      <c r="B174" t="s">
        <v>1075</v>
      </c>
      <c r="C174" t="s">
        <v>1076</v>
      </c>
      <c r="D174" t="s">
        <v>1674</v>
      </c>
      <c r="E174" s="453">
        <f>S174</f>
        <v>-340294.40999999992</v>
      </c>
      <c r="F174" s="453">
        <f>AE174</f>
        <v>-479136.33000000037</v>
      </c>
      <c r="G174" s="453">
        <f>AN174</f>
        <v>-258214.97000000035</v>
      </c>
      <c r="H174" s="453">
        <f t="shared" ref="H174:AN174" si="47">H146+H169+H173</f>
        <v>-603143.85</v>
      </c>
      <c r="I174" s="453">
        <f t="shared" si="47"/>
        <v>-626468.46</v>
      </c>
      <c r="J174" s="453">
        <f t="shared" si="47"/>
        <v>-446822.97</v>
      </c>
      <c r="K174" s="453">
        <f t="shared" si="47"/>
        <v>-486155.43000000017</v>
      </c>
      <c r="L174" s="453">
        <f t="shared" si="47"/>
        <v>-310826.57000000018</v>
      </c>
      <c r="M174" s="453">
        <f t="shared" si="47"/>
        <v>-355451.30999999994</v>
      </c>
      <c r="N174" s="453">
        <f t="shared" si="47"/>
        <v>-233499.76999999981</v>
      </c>
      <c r="O174" s="453">
        <f t="shared" si="47"/>
        <v>-263475.84999999986</v>
      </c>
      <c r="P174" s="453">
        <f t="shared" si="47"/>
        <v>-369931.58000000007</v>
      </c>
      <c r="Q174" s="453">
        <f t="shared" si="47"/>
        <v>-317620.0999999998</v>
      </c>
      <c r="R174" s="453">
        <f t="shared" si="47"/>
        <v>-320474.41000000015</v>
      </c>
      <c r="S174" s="453">
        <f t="shared" si="47"/>
        <v>-340294.40999999992</v>
      </c>
      <c r="T174" s="453">
        <f t="shared" si="47"/>
        <v>-300931.64</v>
      </c>
      <c r="U174" s="453">
        <f t="shared" si="47"/>
        <v>-357138.09000000008</v>
      </c>
      <c r="V174" s="453">
        <f t="shared" si="47"/>
        <v>-418430.01999999996</v>
      </c>
      <c r="W174" s="453">
        <f t="shared" si="47"/>
        <v>-428495.74999999994</v>
      </c>
      <c r="X174" s="453">
        <f t="shared" si="47"/>
        <v>-374573.30999999988</v>
      </c>
      <c r="Y174" s="453">
        <f t="shared" si="47"/>
        <v>-404670.58</v>
      </c>
      <c r="Z174" s="453">
        <f t="shared" si="47"/>
        <v>-361853.89000000019</v>
      </c>
      <c r="AA174" s="453">
        <f t="shared" si="47"/>
        <v>-393855.62</v>
      </c>
      <c r="AB174" s="453">
        <f t="shared" si="47"/>
        <v>-392734.61999999988</v>
      </c>
      <c r="AC174" s="453">
        <f t="shared" si="47"/>
        <v>-347434.06999999983</v>
      </c>
      <c r="AD174" s="453">
        <f t="shared" si="47"/>
        <v>-379542.5399999998</v>
      </c>
      <c r="AE174" s="453">
        <f t="shared" si="47"/>
        <v>-479136.33000000037</v>
      </c>
      <c r="AF174" s="453">
        <f t="shared" si="47"/>
        <v>-392502.88</v>
      </c>
      <c r="AG174" s="453">
        <f t="shared" si="47"/>
        <v>-309894.81000000006</v>
      </c>
      <c r="AH174" s="453">
        <f t="shared" si="47"/>
        <v>-318051.4200000001</v>
      </c>
      <c r="AI174" s="453">
        <f t="shared" si="47"/>
        <v>-302362.56999999995</v>
      </c>
      <c r="AJ174" s="453">
        <f t="shared" si="47"/>
        <v>-274683.52000000002</v>
      </c>
      <c r="AK174" s="453">
        <f t="shared" si="47"/>
        <v>-327187.28000000003</v>
      </c>
      <c r="AL174" s="453">
        <f t="shared" si="47"/>
        <v>-333379.14000000007</v>
      </c>
      <c r="AM174" s="453">
        <f t="shared" si="47"/>
        <v>-275347.27000000019</v>
      </c>
      <c r="AN174" s="453">
        <f t="shared" si="47"/>
        <v>-258214.97000000035</v>
      </c>
    </row>
    <row r="175" spans="1:40" s="461" customFormat="1" ht="11.25" outlineLevel="1" collapsed="1" x14ac:dyDescent="0.2">
      <c r="B175" s="461" t="s">
        <v>1834</v>
      </c>
      <c r="C175" s="461" t="s">
        <v>1835</v>
      </c>
      <c r="S175" s="462">
        <v>1207809.1399999999</v>
      </c>
      <c r="AE175" s="462">
        <v>1714611.79</v>
      </c>
    </row>
    <row r="176" spans="1:40" s="461" customFormat="1" ht="11.25" outlineLevel="1" collapsed="1" x14ac:dyDescent="0.2">
      <c r="B176" s="461" t="s">
        <v>1836</v>
      </c>
      <c r="C176" s="461" t="s">
        <v>1837</v>
      </c>
      <c r="S176" s="462">
        <f>ABS(S175) - ABS(S174)</f>
        <v>867514.73</v>
      </c>
      <c r="AE176" s="462">
        <f>ABS(AE175) - ABS(AE174)</f>
        <v>1235475.4599999997</v>
      </c>
    </row>
    <row r="177" spans="1:40" hidden="1" outlineLevel="2" collapsed="1" x14ac:dyDescent="0.25">
      <c r="A177" s="452">
        <v>968</v>
      </c>
      <c r="B177" t="s">
        <v>1077</v>
      </c>
      <c r="C177" t="s">
        <v>1078</v>
      </c>
      <c r="D177" t="s">
        <v>1674</v>
      </c>
      <c r="E177" s="453">
        <f>S177</f>
        <v>0</v>
      </c>
      <c r="F177" s="453">
        <f>AE177</f>
        <v>-48876</v>
      </c>
      <c r="G177" s="453">
        <f>AN177</f>
        <v>-48876</v>
      </c>
      <c r="AE177" s="453">
        <v>-48876</v>
      </c>
      <c r="AF177" s="453">
        <v>-48876</v>
      </c>
      <c r="AG177" s="453">
        <v>-48876</v>
      </c>
      <c r="AH177" s="453">
        <v>-48876</v>
      </c>
      <c r="AI177" s="453">
        <v>-48876</v>
      </c>
      <c r="AJ177" s="453">
        <v>-48876</v>
      </c>
      <c r="AK177" s="453">
        <v>-48876</v>
      </c>
      <c r="AL177" s="453">
        <v>-48876</v>
      </c>
      <c r="AM177" s="453">
        <v>-48876</v>
      </c>
      <c r="AN177" s="453">
        <v>-48876</v>
      </c>
    </row>
    <row r="178" spans="1:40" outlineLevel="1" collapsed="1" x14ac:dyDescent="0.25">
      <c r="B178" t="s">
        <v>1079</v>
      </c>
      <c r="C178" t="s">
        <v>1080</v>
      </c>
      <c r="D178" t="s">
        <v>1674</v>
      </c>
      <c r="E178" s="453">
        <f>S178</f>
        <v>0</v>
      </c>
      <c r="F178" s="453">
        <f>AE178</f>
        <v>-48876</v>
      </c>
      <c r="G178" s="453">
        <f>AN178</f>
        <v>-48876</v>
      </c>
      <c r="H178" s="453">
        <f t="shared" ref="H178:AN178" si="48">SUM(H177:H177)</f>
        <v>0</v>
      </c>
      <c r="I178" s="453">
        <f t="shared" si="48"/>
        <v>0</v>
      </c>
      <c r="J178" s="453">
        <f t="shared" si="48"/>
        <v>0</v>
      </c>
      <c r="K178" s="453">
        <f t="shared" si="48"/>
        <v>0</v>
      </c>
      <c r="L178" s="453">
        <f t="shared" si="48"/>
        <v>0</v>
      </c>
      <c r="M178" s="453">
        <f t="shared" si="48"/>
        <v>0</v>
      </c>
      <c r="N178" s="453">
        <f t="shared" si="48"/>
        <v>0</v>
      </c>
      <c r="O178" s="453">
        <f t="shared" si="48"/>
        <v>0</v>
      </c>
      <c r="P178" s="453">
        <f t="shared" si="48"/>
        <v>0</v>
      </c>
      <c r="Q178" s="453">
        <f t="shared" si="48"/>
        <v>0</v>
      </c>
      <c r="R178" s="453">
        <f t="shared" si="48"/>
        <v>0</v>
      </c>
      <c r="S178" s="453">
        <f t="shared" si="48"/>
        <v>0</v>
      </c>
      <c r="T178" s="453">
        <f t="shared" si="48"/>
        <v>0</v>
      </c>
      <c r="U178" s="453">
        <f t="shared" si="48"/>
        <v>0</v>
      </c>
      <c r="V178" s="453">
        <f t="shared" si="48"/>
        <v>0</v>
      </c>
      <c r="W178" s="453">
        <f t="shared" si="48"/>
        <v>0</v>
      </c>
      <c r="X178" s="453">
        <f t="shared" si="48"/>
        <v>0</v>
      </c>
      <c r="Y178" s="453">
        <f t="shared" si="48"/>
        <v>0</v>
      </c>
      <c r="Z178" s="453">
        <f t="shared" si="48"/>
        <v>0</v>
      </c>
      <c r="AA178" s="453">
        <f t="shared" si="48"/>
        <v>0</v>
      </c>
      <c r="AB178" s="453">
        <f t="shared" si="48"/>
        <v>0</v>
      </c>
      <c r="AC178" s="453">
        <f t="shared" si="48"/>
        <v>0</v>
      </c>
      <c r="AD178" s="453">
        <f t="shared" si="48"/>
        <v>0</v>
      </c>
      <c r="AE178" s="453">
        <f t="shared" si="48"/>
        <v>-48876</v>
      </c>
      <c r="AF178" s="453">
        <f t="shared" si="48"/>
        <v>-48876</v>
      </c>
      <c r="AG178" s="453">
        <f t="shared" si="48"/>
        <v>-48876</v>
      </c>
      <c r="AH178" s="453">
        <f t="shared" si="48"/>
        <v>-48876</v>
      </c>
      <c r="AI178" s="453">
        <f t="shared" si="48"/>
        <v>-48876</v>
      </c>
      <c r="AJ178" s="453">
        <f t="shared" si="48"/>
        <v>-48876</v>
      </c>
      <c r="AK178" s="453">
        <f t="shared" si="48"/>
        <v>-48876</v>
      </c>
      <c r="AL178" s="453">
        <f t="shared" si="48"/>
        <v>-48876</v>
      </c>
      <c r="AM178" s="453">
        <f t="shared" si="48"/>
        <v>-48876</v>
      </c>
      <c r="AN178" s="453">
        <f t="shared" si="48"/>
        <v>-48876</v>
      </c>
    </row>
    <row r="179" spans="1:40" s="461" customFormat="1" ht="11.25" outlineLevel="1" collapsed="1" x14ac:dyDescent="0.2">
      <c r="B179" s="461" t="s">
        <v>1838</v>
      </c>
      <c r="C179" s="461" t="s">
        <v>1839</v>
      </c>
      <c r="S179" s="462">
        <v>0</v>
      </c>
      <c r="AE179" s="462">
        <v>48876</v>
      </c>
    </row>
    <row r="180" spans="1:40" s="461" customFormat="1" ht="11.25" outlineLevel="1" collapsed="1" x14ac:dyDescent="0.2">
      <c r="B180" s="461" t="s">
        <v>1840</v>
      </c>
      <c r="C180" s="461" t="s">
        <v>1841</v>
      </c>
      <c r="S180" s="462">
        <f>ABS(S179) - ABS(S178)</f>
        <v>0</v>
      </c>
      <c r="AE180" s="462">
        <f>ABS(AE179) - ABS(AE178)</f>
        <v>0</v>
      </c>
    </row>
    <row r="181" spans="1:40" s="455" customFormat="1" x14ac:dyDescent="0.25">
      <c r="A181" s="454"/>
      <c r="B181" s="455" t="s">
        <v>1081</v>
      </c>
      <c r="C181" s="455" t="s">
        <v>1082</v>
      </c>
      <c r="D181" s="455" t="s">
        <v>1674</v>
      </c>
      <c r="E181" s="456">
        <f>S181</f>
        <v>-7369139.9100000001</v>
      </c>
      <c r="F181" s="456">
        <f>AE181</f>
        <v>-7220778.4899999993</v>
      </c>
      <c r="G181" s="456">
        <f>AN181</f>
        <v>-8084274.8900000015</v>
      </c>
      <c r="H181" s="456">
        <f t="shared" ref="H181:AN181" si="49">H121+H141+H174+H178</f>
        <v>-7337115.4799999995</v>
      </c>
      <c r="I181" s="456">
        <f t="shared" si="49"/>
        <v>-7042466.1799999997</v>
      </c>
      <c r="J181" s="456">
        <f t="shared" si="49"/>
        <v>-6304685.9100000001</v>
      </c>
      <c r="K181" s="456">
        <f t="shared" si="49"/>
        <v>-6482173.040000001</v>
      </c>
      <c r="L181" s="456">
        <f t="shared" si="49"/>
        <v>-6034868.0600000005</v>
      </c>
      <c r="M181" s="456">
        <f t="shared" si="49"/>
        <v>-6903061.8999999994</v>
      </c>
      <c r="N181" s="456">
        <f t="shared" si="49"/>
        <v>-6800907.1600000001</v>
      </c>
      <c r="O181" s="456">
        <f t="shared" si="49"/>
        <v>-7065142.0000000009</v>
      </c>
      <c r="P181" s="456">
        <f t="shared" si="49"/>
        <v>-7154714.29</v>
      </c>
      <c r="Q181" s="456">
        <f t="shared" si="49"/>
        <v>-7091349.3300000001</v>
      </c>
      <c r="R181" s="456">
        <f t="shared" si="49"/>
        <v>-7324300.1499999994</v>
      </c>
      <c r="S181" s="456">
        <f t="shared" si="49"/>
        <v>-7369139.9100000001</v>
      </c>
      <c r="T181" s="456">
        <f t="shared" si="49"/>
        <v>-7486544.8099999996</v>
      </c>
      <c r="U181" s="456">
        <f t="shared" si="49"/>
        <v>-7760158.5799999991</v>
      </c>
      <c r="V181" s="456">
        <f t="shared" si="49"/>
        <v>-8149906.4299999997</v>
      </c>
      <c r="W181" s="456">
        <f t="shared" si="49"/>
        <v>-7273865.2999999998</v>
      </c>
      <c r="X181" s="456">
        <f t="shared" si="49"/>
        <v>-7206255.7899999991</v>
      </c>
      <c r="Y181" s="456">
        <f t="shared" si="49"/>
        <v>-6916099.0099999998</v>
      </c>
      <c r="Z181" s="456">
        <f t="shared" si="49"/>
        <v>-5975097.1900000013</v>
      </c>
      <c r="AA181" s="456">
        <f t="shared" si="49"/>
        <v>-6177501.3399999989</v>
      </c>
      <c r="AB181" s="456">
        <f t="shared" si="49"/>
        <v>-5854230.8099999996</v>
      </c>
      <c r="AC181" s="456">
        <f t="shared" si="49"/>
        <v>-5897499.0199999996</v>
      </c>
      <c r="AD181" s="456">
        <f t="shared" si="49"/>
        <v>-6014660.7700000005</v>
      </c>
      <c r="AE181" s="456">
        <f t="shared" si="49"/>
        <v>-7220778.4899999993</v>
      </c>
      <c r="AF181" s="456">
        <f t="shared" si="49"/>
        <v>-7255961.9299999997</v>
      </c>
      <c r="AG181" s="456">
        <f t="shared" si="49"/>
        <v>-7234191.040000001</v>
      </c>
      <c r="AH181" s="456">
        <f t="shared" si="49"/>
        <v>-7120921.5099999998</v>
      </c>
      <c r="AI181" s="456">
        <f t="shared" si="49"/>
        <v>-7250285.3700000001</v>
      </c>
      <c r="AJ181" s="456">
        <f t="shared" si="49"/>
        <v>-7326909.9199999999</v>
      </c>
      <c r="AK181" s="456">
        <f t="shared" si="49"/>
        <v>-7529486.1300000008</v>
      </c>
      <c r="AL181" s="456">
        <f t="shared" si="49"/>
        <v>-7755496.04</v>
      </c>
      <c r="AM181" s="456">
        <f t="shared" si="49"/>
        <v>-8106532.9600000009</v>
      </c>
      <c r="AN181" s="456">
        <f t="shared" si="49"/>
        <v>-8084274.8900000015</v>
      </c>
    </row>
    <row r="182" spans="1:40" s="461" customFormat="1" ht="11.25" x14ac:dyDescent="0.2">
      <c r="B182" s="461" t="s">
        <v>1842</v>
      </c>
      <c r="C182" s="461" t="s">
        <v>1843</v>
      </c>
      <c r="S182" s="462">
        <v>8236654.6399999997</v>
      </c>
      <c r="AE182" s="462">
        <v>8456253.9499999993</v>
      </c>
    </row>
    <row r="183" spans="1:40" s="461" customFormat="1" ht="11.25" x14ac:dyDescent="0.2">
      <c r="B183" s="461" t="s">
        <v>1844</v>
      </c>
      <c r="C183" s="461" t="s">
        <v>1845</v>
      </c>
      <c r="S183" s="462">
        <f>ABS(S182) - ABS(S181)</f>
        <v>867514.72999999952</v>
      </c>
      <c r="AE183" s="462">
        <f>ABS(AE182) - ABS(AE181)</f>
        <v>1235475.46</v>
      </c>
    </row>
    <row r="185" spans="1:40" s="455" customFormat="1" x14ac:dyDescent="0.25">
      <c r="A185" s="454"/>
      <c r="B185" s="455" t="s">
        <v>1846</v>
      </c>
      <c r="C185" s="455" t="s">
        <v>1846</v>
      </c>
    </row>
  </sheetData>
  <conditionalFormatting sqref="S10">
    <cfRule type="cellIs" dxfId="99" priority="2" operator="greaterThan">
      <formula>0</formula>
    </cfRule>
  </conditionalFormatting>
  <conditionalFormatting sqref="S13">
    <cfRule type="cellIs" dxfId="98" priority="4" operator="greaterThan">
      <formula>0</formula>
    </cfRule>
  </conditionalFormatting>
  <conditionalFormatting sqref="S17">
    <cfRule type="cellIs" dxfId="97" priority="6" operator="lessThan">
      <formula>0</formula>
    </cfRule>
  </conditionalFormatting>
  <conditionalFormatting sqref="S23">
    <cfRule type="cellIs" dxfId="96" priority="8" operator="greaterThan">
      <formula>0</formula>
    </cfRule>
  </conditionalFormatting>
  <conditionalFormatting sqref="S28">
    <cfRule type="cellIs" dxfId="95" priority="10" operator="greaterThan">
      <formula>0</formula>
    </cfRule>
  </conditionalFormatting>
  <conditionalFormatting sqref="S32">
    <cfRule type="cellIs" dxfId="94" priority="12" operator="greaterThan">
      <formula>0</formula>
    </cfRule>
  </conditionalFormatting>
  <conditionalFormatting sqref="S36">
    <cfRule type="cellIs" dxfId="93" priority="14" operator="greaterThan">
      <formula>0</formula>
    </cfRule>
  </conditionalFormatting>
  <conditionalFormatting sqref="S39">
    <cfRule type="cellIs" dxfId="92" priority="16" operator="greaterThan">
      <formula>0</formula>
    </cfRule>
  </conditionalFormatting>
  <conditionalFormatting sqref="S42">
    <cfRule type="cellIs" dxfId="91" priority="18" operator="equal">
      <formula>0</formula>
    </cfRule>
  </conditionalFormatting>
  <conditionalFormatting sqref="S46">
    <cfRule type="cellIs" dxfId="90" priority="20" operator="equal">
      <formula>0</formula>
    </cfRule>
  </conditionalFormatting>
  <conditionalFormatting sqref="S50">
    <cfRule type="cellIs" dxfId="89" priority="22" operator="greaterThan">
      <formula>0</formula>
    </cfRule>
  </conditionalFormatting>
  <conditionalFormatting sqref="S55">
    <cfRule type="cellIs" dxfId="88" priority="24" operator="greaterThan">
      <formula>0</formula>
    </cfRule>
  </conditionalFormatting>
  <conditionalFormatting sqref="S60">
    <cfRule type="cellIs" dxfId="87" priority="26" operator="lessThan">
      <formula>0</formula>
    </cfRule>
  </conditionalFormatting>
  <conditionalFormatting sqref="S63">
    <cfRule type="cellIs" dxfId="86" priority="28" operator="lessThan">
      <formula>0</formula>
    </cfRule>
  </conditionalFormatting>
  <conditionalFormatting sqref="S69">
    <cfRule type="cellIs" dxfId="85" priority="30" operator="greaterThan">
      <formula>0</formula>
    </cfRule>
  </conditionalFormatting>
  <conditionalFormatting sqref="S82">
    <cfRule type="cellIs" dxfId="84" priority="32" operator="greaterThan">
      <formula>0</formula>
    </cfRule>
  </conditionalFormatting>
  <conditionalFormatting sqref="S85">
    <cfRule type="cellIs" dxfId="83" priority="34" operator="greaterThan">
      <formula>0</formula>
    </cfRule>
  </conditionalFormatting>
  <conditionalFormatting sqref="S89">
    <cfRule type="cellIs" dxfId="82" priority="36" operator="equal">
      <formula>0</formula>
    </cfRule>
  </conditionalFormatting>
  <conditionalFormatting sqref="S100">
    <cfRule type="cellIs" dxfId="81" priority="39" operator="equal">
      <formula>0</formula>
    </cfRule>
  </conditionalFormatting>
  <conditionalFormatting sqref="S103">
    <cfRule type="cellIs" dxfId="80" priority="41" operator="lessThan">
      <formula>0</formula>
    </cfRule>
  </conditionalFormatting>
  <conditionalFormatting sqref="S107">
    <cfRule type="cellIs" dxfId="79" priority="43" operator="greaterThan">
      <formula>0</formula>
    </cfRule>
  </conditionalFormatting>
  <conditionalFormatting sqref="S110">
    <cfRule type="cellIs" dxfId="78" priority="45" operator="equal">
      <formula>0</formula>
    </cfRule>
  </conditionalFormatting>
  <conditionalFormatting sqref="S116">
    <cfRule type="cellIs" dxfId="77" priority="47" operator="greaterThan">
      <formula>0</formula>
    </cfRule>
  </conditionalFormatting>
  <conditionalFormatting sqref="S120">
    <cfRule type="cellIs" dxfId="76" priority="49" operator="greaterThan">
      <formula>0</formula>
    </cfRule>
  </conditionalFormatting>
  <conditionalFormatting sqref="S123">
    <cfRule type="cellIs" dxfId="75" priority="51" operator="greaterThan">
      <formula>0</formula>
    </cfRule>
  </conditionalFormatting>
  <conditionalFormatting sqref="S127">
    <cfRule type="cellIs" dxfId="74" priority="53" operator="equal">
      <formula>0</formula>
    </cfRule>
  </conditionalFormatting>
  <conditionalFormatting sqref="S132">
    <cfRule type="cellIs" dxfId="73" priority="55" operator="greaterThan">
      <formula>0</formula>
    </cfRule>
  </conditionalFormatting>
  <conditionalFormatting sqref="S140">
    <cfRule type="cellIs" dxfId="72" priority="57" operator="lessThan">
      <formula>0</formula>
    </cfRule>
  </conditionalFormatting>
  <conditionalFormatting sqref="S143">
    <cfRule type="cellIs" dxfId="71" priority="59" operator="lessThan">
      <formula>0</formula>
    </cfRule>
  </conditionalFormatting>
  <conditionalFormatting sqref="S148">
    <cfRule type="cellIs" dxfId="70" priority="61" operator="lessThan">
      <formula>0</formula>
    </cfRule>
  </conditionalFormatting>
  <conditionalFormatting sqref="S171">
    <cfRule type="cellIs" dxfId="69" priority="63" operator="lessThan">
      <formula>0</formula>
    </cfRule>
  </conditionalFormatting>
  <conditionalFormatting sqref="S176">
    <cfRule type="cellIs" dxfId="68" priority="65" operator="equal">
      <formula>0</formula>
    </cfRule>
  </conditionalFormatting>
  <conditionalFormatting sqref="S180">
    <cfRule type="cellIs" dxfId="67" priority="67" operator="lessThan">
      <formula>0</formula>
    </cfRule>
  </conditionalFormatting>
  <conditionalFormatting sqref="S183">
    <cfRule type="cellIs" dxfId="66" priority="69" operator="greaterThan">
      <formula>0</formula>
    </cfRule>
  </conditionalFormatting>
  <conditionalFormatting sqref="AE6">
    <cfRule type="cellIs" dxfId="65" priority="1" operator="equal">
      <formula>0</formula>
    </cfRule>
  </conditionalFormatting>
  <conditionalFormatting sqref="AE10">
    <cfRule type="cellIs" dxfId="64" priority="3" operator="greaterThan">
      <formula>0</formula>
    </cfRule>
  </conditionalFormatting>
  <conditionalFormatting sqref="AE13">
    <cfRule type="cellIs" dxfId="63" priority="5" operator="equal">
      <formula>0</formula>
    </cfRule>
  </conditionalFormatting>
  <conditionalFormatting sqref="AE17">
    <cfRule type="cellIs" dxfId="62" priority="7" operator="lessThan">
      <formula>0</formula>
    </cfRule>
  </conditionalFormatting>
  <conditionalFormatting sqref="AE23">
    <cfRule type="cellIs" dxfId="61" priority="9" operator="equal">
      <formula>0</formula>
    </cfRule>
  </conditionalFormatting>
  <conditionalFormatting sqref="AE28">
    <cfRule type="cellIs" dxfId="60" priority="11" operator="equal">
      <formula>0</formula>
    </cfRule>
  </conditionalFormatting>
  <conditionalFormatting sqref="AE32">
    <cfRule type="cellIs" dxfId="59" priority="13" operator="greaterThan">
      <formula>0</formula>
    </cfRule>
  </conditionalFormatting>
  <conditionalFormatting sqref="AE36">
    <cfRule type="cellIs" dxfId="58" priority="15" operator="greaterThan">
      <formula>0</formula>
    </cfRule>
  </conditionalFormatting>
  <conditionalFormatting sqref="AE39">
    <cfRule type="cellIs" dxfId="57" priority="17" operator="greaterThan">
      <formula>0</formula>
    </cfRule>
  </conditionalFormatting>
  <conditionalFormatting sqref="AE42">
    <cfRule type="cellIs" dxfId="56" priority="19" operator="greaterThan">
      <formula>0</formula>
    </cfRule>
  </conditionalFormatting>
  <conditionalFormatting sqref="AE46">
    <cfRule type="cellIs" dxfId="55" priority="21" operator="equal">
      <formula>0</formula>
    </cfRule>
  </conditionalFormatting>
  <conditionalFormatting sqref="AE50">
    <cfRule type="cellIs" dxfId="54" priority="23" operator="greaterThan">
      <formula>0</formula>
    </cfRule>
  </conditionalFormatting>
  <conditionalFormatting sqref="AE55">
    <cfRule type="cellIs" dxfId="53" priority="25" operator="lessThan">
      <formula>0</formula>
    </cfRule>
  </conditionalFormatting>
  <conditionalFormatting sqref="AE60">
    <cfRule type="cellIs" dxfId="52" priority="27" operator="equal">
      <formula>0</formula>
    </cfRule>
  </conditionalFormatting>
  <conditionalFormatting sqref="AE63">
    <cfRule type="cellIs" dxfId="51" priority="29" operator="greaterThan">
      <formula>0</formula>
    </cfRule>
  </conditionalFormatting>
  <conditionalFormatting sqref="AE69">
    <cfRule type="cellIs" dxfId="50" priority="31" operator="greaterThan">
      <formula>0</formula>
    </cfRule>
  </conditionalFormatting>
  <conditionalFormatting sqref="AE82">
    <cfRule type="cellIs" dxfId="49" priority="33" operator="equal">
      <formula>0</formula>
    </cfRule>
  </conditionalFormatting>
  <conditionalFormatting sqref="AE85">
    <cfRule type="cellIs" dxfId="48" priority="35" operator="greaterThan">
      <formula>0</formula>
    </cfRule>
  </conditionalFormatting>
  <conditionalFormatting sqref="AE89">
    <cfRule type="cellIs" dxfId="47" priority="37" operator="lessThan">
      <formula>0</formula>
    </cfRule>
  </conditionalFormatting>
  <conditionalFormatting sqref="AE92">
    <cfRule type="cellIs" dxfId="46" priority="38" operator="equal">
      <formula>0</formula>
    </cfRule>
  </conditionalFormatting>
  <conditionalFormatting sqref="AE100">
    <cfRule type="cellIs" dxfId="45" priority="40" operator="greaterThan">
      <formula>0</formula>
    </cfRule>
  </conditionalFormatting>
  <conditionalFormatting sqref="AE103">
    <cfRule type="cellIs" dxfId="44" priority="42" operator="greaterThan">
      <formula>0</formula>
    </cfRule>
  </conditionalFormatting>
  <conditionalFormatting sqref="AE107">
    <cfRule type="cellIs" dxfId="43" priority="44" operator="greaterThan">
      <formula>0</formula>
    </cfRule>
  </conditionalFormatting>
  <conditionalFormatting sqref="AE110">
    <cfRule type="cellIs" dxfId="42" priority="46" operator="greaterThan">
      <formula>0</formula>
    </cfRule>
  </conditionalFormatting>
  <conditionalFormatting sqref="AE116">
    <cfRule type="cellIs" dxfId="41" priority="48" operator="greaterThan">
      <formula>0</formula>
    </cfRule>
  </conditionalFormatting>
  <conditionalFormatting sqref="AE120">
    <cfRule type="cellIs" dxfId="40" priority="50" operator="greaterThan">
      <formula>0</formula>
    </cfRule>
  </conditionalFormatting>
  <conditionalFormatting sqref="AE123">
    <cfRule type="cellIs" dxfId="39" priority="52" operator="greaterThan">
      <formula>0</formula>
    </cfRule>
  </conditionalFormatting>
  <conditionalFormatting sqref="AE127">
    <cfRule type="cellIs" dxfId="38" priority="54" operator="greaterThan">
      <formula>0</formula>
    </cfRule>
  </conditionalFormatting>
  <conditionalFormatting sqref="AE132">
    <cfRule type="cellIs" dxfId="37" priority="56" operator="greaterThan">
      <formula>0</formula>
    </cfRule>
  </conditionalFormatting>
  <conditionalFormatting sqref="AE140">
    <cfRule type="cellIs" dxfId="36" priority="58" operator="lessThan">
      <formula>0</formula>
    </cfRule>
  </conditionalFormatting>
  <conditionalFormatting sqref="AE143">
    <cfRule type="cellIs" dxfId="35" priority="60" operator="greaterThan">
      <formula>0</formula>
    </cfRule>
  </conditionalFormatting>
  <conditionalFormatting sqref="AE148">
    <cfRule type="cellIs" dxfId="34" priority="62" operator="greaterThan">
      <formula>0</formula>
    </cfRule>
  </conditionalFormatting>
  <conditionalFormatting sqref="AE171">
    <cfRule type="cellIs" dxfId="33" priority="64" operator="greaterThan">
      <formula>0</formula>
    </cfRule>
  </conditionalFormatting>
  <conditionalFormatting sqref="AE176">
    <cfRule type="cellIs" dxfId="32" priority="66" operator="greaterThan">
      <formula>0</formula>
    </cfRule>
  </conditionalFormatting>
  <conditionalFormatting sqref="AE180">
    <cfRule type="cellIs" dxfId="31" priority="68" operator="greaterThan">
      <formula>0</formula>
    </cfRule>
  </conditionalFormatting>
  <conditionalFormatting sqref="AE183">
    <cfRule type="cellIs" dxfId="30" priority="70" operator="greaterThan">
      <formula>0</formula>
    </cfRule>
  </conditionalFormatting>
  <pageMargins left="0.7" right="0.7" top="0.75" bottom="0.75" header="0.3" footer="0.3"/>
  <pageSetup orientation="portrait" horizontalDpi="4294967295" verticalDpi="4294967295"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F6C1A-202F-461B-A834-3A903603E194}">
  <sheetPr filterMode="1">
    <tabColor rgb="FF7030A0"/>
    <pageSetUpPr autoPageBreaks="0"/>
  </sheetPr>
  <dimension ref="A1:XFC476"/>
  <sheetViews>
    <sheetView tabSelected="1" zoomScale="70" zoomScaleNormal="70" workbookViewId="0">
      <selection activeCell="E282" sqref="E282"/>
    </sheetView>
  </sheetViews>
  <sheetFormatPr defaultColWidth="8.85546875" defaultRowHeight="15" outlineLevelRow="1" outlineLevelCol="1" x14ac:dyDescent="0.25"/>
  <cols>
    <col min="1" max="1" width="9" style="452" customWidth="1"/>
    <col min="2" max="2" width="50" customWidth="1"/>
    <col min="3" max="3" width="50" hidden="1" customWidth="1" outlineLevel="1"/>
    <col min="4" max="4" width="71.140625" customWidth="1" collapsed="1"/>
    <col min="5" max="5" width="50" customWidth="1" outlineLevel="1"/>
    <col min="6" max="6" width="78.42578125" customWidth="1" outlineLevel="1" collapsed="1"/>
    <col min="7" max="9" width="20" style="453" customWidth="1"/>
    <col min="10" max="10" width="20" style="453" hidden="1" customWidth="1" outlineLevel="1"/>
    <col min="11" max="11" width="20" style="453" customWidth="1" collapsed="1"/>
    <col min="12" max="15" width="20" style="453" customWidth="1"/>
    <col min="16" max="16" width="20" style="453" hidden="1" customWidth="1"/>
    <col min="17" max="46" width="20" style="453" customWidth="1"/>
    <col min="47" max="47" width="13" bestFit="1" customWidth="1"/>
  </cols>
  <sheetData>
    <row r="1" spans="1:47" s="510" customFormat="1" x14ac:dyDescent="0.25">
      <c r="A1" s="448" t="s">
        <v>864</v>
      </c>
      <c r="B1" s="448"/>
      <c r="C1" s="449"/>
      <c r="D1" s="448" t="s">
        <v>1197</v>
      </c>
      <c r="E1" s="449" t="s">
        <v>1847</v>
      </c>
      <c r="F1" s="449" t="s">
        <v>2515</v>
      </c>
      <c r="G1" s="508" t="s">
        <v>1198</v>
      </c>
      <c r="H1" s="508" t="s">
        <v>1199</v>
      </c>
      <c r="I1" s="508" t="s">
        <v>4745</v>
      </c>
      <c r="J1" s="509" t="s">
        <v>1200</v>
      </c>
      <c r="K1" s="508" t="s">
        <v>1201</v>
      </c>
      <c r="L1" s="508" t="s">
        <v>1202</v>
      </c>
      <c r="M1" s="508" t="s">
        <v>1203</v>
      </c>
      <c r="N1" s="508" t="s">
        <v>1204</v>
      </c>
      <c r="O1" s="508" t="s">
        <v>1205</v>
      </c>
      <c r="P1" s="508" t="s">
        <v>1206</v>
      </c>
      <c r="Q1" s="508" t="s">
        <v>1207</v>
      </c>
      <c r="R1" s="508" t="s">
        <v>1208</v>
      </c>
      <c r="S1" s="508" t="s">
        <v>1209</v>
      </c>
      <c r="T1" s="508" t="s">
        <v>1210</v>
      </c>
      <c r="U1" s="508" t="s">
        <v>1211</v>
      </c>
      <c r="V1" s="508" t="s">
        <v>1212</v>
      </c>
      <c r="W1" s="508" t="s">
        <v>1213</v>
      </c>
      <c r="X1" s="508" t="s">
        <v>1214</v>
      </c>
      <c r="Y1" s="508" t="s">
        <v>1215</v>
      </c>
      <c r="Z1" s="508" t="s">
        <v>1216</v>
      </c>
      <c r="AA1" s="508" t="s">
        <v>1217</v>
      </c>
      <c r="AB1" s="508" t="s">
        <v>1218</v>
      </c>
      <c r="AC1" s="508" t="s">
        <v>1219</v>
      </c>
      <c r="AD1" s="508" t="s">
        <v>1220</v>
      </c>
      <c r="AE1" s="508" t="s">
        <v>1221</v>
      </c>
      <c r="AF1" s="508" t="s">
        <v>1222</v>
      </c>
      <c r="AG1" s="508" t="s">
        <v>1223</v>
      </c>
      <c r="AH1" s="508" t="s">
        <v>1224</v>
      </c>
      <c r="AI1" s="508" t="s">
        <v>1225</v>
      </c>
      <c r="AJ1" s="508" t="s">
        <v>1226</v>
      </c>
      <c r="AK1" s="508" t="s">
        <v>1227</v>
      </c>
      <c r="AL1" s="508" t="s">
        <v>1228</v>
      </c>
      <c r="AM1" s="508" t="s">
        <v>1229</v>
      </c>
      <c r="AN1" s="508" t="s">
        <v>1230</v>
      </c>
      <c r="AO1" s="508" t="s">
        <v>1231</v>
      </c>
      <c r="AP1" s="508" t="s">
        <v>1232</v>
      </c>
      <c r="AQ1" s="508" t="s">
        <v>1233</v>
      </c>
      <c r="AR1" s="508" t="s">
        <v>4731</v>
      </c>
      <c r="AS1" s="508" t="s">
        <v>4732</v>
      </c>
      <c r="AT1" s="508" t="s">
        <v>4733</v>
      </c>
    </row>
    <row r="2" spans="1:47" hidden="1" outlineLevel="1" collapsed="1" x14ac:dyDescent="0.25">
      <c r="A2" s="452">
        <v>27</v>
      </c>
      <c r="B2" t="s">
        <v>1848</v>
      </c>
      <c r="C2" t="s">
        <v>1849</v>
      </c>
      <c r="D2" t="s">
        <v>726</v>
      </c>
      <c r="G2" s="453">
        <f t="shared" ref="G2:G65" si="0">V2</f>
        <v>3606</v>
      </c>
      <c r="H2" s="453">
        <f t="shared" ref="H2:H65" si="1">AH2</f>
        <v>1109</v>
      </c>
      <c r="I2" s="453">
        <f>AT2</f>
        <v>7</v>
      </c>
      <c r="K2" s="453">
        <v>5941.68</v>
      </c>
      <c r="L2" s="453">
        <v>5729.34</v>
      </c>
      <c r="M2" s="453">
        <v>5517.02</v>
      </c>
      <c r="N2" s="453">
        <v>5304.68</v>
      </c>
      <c r="O2" s="453">
        <v>5092.34</v>
      </c>
      <c r="P2" s="453">
        <v>4880.0200000000004</v>
      </c>
      <c r="Q2" s="453">
        <v>4667.68</v>
      </c>
      <c r="R2" s="453">
        <v>4455.34</v>
      </c>
      <c r="S2" s="453">
        <v>4243.0200000000004</v>
      </c>
      <c r="T2" s="453">
        <v>4030.68</v>
      </c>
      <c r="U2" s="453">
        <v>3818.34</v>
      </c>
      <c r="V2" s="453">
        <v>3606</v>
      </c>
      <c r="W2" s="453">
        <v>3393.82</v>
      </c>
      <c r="X2" s="453">
        <v>3181.63</v>
      </c>
      <c r="Y2" s="453">
        <v>2969.45</v>
      </c>
      <c r="Z2" s="453">
        <v>2757.25</v>
      </c>
      <c r="AA2" s="453">
        <v>2545.06</v>
      </c>
      <c r="AB2" s="453">
        <v>2332.88</v>
      </c>
      <c r="AC2" s="453">
        <v>2120.69</v>
      </c>
      <c r="AD2" s="453">
        <v>1908.49</v>
      </c>
      <c r="AE2" s="453">
        <v>1696.31</v>
      </c>
      <c r="AF2" s="453">
        <v>1484.12</v>
      </c>
      <c r="AG2" s="453">
        <v>1271.93</v>
      </c>
      <c r="AH2" s="453">
        <v>1109</v>
      </c>
      <c r="AI2" s="453">
        <v>946.5</v>
      </c>
      <c r="AJ2" s="453">
        <v>784</v>
      </c>
      <c r="AK2" s="453">
        <v>673</v>
      </c>
      <c r="AL2" s="453">
        <v>562</v>
      </c>
      <c r="AM2" s="453">
        <v>451</v>
      </c>
      <c r="AN2" s="453">
        <v>340</v>
      </c>
      <c r="AO2" s="453">
        <v>229</v>
      </c>
      <c r="AP2" s="453">
        <v>118</v>
      </c>
      <c r="AQ2" s="453">
        <v>7</v>
      </c>
      <c r="AR2" s="453">
        <f>IFERROR(INDEX('SuSa Okt25'!$N:$N,MATCH($A2,'SuSa Okt25'!A:A,0)),"")</f>
        <v>7</v>
      </c>
      <c r="AS2" s="453">
        <f>IFERROR(INDEX('SuSa Nov25'!$N:$N,MATCH($A2,'SuSa Nov25'!$A:$A,0)),"")</f>
        <v>7</v>
      </c>
      <c r="AT2" s="453">
        <f>IFERROR(INDEX('SuSa Dez25'!$N:$N,MATCH($A2,'SuSa Dez25'!$A:$A,0)),"")</f>
        <v>7</v>
      </c>
    </row>
    <row r="3" spans="1:47" hidden="1" outlineLevel="1" collapsed="1" x14ac:dyDescent="0.25">
      <c r="A3" s="452">
        <v>48</v>
      </c>
      <c r="B3" t="s">
        <v>1850</v>
      </c>
      <c r="C3" t="s">
        <v>1851</v>
      </c>
      <c r="D3" t="s">
        <v>725</v>
      </c>
      <c r="G3" s="453">
        <f t="shared" si="0"/>
        <v>0</v>
      </c>
      <c r="H3" s="453">
        <f t="shared" si="1"/>
        <v>203167.17</v>
      </c>
      <c r="I3" s="453">
        <f t="shared" ref="I3:I66" si="2">AT3</f>
        <v>665996.27</v>
      </c>
      <c r="AH3" s="453">
        <v>203167.17</v>
      </c>
      <c r="AI3" s="453">
        <v>203167.17</v>
      </c>
      <c r="AJ3" s="453">
        <v>203167.17</v>
      </c>
      <c r="AK3" s="453">
        <v>203167.17</v>
      </c>
      <c r="AL3" s="453">
        <v>203167.17</v>
      </c>
      <c r="AM3" s="453">
        <v>203167.17</v>
      </c>
      <c r="AN3" s="453">
        <v>203167.17</v>
      </c>
      <c r="AO3" s="453">
        <v>344694.47</v>
      </c>
      <c r="AP3" s="453">
        <v>344694.47</v>
      </c>
      <c r="AQ3" s="453">
        <v>344694.47</v>
      </c>
      <c r="AR3" s="453">
        <f>IFERROR(INDEX('SuSa Okt25'!$N:$N,MATCH($A3,'SuSa Okt25'!A:A,0)),"")</f>
        <v>344694.47</v>
      </c>
      <c r="AS3" s="453">
        <f>IFERROR(INDEX('SuSa Nov25'!$N:$N,MATCH($A3,'SuSa Nov25'!$A:$A,0)),"")</f>
        <v>344694.47</v>
      </c>
      <c r="AT3" s="453">
        <f>IFERROR(INDEX('SuSa Dez25'!$N:$N,MATCH($A3,'SuSa Dez25'!$A:$A,0)),"")</f>
        <v>665996.27</v>
      </c>
      <c r="AU3" s="482"/>
    </row>
    <row r="4" spans="1:47" hidden="1" outlineLevel="1" collapsed="1" x14ac:dyDescent="0.25">
      <c r="A4" s="452">
        <v>210</v>
      </c>
      <c r="B4" t="s">
        <v>1852</v>
      </c>
      <c r="C4" t="s">
        <v>1853</v>
      </c>
      <c r="D4" t="s">
        <v>731</v>
      </c>
      <c r="G4" s="453">
        <f t="shared" si="0"/>
        <v>1</v>
      </c>
      <c r="H4" s="453">
        <f t="shared" si="1"/>
        <v>1</v>
      </c>
      <c r="I4" s="453">
        <f t="shared" si="2"/>
        <v>1</v>
      </c>
      <c r="K4" s="453">
        <v>1</v>
      </c>
      <c r="L4" s="453">
        <v>1</v>
      </c>
      <c r="M4" s="453">
        <v>1</v>
      </c>
      <c r="N4" s="453">
        <v>1</v>
      </c>
      <c r="O4" s="453">
        <v>1</v>
      </c>
      <c r="P4" s="453">
        <v>1</v>
      </c>
      <c r="Q4" s="453">
        <v>1</v>
      </c>
      <c r="R4" s="453">
        <v>1</v>
      </c>
      <c r="S4" s="453">
        <v>1</v>
      </c>
      <c r="T4" s="453">
        <v>1</v>
      </c>
      <c r="U4" s="453">
        <v>1</v>
      </c>
      <c r="V4" s="453">
        <v>1</v>
      </c>
      <c r="W4" s="453">
        <v>1</v>
      </c>
      <c r="X4" s="453">
        <v>1</v>
      </c>
      <c r="Y4" s="453">
        <v>1</v>
      </c>
      <c r="Z4" s="453">
        <v>1</v>
      </c>
      <c r="AA4" s="453">
        <v>1</v>
      </c>
      <c r="AB4" s="453">
        <v>1</v>
      </c>
      <c r="AC4" s="453">
        <v>1</v>
      </c>
      <c r="AD4" s="453">
        <v>1</v>
      </c>
      <c r="AE4" s="453">
        <v>1</v>
      </c>
      <c r="AF4" s="453">
        <v>1</v>
      </c>
      <c r="AG4" s="453">
        <v>1</v>
      </c>
      <c r="AH4" s="453">
        <v>1</v>
      </c>
      <c r="AI4" s="453">
        <v>1</v>
      </c>
      <c r="AJ4" s="453">
        <v>1</v>
      </c>
      <c r="AK4" s="453">
        <v>1</v>
      </c>
      <c r="AL4" s="453">
        <v>1</v>
      </c>
      <c r="AM4" s="453">
        <v>1</v>
      </c>
      <c r="AN4" s="453">
        <v>1</v>
      </c>
      <c r="AO4" s="453">
        <v>1</v>
      </c>
      <c r="AP4" s="453">
        <v>1</v>
      </c>
      <c r="AQ4" s="453">
        <v>1</v>
      </c>
      <c r="AR4" s="453">
        <f>IFERROR(INDEX('SuSa Okt25'!$N:$N,MATCH($A4,'SuSa Okt25'!A:A,0)),"")</f>
        <v>1</v>
      </c>
      <c r="AS4" s="453">
        <f>IFERROR(INDEX('SuSa Nov25'!$N:$N,MATCH($A4,'SuSa Nov25'!$A:$A,0)),"")</f>
        <v>1</v>
      </c>
      <c r="AT4" s="453">
        <f>IFERROR(INDEX('SuSa Dez25'!$N:$N,MATCH($A4,'SuSa Dez25'!$A:$A,0)),"")</f>
        <v>1</v>
      </c>
    </row>
    <row r="5" spans="1:47" hidden="1" outlineLevel="1" collapsed="1" x14ac:dyDescent="0.25">
      <c r="A5" s="452">
        <v>400</v>
      </c>
      <c r="B5" t="s">
        <v>1854</v>
      </c>
      <c r="C5" t="s">
        <v>1855</v>
      </c>
      <c r="D5" t="s">
        <v>732</v>
      </c>
      <c r="G5" s="453">
        <f t="shared" si="0"/>
        <v>243990</v>
      </c>
      <c r="H5" s="453">
        <f t="shared" si="1"/>
        <v>303552</v>
      </c>
      <c r="I5" s="453">
        <f t="shared" si="2"/>
        <v>288717</v>
      </c>
      <c r="K5" s="453">
        <v>271609.39</v>
      </c>
      <c r="L5" s="453">
        <v>263686.52</v>
      </c>
      <c r="M5" s="453">
        <v>263016.53999999998</v>
      </c>
      <c r="N5" s="453">
        <v>257253.5</v>
      </c>
      <c r="O5" s="453">
        <v>266464.58</v>
      </c>
      <c r="P5" s="453">
        <v>260959.59</v>
      </c>
      <c r="Q5" s="453">
        <v>255470.73</v>
      </c>
      <c r="R5" s="453">
        <v>254064.14</v>
      </c>
      <c r="S5" s="453">
        <v>247155.95</v>
      </c>
      <c r="T5" s="453">
        <v>257992.12</v>
      </c>
      <c r="U5" s="453">
        <v>250970.65</v>
      </c>
      <c r="V5" s="453">
        <v>243990</v>
      </c>
      <c r="W5" s="453">
        <v>238052.49</v>
      </c>
      <c r="X5" s="453">
        <v>232137.74</v>
      </c>
      <c r="Y5" s="453">
        <v>234117.42</v>
      </c>
      <c r="Z5" s="453">
        <v>269725.58</v>
      </c>
      <c r="AA5" s="453">
        <v>270487.96999999997</v>
      </c>
      <c r="AB5" s="453">
        <v>276138.11</v>
      </c>
      <c r="AC5" s="453">
        <v>273207.96999999997</v>
      </c>
      <c r="AD5" s="453">
        <v>305381.42</v>
      </c>
      <c r="AE5" s="453">
        <v>299350.38</v>
      </c>
      <c r="AF5" s="453">
        <v>356647.7</v>
      </c>
      <c r="AG5" s="453">
        <v>521769.12</v>
      </c>
      <c r="AH5" s="453">
        <v>303552</v>
      </c>
      <c r="AI5" s="453">
        <v>297424.90000000002</v>
      </c>
      <c r="AJ5" s="453">
        <v>291423.59999999998</v>
      </c>
      <c r="AK5" s="453">
        <v>293787.09999999998</v>
      </c>
      <c r="AL5" s="453">
        <v>291908.43</v>
      </c>
      <c r="AM5" s="453">
        <v>285912.06</v>
      </c>
      <c r="AN5" s="453">
        <v>279970.5</v>
      </c>
      <c r="AO5" s="453">
        <v>274032.92</v>
      </c>
      <c r="AP5" s="453">
        <v>268099.21000000002</v>
      </c>
      <c r="AQ5" s="453">
        <v>264585.34999999998</v>
      </c>
      <c r="AR5" s="453">
        <f>IFERROR(INDEX('SuSa Okt25'!$N:$N,MATCH($A5,'SuSa Okt25'!A:A,0)),"")</f>
        <v>263758.71000000002</v>
      </c>
      <c r="AS5" s="453">
        <f>IFERROR(INDEX('SuSa Nov25'!$N:$N,MATCH($A5,'SuSa Nov25'!$A:$A,0)),"")</f>
        <v>277399.51</v>
      </c>
      <c r="AT5" s="453">
        <f>IFERROR(INDEX('SuSa Dez25'!$N:$N,MATCH($A5,'SuSa Dez25'!$A:$A,0)),"")</f>
        <v>288717</v>
      </c>
    </row>
    <row r="6" spans="1:47" hidden="1" outlineLevel="1" collapsed="1" x14ac:dyDescent="0.25">
      <c r="A6" s="452">
        <v>440</v>
      </c>
      <c r="B6" t="s">
        <v>1856</v>
      </c>
      <c r="C6" t="s">
        <v>1857</v>
      </c>
      <c r="D6" t="s">
        <v>732</v>
      </c>
      <c r="G6" s="453">
        <f t="shared" si="0"/>
        <v>45408</v>
      </c>
      <c r="H6" s="453">
        <f t="shared" si="1"/>
        <v>36265</v>
      </c>
      <c r="I6" s="453">
        <f t="shared" si="2"/>
        <v>27327</v>
      </c>
      <c r="K6" s="453">
        <v>64084.68</v>
      </c>
      <c r="L6" s="453">
        <v>62146.29</v>
      </c>
      <c r="M6" s="453">
        <v>60207.96</v>
      </c>
      <c r="N6" s="453">
        <v>58269.49</v>
      </c>
      <c r="O6" s="453">
        <v>56595.360000000001</v>
      </c>
      <c r="P6" s="453">
        <v>54921.279999999999</v>
      </c>
      <c r="Q6" s="453">
        <v>53247.06</v>
      </c>
      <c r="R6" s="453">
        <v>51572.92</v>
      </c>
      <c r="S6" s="453">
        <v>49898.85</v>
      </c>
      <c r="T6" s="453">
        <v>48340.4</v>
      </c>
      <c r="U6" s="453">
        <v>50040.74</v>
      </c>
      <c r="V6" s="453">
        <v>45408</v>
      </c>
      <c r="W6" s="453">
        <v>49322.98</v>
      </c>
      <c r="X6" s="453">
        <v>48135.88</v>
      </c>
      <c r="Y6" s="453">
        <v>46948.86</v>
      </c>
      <c r="Z6" s="453">
        <v>45761.73</v>
      </c>
      <c r="AA6" s="453">
        <v>44574.63</v>
      </c>
      <c r="AB6" s="453">
        <v>43387.61</v>
      </c>
      <c r="AC6" s="453">
        <v>42200.480000000003</v>
      </c>
      <c r="AD6" s="453">
        <v>41013.379999999997</v>
      </c>
      <c r="AE6" s="453">
        <v>39826.36</v>
      </c>
      <c r="AF6" s="453">
        <v>38639.230000000003</v>
      </c>
      <c r="AG6" s="453">
        <v>37452.129999999997</v>
      </c>
      <c r="AH6" s="453">
        <v>36265</v>
      </c>
      <c r="AI6" s="453">
        <v>35237.629999999997</v>
      </c>
      <c r="AJ6" s="453">
        <v>34210.19</v>
      </c>
      <c r="AK6" s="453">
        <v>33254.82</v>
      </c>
      <c r="AL6" s="453">
        <v>32299.35</v>
      </c>
      <c r="AM6" s="453">
        <v>31415.16</v>
      </c>
      <c r="AN6" s="453">
        <v>30543.24</v>
      </c>
      <c r="AO6" s="453">
        <v>29671.22</v>
      </c>
      <c r="AP6" s="453">
        <v>28799.23</v>
      </c>
      <c r="AQ6" s="453">
        <v>27927.31</v>
      </c>
      <c r="AR6" s="453">
        <f>IFERROR(INDEX('SuSa Okt25'!$N:$N,MATCH($A6,'SuSa Okt25'!A:A,0)),"")</f>
        <v>27061.39</v>
      </c>
      <c r="AS6" s="453">
        <f>IFERROR(INDEX('SuSa Nov25'!$N:$N,MATCH($A6,'SuSa Nov25'!$A:$A,0)),"")</f>
        <v>28184.21</v>
      </c>
      <c r="AT6" s="453">
        <f>IFERROR(INDEX('SuSa Dez25'!$N:$N,MATCH($A6,'SuSa Dez25'!$A:$A,0)),"")</f>
        <v>27327</v>
      </c>
    </row>
    <row r="7" spans="1:47" hidden="1" outlineLevel="1" collapsed="1" x14ac:dyDescent="0.25">
      <c r="A7" s="452">
        <v>490</v>
      </c>
      <c r="B7" t="s">
        <v>1858</v>
      </c>
      <c r="C7" t="s">
        <v>1859</v>
      </c>
      <c r="D7" t="s">
        <v>732</v>
      </c>
      <c r="G7" s="453">
        <f t="shared" si="0"/>
        <v>425777</v>
      </c>
      <c r="H7" s="453">
        <f t="shared" si="1"/>
        <v>486646</v>
      </c>
      <c r="I7" s="453">
        <f t="shared" si="2"/>
        <v>284340</v>
      </c>
      <c r="K7" s="453">
        <v>593440.51</v>
      </c>
      <c r="L7" s="453">
        <v>575837.66</v>
      </c>
      <c r="M7" s="453">
        <v>567619.93999999994</v>
      </c>
      <c r="N7" s="453">
        <v>549970.66</v>
      </c>
      <c r="O7" s="453">
        <v>517148.43</v>
      </c>
      <c r="P7" s="453">
        <v>500603.92</v>
      </c>
      <c r="Q7" s="453">
        <v>489169.67</v>
      </c>
      <c r="R7" s="453">
        <v>481982.81</v>
      </c>
      <c r="S7" s="453">
        <v>478815.91</v>
      </c>
      <c r="T7" s="453">
        <v>463401.54</v>
      </c>
      <c r="U7" s="453">
        <v>448079.16</v>
      </c>
      <c r="V7" s="453">
        <v>425777</v>
      </c>
      <c r="W7" s="453">
        <v>402812.38</v>
      </c>
      <c r="X7" s="453">
        <v>378937.82</v>
      </c>
      <c r="Y7" s="453">
        <v>365617.66</v>
      </c>
      <c r="Z7" s="453">
        <v>444872.08</v>
      </c>
      <c r="AA7" s="453">
        <v>427765.77</v>
      </c>
      <c r="AB7" s="453">
        <v>483044.08</v>
      </c>
      <c r="AC7" s="453">
        <v>443841.43</v>
      </c>
      <c r="AD7" s="453">
        <v>424682.2</v>
      </c>
      <c r="AE7" s="453">
        <v>440866.33</v>
      </c>
      <c r="AF7" s="453">
        <v>425547.6</v>
      </c>
      <c r="AG7" s="453">
        <v>457341.99</v>
      </c>
      <c r="AH7" s="453">
        <v>486646</v>
      </c>
      <c r="AI7" s="453">
        <v>465200.29</v>
      </c>
      <c r="AJ7" s="453">
        <v>448835.89</v>
      </c>
      <c r="AK7" s="453">
        <v>411743.25</v>
      </c>
      <c r="AL7" s="453">
        <v>395851.83</v>
      </c>
      <c r="AM7" s="453">
        <v>380299.17</v>
      </c>
      <c r="AN7" s="453">
        <v>365009.1</v>
      </c>
      <c r="AO7" s="453">
        <v>350494.71999999997</v>
      </c>
      <c r="AP7" s="453">
        <v>336135.42</v>
      </c>
      <c r="AQ7" s="453">
        <v>322550.92</v>
      </c>
      <c r="AR7" s="453">
        <f>IFERROR(INDEX('SuSa Okt25'!$N:$N,MATCH($A7,'SuSa Okt25'!A:A,0)),"")</f>
        <v>309098.40999999997</v>
      </c>
      <c r="AS7" s="453">
        <f>IFERROR(INDEX('SuSa Nov25'!$N:$N,MATCH($A7,'SuSa Nov25'!$A:$A,0)),"")</f>
        <v>296110.81</v>
      </c>
      <c r="AT7" s="453">
        <f>IFERROR(INDEX('SuSa Dez25'!$N:$N,MATCH($A7,'SuSa Dez25'!$A:$A,0)),"")</f>
        <v>284340</v>
      </c>
    </row>
    <row r="8" spans="1:47" hidden="1" outlineLevel="1" collapsed="1" x14ac:dyDescent="0.25">
      <c r="A8" s="452">
        <v>499</v>
      </c>
      <c r="B8" t="s">
        <v>1860</v>
      </c>
      <c r="C8" t="s">
        <v>1861</v>
      </c>
      <c r="D8" t="s">
        <v>1862</v>
      </c>
      <c r="G8" s="453">
        <f t="shared" si="0"/>
        <v>0</v>
      </c>
      <c r="H8" s="453">
        <f t="shared" si="1"/>
        <v>0</v>
      </c>
      <c r="I8" s="453" t="str">
        <f t="shared" si="2"/>
        <v/>
      </c>
      <c r="K8" s="453">
        <v>12000</v>
      </c>
      <c r="L8" s="453">
        <v>12000</v>
      </c>
      <c r="M8" s="453">
        <v>12000</v>
      </c>
      <c r="N8" s="453">
        <v>12000</v>
      </c>
      <c r="O8" s="453">
        <v>12000</v>
      </c>
      <c r="P8" s="453">
        <v>12000</v>
      </c>
      <c r="Q8" s="453">
        <v>12000</v>
      </c>
      <c r="R8" s="453">
        <v>12000</v>
      </c>
      <c r="S8" s="453">
        <v>12000</v>
      </c>
      <c r="T8" s="453">
        <v>12000</v>
      </c>
      <c r="U8" s="453">
        <v>12000</v>
      </c>
      <c r="V8" s="453">
        <v>0</v>
      </c>
      <c r="W8" s="453">
        <v>0</v>
      </c>
      <c r="X8" s="453">
        <v>0</v>
      </c>
      <c r="Y8" s="453">
        <v>0</v>
      </c>
      <c r="Z8" s="453">
        <v>0</v>
      </c>
      <c r="AA8" s="453">
        <v>0</v>
      </c>
      <c r="AB8" s="453">
        <v>0</v>
      </c>
      <c r="AC8" s="453">
        <v>0</v>
      </c>
      <c r="AD8" s="453">
        <v>0</v>
      </c>
      <c r="AE8" s="453">
        <v>0</v>
      </c>
      <c r="AF8" s="453">
        <v>0</v>
      </c>
      <c r="AG8" s="453">
        <v>0</v>
      </c>
      <c r="AH8" s="453">
        <v>0</v>
      </c>
      <c r="AR8" s="453" t="str">
        <f>IFERROR(INDEX('SuSa Okt25'!$N:$N,MATCH($A8,'SuSa Okt25'!A:A,0)),"")</f>
        <v/>
      </c>
      <c r="AS8" s="453" t="str">
        <f>IFERROR(INDEX('SuSa Nov25'!$N:$N,MATCH($A8,'SuSa Nov25'!$A:$A,0)),"")</f>
        <v/>
      </c>
      <c r="AT8" s="453" t="str">
        <f>IFERROR(INDEX('SuSa Dez25'!$N:$N,MATCH($A8,'SuSa Dez25'!$A:$A,0)),"")</f>
        <v/>
      </c>
    </row>
    <row r="9" spans="1:47" hidden="1" outlineLevel="1" collapsed="1" x14ac:dyDescent="0.25">
      <c r="A9" s="452">
        <v>525</v>
      </c>
      <c r="B9" t="s">
        <v>1863</v>
      </c>
      <c r="C9" t="s">
        <v>1864</v>
      </c>
      <c r="D9" t="s">
        <v>739</v>
      </c>
      <c r="G9" s="453">
        <f t="shared" si="0"/>
        <v>181978.91</v>
      </c>
      <c r="H9" s="453">
        <f t="shared" si="1"/>
        <v>75225.62</v>
      </c>
      <c r="I9" s="453">
        <f t="shared" si="2"/>
        <v>121765.62</v>
      </c>
      <c r="K9" s="453">
        <v>206894.12</v>
      </c>
      <c r="L9" s="453">
        <v>206894.12</v>
      </c>
      <c r="M9" s="453">
        <v>206894.12</v>
      </c>
      <c r="N9" s="453">
        <v>206894.12</v>
      </c>
      <c r="O9" s="453">
        <v>206894.12</v>
      </c>
      <c r="P9" s="453">
        <v>206894.12</v>
      </c>
      <c r="Q9" s="453">
        <v>206894.12</v>
      </c>
      <c r="R9" s="453">
        <v>206894.12</v>
      </c>
      <c r="S9" s="453">
        <v>203237.5</v>
      </c>
      <c r="T9" s="453">
        <v>206894.12</v>
      </c>
      <c r="U9" s="453">
        <v>206894.12</v>
      </c>
      <c r="V9" s="453">
        <v>181978.91</v>
      </c>
      <c r="W9" s="453">
        <v>181978.91</v>
      </c>
      <c r="X9" s="453">
        <v>181978.91</v>
      </c>
      <c r="Y9" s="453">
        <v>181978.91</v>
      </c>
      <c r="Z9" s="453">
        <v>181978.91</v>
      </c>
      <c r="AA9" s="453">
        <v>181978.91</v>
      </c>
      <c r="AB9" s="453">
        <v>181978.91</v>
      </c>
      <c r="AC9" s="453">
        <v>181978.91</v>
      </c>
      <c r="AD9" s="453">
        <v>181978.91</v>
      </c>
      <c r="AE9" s="453">
        <v>181978.91</v>
      </c>
      <c r="AF9" s="453">
        <v>79298.91</v>
      </c>
      <c r="AG9" s="453">
        <v>79298.91</v>
      </c>
      <c r="AH9" s="453">
        <v>75225.62</v>
      </c>
      <c r="AI9" s="453">
        <v>75225.62</v>
      </c>
      <c r="AJ9" s="453">
        <v>75225.62</v>
      </c>
      <c r="AK9" s="453">
        <v>43825.62</v>
      </c>
      <c r="AL9" s="453">
        <v>43825.62</v>
      </c>
      <c r="AM9" s="453">
        <v>43825.62</v>
      </c>
      <c r="AN9" s="453">
        <v>43825.62</v>
      </c>
      <c r="AO9" s="453">
        <v>43825.62</v>
      </c>
      <c r="AP9" s="453">
        <v>43825.62</v>
      </c>
      <c r="AQ9" s="453">
        <v>43825.62</v>
      </c>
      <c r="AR9" s="453">
        <f>IFERROR(INDEX('SuSa Okt25'!$N:$N,MATCH($A9,'SuSa Okt25'!A:A,0)),"")</f>
        <v>43825.62</v>
      </c>
      <c r="AS9" s="453">
        <f>IFERROR(INDEX('SuSa Nov25'!$N:$N,MATCH($A9,'SuSa Nov25'!$A:$A,0)),"")</f>
        <v>43825.62</v>
      </c>
      <c r="AT9" s="453">
        <f>IFERROR(INDEX('SuSa Dez25'!$N:$N,MATCH($A9,'SuSa Dez25'!$A:$A,0)),"")</f>
        <v>121765.62</v>
      </c>
    </row>
    <row r="10" spans="1:47" hidden="1" outlineLevel="1" collapsed="1" x14ac:dyDescent="0.25">
      <c r="A10" s="452">
        <v>570</v>
      </c>
      <c r="B10" t="s">
        <v>1865</v>
      </c>
      <c r="C10" t="s">
        <v>1866</v>
      </c>
      <c r="D10" t="s">
        <v>739</v>
      </c>
      <c r="G10" s="453">
        <f t="shared" si="0"/>
        <v>200</v>
      </c>
      <c r="H10" s="453">
        <f t="shared" si="1"/>
        <v>200</v>
      </c>
      <c r="I10" s="453">
        <f t="shared" si="2"/>
        <v>200</v>
      </c>
      <c r="V10" s="453">
        <v>200</v>
      </c>
      <c r="W10" s="453">
        <v>200</v>
      </c>
      <c r="X10" s="453">
        <v>200</v>
      </c>
      <c r="Y10" s="453">
        <v>200</v>
      </c>
      <c r="Z10" s="453">
        <v>200</v>
      </c>
      <c r="AA10" s="453">
        <v>200</v>
      </c>
      <c r="AB10" s="453">
        <v>200</v>
      </c>
      <c r="AC10" s="453">
        <v>200</v>
      </c>
      <c r="AD10" s="453">
        <v>200</v>
      </c>
      <c r="AE10" s="453">
        <v>200</v>
      </c>
      <c r="AF10" s="453">
        <v>200</v>
      </c>
      <c r="AG10" s="453">
        <v>200</v>
      </c>
      <c r="AH10" s="453">
        <v>200</v>
      </c>
      <c r="AI10" s="453">
        <v>200</v>
      </c>
      <c r="AJ10" s="453">
        <v>200</v>
      </c>
      <c r="AK10" s="453">
        <v>200</v>
      </c>
      <c r="AL10" s="453">
        <v>200</v>
      </c>
      <c r="AM10" s="453">
        <v>200</v>
      </c>
      <c r="AN10" s="453">
        <v>200</v>
      </c>
      <c r="AO10" s="453">
        <v>200</v>
      </c>
      <c r="AP10" s="453">
        <v>200</v>
      </c>
      <c r="AQ10" s="453">
        <v>200</v>
      </c>
      <c r="AR10" s="453">
        <f>IFERROR(INDEX('SuSa Okt25'!$N:$N,MATCH($A10,'SuSa Okt25'!A:A,0)),"")</f>
        <v>200</v>
      </c>
      <c r="AS10" s="453">
        <f>IFERROR(INDEX('SuSa Nov25'!$N:$N,MATCH($A10,'SuSa Nov25'!$A:$A,0)),"")</f>
        <v>200</v>
      </c>
      <c r="AT10" s="453">
        <f>IFERROR(INDEX('SuSa Dez25'!$N:$N,MATCH($A10,'SuSa Dez25'!$A:$A,0)),"")</f>
        <v>200</v>
      </c>
    </row>
    <row r="11" spans="1:47" hidden="1" outlineLevel="1" collapsed="1" x14ac:dyDescent="0.25">
      <c r="A11" s="452">
        <v>650</v>
      </c>
      <c r="B11" t="s">
        <v>1867</v>
      </c>
      <c r="C11" t="s">
        <v>1868</v>
      </c>
      <c r="D11" t="s">
        <v>720</v>
      </c>
      <c r="G11" s="453">
        <f t="shared" si="0"/>
        <v>0</v>
      </c>
      <c r="H11" s="453">
        <f t="shared" si="1"/>
        <v>0</v>
      </c>
      <c r="I11" s="453">
        <f t="shared" si="2"/>
        <v>-19425</v>
      </c>
      <c r="AN11" s="453">
        <v>-3700</v>
      </c>
      <c r="AO11" s="453">
        <v>-8400</v>
      </c>
      <c r="AP11" s="453">
        <v>-8400</v>
      </c>
      <c r="AQ11" s="453">
        <v>-19425</v>
      </c>
      <c r="AR11" s="453">
        <f>IFERROR(INDEX('SuSa Okt25'!$N:$N,MATCH($A11,'SuSa Okt25'!A:A,0)),"")</f>
        <v>-19425</v>
      </c>
      <c r="AS11" s="453">
        <f>IFERROR(INDEX('SuSa Nov25'!$N:$N,MATCH($A11,'SuSa Nov25'!$A:$A,0)),"")</f>
        <v>-19425</v>
      </c>
      <c r="AT11" s="453">
        <f>IFERROR(INDEX('SuSa Dez25'!$N:$N,MATCH($A11,'SuSa Dez25'!$A:$A,0)),"")</f>
        <v>-19425</v>
      </c>
    </row>
    <row r="12" spans="1:47" hidden="1" outlineLevel="1" collapsed="1" x14ac:dyDescent="0.25">
      <c r="A12" s="452">
        <v>800</v>
      </c>
      <c r="B12" t="s">
        <v>1869</v>
      </c>
      <c r="C12" t="s">
        <v>1870</v>
      </c>
      <c r="D12" t="s">
        <v>742</v>
      </c>
      <c r="G12" s="453">
        <f t="shared" si="0"/>
        <v>-51129.19</v>
      </c>
      <c r="H12" s="453">
        <f t="shared" si="1"/>
        <v>-51129.19</v>
      </c>
      <c r="I12" s="453">
        <f t="shared" si="2"/>
        <v>-51129.19</v>
      </c>
      <c r="K12" s="453">
        <v>-51129.19</v>
      </c>
      <c r="L12" s="453">
        <v>-51129.19</v>
      </c>
      <c r="M12" s="453">
        <v>-51129.19</v>
      </c>
      <c r="N12" s="453">
        <v>-51129.19</v>
      </c>
      <c r="O12" s="453">
        <v>-51129.19</v>
      </c>
      <c r="P12" s="453">
        <v>-51129.19</v>
      </c>
      <c r="Q12" s="453">
        <v>-51129.19</v>
      </c>
      <c r="R12" s="453">
        <v>-51129.19</v>
      </c>
      <c r="S12" s="453">
        <v>-51129.19</v>
      </c>
      <c r="T12" s="453">
        <v>-51129.19</v>
      </c>
      <c r="U12" s="453">
        <v>-51129.19</v>
      </c>
      <c r="V12" s="453">
        <v>-51129.19</v>
      </c>
      <c r="W12" s="453">
        <v>-51129.19</v>
      </c>
      <c r="X12" s="453">
        <v>-51129.19</v>
      </c>
      <c r="Y12" s="453">
        <v>-51129.19</v>
      </c>
      <c r="Z12" s="453">
        <v>-51129.19</v>
      </c>
      <c r="AA12" s="453">
        <v>-51129.19</v>
      </c>
      <c r="AB12" s="453">
        <v>-51129.19</v>
      </c>
      <c r="AC12" s="453">
        <v>-51129.19</v>
      </c>
      <c r="AD12" s="453">
        <v>-51129.19</v>
      </c>
      <c r="AE12" s="453">
        <v>-51129.19</v>
      </c>
      <c r="AF12" s="453">
        <v>-51129.19</v>
      </c>
      <c r="AG12" s="453">
        <v>-51129.19</v>
      </c>
      <c r="AH12" s="453">
        <v>-51129.19</v>
      </c>
      <c r="AI12" s="453">
        <v>-51129.19</v>
      </c>
      <c r="AJ12" s="453">
        <v>-51129.19</v>
      </c>
      <c r="AK12" s="453">
        <v>-51129.19</v>
      </c>
      <c r="AL12" s="453">
        <v>-51129.19</v>
      </c>
      <c r="AM12" s="453">
        <v>-51129.19</v>
      </c>
      <c r="AN12" s="453">
        <v>-51129.19</v>
      </c>
      <c r="AO12" s="453">
        <v>-51129.19</v>
      </c>
      <c r="AP12" s="453">
        <v>-51129.19</v>
      </c>
      <c r="AQ12" s="453">
        <v>-51129.19</v>
      </c>
      <c r="AR12" s="453">
        <f>IFERROR(INDEX('SuSa Okt25'!$N:$N,MATCH($A12,'SuSa Okt25'!A:A,0)),"")</f>
        <v>-51129.19</v>
      </c>
      <c r="AS12" s="453">
        <f>IFERROR(INDEX('SuSa Nov25'!$N:$N,MATCH($A12,'SuSa Nov25'!$A:$A,0)),"")</f>
        <v>-51129.19</v>
      </c>
      <c r="AT12" s="453">
        <f>IFERROR(INDEX('SuSa Dez25'!$N:$N,MATCH($A12,'SuSa Dez25'!$A:$A,0)),"")</f>
        <v>-51129.19</v>
      </c>
    </row>
    <row r="13" spans="1:47" hidden="1" outlineLevel="1" collapsed="1" x14ac:dyDescent="0.25">
      <c r="A13" s="452">
        <v>860</v>
      </c>
      <c r="B13" t="s">
        <v>1871</v>
      </c>
      <c r="C13" t="s">
        <v>1872</v>
      </c>
      <c r="D13" t="s">
        <v>1873</v>
      </c>
      <c r="G13" s="453">
        <f t="shared" si="0"/>
        <v>-5293141.88</v>
      </c>
      <c r="H13" s="453">
        <f t="shared" si="1"/>
        <v>-5235778.72</v>
      </c>
      <c r="I13" s="453">
        <f t="shared" si="2"/>
        <v>-6230831.0199999996</v>
      </c>
      <c r="K13" s="453">
        <v>-5743141.8799999999</v>
      </c>
      <c r="L13" s="453">
        <v>-5743141.8799999999</v>
      </c>
      <c r="M13" s="453">
        <v>-5293141.88</v>
      </c>
      <c r="N13" s="453">
        <v>-5293141.88</v>
      </c>
      <c r="O13" s="453">
        <v>-5293141.88</v>
      </c>
      <c r="P13" s="453">
        <v>-5293141.88</v>
      </c>
      <c r="Q13" s="453">
        <v>-5293141.88</v>
      </c>
      <c r="R13" s="453">
        <v>-5293141.88</v>
      </c>
      <c r="S13" s="453">
        <v>-5293141.88</v>
      </c>
      <c r="T13" s="453">
        <v>-5293141.88</v>
      </c>
      <c r="U13" s="453">
        <v>-5293141.88</v>
      </c>
      <c r="V13" s="453">
        <v>-5293141.88</v>
      </c>
      <c r="W13" s="453">
        <v>-6135778.7199999997</v>
      </c>
      <c r="X13" s="453">
        <v>-6135778.7199999997</v>
      </c>
      <c r="Y13" s="453">
        <v>-6135778.7199999997</v>
      </c>
      <c r="Z13" s="453">
        <v>-5235778.72</v>
      </c>
      <c r="AA13" s="453">
        <v>-5235778.72</v>
      </c>
      <c r="AB13" s="453">
        <v>-5235778.72</v>
      </c>
      <c r="AC13" s="453">
        <v>-5235778.72</v>
      </c>
      <c r="AD13" s="453">
        <v>-5235778.72</v>
      </c>
      <c r="AE13" s="453">
        <v>-5235778.72</v>
      </c>
      <c r="AF13" s="453">
        <v>-5235778.72</v>
      </c>
      <c r="AG13" s="453">
        <v>-5235778.72</v>
      </c>
      <c r="AH13" s="453">
        <v>-5235778.72</v>
      </c>
      <c r="AI13" s="453">
        <v>-6230831.0199999996</v>
      </c>
      <c r="AJ13" s="453">
        <v>-6230831.0199999996</v>
      </c>
      <c r="AK13" s="453">
        <v>-6230831.0199999996</v>
      </c>
      <c r="AL13" s="453">
        <v>-6230831.0199999996</v>
      </c>
      <c r="AM13" s="453">
        <v>-6230831.0199999996</v>
      </c>
      <c r="AN13" s="453">
        <v>-6230831.0199999996</v>
      </c>
      <c r="AO13" s="453">
        <v>-6230831.0199999996</v>
      </c>
      <c r="AP13" s="453">
        <v>-6230831.0199999996</v>
      </c>
      <c r="AQ13" s="453">
        <v>-6230831.0199999996</v>
      </c>
      <c r="AR13" s="453">
        <f>IFERROR(INDEX('SuSa Okt25'!$N:$N,MATCH($A13,'SuSa Okt25'!A:A,0)),"")</f>
        <v>-6230831.0199999996</v>
      </c>
      <c r="AS13" s="453">
        <f>IFERROR(INDEX('SuSa Nov25'!$N:$N,MATCH($A13,'SuSa Nov25'!$A:$A,0)),"")</f>
        <v>-6230831.0199999996</v>
      </c>
      <c r="AT13" s="453">
        <f>IFERROR(INDEX('SuSa Dez25'!$N:$N,MATCH($A13,'SuSa Dez25'!$A:$A,0)),"")</f>
        <v>-6230831.0199999996</v>
      </c>
    </row>
    <row r="14" spans="1:47" hidden="1" outlineLevel="1" collapsed="1" x14ac:dyDescent="0.25">
      <c r="A14" s="452">
        <v>951</v>
      </c>
      <c r="B14" t="s">
        <v>1874</v>
      </c>
      <c r="C14" t="s">
        <v>1875</v>
      </c>
      <c r="D14" t="s">
        <v>716</v>
      </c>
      <c r="G14" s="453">
        <f t="shared" si="0"/>
        <v>-192102</v>
      </c>
      <c r="H14" s="453">
        <f t="shared" si="1"/>
        <v>-182403</v>
      </c>
      <c r="I14" s="453">
        <f t="shared" si="2"/>
        <v>-171743</v>
      </c>
      <c r="K14" s="453">
        <v>-201476</v>
      </c>
      <c r="L14" s="453">
        <v>-201476</v>
      </c>
      <c r="M14" s="453">
        <v>-201476</v>
      </c>
      <c r="N14" s="453">
        <v>-201476</v>
      </c>
      <c r="O14" s="453">
        <v>-201476</v>
      </c>
      <c r="P14" s="453">
        <v>-201476</v>
      </c>
      <c r="Q14" s="453">
        <v>-201476</v>
      </c>
      <c r="R14" s="453">
        <v>-201476</v>
      </c>
      <c r="S14" s="453">
        <v>-192102</v>
      </c>
      <c r="T14" s="453">
        <v>-192102</v>
      </c>
      <c r="U14" s="453">
        <v>-192102</v>
      </c>
      <c r="V14" s="453">
        <v>-192102</v>
      </c>
      <c r="W14" s="453">
        <v>-192102</v>
      </c>
      <c r="X14" s="453">
        <v>-192102</v>
      </c>
      <c r="Y14" s="453">
        <v>-192102</v>
      </c>
      <c r="Z14" s="453">
        <v>-192102</v>
      </c>
      <c r="AA14" s="453">
        <v>-192102</v>
      </c>
      <c r="AB14" s="453">
        <v>-192102</v>
      </c>
      <c r="AC14" s="453">
        <v>-192102</v>
      </c>
      <c r="AD14" s="453">
        <v>-192102</v>
      </c>
      <c r="AE14" s="453">
        <v>-192102</v>
      </c>
      <c r="AF14" s="453">
        <v>-192102</v>
      </c>
      <c r="AG14" s="453">
        <v>-192102</v>
      </c>
      <c r="AH14" s="453">
        <v>-182403</v>
      </c>
      <c r="AI14" s="453">
        <v>-182403</v>
      </c>
      <c r="AJ14" s="453">
        <v>-182403</v>
      </c>
      <c r="AK14" s="453">
        <v>-182403</v>
      </c>
      <c r="AL14" s="453">
        <v>-182403</v>
      </c>
      <c r="AM14" s="453">
        <v>-182403</v>
      </c>
      <c r="AN14" s="453">
        <v>-182403</v>
      </c>
      <c r="AO14" s="453">
        <v>-182403</v>
      </c>
      <c r="AP14" s="453">
        <v>-182403</v>
      </c>
      <c r="AQ14" s="453">
        <v>-182403</v>
      </c>
      <c r="AR14" s="453">
        <f>IFERROR(INDEX('SuSa Okt25'!$N:$N,MATCH($A14,'SuSa Okt25'!A:A,0)),"")</f>
        <v>-182403</v>
      </c>
      <c r="AS14" s="453">
        <f>IFERROR(INDEX('SuSa Nov25'!$N:$N,MATCH($A14,'SuSa Nov25'!$A:$A,0)),"")</f>
        <v>-182403</v>
      </c>
      <c r="AT14" s="453">
        <f>IFERROR(INDEX('SuSa Dez25'!$N:$N,MATCH($A14,'SuSa Dez25'!$A:$A,0)),"")</f>
        <v>-171743</v>
      </c>
    </row>
    <row r="15" spans="1:47" hidden="1" outlineLevel="1" collapsed="1" x14ac:dyDescent="0.25">
      <c r="A15" s="452">
        <v>956</v>
      </c>
      <c r="B15" t="s">
        <v>1876</v>
      </c>
      <c r="C15" t="s">
        <v>1877</v>
      </c>
      <c r="D15" t="s">
        <v>717</v>
      </c>
      <c r="G15" s="453">
        <f t="shared" si="0"/>
        <v>-111300</v>
      </c>
      <c r="H15" s="453">
        <f t="shared" si="1"/>
        <v>0</v>
      </c>
      <c r="I15" s="453">
        <f t="shared" si="2"/>
        <v>0</v>
      </c>
      <c r="K15" s="453">
        <v>-111300</v>
      </c>
      <c r="L15" s="453">
        <v>-111300</v>
      </c>
      <c r="M15" s="453">
        <v>-111300</v>
      </c>
      <c r="N15" s="453">
        <v>-111300</v>
      </c>
      <c r="O15" s="453">
        <v>-111300</v>
      </c>
      <c r="P15" s="453">
        <v>-111300</v>
      </c>
      <c r="Q15" s="453">
        <v>-111300</v>
      </c>
      <c r="R15" s="453">
        <v>-111300</v>
      </c>
      <c r="S15" s="453">
        <v>-111300</v>
      </c>
      <c r="T15" s="453">
        <v>-111300</v>
      </c>
      <c r="U15" s="453">
        <v>-111300</v>
      </c>
      <c r="V15" s="453">
        <v>-111300</v>
      </c>
      <c r="W15" s="453">
        <v>-111300</v>
      </c>
      <c r="X15" s="453">
        <v>-111300</v>
      </c>
      <c r="Y15" s="453">
        <v>-111300</v>
      </c>
      <c r="Z15" s="453">
        <v>0</v>
      </c>
      <c r="AA15" s="453">
        <v>0</v>
      </c>
      <c r="AB15" s="453">
        <v>0</v>
      </c>
      <c r="AC15" s="453">
        <v>0</v>
      </c>
      <c r="AD15" s="453">
        <v>0</v>
      </c>
      <c r="AE15" s="453">
        <v>0</v>
      </c>
      <c r="AF15" s="453">
        <v>0</v>
      </c>
      <c r="AG15" s="453">
        <v>0</v>
      </c>
      <c r="AH15" s="453">
        <v>0</v>
      </c>
      <c r="AI15" s="453">
        <v>0</v>
      </c>
      <c r="AJ15" s="453">
        <v>0</v>
      </c>
      <c r="AK15" s="453">
        <v>0</v>
      </c>
      <c r="AL15" s="453">
        <v>0</v>
      </c>
      <c r="AM15" s="453">
        <v>0</v>
      </c>
      <c r="AN15" s="453">
        <v>0</v>
      </c>
      <c r="AO15" s="453">
        <v>0</v>
      </c>
      <c r="AP15" s="453">
        <v>0</v>
      </c>
      <c r="AQ15" s="453">
        <v>0</v>
      </c>
      <c r="AR15" s="453">
        <f>IFERROR(INDEX('SuSa Okt25'!$N:$N,MATCH($A15,'SuSa Okt25'!A:A,0)),"")</f>
        <v>0</v>
      </c>
      <c r="AS15" s="453">
        <f>IFERROR(INDEX('SuSa Nov25'!$N:$N,MATCH($A15,'SuSa Nov25'!$A:$A,0)),"")</f>
        <v>0</v>
      </c>
      <c r="AT15" s="453">
        <f>IFERROR(INDEX('SuSa Dez25'!$N:$N,MATCH($A15,'SuSa Dez25'!$A:$A,0)),"")</f>
        <v>0</v>
      </c>
    </row>
    <row r="16" spans="1:47" hidden="1" outlineLevel="1" collapsed="1" x14ac:dyDescent="0.25">
      <c r="A16" s="452">
        <v>963</v>
      </c>
      <c r="B16" t="s">
        <v>1878</v>
      </c>
      <c r="C16" t="s">
        <v>1879</v>
      </c>
      <c r="D16" t="s">
        <v>717</v>
      </c>
      <c r="G16" s="453">
        <f t="shared" si="0"/>
        <v>-113628.19</v>
      </c>
      <c r="H16" s="453">
        <f t="shared" si="1"/>
        <v>0</v>
      </c>
      <c r="I16" s="453">
        <f t="shared" si="2"/>
        <v>0</v>
      </c>
      <c r="K16" s="453">
        <v>-113628.19</v>
      </c>
      <c r="L16" s="453">
        <v>-113628.19</v>
      </c>
      <c r="M16" s="453">
        <v>-113628.19</v>
      </c>
      <c r="N16" s="453">
        <v>-113628.19</v>
      </c>
      <c r="O16" s="453">
        <v>-113628.19</v>
      </c>
      <c r="P16" s="453">
        <v>-113628.19</v>
      </c>
      <c r="Q16" s="453">
        <v>-113628.19</v>
      </c>
      <c r="R16" s="453">
        <v>-113628.19</v>
      </c>
      <c r="S16" s="453">
        <v>-113628.19</v>
      </c>
      <c r="T16" s="453">
        <v>-113628.19</v>
      </c>
      <c r="U16" s="453">
        <v>-113628.19</v>
      </c>
      <c r="V16" s="453">
        <v>-113628.19</v>
      </c>
      <c r="W16" s="453">
        <v>-113628.19</v>
      </c>
      <c r="X16" s="453">
        <v>-113628.19</v>
      </c>
      <c r="Y16" s="453">
        <v>0</v>
      </c>
      <c r="Z16" s="453">
        <v>0</v>
      </c>
      <c r="AA16" s="453">
        <v>0</v>
      </c>
      <c r="AB16" s="453">
        <v>-15446.08</v>
      </c>
      <c r="AC16" s="453">
        <v>-15446.08</v>
      </c>
      <c r="AD16" s="453">
        <v>-15446.08</v>
      </c>
      <c r="AE16" s="453">
        <v>-15446.08</v>
      </c>
      <c r="AF16" s="453">
        <v>-15446.08</v>
      </c>
      <c r="AG16" s="453">
        <v>-15446.08</v>
      </c>
      <c r="AH16" s="453">
        <v>0</v>
      </c>
      <c r="AI16" s="453">
        <v>0</v>
      </c>
      <c r="AJ16" s="453">
        <v>0</v>
      </c>
      <c r="AK16" s="453">
        <v>0</v>
      </c>
      <c r="AL16" s="453">
        <v>0</v>
      </c>
      <c r="AM16" s="453">
        <v>0</v>
      </c>
      <c r="AN16" s="453">
        <v>0</v>
      </c>
      <c r="AO16" s="453">
        <v>0</v>
      </c>
      <c r="AP16" s="453">
        <v>0</v>
      </c>
      <c r="AQ16" s="453">
        <v>0</v>
      </c>
      <c r="AR16" s="453">
        <f>IFERROR(INDEX('SuSa Okt25'!$N:$N,MATCH($A16,'SuSa Okt25'!A:A,0)),"")</f>
        <v>0</v>
      </c>
      <c r="AS16" s="453">
        <f>IFERROR(INDEX('SuSa Nov25'!$N:$N,MATCH($A16,'SuSa Nov25'!$A:$A,0)),"")</f>
        <v>0</v>
      </c>
      <c r="AT16" s="453">
        <f>IFERROR(INDEX('SuSa Dez25'!$N:$N,MATCH($A16,'SuSa Dez25'!$A:$A,0)),"")</f>
        <v>0</v>
      </c>
    </row>
    <row r="17" spans="1:46" hidden="1" outlineLevel="1" collapsed="1" x14ac:dyDescent="0.25">
      <c r="A17" s="452">
        <v>965</v>
      </c>
      <c r="B17" t="s">
        <v>1880</v>
      </c>
      <c r="C17" s="525" t="s">
        <v>1881</v>
      </c>
      <c r="D17" t="s">
        <v>753</v>
      </c>
      <c r="E17" s="525"/>
      <c r="F17" s="525"/>
      <c r="G17" s="453">
        <f t="shared" si="0"/>
        <v>-195556.22</v>
      </c>
      <c r="H17" s="453">
        <f t="shared" si="1"/>
        <v>-139441.74</v>
      </c>
      <c r="I17" s="453">
        <f t="shared" si="2"/>
        <v>-167931.18</v>
      </c>
      <c r="J17" s="465"/>
      <c r="K17" s="453">
        <v>-284834.76</v>
      </c>
      <c r="L17" s="453">
        <v>-293734.76</v>
      </c>
      <c r="M17" s="453">
        <v>-302634.76</v>
      </c>
      <c r="N17" s="453">
        <v>-311534.76</v>
      </c>
      <c r="O17" s="453">
        <v>-320434.76</v>
      </c>
      <c r="P17" s="465">
        <v>-311945.53000000003</v>
      </c>
      <c r="Q17" s="453">
        <v>-320845.53000000003</v>
      </c>
      <c r="R17" s="453">
        <v>-294182.93</v>
      </c>
      <c r="S17" s="453">
        <v>-283082.93</v>
      </c>
      <c r="T17" s="453">
        <v>-245982.93</v>
      </c>
      <c r="U17" s="453">
        <v>-187825.35</v>
      </c>
      <c r="V17" s="453">
        <v>-195556.22</v>
      </c>
      <c r="W17" s="453">
        <v>-185781.47</v>
      </c>
      <c r="X17" s="453">
        <v>-198481.47</v>
      </c>
      <c r="Y17" s="453">
        <v>-211181.47</v>
      </c>
      <c r="Z17" s="453">
        <v>-223881.47</v>
      </c>
      <c r="AA17" s="453">
        <v>-236581.47</v>
      </c>
      <c r="AB17" s="453">
        <v>-203085.15</v>
      </c>
      <c r="AC17" s="453">
        <v>-215785.15</v>
      </c>
      <c r="AD17" s="453">
        <v>-228485.15</v>
      </c>
      <c r="AE17" s="453">
        <v>-241185.15</v>
      </c>
      <c r="AF17" s="453">
        <v>-253885.15</v>
      </c>
      <c r="AG17" s="453">
        <v>-187608.15</v>
      </c>
      <c r="AH17" s="453">
        <v>-139441.74</v>
      </c>
      <c r="AI17" s="453">
        <v>-153841.74</v>
      </c>
      <c r="AJ17" s="453">
        <v>-168241.74</v>
      </c>
      <c r="AK17" s="453">
        <v>-182641.74</v>
      </c>
      <c r="AL17" s="453">
        <v>-197041.74</v>
      </c>
      <c r="AM17" s="453">
        <v>-211441.74</v>
      </c>
      <c r="AN17" s="453">
        <v>-175423.65</v>
      </c>
      <c r="AO17" s="453">
        <v>-247656.65</v>
      </c>
      <c r="AP17" s="453">
        <v>-262556.65000000002</v>
      </c>
      <c r="AQ17" s="453">
        <v>-277456.65000000002</v>
      </c>
      <c r="AR17" s="453">
        <f>IFERROR(INDEX('SuSa Okt25'!$N:$N,MATCH($A17,'SuSa Okt25'!A:A,0)),"")</f>
        <v>-213599.39</v>
      </c>
      <c r="AS17" s="453">
        <f>IFERROR(INDEX('SuSa Nov25'!$N:$N,MATCH($A17,'SuSa Nov25'!$A:$A,0)),"")</f>
        <v>-139853.47</v>
      </c>
      <c r="AT17" s="453">
        <f>IFERROR(INDEX('SuSa Dez25'!$N:$N,MATCH($A17,'SuSa Dez25'!$A:$A,0)),"")</f>
        <v>-167931.18</v>
      </c>
    </row>
    <row r="18" spans="1:46" hidden="1" outlineLevel="1" collapsed="1" x14ac:dyDescent="0.25">
      <c r="A18" s="452">
        <v>966</v>
      </c>
      <c r="B18" t="s">
        <v>1882</v>
      </c>
      <c r="C18" t="s">
        <v>1883</v>
      </c>
      <c r="D18" t="s">
        <v>753</v>
      </c>
      <c r="G18" s="453">
        <f t="shared" si="0"/>
        <v>-8000</v>
      </c>
      <c r="H18" s="453">
        <f t="shared" si="1"/>
        <v>-8000</v>
      </c>
      <c r="I18" s="453">
        <f t="shared" si="2"/>
        <v>-8000</v>
      </c>
      <c r="K18" s="453">
        <v>-8000</v>
      </c>
      <c r="L18" s="453">
        <v>-8000</v>
      </c>
      <c r="M18" s="453">
        <v>-8000</v>
      </c>
      <c r="N18" s="453">
        <v>-8000</v>
      </c>
      <c r="O18" s="453">
        <v>-8000</v>
      </c>
      <c r="P18" s="453">
        <v>-8000</v>
      </c>
      <c r="Q18" s="453">
        <v>-8000</v>
      </c>
      <c r="R18" s="453">
        <v>-8000</v>
      </c>
      <c r="S18" s="453">
        <v>-8000</v>
      </c>
      <c r="T18" s="453">
        <v>-8000</v>
      </c>
      <c r="U18" s="453">
        <v>-8000</v>
      </c>
      <c r="V18" s="453">
        <v>-8000</v>
      </c>
      <c r="W18" s="453">
        <v>-8000</v>
      </c>
      <c r="X18" s="453">
        <v>-8000</v>
      </c>
      <c r="Y18" s="453">
        <v>-8000</v>
      </c>
      <c r="Z18" s="453">
        <v>-8000</v>
      </c>
      <c r="AA18" s="453">
        <v>-8000</v>
      </c>
      <c r="AB18" s="453">
        <v>-8000</v>
      </c>
      <c r="AC18" s="453">
        <v>-8000</v>
      </c>
      <c r="AD18" s="453">
        <v>-8000</v>
      </c>
      <c r="AE18" s="453">
        <v>-8000</v>
      </c>
      <c r="AF18" s="453">
        <v>-8000</v>
      </c>
      <c r="AG18" s="453">
        <v>-8000</v>
      </c>
      <c r="AH18" s="453">
        <v>-8000</v>
      </c>
      <c r="AI18" s="453">
        <v>-8000</v>
      </c>
      <c r="AJ18" s="453">
        <v>-8000</v>
      </c>
      <c r="AK18" s="453">
        <v>-8000</v>
      </c>
      <c r="AL18" s="453">
        <v>-8000</v>
      </c>
      <c r="AM18" s="453">
        <v>-8000</v>
      </c>
      <c r="AN18" s="453">
        <v>-8000</v>
      </c>
      <c r="AO18" s="453">
        <v>-8000</v>
      </c>
      <c r="AP18" s="453">
        <v>-8000</v>
      </c>
      <c r="AQ18" s="453">
        <v>-8000</v>
      </c>
      <c r="AR18" s="453">
        <f>IFERROR(INDEX('SuSa Okt25'!$N:$N,MATCH($A18,'SuSa Okt25'!A:A,0)),"")</f>
        <v>-8000</v>
      </c>
      <c r="AS18" s="453">
        <f>IFERROR(INDEX('SuSa Nov25'!$N:$N,MATCH($A18,'SuSa Nov25'!$A:$A,0)),"")</f>
        <v>-8000</v>
      </c>
      <c r="AT18" s="453">
        <f>IFERROR(INDEX('SuSa Dez25'!$N:$N,MATCH($A18,'SuSa Dez25'!$A:$A,0)),"")</f>
        <v>-8000</v>
      </c>
    </row>
    <row r="19" spans="1:46" hidden="1" outlineLevel="1" collapsed="1" x14ac:dyDescent="0.25">
      <c r="A19" s="452">
        <v>968</v>
      </c>
      <c r="B19" t="s">
        <v>1079</v>
      </c>
      <c r="C19" t="s">
        <v>1080</v>
      </c>
      <c r="D19" t="s">
        <v>758</v>
      </c>
      <c r="G19" s="453">
        <f t="shared" si="0"/>
        <v>0</v>
      </c>
      <c r="H19" s="453">
        <f t="shared" si="1"/>
        <v>-48876</v>
      </c>
      <c r="I19" s="453">
        <f t="shared" si="2"/>
        <v>-198336</v>
      </c>
      <c r="AH19" s="453">
        <v>-48876</v>
      </c>
      <c r="AI19" s="453">
        <v>-48876</v>
      </c>
      <c r="AJ19" s="453">
        <v>-48876</v>
      </c>
      <c r="AK19" s="453">
        <v>-48876</v>
      </c>
      <c r="AL19" s="453">
        <v>-48876</v>
      </c>
      <c r="AM19" s="453">
        <v>-48876</v>
      </c>
      <c r="AN19" s="453">
        <v>-48876</v>
      </c>
      <c r="AO19" s="453">
        <v>-48876</v>
      </c>
      <c r="AP19" s="453">
        <v>-48876</v>
      </c>
      <c r="AQ19" s="453">
        <v>-48876</v>
      </c>
      <c r="AR19" s="453">
        <f>IFERROR(INDEX('SuSa Okt25'!$N:$N,MATCH($A19,'SuSa Okt25'!A:A,0)),"")</f>
        <v>-48876</v>
      </c>
      <c r="AS19" s="453">
        <f>IFERROR(INDEX('SuSa Nov25'!$N:$N,MATCH($A19,'SuSa Nov25'!$A:$A,0)),"")</f>
        <v>-48876</v>
      </c>
      <c r="AT19" s="453">
        <f>IFERROR(INDEX('SuSa Dez25'!$N:$N,MATCH($A19,'SuSa Dez25'!$A:$A,0)),"")</f>
        <v>-198336</v>
      </c>
    </row>
    <row r="20" spans="1:46" hidden="1" outlineLevel="1" collapsed="1" x14ac:dyDescent="0.25">
      <c r="A20" s="452">
        <v>970</v>
      </c>
      <c r="B20" t="s">
        <v>1884</v>
      </c>
      <c r="C20" t="s">
        <v>1885</v>
      </c>
      <c r="D20" t="s">
        <v>753</v>
      </c>
      <c r="G20" s="453">
        <f t="shared" si="0"/>
        <v>-156334.18</v>
      </c>
      <c r="H20" s="453">
        <f t="shared" si="1"/>
        <v>-10021.209999999999</v>
      </c>
      <c r="I20" s="453">
        <f t="shared" si="2"/>
        <v>-183217.48</v>
      </c>
      <c r="K20" s="453">
        <v>-187037.35</v>
      </c>
      <c r="L20" s="453">
        <v>-41720.080000000002</v>
      </c>
      <c r="M20" s="453">
        <v>-41720.080000000002</v>
      </c>
      <c r="N20" s="453">
        <v>-41720.080000000002</v>
      </c>
      <c r="O20" s="453">
        <v>-21750</v>
      </c>
      <c r="P20" s="453">
        <v>-90177.18</v>
      </c>
      <c r="Q20" s="453">
        <v>-90177.18</v>
      </c>
      <c r="R20" s="453">
        <v>-10000</v>
      </c>
      <c r="S20" s="453">
        <v>-95380.79</v>
      </c>
      <c r="T20" s="453">
        <v>-95380.79</v>
      </c>
      <c r="U20" s="453">
        <v>-95380.79</v>
      </c>
      <c r="V20" s="453">
        <v>-156334.18</v>
      </c>
      <c r="W20" s="453">
        <v>-144157.41</v>
      </c>
      <c r="X20" s="453">
        <v>-143894.21</v>
      </c>
      <c r="Y20" s="453">
        <v>-138948.56</v>
      </c>
      <c r="Z20" s="453">
        <v>-138948.56</v>
      </c>
      <c r="AA20" s="453">
        <v>-138948.56</v>
      </c>
      <c r="AB20" s="453">
        <v>-121182.15</v>
      </c>
      <c r="AC20" s="453">
        <v>-12000</v>
      </c>
      <c r="AD20" s="453">
        <v>-8000</v>
      </c>
      <c r="AE20" s="453">
        <v>-8000</v>
      </c>
      <c r="AF20" s="453">
        <v>-8000</v>
      </c>
      <c r="AG20" s="453">
        <v>-8000</v>
      </c>
      <c r="AH20" s="453">
        <v>-10021.209999999999</v>
      </c>
      <c r="AI20" s="453">
        <v>-2272</v>
      </c>
      <c r="AJ20" s="453">
        <v>-2000</v>
      </c>
      <c r="AK20" s="453">
        <v>-2000</v>
      </c>
      <c r="AL20" s="453">
        <v>-2000</v>
      </c>
      <c r="AM20" s="453">
        <v>-2000</v>
      </c>
      <c r="AN20" s="453">
        <v>-2000</v>
      </c>
      <c r="AO20" s="453">
        <v>-183447.04000000001</v>
      </c>
      <c r="AP20" s="453">
        <v>-183447.04000000001</v>
      </c>
      <c r="AQ20" s="453">
        <v>-35905.39</v>
      </c>
      <c r="AR20" s="453">
        <f>IFERROR(INDEX('SuSa Okt25'!$N:$N,MATCH($A20,'SuSa Okt25'!A:A,0)),"")</f>
        <v>-35905.39</v>
      </c>
      <c r="AS20" s="453">
        <f>IFERROR(INDEX('SuSa Nov25'!$N:$N,MATCH($A20,'SuSa Nov25'!$A:$A,0)),"")</f>
        <v>-8000</v>
      </c>
      <c r="AT20" s="453">
        <f>IFERROR(INDEX('SuSa Dez25'!$N:$N,MATCH($A20,'SuSa Dez25'!$A:$A,0)),"")</f>
        <v>-183217.48</v>
      </c>
    </row>
    <row r="21" spans="1:46" hidden="1" outlineLevel="1" collapsed="1" x14ac:dyDescent="0.25">
      <c r="A21" s="452">
        <v>974</v>
      </c>
      <c r="B21" t="s">
        <v>1886</v>
      </c>
      <c r="C21" t="s">
        <v>1887</v>
      </c>
      <c r="D21" t="s">
        <v>753</v>
      </c>
      <c r="G21" s="453">
        <f t="shared" si="0"/>
        <v>-27517</v>
      </c>
      <c r="H21" s="453">
        <f t="shared" si="1"/>
        <v>-33940</v>
      </c>
      <c r="I21" s="453">
        <f t="shared" si="2"/>
        <v>-32125</v>
      </c>
      <c r="K21" s="453">
        <v>-27419</v>
      </c>
      <c r="L21" s="453">
        <v>-27419</v>
      </c>
      <c r="M21" s="453">
        <v>-27419</v>
      </c>
      <c r="N21" s="453">
        <v>-27419</v>
      </c>
      <c r="O21" s="453">
        <v>-27419</v>
      </c>
      <c r="P21" s="453">
        <v>-27419</v>
      </c>
      <c r="Q21" s="453">
        <v>-27419</v>
      </c>
      <c r="R21" s="453">
        <v>-27419</v>
      </c>
      <c r="S21" s="453">
        <v>-27419</v>
      </c>
      <c r="T21" s="453">
        <v>-27419</v>
      </c>
      <c r="U21" s="453">
        <v>-27419</v>
      </c>
      <c r="V21" s="453">
        <v>-27517</v>
      </c>
      <c r="W21" s="453">
        <v>-27517</v>
      </c>
      <c r="X21" s="453">
        <v>-27517</v>
      </c>
      <c r="Y21" s="453">
        <v>-27517</v>
      </c>
      <c r="Z21" s="453">
        <v>-27517</v>
      </c>
      <c r="AA21" s="453">
        <v>-27517</v>
      </c>
      <c r="AB21" s="453">
        <v>-27517</v>
      </c>
      <c r="AC21" s="453">
        <v>-27517</v>
      </c>
      <c r="AD21" s="453">
        <v>-27517</v>
      </c>
      <c r="AE21" s="453">
        <v>-27517</v>
      </c>
      <c r="AF21" s="453">
        <v>-27517</v>
      </c>
      <c r="AG21" s="453">
        <v>-27517</v>
      </c>
      <c r="AH21" s="453">
        <v>-33940</v>
      </c>
      <c r="AI21" s="453">
        <v>-33940</v>
      </c>
      <c r="AJ21" s="453">
        <v>-33940</v>
      </c>
      <c r="AK21" s="453">
        <v>-33940</v>
      </c>
      <c r="AL21" s="453">
        <v>-33940</v>
      </c>
      <c r="AM21" s="453">
        <v>-33940</v>
      </c>
      <c r="AN21" s="453">
        <v>-33940</v>
      </c>
      <c r="AO21" s="453">
        <v>-33940</v>
      </c>
      <c r="AP21" s="453">
        <v>-33940</v>
      </c>
      <c r="AQ21" s="453">
        <v>-33940</v>
      </c>
      <c r="AR21" s="453">
        <f>IFERROR(INDEX('SuSa Okt25'!$N:$N,MATCH($A21,'SuSa Okt25'!A:A,0)),"")</f>
        <v>-33940</v>
      </c>
      <c r="AS21" s="453">
        <f>IFERROR(INDEX('SuSa Nov25'!$N:$N,MATCH($A21,'SuSa Nov25'!$A:$A,0)),"")</f>
        <v>-33940</v>
      </c>
      <c r="AT21" s="453">
        <f>IFERROR(INDEX('SuSa Dez25'!$N:$N,MATCH($A21,'SuSa Dez25'!$A:$A,0)),"")</f>
        <v>-32125</v>
      </c>
    </row>
    <row r="22" spans="1:46" hidden="1" outlineLevel="1" collapsed="1" x14ac:dyDescent="0.25">
      <c r="A22" s="452">
        <v>977</v>
      </c>
      <c r="B22" t="s">
        <v>1888</v>
      </c>
      <c r="C22" t="s">
        <v>1889</v>
      </c>
      <c r="D22" t="s">
        <v>753</v>
      </c>
      <c r="G22" s="453">
        <f t="shared" si="0"/>
        <v>-37500</v>
      </c>
      <c r="H22" s="453">
        <f t="shared" si="1"/>
        <v>-37000</v>
      </c>
      <c r="I22" s="453">
        <f t="shared" si="2"/>
        <v>-37000</v>
      </c>
      <c r="K22" s="453">
        <v>-35081</v>
      </c>
      <c r="L22" s="453">
        <v>-37581</v>
      </c>
      <c r="M22" s="453">
        <v>-40081</v>
      </c>
      <c r="N22" s="453">
        <v>-42581</v>
      </c>
      <c r="O22" s="453">
        <v>-45081</v>
      </c>
      <c r="P22" s="453">
        <v>-47581</v>
      </c>
      <c r="Q22" s="453">
        <v>-50081</v>
      </c>
      <c r="R22" s="453">
        <v>-52581</v>
      </c>
      <c r="S22" s="453">
        <v>-40081</v>
      </c>
      <c r="T22" s="453">
        <v>-42581</v>
      </c>
      <c r="U22" s="453">
        <v>-45081</v>
      </c>
      <c r="V22" s="453">
        <v>-37500</v>
      </c>
      <c r="W22" s="453">
        <v>-42954</v>
      </c>
      <c r="X22" s="453">
        <v>-45454</v>
      </c>
      <c r="Y22" s="453">
        <v>-47954</v>
      </c>
      <c r="Z22" s="453">
        <v>-50454</v>
      </c>
      <c r="AA22" s="453">
        <v>-52954</v>
      </c>
      <c r="AB22" s="453">
        <v>-55454</v>
      </c>
      <c r="AC22" s="453">
        <v>-57954</v>
      </c>
      <c r="AD22" s="453">
        <v>-60454</v>
      </c>
      <c r="AE22" s="453">
        <v>-62954</v>
      </c>
      <c r="AF22" s="453">
        <v>-65454</v>
      </c>
      <c r="AG22" s="453">
        <v>-67954</v>
      </c>
      <c r="AH22" s="453">
        <v>-37000</v>
      </c>
      <c r="AI22" s="453">
        <v>-40000</v>
      </c>
      <c r="AJ22" s="453">
        <v>-43000</v>
      </c>
      <c r="AK22" s="453">
        <v>-46000</v>
      </c>
      <c r="AL22" s="453">
        <v>-49000</v>
      </c>
      <c r="AM22" s="453">
        <v>-52000</v>
      </c>
      <c r="AN22" s="453">
        <v>-55000</v>
      </c>
      <c r="AO22" s="453">
        <v>-58000</v>
      </c>
      <c r="AP22" s="453">
        <v>-61000</v>
      </c>
      <c r="AQ22" s="453">
        <v>-64000</v>
      </c>
      <c r="AR22" s="453">
        <f>IFERROR(INDEX('SuSa Okt25'!$N:$N,MATCH($A22,'SuSa Okt25'!A:A,0)),"")</f>
        <v>-30000</v>
      </c>
      <c r="AS22" s="453">
        <f>IFERROR(INDEX('SuSa Nov25'!$N:$N,MATCH($A22,'SuSa Nov25'!$A:$A,0)),"")</f>
        <v>-33000</v>
      </c>
      <c r="AT22" s="453">
        <f>IFERROR(INDEX('SuSa Dez25'!$N:$N,MATCH($A22,'SuSa Dez25'!$A:$A,0)),"")</f>
        <v>-37000</v>
      </c>
    </row>
    <row r="23" spans="1:46" hidden="1" outlineLevel="1" collapsed="1" x14ac:dyDescent="0.25">
      <c r="A23" s="452">
        <v>980</v>
      </c>
      <c r="B23" t="s">
        <v>1890</v>
      </c>
      <c r="C23" t="s">
        <v>981</v>
      </c>
      <c r="D23" t="s">
        <v>708</v>
      </c>
      <c r="G23" s="453">
        <f t="shared" si="0"/>
        <v>65903.960000000006</v>
      </c>
      <c r="H23" s="453">
        <f t="shared" si="1"/>
        <v>62927.86</v>
      </c>
      <c r="I23" s="453">
        <f t="shared" si="2"/>
        <v>51301.45</v>
      </c>
      <c r="K23" s="453">
        <v>43246.28</v>
      </c>
      <c r="L23" s="453">
        <v>37226.120000000003</v>
      </c>
      <c r="M23" s="453">
        <v>49082.9</v>
      </c>
      <c r="N23" s="453">
        <v>71745.600000000006</v>
      </c>
      <c r="O23" s="453">
        <v>65833.62</v>
      </c>
      <c r="P23" s="453">
        <v>62869.48</v>
      </c>
      <c r="Q23" s="453">
        <v>59567.94</v>
      </c>
      <c r="R23" s="453">
        <v>72304.570000000007</v>
      </c>
      <c r="S23" s="453">
        <v>62266.3</v>
      </c>
      <c r="T23" s="453">
        <v>85911.92</v>
      </c>
      <c r="U23" s="453">
        <v>77943.820000000007</v>
      </c>
      <c r="V23" s="453">
        <v>65903.960000000006</v>
      </c>
      <c r="W23" s="453">
        <v>92195.22</v>
      </c>
      <c r="X23" s="453">
        <v>95571.04</v>
      </c>
      <c r="Y23" s="453">
        <v>87222.99</v>
      </c>
      <c r="Z23" s="453">
        <v>84672.06</v>
      </c>
      <c r="AA23" s="453">
        <v>74920.05</v>
      </c>
      <c r="AB23" s="453">
        <v>78408.42</v>
      </c>
      <c r="AC23" s="453">
        <v>75216.160000000003</v>
      </c>
      <c r="AD23" s="453">
        <v>66271.92</v>
      </c>
      <c r="AE23" s="453">
        <v>56557.03</v>
      </c>
      <c r="AF23" s="453">
        <v>80951.070000000007</v>
      </c>
      <c r="AG23" s="453">
        <v>71331.899999999994</v>
      </c>
      <c r="AH23" s="453">
        <v>62927.86</v>
      </c>
      <c r="AI23" s="453">
        <v>132470.49</v>
      </c>
      <c r="AJ23" s="453">
        <v>122887.8</v>
      </c>
      <c r="AK23" s="453">
        <v>111715.41</v>
      </c>
      <c r="AL23" s="453">
        <v>110106.9</v>
      </c>
      <c r="AM23" s="453">
        <v>100517.52</v>
      </c>
      <c r="AN23" s="453">
        <v>93141.82</v>
      </c>
      <c r="AO23" s="453">
        <v>83621.37</v>
      </c>
      <c r="AP23" s="453">
        <v>78102.84</v>
      </c>
      <c r="AQ23" s="453">
        <v>66908.600000000006</v>
      </c>
      <c r="AR23" s="453">
        <f>IFERROR(INDEX('SuSa Okt25'!$N:$N,MATCH($A23,'SuSa Okt25'!A:A,0)),"")</f>
        <v>65284.93</v>
      </c>
      <c r="AS23" s="453">
        <f>IFERROR(INDEX('SuSa Nov25'!$N:$N,MATCH($A23,'SuSa Nov25'!$A:$A,0)),"")</f>
        <v>57412.24</v>
      </c>
      <c r="AT23" s="453">
        <f>IFERROR(INDEX('SuSa Dez25'!$N:$N,MATCH($A23,'SuSa Dez25'!$A:$A,0)),"")</f>
        <v>51301.45</v>
      </c>
    </row>
    <row r="24" spans="1:46" hidden="1" outlineLevel="1" collapsed="1" x14ac:dyDescent="0.25">
      <c r="A24" s="452">
        <v>996</v>
      </c>
      <c r="B24" t="s">
        <v>1891</v>
      </c>
      <c r="C24" t="s">
        <v>1892</v>
      </c>
      <c r="D24" t="s">
        <v>1893</v>
      </c>
      <c r="G24" s="453">
        <f t="shared" si="0"/>
        <v>-15012</v>
      </c>
      <c r="H24" s="453">
        <f t="shared" si="1"/>
        <v>-18893</v>
      </c>
      <c r="I24" s="453">
        <f t="shared" si="2"/>
        <v>-13350</v>
      </c>
      <c r="K24" s="453">
        <v>-16704</v>
      </c>
      <c r="L24" s="453">
        <v>-16704</v>
      </c>
      <c r="M24" s="453">
        <v>-16704</v>
      </c>
      <c r="N24" s="453">
        <v>-16704</v>
      </c>
      <c r="O24" s="453">
        <v>-16704</v>
      </c>
      <c r="P24" s="453">
        <v>-16704</v>
      </c>
      <c r="Q24" s="453">
        <v>-16704</v>
      </c>
      <c r="R24" s="453">
        <v>-16704</v>
      </c>
      <c r="S24" s="453">
        <v>-16704</v>
      </c>
      <c r="T24" s="453">
        <v>-16704</v>
      </c>
      <c r="U24" s="453">
        <v>-16704</v>
      </c>
      <c r="V24" s="453">
        <v>-15012</v>
      </c>
      <c r="W24" s="453">
        <v>-15012</v>
      </c>
      <c r="X24" s="453">
        <v>-15012</v>
      </c>
      <c r="Y24" s="453">
        <v>-15012</v>
      </c>
      <c r="Z24" s="453">
        <v>-15012</v>
      </c>
      <c r="AA24" s="453">
        <v>-15012</v>
      </c>
      <c r="AB24" s="453">
        <v>-15012</v>
      </c>
      <c r="AC24" s="453">
        <v>-15012</v>
      </c>
      <c r="AD24" s="453">
        <v>-15012</v>
      </c>
      <c r="AE24" s="453">
        <v>-15012</v>
      </c>
      <c r="AF24" s="453">
        <v>-15012</v>
      </c>
      <c r="AG24" s="453">
        <v>-15012</v>
      </c>
      <c r="AH24" s="453">
        <v>-18893</v>
      </c>
      <c r="AI24" s="453">
        <v>-18893</v>
      </c>
      <c r="AJ24" s="453">
        <v>-18893</v>
      </c>
      <c r="AK24" s="453">
        <v>-18893</v>
      </c>
      <c r="AL24" s="453">
        <v>-18893</v>
      </c>
      <c r="AM24" s="453">
        <v>-18893</v>
      </c>
      <c r="AN24" s="453">
        <v>-18893</v>
      </c>
      <c r="AO24" s="453">
        <v>-18893</v>
      </c>
      <c r="AP24" s="453">
        <v>-18893</v>
      </c>
      <c r="AQ24" s="453">
        <v>-18893</v>
      </c>
      <c r="AR24" s="453">
        <f>IFERROR(INDEX('SuSa Okt25'!$N:$N,MATCH($A24,'SuSa Okt25'!A:A,0)),"")</f>
        <v>-18893</v>
      </c>
      <c r="AS24" s="453">
        <f>IFERROR(INDEX('SuSa Nov25'!$N:$N,MATCH($A24,'SuSa Nov25'!$A:$A,0)),"")</f>
        <v>-18893</v>
      </c>
      <c r="AT24" s="453">
        <f>IFERROR(INDEX('SuSa Dez25'!$N:$N,MATCH($A24,'SuSa Dez25'!$A:$A,0)),"")</f>
        <v>-13350</v>
      </c>
    </row>
    <row r="25" spans="1:46" hidden="1" outlineLevel="1" collapsed="1" x14ac:dyDescent="0.25">
      <c r="A25" s="452">
        <v>998</v>
      </c>
      <c r="B25" t="s">
        <v>1894</v>
      </c>
      <c r="C25" t="s">
        <v>1895</v>
      </c>
      <c r="D25" t="s">
        <v>1893</v>
      </c>
      <c r="G25" s="453">
        <f t="shared" si="0"/>
        <v>-27177</v>
      </c>
      <c r="H25" s="453">
        <f t="shared" si="1"/>
        <v>0</v>
      </c>
      <c r="I25" s="453">
        <f t="shared" si="2"/>
        <v>0</v>
      </c>
      <c r="K25" s="453">
        <v>-6300</v>
      </c>
      <c r="L25" s="453">
        <v>-6300</v>
      </c>
      <c r="M25" s="453">
        <v>-6300</v>
      </c>
      <c r="N25" s="453">
        <v>-6300</v>
      </c>
      <c r="O25" s="453">
        <v>-6300</v>
      </c>
      <c r="P25" s="453">
        <v>-6300</v>
      </c>
      <c r="Q25" s="453">
        <v>-6300</v>
      </c>
      <c r="R25" s="453">
        <v>-6300</v>
      </c>
      <c r="S25" s="453">
        <v>-6300</v>
      </c>
      <c r="T25" s="453">
        <v>-6300</v>
      </c>
      <c r="U25" s="453">
        <v>-6300</v>
      </c>
      <c r="V25" s="453">
        <v>-27177</v>
      </c>
      <c r="W25" s="453">
        <v>-27177</v>
      </c>
      <c r="X25" s="453">
        <v>-27177</v>
      </c>
      <c r="Y25" s="453">
        <v>-27177</v>
      </c>
      <c r="Z25" s="453">
        <v>-27177</v>
      </c>
      <c r="AA25" s="453">
        <v>-27177</v>
      </c>
      <c r="AB25" s="453">
        <v>-27177</v>
      </c>
      <c r="AC25" s="453">
        <v>-27177</v>
      </c>
      <c r="AD25" s="453">
        <v>-27177</v>
      </c>
      <c r="AE25" s="453">
        <v>-27177</v>
      </c>
      <c r="AF25" s="453">
        <v>0</v>
      </c>
      <c r="AG25" s="453">
        <v>0</v>
      </c>
      <c r="AH25" s="453">
        <v>0</v>
      </c>
      <c r="AI25" s="453">
        <v>0</v>
      </c>
      <c r="AJ25" s="453">
        <v>0</v>
      </c>
      <c r="AK25" s="453">
        <v>0</v>
      </c>
      <c r="AL25" s="453">
        <v>0</v>
      </c>
      <c r="AM25" s="453">
        <v>0</v>
      </c>
      <c r="AN25" s="453">
        <v>0</v>
      </c>
      <c r="AO25" s="453">
        <v>0</v>
      </c>
      <c r="AP25" s="453">
        <v>0</v>
      </c>
      <c r="AQ25" s="453">
        <v>0</v>
      </c>
      <c r="AR25" s="453">
        <f>IFERROR(INDEX('SuSa Okt25'!$N:$N,MATCH($A25,'SuSa Okt25'!A:A,0)),"")</f>
        <v>0</v>
      </c>
      <c r="AS25" s="453">
        <f>IFERROR(INDEX('SuSa Nov25'!$N:$N,MATCH($A25,'SuSa Nov25'!$A:$A,0)),"")</f>
        <v>0</v>
      </c>
      <c r="AT25" s="453">
        <f>IFERROR(INDEX('SuSa Dez25'!$N:$N,MATCH($A25,'SuSa Dez25'!$A:$A,0)),"")</f>
        <v>0</v>
      </c>
    </row>
    <row r="26" spans="1:46" hidden="1" outlineLevel="1" collapsed="1" x14ac:dyDescent="0.25">
      <c r="A26" s="452">
        <v>1000</v>
      </c>
      <c r="B26" t="s">
        <v>1896</v>
      </c>
      <c r="C26" t="s">
        <v>1897</v>
      </c>
      <c r="D26" t="s">
        <v>715</v>
      </c>
      <c r="G26" s="453">
        <f t="shared" si="0"/>
        <v>106.38</v>
      </c>
      <c r="H26" s="453">
        <f t="shared" si="1"/>
        <v>86.17</v>
      </c>
      <c r="I26" s="453">
        <f t="shared" si="2"/>
        <v>99.99</v>
      </c>
      <c r="K26" s="453">
        <v>77.47</v>
      </c>
      <c r="L26" s="453">
        <v>992.47</v>
      </c>
      <c r="M26" s="453">
        <v>922.6</v>
      </c>
      <c r="N26" s="453">
        <v>838.23</v>
      </c>
      <c r="O26" s="453">
        <v>806.6</v>
      </c>
      <c r="P26" s="453">
        <v>806.6</v>
      </c>
      <c r="Q26" s="453">
        <v>731.85</v>
      </c>
      <c r="R26" s="453">
        <v>441.55</v>
      </c>
      <c r="S26" s="453">
        <v>142.65</v>
      </c>
      <c r="T26" s="453">
        <v>262.97000000000003</v>
      </c>
      <c r="U26" s="453">
        <v>598.91</v>
      </c>
      <c r="V26" s="453">
        <v>106.38</v>
      </c>
      <c r="W26" s="453">
        <v>35.770000000000003</v>
      </c>
      <c r="X26" s="453">
        <v>581.66999999999996</v>
      </c>
      <c r="Y26" s="453">
        <v>251.45</v>
      </c>
      <c r="Z26" s="453">
        <v>245.65</v>
      </c>
      <c r="AA26" s="453">
        <v>191.31</v>
      </c>
      <c r="AB26" s="453">
        <v>324.04000000000002</v>
      </c>
      <c r="AC26" s="453">
        <v>84.48</v>
      </c>
      <c r="AD26" s="453">
        <v>60.56</v>
      </c>
      <c r="AE26" s="453">
        <v>27.85</v>
      </c>
      <c r="AF26" s="453">
        <v>20.350000000000001</v>
      </c>
      <c r="AG26" s="453">
        <v>183.17</v>
      </c>
      <c r="AH26" s="453">
        <v>86.17</v>
      </c>
      <c r="AI26" s="453">
        <v>86.17</v>
      </c>
      <c r="AJ26" s="453">
        <v>105.17</v>
      </c>
      <c r="AK26" s="453">
        <v>75.89</v>
      </c>
      <c r="AL26" s="453">
        <v>75.89</v>
      </c>
      <c r="AM26" s="453">
        <v>75.89</v>
      </c>
      <c r="AN26" s="453">
        <v>63.59</v>
      </c>
      <c r="AO26" s="453">
        <v>63.59</v>
      </c>
      <c r="AP26" s="453">
        <v>48.59</v>
      </c>
      <c r="AQ26" s="453">
        <v>48.59</v>
      </c>
      <c r="AR26" s="453">
        <f>IFERROR(INDEX('SuSa Okt25'!$N:$N,MATCH($A26,'SuSa Okt25'!A:A,0)),"")</f>
        <v>40.94</v>
      </c>
      <c r="AS26" s="453">
        <f>IFERROR(INDEX('SuSa Nov25'!$N:$N,MATCH($A26,'SuSa Nov25'!$A:$A,0)),"")</f>
        <v>40.94</v>
      </c>
      <c r="AT26" s="453">
        <f>IFERROR(INDEX('SuSa Dez25'!$N:$N,MATCH($A26,'SuSa Dez25'!$A:$A,0)),"")</f>
        <v>99.99</v>
      </c>
    </row>
    <row r="27" spans="1:46" hidden="1" outlineLevel="1" collapsed="1" x14ac:dyDescent="0.25">
      <c r="A27" s="452">
        <v>1100</v>
      </c>
      <c r="B27" t="s">
        <v>1898</v>
      </c>
      <c r="C27" t="s">
        <v>1898</v>
      </c>
      <c r="D27" t="s">
        <v>715</v>
      </c>
      <c r="G27" s="453">
        <f t="shared" si="0"/>
        <v>366738.97</v>
      </c>
      <c r="H27" s="453">
        <f t="shared" si="1"/>
        <v>187954.81</v>
      </c>
      <c r="I27" s="453">
        <f t="shared" si="2"/>
        <v>127605.57</v>
      </c>
      <c r="K27" s="453">
        <v>325340.48</v>
      </c>
      <c r="L27" s="453">
        <v>354782.23</v>
      </c>
      <c r="M27" s="453">
        <v>383982.39</v>
      </c>
      <c r="N27" s="453">
        <v>444795.15</v>
      </c>
      <c r="O27" s="453">
        <v>446530.01</v>
      </c>
      <c r="P27" s="453">
        <v>478756.85</v>
      </c>
      <c r="Q27" s="453">
        <v>485308.77</v>
      </c>
      <c r="R27" s="453">
        <v>508342.28</v>
      </c>
      <c r="S27" s="453">
        <v>512097.73</v>
      </c>
      <c r="T27" s="453">
        <v>314351.71000000002</v>
      </c>
      <c r="U27" s="453">
        <v>317570.71999999997</v>
      </c>
      <c r="V27" s="453">
        <v>366738.97</v>
      </c>
      <c r="W27" s="453">
        <v>373101.53</v>
      </c>
      <c r="X27" s="453">
        <v>375299.26</v>
      </c>
      <c r="Y27" s="453">
        <v>319476.76</v>
      </c>
      <c r="Z27" s="453">
        <v>329449.93</v>
      </c>
      <c r="AA27" s="453">
        <v>287246.77</v>
      </c>
      <c r="AB27" s="453">
        <v>335690.61</v>
      </c>
      <c r="AC27" s="453">
        <v>287373.03000000003</v>
      </c>
      <c r="AD27" s="453">
        <v>288575.99</v>
      </c>
      <c r="AE27" s="453">
        <v>233104.07</v>
      </c>
      <c r="AF27" s="453">
        <v>136898.28</v>
      </c>
      <c r="AG27" s="453">
        <v>185201.09</v>
      </c>
      <c r="AH27" s="453">
        <v>187954.81</v>
      </c>
      <c r="AI27" s="453">
        <v>189525.62</v>
      </c>
      <c r="AJ27" s="453">
        <v>134222.67000000001</v>
      </c>
      <c r="AK27" s="453">
        <v>60941.760000000002</v>
      </c>
      <c r="AL27" s="453">
        <v>68438.34</v>
      </c>
      <c r="AM27" s="453">
        <v>119825.93</v>
      </c>
      <c r="AN27" s="453">
        <v>124909.36</v>
      </c>
      <c r="AO27" s="453">
        <v>127749.75</v>
      </c>
      <c r="AP27" s="453">
        <v>127822.63</v>
      </c>
      <c r="AQ27" s="453">
        <v>169881.95</v>
      </c>
      <c r="AR27" s="453">
        <f>IFERROR(INDEX('SuSa Okt25'!$N:$N,MATCH($A27,'SuSa Okt25'!A:A,0)),"")</f>
        <v>172563.4</v>
      </c>
      <c r="AS27" s="453">
        <f>IFERROR(INDEX('SuSa Nov25'!$N:$N,MATCH($A27,'SuSa Nov25'!$A:$A,0)),"")</f>
        <v>76272.41</v>
      </c>
      <c r="AT27" s="453">
        <f>IFERROR(INDEX('SuSa Dez25'!$N:$N,MATCH($A27,'SuSa Dez25'!$A:$A,0)),"")</f>
        <v>127605.57</v>
      </c>
    </row>
    <row r="28" spans="1:46" hidden="1" outlineLevel="1" collapsed="1" x14ac:dyDescent="0.25">
      <c r="A28" s="452">
        <v>1200</v>
      </c>
      <c r="B28" t="s">
        <v>1899</v>
      </c>
      <c r="C28" t="s">
        <v>1900</v>
      </c>
      <c r="D28" t="s">
        <v>715</v>
      </c>
      <c r="G28" s="453">
        <f t="shared" si="0"/>
        <v>2008282.57</v>
      </c>
      <c r="H28" s="453">
        <f t="shared" si="1"/>
        <v>626775.54</v>
      </c>
      <c r="I28" s="453">
        <f t="shared" si="2"/>
        <v>1637265.27</v>
      </c>
      <c r="K28" s="453">
        <v>2247397.5499999998</v>
      </c>
      <c r="L28" s="453">
        <v>1669178.51</v>
      </c>
      <c r="M28" s="453">
        <v>1548570.88</v>
      </c>
      <c r="N28" s="453">
        <v>1611655.07</v>
      </c>
      <c r="O28" s="453">
        <v>1197829.58</v>
      </c>
      <c r="P28" s="453">
        <v>1258023.28</v>
      </c>
      <c r="Q28" s="453">
        <v>1230862.78</v>
      </c>
      <c r="R28" s="453">
        <v>900137.51</v>
      </c>
      <c r="S28" s="453">
        <v>1197057.46</v>
      </c>
      <c r="T28" s="453">
        <v>1304886.1499999999</v>
      </c>
      <c r="U28" s="453">
        <v>962274.56</v>
      </c>
      <c r="V28" s="453">
        <v>2008282.57</v>
      </c>
      <c r="W28" s="453">
        <v>1948648.99</v>
      </c>
      <c r="X28" s="453">
        <v>1781459.93</v>
      </c>
      <c r="Y28" s="453">
        <v>2106252.65</v>
      </c>
      <c r="Z28" s="453">
        <v>1472512.9</v>
      </c>
      <c r="AA28" s="453">
        <v>1907012.71</v>
      </c>
      <c r="AB28" s="453">
        <v>1541530.42</v>
      </c>
      <c r="AC28" s="453">
        <v>1640183.64</v>
      </c>
      <c r="AD28" s="453">
        <v>1341648.28</v>
      </c>
      <c r="AE28" s="453">
        <v>1136672.0900000001</v>
      </c>
      <c r="AF28" s="453">
        <v>681750.99</v>
      </c>
      <c r="AG28" s="453">
        <v>871608.77</v>
      </c>
      <c r="AH28" s="453">
        <v>626775.54</v>
      </c>
      <c r="AI28" s="453">
        <v>869487.4</v>
      </c>
      <c r="AJ28" s="453">
        <v>792962.04</v>
      </c>
      <c r="AK28" s="453">
        <v>827955.39</v>
      </c>
      <c r="AL28" s="453">
        <v>944230.78</v>
      </c>
      <c r="AM28" s="453">
        <v>798852.42</v>
      </c>
      <c r="AN28" s="453">
        <v>633405.52</v>
      </c>
      <c r="AO28" s="453">
        <v>1341313.42</v>
      </c>
      <c r="AP28" s="453">
        <v>1185683.95</v>
      </c>
      <c r="AQ28" s="453">
        <v>1270330.73</v>
      </c>
      <c r="AR28" s="453">
        <f>IFERROR(INDEX('SuSa Okt25'!$N:$N,MATCH($A28,'SuSa Okt25'!A:A,0)),"")</f>
        <v>1151533.8500000001</v>
      </c>
      <c r="AS28" s="453">
        <f>IFERROR(INDEX('SuSa Nov25'!$N:$N,MATCH($A28,'SuSa Nov25'!$A:$A,0)),"")</f>
        <v>1418806.72</v>
      </c>
      <c r="AT28" s="453">
        <f>IFERROR(INDEX('SuSa Dez25'!$N:$N,MATCH($A28,'SuSa Dez25'!$A:$A,0)),"")</f>
        <v>1637265.27</v>
      </c>
    </row>
    <row r="29" spans="1:46" hidden="1" outlineLevel="1" collapsed="1" x14ac:dyDescent="0.25">
      <c r="A29" s="452">
        <v>1210</v>
      </c>
      <c r="B29" t="s">
        <v>1901</v>
      </c>
      <c r="C29" t="s">
        <v>1901</v>
      </c>
      <c r="D29" t="s">
        <v>715</v>
      </c>
      <c r="G29" s="453">
        <f t="shared" si="0"/>
        <v>69357.97</v>
      </c>
      <c r="H29" s="453">
        <f t="shared" si="1"/>
        <v>113807.93</v>
      </c>
      <c r="I29" s="453">
        <f t="shared" si="2"/>
        <v>98403.72</v>
      </c>
      <c r="K29" s="453">
        <v>264904.24</v>
      </c>
      <c r="L29" s="453">
        <v>684447.85</v>
      </c>
      <c r="M29" s="453">
        <v>379641.87</v>
      </c>
      <c r="N29" s="453">
        <v>334030.59000000003</v>
      </c>
      <c r="O29" s="453">
        <v>276267.28000000003</v>
      </c>
      <c r="P29" s="453">
        <v>397189.34</v>
      </c>
      <c r="Q29" s="453">
        <v>238875.09</v>
      </c>
      <c r="R29" s="453">
        <v>264594.52</v>
      </c>
      <c r="S29" s="453">
        <v>148168.14000000001</v>
      </c>
      <c r="T29" s="453">
        <v>40249.89</v>
      </c>
      <c r="U29" s="453">
        <v>202608.94</v>
      </c>
      <c r="V29" s="453">
        <v>69357.97</v>
      </c>
      <c r="W29" s="453">
        <v>232804.02</v>
      </c>
      <c r="X29" s="453">
        <v>203550.32</v>
      </c>
      <c r="Y29" s="453">
        <v>407833.36</v>
      </c>
      <c r="Z29" s="453">
        <v>164413.09</v>
      </c>
      <c r="AA29" s="453">
        <v>66379.55</v>
      </c>
      <c r="AB29" s="453">
        <v>110200.98</v>
      </c>
      <c r="AC29" s="453">
        <v>73582.38</v>
      </c>
      <c r="AD29" s="453">
        <v>173878.56</v>
      </c>
      <c r="AE29" s="453">
        <v>47110.38</v>
      </c>
      <c r="AF29" s="453">
        <v>51439.88</v>
      </c>
      <c r="AG29" s="453">
        <v>38107.360000000001</v>
      </c>
      <c r="AH29" s="453">
        <v>113807.93</v>
      </c>
      <c r="AI29" s="453">
        <v>281731.90000000002</v>
      </c>
      <c r="AJ29" s="453">
        <v>171812.59</v>
      </c>
      <c r="AK29" s="453">
        <v>59112.45</v>
      </c>
      <c r="AL29" s="453">
        <v>42964.36</v>
      </c>
      <c r="AM29" s="453">
        <v>44311.32</v>
      </c>
      <c r="AN29" s="453">
        <v>49511.92</v>
      </c>
      <c r="AO29" s="453">
        <v>128219.74</v>
      </c>
      <c r="AP29" s="453">
        <v>102220.74</v>
      </c>
      <c r="AQ29" s="453">
        <v>62539.05</v>
      </c>
      <c r="AR29" s="453">
        <f>IFERROR(INDEX('SuSa Okt25'!$N:$N,MATCH($A29,'SuSa Okt25'!A:A,0)),"")</f>
        <v>100665.59</v>
      </c>
      <c r="AS29" s="453">
        <f>IFERROR(INDEX('SuSa Nov25'!$N:$N,MATCH($A29,'SuSa Nov25'!$A:$A,0)),"")</f>
        <v>85525.64</v>
      </c>
      <c r="AT29" s="453">
        <f>IFERROR(INDEX('SuSa Dez25'!$N:$N,MATCH($A29,'SuSa Dez25'!$A:$A,0)),"")</f>
        <v>98403.72</v>
      </c>
    </row>
    <row r="30" spans="1:46" hidden="1" outlineLevel="1" collapsed="1" x14ac:dyDescent="0.25">
      <c r="A30" s="452">
        <v>1220</v>
      </c>
      <c r="B30" t="s">
        <v>1902</v>
      </c>
      <c r="C30" t="s">
        <v>1902</v>
      </c>
      <c r="D30" t="s">
        <v>715</v>
      </c>
      <c r="G30" s="453">
        <f t="shared" si="0"/>
        <v>271081.40999999997</v>
      </c>
      <c r="H30" s="453">
        <f t="shared" si="1"/>
        <v>75436.39</v>
      </c>
      <c r="I30" s="453">
        <f t="shared" si="2"/>
        <v>162906.15</v>
      </c>
      <c r="K30" s="453">
        <v>209082.48</v>
      </c>
      <c r="L30" s="453">
        <v>265856.67</v>
      </c>
      <c r="M30" s="453">
        <v>323603.59999999998</v>
      </c>
      <c r="N30" s="453">
        <v>157139.81</v>
      </c>
      <c r="O30" s="453">
        <v>186631.52</v>
      </c>
      <c r="P30" s="453">
        <v>250125.76</v>
      </c>
      <c r="Q30" s="453">
        <v>278963.19</v>
      </c>
      <c r="R30" s="453">
        <v>336971.89</v>
      </c>
      <c r="S30" s="453">
        <v>303334.81</v>
      </c>
      <c r="T30" s="453">
        <v>265885.78000000003</v>
      </c>
      <c r="U30" s="453">
        <v>307574.34000000003</v>
      </c>
      <c r="V30" s="453">
        <v>271081.40999999997</v>
      </c>
      <c r="W30" s="453">
        <v>336542.19</v>
      </c>
      <c r="X30" s="453">
        <v>398548.31</v>
      </c>
      <c r="Y30" s="453">
        <v>289198.15999999997</v>
      </c>
      <c r="Z30" s="453">
        <v>340694.42</v>
      </c>
      <c r="AA30" s="453">
        <v>326734.65999999997</v>
      </c>
      <c r="AB30" s="453">
        <v>258474.69</v>
      </c>
      <c r="AC30" s="453">
        <v>301733.56</v>
      </c>
      <c r="AD30" s="453">
        <v>251466.12</v>
      </c>
      <c r="AE30" s="453">
        <v>216127.69</v>
      </c>
      <c r="AF30" s="453">
        <v>192147.64</v>
      </c>
      <c r="AG30" s="453">
        <v>202173.29</v>
      </c>
      <c r="AH30" s="453">
        <v>75436.39</v>
      </c>
      <c r="AI30" s="453">
        <v>67297.759999999995</v>
      </c>
      <c r="AJ30" s="453">
        <v>119803.76</v>
      </c>
      <c r="AK30" s="453">
        <v>100815.6</v>
      </c>
      <c r="AL30" s="453">
        <v>106034.94</v>
      </c>
      <c r="AM30" s="453">
        <v>64887.18</v>
      </c>
      <c r="AN30" s="453">
        <v>66368.399999999994</v>
      </c>
      <c r="AO30" s="453">
        <v>110434.42</v>
      </c>
      <c r="AP30" s="453">
        <v>152065.18</v>
      </c>
      <c r="AQ30" s="453">
        <v>206115.27</v>
      </c>
      <c r="AR30" s="453">
        <f>IFERROR(INDEX('SuSa Okt25'!$N:$N,MATCH($A30,'SuSa Okt25'!A:A,0)),"")</f>
        <v>281732.14</v>
      </c>
      <c r="AS30" s="453">
        <f>IFERROR(INDEX('SuSa Nov25'!$N:$N,MATCH($A30,'SuSa Nov25'!$A:$A,0)),"")</f>
        <v>303521.43</v>
      </c>
      <c r="AT30" s="453">
        <f>IFERROR(INDEX('SuSa Dez25'!$N:$N,MATCH($A30,'SuSa Dez25'!$A:$A,0)),"")</f>
        <v>162906.15</v>
      </c>
    </row>
    <row r="31" spans="1:46" hidden="1" outlineLevel="1" collapsed="1" x14ac:dyDescent="0.25">
      <c r="A31" s="452">
        <v>1348</v>
      </c>
      <c r="B31" t="s">
        <v>1903</v>
      </c>
      <c r="C31" t="s">
        <v>1904</v>
      </c>
      <c r="D31" t="s">
        <v>714</v>
      </c>
      <c r="G31" s="453">
        <f t="shared" si="0"/>
        <v>0</v>
      </c>
      <c r="H31" s="453">
        <f t="shared" si="1"/>
        <v>109791.75</v>
      </c>
      <c r="I31" s="453">
        <f t="shared" si="2"/>
        <v>0</v>
      </c>
      <c r="K31" s="453">
        <v>0</v>
      </c>
      <c r="L31" s="453">
        <v>0</v>
      </c>
      <c r="M31" s="453">
        <v>0</v>
      </c>
      <c r="N31" s="453">
        <v>0</v>
      </c>
      <c r="O31" s="453">
        <v>0</v>
      </c>
      <c r="P31" s="453">
        <v>0</v>
      </c>
      <c r="Q31" s="453">
        <v>0</v>
      </c>
      <c r="R31" s="453">
        <v>0</v>
      </c>
      <c r="S31" s="453">
        <v>0</v>
      </c>
      <c r="T31" s="453">
        <v>0</v>
      </c>
      <c r="U31" s="453">
        <v>0</v>
      </c>
      <c r="V31" s="453">
        <v>0</v>
      </c>
      <c r="AF31" s="453">
        <v>109884</v>
      </c>
      <c r="AG31" s="453">
        <v>109884</v>
      </c>
      <c r="AH31" s="453">
        <v>109791.75</v>
      </c>
      <c r="AI31" s="453">
        <v>109791.75</v>
      </c>
      <c r="AJ31" s="453">
        <v>109791.75</v>
      </c>
      <c r="AK31" s="453">
        <v>78557.75</v>
      </c>
      <c r="AL31" s="453">
        <v>78557.75</v>
      </c>
      <c r="AM31" s="453">
        <v>78557.75</v>
      </c>
      <c r="AN31" s="453">
        <v>78650</v>
      </c>
      <c r="AO31" s="453">
        <v>78650</v>
      </c>
      <c r="AP31" s="453">
        <v>78650</v>
      </c>
      <c r="AQ31" s="453">
        <v>78650</v>
      </c>
      <c r="AR31" s="453">
        <f>IFERROR(INDEX('SuSa Okt25'!$N:$N,MATCH($A31,'SuSa Okt25'!A:A,0)),"")</f>
        <v>78650</v>
      </c>
      <c r="AS31" s="453">
        <f>IFERROR(INDEX('SuSa Nov25'!$N:$N,MATCH($A31,'SuSa Nov25'!$A:$A,0)),"")</f>
        <v>78650</v>
      </c>
      <c r="AT31" s="453">
        <f>IFERROR(INDEX('SuSa Dez25'!$N:$N,MATCH($A31,'SuSa Dez25'!$A:$A,0)),"")</f>
        <v>0</v>
      </c>
    </row>
    <row r="32" spans="1:46" hidden="1" outlineLevel="1" collapsed="1" x14ac:dyDescent="0.25">
      <c r="A32" s="452">
        <v>1360</v>
      </c>
      <c r="B32" t="s">
        <v>1905</v>
      </c>
      <c r="C32" t="s">
        <v>1906</v>
      </c>
      <c r="D32" t="s">
        <v>710</v>
      </c>
      <c r="G32" s="453">
        <f t="shared" si="0"/>
        <v>0</v>
      </c>
      <c r="H32" s="453">
        <f t="shared" si="1"/>
        <v>0</v>
      </c>
      <c r="I32" s="453">
        <f t="shared" si="2"/>
        <v>0</v>
      </c>
      <c r="K32" s="453">
        <v>148782.41</v>
      </c>
      <c r="L32" s="453">
        <v>-1397.59</v>
      </c>
      <c r="M32" s="453">
        <v>0</v>
      </c>
      <c r="N32" s="453">
        <v>-12221.83</v>
      </c>
      <c r="O32" s="453">
        <v>-2428.16</v>
      </c>
      <c r="P32" s="453">
        <v>40581.35</v>
      </c>
      <c r="Q32" s="453">
        <v>31458.15</v>
      </c>
      <c r="R32" s="453">
        <v>9693.67</v>
      </c>
      <c r="S32" s="453">
        <v>13199.47</v>
      </c>
      <c r="T32" s="453">
        <v>14205.78</v>
      </c>
      <c r="U32" s="453">
        <v>10849.98</v>
      </c>
      <c r="V32" s="453">
        <v>0</v>
      </c>
      <c r="W32" s="453">
        <v>0</v>
      </c>
      <c r="X32" s="453">
        <v>0</v>
      </c>
      <c r="Y32" s="453">
        <v>155</v>
      </c>
      <c r="Z32" s="453">
        <v>-1797.75</v>
      </c>
      <c r="AA32" s="453">
        <v>4047</v>
      </c>
      <c r="AB32" s="453">
        <v>0</v>
      </c>
      <c r="AC32" s="453">
        <v>0</v>
      </c>
      <c r="AD32" s="453">
        <v>0</v>
      </c>
      <c r="AE32" s="453">
        <v>2045.48</v>
      </c>
      <c r="AF32" s="453">
        <v>2045.48</v>
      </c>
      <c r="AG32" s="453">
        <v>-200</v>
      </c>
      <c r="AH32" s="453">
        <v>0</v>
      </c>
      <c r="AI32" s="453">
        <v>0</v>
      </c>
      <c r="AJ32" s="453">
        <v>-2849.23</v>
      </c>
      <c r="AK32" s="453">
        <v>0</v>
      </c>
      <c r="AL32" s="453">
        <v>59543.040000000001</v>
      </c>
      <c r="AM32" s="453">
        <v>59500</v>
      </c>
      <c r="AN32" s="453">
        <v>59500</v>
      </c>
      <c r="AO32" s="453">
        <v>0</v>
      </c>
      <c r="AP32" s="453">
        <v>0</v>
      </c>
      <c r="AQ32" s="453">
        <v>0</v>
      </c>
      <c r="AR32" s="453">
        <f>IFERROR(INDEX('SuSa Okt25'!$N:$N,MATCH($A32,'SuSa Okt25'!A:A,0)),"")</f>
        <v>100000</v>
      </c>
      <c r="AS32" s="453">
        <f>IFERROR(INDEX('SuSa Nov25'!$N:$N,MATCH($A32,'SuSa Nov25'!$A:$A,0)),"")</f>
        <v>-29732.86</v>
      </c>
      <c r="AT32" s="453">
        <f>IFERROR(INDEX('SuSa Dez25'!$N:$N,MATCH($A32,'SuSa Dez25'!$A:$A,0)),"")</f>
        <v>0</v>
      </c>
    </row>
    <row r="33" spans="1:46" hidden="1" outlineLevel="1" collapsed="1" x14ac:dyDescent="0.25">
      <c r="A33" s="452">
        <v>1400</v>
      </c>
      <c r="B33" t="s">
        <v>1907</v>
      </c>
      <c r="C33" t="s">
        <v>1908</v>
      </c>
      <c r="D33" t="s">
        <v>1893</v>
      </c>
      <c r="G33" s="453">
        <f t="shared" si="0"/>
        <v>1628556.79</v>
      </c>
      <c r="H33" s="453">
        <f t="shared" si="1"/>
        <v>2007694.36</v>
      </c>
      <c r="I33" s="453">
        <f t="shared" si="2"/>
        <v>1429004.21</v>
      </c>
      <c r="K33" s="453">
        <v>1655604.56</v>
      </c>
      <c r="L33" s="453">
        <v>1816406.59</v>
      </c>
      <c r="M33" s="453">
        <v>1774107.28</v>
      </c>
      <c r="N33" s="453">
        <v>1694635.77</v>
      </c>
      <c r="O33" s="453">
        <v>1662450</v>
      </c>
      <c r="P33" s="453">
        <v>1466898.59</v>
      </c>
      <c r="Q33" s="453">
        <v>1371439.24</v>
      </c>
      <c r="R33" s="453">
        <v>1768902.79</v>
      </c>
      <c r="S33" s="453">
        <v>1790186.18</v>
      </c>
      <c r="T33" s="453">
        <v>1739319.65</v>
      </c>
      <c r="U33" s="453">
        <v>2154156.39</v>
      </c>
      <c r="V33" s="453">
        <v>1628556.79</v>
      </c>
      <c r="W33" s="453">
        <v>1648163.71</v>
      </c>
      <c r="X33" s="453">
        <v>1717136.97</v>
      </c>
      <c r="Y33" s="453">
        <v>1846012.19</v>
      </c>
      <c r="Z33" s="453">
        <v>1859821.12</v>
      </c>
      <c r="AA33" s="453">
        <v>1681145.56</v>
      </c>
      <c r="AB33" s="453">
        <v>1595097.16</v>
      </c>
      <c r="AC33" s="453">
        <v>1380812.95</v>
      </c>
      <c r="AD33" s="453">
        <v>1375917.33</v>
      </c>
      <c r="AE33" s="453">
        <v>1640974.74</v>
      </c>
      <c r="AF33" s="453">
        <v>1546865.97</v>
      </c>
      <c r="AG33" s="453">
        <v>1369870.72</v>
      </c>
      <c r="AH33" s="453">
        <v>2007694.36</v>
      </c>
      <c r="AI33" s="453">
        <v>1596325.36</v>
      </c>
      <c r="AJ33" s="453">
        <v>1871257.72</v>
      </c>
      <c r="AK33" s="453">
        <v>1754723.05</v>
      </c>
      <c r="AL33" s="453">
        <v>1773271.65</v>
      </c>
      <c r="AM33" s="453">
        <v>2030340.95</v>
      </c>
      <c r="AN33" s="453">
        <v>1995702</v>
      </c>
      <c r="AO33" s="453">
        <v>1451381.81</v>
      </c>
      <c r="AP33" s="453">
        <v>1915346.29</v>
      </c>
      <c r="AQ33" s="453">
        <v>1678233.63</v>
      </c>
      <c r="AR33" s="453">
        <f>IFERROR(INDEX('SuSa Okt25'!$N:$N,MATCH($A33,'SuSa Okt25'!A:A,0)),"")</f>
        <v>1628222.99</v>
      </c>
      <c r="AS33" s="453">
        <f>IFERROR(INDEX('SuSa Nov25'!$N:$N,MATCH($A33,'SuSa Nov25'!$A:$A,0)),"")</f>
        <v>1601867.83</v>
      </c>
      <c r="AT33" s="453">
        <f>IFERROR(INDEX('SuSa Dez25'!$N:$N,MATCH($A33,'SuSa Dez25'!$A:$A,0)),"")</f>
        <v>1429004.21</v>
      </c>
    </row>
    <row r="34" spans="1:46" hidden="1" outlineLevel="1" collapsed="1" x14ac:dyDescent="0.25">
      <c r="A34" s="452">
        <v>1500</v>
      </c>
      <c r="B34" t="s">
        <v>1909</v>
      </c>
      <c r="C34" t="s">
        <v>1910</v>
      </c>
      <c r="D34" t="s">
        <v>710</v>
      </c>
      <c r="G34" s="453">
        <f t="shared" si="0"/>
        <v>94129.08</v>
      </c>
      <c r="H34" s="453">
        <f t="shared" si="1"/>
        <v>0</v>
      </c>
      <c r="I34" s="453">
        <f t="shared" si="2"/>
        <v>0</v>
      </c>
      <c r="K34" s="453">
        <v>18880.240000000002</v>
      </c>
      <c r="L34" s="453">
        <v>17836</v>
      </c>
      <c r="M34" s="453">
        <v>17836</v>
      </c>
      <c r="N34" s="453">
        <v>0</v>
      </c>
      <c r="O34" s="453">
        <v>0</v>
      </c>
      <c r="P34" s="453">
        <v>0</v>
      </c>
      <c r="Q34" s="453">
        <v>0</v>
      </c>
      <c r="R34" s="453">
        <v>0</v>
      </c>
      <c r="S34" s="453">
        <v>0</v>
      </c>
      <c r="T34" s="453">
        <v>0</v>
      </c>
      <c r="U34" s="453">
        <v>0</v>
      </c>
      <c r="V34" s="453">
        <v>94129.08</v>
      </c>
      <c r="W34" s="453">
        <v>94109.08</v>
      </c>
      <c r="X34" s="453">
        <v>93452</v>
      </c>
      <c r="Y34" s="453">
        <v>0</v>
      </c>
      <c r="Z34" s="453">
        <v>0</v>
      </c>
      <c r="AA34" s="453">
        <v>0</v>
      </c>
      <c r="AB34" s="453">
        <v>0</v>
      </c>
      <c r="AC34" s="453">
        <v>0</v>
      </c>
      <c r="AD34" s="453">
        <v>0</v>
      </c>
      <c r="AE34" s="453">
        <v>0</v>
      </c>
      <c r="AF34" s="453">
        <v>0</v>
      </c>
      <c r="AG34" s="453">
        <v>0</v>
      </c>
      <c r="AH34" s="453">
        <v>0</v>
      </c>
      <c r="AI34" s="453">
        <v>0</v>
      </c>
      <c r="AJ34" s="453">
        <v>0</v>
      </c>
      <c r="AK34" s="453">
        <v>0</v>
      </c>
      <c r="AL34" s="453">
        <v>0</v>
      </c>
      <c r="AM34" s="453">
        <v>0</v>
      </c>
      <c r="AN34" s="453">
        <v>0</v>
      </c>
      <c r="AO34" s="453">
        <v>59500</v>
      </c>
      <c r="AP34" s="453">
        <v>59500</v>
      </c>
      <c r="AQ34" s="453">
        <v>0</v>
      </c>
      <c r="AR34" s="453">
        <f>IFERROR(INDEX('SuSa Okt25'!$N:$N,MATCH($A34,'SuSa Okt25'!A:A,0)),"")</f>
        <v>0</v>
      </c>
      <c r="AS34" s="453">
        <f>IFERROR(INDEX('SuSa Nov25'!$N:$N,MATCH($A34,'SuSa Nov25'!$A:$A,0)),"")</f>
        <v>0</v>
      </c>
      <c r="AT34" s="453">
        <f>IFERROR(INDEX('SuSa Dez25'!$N:$N,MATCH($A34,'SuSa Dez25'!$A:$A,0)),"")</f>
        <v>0</v>
      </c>
    </row>
    <row r="35" spans="1:46" hidden="1" outlineLevel="1" collapsed="1" x14ac:dyDescent="0.25">
      <c r="A35" s="452">
        <v>1510</v>
      </c>
      <c r="B35" t="s">
        <v>1911</v>
      </c>
      <c r="C35" t="s">
        <v>1912</v>
      </c>
      <c r="D35" t="s">
        <v>706</v>
      </c>
      <c r="G35" s="453">
        <f t="shared" si="0"/>
        <v>0</v>
      </c>
      <c r="H35" s="453">
        <f t="shared" si="1"/>
        <v>0</v>
      </c>
      <c r="I35" s="453">
        <f t="shared" si="2"/>
        <v>0</v>
      </c>
      <c r="Z35" s="453">
        <v>19760</v>
      </c>
      <c r="AA35" s="453">
        <v>19760</v>
      </c>
      <c r="AB35" s="453">
        <v>19760</v>
      </c>
      <c r="AC35" s="453">
        <v>19760</v>
      </c>
      <c r="AD35" s="453">
        <v>19760</v>
      </c>
      <c r="AE35" s="453">
        <v>19760</v>
      </c>
      <c r="AF35" s="453">
        <v>0</v>
      </c>
      <c r="AG35" s="453">
        <v>0</v>
      </c>
      <c r="AH35" s="453">
        <v>0</v>
      </c>
      <c r="AI35" s="453">
        <v>0</v>
      </c>
      <c r="AJ35" s="453">
        <v>0</v>
      </c>
      <c r="AK35" s="453">
        <v>0</v>
      </c>
      <c r="AL35" s="453">
        <v>0</v>
      </c>
      <c r="AM35" s="453">
        <v>0</v>
      </c>
      <c r="AN35" s="453">
        <v>0</v>
      </c>
      <c r="AO35" s="453">
        <v>0</v>
      </c>
      <c r="AP35" s="453">
        <v>0</v>
      </c>
      <c r="AQ35" s="453">
        <v>0</v>
      </c>
      <c r="AR35" s="453">
        <f>IFERROR(INDEX('SuSa Okt25'!$N:$N,MATCH($A35,'SuSa Okt25'!A:A,0)),"")</f>
        <v>0</v>
      </c>
      <c r="AS35" s="453">
        <f>IFERROR(INDEX('SuSa Nov25'!$N:$N,MATCH($A35,'SuSa Nov25'!$A:$A,0)),"")</f>
        <v>0</v>
      </c>
      <c r="AT35" s="453">
        <f>IFERROR(INDEX('SuSa Dez25'!$N:$N,MATCH($A35,'SuSa Dez25'!$A:$A,0)),"")</f>
        <v>0</v>
      </c>
    </row>
    <row r="36" spans="1:46" hidden="1" outlineLevel="1" collapsed="1" x14ac:dyDescent="0.25">
      <c r="A36" s="452">
        <v>1518</v>
      </c>
      <c r="B36" t="s">
        <v>1913</v>
      </c>
      <c r="C36" t="s">
        <v>1914</v>
      </c>
      <c r="D36" t="s">
        <v>706</v>
      </c>
      <c r="G36" s="453">
        <f t="shared" si="0"/>
        <v>50000</v>
      </c>
      <c r="H36" s="453">
        <f t="shared" si="1"/>
        <v>50000</v>
      </c>
      <c r="I36" s="453">
        <f t="shared" si="2"/>
        <v>0</v>
      </c>
      <c r="K36" s="453">
        <v>50000</v>
      </c>
      <c r="L36" s="453">
        <v>50000</v>
      </c>
      <c r="M36" s="453">
        <v>50000</v>
      </c>
      <c r="N36" s="453">
        <v>50000</v>
      </c>
      <c r="O36" s="453">
        <v>50000</v>
      </c>
      <c r="P36" s="453">
        <v>50000</v>
      </c>
      <c r="Q36" s="453">
        <v>50000</v>
      </c>
      <c r="R36" s="453">
        <v>50000</v>
      </c>
      <c r="S36" s="453">
        <v>50000</v>
      </c>
      <c r="T36" s="453">
        <v>50000</v>
      </c>
      <c r="U36" s="453">
        <v>50000</v>
      </c>
      <c r="V36" s="453">
        <v>50000</v>
      </c>
      <c r="W36" s="453">
        <v>50000</v>
      </c>
      <c r="X36" s="453">
        <v>50000</v>
      </c>
      <c r="Y36" s="453">
        <v>50000</v>
      </c>
      <c r="Z36" s="453">
        <v>50000</v>
      </c>
      <c r="AA36" s="453">
        <v>50000</v>
      </c>
      <c r="AB36" s="453">
        <v>106100</v>
      </c>
      <c r="AC36" s="453">
        <v>106100</v>
      </c>
      <c r="AD36" s="453">
        <v>106100</v>
      </c>
      <c r="AE36" s="453">
        <v>106100</v>
      </c>
      <c r="AF36" s="453">
        <v>106100</v>
      </c>
      <c r="AG36" s="453">
        <v>50000</v>
      </c>
      <c r="AH36" s="453">
        <v>50000</v>
      </c>
      <c r="AI36" s="453">
        <v>50000</v>
      </c>
      <c r="AJ36" s="453">
        <v>50000</v>
      </c>
      <c r="AK36" s="453">
        <v>50000</v>
      </c>
      <c r="AL36" s="453">
        <v>50000</v>
      </c>
      <c r="AM36" s="453">
        <v>50000</v>
      </c>
      <c r="AN36" s="453">
        <v>50000</v>
      </c>
      <c r="AO36" s="453">
        <v>50000</v>
      </c>
      <c r="AP36" s="453">
        <v>50000</v>
      </c>
      <c r="AQ36" s="453">
        <v>50000</v>
      </c>
      <c r="AR36" s="453">
        <f>IFERROR(INDEX('SuSa Okt25'!$N:$N,MATCH($A36,'SuSa Okt25'!A:A,0)),"")</f>
        <v>50000</v>
      </c>
      <c r="AS36" s="453">
        <f>IFERROR(INDEX('SuSa Nov25'!$N:$N,MATCH($A36,'SuSa Nov25'!$A:$A,0)),"")</f>
        <v>50000</v>
      </c>
      <c r="AT36" s="453">
        <f>IFERROR(INDEX('SuSa Dez25'!$N:$N,MATCH($A36,'SuSa Dez25'!$A:$A,0)),"")</f>
        <v>0</v>
      </c>
    </row>
    <row r="37" spans="1:46" hidden="1" outlineLevel="1" collapsed="1" x14ac:dyDescent="0.25">
      <c r="A37" s="452">
        <v>1520</v>
      </c>
      <c r="B37" t="s">
        <v>1915</v>
      </c>
      <c r="C37" t="s">
        <v>1916</v>
      </c>
      <c r="D37" t="s">
        <v>710</v>
      </c>
      <c r="G37" s="453">
        <f t="shared" si="0"/>
        <v>0</v>
      </c>
      <c r="H37" s="453">
        <f t="shared" si="1"/>
        <v>1734.16</v>
      </c>
      <c r="I37" s="453">
        <f t="shared" si="2"/>
        <v>0</v>
      </c>
      <c r="K37" s="453">
        <v>560.49</v>
      </c>
      <c r="L37" s="453">
        <v>0</v>
      </c>
      <c r="M37" s="453">
        <v>0</v>
      </c>
      <c r="N37" s="453">
        <v>0</v>
      </c>
      <c r="O37" s="453">
        <v>0</v>
      </c>
      <c r="P37" s="453">
        <v>0</v>
      </c>
      <c r="Q37" s="453">
        <v>0</v>
      </c>
      <c r="R37" s="453">
        <v>0</v>
      </c>
      <c r="S37" s="453">
        <v>0</v>
      </c>
      <c r="T37" s="453">
        <v>0</v>
      </c>
      <c r="U37" s="453">
        <v>0</v>
      </c>
      <c r="V37" s="453">
        <v>0</v>
      </c>
      <c r="W37" s="453">
        <v>0</v>
      </c>
      <c r="X37" s="453">
        <v>0</v>
      </c>
      <c r="Y37" s="453">
        <v>0</v>
      </c>
      <c r="Z37" s="453">
        <v>0</v>
      </c>
      <c r="AA37" s="453">
        <v>0</v>
      </c>
      <c r="AB37" s="453">
        <v>936</v>
      </c>
      <c r="AC37" s="453">
        <v>2691</v>
      </c>
      <c r="AD37" s="453">
        <v>2574</v>
      </c>
      <c r="AE37" s="453">
        <v>2457</v>
      </c>
      <c r="AF37" s="453">
        <v>3190.2</v>
      </c>
      <c r="AG37" s="453">
        <v>3056.04</v>
      </c>
      <c r="AH37" s="453">
        <v>1734.16</v>
      </c>
      <c r="AI37" s="453">
        <v>1641.28</v>
      </c>
      <c r="AJ37" s="453">
        <v>1450.24</v>
      </c>
      <c r="AK37" s="453">
        <v>1013.76</v>
      </c>
      <c r="AL37" s="453">
        <v>438.84</v>
      </c>
      <c r="AM37" s="453">
        <v>101.99</v>
      </c>
      <c r="AN37" s="453">
        <v>792.93</v>
      </c>
      <c r="AO37" s="453">
        <v>384</v>
      </c>
      <c r="AP37" s="453">
        <v>0</v>
      </c>
      <c r="AQ37" s="453">
        <v>0</v>
      </c>
      <c r="AR37" s="453">
        <f>IFERROR(INDEX('SuSa Okt25'!$N:$N,MATCH($A37,'SuSa Okt25'!A:A,0)),"")</f>
        <v>0</v>
      </c>
      <c r="AS37" s="453">
        <f>IFERROR(INDEX('SuSa Nov25'!$N:$N,MATCH($A37,'SuSa Nov25'!$A:$A,0)),"")</f>
        <v>0</v>
      </c>
      <c r="AT37" s="453">
        <f>IFERROR(INDEX('SuSa Dez25'!$N:$N,MATCH($A37,'SuSa Dez25'!$A:$A,0)),"")</f>
        <v>0</v>
      </c>
    </row>
    <row r="38" spans="1:46" hidden="1" outlineLevel="1" collapsed="1" x14ac:dyDescent="0.25">
      <c r="A38" s="452">
        <v>1525</v>
      </c>
      <c r="B38" t="s">
        <v>1917</v>
      </c>
      <c r="C38" t="s">
        <v>1918</v>
      </c>
      <c r="D38" t="s">
        <v>710</v>
      </c>
      <c r="G38" s="453">
        <f t="shared" si="0"/>
        <v>2250</v>
      </c>
      <c r="H38" s="453">
        <f t="shared" si="1"/>
        <v>3550</v>
      </c>
      <c r="I38" s="453">
        <f t="shared" si="2"/>
        <v>3250</v>
      </c>
      <c r="K38" s="453">
        <v>1500</v>
      </c>
      <c r="L38" s="453">
        <v>2000</v>
      </c>
      <c r="M38" s="453">
        <v>3000</v>
      </c>
      <c r="N38" s="453">
        <v>5000</v>
      </c>
      <c r="O38" s="453">
        <v>5000</v>
      </c>
      <c r="P38" s="453">
        <v>2250</v>
      </c>
      <c r="Q38" s="453">
        <v>1750</v>
      </c>
      <c r="R38" s="453">
        <v>1750</v>
      </c>
      <c r="S38" s="453">
        <v>2750</v>
      </c>
      <c r="T38" s="453">
        <v>2750</v>
      </c>
      <c r="U38" s="453">
        <v>3550</v>
      </c>
      <c r="V38" s="453">
        <v>2250</v>
      </c>
      <c r="W38" s="453">
        <v>3050</v>
      </c>
      <c r="X38" s="453">
        <v>3050</v>
      </c>
      <c r="Y38" s="453">
        <v>3050</v>
      </c>
      <c r="Z38" s="453">
        <v>3050</v>
      </c>
      <c r="AA38" s="453">
        <v>3050</v>
      </c>
      <c r="AB38" s="453">
        <v>3550</v>
      </c>
      <c r="AC38" s="453">
        <v>4550</v>
      </c>
      <c r="AD38" s="453">
        <v>4550</v>
      </c>
      <c r="AE38" s="453">
        <v>4550</v>
      </c>
      <c r="AF38" s="453">
        <v>4550</v>
      </c>
      <c r="AG38" s="453">
        <v>4050</v>
      </c>
      <c r="AH38" s="453">
        <v>3550</v>
      </c>
      <c r="AI38" s="453">
        <v>2250</v>
      </c>
      <c r="AJ38" s="453">
        <v>2250</v>
      </c>
      <c r="AK38" s="453">
        <v>2250</v>
      </c>
      <c r="AL38" s="453">
        <v>4250</v>
      </c>
      <c r="AM38" s="453">
        <v>4250</v>
      </c>
      <c r="AN38" s="453">
        <v>4250</v>
      </c>
      <c r="AO38" s="453">
        <v>3250</v>
      </c>
      <c r="AP38" s="453">
        <v>3250</v>
      </c>
      <c r="AQ38" s="453">
        <v>3250</v>
      </c>
      <c r="AR38" s="453">
        <f>IFERROR(INDEX('SuSa Okt25'!$N:$N,MATCH($A38,'SuSa Okt25'!A:A,0)),"")</f>
        <v>3250</v>
      </c>
      <c r="AS38" s="453">
        <f>IFERROR(INDEX('SuSa Nov25'!$N:$N,MATCH($A38,'SuSa Nov25'!$A:$A,0)),"")</f>
        <v>3250</v>
      </c>
      <c r="AT38" s="453">
        <f>IFERROR(INDEX('SuSa Dez25'!$N:$N,MATCH($A38,'SuSa Dez25'!$A:$A,0)),"")</f>
        <v>3250</v>
      </c>
    </row>
    <row r="39" spans="1:46" hidden="1" outlineLevel="1" collapsed="1" x14ac:dyDescent="0.25">
      <c r="A39" s="452">
        <v>1540</v>
      </c>
      <c r="B39" t="s">
        <v>1919</v>
      </c>
      <c r="C39" t="s">
        <v>1920</v>
      </c>
      <c r="D39" t="s">
        <v>710</v>
      </c>
      <c r="E39" t="s">
        <v>2458</v>
      </c>
      <c r="G39" s="453">
        <f t="shared" si="0"/>
        <v>45549</v>
      </c>
      <c r="H39" s="453">
        <f t="shared" si="1"/>
        <v>88619</v>
      </c>
      <c r="I39" s="453">
        <f t="shared" si="2"/>
        <v>195868</v>
      </c>
      <c r="V39" s="453">
        <v>45549</v>
      </c>
      <c r="W39" s="453">
        <v>45549</v>
      </c>
      <c r="X39" s="453">
        <v>45549</v>
      </c>
      <c r="Y39" s="453">
        <v>45549</v>
      </c>
      <c r="Z39" s="453">
        <v>45549</v>
      </c>
      <c r="AA39" s="453">
        <v>45549</v>
      </c>
      <c r="AB39" s="453">
        <v>46212</v>
      </c>
      <c r="AC39" s="453">
        <v>46212</v>
      </c>
      <c r="AD39" s="453">
        <v>46212</v>
      </c>
      <c r="AE39" s="453">
        <v>46212</v>
      </c>
      <c r="AF39" s="453">
        <v>46212</v>
      </c>
      <c r="AG39" s="453">
        <v>46212</v>
      </c>
      <c r="AH39" s="453">
        <v>88619</v>
      </c>
      <c r="AI39" s="453">
        <v>88619</v>
      </c>
      <c r="AJ39" s="453">
        <v>43070</v>
      </c>
      <c r="AK39" s="453">
        <v>43070</v>
      </c>
      <c r="AL39" s="453">
        <v>43070</v>
      </c>
      <c r="AM39" s="453">
        <v>43070</v>
      </c>
      <c r="AN39" s="453">
        <v>43070</v>
      </c>
      <c r="AO39" s="453">
        <v>43070</v>
      </c>
      <c r="AP39" s="453">
        <v>43070</v>
      </c>
      <c r="AQ39" s="453">
        <v>43070</v>
      </c>
      <c r="AR39" s="453">
        <f>IFERROR(INDEX('SuSa Okt25'!$N:$N,MATCH($A39,'SuSa Okt25'!A:A,0)),"")</f>
        <v>43070</v>
      </c>
      <c r="AS39" s="453">
        <f>IFERROR(INDEX('SuSa Nov25'!$N:$N,MATCH($A39,'SuSa Nov25'!$A:$A,0)),"")</f>
        <v>43070</v>
      </c>
      <c r="AT39" s="453">
        <f>IFERROR(INDEX('SuSa Dez25'!$N:$N,MATCH($A39,'SuSa Dez25'!$A:$A,0)),"")</f>
        <v>195868</v>
      </c>
    </row>
    <row r="40" spans="1:46" hidden="1" outlineLevel="1" collapsed="1" x14ac:dyDescent="0.25">
      <c r="A40" s="452">
        <v>1544</v>
      </c>
      <c r="B40" t="s">
        <v>1921</v>
      </c>
      <c r="C40" t="s">
        <v>1922</v>
      </c>
      <c r="D40" t="s">
        <v>710</v>
      </c>
      <c r="G40" s="453">
        <f t="shared" si="0"/>
        <v>4121.79</v>
      </c>
      <c r="H40" s="453">
        <f t="shared" si="1"/>
        <v>0</v>
      </c>
      <c r="I40" s="453">
        <f t="shared" si="2"/>
        <v>0</v>
      </c>
      <c r="K40" s="453">
        <v>7574.07</v>
      </c>
      <c r="L40" s="453">
        <v>7380.98</v>
      </c>
      <c r="M40" s="453">
        <v>7380.98</v>
      </c>
      <c r="N40" s="453">
        <v>7380.98</v>
      </c>
      <c r="O40" s="453">
        <v>7380.98</v>
      </c>
      <c r="P40" s="453">
        <v>7380.98</v>
      </c>
      <c r="Q40" s="453">
        <v>7380.98</v>
      </c>
      <c r="R40" s="453">
        <v>7380.98</v>
      </c>
      <c r="S40" s="453">
        <v>7380.98</v>
      </c>
      <c r="T40" s="453">
        <v>4121.79</v>
      </c>
      <c r="U40" s="453">
        <v>4121.79</v>
      </c>
      <c r="V40" s="453">
        <v>4121.79</v>
      </c>
      <c r="W40" s="453">
        <v>4121.79</v>
      </c>
      <c r="X40" s="453">
        <v>4121.79</v>
      </c>
      <c r="Y40" s="453">
        <v>4121.79</v>
      </c>
      <c r="Z40" s="453">
        <v>4121.79</v>
      </c>
      <c r="AA40" s="453">
        <v>4121.79</v>
      </c>
      <c r="AB40" s="453">
        <v>4121.79</v>
      </c>
      <c r="AC40" s="453">
        <v>4121.79</v>
      </c>
      <c r="AD40" s="453">
        <v>4121.79</v>
      </c>
      <c r="AE40" s="453">
        <v>4121.79</v>
      </c>
      <c r="AF40" s="453">
        <v>4121.79</v>
      </c>
      <c r="AG40" s="453">
        <v>4121.79</v>
      </c>
      <c r="AH40" s="453">
        <v>0</v>
      </c>
      <c r="AI40" s="453">
        <v>0</v>
      </c>
      <c r="AJ40" s="453">
        <v>0</v>
      </c>
      <c r="AK40" s="453">
        <v>0</v>
      </c>
      <c r="AL40" s="453">
        <v>0</v>
      </c>
      <c r="AM40" s="453">
        <v>0</v>
      </c>
      <c r="AN40" s="453">
        <v>0</v>
      </c>
      <c r="AO40" s="453">
        <v>0</v>
      </c>
      <c r="AP40" s="453">
        <v>0</v>
      </c>
      <c r="AQ40" s="453">
        <v>0</v>
      </c>
      <c r="AR40" s="453">
        <f>IFERROR(INDEX('SuSa Okt25'!$N:$N,MATCH($A40,'SuSa Okt25'!A:A,0)),"")</f>
        <v>0</v>
      </c>
      <c r="AS40" s="453">
        <f>IFERROR(INDEX('SuSa Nov25'!$N:$N,MATCH($A40,'SuSa Nov25'!$A:$A,0)),"")</f>
        <v>0</v>
      </c>
      <c r="AT40" s="453">
        <f>IFERROR(INDEX('SuSa Dez25'!$N:$N,MATCH($A40,'SuSa Dez25'!$A:$A,0)),"")</f>
        <v>0</v>
      </c>
    </row>
    <row r="41" spans="1:46" hidden="1" outlineLevel="1" collapsed="1" x14ac:dyDescent="0.25">
      <c r="A41" s="452">
        <v>1548</v>
      </c>
      <c r="B41" t="s">
        <v>1923</v>
      </c>
      <c r="C41" t="s">
        <v>1924</v>
      </c>
      <c r="D41" t="s">
        <v>710</v>
      </c>
      <c r="G41" s="453">
        <f t="shared" si="0"/>
        <v>6412.5</v>
      </c>
      <c r="H41" s="453">
        <f t="shared" si="1"/>
        <v>29241.96</v>
      </c>
      <c r="I41" s="453">
        <f t="shared" si="2"/>
        <v>2486.5700000000002</v>
      </c>
      <c r="K41" s="453">
        <v>0</v>
      </c>
      <c r="L41" s="453">
        <v>0</v>
      </c>
      <c r="M41" s="453">
        <v>0</v>
      </c>
      <c r="N41" s="453">
        <v>0</v>
      </c>
      <c r="O41" s="453">
        <v>0</v>
      </c>
      <c r="P41" s="453">
        <v>0</v>
      </c>
      <c r="Q41" s="453">
        <v>0</v>
      </c>
      <c r="R41" s="453">
        <v>0</v>
      </c>
      <c r="S41" s="453">
        <v>0</v>
      </c>
      <c r="T41" s="453">
        <v>0</v>
      </c>
      <c r="U41" s="453">
        <v>0</v>
      </c>
      <c r="V41" s="453">
        <v>6412.5</v>
      </c>
      <c r="W41" s="453">
        <v>19</v>
      </c>
      <c r="X41" s="453">
        <v>19</v>
      </c>
      <c r="Y41" s="453">
        <v>0</v>
      </c>
      <c r="Z41" s="453">
        <v>19</v>
      </c>
      <c r="AA41" s="453">
        <v>19</v>
      </c>
      <c r="AB41" s="453">
        <v>0</v>
      </c>
      <c r="AC41" s="453">
        <v>0</v>
      </c>
      <c r="AD41" s="453">
        <v>0</v>
      </c>
      <c r="AE41" s="453">
        <v>0</v>
      </c>
      <c r="AF41" s="453">
        <v>0</v>
      </c>
      <c r="AG41" s="453">
        <v>0</v>
      </c>
      <c r="AH41" s="453">
        <v>29241.96</v>
      </c>
      <c r="AI41" s="453">
        <v>26241.83</v>
      </c>
      <c r="AJ41" s="453">
        <v>-963.53</v>
      </c>
      <c r="AK41" s="453">
        <v>-963.53</v>
      </c>
      <c r="AL41" s="453">
        <v>-963.53</v>
      </c>
      <c r="AM41" s="453">
        <v>-963.53</v>
      </c>
      <c r="AN41" s="453">
        <v>-963.53</v>
      </c>
      <c r="AO41" s="453">
        <v>0</v>
      </c>
      <c r="AP41" s="453">
        <v>0</v>
      </c>
      <c r="AQ41" s="453">
        <v>0</v>
      </c>
      <c r="AR41" s="453">
        <f>IFERROR(INDEX('SuSa Okt25'!$N:$N,MATCH($A41,'SuSa Okt25'!A:A,0)),"")</f>
        <v>0</v>
      </c>
      <c r="AS41" s="453">
        <f>IFERROR(INDEX('SuSa Nov25'!$N:$N,MATCH($A41,'SuSa Nov25'!$A:$A,0)),"")</f>
        <v>0</v>
      </c>
      <c r="AT41" s="453">
        <f>IFERROR(INDEX('SuSa Dez25'!$N:$N,MATCH($A41,'SuSa Dez25'!$A:$A,0)),"")</f>
        <v>2486.5700000000002</v>
      </c>
    </row>
    <row r="42" spans="1:46" hidden="1" outlineLevel="1" collapsed="1" x14ac:dyDescent="0.25">
      <c r="A42" s="452">
        <v>1549</v>
      </c>
      <c r="B42" t="s">
        <v>1925</v>
      </c>
      <c r="C42" t="s">
        <v>1926</v>
      </c>
      <c r="D42" t="s">
        <v>710</v>
      </c>
      <c r="E42" t="s">
        <v>2458</v>
      </c>
      <c r="G42" s="453">
        <f t="shared" si="0"/>
        <v>144052.49</v>
      </c>
      <c r="H42" s="453">
        <f t="shared" si="1"/>
        <v>190440.14</v>
      </c>
      <c r="I42" s="453">
        <f t="shared" si="2"/>
        <v>107487.27</v>
      </c>
      <c r="V42" s="453">
        <v>144052.49</v>
      </c>
      <c r="W42" s="453">
        <v>144052.49</v>
      </c>
      <c r="X42" s="453">
        <v>144052.49</v>
      </c>
      <c r="Y42" s="453">
        <v>144052.49</v>
      </c>
      <c r="Z42" s="453">
        <v>144052.49</v>
      </c>
      <c r="AA42" s="453">
        <v>144052.49</v>
      </c>
      <c r="AB42" s="453">
        <v>144052.49</v>
      </c>
      <c r="AC42" s="453">
        <v>144052.49</v>
      </c>
      <c r="AD42" s="453">
        <v>144052.49</v>
      </c>
      <c r="AE42" s="453">
        <v>144052.49</v>
      </c>
      <c r="AF42" s="453">
        <v>144052.49</v>
      </c>
      <c r="AG42" s="453">
        <v>144052.49</v>
      </c>
      <c r="AH42" s="453">
        <v>190440.14</v>
      </c>
      <c r="AI42" s="453">
        <v>46387.65</v>
      </c>
      <c r="AJ42" s="453">
        <v>46387.65</v>
      </c>
      <c r="AK42" s="453">
        <v>46387.65</v>
      </c>
      <c r="AL42" s="453">
        <v>46387.65</v>
      </c>
      <c r="AM42" s="453">
        <v>46387.65</v>
      </c>
      <c r="AN42" s="453">
        <v>46387.65</v>
      </c>
      <c r="AO42" s="453">
        <v>46387.65</v>
      </c>
      <c r="AP42" s="453">
        <v>46387.65</v>
      </c>
      <c r="AQ42" s="453">
        <v>46387.65</v>
      </c>
      <c r="AR42" s="453">
        <f>IFERROR(INDEX('SuSa Okt25'!$N:$N,MATCH($A42,'SuSa Okt25'!A:A,0)),"")</f>
        <v>46387.65</v>
      </c>
      <c r="AS42" s="453">
        <f>IFERROR(INDEX('SuSa Nov25'!$N:$N,MATCH($A42,'SuSa Nov25'!$A:$A,0)),"")</f>
        <v>46387.65</v>
      </c>
      <c r="AT42" s="453">
        <f>IFERROR(INDEX('SuSa Dez25'!$N:$N,MATCH($A42,'SuSa Dez25'!$A:$A,0)),"")</f>
        <v>107487.27</v>
      </c>
    </row>
    <row r="43" spans="1:46" hidden="1" outlineLevel="1" collapsed="1" x14ac:dyDescent="0.25">
      <c r="A43" s="452">
        <v>1571</v>
      </c>
      <c r="B43" t="s">
        <v>1927</v>
      </c>
      <c r="C43" t="s">
        <v>1928</v>
      </c>
      <c r="D43" t="s">
        <v>711</v>
      </c>
      <c r="G43" s="453">
        <f t="shared" si="0"/>
        <v>4167.59</v>
      </c>
      <c r="H43" s="453">
        <f t="shared" si="1"/>
        <v>7572.79</v>
      </c>
      <c r="I43" s="453">
        <f t="shared" si="2"/>
        <v>4227.62</v>
      </c>
      <c r="K43" s="453">
        <v>140.75</v>
      </c>
      <c r="L43" s="453">
        <v>367.88</v>
      </c>
      <c r="M43" s="453">
        <v>763.86</v>
      </c>
      <c r="N43" s="453">
        <v>895.4</v>
      </c>
      <c r="O43" s="453">
        <v>1239.5899999999999</v>
      </c>
      <c r="P43" s="453">
        <v>1555.22</v>
      </c>
      <c r="Q43" s="453">
        <v>1702.09</v>
      </c>
      <c r="R43" s="453">
        <v>2084.3000000000002</v>
      </c>
      <c r="S43" s="453">
        <v>2500.11</v>
      </c>
      <c r="T43" s="453">
        <v>2727.57</v>
      </c>
      <c r="U43" s="453">
        <v>3098.59</v>
      </c>
      <c r="V43" s="453">
        <v>4167.59</v>
      </c>
      <c r="W43" s="453">
        <v>181.92</v>
      </c>
      <c r="X43" s="453">
        <v>508.51</v>
      </c>
      <c r="Y43" s="453">
        <v>3764.34</v>
      </c>
      <c r="Z43" s="453">
        <v>4027.78</v>
      </c>
      <c r="AA43" s="453">
        <v>4457.51</v>
      </c>
      <c r="AB43" s="453">
        <v>4855.62</v>
      </c>
      <c r="AC43" s="453">
        <v>5140.09</v>
      </c>
      <c r="AD43" s="453">
        <v>5556.36</v>
      </c>
      <c r="AE43" s="453">
        <v>5757.6</v>
      </c>
      <c r="AF43" s="453">
        <v>6519.85</v>
      </c>
      <c r="AG43" s="453">
        <v>7077.86</v>
      </c>
      <c r="AH43" s="453">
        <v>7572.79</v>
      </c>
      <c r="AI43" s="453">
        <v>44.08</v>
      </c>
      <c r="AJ43" s="453">
        <v>454.93</v>
      </c>
      <c r="AK43" s="453">
        <v>927.18</v>
      </c>
      <c r="AL43" s="453">
        <v>1359.27</v>
      </c>
      <c r="AM43" s="453">
        <v>1611.8</v>
      </c>
      <c r="AN43" s="453">
        <v>1877.79</v>
      </c>
      <c r="AO43" s="453">
        <v>2084.52</v>
      </c>
      <c r="AP43" s="453">
        <v>2317.27</v>
      </c>
      <c r="AQ43" s="453">
        <v>2648.53</v>
      </c>
      <c r="AR43" s="453">
        <f>IFERROR(INDEX('SuSa Okt25'!$N:$N,MATCH($A43,'SuSa Okt25'!A:A,0)),"")</f>
        <v>2818.95</v>
      </c>
      <c r="AS43" s="453">
        <f>IFERROR(INDEX('SuSa Nov25'!$N:$N,MATCH($A43,'SuSa Nov25'!$A:$A,0)),"")</f>
        <v>3851.97</v>
      </c>
      <c r="AT43" s="453">
        <f>IFERROR(INDEX('SuSa Dez25'!$N:$N,MATCH($A43,'SuSa Dez25'!$A:$A,0)),"")</f>
        <v>4227.62</v>
      </c>
    </row>
    <row r="44" spans="1:46" hidden="1" outlineLevel="1" collapsed="1" x14ac:dyDescent="0.25">
      <c r="A44" s="452">
        <v>1574</v>
      </c>
      <c r="B44" t="s">
        <v>1929</v>
      </c>
      <c r="C44" t="s">
        <v>1930</v>
      </c>
      <c r="D44" t="s">
        <v>711</v>
      </c>
      <c r="G44" s="453">
        <f t="shared" si="0"/>
        <v>1072863.54</v>
      </c>
      <c r="H44" s="453">
        <f t="shared" si="1"/>
        <v>1103485.6399999999</v>
      </c>
      <c r="I44" s="453">
        <f t="shared" si="2"/>
        <v>647950.12</v>
      </c>
      <c r="K44" s="453">
        <v>84761.96</v>
      </c>
      <c r="L44" s="453">
        <v>200760.19</v>
      </c>
      <c r="M44" s="453">
        <v>328492.28000000003</v>
      </c>
      <c r="N44" s="453">
        <v>413892.72</v>
      </c>
      <c r="O44" s="453">
        <v>550507.47</v>
      </c>
      <c r="P44" s="453">
        <v>617843.06000000006</v>
      </c>
      <c r="Q44" s="453">
        <v>704973.85</v>
      </c>
      <c r="R44" s="453">
        <v>761830.85</v>
      </c>
      <c r="S44" s="453">
        <v>901442.21</v>
      </c>
      <c r="T44" s="453">
        <v>948201.37</v>
      </c>
      <c r="U44" s="453">
        <v>975275.65</v>
      </c>
      <c r="V44" s="453">
        <v>1072863.54</v>
      </c>
      <c r="W44" s="453">
        <v>71135.509999999995</v>
      </c>
      <c r="X44" s="453">
        <v>122159.03999999999</v>
      </c>
      <c r="Y44" s="453">
        <v>154655.78</v>
      </c>
      <c r="Z44" s="453">
        <v>211995.15</v>
      </c>
      <c r="AA44" s="453">
        <v>328952.46999999997</v>
      </c>
      <c r="AB44" s="453">
        <v>403118.95</v>
      </c>
      <c r="AC44" s="453">
        <v>633701.6</v>
      </c>
      <c r="AD44" s="453">
        <v>691667.71</v>
      </c>
      <c r="AE44" s="453">
        <v>871051.64</v>
      </c>
      <c r="AF44" s="453">
        <v>916795.12</v>
      </c>
      <c r="AG44" s="453">
        <v>984429.45</v>
      </c>
      <c r="AH44" s="453">
        <v>1103485.6399999999</v>
      </c>
      <c r="AI44" s="453">
        <v>68296.75</v>
      </c>
      <c r="AJ44" s="453">
        <v>163200.24</v>
      </c>
      <c r="AK44" s="453">
        <v>214761.05</v>
      </c>
      <c r="AL44" s="453">
        <v>293586.06</v>
      </c>
      <c r="AM44" s="453">
        <v>383006.66</v>
      </c>
      <c r="AN44" s="453">
        <v>408538.55</v>
      </c>
      <c r="AO44" s="453">
        <v>475954.3</v>
      </c>
      <c r="AP44" s="453">
        <v>506347.16</v>
      </c>
      <c r="AQ44" s="453">
        <v>545203.9</v>
      </c>
      <c r="AR44" s="453">
        <f>IFERROR(INDEX('SuSa Okt25'!$N:$N,MATCH($A44,'SuSa Okt25'!A:A,0)),"")</f>
        <v>568298.1</v>
      </c>
      <c r="AS44" s="453">
        <f>IFERROR(INDEX('SuSa Nov25'!$N:$N,MATCH($A44,'SuSa Nov25'!$A:$A,0)),"")</f>
        <v>671305.7</v>
      </c>
      <c r="AT44" s="453">
        <f>IFERROR(INDEX('SuSa Dez25'!$N:$N,MATCH($A44,'SuSa Dez25'!$A:$A,0)),"")</f>
        <v>647950.12</v>
      </c>
    </row>
    <row r="45" spans="1:46" hidden="1" outlineLevel="1" collapsed="1" x14ac:dyDescent="0.25">
      <c r="A45" s="452">
        <v>1576</v>
      </c>
      <c r="B45" t="s">
        <v>1931</v>
      </c>
      <c r="C45" t="s">
        <v>1932</v>
      </c>
      <c r="D45" t="s">
        <v>711</v>
      </c>
      <c r="G45" s="453">
        <f t="shared" si="0"/>
        <v>941337.09</v>
      </c>
      <c r="H45" s="453">
        <f t="shared" si="1"/>
        <v>1143096.28</v>
      </c>
      <c r="I45" s="453">
        <f t="shared" si="2"/>
        <v>1001783.38</v>
      </c>
      <c r="K45" s="453">
        <v>68294.55</v>
      </c>
      <c r="L45" s="453">
        <v>178728.17</v>
      </c>
      <c r="M45" s="453">
        <v>274862.03000000003</v>
      </c>
      <c r="N45" s="453">
        <v>358633.86</v>
      </c>
      <c r="O45" s="453">
        <v>426162.38</v>
      </c>
      <c r="P45" s="453">
        <v>487089.45</v>
      </c>
      <c r="Q45" s="453">
        <v>565953.73</v>
      </c>
      <c r="R45" s="453">
        <v>649462.41</v>
      </c>
      <c r="S45" s="453">
        <v>712796.94</v>
      </c>
      <c r="T45" s="453">
        <v>791128.57</v>
      </c>
      <c r="U45" s="453">
        <v>872994.21</v>
      </c>
      <c r="V45" s="453">
        <v>941337.09</v>
      </c>
      <c r="W45" s="453">
        <v>87599.06</v>
      </c>
      <c r="X45" s="453">
        <v>178746.31</v>
      </c>
      <c r="Y45" s="453">
        <v>257241.18</v>
      </c>
      <c r="Z45" s="453">
        <v>366481.85</v>
      </c>
      <c r="AA45" s="453">
        <v>499818.81</v>
      </c>
      <c r="AB45" s="453">
        <v>593978.57999999996</v>
      </c>
      <c r="AC45" s="453">
        <v>707042.77</v>
      </c>
      <c r="AD45" s="453">
        <v>765730</v>
      </c>
      <c r="AE45" s="453">
        <v>840925.27</v>
      </c>
      <c r="AF45" s="453">
        <v>965417.7</v>
      </c>
      <c r="AG45" s="453">
        <v>1065086.1499999999</v>
      </c>
      <c r="AH45" s="453">
        <v>1143096.28</v>
      </c>
      <c r="AI45" s="453">
        <v>89666.68</v>
      </c>
      <c r="AJ45" s="453">
        <v>206785.63</v>
      </c>
      <c r="AK45" s="453">
        <v>309246.58</v>
      </c>
      <c r="AL45" s="453">
        <v>389242.41</v>
      </c>
      <c r="AM45" s="453">
        <v>482036.22</v>
      </c>
      <c r="AN45" s="453">
        <v>537860.73</v>
      </c>
      <c r="AO45" s="453">
        <v>591767.56999999995</v>
      </c>
      <c r="AP45" s="453">
        <v>662616.39</v>
      </c>
      <c r="AQ45" s="453">
        <v>759343.22</v>
      </c>
      <c r="AR45" s="453">
        <f>IFERROR(INDEX('SuSa Okt25'!$N:$N,MATCH($A45,'SuSa Okt25'!A:A,0)),"")</f>
        <v>840672.71</v>
      </c>
      <c r="AS45" s="453">
        <f>IFERROR(INDEX('SuSa Nov25'!$N:$N,MATCH($A45,'SuSa Nov25'!$A:$A,0)),"")</f>
        <v>944449.47</v>
      </c>
      <c r="AT45" s="453">
        <f>IFERROR(INDEX('SuSa Dez25'!$N:$N,MATCH($A45,'SuSa Dez25'!$A:$A,0)),"")</f>
        <v>1001783.38</v>
      </c>
    </row>
    <row r="46" spans="1:46" hidden="1" outlineLevel="1" collapsed="1" x14ac:dyDescent="0.25">
      <c r="A46" s="452">
        <v>1577</v>
      </c>
      <c r="B46" t="s">
        <v>1933</v>
      </c>
      <c r="C46" t="s">
        <v>1934</v>
      </c>
      <c r="D46" t="s">
        <v>711</v>
      </c>
      <c r="G46" s="453">
        <f t="shared" si="0"/>
        <v>27806.22</v>
      </c>
      <c r="H46" s="453">
        <f t="shared" si="1"/>
        <v>35210.15</v>
      </c>
      <c r="I46" s="453">
        <f t="shared" si="2"/>
        <v>44446.17</v>
      </c>
      <c r="K46" s="453">
        <v>522.5</v>
      </c>
      <c r="L46" s="453">
        <v>522.5</v>
      </c>
      <c r="M46" s="453">
        <v>1548.5</v>
      </c>
      <c r="N46" s="453">
        <v>2864.25</v>
      </c>
      <c r="O46" s="453">
        <v>4577.1000000000004</v>
      </c>
      <c r="P46" s="453">
        <v>4939.24</v>
      </c>
      <c r="Q46" s="453">
        <v>7212.59</v>
      </c>
      <c r="R46" s="453">
        <v>7972.59</v>
      </c>
      <c r="S46" s="453">
        <v>7972.59</v>
      </c>
      <c r="T46" s="453">
        <v>9490.2199999999993</v>
      </c>
      <c r="U46" s="453">
        <v>9490.2199999999993</v>
      </c>
      <c r="V46" s="453">
        <v>27806.22</v>
      </c>
      <c r="W46" s="453">
        <v>4700.6000000000004</v>
      </c>
      <c r="X46" s="453">
        <v>5016</v>
      </c>
      <c r="Y46" s="453">
        <v>6621.5</v>
      </c>
      <c r="Z46" s="453">
        <v>7229.5</v>
      </c>
      <c r="AA46" s="453">
        <v>11641.55</v>
      </c>
      <c r="AB46" s="453">
        <v>24257.13</v>
      </c>
      <c r="AC46" s="453">
        <v>26062.13</v>
      </c>
      <c r="AD46" s="453">
        <v>32011.51</v>
      </c>
      <c r="AE46" s="453">
        <v>32619.51</v>
      </c>
      <c r="AF46" s="453">
        <v>33223.46</v>
      </c>
      <c r="AG46" s="453">
        <v>34591.46</v>
      </c>
      <c r="AH46" s="453">
        <v>35210.15</v>
      </c>
      <c r="AI46" s="453">
        <v>18326.82</v>
      </c>
      <c r="AJ46" s="453">
        <v>19000.37</v>
      </c>
      <c r="AK46" s="453">
        <v>24289.97</v>
      </c>
      <c r="AL46" s="453">
        <v>24629.23</v>
      </c>
      <c r="AM46" s="453">
        <v>26032.49</v>
      </c>
      <c r="AN46" s="453">
        <v>27248.49</v>
      </c>
      <c r="AO46" s="453">
        <v>28521.49</v>
      </c>
      <c r="AP46" s="453">
        <v>33216.39</v>
      </c>
      <c r="AQ46" s="453">
        <v>34584.39</v>
      </c>
      <c r="AR46" s="453">
        <f>IFERROR(INDEX('SuSa Okt25'!$N:$N,MATCH($A46,'SuSa Okt25'!A:A,0)),"")</f>
        <v>35357.69</v>
      </c>
      <c r="AS46" s="453">
        <f>IFERROR(INDEX('SuSa Nov25'!$N:$N,MATCH($A46,'SuSa Nov25'!$A:$A,0)),"")</f>
        <v>41665.69</v>
      </c>
      <c r="AT46" s="453">
        <f>IFERROR(INDEX('SuSa Dez25'!$N:$N,MATCH($A46,'SuSa Dez25'!$A:$A,0)),"")</f>
        <v>44446.17</v>
      </c>
    </row>
    <row r="47" spans="1:46" hidden="1" outlineLevel="1" collapsed="1" x14ac:dyDescent="0.25">
      <c r="A47" s="452">
        <v>1588</v>
      </c>
      <c r="B47" t="s">
        <v>1935</v>
      </c>
      <c r="C47" t="s">
        <v>1936</v>
      </c>
      <c r="D47" t="s">
        <v>711</v>
      </c>
      <c r="G47" s="453">
        <f t="shared" si="0"/>
        <v>86952.67</v>
      </c>
      <c r="H47" s="453">
        <f t="shared" si="1"/>
        <v>27757.48</v>
      </c>
      <c r="I47" s="453">
        <f t="shared" si="2"/>
        <v>8871.14</v>
      </c>
      <c r="K47" s="453">
        <v>48.49</v>
      </c>
      <c r="L47" s="453">
        <v>13064.59</v>
      </c>
      <c r="M47" s="453">
        <v>18273.490000000002</v>
      </c>
      <c r="N47" s="453">
        <v>18273.490000000002</v>
      </c>
      <c r="O47" s="453">
        <v>30630.04</v>
      </c>
      <c r="P47" s="453">
        <v>32941.11</v>
      </c>
      <c r="Q47" s="453">
        <v>45370.22</v>
      </c>
      <c r="R47" s="453">
        <v>48093.53</v>
      </c>
      <c r="S47" s="453">
        <v>50947.68</v>
      </c>
      <c r="T47" s="453">
        <v>59614.82</v>
      </c>
      <c r="U47" s="453">
        <v>69462.84</v>
      </c>
      <c r="V47" s="453">
        <v>86952.67</v>
      </c>
      <c r="W47" s="453">
        <v>4900.63</v>
      </c>
      <c r="X47" s="453">
        <v>13911.1</v>
      </c>
      <c r="Y47" s="453">
        <v>19336.34</v>
      </c>
      <c r="Z47" s="453">
        <v>20322.02</v>
      </c>
      <c r="AA47" s="453">
        <v>21959.01</v>
      </c>
      <c r="AB47" s="453">
        <v>22651.59</v>
      </c>
      <c r="AC47" s="453">
        <v>22877.05</v>
      </c>
      <c r="AD47" s="453">
        <v>24948.48</v>
      </c>
      <c r="AE47" s="453">
        <v>25931.15</v>
      </c>
      <c r="AF47" s="453">
        <v>26793.09</v>
      </c>
      <c r="AG47" s="453">
        <v>27201.94</v>
      </c>
      <c r="AH47" s="453">
        <v>27757.48</v>
      </c>
      <c r="AI47" s="453">
        <v>1464.78</v>
      </c>
      <c r="AJ47" s="453">
        <v>2099.58</v>
      </c>
      <c r="AK47" s="453">
        <v>2664.46</v>
      </c>
      <c r="AL47" s="453">
        <v>2723.81</v>
      </c>
      <c r="AM47" s="453">
        <v>3640.54</v>
      </c>
      <c r="AN47" s="453">
        <v>3792.83</v>
      </c>
      <c r="AO47" s="453">
        <v>4655.3100000000004</v>
      </c>
      <c r="AP47" s="453">
        <v>5289.23</v>
      </c>
      <c r="AQ47" s="453">
        <v>5484.06</v>
      </c>
      <c r="AR47" s="453">
        <f>IFERROR(INDEX('SuSa Okt25'!$N:$N,MATCH($A47,'SuSa Okt25'!A:A,0)),"")</f>
        <v>5640.03</v>
      </c>
      <c r="AS47" s="453">
        <f>IFERROR(INDEX('SuSa Nov25'!$N:$N,MATCH($A47,'SuSa Nov25'!$A:$A,0)),"")</f>
        <v>6579.49</v>
      </c>
      <c r="AT47" s="453">
        <f>IFERROR(INDEX('SuSa Dez25'!$N:$N,MATCH($A47,'SuSa Dez25'!$A:$A,0)),"")</f>
        <v>8871.14</v>
      </c>
    </row>
    <row r="48" spans="1:46" hidden="1" outlineLevel="1" collapsed="1" x14ac:dyDescent="0.25">
      <c r="A48" s="452">
        <v>1590</v>
      </c>
      <c r="B48" t="s">
        <v>1937</v>
      </c>
      <c r="C48" t="s">
        <v>1938</v>
      </c>
      <c r="D48" t="s">
        <v>710</v>
      </c>
      <c r="G48" s="453">
        <f t="shared" si="0"/>
        <v>0</v>
      </c>
      <c r="H48" s="453">
        <f t="shared" si="1"/>
        <v>0</v>
      </c>
      <c r="I48" s="453">
        <f t="shared" si="2"/>
        <v>0</v>
      </c>
      <c r="K48" s="453">
        <v>0</v>
      </c>
      <c r="L48" s="453">
        <v>0</v>
      </c>
      <c r="M48" s="453">
        <v>0</v>
      </c>
      <c r="N48" s="453">
        <v>0</v>
      </c>
      <c r="O48" s="453">
        <v>0</v>
      </c>
      <c r="P48" s="453">
        <v>0</v>
      </c>
      <c r="Q48" s="453">
        <v>0</v>
      </c>
      <c r="R48" s="453">
        <v>0</v>
      </c>
      <c r="S48" s="453">
        <v>0</v>
      </c>
      <c r="T48" s="453">
        <v>0</v>
      </c>
      <c r="U48" s="453">
        <v>0</v>
      </c>
      <c r="V48" s="453">
        <v>0</v>
      </c>
      <c r="W48" s="453">
        <v>0</v>
      </c>
      <c r="X48" s="453">
        <v>-765</v>
      </c>
      <c r="Y48" s="453">
        <v>0</v>
      </c>
      <c r="Z48" s="453">
        <v>0</v>
      </c>
      <c r="AA48" s="453">
        <v>0</v>
      </c>
      <c r="AB48" s="453">
        <v>0</v>
      </c>
      <c r="AC48" s="453">
        <v>0</v>
      </c>
      <c r="AD48" s="453">
        <v>0</v>
      </c>
      <c r="AE48" s="453">
        <v>0</v>
      </c>
      <c r="AF48" s="453">
        <v>0</v>
      </c>
      <c r="AG48" s="453">
        <v>0</v>
      </c>
      <c r="AH48" s="453">
        <v>0</v>
      </c>
      <c r="AI48" s="453">
        <v>0</v>
      </c>
      <c r="AJ48" s="453">
        <v>0</v>
      </c>
      <c r="AK48" s="453">
        <v>0</v>
      </c>
      <c r="AL48" s="453">
        <v>0</v>
      </c>
      <c r="AM48" s="453">
        <v>0</v>
      </c>
      <c r="AN48" s="453">
        <v>0</v>
      </c>
      <c r="AO48" s="453">
        <v>0</v>
      </c>
      <c r="AP48" s="453">
        <v>0</v>
      </c>
      <c r="AQ48" s="453">
        <v>0</v>
      </c>
      <c r="AR48" s="453">
        <f>IFERROR(INDEX('SuSa Okt25'!$N:$N,MATCH($A48,'SuSa Okt25'!A:A,0)),"")</f>
        <v>0</v>
      </c>
      <c r="AS48" s="453">
        <f>IFERROR(INDEX('SuSa Nov25'!$N:$N,MATCH($A48,'SuSa Nov25'!$A:$A,0)),"")</f>
        <v>0</v>
      </c>
      <c r="AT48" s="453">
        <f>IFERROR(INDEX('SuSa Dez25'!$N:$N,MATCH($A48,'SuSa Dez25'!$A:$A,0)),"")</f>
        <v>0</v>
      </c>
    </row>
    <row r="49" spans="1:46" hidden="1" outlineLevel="1" collapsed="1" x14ac:dyDescent="0.25">
      <c r="A49" s="452">
        <v>1600</v>
      </c>
      <c r="B49" t="s">
        <v>1939</v>
      </c>
      <c r="C49" t="s">
        <v>1940</v>
      </c>
      <c r="D49" t="s">
        <v>1941</v>
      </c>
      <c r="G49" s="453">
        <f t="shared" si="0"/>
        <v>-848283.56</v>
      </c>
      <c r="H49" s="453">
        <f t="shared" si="1"/>
        <v>-1220438.01</v>
      </c>
      <c r="I49" s="453">
        <f t="shared" si="2"/>
        <v>-62544.74</v>
      </c>
      <c r="K49" s="453">
        <v>-670203.25</v>
      </c>
      <c r="L49" s="453">
        <v>-868935.66</v>
      </c>
      <c r="M49" s="453">
        <v>-1229096.25</v>
      </c>
      <c r="N49" s="453">
        <v>-852916.86</v>
      </c>
      <c r="O49" s="453">
        <v>-806026.28</v>
      </c>
      <c r="P49" s="453">
        <v>-797416.25</v>
      </c>
      <c r="Q49" s="453">
        <v>-622217.07999999996</v>
      </c>
      <c r="R49" s="453">
        <v>-511684.08</v>
      </c>
      <c r="S49" s="453">
        <v>-804946.93</v>
      </c>
      <c r="T49" s="453">
        <v>-600981.43999999994</v>
      </c>
      <c r="U49" s="453">
        <v>-616478.57999999996</v>
      </c>
      <c r="V49" s="453">
        <v>-848283.56</v>
      </c>
      <c r="W49" s="453">
        <v>-921529.21</v>
      </c>
      <c r="X49" s="453">
        <v>-555960.82999999996</v>
      </c>
      <c r="Y49" s="453">
        <v>-545022.36</v>
      </c>
      <c r="Z49" s="453">
        <v>-747914.6</v>
      </c>
      <c r="AA49" s="453">
        <v>-895447.09</v>
      </c>
      <c r="AB49" s="453">
        <v>-822953.72</v>
      </c>
      <c r="AC49" s="453">
        <v>-1562438.31</v>
      </c>
      <c r="AD49" s="453">
        <v>-1110364.6399999999</v>
      </c>
      <c r="AE49" s="453">
        <v>-1277072.6299999999</v>
      </c>
      <c r="AF49" s="453">
        <v>-649238.22</v>
      </c>
      <c r="AG49" s="453">
        <v>-717015.47</v>
      </c>
      <c r="AH49" s="453">
        <v>-1220438.01</v>
      </c>
      <c r="AI49" s="453">
        <v>-1070288.03</v>
      </c>
      <c r="AJ49" s="453">
        <v>-1068835.7</v>
      </c>
      <c r="AK49" s="453">
        <v>-788376.27</v>
      </c>
      <c r="AL49" s="453">
        <v>-830927.28</v>
      </c>
      <c r="AM49" s="453">
        <v>-845066.97</v>
      </c>
      <c r="AN49" s="453">
        <v>-425350.8</v>
      </c>
      <c r="AO49" s="453">
        <v>-598669.30000000005</v>
      </c>
      <c r="AP49" s="453">
        <v>-544478.5</v>
      </c>
      <c r="AQ49" s="453">
        <v>-381922.89</v>
      </c>
      <c r="AR49" s="453">
        <f>IFERROR(INDEX('SuSa Okt25'!$N:$N,MATCH($A49,'SuSa Okt25'!A:A,0)),"")</f>
        <v>-261236.5</v>
      </c>
      <c r="AS49" s="453">
        <f>IFERROR(INDEX('SuSa Nov25'!$N:$N,MATCH($A49,'SuSa Nov25'!$A:$A,0)),"")</f>
        <v>-635671.31000000006</v>
      </c>
      <c r="AT49" s="453">
        <f>IFERROR(INDEX('SuSa Dez25'!$N:$N,MATCH($A49,'SuSa Dez25'!$A:$A,0)),"")</f>
        <v>-62544.74</v>
      </c>
    </row>
    <row r="50" spans="1:46" hidden="1" outlineLevel="1" collapsed="1" x14ac:dyDescent="0.25">
      <c r="A50" s="452">
        <v>1700</v>
      </c>
      <c r="B50" t="s">
        <v>1942</v>
      </c>
      <c r="C50" t="s">
        <v>1943</v>
      </c>
      <c r="D50" t="s">
        <v>711</v>
      </c>
      <c r="G50" s="453">
        <f t="shared" si="0"/>
        <v>-14237.6</v>
      </c>
      <c r="H50" s="453">
        <f t="shared" si="1"/>
        <v>-21211.07</v>
      </c>
      <c r="I50" s="453">
        <f t="shared" si="2"/>
        <v>-1584.09</v>
      </c>
      <c r="K50" s="453">
        <v>-18023.39</v>
      </c>
      <c r="L50" s="453">
        <v>-10059.799999999999</v>
      </c>
      <c r="M50" s="453">
        <v>-5161.22</v>
      </c>
      <c r="N50" s="453">
        <v>-5161.22</v>
      </c>
      <c r="O50" s="453">
        <v>0</v>
      </c>
      <c r="P50" s="453">
        <v>0</v>
      </c>
      <c r="Q50" s="453">
        <v>0</v>
      </c>
      <c r="R50" s="453">
        <v>0</v>
      </c>
      <c r="S50" s="453">
        <v>0</v>
      </c>
      <c r="T50" s="453">
        <v>0</v>
      </c>
      <c r="U50" s="453">
        <v>0</v>
      </c>
      <c r="V50" s="453">
        <v>-14237.6</v>
      </c>
      <c r="W50" s="453">
        <v>-13600.97</v>
      </c>
      <c r="X50" s="453">
        <v>-8007.18</v>
      </c>
      <c r="Y50" s="453">
        <v>-8007.18</v>
      </c>
      <c r="Z50" s="453">
        <v>-8007.18</v>
      </c>
      <c r="AA50" s="453">
        <v>-2413.39</v>
      </c>
      <c r="AB50" s="453">
        <v>-217.45</v>
      </c>
      <c r="AC50" s="453">
        <v>-217.45</v>
      </c>
      <c r="AD50" s="453">
        <v>-217.45</v>
      </c>
      <c r="AE50" s="453">
        <v>-217.45</v>
      </c>
      <c r="AF50" s="453">
        <v>0</v>
      </c>
      <c r="AG50" s="453">
        <v>0</v>
      </c>
      <c r="AH50" s="453">
        <v>-21211.07</v>
      </c>
      <c r="AI50" s="453">
        <v>-21211.07</v>
      </c>
      <c r="AJ50" s="453">
        <v>-14965.45</v>
      </c>
      <c r="AK50" s="453">
        <v>-14965.45</v>
      </c>
      <c r="AL50" s="453">
        <v>-14965.45</v>
      </c>
      <c r="AM50" s="453">
        <v>-7608.71</v>
      </c>
      <c r="AN50" s="453">
        <v>-7608.71</v>
      </c>
      <c r="AO50" s="453">
        <v>0</v>
      </c>
      <c r="AP50" s="453">
        <v>0</v>
      </c>
      <c r="AQ50" s="453">
        <v>0</v>
      </c>
      <c r="AR50" s="453">
        <f>IFERROR(INDEX('SuSa Okt25'!$N:$N,MATCH($A50,'SuSa Okt25'!A:A,0)),"")</f>
        <v>0</v>
      </c>
      <c r="AS50" s="453">
        <f>IFERROR(INDEX('SuSa Nov25'!$N:$N,MATCH($A50,'SuSa Nov25'!$A:$A,0)),"")</f>
        <v>0</v>
      </c>
      <c r="AT50" s="453">
        <f>IFERROR(INDEX('SuSa Dez25'!$N:$N,MATCH($A50,'SuSa Dez25'!$A:$A,0)),"")</f>
        <v>-1584.09</v>
      </c>
    </row>
    <row r="51" spans="1:46" hidden="1" outlineLevel="1" collapsed="1" x14ac:dyDescent="0.25">
      <c r="A51" s="452">
        <v>1710</v>
      </c>
      <c r="B51" t="s">
        <v>1944</v>
      </c>
      <c r="C51" t="s">
        <v>1945</v>
      </c>
      <c r="D51" t="s">
        <v>1814</v>
      </c>
      <c r="G51" s="453">
        <f t="shared" si="0"/>
        <v>0</v>
      </c>
      <c r="H51" s="453">
        <f t="shared" si="1"/>
        <v>0</v>
      </c>
      <c r="I51" s="453" t="str">
        <f t="shared" si="2"/>
        <v/>
      </c>
      <c r="K51" s="453">
        <v>0</v>
      </c>
      <c r="L51" s="453">
        <v>0</v>
      </c>
      <c r="M51" s="453">
        <v>0</v>
      </c>
      <c r="N51" s="453">
        <v>0</v>
      </c>
      <c r="O51" s="453">
        <v>0</v>
      </c>
      <c r="P51" s="453">
        <v>0</v>
      </c>
      <c r="Q51" s="453">
        <v>0</v>
      </c>
      <c r="R51" s="453">
        <v>0</v>
      </c>
      <c r="S51" s="453">
        <v>0</v>
      </c>
      <c r="T51" s="453">
        <v>0</v>
      </c>
      <c r="U51" s="453">
        <v>0</v>
      </c>
      <c r="V51" s="453">
        <v>0</v>
      </c>
      <c r="AR51" s="453" t="str">
        <f>IFERROR(INDEX('SuSa Okt25'!$N:$N,MATCH($A51,'SuSa Okt25'!A:A,0)),"")</f>
        <v/>
      </c>
      <c r="AS51" s="453" t="str">
        <f>IFERROR(INDEX('SuSa Nov25'!$N:$N,MATCH($A51,'SuSa Nov25'!$A:$A,0)),"")</f>
        <v/>
      </c>
      <c r="AT51" s="453" t="str">
        <f>IFERROR(INDEX('SuSa Dez25'!$N:$N,MATCH($A51,'SuSa Dez25'!$A:$A,0)),"")</f>
        <v/>
      </c>
    </row>
    <row r="52" spans="1:46" hidden="1" outlineLevel="1" collapsed="1" x14ac:dyDescent="0.25">
      <c r="A52" s="452">
        <v>1718</v>
      </c>
      <c r="B52" t="s">
        <v>1946</v>
      </c>
      <c r="C52" t="s">
        <v>1947</v>
      </c>
      <c r="D52" t="s">
        <v>1814</v>
      </c>
      <c r="G52" s="453">
        <f t="shared" si="0"/>
        <v>-50000</v>
      </c>
      <c r="H52" s="453">
        <f t="shared" si="1"/>
        <v>-50000</v>
      </c>
      <c r="I52" s="453">
        <f t="shared" si="2"/>
        <v>0</v>
      </c>
      <c r="K52" s="453">
        <v>-50000</v>
      </c>
      <c r="L52" s="453">
        <v>-50000</v>
      </c>
      <c r="M52" s="453">
        <v>-50000</v>
      </c>
      <c r="N52" s="453">
        <v>-50000</v>
      </c>
      <c r="O52" s="453">
        <v>-50000</v>
      </c>
      <c r="P52" s="453">
        <v>-50000</v>
      </c>
      <c r="Q52" s="453">
        <v>-50000</v>
      </c>
      <c r="R52" s="453">
        <v>-50000</v>
      </c>
      <c r="S52" s="453">
        <v>-50000</v>
      </c>
      <c r="T52" s="453">
        <v>-50000</v>
      </c>
      <c r="U52" s="453">
        <v>-50000</v>
      </c>
      <c r="V52" s="453">
        <v>-50000</v>
      </c>
      <c r="W52" s="453">
        <v>-50000</v>
      </c>
      <c r="X52" s="453">
        <v>-50000</v>
      </c>
      <c r="Y52" s="453">
        <v>-50000</v>
      </c>
      <c r="Z52" s="453">
        <v>-50000</v>
      </c>
      <c r="AA52" s="453">
        <v>-50000</v>
      </c>
      <c r="AB52" s="453">
        <v>-50000</v>
      </c>
      <c r="AC52" s="453">
        <v>-50000</v>
      </c>
      <c r="AD52" s="453">
        <v>-50000</v>
      </c>
      <c r="AE52" s="453">
        <v>-50000</v>
      </c>
      <c r="AF52" s="453">
        <v>-50000</v>
      </c>
      <c r="AG52" s="453">
        <v>-50000</v>
      </c>
      <c r="AH52" s="453">
        <v>-50000</v>
      </c>
      <c r="AI52" s="453">
        <v>-50000</v>
      </c>
      <c r="AJ52" s="453">
        <v>-50000</v>
      </c>
      <c r="AK52" s="453">
        <v>-50000</v>
      </c>
      <c r="AL52" s="453">
        <v>0</v>
      </c>
      <c r="AM52" s="453">
        <v>0</v>
      </c>
      <c r="AN52" s="453">
        <v>0</v>
      </c>
      <c r="AO52" s="453">
        <v>0</v>
      </c>
      <c r="AP52" s="453">
        <v>0</v>
      </c>
      <c r="AQ52" s="453">
        <v>0</v>
      </c>
      <c r="AR52" s="453">
        <f>IFERROR(INDEX('SuSa Okt25'!$N:$N,MATCH($A52,'SuSa Okt25'!A:A,0)),"")</f>
        <v>0</v>
      </c>
      <c r="AS52" s="453">
        <f>IFERROR(INDEX('SuSa Nov25'!$N:$N,MATCH($A52,'SuSa Nov25'!$A:$A,0)),"")</f>
        <v>0</v>
      </c>
      <c r="AT52" s="453">
        <f>IFERROR(INDEX('SuSa Dez25'!$N:$N,MATCH($A52,'SuSa Dez25'!$A:$A,0)),"")</f>
        <v>0</v>
      </c>
    </row>
    <row r="53" spans="1:46" hidden="1" outlineLevel="1" collapsed="1" x14ac:dyDescent="0.25">
      <c r="A53" s="452">
        <v>1740</v>
      </c>
      <c r="B53" t="s">
        <v>1948</v>
      </c>
      <c r="C53" t="s">
        <v>1949</v>
      </c>
      <c r="D53" t="s">
        <v>711</v>
      </c>
      <c r="G53" s="453">
        <f t="shared" si="0"/>
        <v>-196264.36</v>
      </c>
      <c r="H53" s="453">
        <f t="shared" si="1"/>
        <v>-249856.51</v>
      </c>
      <c r="I53" s="453">
        <f t="shared" si="2"/>
        <v>-148226.62</v>
      </c>
      <c r="K53" s="453">
        <v>-149969.93</v>
      </c>
      <c r="L53" s="453">
        <v>-127765.91</v>
      </c>
      <c r="M53" s="453">
        <v>-139448.16</v>
      </c>
      <c r="N53" s="453">
        <v>-137907.89000000001</v>
      </c>
      <c r="O53" s="453">
        <v>-149366.41</v>
      </c>
      <c r="P53" s="453">
        <v>-174581.81</v>
      </c>
      <c r="Q53" s="453">
        <v>-140841.71</v>
      </c>
      <c r="R53" s="453">
        <v>-144954.82999999999</v>
      </c>
      <c r="S53" s="453">
        <v>-177633.92000000001</v>
      </c>
      <c r="T53" s="453">
        <v>-184340.46</v>
      </c>
      <c r="U53" s="453">
        <v>-194999.32</v>
      </c>
      <c r="V53" s="453">
        <v>-196264.36</v>
      </c>
      <c r="W53" s="453">
        <v>-164066.74</v>
      </c>
      <c r="X53" s="453">
        <v>-152599.28</v>
      </c>
      <c r="Y53" s="453">
        <v>-175972.34</v>
      </c>
      <c r="Z53" s="453">
        <v>-179833.96</v>
      </c>
      <c r="AA53" s="453">
        <v>-192821.74</v>
      </c>
      <c r="AB53" s="453">
        <v>-240697.64</v>
      </c>
      <c r="AC53" s="453">
        <v>-222683.42</v>
      </c>
      <c r="AD53" s="453">
        <v>-214314.04</v>
      </c>
      <c r="AE53" s="453">
        <v>-212091.89</v>
      </c>
      <c r="AF53" s="453">
        <v>-218913.58</v>
      </c>
      <c r="AG53" s="453">
        <v>-234669.05</v>
      </c>
      <c r="AH53" s="453">
        <v>-249856.51</v>
      </c>
      <c r="AI53" s="453">
        <v>-179904.77</v>
      </c>
      <c r="AJ53" s="453">
        <v>-173634.38</v>
      </c>
      <c r="AK53" s="453">
        <v>-183461.81</v>
      </c>
      <c r="AL53" s="453">
        <v>-181907.66</v>
      </c>
      <c r="AM53" s="453">
        <v>-174194.42</v>
      </c>
      <c r="AN53" s="453">
        <v>-191326.84</v>
      </c>
      <c r="AO53" s="453">
        <v>-173083.55</v>
      </c>
      <c r="AP53" s="453">
        <v>-155431.53</v>
      </c>
      <c r="AQ53" s="453">
        <v>-155325.44</v>
      </c>
      <c r="AR53" s="453">
        <f>IFERROR(INDEX('SuSa Okt25'!$N:$N,MATCH($A53,'SuSa Okt25'!A:A,0)),"")</f>
        <v>-196397.59</v>
      </c>
      <c r="AS53" s="453">
        <f>IFERROR(INDEX('SuSa Nov25'!$N:$N,MATCH($A53,'SuSa Nov25'!$A:$A,0)),"")</f>
        <v>-177853.1</v>
      </c>
      <c r="AT53" s="453">
        <f>IFERROR(INDEX('SuSa Dez25'!$N:$N,MATCH($A53,'SuSa Dez25'!$A:$A,0)),"")</f>
        <v>-148226.62</v>
      </c>
    </row>
    <row r="54" spans="1:46" hidden="1" outlineLevel="1" collapsed="1" x14ac:dyDescent="0.25">
      <c r="A54" s="452">
        <v>1741</v>
      </c>
      <c r="B54" t="s">
        <v>1950</v>
      </c>
      <c r="C54" t="s">
        <v>1951</v>
      </c>
      <c r="D54" t="s">
        <v>711</v>
      </c>
      <c r="G54" s="453">
        <f t="shared" si="0"/>
        <v>-70809.820000000007</v>
      </c>
      <c r="H54" s="453">
        <f t="shared" si="1"/>
        <v>-89659.33</v>
      </c>
      <c r="I54" s="453">
        <f t="shared" si="2"/>
        <v>-45632.73</v>
      </c>
      <c r="K54" s="453">
        <v>-46346.239999999998</v>
      </c>
      <c r="L54" s="453">
        <v>-31062.73</v>
      </c>
      <c r="M54" s="453">
        <v>-33569.65</v>
      </c>
      <c r="N54" s="453">
        <v>-35152.51</v>
      </c>
      <c r="O54" s="453">
        <v>-38686.550000000003</v>
      </c>
      <c r="P54" s="453">
        <v>-52840.3</v>
      </c>
      <c r="Q54" s="453">
        <v>-37917.03</v>
      </c>
      <c r="R54" s="453">
        <v>-40015.69</v>
      </c>
      <c r="S54" s="453">
        <v>-67934.350000000006</v>
      </c>
      <c r="T54" s="453">
        <v>-57548.61</v>
      </c>
      <c r="U54" s="453">
        <v>-55236.15</v>
      </c>
      <c r="V54" s="453">
        <v>-70809.820000000007</v>
      </c>
      <c r="W54" s="453">
        <v>-49610.01</v>
      </c>
      <c r="X54" s="453">
        <v>-40386.800000000003</v>
      </c>
      <c r="Y54" s="453">
        <v>-45296.82</v>
      </c>
      <c r="Z54" s="453">
        <v>-44785.88</v>
      </c>
      <c r="AA54" s="453">
        <v>-46352.86</v>
      </c>
      <c r="AB54" s="453">
        <v>-59255.32</v>
      </c>
      <c r="AC54" s="453">
        <v>-49675.16</v>
      </c>
      <c r="AD54" s="453">
        <v>-47876.91</v>
      </c>
      <c r="AE54" s="453">
        <v>-44807.37</v>
      </c>
      <c r="AF54" s="453">
        <v>-48000</v>
      </c>
      <c r="AG54" s="453">
        <v>-60034.29</v>
      </c>
      <c r="AH54" s="453">
        <v>-89659.33</v>
      </c>
      <c r="AI54" s="453">
        <v>-47745.52</v>
      </c>
      <c r="AJ54" s="453">
        <v>-36781.919999999998</v>
      </c>
      <c r="AK54" s="453">
        <v>-43800.1</v>
      </c>
      <c r="AL54" s="453">
        <v>-39495.760000000002</v>
      </c>
      <c r="AM54" s="453">
        <v>-39338.76</v>
      </c>
      <c r="AN54" s="453">
        <v>-49088.480000000003</v>
      </c>
      <c r="AO54" s="453">
        <v>-45156.63</v>
      </c>
      <c r="AP54" s="453">
        <v>-36840.53</v>
      </c>
      <c r="AQ54" s="453">
        <v>-40128.080000000002</v>
      </c>
      <c r="AR54" s="453">
        <f>IFERROR(INDEX('SuSa Okt25'!$N:$N,MATCH($A54,'SuSa Okt25'!A:A,0)),"")</f>
        <v>-74110.97</v>
      </c>
      <c r="AS54" s="453">
        <f>IFERROR(INDEX('SuSa Nov25'!$N:$N,MATCH($A54,'SuSa Nov25'!$A:$A,0)),"")</f>
        <v>-53593.83</v>
      </c>
      <c r="AT54" s="453">
        <f>IFERROR(INDEX('SuSa Dez25'!$N:$N,MATCH($A54,'SuSa Dez25'!$A:$A,0)),"")</f>
        <v>-45632.73</v>
      </c>
    </row>
    <row r="55" spans="1:46" hidden="1" outlineLevel="1" collapsed="1" x14ac:dyDescent="0.25">
      <c r="A55" s="452">
        <v>1742</v>
      </c>
      <c r="B55" t="s">
        <v>1952</v>
      </c>
      <c r="C55" t="s">
        <v>1953</v>
      </c>
      <c r="D55" t="s">
        <v>711</v>
      </c>
      <c r="G55" s="453">
        <f t="shared" si="0"/>
        <v>-145.96</v>
      </c>
      <c r="H55" s="453">
        <f t="shared" si="1"/>
        <v>-2494.25</v>
      </c>
      <c r="I55" s="453">
        <f t="shared" si="2"/>
        <v>-6337.65</v>
      </c>
      <c r="K55" s="453">
        <v>-9404.09</v>
      </c>
      <c r="L55" s="453">
        <v>851.07</v>
      </c>
      <c r="M55" s="453">
        <v>-14779.75</v>
      </c>
      <c r="N55" s="453">
        <v>896.92</v>
      </c>
      <c r="O55" s="453">
        <v>-13758.04</v>
      </c>
      <c r="P55" s="453">
        <v>-22966.86</v>
      </c>
      <c r="Q55" s="453">
        <v>-1809.86</v>
      </c>
      <c r="R55" s="453">
        <v>-7260.08</v>
      </c>
      <c r="S55" s="453">
        <v>-600.27</v>
      </c>
      <c r="T55" s="453">
        <v>-11514.79</v>
      </c>
      <c r="U55" s="453">
        <v>-24139.02</v>
      </c>
      <c r="V55" s="453">
        <v>-145.96</v>
      </c>
      <c r="W55" s="453">
        <v>-8767.68</v>
      </c>
      <c r="X55" s="453">
        <v>1056.3499999999999</v>
      </c>
      <c r="Y55" s="453">
        <v>-1353.85</v>
      </c>
      <c r="Z55" s="453">
        <v>-5037.18</v>
      </c>
      <c r="AA55" s="453">
        <v>-7686.75</v>
      </c>
      <c r="AB55" s="453">
        <v>-24955.55</v>
      </c>
      <c r="AC55" s="453">
        <v>-7335.59</v>
      </c>
      <c r="AD55" s="453">
        <v>2944.83</v>
      </c>
      <c r="AE55" s="453">
        <v>2223.52</v>
      </c>
      <c r="AF55" s="453">
        <v>-5056.1499999999996</v>
      </c>
      <c r="AG55" s="453">
        <v>-20609.03</v>
      </c>
      <c r="AH55" s="453">
        <v>-2494.25</v>
      </c>
      <c r="AI55" s="453">
        <v>-5595.63</v>
      </c>
      <c r="AJ55" s="453">
        <v>6069.37</v>
      </c>
      <c r="AK55" s="453">
        <v>-3178.77</v>
      </c>
      <c r="AL55" s="453">
        <v>-3245.43</v>
      </c>
      <c r="AM55" s="453">
        <v>1983.99</v>
      </c>
      <c r="AN55" s="453">
        <v>-13972.64</v>
      </c>
      <c r="AO55" s="453">
        <v>-3170.94</v>
      </c>
      <c r="AP55" s="453">
        <v>4145.33</v>
      </c>
      <c r="AQ55" s="453">
        <v>-5606.06</v>
      </c>
      <c r="AR55" s="453">
        <f>IFERROR(INDEX('SuSa Okt25'!$N:$N,MATCH($A55,'SuSa Okt25'!A:A,0)),"")</f>
        <v>-3109.97</v>
      </c>
      <c r="AS55" s="453">
        <f>IFERROR(INDEX('SuSa Nov25'!$N:$N,MATCH($A55,'SuSa Nov25'!$A:$A,0)),"")</f>
        <v>-19761.810000000001</v>
      </c>
      <c r="AT55" s="453">
        <f>IFERROR(INDEX('SuSa Dez25'!$N:$N,MATCH($A55,'SuSa Dez25'!$A:$A,0)),"")</f>
        <v>-6337.65</v>
      </c>
    </row>
    <row r="56" spans="1:46" hidden="1" outlineLevel="1" collapsed="1" x14ac:dyDescent="0.25">
      <c r="A56" s="452">
        <v>1755</v>
      </c>
      <c r="B56" t="s">
        <v>1954</v>
      </c>
      <c r="C56" t="s">
        <v>1955</v>
      </c>
      <c r="D56" t="s">
        <v>711</v>
      </c>
      <c r="G56" s="453">
        <f t="shared" si="0"/>
        <v>0</v>
      </c>
      <c r="H56" s="453">
        <f t="shared" si="1"/>
        <v>0</v>
      </c>
      <c r="I56" s="453">
        <f t="shared" si="2"/>
        <v>0</v>
      </c>
      <c r="K56" s="453">
        <v>0</v>
      </c>
      <c r="L56" s="453">
        <v>0</v>
      </c>
      <c r="M56" s="453">
        <v>0</v>
      </c>
      <c r="N56" s="453">
        <v>0</v>
      </c>
      <c r="O56" s="453">
        <v>0</v>
      </c>
      <c r="P56" s="453">
        <v>0</v>
      </c>
      <c r="Q56" s="453">
        <v>0</v>
      </c>
      <c r="R56" s="453">
        <v>0</v>
      </c>
      <c r="S56" s="453">
        <v>0</v>
      </c>
      <c r="T56" s="453">
        <v>0</v>
      </c>
      <c r="U56" s="453">
        <v>0</v>
      </c>
      <c r="V56" s="453">
        <v>0</v>
      </c>
      <c r="W56" s="453">
        <v>0</v>
      </c>
      <c r="X56" s="453">
        <v>0</v>
      </c>
      <c r="Y56" s="453">
        <v>0</v>
      </c>
      <c r="Z56" s="453">
        <v>0</v>
      </c>
      <c r="AA56" s="453">
        <v>0</v>
      </c>
      <c r="AB56" s="453">
        <v>0</v>
      </c>
      <c r="AC56" s="453">
        <v>0</v>
      </c>
      <c r="AD56" s="453">
        <v>0</v>
      </c>
      <c r="AE56" s="453">
        <v>0</v>
      </c>
      <c r="AF56" s="453">
        <v>0</v>
      </c>
      <c r="AG56" s="453">
        <v>0</v>
      </c>
      <c r="AH56" s="453">
        <v>0</v>
      </c>
      <c r="AI56" s="453">
        <v>0</v>
      </c>
      <c r="AJ56" s="453">
        <v>0</v>
      </c>
      <c r="AK56" s="453">
        <v>0</v>
      </c>
      <c r="AL56" s="453">
        <v>0</v>
      </c>
      <c r="AM56" s="453">
        <v>0</v>
      </c>
      <c r="AN56" s="453">
        <v>0</v>
      </c>
      <c r="AO56" s="453">
        <v>0</v>
      </c>
      <c r="AP56" s="453">
        <v>0</v>
      </c>
      <c r="AQ56" s="453">
        <v>0</v>
      </c>
      <c r="AR56" s="453">
        <f>IFERROR(INDEX('SuSa Okt25'!$N:$N,MATCH($A56,'SuSa Okt25'!A:A,0)),"")</f>
        <v>0</v>
      </c>
      <c r="AS56" s="453">
        <f>IFERROR(INDEX('SuSa Nov25'!$N:$N,MATCH($A56,'SuSa Nov25'!$A:$A,0)),"")</f>
        <v>0</v>
      </c>
      <c r="AT56" s="453">
        <f>IFERROR(INDEX('SuSa Dez25'!$N:$N,MATCH($A56,'SuSa Dez25'!$A:$A,0)),"")</f>
        <v>0</v>
      </c>
    </row>
    <row r="57" spans="1:46" hidden="1" outlineLevel="1" collapsed="1" x14ac:dyDescent="0.25">
      <c r="A57" s="452">
        <v>1759</v>
      </c>
      <c r="B57" t="s">
        <v>1956</v>
      </c>
      <c r="C57" t="s">
        <v>1957</v>
      </c>
      <c r="D57" t="s">
        <v>711</v>
      </c>
      <c r="G57" s="453">
        <f t="shared" si="0"/>
        <v>-1845.15</v>
      </c>
      <c r="H57" s="453">
        <f t="shared" si="1"/>
        <v>-1749.87</v>
      </c>
      <c r="I57" s="453">
        <f t="shared" si="2"/>
        <v>-1171.42</v>
      </c>
      <c r="K57" s="453">
        <v>-2686.94</v>
      </c>
      <c r="L57" s="453">
        <v>-4856.47</v>
      </c>
      <c r="M57" s="453">
        <v>-2855.37</v>
      </c>
      <c r="N57" s="453">
        <v>-2855.37</v>
      </c>
      <c r="O57" s="453">
        <v>-3343.99</v>
      </c>
      <c r="P57" s="453">
        <v>-2911.65</v>
      </c>
      <c r="Q57" s="453">
        <v>-2880.31</v>
      </c>
      <c r="R57" s="453">
        <v>-3034.91</v>
      </c>
      <c r="S57" s="453">
        <v>-2957.61</v>
      </c>
      <c r="T57" s="453">
        <v>-3979.22</v>
      </c>
      <c r="U57" s="453">
        <v>-1838.77</v>
      </c>
      <c r="V57" s="453">
        <v>-1845.15</v>
      </c>
      <c r="W57" s="453">
        <v>-1970.08</v>
      </c>
      <c r="X57" s="453">
        <v>-4136.4399999999996</v>
      </c>
      <c r="Y57" s="453">
        <v>-3053.26</v>
      </c>
      <c r="Z57" s="453">
        <v>-3053.26</v>
      </c>
      <c r="AA57" s="453">
        <v>-3053.26</v>
      </c>
      <c r="AB57" s="453">
        <v>2187.81</v>
      </c>
      <c r="AC57" s="453">
        <v>-2975.12</v>
      </c>
      <c r="AD57" s="453">
        <v>-940.95</v>
      </c>
      <c r="AE57" s="453">
        <v>-3053.26</v>
      </c>
      <c r="AF57" s="453">
        <v>-3053.26</v>
      </c>
      <c r="AG57" s="453">
        <v>-3053.26</v>
      </c>
      <c r="AH57" s="453">
        <v>-1749.87</v>
      </c>
      <c r="AI57" s="453">
        <v>-1234.93</v>
      </c>
      <c r="AJ57" s="453">
        <v>-351.16</v>
      </c>
      <c r="AK57" s="453">
        <v>-204.39</v>
      </c>
      <c r="AL57" s="453">
        <v>523.61</v>
      </c>
      <c r="AM57" s="453">
        <v>2760.87</v>
      </c>
      <c r="AN57" s="453">
        <v>576.16</v>
      </c>
      <c r="AO57" s="453">
        <v>-204.39</v>
      </c>
      <c r="AP57" s="453">
        <v>-204.39</v>
      </c>
      <c r="AQ57" s="453">
        <v>-1171.42</v>
      </c>
      <c r="AR57" s="453">
        <f>IFERROR(INDEX('SuSa Okt25'!$N:$N,MATCH($A57,'SuSa Okt25'!A:A,0)),"")</f>
        <v>-1171.42</v>
      </c>
      <c r="AS57" s="453">
        <f>IFERROR(INDEX('SuSa Nov25'!$N:$N,MATCH($A57,'SuSa Nov25'!$A:$A,0)),"")</f>
        <v>-1171.42</v>
      </c>
      <c r="AT57" s="453">
        <f>IFERROR(INDEX('SuSa Dez25'!$N:$N,MATCH($A57,'SuSa Dez25'!$A:$A,0)),"")</f>
        <v>-1171.42</v>
      </c>
    </row>
    <row r="58" spans="1:46" hidden="1" outlineLevel="1" collapsed="1" x14ac:dyDescent="0.25">
      <c r="A58" s="452">
        <v>1774</v>
      </c>
      <c r="B58" t="s">
        <v>1958</v>
      </c>
      <c r="C58" t="s">
        <v>1959</v>
      </c>
      <c r="D58" t="s">
        <v>711</v>
      </c>
      <c r="G58" s="453">
        <f t="shared" si="0"/>
        <v>-1072863.54</v>
      </c>
      <c r="H58" s="453">
        <f t="shared" si="1"/>
        <v>-1103485.6399999999</v>
      </c>
      <c r="I58" s="453">
        <f t="shared" si="2"/>
        <v>-647950.12</v>
      </c>
      <c r="K58" s="453">
        <v>-84761.96</v>
      </c>
      <c r="L58" s="453">
        <v>-200760.19</v>
      </c>
      <c r="M58" s="453">
        <v>-328492.28000000003</v>
      </c>
      <c r="N58" s="453">
        <v>-413892.72</v>
      </c>
      <c r="O58" s="453">
        <v>-550507.47</v>
      </c>
      <c r="P58" s="453">
        <v>-617843.06000000006</v>
      </c>
      <c r="Q58" s="453">
        <v>-704973.85</v>
      </c>
      <c r="R58" s="453">
        <v>-761830.85</v>
      </c>
      <c r="S58" s="453">
        <v>-901442.21</v>
      </c>
      <c r="T58" s="453">
        <v>-948201.37</v>
      </c>
      <c r="U58" s="453">
        <v>-975275.65</v>
      </c>
      <c r="V58" s="453">
        <v>-1072863.54</v>
      </c>
      <c r="W58" s="453">
        <v>-71135.509999999995</v>
      </c>
      <c r="X58" s="453">
        <v>-122159.03999999999</v>
      </c>
      <c r="Y58" s="453">
        <v>-154655.78</v>
      </c>
      <c r="Z58" s="453">
        <v>-211995.15</v>
      </c>
      <c r="AA58" s="453">
        <v>-328952.46999999997</v>
      </c>
      <c r="AB58" s="453">
        <v>-403118.95</v>
      </c>
      <c r="AC58" s="453">
        <v>-633701.6</v>
      </c>
      <c r="AD58" s="453">
        <v>-691667.71</v>
      </c>
      <c r="AE58" s="453">
        <v>-871051.64</v>
      </c>
      <c r="AF58" s="453">
        <v>-916795.12</v>
      </c>
      <c r="AG58" s="453">
        <v>-984429.45</v>
      </c>
      <c r="AH58" s="453">
        <v>-1103485.6399999999</v>
      </c>
      <c r="AI58" s="453">
        <v>-68296.75</v>
      </c>
      <c r="AJ58" s="453">
        <v>-163200.24</v>
      </c>
      <c r="AK58" s="453">
        <v>-214761.05</v>
      </c>
      <c r="AL58" s="453">
        <v>-293586.06</v>
      </c>
      <c r="AM58" s="453">
        <v>-383006.66</v>
      </c>
      <c r="AN58" s="453">
        <v>-408538.55</v>
      </c>
      <c r="AO58" s="453">
        <v>-475954.3</v>
      </c>
      <c r="AP58" s="453">
        <v>-506347.16</v>
      </c>
      <c r="AQ58" s="453">
        <v>-545203.9</v>
      </c>
      <c r="AR58" s="453">
        <f>IFERROR(INDEX('SuSa Okt25'!$N:$N,MATCH($A58,'SuSa Okt25'!A:A,0)),"")</f>
        <v>-568298.1</v>
      </c>
      <c r="AS58" s="453">
        <f>IFERROR(INDEX('SuSa Nov25'!$N:$N,MATCH($A58,'SuSa Nov25'!$A:$A,0)),"")</f>
        <v>-671305.7</v>
      </c>
      <c r="AT58" s="453">
        <f>IFERROR(INDEX('SuSa Dez25'!$N:$N,MATCH($A58,'SuSa Dez25'!$A:$A,0)),"")</f>
        <v>-647950.12</v>
      </c>
    </row>
    <row r="59" spans="1:46" hidden="1" outlineLevel="1" collapsed="1" x14ac:dyDescent="0.25">
      <c r="A59" s="452">
        <v>1776</v>
      </c>
      <c r="B59" t="s">
        <v>1960</v>
      </c>
      <c r="C59" t="s">
        <v>1961</v>
      </c>
      <c r="D59" t="s">
        <v>711</v>
      </c>
      <c r="G59" s="453">
        <f t="shared" si="0"/>
        <v>-2405171.2000000002</v>
      </c>
      <c r="H59" s="453">
        <f t="shared" si="1"/>
        <v>-2389730.2400000002</v>
      </c>
      <c r="I59" s="453">
        <f t="shared" si="2"/>
        <v>-1961339.55</v>
      </c>
      <c r="K59" s="453">
        <v>-186284.2</v>
      </c>
      <c r="L59" s="453">
        <v>-386822.41</v>
      </c>
      <c r="M59" s="453">
        <v>-621462.93999999994</v>
      </c>
      <c r="N59" s="453">
        <v>-837194.21</v>
      </c>
      <c r="O59" s="453">
        <v>-1040067.9</v>
      </c>
      <c r="P59" s="453">
        <v>-1231928.68</v>
      </c>
      <c r="Q59" s="453">
        <v>-1401358.9</v>
      </c>
      <c r="R59" s="453">
        <v>-1626994.23</v>
      </c>
      <c r="S59" s="453">
        <v>-1824183.77</v>
      </c>
      <c r="T59" s="453">
        <v>-2003781.97</v>
      </c>
      <c r="U59" s="453">
        <v>-2219128.83</v>
      </c>
      <c r="V59" s="453">
        <v>-2405171.2000000002</v>
      </c>
      <c r="W59" s="453">
        <v>-221868.43</v>
      </c>
      <c r="X59" s="453">
        <v>-432698.31</v>
      </c>
      <c r="Y59" s="453">
        <v>-670718.06999999995</v>
      </c>
      <c r="Z59" s="453">
        <v>-894585.15</v>
      </c>
      <c r="AA59" s="453">
        <v>-1115299.67</v>
      </c>
      <c r="AB59" s="453">
        <v>-1283414.54</v>
      </c>
      <c r="AC59" s="453">
        <v>-1479534.22</v>
      </c>
      <c r="AD59" s="453">
        <v>-1668076.51</v>
      </c>
      <c r="AE59" s="453">
        <v>-1828319.32</v>
      </c>
      <c r="AF59" s="453">
        <v>-2019426.21</v>
      </c>
      <c r="AG59" s="453">
        <v>-2192690.98</v>
      </c>
      <c r="AH59" s="453">
        <v>-2389730.2400000002</v>
      </c>
      <c r="AI59" s="453">
        <v>-184936.84</v>
      </c>
      <c r="AJ59" s="453">
        <v>-360138.71</v>
      </c>
      <c r="AK59" s="453">
        <v>-539158.42000000004</v>
      </c>
      <c r="AL59" s="453">
        <v>-717513.94</v>
      </c>
      <c r="AM59" s="453">
        <v>-882013.25</v>
      </c>
      <c r="AN59" s="453">
        <v>-1039904.57</v>
      </c>
      <c r="AO59" s="453">
        <v>-1206713.72</v>
      </c>
      <c r="AP59" s="453">
        <v>-1355330.26</v>
      </c>
      <c r="AQ59" s="453">
        <v>-1522359.1</v>
      </c>
      <c r="AR59" s="453">
        <f>IFERROR(INDEX('SuSa Okt25'!$N:$N,MATCH($A59,'SuSa Okt25'!A:A,0)),"")</f>
        <v>-1656683.89</v>
      </c>
      <c r="AS59" s="453">
        <f>IFERROR(INDEX('SuSa Nov25'!$N:$N,MATCH($A59,'SuSa Nov25'!$A:$A,0)),"")</f>
        <v>-1802701.97</v>
      </c>
      <c r="AT59" s="453">
        <f>IFERROR(INDEX('SuSa Dez25'!$N:$N,MATCH($A59,'SuSa Dez25'!$A:$A,0)),"")</f>
        <v>-1961339.55</v>
      </c>
    </row>
    <row r="60" spans="1:46" hidden="1" outlineLevel="1" collapsed="1" x14ac:dyDescent="0.25">
      <c r="A60" s="452">
        <v>1780</v>
      </c>
      <c r="B60" t="s">
        <v>1962</v>
      </c>
      <c r="C60" t="s">
        <v>1963</v>
      </c>
      <c r="D60" t="s">
        <v>711</v>
      </c>
      <c r="G60" s="453">
        <f t="shared" si="0"/>
        <v>1161508.6200000001</v>
      </c>
      <c r="H60" s="453">
        <f t="shared" si="1"/>
        <v>1086374.69</v>
      </c>
      <c r="I60" s="453">
        <f t="shared" si="2"/>
        <v>835826.86</v>
      </c>
      <c r="K60" s="453">
        <v>0</v>
      </c>
      <c r="L60" s="453">
        <v>0</v>
      </c>
      <c r="M60" s="453">
        <v>117800.41</v>
      </c>
      <c r="N60" s="453">
        <v>194661.77</v>
      </c>
      <c r="O60" s="453">
        <v>327563.56</v>
      </c>
      <c r="P60" s="453">
        <v>459391.46</v>
      </c>
      <c r="Q60" s="453">
        <v>589481.25</v>
      </c>
      <c r="R60" s="453">
        <v>710342.9</v>
      </c>
      <c r="S60" s="453">
        <v>788332.86</v>
      </c>
      <c r="T60" s="453">
        <v>927353.99</v>
      </c>
      <c r="U60" s="453">
        <v>1066592.04</v>
      </c>
      <c r="V60" s="453">
        <v>1161508.6200000001</v>
      </c>
      <c r="W60" s="453">
        <v>0</v>
      </c>
      <c r="X60" s="453">
        <v>0</v>
      </c>
      <c r="Y60" s="453">
        <v>129186.82</v>
      </c>
      <c r="Z60" s="453">
        <v>239532.39</v>
      </c>
      <c r="AA60" s="453">
        <v>390376.21</v>
      </c>
      <c r="AB60" s="453">
        <v>503753.5</v>
      </c>
      <c r="AC60" s="453">
        <v>589064.34</v>
      </c>
      <c r="AD60" s="453">
        <v>661947.75</v>
      </c>
      <c r="AE60" s="453">
        <v>744474.31</v>
      </c>
      <c r="AF60" s="453">
        <v>871841.67</v>
      </c>
      <c r="AG60" s="453">
        <v>955705.3</v>
      </c>
      <c r="AH60" s="453">
        <v>1086374.69</v>
      </c>
      <c r="AI60" s="453">
        <v>0</v>
      </c>
      <c r="AJ60" s="453">
        <v>0</v>
      </c>
      <c r="AK60" s="453">
        <v>93761.3</v>
      </c>
      <c r="AL60" s="453">
        <v>150798.57</v>
      </c>
      <c r="AM60" s="453">
        <v>226320.2</v>
      </c>
      <c r="AN60" s="453">
        <v>324188.45</v>
      </c>
      <c r="AO60" s="453">
        <v>394724.69</v>
      </c>
      <c r="AP60" s="453">
        <v>496373.22</v>
      </c>
      <c r="AQ60" s="453">
        <v>608206.31999999995</v>
      </c>
      <c r="AR60" s="453">
        <f>IFERROR(INDEX('SuSa Okt25'!$N:$N,MATCH($A60,'SuSa Okt25'!A:A,0)),"")</f>
        <v>685107.37</v>
      </c>
      <c r="AS60" s="453">
        <f>IFERROR(INDEX('SuSa Nov25'!$N:$N,MATCH($A60,'SuSa Nov25'!$A:$A,0)),"")</f>
        <v>754883.29</v>
      </c>
      <c r="AT60" s="453">
        <f>IFERROR(INDEX('SuSa Dez25'!$N:$N,MATCH($A60,'SuSa Dez25'!$A:$A,0)),"")</f>
        <v>835826.86</v>
      </c>
    </row>
    <row r="61" spans="1:46" hidden="1" outlineLevel="1" collapsed="1" x14ac:dyDescent="0.25">
      <c r="A61" s="452">
        <v>1781</v>
      </c>
      <c r="B61" t="s">
        <v>1964</v>
      </c>
      <c r="C61" t="s">
        <v>1965</v>
      </c>
      <c r="D61" t="s">
        <v>711</v>
      </c>
      <c r="G61" s="453">
        <f t="shared" si="0"/>
        <v>212720</v>
      </c>
      <c r="H61" s="453">
        <f t="shared" si="1"/>
        <v>124929</v>
      </c>
      <c r="I61" s="453">
        <f t="shared" si="2"/>
        <v>110118</v>
      </c>
      <c r="K61" s="453">
        <v>0</v>
      </c>
      <c r="L61" s="453">
        <v>0</v>
      </c>
      <c r="M61" s="453">
        <v>148044</v>
      </c>
      <c r="N61" s="453">
        <v>148044</v>
      </c>
      <c r="O61" s="453">
        <v>212720</v>
      </c>
      <c r="P61" s="453">
        <v>212720</v>
      </c>
      <c r="Q61" s="453">
        <v>212720</v>
      </c>
      <c r="R61" s="453">
        <v>212720</v>
      </c>
      <c r="S61" s="453">
        <v>212720</v>
      </c>
      <c r="T61" s="453">
        <v>212720</v>
      </c>
      <c r="U61" s="453">
        <v>212720</v>
      </c>
      <c r="V61" s="453">
        <v>212720</v>
      </c>
      <c r="W61" s="453">
        <v>0</v>
      </c>
      <c r="X61" s="453">
        <v>124929</v>
      </c>
      <c r="Y61" s="453">
        <v>124929</v>
      </c>
      <c r="Z61" s="453">
        <v>124929</v>
      </c>
      <c r="AA61" s="453">
        <v>124929</v>
      </c>
      <c r="AB61" s="453">
        <v>124929</v>
      </c>
      <c r="AC61" s="453">
        <v>124929</v>
      </c>
      <c r="AD61" s="453">
        <v>124929</v>
      </c>
      <c r="AE61" s="453">
        <v>124929</v>
      </c>
      <c r="AF61" s="453">
        <v>124929</v>
      </c>
      <c r="AG61" s="453">
        <v>124929</v>
      </c>
      <c r="AH61" s="453">
        <v>124929</v>
      </c>
      <c r="AI61" s="453">
        <v>0</v>
      </c>
      <c r="AJ61" s="453">
        <v>110155</v>
      </c>
      <c r="AK61" s="453">
        <v>110118</v>
      </c>
      <c r="AL61" s="453">
        <v>110118</v>
      </c>
      <c r="AM61" s="453">
        <v>110118</v>
      </c>
      <c r="AN61" s="453">
        <v>110118</v>
      </c>
      <c r="AO61" s="453">
        <v>110118</v>
      </c>
      <c r="AP61" s="453">
        <v>110118</v>
      </c>
      <c r="AQ61" s="453">
        <v>110118</v>
      </c>
      <c r="AR61" s="453">
        <f>IFERROR(INDEX('SuSa Okt25'!$N:$N,MATCH($A61,'SuSa Okt25'!A:A,0)),"")</f>
        <v>110118</v>
      </c>
      <c r="AS61" s="453">
        <f>IFERROR(INDEX('SuSa Nov25'!$N:$N,MATCH($A61,'SuSa Nov25'!$A:$A,0)),"")</f>
        <v>110118</v>
      </c>
      <c r="AT61" s="453">
        <f>IFERROR(INDEX('SuSa Dez25'!$N:$N,MATCH($A61,'SuSa Dez25'!$A:$A,0)),"")</f>
        <v>110118</v>
      </c>
    </row>
    <row r="62" spans="1:46" hidden="1" outlineLevel="1" collapsed="1" x14ac:dyDescent="0.25">
      <c r="A62" s="452">
        <v>1787</v>
      </c>
      <c r="B62" t="s">
        <v>1966</v>
      </c>
      <c r="C62" t="s">
        <v>1967</v>
      </c>
      <c r="D62" t="s">
        <v>711</v>
      </c>
      <c r="G62" s="453">
        <f t="shared" si="0"/>
        <v>-27806.22</v>
      </c>
      <c r="H62" s="453">
        <f t="shared" si="1"/>
        <v>-35210.15</v>
      </c>
      <c r="I62" s="453">
        <f t="shared" si="2"/>
        <v>-44446.17</v>
      </c>
      <c r="K62" s="453">
        <v>-522.5</v>
      </c>
      <c r="L62" s="453">
        <v>-522.5</v>
      </c>
      <c r="M62" s="453">
        <v>-1548.5</v>
      </c>
      <c r="N62" s="453">
        <v>-2864.25</v>
      </c>
      <c r="O62" s="453">
        <v>-4577.1000000000004</v>
      </c>
      <c r="P62" s="453">
        <v>-4939.24</v>
      </c>
      <c r="Q62" s="453">
        <v>-7212.59</v>
      </c>
      <c r="R62" s="453">
        <v>-7972.59</v>
      </c>
      <c r="S62" s="453">
        <v>-7972.59</v>
      </c>
      <c r="T62" s="453">
        <v>-9490.2199999999993</v>
      </c>
      <c r="U62" s="453">
        <v>-9490.2199999999993</v>
      </c>
      <c r="V62" s="453">
        <v>-27806.22</v>
      </c>
      <c r="W62" s="453">
        <v>-4700.6000000000004</v>
      </c>
      <c r="X62" s="453">
        <v>-5016</v>
      </c>
      <c r="Y62" s="453">
        <v>-6621.5</v>
      </c>
      <c r="Z62" s="453">
        <v>-7229.5</v>
      </c>
      <c r="AA62" s="453">
        <v>-11641.55</v>
      </c>
      <c r="AB62" s="453">
        <v>-24257.13</v>
      </c>
      <c r="AC62" s="453">
        <v>-26062.13</v>
      </c>
      <c r="AD62" s="453">
        <v>-32011.51</v>
      </c>
      <c r="AE62" s="453">
        <v>-32619.51</v>
      </c>
      <c r="AF62" s="453">
        <v>-33223.46</v>
      </c>
      <c r="AG62" s="453">
        <v>-34591.46</v>
      </c>
      <c r="AH62" s="453">
        <v>-35210.15</v>
      </c>
      <c r="AI62" s="453">
        <v>-18326.82</v>
      </c>
      <c r="AJ62" s="453">
        <v>-19000.37</v>
      </c>
      <c r="AK62" s="453">
        <v>-24289.97</v>
      </c>
      <c r="AL62" s="453">
        <v>-24629.23</v>
      </c>
      <c r="AM62" s="453">
        <v>-26032.49</v>
      </c>
      <c r="AN62" s="453">
        <v>-27248.49</v>
      </c>
      <c r="AO62" s="453">
        <v>-28521.49</v>
      </c>
      <c r="AP62" s="453">
        <v>-33216.39</v>
      </c>
      <c r="AQ62" s="453">
        <v>-34584.39</v>
      </c>
      <c r="AR62" s="453">
        <f>IFERROR(INDEX('SuSa Okt25'!$N:$N,MATCH($A62,'SuSa Okt25'!A:A,0)),"")</f>
        <v>-35357.69</v>
      </c>
      <c r="AS62" s="453">
        <f>IFERROR(INDEX('SuSa Nov25'!$N:$N,MATCH($A62,'SuSa Nov25'!$A:$A,0)),"")</f>
        <v>-41665.69</v>
      </c>
      <c r="AT62" s="453">
        <f>IFERROR(INDEX('SuSa Dez25'!$N:$N,MATCH($A62,'SuSa Dez25'!$A:$A,0)),"")</f>
        <v>-44446.17</v>
      </c>
    </row>
    <row r="63" spans="1:46" hidden="1" outlineLevel="1" collapsed="1" x14ac:dyDescent="0.25">
      <c r="A63" s="452">
        <v>1789</v>
      </c>
      <c r="B63" t="s">
        <v>1968</v>
      </c>
      <c r="C63" t="s">
        <v>1969</v>
      </c>
      <c r="D63" t="s">
        <v>711</v>
      </c>
      <c r="G63" s="453">
        <f t="shared" si="0"/>
        <v>-11198.56</v>
      </c>
      <c r="H63" s="453">
        <f t="shared" si="1"/>
        <v>-65679.12</v>
      </c>
      <c r="I63" s="453">
        <f t="shared" si="2"/>
        <v>-28276.080000000002</v>
      </c>
      <c r="K63" s="453">
        <v>0</v>
      </c>
      <c r="L63" s="453">
        <v>0</v>
      </c>
      <c r="M63" s="453">
        <v>0</v>
      </c>
      <c r="N63" s="453">
        <v>0</v>
      </c>
      <c r="O63" s="453">
        <v>0</v>
      </c>
      <c r="P63" s="453">
        <v>0</v>
      </c>
      <c r="Q63" s="453">
        <v>0</v>
      </c>
      <c r="R63" s="453">
        <v>0</v>
      </c>
      <c r="S63" s="453">
        <v>0</v>
      </c>
      <c r="T63" s="453">
        <v>0</v>
      </c>
      <c r="U63" s="453">
        <v>0</v>
      </c>
      <c r="V63" s="453">
        <v>-11198.56</v>
      </c>
      <c r="W63" s="453">
        <v>0</v>
      </c>
      <c r="X63" s="453">
        <v>0</v>
      </c>
      <c r="Y63" s="453">
        <v>0</v>
      </c>
      <c r="Z63" s="453">
        <v>0</v>
      </c>
      <c r="AA63" s="453">
        <v>0</v>
      </c>
      <c r="AB63" s="453">
        <v>0</v>
      </c>
      <c r="AC63" s="453">
        <v>0</v>
      </c>
      <c r="AD63" s="453">
        <v>0</v>
      </c>
      <c r="AE63" s="453">
        <v>0</v>
      </c>
      <c r="AF63" s="453">
        <v>0</v>
      </c>
      <c r="AG63" s="453">
        <v>0</v>
      </c>
      <c r="AH63" s="453">
        <v>-65679.12</v>
      </c>
      <c r="AI63" s="453">
        <v>0</v>
      </c>
      <c r="AJ63" s="453">
        <v>0</v>
      </c>
      <c r="AK63" s="453">
        <v>0</v>
      </c>
      <c r="AL63" s="453">
        <v>0</v>
      </c>
      <c r="AM63" s="453">
        <v>0</v>
      </c>
      <c r="AN63" s="453">
        <v>0</v>
      </c>
      <c r="AO63" s="453">
        <v>0</v>
      </c>
      <c r="AP63" s="453">
        <v>0</v>
      </c>
      <c r="AQ63" s="453">
        <v>0</v>
      </c>
      <c r="AR63" s="453">
        <f>IFERROR(INDEX('SuSa Okt25'!$N:$N,MATCH($A63,'SuSa Okt25'!A:A,0)),"")</f>
        <v>0</v>
      </c>
      <c r="AS63" s="453">
        <f>IFERROR(INDEX('SuSa Nov25'!$N:$N,MATCH($A63,'SuSa Nov25'!$A:$A,0)),"")</f>
        <v>0</v>
      </c>
      <c r="AT63" s="453">
        <f>IFERROR(INDEX('SuSa Dez25'!$N:$N,MATCH($A63,'SuSa Dez25'!$A:$A,0)),"")</f>
        <v>-28276.080000000002</v>
      </c>
    </row>
    <row r="64" spans="1:46" hidden="1" outlineLevel="1" collapsed="1" x14ac:dyDescent="0.25">
      <c r="A64" s="452">
        <v>1790</v>
      </c>
      <c r="B64" t="s">
        <v>1970</v>
      </c>
      <c r="C64" t="s">
        <v>1971</v>
      </c>
      <c r="D64" t="s">
        <v>711</v>
      </c>
      <c r="G64" s="453">
        <f t="shared" si="0"/>
        <v>2692.27</v>
      </c>
      <c r="H64" s="453">
        <f t="shared" si="1"/>
        <v>1513.82</v>
      </c>
      <c r="I64" s="453">
        <f t="shared" si="2"/>
        <v>0</v>
      </c>
      <c r="K64" s="453">
        <v>-208912.85</v>
      </c>
      <c r="L64" s="453">
        <v>-208912.85</v>
      </c>
      <c r="M64" s="453">
        <v>-139289.67000000001</v>
      </c>
      <c r="N64" s="453">
        <v>-139289.67000000001</v>
      </c>
      <c r="O64" s="453">
        <v>-13919.25</v>
      </c>
      <c r="P64" s="453">
        <v>-13919.25</v>
      </c>
      <c r="Q64" s="453">
        <v>-13919.25</v>
      </c>
      <c r="R64" s="453">
        <v>-13919.25</v>
      </c>
      <c r="S64" s="453">
        <v>-13919.25</v>
      </c>
      <c r="T64" s="453">
        <v>0</v>
      </c>
      <c r="U64" s="453">
        <v>0</v>
      </c>
      <c r="V64" s="453">
        <v>2692.27</v>
      </c>
      <c r="W64" s="453">
        <v>113578.39</v>
      </c>
      <c r="X64" s="453">
        <v>11538.65</v>
      </c>
      <c r="Y64" s="453">
        <v>1513.82</v>
      </c>
      <c r="Z64" s="453">
        <v>1513.82</v>
      </c>
      <c r="AA64" s="453">
        <v>1513.82</v>
      </c>
      <c r="AB64" s="453">
        <v>1513.82</v>
      </c>
      <c r="AC64" s="453">
        <v>1513.82</v>
      </c>
      <c r="AD64" s="453">
        <v>1513.82</v>
      </c>
      <c r="AE64" s="453">
        <v>1513.82</v>
      </c>
      <c r="AF64" s="453">
        <v>1513.82</v>
      </c>
      <c r="AG64" s="453">
        <v>1513.82</v>
      </c>
      <c r="AH64" s="453">
        <v>1513.82</v>
      </c>
    </row>
    <row r="65" spans="1:46" hidden="1" outlineLevel="1" collapsed="1" x14ac:dyDescent="0.25">
      <c r="A65" s="452">
        <v>1790</v>
      </c>
      <c r="B65" t="s">
        <v>1972</v>
      </c>
      <c r="C65" t="s">
        <v>1973</v>
      </c>
      <c r="D65" t="s">
        <v>711</v>
      </c>
      <c r="G65" s="453">
        <f t="shared" si="0"/>
        <v>0</v>
      </c>
      <c r="H65" s="453">
        <f t="shared" si="1"/>
        <v>0</v>
      </c>
      <c r="I65" s="453">
        <f t="shared" si="2"/>
        <v>0</v>
      </c>
      <c r="AI65" s="453">
        <v>6950.34</v>
      </c>
      <c r="AJ65" s="453">
        <v>412.3</v>
      </c>
      <c r="AK65" s="453">
        <v>0</v>
      </c>
      <c r="AL65" s="453">
        <v>0</v>
      </c>
      <c r="AM65" s="453">
        <v>0</v>
      </c>
      <c r="AN65" s="453">
        <v>0</v>
      </c>
      <c r="AO65" s="453">
        <v>0</v>
      </c>
      <c r="AP65" s="453">
        <v>0</v>
      </c>
      <c r="AQ65" s="453">
        <v>0</v>
      </c>
      <c r="AR65" s="453">
        <f>IFERROR(INDEX('SuSa Okt25'!$N:$N,MATCH($A65,'SuSa Okt25'!A:A,0)),"")</f>
        <v>0</v>
      </c>
      <c r="AS65" s="453">
        <f>IFERROR(INDEX('SuSa Nov25'!$N:$N,MATCH($A65,'SuSa Nov25'!$A:$A,0)),"")</f>
        <v>0</v>
      </c>
      <c r="AT65" s="453">
        <f>IFERROR(INDEX('SuSa Dez25'!$N:$N,MATCH($A65,'SuSa Dez25'!$A:$A,0)),"")</f>
        <v>0</v>
      </c>
    </row>
    <row r="66" spans="1:46" hidden="1" outlineLevel="1" collapsed="1" x14ac:dyDescent="0.25">
      <c r="A66" s="452">
        <v>1791</v>
      </c>
      <c r="B66" t="s">
        <v>1974</v>
      </c>
      <c r="C66" t="s">
        <v>1975</v>
      </c>
      <c r="D66" t="s">
        <v>711</v>
      </c>
      <c r="G66" s="453">
        <f t="shared" ref="G66:G130" si="3">V66</f>
        <v>0</v>
      </c>
      <c r="H66" s="453">
        <f t="shared" ref="H66:H130" si="4">AH66</f>
        <v>0</v>
      </c>
      <c r="I66" s="453">
        <f t="shared" si="2"/>
        <v>0</v>
      </c>
      <c r="W66" s="453">
        <v>2692.27</v>
      </c>
      <c r="X66" s="453">
        <v>0</v>
      </c>
      <c r="Y66" s="453">
        <v>0</v>
      </c>
      <c r="Z66" s="453">
        <v>0</v>
      </c>
      <c r="AA66" s="453">
        <v>0</v>
      </c>
      <c r="AB66" s="453">
        <v>0</v>
      </c>
      <c r="AC66" s="453">
        <v>0</v>
      </c>
      <c r="AD66" s="453">
        <v>0</v>
      </c>
      <c r="AE66" s="453">
        <v>0</v>
      </c>
      <c r="AF66" s="453">
        <v>0</v>
      </c>
      <c r="AG66" s="453">
        <v>0</v>
      </c>
      <c r="AH66" s="453">
        <v>0</v>
      </c>
      <c r="AR66" s="453">
        <f>IFERROR(INDEX('SuSa Okt25'!$N:$N,MATCH($A66,'SuSa Okt25'!A:A,0)),"")</f>
        <v>0</v>
      </c>
      <c r="AS66" s="453">
        <f>IFERROR(INDEX('SuSa Nov25'!$N:$N,MATCH($A66,'SuSa Nov25'!$A:$A,0)),"")</f>
        <v>0</v>
      </c>
      <c r="AT66" s="453">
        <f>IFERROR(INDEX('SuSa Dez25'!$N:$N,MATCH($A66,'SuSa Dez25'!$A:$A,0)),"")</f>
        <v>0</v>
      </c>
    </row>
    <row r="67" spans="1:46" hidden="1" outlineLevel="1" collapsed="1" x14ac:dyDescent="0.25">
      <c r="A67" s="452">
        <v>2110</v>
      </c>
      <c r="B67" t="s">
        <v>1147</v>
      </c>
      <c r="C67" t="s">
        <v>1148</v>
      </c>
      <c r="D67" t="s">
        <v>696</v>
      </c>
      <c r="G67" s="453">
        <f t="shared" si="3"/>
        <v>129.13999999999999</v>
      </c>
      <c r="H67" s="453">
        <f t="shared" si="4"/>
        <v>15.52</v>
      </c>
      <c r="I67" s="453">
        <f t="shared" ref="I67:I130" si="5">AT67</f>
        <v>176.21</v>
      </c>
      <c r="K67" s="453">
        <v>129.13999999999999</v>
      </c>
      <c r="L67" s="453">
        <v>129.13999999999999</v>
      </c>
      <c r="M67" s="453">
        <v>129.13999999999999</v>
      </c>
      <c r="N67" s="453">
        <v>129.13999999999999</v>
      </c>
      <c r="O67" s="453">
        <v>129.13999999999999</v>
      </c>
      <c r="P67" s="453">
        <v>129.13999999999999</v>
      </c>
      <c r="Q67" s="453">
        <v>129.13999999999999</v>
      </c>
      <c r="R67" s="453">
        <v>129.13999999999999</v>
      </c>
      <c r="S67" s="453">
        <v>129.13999999999999</v>
      </c>
      <c r="T67" s="453">
        <v>129.13999999999999</v>
      </c>
      <c r="U67" s="453">
        <v>129.13999999999999</v>
      </c>
      <c r="V67" s="453">
        <v>129.13999999999999</v>
      </c>
      <c r="W67" s="453">
        <v>0</v>
      </c>
      <c r="X67" s="453">
        <v>0</v>
      </c>
      <c r="Y67" s="453">
        <v>0</v>
      </c>
      <c r="Z67" s="453">
        <v>0</v>
      </c>
      <c r="AA67" s="453">
        <v>0</v>
      </c>
      <c r="AB67" s="453">
        <v>0</v>
      </c>
      <c r="AC67" s="453">
        <v>0</v>
      </c>
      <c r="AD67" s="453">
        <v>0</v>
      </c>
      <c r="AE67" s="453">
        <v>0</v>
      </c>
      <c r="AF67" s="453">
        <v>0</v>
      </c>
      <c r="AG67" s="453">
        <v>0</v>
      </c>
      <c r="AH67" s="453">
        <v>15.52</v>
      </c>
      <c r="AI67" s="453">
        <v>0</v>
      </c>
      <c r="AJ67" s="453">
        <v>0</v>
      </c>
      <c r="AK67" s="453">
        <v>84.87</v>
      </c>
      <c r="AL67" s="453">
        <v>84.87</v>
      </c>
      <c r="AM67" s="453">
        <v>84.87</v>
      </c>
      <c r="AN67" s="453">
        <v>110.6</v>
      </c>
      <c r="AO67" s="453">
        <v>162.62</v>
      </c>
      <c r="AP67" s="453">
        <v>162.62</v>
      </c>
      <c r="AQ67" s="453">
        <v>162.62</v>
      </c>
      <c r="AR67" s="453">
        <f>IFERROR(INDEX('SuSa Okt25'!$N:$N,MATCH($A67,'SuSa Okt25'!A:A,0)),"")</f>
        <v>176.21</v>
      </c>
      <c r="AS67" s="453">
        <f>IFERROR(INDEX('SuSa Nov25'!$N:$N,MATCH($A67,'SuSa Nov25'!$A:$A,0)),"")</f>
        <v>176.21</v>
      </c>
      <c r="AT67" s="453">
        <f>IFERROR(INDEX('SuSa Dez25'!$N:$N,MATCH($A67,'SuSa Dez25'!$A:$A,0)),"")</f>
        <v>176.21</v>
      </c>
    </row>
    <row r="68" spans="1:46" hidden="1" outlineLevel="1" collapsed="1" x14ac:dyDescent="0.25">
      <c r="A68" s="452">
        <v>2120</v>
      </c>
      <c r="B68" t="s">
        <v>1650</v>
      </c>
      <c r="C68" t="s">
        <v>1651</v>
      </c>
      <c r="D68" t="s">
        <v>696</v>
      </c>
      <c r="G68" s="453">
        <f t="shared" si="3"/>
        <v>0</v>
      </c>
      <c r="H68" s="453">
        <f t="shared" si="4"/>
        <v>0</v>
      </c>
      <c r="I68" s="453">
        <f t="shared" si="5"/>
        <v>169.27</v>
      </c>
      <c r="K68" s="453">
        <v>0</v>
      </c>
      <c r="L68" s="453">
        <v>0</v>
      </c>
      <c r="M68" s="453">
        <v>0</v>
      </c>
      <c r="N68" s="453">
        <v>0</v>
      </c>
      <c r="O68" s="453">
        <v>0</v>
      </c>
      <c r="P68" s="453">
        <v>0</v>
      </c>
      <c r="Q68" s="453">
        <v>0</v>
      </c>
      <c r="R68" s="453">
        <v>0</v>
      </c>
      <c r="S68" s="453">
        <v>0</v>
      </c>
      <c r="T68" s="453">
        <v>0</v>
      </c>
      <c r="U68" s="453">
        <v>0</v>
      </c>
      <c r="V68" s="453">
        <v>0</v>
      </c>
      <c r="W68" s="453">
        <v>0</v>
      </c>
      <c r="X68" s="453">
        <v>0</v>
      </c>
      <c r="Y68" s="453">
        <v>0</v>
      </c>
      <c r="Z68" s="453">
        <v>0</v>
      </c>
      <c r="AA68" s="453">
        <v>0</v>
      </c>
      <c r="AB68" s="453">
        <v>0</v>
      </c>
      <c r="AC68" s="453">
        <v>0</v>
      </c>
      <c r="AD68" s="453">
        <v>0</v>
      </c>
      <c r="AE68" s="453">
        <v>0</v>
      </c>
      <c r="AF68" s="453">
        <v>0</v>
      </c>
      <c r="AG68" s="453">
        <v>0</v>
      </c>
      <c r="AH68" s="453">
        <v>0</v>
      </c>
      <c r="AN68" s="453">
        <v>4.84</v>
      </c>
      <c r="AO68" s="453">
        <v>4.84</v>
      </c>
      <c r="AP68" s="453">
        <v>4.84</v>
      </c>
      <c r="AQ68" s="453">
        <v>48.83</v>
      </c>
      <c r="AR68" s="453">
        <f>IFERROR(INDEX('SuSa Okt25'!$N:$N,MATCH($A68,'SuSa Okt25'!A:A,0)),"")</f>
        <v>48.83</v>
      </c>
      <c r="AS68" s="453">
        <f>IFERROR(INDEX('SuSa Nov25'!$N:$N,MATCH($A68,'SuSa Nov25'!$A:$A,0)),"")</f>
        <v>48.83</v>
      </c>
      <c r="AT68" s="453">
        <f>IFERROR(INDEX('SuSa Dez25'!$N:$N,MATCH($A68,'SuSa Dez25'!$A:$A,0)),"")</f>
        <v>169.27</v>
      </c>
    </row>
    <row r="69" spans="1:46" hidden="1" outlineLevel="1" collapsed="1" x14ac:dyDescent="0.25">
      <c r="A69" s="452">
        <v>2146</v>
      </c>
      <c r="B69" t="s">
        <v>1149</v>
      </c>
      <c r="C69" t="s">
        <v>1976</v>
      </c>
      <c r="D69" t="s">
        <v>696</v>
      </c>
      <c r="G69" s="453">
        <f t="shared" si="3"/>
        <v>3561</v>
      </c>
      <c r="H69" s="453">
        <f t="shared" si="4"/>
        <v>3491</v>
      </c>
      <c r="I69" s="453">
        <f t="shared" si="5"/>
        <v>3502</v>
      </c>
      <c r="K69" s="453">
        <v>0</v>
      </c>
      <c r="L69" s="453">
        <v>0</v>
      </c>
      <c r="M69" s="453">
        <v>0</v>
      </c>
      <c r="N69" s="453">
        <v>0</v>
      </c>
      <c r="O69" s="453">
        <v>0</v>
      </c>
      <c r="P69" s="453">
        <v>0</v>
      </c>
      <c r="Q69" s="453">
        <v>0</v>
      </c>
      <c r="R69" s="453">
        <v>0</v>
      </c>
      <c r="S69" s="453">
        <v>3561</v>
      </c>
      <c r="T69" s="453">
        <v>3561</v>
      </c>
      <c r="U69" s="453">
        <v>3561</v>
      </c>
      <c r="V69" s="453">
        <v>3561</v>
      </c>
      <c r="W69" s="453">
        <v>0</v>
      </c>
      <c r="X69" s="453">
        <v>0</v>
      </c>
      <c r="Y69" s="453">
        <v>0</v>
      </c>
      <c r="Z69" s="453">
        <v>0</v>
      </c>
      <c r="AA69" s="453">
        <v>0</v>
      </c>
      <c r="AB69" s="453">
        <v>0</v>
      </c>
      <c r="AC69" s="453">
        <v>0</v>
      </c>
      <c r="AD69" s="453">
        <v>0</v>
      </c>
      <c r="AE69" s="453">
        <v>0</v>
      </c>
      <c r="AF69" s="453">
        <v>0</v>
      </c>
      <c r="AG69" s="453">
        <v>0</v>
      </c>
      <c r="AH69" s="453">
        <v>3491</v>
      </c>
      <c r="AI69" s="453">
        <v>0</v>
      </c>
      <c r="AJ69" s="453">
        <v>0</v>
      </c>
      <c r="AK69" s="453">
        <v>0</v>
      </c>
      <c r="AL69" s="453">
        <v>0</v>
      </c>
      <c r="AM69" s="453">
        <v>0</v>
      </c>
      <c r="AN69" s="453">
        <v>0</v>
      </c>
      <c r="AO69" s="453">
        <v>0</v>
      </c>
      <c r="AP69" s="453">
        <v>0</v>
      </c>
      <c r="AQ69" s="453">
        <v>0</v>
      </c>
      <c r="AR69" s="453">
        <f>IFERROR(INDEX('SuSa Okt25'!$N:$N,MATCH($A69,'SuSa Okt25'!A:A,0)),"")</f>
        <v>0</v>
      </c>
      <c r="AS69" s="453">
        <f>IFERROR(INDEX('SuSa Nov25'!$N:$N,MATCH($A69,'SuSa Nov25'!$A:$A,0)),"")</f>
        <v>0</v>
      </c>
      <c r="AT69" s="453">
        <f>IFERROR(INDEX('SuSa Dez25'!$N:$N,MATCH($A69,'SuSa Dez25'!$A:$A,0)),"")</f>
        <v>3502</v>
      </c>
    </row>
    <row r="70" spans="1:46" outlineLevel="1" collapsed="1" x14ac:dyDescent="0.25">
      <c r="A70" s="452">
        <v>2150</v>
      </c>
      <c r="B70" s="524" t="s">
        <v>1350</v>
      </c>
      <c r="C70" t="s">
        <v>1351</v>
      </c>
      <c r="D70" t="s">
        <v>1352</v>
      </c>
      <c r="F70" t="s">
        <v>2503</v>
      </c>
      <c r="G70" s="453">
        <f t="shared" si="3"/>
        <v>0</v>
      </c>
      <c r="H70" s="453">
        <f t="shared" si="4"/>
        <v>0</v>
      </c>
      <c r="I70" s="453">
        <f t="shared" si="5"/>
        <v>51.15</v>
      </c>
      <c r="AI70" s="453">
        <v>51.15</v>
      </c>
      <c r="AJ70" s="453">
        <v>51.15</v>
      </c>
      <c r="AK70" s="453">
        <v>51.15</v>
      </c>
      <c r="AL70" s="453">
        <v>51.15</v>
      </c>
      <c r="AM70" s="453">
        <v>51.15</v>
      </c>
      <c r="AN70" s="453">
        <v>51.15</v>
      </c>
      <c r="AO70" s="453">
        <v>51.15</v>
      </c>
      <c r="AP70" s="453">
        <v>51.15</v>
      </c>
      <c r="AQ70" s="453">
        <v>51.15</v>
      </c>
      <c r="AR70" s="453">
        <f>IFERROR(INDEX('SuSa Okt25'!$N:$N,MATCH($A70,'SuSa Okt25'!A:A,0)),"")</f>
        <v>51.15</v>
      </c>
      <c r="AS70" s="453">
        <f>IFERROR(INDEX('SuSa Nov25'!$N:$N,MATCH($A70,'SuSa Nov25'!$A:$A,0)),"")</f>
        <v>51.15</v>
      </c>
      <c r="AT70" s="453">
        <f>IFERROR(INDEX('SuSa Dez25'!$N:$N,MATCH($A70,'SuSa Dez25'!$A:$A,0)),"")</f>
        <v>51.15</v>
      </c>
    </row>
    <row r="71" spans="1:46" hidden="1" outlineLevel="1" collapsed="1" x14ac:dyDescent="0.25">
      <c r="A71" s="452">
        <v>2200</v>
      </c>
      <c r="B71" t="s">
        <v>1153</v>
      </c>
      <c r="C71" t="s">
        <v>1154</v>
      </c>
      <c r="D71" t="s">
        <v>698</v>
      </c>
      <c r="G71" s="453">
        <f t="shared" si="3"/>
        <v>187173</v>
      </c>
      <c r="H71" s="453">
        <f t="shared" si="4"/>
        <v>187879</v>
      </c>
      <c r="I71" s="453">
        <f t="shared" si="5"/>
        <v>85286</v>
      </c>
      <c r="K71" s="453">
        <v>0</v>
      </c>
      <c r="L71" s="453">
        <v>0</v>
      </c>
      <c r="M71" s="453">
        <v>80929</v>
      </c>
      <c r="N71" s="453">
        <v>80929</v>
      </c>
      <c r="O71" s="453">
        <v>80929</v>
      </c>
      <c r="P71" s="453">
        <v>161858</v>
      </c>
      <c r="Q71" s="453">
        <v>161858</v>
      </c>
      <c r="R71" s="453">
        <v>161858</v>
      </c>
      <c r="S71" s="453">
        <v>242787</v>
      </c>
      <c r="T71" s="453">
        <v>242787</v>
      </c>
      <c r="U71" s="453">
        <v>242787</v>
      </c>
      <c r="V71" s="453">
        <v>187173</v>
      </c>
      <c r="W71" s="453">
        <v>0</v>
      </c>
      <c r="X71" s="453">
        <v>0</v>
      </c>
      <c r="Y71" s="453">
        <v>57962</v>
      </c>
      <c r="Z71" s="453">
        <v>57962</v>
      </c>
      <c r="AA71" s="453">
        <v>57962</v>
      </c>
      <c r="AB71" s="453">
        <v>130565</v>
      </c>
      <c r="AC71" s="453">
        <v>130565</v>
      </c>
      <c r="AD71" s="453">
        <v>130565</v>
      </c>
      <c r="AE71" s="453">
        <v>188527</v>
      </c>
      <c r="AF71" s="453">
        <v>188527</v>
      </c>
      <c r="AG71" s="453">
        <v>188527</v>
      </c>
      <c r="AH71" s="453">
        <v>187879</v>
      </c>
      <c r="AI71" s="453">
        <v>0</v>
      </c>
      <c r="AJ71" s="453">
        <v>0</v>
      </c>
      <c r="AK71" s="453">
        <v>46793</v>
      </c>
      <c r="AL71" s="453">
        <v>46793</v>
      </c>
      <c r="AM71" s="453">
        <v>46793</v>
      </c>
      <c r="AN71" s="453">
        <v>93586</v>
      </c>
      <c r="AO71" s="453">
        <v>93586</v>
      </c>
      <c r="AP71" s="453">
        <v>93586</v>
      </c>
      <c r="AQ71" s="453">
        <v>140379</v>
      </c>
      <c r="AR71" s="453">
        <f>IFERROR(INDEX('SuSa Okt25'!$N:$N,MATCH($A71,'SuSa Okt25'!A:A,0)),"")</f>
        <v>140379</v>
      </c>
      <c r="AS71" s="453">
        <f>IFERROR(INDEX('SuSa Nov25'!$N:$N,MATCH($A71,'SuSa Nov25'!$A:$A,0)),"")</f>
        <v>140379</v>
      </c>
      <c r="AT71" s="453">
        <f>IFERROR(INDEX('SuSa Dez25'!$N:$N,MATCH($A71,'SuSa Dez25'!$A:$A,0)),"")</f>
        <v>85286</v>
      </c>
    </row>
    <row r="72" spans="1:46" hidden="1" outlineLevel="1" collapsed="1" x14ac:dyDescent="0.25">
      <c r="A72" s="452">
        <v>2204</v>
      </c>
      <c r="B72" t="s">
        <v>1155</v>
      </c>
      <c r="C72" t="s">
        <v>1977</v>
      </c>
      <c r="D72" t="s">
        <v>698</v>
      </c>
      <c r="G72" s="453">
        <f t="shared" si="3"/>
        <v>0</v>
      </c>
      <c r="H72" s="453">
        <f t="shared" si="4"/>
        <v>0</v>
      </c>
      <c r="I72" s="453">
        <f t="shared" si="5"/>
        <v>-2</v>
      </c>
      <c r="K72" s="453">
        <v>0</v>
      </c>
      <c r="L72" s="453">
        <v>0</v>
      </c>
      <c r="M72" s="453">
        <v>0</v>
      </c>
      <c r="N72" s="453">
        <v>0</v>
      </c>
      <c r="O72" s="453">
        <v>0</v>
      </c>
      <c r="P72" s="453">
        <v>0</v>
      </c>
      <c r="Q72" s="453">
        <v>0</v>
      </c>
      <c r="R72" s="453">
        <v>0</v>
      </c>
      <c r="S72" s="453">
        <v>0</v>
      </c>
      <c r="T72" s="453">
        <v>0</v>
      </c>
      <c r="U72" s="453">
        <v>0</v>
      </c>
      <c r="V72" s="453">
        <v>0</v>
      </c>
      <c r="AI72" s="453">
        <v>-1</v>
      </c>
      <c r="AJ72" s="453">
        <v>-1</v>
      </c>
      <c r="AK72" s="453">
        <v>-1</v>
      </c>
      <c r="AL72" s="453">
        <v>-1</v>
      </c>
      <c r="AM72" s="453">
        <v>-1</v>
      </c>
      <c r="AN72" s="453">
        <v>-1</v>
      </c>
      <c r="AO72" s="453">
        <v>-1</v>
      </c>
      <c r="AP72" s="453">
        <v>-1</v>
      </c>
      <c r="AQ72" s="453">
        <v>-1</v>
      </c>
      <c r="AR72" s="453">
        <f>IFERROR(INDEX('SuSa Okt25'!$N:$N,MATCH($A72,'SuSa Okt25'!A:A,0)),"")</f>
        <v>-1</v>
      </c>
      <c r="AS72" s="453">
        <f>IFERROR(INDEX('SuSa Nov25'!$N:$N,MATCH($A72,'SuSa Nov25'!$A:$A,0)),"")</f>
        <v>-1</v>
      </c>
      <c r="AT72" s="453">
        <f>IFERROR(INDEX('SuSa Dez25'!$N:$N,MATCH($A72,'SuSa Dez25'!$A:$A,0)),"")</f>
        <v>-2</v>
      </c>
    </row>
    <row r="73" spans="1:46" hidden="1" outlineLevel="1" collapsed="1" x14ac:dyDescent="0.25">
      <c r="A73" s="452">
        <v>2208</v>
      </c>
      <c r="B73" t="s">
        <v>1157</v>
      </c>
      <c r="C73" t="s">
        <v>1158</v>
      </c>
      <c r="D73" t="s">
        <v>698</v>
      </c>
      <c r="G73" s="453">
        <f t="shared" si="3"/>
        <v>10294.51</v>
      </c>
      <c r="H73" s="453">
        <f t="shared" si="4"/>
        <v>10333.35</v>
      </c>
      <c r="I73" s="453">
        <f t="shared" si="5"/>
        <v>4690.7299999999996</v>
      </c>
      <c r="K73" s="453">
        <v>0</v>
      </c>
      <c r="L73" s="453">
        <v>0</v>
      </c>
      <c r="M73" s="453">
        <v>4451</v>
      </c>
      <c r="N73" s="453">
        <v>4451</v>
      </c>
      <c r="O73" s="453">
        <v>4451</v>
      </c>
      <c r="P73" s="453">
        <v>8902</v>
      </c>
      <c r="Q73" s="453">
        <v>8902</v>
      </c>
      <c r="R73" s="453">
        <v>8902</v>
      </c>
      <c r="S73" s="453">
        <v>13353</v>
      </c>
      <c r="T73" s="453">
        <v>13353</v>
      </c>
      <c r="U73" s="453">
        <v>13353</v>
      </c>
      <c r="V73" s="453">
        <v>10294.51</v>
      </c>
      <c r="W73" s="453">
        <v>0</v>
      </c>
      <c r="X73" s="453">
        <v>0</v>
      </c>
      <c r="Y73" s="453">
        <v>3188</v>
      </c>
      <c r="Z73" s="453">
        <v>3188</v>
      </c>
      <c r="AA73" s="453">
        <v>3188</v>
      </c>
      <c r="AB73" s="453">
        <v>7181.08</v>
      </c>
      <c r="AC73" s="453">
        <v>7181.08</v>
      </c>
      <c r="AD73" s="453">
        <v>7181.08</v>
      </c>
      <c r="AE73" s="453">
        <v>10369.08</v>
      </c>
      <c r="AF73" s="453">
        <v>10369.08</v>
      </c>
      <c r="AG73" s="453">
        <v>10369.08</v>
      </c>
      <c r="AH73" s="453">
        <v>10333.35</v>
      </c>
      <c r="AI73" s="453">
        <v>0</v>
      </c>
      <c r="AJ73" s="453">
        <v>0</v>
      </c>
      <c r="AK73" s="453">
        <v>2573</v>
      </c>
      <c r="AL73" s="453">
        <v>2573</v>
      </c>
      <c r="AM73" s="453">
        <v>2573</v>
      </c>
      <c r="AN73" s="453">
        <v>5146</v>
      </c>
      <c r="AO73" s="453">
        <v>5146</v>
      </c>
      <c r="AP73" s="453">
        <v>5146</v>
      </c>
      <c r="AQ73" s="453">
        <v>7719</v>
      </c>
      <c r="AR73" s="453">
        <f>IFERROR(INDEX('SuSa Okt25'!$N:$N,MATCH($A73,'SuSa Okt25'!A:A,0)),"")</f>
        <v>7719</v>
      </c>
      <c r="AS73" s="453">
        <f>IFERROR(INDEX('SuSa Nov25'!$N:$N,MATCH($A73,'SuSa Nov25'!$A:$A,0)),"")</f>
        <v>7719</v>
      </c>
      <c r="AT73" s="453">
        <f>IFERROR(INDEX('SuSa Dez25'!$N:$N,MATCH($A73,'SuSa Dez25'!$A:$A,0)),"")</f>
        <v>4690.7299999999996</v>
      </c>
    </row>
    <row r="74" spans="1:46" hidden="1" outlineLevel="1" collapsed="1" x14ac:dyDescent="0.25">
      <c r="A74" s="452">
        <v>2213</v>
      </c>
      <c r="B74" t="s">
        <v>1161</v>
      </c>
      <c r="C74" t="s">
        <v>1162</v>
      </c>
      <c r="D74" t="s">
        <v>698</v>
      </c>
      <c r="G74" s="453">
        <f t="shared" si="3"/>
        <v>1106.25</v>
      </c>
      <c r="H74" s="453">
        <f t="shared" si="4"/>
        <v>542.13</v>
      </c>
      <c r="I74" s="453">
        <f t="shared" si="5"/>
        <v>327.13</v>
      </c>
      <c r="K74" s="453">
        <v>0</v>
      </c>
      <c r="L74" s="453">
        <v>505</v>
      </c>
      <c r="M74" s="453">
        <v>505</v>
      </c>
      <c r="N74" s="453">
        <v>505</v>
      </c>
      <c r="O74" s="453">
        <v>1105</v>
      </c>
      <c r="P74" s="453">
        <v>1106.25</v>
      </c>
      <c r="Q74" s="453">
        <v>1106.25</v>
      </c>
      <c r="R74" s="453">
        <v>1106.25</v>
      </c>
      <c r="S74" s="453">
        <v>1106.25</v>
      </c>
      <c r="T74" s="453">
        <v>1106.25</v>
      </c>
      <c r="U74" s="453">
        <v>1106.25</v>
      </c>
      <c r="V74" s="453">
        <v>1106.25</v>
      </c>
      <c r="W74" s="453">
        <v>0</v>
      </c>
      <c r="X74" s="453">
        <v>275</v>
      </c>
      <c r="Y74" s="453">
        <v>275</v>
      </c>
      <c r="Z74" s="453">
        <v>512.5</v>
      </c>
      <c r="AA74" s="453">
        <v>540</v>
      </c>
      <c r="AB74" s="453">
        <v>540</v>
      </c>
      <c r="AC74" s="453">
        <v>540</v>
      </c>
      <c r="AD74" s="453">
        <v>540</v>
      </c>
      <c r="AE74" s="453">
        <v>540</v>
      </c>
      <c r="AF74" s="453">
        <v>540</v>
      </c>
      <c r="AG74" s="453">
        <v>540</v>
      </c>
      <c r="AH74" s="453">
        <v>542.13</v>
      </c>
      <c r="AI74" s="453">
        <v>0</v>
      </c>
      <c r="AJ74" s="453">
        <v>0</v>
      </c>
      <c r="AK74" s="453">
        <v>325</v>
      </c>
      <c r="AL74" s="453">
        <v>325</v>
      </c>
      <c r="AM74" s="453">
        <v>325</v>
      </c>
      <c r="AN74" s="453">
        <v>325</v>
      </c>
      <c r="AO74" s="453">
        <v>325</v>
      </c>
      <c r="AP74" s="453">
        <v>325</v>
      </c>
      <c r="AQ74" s="453">
        <v>325</v>
      </c>
      <c r="AR74" s="453">
        <f>IFERROR(INDEX('SuSa Okt25'!$N:$N,MATCH($A74,'SuSa Okt25'!A:A,0)),"")</f>
        <v>325</v>
      </c>
      <c r="AS74" s="453">
        <f>IFERROR(INDEX('SuSa Nov25'!$N:$N,MATCH($A74,'SuSa Nov25'!$A:$A,0)),"")</f>
        <v>325</v>
      </c>
      <c r="AT74" s="453">
        <f>IFERROR(INDEX('SuSa Dez25'!$N:$N,MATCH($A74,'SuSa Dez25'!$A:$A,0)),"")</f>
        <v>327.13</v>
      </c>
    </row>
    <row r="75" spans="1:46" hidden="1" outlineLevel="1" collapsed="1" x14ac:dyDescent="0.25">
      <c r="A75" s="452">
        <v>2216</v>
      </c>
      <c r="B75" t="s">
        <v>1163</v>
      </c>
      <c r="C75" t="s">
        <v>1164</v>
      </c>
      <c r="D75" t="s">
        <v>698</v>
      </c>
      <c r="G75" s="453">
        <f t="shared" si="3"/>
        <v>60.83</v>
      </c>
      <c r="H75" s="453">
        <f t="shared" si="4"/>
        <v>29.8</v>
      </c>
      <c r="I75" s="453">
        <f t="shared" si="5"/>
        <v>17.98</v>
      </c>
      <c r="K75" s="453">
        <v>0</v>
      </c>
      <c r="L75" s="453">
        <v>27.77</v>
      </c>
      <c r="M75" s="453">
        <v>27.77</v>
      </c>
      <c r="N75" s="453">
        <v>27.77</v>
      </c>
      <c r="O75" s="453">
        <v>60.77</v>
      </c>
      <c r="P75" s="453">
        <v>60.83</v>
      </c>
      <c r="Q75" s="453">
        <v>60.83</v>
      </c>
      <c r="R75" s="453">
        <v>60.83</v>
      </c>
      <c r="S75" s="453">
        <v>60.83</v>
      </c>
      <c r="T75" s="453">
        <v>60.83</v>
      </c>
      <c r="U75" s="453">
        <v>60.83</v>
      </c>
      <c r="V75" s="453">
        <v>60.83</v>
      </c>
      <c r="W75" s="453">
        <v>0</v>
      </c>
      <c r="X75" s="453">
        <v>15.12</v>
      </c>
      <c r="Y75" s="453">
        <v>15.12</v>
      </c>
      <c r="Z75" s="453">
        <v>28.18</v>
      </c>
      <c r="AA75" s="453">
        <v>29.69</v>
      </c>
      <c r="AB75" s="453">
        <v>29.69</v>
      </c>
      <c r="AC75" s="453">
        <v>29.69</v>
      </c>
      <c r="AD75" s="453">
        <v>29.69</v>
      </c>
      <c r="AE75" s="453">
        <v>29.69</v>
      </c>
      <c r="AF75" s="453">
        <v>29.69</v>
      </c>
      <c r="AG75" s="453">
        <v>29.69</v>
      </c>
      <c r="AH75" s="453">
        <v>29.8</v>
      </c>
      <c r="AI75" s="453">
        <v>0</v>
      </c>
      <c r="AJ75" s="453">
        <v>0</v>
      </c>
      <c r="AK75" s="453">
        <v>17.87</v>
      </c>
      <c r="AL75" s="453">
        <v>17.87</v>
      </c>
      <c r="AM75" s="453">
        <v>17.87</v>
      </c>
      <c r="AN75" s="453">
        <v>17.87</v>
      </c>
      <c r="AO75" s="453">
        <v>17.87</v>
      </c>
      <c r="AP75" s="453">
        <v>17.87</v>
      </c>
      <c r="AQ75" s="453">
        <v>17.87</v>
      </c>
      <c r="AR75" s="453">
        <f>IFERROR(INDEX('SuSa Okt25'!$N:$N,MATCH($A75,'SuSa Okt25'!A:A,0)),"")</f>
        <v>17.87</v>
      </c>
      <c r="AS75" s="453">
        <f>IFERROR(INDEX('SuSa Nov25'!$N:$N,MATCH($A75,'SuSa Nov25'!$A:$A,0)),"")</f>
        <v>17.87</v>
      </c>
      <c r="AT75" s="453">
        <f>IFERROR(INDEX('SuSa Dez25'!$N:$N,MATCH($A75,'SuSa Dez25'!$A:$A,0)),"")</f>
        <v>17.98</v>
      </c>
    </row>
    <row r="76" spans="1:46" hidden="1" outlineLevel="1" collapsed="1" x14ac:dyDescent="0.25">
      <c r="A76" s="452">
        <v>2250</v>
      </c>
      <c r="B76" t="s">
        <v>1652</v>
      </c>
      <c r="C76" t="s">
        <v>1166</v>
      </c>
      <c r="D76" t="s">
        <v>698</v>
      </c>
      <c r="G76" s="453">
        <f t="shared" si="3"/>
        <v>0</v>
      </c>
      <c r="H76" s="453">
        <f t="shared" si="4"/>
        <v>48876</v>
      </c>
      <c r="I76" s="453">
        <f t="shared" si="5"/>
        <v>149460</v>
      </c>
      <c r="AH76" s="453">
        <v>48876</v>
      </c>
      <c r="AI76" s="453">
        <v>0</v>
      </c>
      <c r="AJ76" s="453">
        <v>0</v>
      </c>
      <c r="AK76" s="453">
        <v>0</v>
      </c>
      <c r="AL76" s="453">
        <v>0</v>
      </c>
      <c r="AM76" s="453">
        <v>0</v>
      </c>
      <c r="AN76" s="453">
        <v>0</v>
      </c>
      <c r="AO76" s="453">
        <v>0</v>
      </c>
      <c r="AP76" s="453">
        <v>0</v>
      </c>
      <c r="AQ76" s="453">
        <v>0</v>
      </c>
      <c r="AR76" s="453">
        <f>IFERROR(INDEX('SuSa Okt25'!$N:$N,MATCH($A76,'SuSa Okt25'!A:A,0)),"")</f>
        <v>0</v>
      </c>
      <c r="AS76" s="453">
        <f>IFERROR(INDEX('SuSa Nov25'!$N:$N,MATCH($A76,'SuSa Nov25'!$A:$A,0)),"")</f>
        <v>0</v>
      </c>
      <c r="AT76" s="453">
        <f>IFERROR(INDEX('SuSa Dez25'!$N:$N,MATCH($A76,'SuSa Dez25'!$A:$A,0)),"")</f>
        <v>149460</v>
      </c>
    </row>
    <row r="77" spans="1:46" hidden="1" outlineLevel="1" collapsed="1" x14ac:dyDescent="0.25">
      <c r="A77" s="452">
        <v>2281</v>
      </c>
      <c r="B77" t="s">
        <v>1167</v>
      </c>
      <c r="C77" t="s">
        <v>1168</v>
      </c>
      <c r="D77" t="s">
        <v>698</v>
      </c>
      <c r="G77" s="453">
        <f t="shared" si="3"/>
        <v>0</v>
      </c>
      <c r="H77" s="453">
        <f t="shared" si="4"/>
        <v>0.33</v>
      </c>
      <c r="I77" s="453">
        <f t="shared" si="5"/>
        <v>0.84</v>
      </c>
      <c r="K77" s="453">
        <v>0</v>
      </c>
      <c r="L77" s="453">
        <v>0</v>
      </c>
      <c r="M77" s="453">
        <v>0</v>
      </c>
      <c r="N77" s="453">
        <v>0</v>
      </c>
      <c r="O77" s="453">
        <v>0</v>
      </c>
      <c r="P77" s="453">
        <v>0</v>
      </c>
      <c r="Q77" s="453">
        <v>0</v>
      </c>
      <c r="R77" s="453">
        <v>0</v>
      </c>
      <c r="S77" s="453">
        <v>0</v>
      </c>
      <c r="T77" s="453">
        <v>0</v>
      </c>
      <c r="U77" s="453">
        <v>0</v>
      </c>
      <c r="V77" s="453">
        <v>0</v>
      </c>
      <c r="Z77" s="453">
        <v>0.33</v>
      </c>
      <c r="AA77" s="453">
        <v>0.33</v>
      </c>
      <c r="AB77" s="453">
        <v>0.33</v>
      </c>
      <c r="AC77" s="453">
        <v>0.33</v>
      </c>
      <c r="AD77" s="453">
        <v>0.33</v>
      </c>
      <c r="AE77" s="453">
        <v>0.33</v>
      </c>
      <c r="AF77" s="453">
        <v>0.33</v>
      </c>
      <c r="AG77" s="453">
        <v>0.33</v>
      </c>
      <c r="AH77" s="453">
        <v>0.33</v>
      </c>
      <c r="AI77" s="453">
        <v>0</v>
      </c>
      <c r="AJ77" s="453">
        <v>0.84</v>
      </c>
      <c r="AK77" s="453">
        <v>0.84</v>
      </c>
      <c r="AL77" s="453">
        <v>0.84</v>
      </c>
      <c r="AM77" s="453">
        <v>0.84</v>
      </c>
      <c r="AN77" s="453">
        <v>0.84</v>
      </c>
      <c r="AO77" s="453">
        <v>0.84</v>
      </c>
      <c r="AP77" s="453">
        <v>0.84</v>
      </c>
      <c r="AQ77" s="453">
        <v>0.84</v>
      </c>
      <c r="AR77" s="453">
        <f>IFERROR(INDEX('SuSa Okt25'!$N:$N,MATCH($A77,'SuSa Okt25'!A:A,0)),"")</f>
        <v>0.84</v>
      </c>
      <c r="AS77" s="453">
        <f>IFERROR(INDEX('SuSa Nov25'!$N:$N,MATCH($A77,'SuSa Nov25'!$A:$A,0)),"")</f>
        <v>0.84</v>
      </c>
      <c r="AT77" s="453">
        <f>IFERROR(INDEX('SuSa Dez25'!$N:$N,MATCH($A77,'SuSa Dez25'!$A:$A,0)),"")</f>
        <v>0.84</v>
      </c>
    </row>
    <row r="78" spans="1:46" outlineLevel="1" collapsed="1" x14ac:dyDescent="0.25">
      <c r="A78" s="527">
        <v>2300</v>
      </c>
      <c r="B78" s="524" t="s">
        <v>1353</v>
      </c>
      <c r="C78" t="s">
        <v>1354</v>
      </c>
      <c r="D78" t="s">
        <v>1352</v>
      </c>
      <c r="F78" t="s">
        <v>2503</v>
      </c>
      <c r="G78" s="453">
        <f t="shared" si="3"/>
        <v>7521.42</v>
      </c>
      <c r="H78" s="453">
        <f t="shared" si="4"/>
        <v>23561.79</v>
      </c>
      <c r="I78" s="453">
        <f t="shared" si="5"/>
        <v>67997.820000000007</v>
      </c>
      <c r="K78" s="453">
        <v>0</v>
      </c>
      <c r="L78" s="453">
        <v>1.45</v>
      </c>
      <c r="M78" s="453">
        <v>1398.95</v>
      </c>
      <c r="N78" s="453">
        <v>1398.95</v>
      </c>
      <c r="O78" s="453">
        <v>1398.95</v>
      </c>
      <c r="P78" s="453">
        <v>1398.95</v>
      </c>
      <c r="Q78" s="453">
        <v>1398.95</v>
      </c>
      <c r="R78" s="453">
        <v>3767.2</v>
      </c>
      <c r="S78" s="453">
        <v>4448.71</v>
      </c>
      <c r="T78" s="453">
        <v>7252.87</v>
      </c>
      <c r="U78" s="453">
        <v>7252.87</v>
      </c>
      <c r="V78" s="453">
        <v>7521.42</v>
      </c>
      <c r="W78" s="453">
        <v>436.78</v>
      </c>
      <c r="X78" s="453">
        <v>436.78</v>
      </c>
      <c r="Y78" s="453">
        <v>1236.78</v>
      </c>
      <c r="Z78" s="453">
        <v>1236.78</v>
      </c>
      <c r="AA78" s="453">
        <v>1236.78</v>
      </c>
      <c r="AB78" s="453">
        <v>6596.78</v>
      </c>
      <c r="AC78" s="453">
        <v>7161.68</v>
      </c>
      <c r="AD78" s="453">
        <v>13814.72</v>
      </c>
      <c r="AE78" s="453">
        <v>13814.72</v>
      </c>
      <c r="AF78" s="453">
        <v>13814.72</v>
      </c>
      <c r="AG78" s="453">
        <v>15288.23</v>
      </c>
      <c r="AH78" s="453">
        <v>23561.79</v>
      </c>
      <c r="AI78" s="453">
        <v>0</v>
      </c>
      <c r="AJ78" s="453">
        <v>93.68</v>
      </c>
      <c r="AK78" s="453">
        <v>2093.6799999999998</v>
      </c>
      <c r="AL78" s="453">
        <v>2093.6799999999998</v>
      </c>
      <c r="AM78" s="453">
        <v>2093.6799999999998</v>
      </c>
      <c r="AN78" s="453">
        <v>2093.6799999999998</v>
      </c>
      <c r="AO78" s="453">
        <v>2093.6799999999998</v>
      </c>
      <c r="AP78" s="453">
        <v>2093.6799999999998</v>
      </c>
      <c r="AQ78" s="453">
        <v>3060.71</v>
      </c>
      <c r="AR78" s="453">
        <f>IFERROR(INDEX('SuSa Okt25'!$N:$N,MATCH($A78,'SuSa Okt25'!A:A,0)),"")</f>
        <v>4581.6099999999997</v>
      </c>
      <c r="AS78" s="453">
        <f>IFERROR(INDEX('SuSa Nov25'!$N:$N,MATCH($A78,'SuSa Nov25'!$A:$A,0)),"")</f>
        <v>9819.14</v>
      </c>
      <c r="AT78" s="453">
        <f>IFERROR(INDEX('SuSa Dez25'!$N:$N,MATCH($A78,'SuSa Dez25'!$A:$A,0)),"")</f>
        <v>67997.820000000007</v>
      </c>
    </row>
    <row r="79" spans="1:46" outlineLevel="1" collapsed="1" x14ac:dyDescent="0.25">
      <c r="A79" s="452">
        <v>2310</v>
      </c>
      <c r="B79" s="468" t="s">
        <v>1355</v>
      </c>
      <c r="C79" t="s">
        <v>1356</v>
      </c>
      <c r="D79" t="s">
        <v>1352</v>
      </c>
      <c r="F79" t="s">
        <v>2502</v>
      </c>
      <c r="G79" s="453">
        <f t="shared" si="3"/>
        <v>32027</v>
      </c>
      <c r="H79" s="453">
        <f t="shared" si="4"/>
        <v>16825</v>
      </c>
      <c r="I79" s="453">
        <f t="shared" si="5"/>
        <v>11563</v>
      </c>
      <c r="K79" s="453">
        <v>0</v>
      </c>
      <c r="L79" s="453">
        <v>9486</v>
      </c>
      <c r="M79" s="453">
        <v>9486</v>
      </c>
      <c r="N79" s="453">
        <v>9486</v>
      </c>
      <c r="O79" s="453">
        <v>9486</v>
      </c>
      <c r="P79" s="453">
        <v>9486</v>
      </c>
      <c r="Q79" s="453">
        <v>9486</v>
      </c>
      <c r="R79" s="453">
        <v>9486</v>
      </c>
      <c r="S79" s="453">
        <v>9486</v>
      </c>
      <c r="T79" s="453">
        <v>9486</v>
      </c>
      <c r="U79" s="453">
        <v>9486</v>
      </c>
      <c r="V79" s="453">
        <v>32027</v>
      </c>
      <c r="W79" s="453">
        <v>1556</v>
      </c>
      <c r="X79" s="453">
        <v>4566</v>
      </c>
      <c r="Y79" s="453">
        <v>4566</v>
      </c>
      <c r="Z79" s="453">
        <v>6101</v>
      </c>
      <c r="AA79" s="453">
        <v>6101</v>
      </c>
      <c r="AB79" s="453">
        <v>6101</v>
      </c>
      <c r="AC79" s="453">
        <v>10492</v>
      </c>
      <c r="AD79" s="453">
        <v>10492</v>
      </c>
      <c r="AE79" s="453">
        <v>16821</v>
      </c>
      <c r="AF79" s="453">
        <v>16821</v>
      </c>
      <c r="AG79" s="453">
        <v>16821</v>
      </c>
      <c r="AH79" s="453">
        <v>16825</v>
      </c>
      <c r="AI79" s="453">
        <v>4318</v>
      </c>
      <c r="AJ79" s="453">
        <v>4318</v>
      </c>
      <c r="AK79" s="453">
        <v>11563</v>
      </c>
      <c r="AL79" s="453">
        <v>11563</v>
      </c>
      <c r="AM79" s="453">
        <v>11563</v>
      </c>
      <c r="AN79" s="453">
        <v>11563</v>
      </c>
      <c r="AO79" s="453">
        <v>11563</v>
      </c>
      <c r="AP79" s="453">
        <v>11563</v>
      </c>
      <c r="AQ79" s="453">
        <v>11563</v>
      </c>
      <c r="AR79" s="453">
        <f>IFERROR(INDEX('SuSa Okt25'!$N:$N,MATCH($A79,'SuSa Okt25'!A:A,0)),"")</f>
        <v>11563</v>
      </c>
      <c r="AS79" s="453">
        <f>IFERROR(INDEX('SuSa Nov25'!$N:$N,MATCH($A79,'SuSa Nov25'!$A:$A,0)),"")</f>
        <v>11563</v>
      </c>
      <c r="AT79" s="453">
        <f>IFERROR(INDEX('SuSa Dez25'!$N:$N,MATCH($A79,'SuSa Dez25'!$A:$A,0)),"")</f>
        <v>11563</v>
      </c>
    </row>
    <row r="80" spans="1:46" outlineLevel="1" collapsed="1" x14ac:dyDescent="0.25">
      <c r="A80" s="452">
        <v>2312</v>
      </c>
      <c r="B80" s="468" t="s">
        <v>1357</v>
      </c>
      <c r="C80" t="s">
        <v>1358</v>
      </c>
      <c r="D80" t="s">
        <v>1352</v>
      </c>
      <c r="E80" t="s">
        <v>2466</v>
      </c>
      <c r="F80" t="s">
        <v>2502</v>
      </c>
      <c r="G80" s="453">
        <f t="shared" si="3"/>
        <v>0</v>
      </c>
      <c r="H80" s="453">
        <f t="shared" si="4"/>
        <v>102680</v>
      </c>
      <c r="I80" s="453">
        <f t="shared" si="5"/>
        <v>0</v>
      </c>
      <c r="K80" s="453">
        <v>0</v>
      </c>
      <c r="L80" s="453">
        <v>0</v>
      </c>
      <c r="M80" s="453">
        <v>0</v>
      </c>
      <c r="N80" s="453">
        <v>0</v>
      </c>
      <c r="O80" s="453">
        <v>0</v>
      </c>
      <c r="P80" s="453">
        <v>0</v>
      </c>
      <c r="Q80" s="453">
        <v>0</v>
      </c>
      <c r="R80" s="453">
        <v>0</v>
      </c>
      <c r="S80" s="453">
        <v>0</v>
      </c>
      <c r="T80" s="453">
        <v>0</v>
      </c>
      <c r="U80" s="453">
        <v>0</v>
      </c>
      <c r="V80" s="453">
        <v>0</v>
      </c>
      <c r="AF80" s="453">
        <v>102680</v>
      </c>
      <c r="AG80" s="453">
        <v>102680</v>
      </c>
      <c r="AH80" s="453">
        <v>102680</v>
      </c>
      <c r="AI80" s="453">
        <v>0</v>
      </c>
      <c r="AJ80" s="453">
        <v>0</v>
      </c>
      <c r="AK80" s="453">
        <v>0</v>
      </c>
      <c r="AL80" s="453">
        <v>0</v>
      </c>
      <c r="AM80" s="453">
        <v>0</v>
      </c>
      <c r="AN80" s="453">
        <v>0</v>
      </c>
      <c r="AO80" s="453">
        <v>0</v>
      </c>
      <c r="AP80" s="453">
        <v>0</v>
      </c>
      <c r="AQ80" s="453">
        <v>0</v>
      </c>
      <c r="AR80" s="453">
        <f>IFERROR(INDEX('SuSa Okt25'!$N:$N,MATCH($A80,'SuSa Okt25'!A:A,0)),"")</f>
        <v>0</v>
      </c>
      <c r="AS80" s="453">
        <f>IFERROR(INDEX('SuSa Nov25'!$N:$N,MATCH($A80,'SuSa Nov25'!$A:$A,0)),"")</f>
        <v>0</v>
      </c>
      <c r="AT80" s="453">
        <f>IFERROR(INDEX('SuSa Dez25'!$N:$N,MATCH($A80,'SuSa Dez25'!$A:$A,0)),"")</f>
        <v>0</v>
      </c>
    </row>
    <row r="81" spans="1:46" hidden="1" outlineLevel="1" collapsed="1" x14ac:dyDescent="0.25">
      <c r="A81" s="452">
        <v>2315</v>
      </c>
      <c r="B81" s="468" t="s">
        <v>1241</v>
      </c>
      <c r="C81" t="s">
        <v>1242</v>
      </c>
      <c r="D81" t="s">
        <v>690</v>
      </c>
      <c r="G81" s="453">
        <f t="shared" si="3"/>
        <v>48305</v>
      </c>
      <c r="H81" s="453">
        <f t="shared" si="4"/>
        <v>276857</v>
      </c>
      <c r="I81" s="453">
        <f t="shared" si="5"/>
        <v>19289</v>
      </c>
      <c r="K81" s="453">
        <v>11930</v>
      </c>
      <c r="L81" s="453">
        <v>11930</v>
      </c>
      <c r="M81" s="453">
        <v>21761</v>
      </c>
      <c r="N81" s="453">
        <v>21761</v>
      </c>
      <c r="O81" s="453">
        <v>40299</v>
      </c>
      <c r="P81" s="453">
        <v>40299</v>
      </c>
      <c r="Q81" s="453">
        <v>43253</v>
      </c>
      <c r="R81" s="453">
        <v>43253</v>
      </c>
      <c r="S81" s="453">
        <v>43253</v>
      </c>
      <c r="T81" s="453">
        <v>43253</v>
      </c>
      <c r="U81" s="453">
        <v>43253</v>
      </c>
      <c r="V81" s="453">
        <v>48305</v>
      </c>
      <c r="W81" s="453">
        <v>8985</v>
      </c>
      <c r="X81" s="453">
        <v>14594</v>
      </c>
      <c r="Y81" s="453">
        <v>14594</v>
      </c>
      <c r="Z81" s="453">
        <v>14595</v>
      </c>
      <c r="AA81" s="453">
        <v>15694</v>
      </c>
      <c r="AB81" s="453">
        <v>15694</v>
      </c>
      <c r="AC81" s="453">
        <v>32828</v>
      </c>
      <c r="AD81" s="453">
        <v>36971</v>
      </c>
      <c r="AE81" s="453">
        <v>45667</v>
      </c>
      <c r="AF81" s="453">
        <v>45667</v>
      </c>
      <c r="AG81" s="453">
        <v>45667</v>
      </c>
      <c r="AH81" s="453">
        <v>276857</v>
      </c>
      <c r="AI81" s="453">
        <v>1859</v>
      </c>
      <c r="AJ81" s="453">
        <v>1859</v>
      </c>
      <c r="AK81" s="453">
        <v>19289</v>
      </c>
      <c r="AL81" s="453">
        <v>19289</v>
      </c>
      <c r="AM81" s="453">
        <v>19289</v>
      </c>
      <c r="AN81" s="453">
        <v>19289</v>
      </c>
      <c r="AO81" s="453">
        <v>19289</v>
      </c>
      <c r="AP81" s="453">
        <v>19289</v>
      </c>
      <c r="AQ81" s="453">
        <v>19289</v>
      </c>
      <c r="AR81" s="453">
        <f>IFERROR(INDEX('SuSa Okt25'!$N:$N,MATCH($A81,'SuSa Okt25'!A:A,0)),"")</f>
        <v>19289</v>
      </c>
      <c r="AS81" s="453">
        <f>IFERROR(INDEX('SuSa Nov25'!$N:$N,MATCH($A81,'SuSa Nov25'!$A:$A,0)),"")</f>
        <v>19289</v>
      </c>
      <c r="AT81" s="453">
        <f>IFERROR(INDEX('SuSa Dez25'!$N:$N,MATCH($A81,'SuSa Dez25'!$A:$A,0)),"")</f>
        <v>19289</v>
      </c>
    </row>
    <row r="82" spans="1:46" hidden="1" outlineLevel="1" collapsed="1" x14ac:dyDescent="0.25">
      <c r="A82" s="452">
        <v>2317</v>
      </c>
      <c r="B82" s="468" t="s">
        <v>1243</v>
      </c>
      <c r="C82" t="s">
        <v>1244</v>
      </c>
      <c r="D82" t="s">
        <v>690</v>
      </c>
      <c r="E82" t="s">
        <v>2466</v>
      </c>
      <c r="G82" s="453">
        <f t="shared" si="3"/>
        <v>0</v>
      </c>
      <c r="H82" s="453">
        <f t="shared" si="4"/>
        <v>0</v>
      </c>
      <c r="I82" s="453">
        <f t="shared" si="5"/>
        <v>31400</v>
      </c>
      <c r="AK82" s="453">
        <v>31400</v>
      </c>
      <c r="AL82" s="453">
        <v>31400</v>
      </c>
      <c r="AM82" s="453">
        <v>31400</v>
      </c>
      <c r="AN82" s="453">
        <v>31400</v>
      </c>
      <c r="AO82" s="453">
        <v>31400</v>
      </c>
      <c r="AP82" s="453">
        <v>31400</v>
      </c>
      <c r="AQ82" s="453">
        <v>31400</v>
      </c>
      <c r="AR82" s="453">
        <f>IFERROR(INDEX('SuSa Okt25'!$N:$N,MATCH($A82,'SuSa Okt25'!A:A,0)),"")</f>
        <v>31400</v>
      </c>
      <c r="AS82" s="453">
        <f>IFERROR(INDEX('SuSa Nov25'!$N:$N,MATCH($A82,'SuSa Nov25'!$A:$A,0)),"")</f>
        <v>31400</v>
      </c>
      <c r="AT82" s="453">
        <f>IFERROR(INDEX('SuSa Dez25'!$N:$N,MATCH($A82,'SuSa Dez25'!$A:$A,0)),"")</f>
        <v>31400</v>
      </c>
    </row>
    <row r="83" spans="1:46" outlineLevel="1" collapsed="1" x14ac:dyDescent="0.25">
      <c r="A83" s="452">
        <v>2325</v>
      </c>
      <c r="B83" s="468" t="s">
        <v>1359</v>
      </c>
      <c r="C83" t="s">
        <v>1360</v>
      </c>
      <c r="D83" t="s">
        <v>1352</v>
      </c>
      <c r="F83" t="s">
        <v>2502</v>
      </c>
      <c r="G83" s="453">
        <f t="shared" si="3"/>
        <v>0</v>
      </c>
      <c r="H83" s="453">
        <f t="shared" si="4"/>
        <v>0</v>
      </c>
      <c r="I83" s="453">
        <f t="shared" si="5"/>
        <v>2774.9</v>
      </c>
      <c r="AK83" s="453">
        <v>2867.15</v>
      </c>
      <c r="AL83" s="453">
        <v>2867.15</v>
      </c>
      <c r="AM83" s="453">
        <v>2867.15</v>
      </c>
      <c r="AN83" s="453">
        <v>2774.9</v>
      </c>
      <c r="AO83" s="453">
        <v>2774.9</v>
      </c>
      <c r="AP83" s="453">
        <v>2774.9</v>
      </c>
      <c r="AQ83" s="453">
        <v>2774.9</v>
      </c>
      <c r="AR83" s="453">
        <f>IFERROR(INDEX('SuSa Okt25'!$N:$N,MATCH($A83,'SuSa Okt25'!A:A,0)),"")</f>
        <v>2774.9</v>
      </c>
      <c r="AS83" s="453">
        <f>IFERROR(INDEX('SuSa Nov25'!$N:$N,MATCH($A83,'SuSa Nov25'!$A:$A,0)),"")</f>
        <v>2774.9</v>
      </c>
      <c r="AT83" s="453">
        <f>IFERROR(INDEX('SuSa Dez25'!$N:$N,MATCH($A83,'SuSa Dez25'!$A:$A,0)),"")</f>
        <v>2774.9</v>
      </c>
    </row>
    <row r="84" spans="1:46" hidden="1" outlineLevel="1" collapsed="1" x14ac:dyDescent="0.25">
      <c r="A84" s="452">
        <v>2350</v>
      </c>
      <c r="B84" t="s">
        <v>1361</v>
      </c>
      <c r="C84" t="s">
        <v>1362</v>
      </c>
      <c r="D84" t="s">
        <v>1373</v>
      </c>
      <c r="G84" s="453">
        <f t="shared" si="3"/>
        <v>8739.2900000000009</v>
      </c>
      <c r="H84" s="453">
        <f t="shared" si="4"/>
        <v>20387.509999999998</v>
      </c>
      <c r="I84" s="453">
        <f t="shared" si="5"/>
        <v>4452.6499999999996</v>
      </c>
      <c r="K84" s="453">
        <v>104.5</v>
      </c>
      <c r="L84" s="453">
        <v>1550</v>
      </c>
      <c r="M84" s="453">
        <v>2545.5</v>
      </c>
      <c r="N84" s="453">
        <v>2650</v>
      </c>
      <c r="O84" s="453">
        <v>2545.5</v>
      </c>
      <c r="P84" s="453">
        <v>2545.5</v>
      </c>
      <c r="Q84" s="453">
        <v>2619.2399999999998</v>
      </c>
      <c r="R84" s="453">
        <v>2619.2399999999998</v>
      </c>
      <c r="S84" s="453">
        <v>2619.2399999999998</v>
      </c>
      <c r="T84" s="453">
        <v>2619.2399999999998</v>
      </c>
      <c r="U84" s="453">
        <v>2902.46</v>
      </c>
      <c r="V84" s="453">
        <v>8739.2900000000009</v>
      </c>
      <c r="W84" s="453">
        <v>657.5</v>
      </c>
      <c r="X84" s="453">
        <v>1362.5</v>
      </c>
      <c r="Y84" s="453">
        <v>2562.5</v>
      </c>
      <c r="Z84" s="453">
        <v>3368.5</v>
      </c>
      <c r="AA84" s="453">
        <v>15707.8</v>
      </c>
      <c r="AB84" s="453">
        <v>17651.3</v>
      </c>
      <c r="AC84" s="453">
        <v>17651.3</v>
      </c>
      <c r="AD84" s="453">
        <v>17680.009999999998</v>
      </c>
      <c r="AE84" s="453">
        <v>17680.009999999998</v>
      </c>
      <c r="AF84" s="453">
        <v>17680.009999999998</v>
      </c>
      <c r="AG84" s="453">
        <v>17680.009999999998</v>
      </c>
      <c r="AH84" s="453">
        <v>20387.509999999998</v>
      </c>
      <c r="AI84" s="453">
        <v>1399.5</v>
      </c>
      <c r="AJ84" s="453">
        <v>2326</v>
      </c>
      <c r="AK84" s="453">
        <v>2326</v>
      </c>
      <c r="AL84" s="453">
        <v>2346.88</v>
      </c>
      <c r="AM84" s="453">
        <v>2346.88</v>
      </c>
      <c r="AN84" s="453">
        <v>2376.2800000000002</v>
      </c>
      <c r="AO84" s="453">
        <v>2376.2800000000002</v>
      </c>
      <c r="AP84" s="453">
        <v>2444.62</v>
      </c>
      <c r="AQ84" s="453">
        <v>2444.62</v>
      </c>
      <c r="AR84" s="453">
        <f>IFERROR(INDEX('SuSa Okt25'!$N:$N,MATCH($A84,'SuSa Okt25'!A:A,0)),"")</f>
        <v>2501.21</v>
      </c>
      <c r="AS84" s="453">
        <f>IFERROR(INDEX('SuSa Nov25'!$N:$N,MATCH($A84,'SuSa Nov25'!$A:$A,0)),"")</f>
        <v>3024.15</v>
      </c>
      <c r="AT84" s="453">
        <f>IFERROR(INDEX('SuSa Dez25'!$N:$N,MATCH($A84,'SuSa Dez25'!$A:$A,0)),"")</f>
        <v>4452.6499999999996</v>
      </c>
    </row>
    <row r="85" spans="1:46" outlineLevel="1" collapsed="1" x14ac:dyDescent="0.25">
      <c r="A85" s="452">
        <v>2383</v>
      </c>
      <c r="B85" s="524" t="s">
        <v>1363</v>
      </c>
      <c r="C85" t="s">
        <v>1364</v>
      </c>
      <c r="D85" t="s">
        <v>1352</v>
      </c>
      <c r="F85" t="s">
        <v>2503</v>
      </c>
      <c r="G85" s="453">
        <f t="shared" si="3"/>
        <v>1356</v>
      </c>
      <c r="H85" s="453">
        <f t="shared" si="4"/>
        <v>706</v>
      </c>
      <c r="I85" s="453">
        <f t="shared" si="5"/>
        <v>406</v>
      </c>
      <c r="K85" s="453">
        <v>0</v>
      </c>
      <c r="L85" s="453">
        <v>528</v>
      </c>
      <c r="M85" s="453">
        <v>528</v>
      </c>
      <c r="N85" s="453">
        <v>528</v>
      </c>
      <c r="O85" s="453">
        <v>528</v>
      </c>
      <c r="P85" s="453">
        <v>528</v>
      </c>
      <c r="Q85" s="453">
        <v>606</v>
      </c>
      <c r="R85" s="453">
        <v>606</v>
      </c>
      <c r="S85" s="453">
        <v>606</v>
      </c>
      <c r="T85" s="453">
        <v>606</v>
      </c>
      <c r="U85" s="453">
        <v>606</v>
      </c>
      <c r="V85" s="453">
        <v>1356</v>
      </c>
      <c r="W85" s="453">
        <v>78</v>
      </c>
      <c r="X85" s="453">
        <v>428</v>
      </c>
      <c r="Y85" s="453">
        <v>428</v>
      </c>
      <c r="Z85" s="453">
        <v>428</v>
      </c>
      <c r="AA85" s="453">
        <v>428</v>
      </c>
      <c r="AB85" s="453">
        <v>428</v>
      </c>
      <c r="AC85" s="453">
        <v>506</v>
      </c>
      <c r="AD85" s="453">
        <v>506</v>
      </c>
      <c r="AE85" s="453">
        <v>506</v>
      </c>
      <c r="AF85" s="453">
        <v>706</v>
      </c>
      <c r="AG85" s="453">
        <v>706</v>
      </c>
      <c r="AH85" s="453">
        <v>706</v>
      </c>
      <c r="AI85" s="453">
        <v>78</v>
      </c>
      <c r="AJ85" s="453">
        <v>78</v>
      </c>
      <c r="AK85" s="453">
        <v>78</v>
      </c>
      <c r="AL85" s="453">
        <v>78</v>
      </c>
      <c r="AM85" s="453">
        <v>78</v>
      </c>
      <c r="AN85" s="453">
        <v>78</v>
      </c>
      <c r="AO85" s="453">
        <v>406</v>
      </c>
      <c r="AP85" s="453">
        <v>406</v>
      </c>
      <c r="AQ85" s="453">
        <v>406</v>
      </c>
      <c r="AR85" s="453">
        <f>IFERROR(INDEX('SuSa Okt25'!$N:$N,MATCH($A85,'SuSa Okt25'!A:A,0)),"")</f>
        <v>406</v>
      </c>
      <c r="AS85" s="453">
        <f>IFERROR(INDEX('SuSa Nov25'!$N:$N,MATCH($A85,'SuSa Nov25'!$A:$A,0)),"")</f>
        <v>406</v>
      </c>
      <c r="AT85" s="453">
        <f>IFERROR(INDEX('SuSa Dez25'!$N:$N,MATCH($A85,'SuSa Dez25'!$A:$A,0)),"")</f>
        <v>406</v>
      </c>
    </row>
    <row r="86" spans="1:46" outlineLevel="1" collapsed="1" x14ac:dyDescent="0.25">
      <c r="A86" s="452">
        <v>2406</v>
      </c>
      <c r="B86" s="524" t="s">
        <v>1365</v>
      </c>
      <c r="C86" t="s">
        <v>1366</v>
      </c>
      <c r="D86" t="s">
        <v>1352</v>
      </c>
      <c r="F86" t="s">
        <v>2503</v>
      </c>
      <c r="G86" s="453">
        <f t="shared" si="3"/>
        <v>0</v>
      </c>
      <c r="H86" s="453">
        <f t="shared" si="4"/>
        <v>0</v>
      </c>
      <c r="I86" s="453">
        <f t="shared" si="5"/>
        <v>90.78</v>
      </c>
      <c r="K86" s="453">
        <v>0</v>
      </c>
      <c r="L86" s="453">
        <v>0</v>
      </c>
      <c r="M86" s="453">
        <v>0</v>
      </c>
      <c r="N86" s="453">
        <v>0</v>
      </c>
      <c r="O86" s="453">
        <v>0</v>
      </c>
      <c r="P86" s="453">
        <v>0</v>
      </c>
      <c r="Q86" s="453">
        <v>0</v>
      </c>
      <c r="R86" s="453">
        <v>0</v>
      </c>
      <c r="S86" s="453">
        <v>0</v>
      </c>
      <c r="T86" s="453">
        <v>0</v>
      </c>
      <c r="U86" s="453">
        <v>0</v>
      </c>
      <c r="V86" s="453">
        <v>0</v>
      </c>
      <c r="AK86" s="453">
        <v>90.78</v>
      </c>
      <c r="AL86" s="453">
        <v>90.78</v>
      </c>
      <c r="AM86" s="453">
        <v>90.78</v>
      </c>
      <c r="AN86" s="453">
        <v>90.78</v>
      </c>
      <c r="AO86" s="453">
        <v>90.78</v>
      </c>
      <c r="AP86" s="453">
        <v>90.78</v>
      </c>
      <c r="AQ86" s="453">
        <v>90.78</v>
      </c>
      <c r="AR86" s="453">
        <f>IFERROR(INDEX('SuSa Okt25'!$N:$N,MATCH($A86,'SuSa Okt25'!A:A,0)),"")</f>
        <v>90.78</v>
      </c>
      <c r="AS86" s="453">
        <f>IFERROR(INDEX('SuSa Nov25'!$N:$N,MATCH($A86,'SuSa Nov25'!$A:$A,0)),"")</f>
        <v>90.78</v>
      </c>
      <c r="AT86" s="453">
        <f>IFERROR(INDEX('SuSa Dez25'!$N:$N,MATCH($A86,'SuSa Dez25'!$A:$A,0)),"")</f>
        <v>90.78</v>
      </c>
    </row>
    <row r="87" spans="1:46" outlineLevel="1" collapsed="1" x14ac:dyDescent="0.25">
      <c r="A87" s="452">
        <v>2450</v>
      </c>
      <c r="B87" s="524" t="s">
        <v>1367</v>
      </c>
      <c r="C87" t="s">
        <v>1978</v>
      </c>
      <c r="D87" t="s">
        <v>1352</v>
      </c>
      <c r="F87" t="s">
        <v>2503</v>
      </c>
      <c r="G87" s="453">
        <f t="shared" si="3"/>
        <v>0</v>
      </c>
      <c r="H87" s="453">
        <f t="shared" si="4"/>
        <v>3881</v>
      </c>
      <c r="I87" s="453">
        <f t="shared" si="5"/>
        <v>0</v>
      </c>
      <c r="K87" s="453">
        <v>0</v>
      </c>
      <c r="L87" s="453">
        <v>0</v>
      </c>
      <c r="M87" s="453">
        <v>0</v>
      </c>
      <c r="N87" s="453">
        <v>0</v>
      </c>
      <c r="O87" s="453">
        <v>0</v>
      </c>
      <c r="P87" s="453">
        <v>0</v>
      </c>
      <c r="Q87" s="453">
        <v>0</v>
      </c>
      <c r="R87" s="453">
        <v>0</v>
      </c>
      <c r="S87" s="453">
        <v>0</v>
      </c>
      <c r="T87" s="453">
        <v>0</v>
      </c>
      <c r="U87" s="453">
        <v>0</v>
      </c>
      <c r="V87" s="453">
        <v>0</v>
      </c>
      <c r="AH87" s="453">
        <v>3881</v>
      </c>
      <c r="AI87" s="453">
        <v>0</v>
      </c>
      <c r="AJ87" s="453">
        <v>0</v>
      </c>
      <c r="AK87" s="453">
        <v>0</v>
      </c>
      <c r="AL87" s="453">
        <v>0</v>
      </c>
      <c r="AM87" s="453">
        <v>0</v>
      </c>
      <c r="AN87" s="453">
        <v>0</v>
      </c>
      <c r="AO87" s="453">
        <v>0</v>
      </c>
      <c r="AP87" s="453">
        <v>0</v>
      </c>
      <c r="AQ87" s="453">
        <v>0</v>
      </c>
      <c r="AR87" s="453">
        <f>IFERROR(INDEX('SuSa Okt25'!$N:$N,MATCH($A87,'SuSa Okt25'!A:A,0)),"")</f>
        <v>0</v>
      </c>
      <c r="AS87" s="453">
        <f>IFERROR(INDEX('SuSa Nov25'!$N:$N,MATCH($A87,'SuSa Nov25'!$A:$A,0)),"")</f>
        <v>0</v>
      </c>
      <c r="AT87" s="453">
        <f>IFERROR(INDEX('SuSa Dez25'!$N:$N,MATCH($A87,'SuSa Dez25'!$A:$A,0)),"")</f>
        <v>0</v>
      </c>
    </row>
    <row r="88" spans="1:46" outlineLevel="1" collapsed="1" x14ac:dyDescent="0.25">
      <c r="A88" s="452">
        <v>2451</v>
      </c>
      <c r="B88" s="524" t="s">
        <v>1369</v>
      </c>
      <c r="C88" t="s">
        <v>1979</v>
      </c>
      <c r="D88" t="s">
        <v>1352</v>
      </c>
      <c r="E88" t="s">
        <v>2511</v>
      </c>
      <c r="F88" t="s">
        <v>2503</v>
      </c>
      <c r="G88" s="453">
        <f t="shared" si="3"/>
        <v>27177</v>
      </c>
      <c r="H88" s="453">
        <f t="shared" si="4"/>
        <v>0</v>
      </c>
      <c r="I88" s="453" t="str">
        <f t="shared" si="5"/>
        <v/>
      </c>
      <c r="K88" s="453">
        <v>0</v>
      </c>
      <c r="L88" s="453">
        <v>0</v>
      </c>
      <c r="M88" s="453">
        <v>0</v>
      </c>
      <c r="N88" s="453">
        <v>0</v>
      </c>
      <c r="O88" s="453">
        <v>0</v>
      </c>
      <c r="P88" s="453">
        <v>0</v>
      </c>
      <c r="Q88" s="453">
        <v>0</v>
      </c>
      <c r="R88" s="453">
        <v>0</v>
      </c>
      <c r="S88" s="453">
        <v>0</v>
      </c>
      <c r="T88" s="453">
        <v>0</v>
      </c>
      <c r="U88" s="453">
        <v>0</v>
      </c>
      <c r="V88" s="453">
        <v>27177</v>
      </c>
      <c r="W88" s="453">
        <v>0</v>
      </c>
      <c r="X88" s="453">
        <v>0</v>
      </c>
      <c r="Y88" s="453">
        <v>0</v>
      </c>
      <c r="Z88" s="453">
        <v>0</v>
      </c>
      <c r="AA88" s="453">
        <v>0</v>
      </c>
      <c r="AB88" s="453">
        <v>0</v>
      </c>
      <c r="AC88" s="453">
        <v>0</v>
      </c>
      <c r="AD88" s="453">
        <v>0</v>
      </c>
      <c r="AE88" s="453">
        <v>0</v>
      </c>
      <c r="AF88" s="453">
        <v>0</v>
      </c>
      <c r="AG88" s="453">
        <v>0</v>
      </c>
      <c r="AH88" s="453">
        <v>0</v>
      </c>
      <c r="AR88" s="453" t="str">
        <f>IFERROR(INDEX('SuSa Okt25'!$N:$N,MATCH($A88,'SuSa Okt25'!A:A,0)),"")</f>
        <v/>
      </c>
      <c r="AS88" s="453" t="str">
        <f>IFERROR(INDEX('SuSa Nov25'!$N:$N,MATCH($A88,'SuSa Nov25'!$A:$A,0)),"")</f>
        <v/>
      </c>
      <c r="AT88" s="453" t="str">
        <f>IFERROR(INDEX('SuSa Dez25'!$N:$N,MATCH($A88,'SuSa Dez25'!$A:$A,0)),"")</f>
        <v/>
      </c>
    </row>
    <row r="89" spans="1:46" hidden="1" outlineLevel="1" collapsed="1" x14ac:dyDescent="0.25">
      <c r="A89" s="452">
        <v>2650</v>
      </c>
      <c r="B89" t="s">
        <v>1141</v>
      </c>
      <c r="C89" t="s">
        <v>1142</v>
      </c>
      <c r="D89" t="s">
        <v>689</v>
      </c>
      <c r="G89" s="453">
        <f t="shared" si="3"/>
        <v>-4425</v>
      </c>
      <c r="H89" s="453">
        <f t="shared" si="4"/>
        <v>-3037.66</v>
      </c>
      <c r="I89" s="453">
        <f t="shared" si="5"/>
        <v>-2208.5</v>
      </c>
      <c r="K89" s="453">
        <v>0</v>
      </c>
      <c r="L89" s="453">
        <v>-2020</v>
      </c>
      <c r="M89" s="453">
        <v>-2020</v>
      </c>
      <c r="N89" s="453">
        <v>-2020</v>
      </c>
      <c r="O89" s="453">
        <v>-4420</v>
      </c>
      <c r="P89" s="453">
        <v>-4425</v>
      </c>
      <c r="Q89" s="453">
        <v>-4425</v>
      </c>
      <c r="R89" s="453">
        <v>-4425</v>
      </c>
      <c r="S89" s="453">
        <v>-4425</v>
      </c>
      <c r="T89" s="453">
        <v>-4425</v>
      </c>
      <c r="U89" s="453">
        <v>-4425</v>
      </c>
      <c r="V89" s="453">
        <v>-4425</v>
      </c>
      <c r="W89" s="453">
        <v>0</v>
      </c>
      <c r="X89" s="453">
        <v>-1100</v>
      </c>
      <c r="Y89" s="453">
        <v>-1100</v>
      </c>
      <c r="Z89" s="453">
        <v>-2919.16</v>
      </c>
      <c r="AA89" s="453">
        <v>-3029.16</v>
      </c>
      <c r="AB89" s="453">
        <v>-3035.42</v>
      </c>
      <c r="AC89" s="453">
        <v>-3035.42</v>
      </c>
      <c r="AD89" s="453">
        <v>-3035.42</v>
      </c>
      <c r="AE89" s="453">
        <v>-3035.42</v>
      </c>
      <c r="AF89" s="453">
        <v>-3035.42</v>
      </c>
      <c r="AG89" s="453">
        <v>-3035.42</v>
      </c>
      <c r="AH89" s="453">
        <v>-3037.66</v>
      </c>
      <c r="AI89" s="453">
        <v>0</v>
      </c>
      <c r="AJ89" s="453">
        <v>0</v>
      </c>
      <c r="AK89" s="453">
        <v>-1300</v>
      </c>
      <c r="AL89" s="453">
        <v>-2200</v>
      </c>
      <c r="AM89" s="453">
        <v>-2200</v>
      </c>
      <c r="AN89" s="453">
        <v>-2206.2600000000002</v>
      </c>
      <c r="AO89" s="453">
        <v>-2206.2600000000002</v>
      </c>
      <c r="AP89" s="453">
        <v>-2206.2600000000002</v>
      </c>
      <c r="AQ89" s="453">
        <v>-2206.2600000000002</v>
      </c>
      <c r="AR89" s="453">
        <f>IFERROR(INDEX('SuSa Okt25'!$N:$N,MATCH($A89,'SuSa Okt25'!A:A,0)),"")</f>
        <v>-2206.2600000000002</v>
      </c>
      <c r="AS89" s="453">
        <f>IFERROR(INDEX('SuSa Nov25'!$N:$N,MATCH($A89,'SuSa Nov25'!$A:$A,0)),"")</f>
        <v>-2206.2600000000002</v>
      </c>
      <c r="AT89" s="453">
        <f>IFERROR(INDEX('SuSa Dez25'!$N:$N,MATCH($A89,'SuSa Dez25'!$A:$A,0)),"")</f>
        <v>-2208.5</v>
      </c>
    </row>
    <row r="90" spans="1:46" hidden="1" outlineLevel="1" collapsed="1" x14ac:dyDescent="0.25">
      <c r="A90" s="452">
        <v>2658</v>
      </c>
      <c r="B90" t="s">
        <v>1143</v>
      </c>
      <c r="C90" t="s">
        <v>1144</v>
      </c>
      <c r="D90" t="s">
        <v>689</v>
      </c>
      <c r="G90" s="453">
        <f t="shared" si="3"/>
        <v>0</v>
      </c>
      <c r="H90" s="453">
        <f t="shared" si="4"/>
        <v>-97</v>
      </c>
      <c r="I90" s="453">
        <f t="shared" si="5"/>
        <v>0</v>
      </c>
      <c r="Y90" s="453">
        <v>-97</v>
      </c>
      <c r="Z90" s="453">
        <v>-97</v>
      </c>
      <c r="AA90" s="453">
        <v>-97</v>
      </c>
      <c r="AB90" s="453">
        <v>-97</v>
      </c>
      <c r="AC90" s="453">
        <v>-97</v>
      </c>
      <c r="AD90" s="453">
        <v>-97</v>
      </c>
      <c r="AE90" s="453">
        <v>-97</v>
      </c>
      <c r="AF90" s="453">
        <v>-97</v>
      </c>
      <c r="AG90" s="453">
        <v>-97</v>
      </c>
      <c r="AH90" s="453">
        <v>-97</v>
      </c>
      <c r="AI90" s="453">
        <v>0</v>
      </c>
      <c r="AJ90" s="453">
        <v>0</v>
      </c>
      <c r="AK90" s="453">
        <v>0</v>
      </c>
      <c r="AL90" s="453">
        <v>0</v>
      </c>
      <c r="AM90" s="453">
        <v>0</v>
      </c>
      <c r="AN90" s="453">
        <v>0</v>
      </c>
      <c r="AO90" s="453">
        <v>0</v>
      </c>
      <c r="AP90" s="453">
        <v>0</v>
      </c>
      <c r="AQ90" s="453">
        <v>0</v>
      </c>
      <c r="AR90" s="453">
        <f>IFERROR(INDEX('SuSa Okt25'!$N:$N,MATCH($A90,'SuSa Okt25'!A:A,0)),"")</f>
        <v>0</v>
      </c>
      <c r="AS90" s="453">
        <f>IFERROR(INDEX('SuSa Nov25'!$N:$N,MATCH($A90,'SuSa Nov25'!$A:$A,0)),"")</f>
        <v>0</v>
      </c>
      <c r="AT90" s="453">
        <f>IFERROR(INDEX('SuSa Dez25'!$N:$N,MATCH($A90,'SuSa Dez25'!$A:$A,0)),"")</f>
        <v>0</v>
      </c>
    </row>
    <row r="91" spans="1:46" hidden="1" outlineLevel="1" collapsed="1" x14ac:dyDescent="0.25">
      <c r="A91" s="452">
        <v>2700</v>
      </c>
      <c r="B91" s="575" t="s">
        <v>1245</v>
      </c>
      <c r="C91" t="s">
        <v>1246</v>
      </c>
      <c r="D91" t="s">
        <v>690</v>
      </c>
      <c r="E91" t="s">
        <v>2467</v>
      </c>
      <c r="G91" s="453">
        <f t="shared" si="3"/>
        <v>-19866.14</v>
      </c>
      <c r="H91" s="453">
        <f t="shared" si="4"/>
        <v>-306.11</v>
      </c>
      <c r="I91" s="453">
        <f t="shared" si="5"/>
        <v>-2442.88</v>
      </c>
      <c r="K91" s="453">
        <v>-2</v>
      </c>
      <c r="L91" s="453">
        <v>-17839</v>
      </c>
      <c r="M91" s="453">
        <v>-17840</v>
      </c>
      <c r="N91" s="453">
        <v>-5215</v>
      </c>
      <c r="O91" s="453">
        <v>-5216</v>
      </c>
      <c r="P91" s="453">
        <v>-5217</v>
      </c>
      <c r="Q91" s="453">
        <v>-5218</v>
      </c>
      <c r="R91" s="453">
        <v>-19291</v>
      </c>
      <c r="S91" s="453">
        <v>-19308</v>
      </c>
      <c r="T91" s="453">
        <v>-19663.14</v>
      </c>
      <c r="U91" s="453">
        <v>-19665.14</v>
      </c>
      <c r="V91" s="453">
        <v>-19866.14</v>
      </c>
      <c r="W91" s="453">
        <v>-1</v>
      </c>
      <c r="X91" s="453">
        <v>-2</v>
      </c>
      <c r="Y91" s="453">
        <v>-3</v>
      </c>
      <c r="Z91" s="453">
        <v>-4</v>
      </c>
      <c r="AA91" s="453">
        <v>-4</v>
      </c>
      <c r="AB91" s="453">
        <v>-4</v>
      </c>
      <c r="AC91" s="453">
        <v>-4</v>
      </c>
      <c r="AD91" s="453">
        <v>-306.02</v>
      </c>
      <c r="AE91" s="453">
        <v>-306.02</v>
      </c>
      <c r="AF91" s="453">
        <v>-306.02</v>
      </c>
      <c r="AG91" s="453">
        <v>-306.02</v>
      </c>
      <c r="AH91" s="453">
        <v>-306.11</v>
      </c>
      <c r="AI91" s="453">
        <v>0</v>
      </c>
      <c r="AJ91" s="453">
        <v>-30</v>
      </c>
      <c r="AK91" s="453">
        <v>-40</v>
      </c>
      <c r="AL91" s="453">
        <v>-30</v>
      </c>
      <c r="AM91" s="453">
        <v>-80</v>
      </c>
      <c r="AN91" s="453">
        <v>-80</v>
      </c>
      <c r="AO91" s="453">
        <v>-80</v>
      </c>
      <c r="AP91" s="453">
        <v>-80</v>
      </c>
      <c r="AQ91" s="453">
        <v>-2442.88</v>
      </c>
      <c r="AR91" s="453">
        <f>IFERROR(INDEX('SuSa Okt25'!$N:$N,MATCH($A91,'SuSa Okt25'!A:A,0)),"")</f>
        <v>-2442.88</v>
      </c>
      <c r="AS91" s="453">
        <f>IFERROR(INDEX('SuSa Nov25'!$N:$N,MATCH($A91,'SuSa Nov25'!$A:$A,0)),"")</f>
        <v>-2442.88</v>
      </c>
      <c r="AT91" s="453">
        <f>IFERROR(INDEX('SuSa Dez25'!$N:$N,MATCH($A91,'SuSa Dez25'!$A:$A,0)),"")</f>
        <v>-2442.88</v>
      </c>
    </row>
    <row r="92" spans="1:46" hidden="1" outlineLevel="1" collapsed="1" x14ac:dyDescent="0.25">
      <c r="A92" s="452">
        <v>2712</v>
      </c>
      <c r="B92" s="578" t="s">
        <v>1247</v>
      </c>
      <c r="C92" t="s">
        <v>1980</v>
      </c>
      <c r="D92" t="s">
        <v>690</v>
      </c>
      <c r="E92" t="s">
        <v>2470</v>
      </c>
      <c r="G92" s="453">
        <f t="shared" si="3"/>
        <v>-10163.290000000001</v>
      </c>
      <c r="H92" s="453">
        <f t="shared" si="4"/>
        <v>0</v>
      </c>
      <c r="I92" s="453" t="str">
        <f t="shared" si="5"/>
        <v/>
      </c>
      <c r="V92" s="453">
        <v>-10163.290000000001</v>
      </c>
      <c r="W92" s="453">
        <v>0</v>
      </c>
      <c r="X92" s="453">
        <v>0</v>
      </c>
      <c r="Y92" s="453">
        <v>0</v>
      </c>
      <c r="Z92" s="453">
        <v>0</v>
      </c>
      <c r="AA92" s="453">
        <v>0</v>
      </c>
      <c r="AB92" s="453">
        <v>0</v>
      </c>
      <c r="AC92" s="453">
        <v>0</v>
      </c>
      <c r="AD92" s="453">
        <v>0</v>
      </c>
      <c r="AE92" s="453">
        <v>0</v>
      </c>
      <c r="AF92" s="453">
        <v>0</v>
      </c>
      <c r="AG92" s="453">
        <v>0</v>
      </c>
      <c r="AH92" s="453">
        <v>0</v>
      </c>
      <c r="AR92" s="453" t="str">
        <f>IFERROR(INDEX('SuSa Okt25'!$N:$N,MATCH($A92,'SuSa Okt25'!A:A,0)),"")</f>
        <v/>
      </c>
      <c r="AS92" s="453" t="str">
        <f>IFERROR(INDEX('SuSa Nov25'!$N:$N,MATCH($A92,'SuSa Nov25'!$A:$A,0)),"")</f>
        <v/>
      </c>
      <c r="AT92" s="453" t="str">
        <f>IFERROR(INDEX('SuSa Dez25'!$N:$N,MATCH($A92,'SuSa Dez25'!$A:$A,0)),"")</f>
        <v/>
      </c>
    </row>
    <row r="93" spans="1:46" hidden="1" outlineLevel="1" collapsed="1" x14ac:dyDescent="0.25">
      <c r="A93" s="452">
        <v>2715</v>
      </c>
      <c r="B93" s="578" t="s">
        <v>1249</v>
      </c>
      <c r="C93" t="s">
        <v>1981</v>
      </c>
      <c r="D93" t="s">
        <v>690</v>
      </c>
      <c r="G93" s="453">
        <f t="shared" si="3"/>
        <v>0</v>
      </c>
      <c r="H93" s="453">
        <f t="shared" si="4"/>
        <v>0</v>
      </c>
      <c r="I93" s="453">
        <f t="shared" si="5"/>
        <v>-5190</v>
      </c>
      <c r="AK93" s="453">
        <v>-5190</v>
      </c>
      <c r="AL93" s="453">
        <v>-5190</v>
      </c>
      <c r="AM93" s="453">
        <v>-5190</v>
      </c>
      <c r="AN93" s="453">
        <v>-5190</v>
      </c>
      <c r="AO93" s="453">
        <v>-5190</v>
      </c>
      <c r="AP93" s="453">
        <v>-5190</v>
      </c>
      <c r="AQ93" s="453">
        <v>-5190</v>
      </c>
      <c r="AR93" s="453">
        <f>IFERROR(INDEX('SuSa Okt25'!$N:$N,MATCH($A93,'SuSa Okt25'!A:A,0)),"")</f>
        <v>-5190</v>
      </c>
      <c r="AS93" s="453">
        <f>IFERROR(INDEX('SuSa Nov25'!$N:$N,MATCH($A93,'SuSa Nov25'!$A:$A,0)),"")</f>
        <v>-5190</v>
      </c>
      <c r="AT93" s="453">
        <f>IFERROR(INDEX('SuSa Dez25'!$N:$N,MATCH($A93,'SuSa Dez25'!$A:$A,0)),"")</f>
        <v>-5190</v>
      </c>
    </row>
    <row r="94" spans="1:46" hidden="1" outlineLevel="1" collapsed="1" x14ac:dyDescent="0.25">
      <c r="A94" s="452">
        <v>2730</v>
      </c>
      <c r="B94" s="576" t="s">
        <v>1251</v>
      </c>
      <c r="C94" t="s">
        <v>1252</v>
      </c>
      <c r="D94" t="s">
        <v>690</v>
      </c>
      <c r="G94" s="453">
        <f t="shared" si="3"/>
        <v>-1692</v>
      </c>
      <c r="H94" s="453">
        <f t="shared" si="4"/>
        <v>0</v>
      </c>
      <c r="I94" s="453">
        <f t="shared" si="5"/>
        <v>-5543</v>
      </c>
      <c r="V94" s="453">
        <v>-1692</v>
      </c>
      <c r="W94" s="453">
        <v>0</v>
      </c>
      <c r="X94" s="453">
        <v>0</v>
      </c>
      <c r="Y94" s="453">
        <v>0</v>
      </c>
      <c r="Z94" s="453">
        <v>0</v>
      </c>
      <c r="AA94" s="453">
        <v>0</v>
      </c>
      <c r="AB94" s="453">
        <v>0</v>
      </c>
      <c r="AC94" s="453">
        <v>0</v>
      </c>
      <c r="AD94" s="453">
        <v>0</v>
      </c>
      <c r="AE94" s="453">
        <v>0</v>
      </c>
      <c r="AF94" s="453">
        <v>0</v>
      </c>
      <c r="AG94" s="453">
        <v>0</v>
      </c>
      <c r="AH94" s="453">
        <v>0</v>
      </c>
      <c r="AR94" s="453" t="str">
        <f>IFERROR(INDEX('SuSa Okt25'!$N:$N,MATCH($A94,'SuSa Okt25'!A:A,0)),"")</f>
        <v/>
      </c>
      <c r="AS94" s="453" t="str">
        <f>IFERROR(INDEX('SuSa Nov25'!$N:$N,MATCH($A94,'SuSa Nov25'!$A:$A,0)),"")</f>
        <v/>
      </c>
      <c r="AT94" s="453">
        <f>IFERROR(INDEX('SuSa Dez25'!$N:$N,MATCH($A94,'SuSa Dez25'!$A:$A,0)),"")</f>
        <v>-5543</v>
      </c>
    </row>
    <row r="95" spans="1:46" hidden="1" outlineLevel="1" collapsed="1" x14ac:dyDescent="0.25">
      <c r="A95" s="452">
        <v>2731</v>
      </c>
      <c r="B95" s="576" t="s">
        <v>1253</v>
      </c>
      <c r="C95" t="s">
        <v>1254</v>
      </c>
      <c r="D95" t="s">
        <v>690</v>
      </c>
      <c r="E95" t="s">
        <v>2510</v>
      </c>
      <c r="G95" s="453">
        <f t="shared" si="3"/>
        <v>-6300</v>
      </c>
      <c r="H95" s="453">
        <f t="shared" si="4"/>
        <v>-27177</v>
      </c>
      <c r="I95" s="453">
        <f t="shared" si="5"/>
        <v>0</v>
      </c>
      <c r="K95" s="453">
        <v>0</v>
      </c>
      <c r="L95" s="453">
        <v>0</v>
      </c>
      <c r="M95" s="453">
        <v>0</v>
      </c>
      <c r="N95" s="453">
        <v>0</v>
      </c>
      <c r="O95" s="453">
        <v>0</v>
      </c>
      <c r="P95" s="453">
        <v>0</v>
      </c>
      <c r="Q95" s="453">
        <v>0</v>
      </c>
      <c r="R95" s="453">
        <v>0</v>
      </c>
      <c r="S95" s="453">
        <v>0</v>
      </c>
      <c r="T95" s="453">
        <v>0</v>
      </c>
      <c r="U95" s="453">
        <v>0</v>
      </c>
      <c r="V95" s="453">
        <v>-6300</v>
      </c>
      <c r="W95" s="453">
        <v>0</v>
      </c>
      <c r="X95" s="453">
        <v>0</v>
      </c>
      <c r="Y95" s="453">
        <v>0</v>
      </c>
      <c r="Z95" s="453">
        <v>0</v>
      </c>
      <c r="AA95" s="453">
        <v>0</v>
      </c>
      <c r="AB95" s="453">
        <v>0</v>
      </c>
      <c r="AC95" s="453">
        <v>0</v>
      </c>
      <c r="AD95" s="453">
        <v>0</v>
      </c>
      <c r="AE95" s="453">
        <v>0</v>
      </c>
      <c r="AF95" s="453">
        <v>-27177</v>
      </c>
      <c r="AG95" s="453">
        <v>-27177</v>
      </c>
      <c r="AH95" s="453">
        <v>-27177</v>
      </c>
      <c r="AI95" s="453">
        <v>0</v>
      </c>
      <c r="AJ95" s="453">
        <v>0</v>
      </c>
      <c r="AK95" s="453">
        <v>0</v>
      </c>
      <c r="AL95" s="453">
        <v>0</v>
      </c>
      <c r="AM95" s="453">
        <v>0</v>
      </c>
      <c r="AN95" s="453">
        <v>0</v>
      </c>
      <c r="AO95" s="453">
        <v>0</v>
      </c>
      <c r="AP95" s="453">
        <v>0</v>
      </c>
      <c r="AQ95" s="453">
        <v>0</v>
      </c>
      <c r="AR95" s="453">
        <f>IFERROR(INDEX('SuSa Okt25'!$N:$N,MATCH($A95,'SuSa Okt25'!A:A,0)),"")</f>
        <v>0</v>
      </c>
      <c r="AS95" s="453">
        <f>IFERROR(INDEX('SuSa Nov25'!$N:$N,MATCH($A95,'SuSa Nov25'!$A:$A,0)),"")</f>
        <v>0</v>
      </c>
      <c r="AT95" s="453">
        <f>IFERROR(INDEX('SuSa Dez25'!$N:$N,MATCH($A95,'SuSa Dez25'!$A:$A,0)),"")</f>
        <v>0</v>
      </c>
    </row>
    <row r="96" spans="1:46" hidden="1" outlineLevel="1" x14ac:dyDescent="0.25">
      <c r="A96" s="452">
        <v>2735</v>
      </c>
      <c r="B96" s="576" t="s">
        <v>4740</v>
      </c>
      <c r="D96" t="s">
        <v>690</v>
      </c>
      <c r="G96" s="453">
        <f>V96</f>
        <v>0</v>
      </c>
      <c r="H96" s="453">
        <f>AH96</f>
        <v>0</v>
      </c>
      <c r="I96" s="453">
        <f t="shared" si="5"/>
        <v>-1815</v>
      </c>
      <c r="AR96" s="453" t="str">
        <f>IFERROR(INDEX('SuSa Okt25'!$N:$N,MATCH($A96,'SuSa Okt25'!A:A,0)),"")</f>
        <v/>
      </c>
      <c r="AS96" s="453" t="str">
        <f>IFERROR(INDEX('SuSa Nov25'!$N:$N,MATCH($A96,'SuSa Nov25'!$A:$A,0)),"")</f>
        <v/>
      </c>
      <c r="AT96" s="453">
        <f>IFERROR(INDEX('SuSa Dez25'!$N:$N,MATCH($A96,'SuSa Dez25'!$A:$A,0)),"")</f>
        <v>-1815</v>
      </c>
    </row>
    <row r="97" spans="1:46 16377:16383" hidden="1" outlineLevel="1" collapsed="1" x14ac:dyDescent="0.25">
      <c r="A97" s="452">
        <v>2742</v>
      </c>
      <c r="B97" s="575" t="s">
        <v>1255</v>
      </c>
      <c r="C97" t="s">
        <v>1256</v>
      </c>
      <c r="D97" t="s">
        <v>690</v>
      </c>
      <c r="E97" t="s">
        <v>2468</v>
      </c>
      <c r="G97" s="453">
        <f t="shared" si="3"/>
        <v>-3776.72</v>
      </c>
      <c r="H97" s="453">
        <f t="shared" si="4"/>
        <v>-4363.42</v>
      </c>
      <c r="I97" s="453">
        <f t="shared" si="5"/>
        <v>-2937.27</v>
      </c>
      <c r="K97" s="453">
        <v>0</v>
      </c>
      <c r="L97" s="453">
        <v>0</v>
      </c>
      <c r="M97" s="453">
        <v>0</v>
      </c>
      <c r="N97" s="453">
        <v>-783.99</v>
      </c>
      <c r="O97" s="453">
        <v>-783.99</v>
      </c>
      <c r="P97" s="453">
        <v>-783.99</v>
      </c>
      <c r="Q97" s="453">
        <v>-783.99</v>
      </c>
      <c r="R97" s="453">
        <v>-783.99</v>
      </c>
      <c r="S97" s="453">
        <v>-783.99</v>
      </c>
      <c r="T97" s="453">
        <v>-3751.72</v>
      </c>
      <c r="U97" s="453">
        <v>-3776.72</v>
      </c>
      <c r="V97" s="453">
        <v>-3776.72</v>
      </c>
      <c r="W97" s="453">
        <v>0</v>
      </c>
      <c r="X97" s="453">
        <v>-277.73</v>
      </c>
      <c r="Y97" s="453">
        <v>-911.19</v>
      </c>
      <c r="Z97" s="453">
        <v>-911.19</v>
      </c>
      <c r="AA97" s="453">
        <v>-911.19</v>
      </c>
      <c r="AB97" s="453">
        <v>-911.19</v>
      </c>
      <c r="AC97" s="453">
        <v>-1987.66</v>
      </c>
      <c r="AD97" s="453">
        <v>-3459.22</v>
      </c>
      <c r="AE97" s="453">
        <v>-4363.42</v>
      </c>
      <c r="AF97" s="453">
        <v>-4363.42</v>
      </c>
      <c r="AG97" s="453">
        <v>-4363.42</v>
      </c>
      <c r="AH97" s="453">
        <v>-4363.42</v>
      </c>
      <c r="AI97" s="453">
        <v>0</v>
      </c>
      <c r="AJ97" s="453">
        <v>0</v>
      </c>
      <c r="AK97" s="453">
        <v>-383.89</v>
      </c>
      <c r="AL97" s="453">
        <v>-383.89</v>
      </c>
      <c r="AM97" s="453">
        <v>-383.89</v>
      </c>
      <c r="AN97" s="453">
        <v>-383.89</v>
      </c>
      <c r="AO97" s="453">
        <v>-2937.27</v>
      </c>
      <c r="AP97" s="453">
        <v>-2937.27</v>
      </c>
      <c r="AQ97" s="453">
        <v>-2937.27</v>
      </c>
      <c r="AR97" s="453">
        <f>IFERROR(INDEX('SuSa Okt25'!$N:$N,MATCH($A97,'SuSa Okt25'!A:A,0)),"")</f>
        <v>-2937.27</v>
      </c>
      <c r="AS97" s="453">
        <f>IFERROR(INDEX('SuSa Nov25'!$N:$N,MATCH($A97,'SuSa Nov25'!$A:$A,0)),"")</f>
        <v>-2937.27</v>
      </c>
      <c r="AT97" s="453">
        <f>IFERROR(INDEX('SuSa Dez25'!$N:$N,MATCH($A97,'SuSa Dez25'!$A:$A,0)),"")</f>
        <v>-2937.27</v>
      </c>
    </row>
    <row r="98" spans="1:46 16377:16383" hidden="1" outlineLevel="1" collapsed="1" x14ac:dyDescent="0.25">
      <c r="A98" s="452">
        <v>2749</v>
      </c>
      <c r="B98" s="575" t="s">
        <v>1257</v>
      </c>
      <c r="C98" t="s">
        <v>1258</v>
      </c>
      <c r="D98" t="s">
        <v>690</v>
      </c>
      <c r="G98" s="453">
        <f t="shared" si="3"/>
        <v>-560.49</v>
      </c>
      <c r="H98" s="453">
        <f t="shared" si="4"/>
        <v>-16638.400000000001</v>
      </c>
      <c r="I98" s="453">
        <f t="shared" si="5"/>
        <v>-5823.04</v>
      </c>
      <c r="K98" s="453">
        <v>-560.49</v>
      </c>
      <c r="L98" s="453">
        <v>-560.49</v>
      </c>
      <c r="M98" s="453">
        <v>-560.49</v>
      </c>
      <c r="N98" s="453">
        <v>-560.49</v>
      </c>
      <c r="O98" s="453">
        <v>-560.49</v>
      </c>
      <c r="P98" s="453">
        <v>-560.49</v>
      </c>
      <c r="Q98" s="453">
        <v>-560.49</v>
      </c>
      <c r="R98" s="453">
        <v>-560.49</v>
      </c>
      <c r="S98" s="453">
        <v>-560.49</v>
      </c>
      <c r="T98" s="453">
        <v>-560.49</v>
      </c>
      <c r="U98" s="453">
        <v>-560.49</v>
      </c>
      <c r="V98" s="453">
        <v>-560.49</v>
      </c>
      <c r="W98" s="453">
        <v>0</v>
      </c>
      <c r="X98" s="453">
        <v>0</v>
      </c>
      <c r="Y98" s="453">
        <v>0</v>
      </c>
      <c r="Z98" s="453">
        <v>0</v>
      </c>
      <c r="AA98" s="453">
        <v>0</v>
      </c>
      <c r="AB98" s="453">
        <v>-936</v>
      </c>
      <c r="AC98" s="453">
        <v>-3627</v>
      </c>
      <c r="AD98" s="453">
        <v>-6201</v>
      </c>
      <c r="AE98" s="453">
        <v>-8658</v>
      </c>
      <c r="AF98" s="453">
        <v>-11848.2</v>
      </c>
      <c r="AG98" s="453">
        <v>-14904.24</v>
      </c>
      <c r="AH98" s="453">
        <v>-16638.400000000001</v>
      </c>
      <c r="AI98" s="453">
        <v>-1641.28</v>
      </c>
      <c r="AJ98" s="453">
        <v>-3091.52</v>
      </c>
      <c r="AK98" s="453">
        <v>-4105.28</v>
      </c>
      <c r="AL98" s="453">
        <v>-4544.12</v>
      </c>
      <c r="AM98" s="453">
        <v>-4646.1099999999997</v>
      </c>
      <c r="AN98" s="453">
        <v>-5439.04</v>
      </c>
      <c r="AO98" s="453">
        <v>-5823.04</v>
      </c>
      <c r="AP98" s="453">
        <v>-5823.04</v>
      </c>
      <c r="AQ98" s="453">
        <v>-5823.04</v>
      </c>
      <c r="AR98" s="453">
        <f>IFERROR(INDEX('SuSa Okt25'!$N:$N,MATCH($A98,'SuSa Okt25'!A:A,0)),"")</f>
        <v>-5823.04</v>
      </c>
      <c r="AS98" s="453">
        <f>IFERROR(INDEX('SuSa Nov25'!$N:$N,MATCH($A98,'SuSa Nov25'!$A:$A,0)),"")</f>
        <v>-5823.04</v>
      </c>
      <c r="AT98" s="453">
        <f>IFERROR(INDEX('SuSa Dez25'!$N:$N,MATCH($A98,'SuSa Dez25'!$A:$A,0)),"")</f>
        <v>-5823.04</v>
      </c>
    </row>
    <row r="99" spans="1:46 16377:16383" s="478" customFormat="1" hidden="1" outlineLevel="1" collapsed="1" x14ac:dyDescent="0.25">
      <c r="A99" s="477">
        <v>3030</v>
      </c>
      <c r="B99" s="478" t="s">
        <v>1273</v>
      </c>
      <c r="C99" s="479" t="s">
        <v>1274</v>
      </c>
      <c r="D99" s="574" t="s">
        <v>693</v>
      </c>
      <c r="E99" s="479">
        <f>'P&amp;L (Annual Report)'!E49</f>
        <v>49211.76</v>
      </c>
      <c r="F99" s="479"/>
      <c r="G99" s="479">
        <f t="shared" si="3"/>
        <v>30586.76</v>
      </c>
      <c r="H99" s="479">
        <f t="shared" si="4"/>
        <v>27996.77</v>
      </c>
      <c r="I99" s="479">
        <f t="shared" si="5"/>
        <v>28749.05</v>
      </c>
      <c r="J99" s="479"/>
      <c r="K99" s="479">
        <v>0</v>
      </c>
      <c r="L99" s="479">
        <v>5010.03</v>
      </c>
      <c r="M99" s="479">
        <v>11342.23</v>
      </c>
      <c r="N99" s="479">
        <v>11422.78</v>
      </c>
      <c r="O99" s="479">
        <v>12138.28</v>
      </c>
      <c r="P99" s="479">
        <v>16992.13</v>
      </c>
      <c r="Q99" s="479">
        <v>23625.13</v>
      </c>
      <c r="R99" s="479">
        <v>24007.13</v>
      </c>
      <c r="S99" s="479">
        <v>25327.68</v>
      </c>
      <c r="T99" s="479">
        <v>25311.43</v>
      </c>
      <c r="U99" s="479">
        <v>28599.56</v>
      </c>
      <c r="V99" s="479">
        <v>30586.76</v>
      </c>
      <c r="W99" s="479">
        <v>0</v>
      </c>
      <c r="X99" s="479">
        <v>2664.85</v>
      </c>
      <c r="Y99" s="479">
        <v>2901.85</v>
      </c>
      <c r="Z99" s="479">
        <v>9581.5499999999993</v>
      </c>
      <c r="AA99" s="479">
        <v>9581.5499999999993</v>
      </c>
      <c r="AB99" s="479">
        <v>11479.85</v>
      </c>
      <c r="AC99" s="479">
        <v>15267.35</v>
      </c>
      <c r="AD99" s="479">
        <v>16459.849999999999</v>
      </c>
      <c r="AE99" s="479">
        <v>16459.849999999999</v>
      </c>
      <c r="AF99" s="479">
        <v>28366.47</v>
      </c>
      <c r="AG99" s="479">
        <v>27761.77</v>
      </c>
      <c r="AH99" s="479">
        <v>27996.77</v>
      </c>
      <c r="AI99" s="479">
        <v>2266</v>
      </c>
      <c r="AJ99" s="479">
        <v>10797.6</v>
      </c>
      <c r="AK99" s="479">
        <v>11345.95</v>
      </c>
      <c r="AL99" s="479">
        <v>14525.65</v>
      </c>
      <c r="AM99" s="479">
        <v>14525.65</v>
      </c>
      <c r="AN99" s="479">
        <v>16256.15</v>
      </c>
      <c r="AO99" s="479">
        <v>22967.13</v>
      </c>
      <c r="AP99" s="479">
        <v>24571.13</v>
      </c>
      <c r="AQ99" s="479">
        <v>24571.13</v>
      </c>
      <c r="AR99" s="479">
        <f>IFERROR(INDEX('SuSa Okt25'!$N:$N,MATCH($A99,'SuSa Okt25'!A:A,0)),"")</f>
        <v>26213.5</v>
      </c>
      <c r="AS99" s="479">
        <f>IFERROR(INDEX('SuSa Nov25'!$N:$N,MATCH($A99,'SuSa Nov25'!$A:$A,0)),"")</f>
        <v>28749.05</v>
      </c>
      <c r="AT99" s="479">
        <f>IFERROR(INDEX('SuSa Dez25'!$N:$N,MATCH($A99,'SuSa Dez25'!$A:$A,0)),"")</f>
        <v>28749.05</v>
      </c>
      <c r="XEY99" s="477"/>
      <c r="XFA99" s="477"/>
      <c r="XFC99" s="477"/>
    </row>
    <row r="100" spans="1:46 16377:16383" s="468" customFormat="1" hidden="1" outlineLevel="1" collapsed="1" x14ac:dyDescent="0.25">
      <c r="A100" s="467">
        <v>3101</v>
      </c>
      <c r="B100" s="468" t="s">
        <v>1275</v>
      </c>
      <c r="C100" s="468" t="s">
        <v>1276</v>
      </c>
      <c r="D100" s="467" t="s">
        <v>693</v>
      </c>
      <c r="E100" s="469">
        <f>'P&amp;L (Annual Report)'!E61</f>
        <v>17820.900000000001</v>
      </c>
      <c r="F100" s="469"/>
      <c r="G100" s="469">
        <f t="shared" si="3"/>
        <v>22952.51</v>
      </c>
      <c r="H100" s="469">
        <f t="shared" si="4"/>
        <v>20003.43</v>
      </c>
      <c r="I100" s="469">
        <f t="shared" si="5"/>
        <v>11711.5</v>
      </c>
      <c r="J100" s="469"/>
      <c r="K100" s="469">
        <v>1123</v>
      </c>
      <c r="L100" s="469">
        <v>1571.3</v>
      </c>
      <c r="M100" s="469">
        <v>2637.06</v>
      </c>
      <c r="N100" s="469">
        <v>3867.56</v>
      </c>
      <c r="O100" s="469">
        <v>5830.56</v>
      </c>
      <c r="P100" s="469">
        <v>8503.56</v>
      </c>
      <c r="Q100" s="469">
        <v>11163.94</v>
      </c>
      <c r="R100" s="469">
        <v>14339.94</v>
      </c>
      <c r="S100" s="469">
        <v>16931.939999999999</v>
      </c>
      <c r="T100" s="469">
        <v>18686.61</v>
      </c>
      <c r="U100" s="469">
        <v>19528.86</v>
      </c>
      <c r="V100" s="469">
        <v>22952.51</v>
      </c>
      <c r="W100" s="469">
        <v>3026.75</v>
      </c>
      <c r="X100" s="469">
        <v>4772.25</v>
      </c>
      <c r="Y100" s="469">
        <v>5938.25</v>
      </c>
      <c r="Z100" s="469">
        <v>8831.75</v>
      </c>
      <c r="AA100" s="469">
        <v>12139.43</v>
      </c>
      <c r="AB100" s="469">
        <v>13504.43</v>
      </c>
      <c r="AC100" s="469">
        <v>16249.43</v>
      </c>
      <c r="AD100" s="469">
        <v>16249.43</v>
      </c>
      <c r="AE100" s="469">
        <v>17547.93</v>
      </c>
      <c r="AF100" s="469">
        <v>17547.93</v>
      </c>
      <c r="AG100" s="469">
        <v>20003.43</v>
      </c>
      <c r="AH100" s="469">
        <v>20003.43</v>
      </c>
      <c r="AI100" s="469">
        <v>0</v>
      </c>
      <c r="AJ100" s="469">
        <v>1333</v>
      </c>
      <c r="AK100" s="469">
        <v>1333</v>
      </c>
      <c r="AL100" s="469">
        <v>2608</v>
      </c>
      <c r="AM100" s="469">
        <v>2608</v>
      </c>
      <c r="AN100" s="469">
        <v>3047</v>
      </c>
      <c r="AO100" s="469">
        <v>3047</v>
      </c>
      <c r="AP100" s="469">
        <v>3047</v>
      </c>
      <c r="AQ100" s="469">
        <v>3047</v>
      </c>
      <c r="AR100" s="469">
        <f>IFERROR(INDEX('SuSa Okt25'!$N:$N,MATCH($A100,'SuSa Okt25'!A:A,0)),"")</f>
        <v>9817.42</v>
      </c>
      <c r="AS100" s="469">
        <f>IFERROR(INDEX('SuSa Nov25'!$N:$N,MATCH($A100,'SuSa Nov25'!$A:$A,0)),"")</f>
        <v>10696</v>
      </c>
      <c r="AT100" s="469">
        <f>IFERROR(INDEX('SuSa Dez25'!$N:$N,MATCH($A100,'SuSa Dez25'!$A:$A,0)),"")</f>
        <v>11711.5</v>
      </c>
    </row>
    <row r="101" spans="1:46 16377:16383" s="468" customFormat="1" hidden="1" outlineLevel="1" collapsed="1" x14ac:dyDescent="0.25">
      <c r="A101" s="467">
        <v>3102</v>
      </c>
      <c r="B101" s="468" t="s">
        <v>1277</v>
      </c>
      <c r="C101" s="468" t="s">
        <v>1278</v>
      </c>
      <c r="D101" s="467" t="s">
        <v>693</v>
      </c>
      <c r="E101" s="469">
        <f>'P&amp;L (Annual Report)'!E62</f>
        <v>5892</v>
      </c>
      <c r="F101" s="469"/>
      <c r="G101" s="469">
        <f t="shared" si="3"/>
        <v>3701</v>
      </c>
      <c r="H101" s="469">
        <f t="shared" si="4"/>
        <v>3544.9</v>
      </c>
      <c r="I101" s="469">
        <f t="shared" si="5"/>
        <v>676</v>
      </c>
      <c r="J101" s="469"/>
      <c r="K101" s="469">
        <v>0</v>
      </c>
      <c r="L101" s="469">
        <v>1873.5</v>
      </c>
      <c r="M101" s="469">
        <v>1873.5</v>
      </c>
      <c r="N101" s="469">
        <v>1873.5</v>
      </c>
      <c r="O101" s="469">
        <v>1873.5</v>
      </c>
      <c r="P101" s="469">
        <v>2511.5</v>
      </c>
      <c r="Q101" s="469">
        <v>2511.5</v>
      </c>
      <c r="R101" s="469">
        <v>2511.5</v>
      </c>
      <c r="S101" s="469">
        <v>2511.5</v>
      </c>
      <c r="T101" s="469">
        <v>2511.5</v>
      </c>
      <c r="U101" s="469">
        <v>3234.5</v>
      </c>
      <c r="V101" s="469">
        <v>3701</v>
      </c>
      <c r="W101" s="469">
        <v>886.9</v>
      </c>
      <c r="X101" s="469">
        <v>1966.9</v>
      </c>
      <c r="Y101" s="469">
        <v>2255.9</v>
      </c>
      <c r="Z101" s="469">
        <v>2255.9</v>
      </c>
      <c r="AA101" s="469">
        <v>2608.9</v>
      </c>
      <c r="AB101" s="469">
        <v>2608.9</v>
      </c>
      <c r="AC101" s="469">
        <v>2985.9</v>
      </c>
      <c r="AD101" s="469">
        <v>2985.9</v>
      </c>
      <c r="AE101" s="469">
        <v>2985.9</v>
      </c>
      <c r="AF101" s="469">
        <v>2985.9</v>
      </c>
      <c r="AG101" s="469">
        <v>2985.9</v>
      </c>
      <c r="AH101" s="469">
        <v>3544.9</v>
      </c>
      <c r="AI101" s="469">
        <v>0</v>
      </c>
      <c r="AJ101" s="469">
        <v>0</v>
      </c>
      <c r="AK101" s="469">
        <v>0</v>
      </c>
      <c r="AL101" s="469">
        <v>203</v>
      </c>
      <c r="AM101" s="469">
        <v>203</v>
      </c>
      <c r="AN101" s="469">
        <v>203</v>
      </c>
      <c r="AO101" s="469">
        <v>203</v>
      </c>
      <c r="AP101" s="469">
        <v>203</v>
      </c>
      <c r="AQ101" s="469">
        <v>203</v>
      </c>
      <c r="AR101" s="469">
        <f>IFERROR(INDEX('SuSa Okt25'!$N:$N,MATCH($A101,'SuSa Okt25'!A:A,0)),"")</f>
        <v>203</v>
      </c>
      <c r="AS101" s="469">
        <f>IFERROR(INDEX('SuSa Nov25'!$N:$N,MATCH($A101,'SuSa Nov25'!$A:$A,0)),"")</f>
        <v>203</v>
      </c>
      <c r="AT101" s="469">
        <f>IFERROR(INDEX('SuSa Dez25'!$N:$N,MATCH($A101,'SuSa Dez25'!$A:$A,0)),"")</f>
        <v>676</v>
      </c>
    </row>
    <row r="102" spans="1:46 16377:16383" s="468" customFormat="1" hidden="1" outlineLevel="1" collapsed="1" x14ac:dyDescent="0.25">
      <c r="A102" s="467">
        <v>3106</v>
      </c>
      <c r="B102" s="468" t="s">
        <v>1279</v>
      </c>
      <c r="C102" s="468" t="s">
        <v>1280</v>
      </c>
      <c r="D102" s="467" t="s">
        <v>693</v>
      </c>
      <c r="E102" s="469">
        <f>'P&amp;L (Annual Report)'!E63</f>
        <v>460486.72</v>
      </c>
      <c r="F102" s="469"/>
      <c r="G102" s="469">
        <f t="shared" si="3"/>
        <v>520960.4</v>
      </c>
      <c r="H102" s="469">
        <f t="shared" si="4"/>
        <v>605922.72</v>
      </c>
      <c r="I102" s="469">
        <f t="shared" si="5"/>
        <v>493822.5</v>
      </c>
      <c r="J102" s="469"/>
      <c r="K102" s="469">
        <v>31054.5</v>
      </c>
      <c r="L102" s="469">
        <v>78510.2</v>
      </c>
      <c r="M102" s="469">
        <v>153050.79999999999</v>
      </c>
      <c r="N102" s="469">
        <v>211533.9</v>
      </c>
      <c r="O102" s="469">
        <v>240082.9</v>
      </c>
      <c r="P102" s="469">
        <v>274955.8</v>
      </c>
      <c r="Q102" s="469">
        <v>319632.09999999998</v>
      </c>
      <c r="R102" s="469">
        <v>347763.8</v>
      </c>
      <c r="S102" s="469">
        <v>375620.3</v>
      </c>
      <c r="T102" s="469">
        <v>413303.7</v>
      </c>
      <c r="U102" s="469">
        <v>466119.8</v>
      </c>
      <c r="V102" s="469">
        <v>520960.4</v>
      </c>
      <c r="W102" s="469">
        <v>48249.4</v>
      </c>
      <c r="X102" s="469">
        <v>96342.2</v>
      </c>
      <c r="Y102" s="469">
        <v>153938.01999999999</v>
      </c>
      <c r="Z102" s="469">
        <v>203228.62</v>
      </c>
      <c r="AA102" s="469">
        <v>283644.52</v>
      </c>
      <c r="AB102" s="469">
        <v>322906.62</v>
      </c>
      <c r="AC102" s="469">
        <v>381565.02</v>
      </c>
      <c r="AD102" s="469">
        <v>417488.82</v>
      </c>
      <c r="AE102" s="469">
        <v>466310.92</v>
      </c>
      <c r="AF102" s="469">
        <v>499436.62</v>
      </c>
      <c r="AG102" s="469">
        <v>553515.02</v>
      </c>
      <c r="AH102" s="469">
        <v>605922.72</v>
      </c>
      <c r="AI102" s="469">
        <v>39548.879999999997</v>
      </c>
      <c r="AJ102" s="469">
        <v>85558.56</v>
      </c>
      <c r="AK102" s="469">
        <v>222328.38</v>
      </c>
      <c r="AL102" s="469">
        <v>267021.94</v>
      </c>
      <c r="AM102" s="469">
        <v>316510.82</v>
      </c>
      <c r="AN102" s="469">
        <v>347451.8</v>
      </c>
      <c r="AO102" s="469">
        <v>378567.76</v>
      </c>
      <c r="AP102" s="469">
        <v>414140.32</v>
      </c>
      <c r="AQ102" s="469">
        <v>443140.28</v>
      </c>
      <c r="AR102" s="469">
        <f>IFERROR(INDEX('SuSa Okt25'!$N:$N,MATCH($A102,'SuSa Okt25'!A:A,0)),"")</f>
        <v>473537.84</v>
      </c>
      <c r="AS102" s="469">
        <f>IFERROR(INDEX('SuSa Nov25'!$N:$N,MATCH($A102,'SuSa Nov25'!$A:$A,0)),"")</f>
        <v>517456.54</v>
      </c>
      <c r="AT102" s="469">
        <f>IFERROR(INDEX('SuSa Dez25'!$N:$N,MATCH($A102,'SuSa Dez25'!$A:$A,0)),"")</f>
        <v>493822.5</v>
      </c>
    </row>
    <row r="103" spans="1:46 16377:16383" s="468" customFormat="1" hidden="1" outlineLevel="1" collapsed="1" x14ac:dyDescent="0.25">
      <c r="A103" s="467">
        <v>3125</v>
      </c>
      <c r="B103" s="468" t="s">
        <v>1281</v>
      </c>
      <c r="C103" s="468" t="s">
        <v>1282</v>
      </c>
      <c r="D103" s="467" t="s">
        <v>693</v>
      </c>
      <c r="E103" s="469">
        <f>'P&amp;L (Annual Report)'!E64</f>
        <v>0</v>
      </c>
      <c r="F103" s="469"/>
      <c r="G103" s="469">
        <f t="shared" si="3"/>
        <v>98400</v>
      </c>
      <c r="H103" s="469">
        <f t="shared" si="4"/>
        <v>22500</v>
      </c>
      <c r="I103" s="469">
        <f t="shared" si="5"/>
        <v>866.59</v>
      </c>
      <c r="J103" s="469"/>
      <c r="K103" s="469"/>
      <c r="L103" s="469"/>
      <c r="M103" s="469"/>
      <c r="N103" s="469"/>
      <c r="O103" s="469"/>
      <c r="P103" s="469"/>
      <c r="Q103" s="469"/>
      <c r="R103" s="469"/>
      <c r="S103" s="469"/>
      <c r="T103" s="469">
        <v>2000</v>
      </c>
      <c r="U103" s="469">
        <v>2000</v>
      </c>
      <c r="V103" s="469">
        <v>98400</v>
      </c>
      <c r="W103" s="469">
        <v>24740</v>
      </c>
      <c r="X103" s="469">
        <v>26400</v>
      </c>
      <c r="Y103" s="469">
        <v>32100</v>
      </c>
      <c r="Z103" s="469">
        <v>35300</v>
      </c>
      <c r="AA103" s="469">
        <v>58521.31</v>
      </c>
      <c r="AB103" s="469">
        <v>124919.12</v>
      </c>
      <c r="AC103" s="469">
        <v>128119.12</v>
      </c>
      <c r="AD103" s="469">
        <v>151319.12</v>
      </c>
      <c r="AE103" s="469">
        <v>154519.12</v>
      </c>
      <c r="AF103" s="469">
        <v>22500</v>
      </c>
      <c r="AG103" s="469">
        <v>22500</v>
      </c>
      <c r="AH103" s="469">
        <v>22500</v>
      </c>
      <c r="AI103" s="469">
        <v>0</v>
      </c>
      <c r="AJ103" s="469">
        <v>345</v>
      </c>
      <c r="AK103" s="469">
        <v>866.59</v>
      </c>
      <c r="AL103" s="469">
        <v>866.59</v>
      </c>
      <c r="AM103" s="469">
        <v>866.59</v>
      </c>
      <c r="AN103" s="469">
        <v>866.59</v>
      </c>
      <c r="AO103" s="469">
        <v>866.59</v>
      </c>
      <c r="AP103" s="469">
        <v>20866.59</v>
      </c>
      <c r="AQ103" s="469">
        <v>20866.59</v>
      </c>
      <c r="AR103" s="469">
        <f>IFERROR(INDEX('SuSa Okt25'!$N:$N,MATCH($A103,'SuSa Okt25'!A:A,0)),"")</f>
        <v>20866.59</v>
      </c>
      <c r="AS103" s="469">
        <f>IFERROR(INDEX('SuSa Nov25'!$N:$N,MATCH($A103,'SuSa Nov25'!$A:$A,0)),"")</f>
        <v>50866.59</v>
      </c>
      <c r="AT103" s="469">
        <f>IFERROR(INDEX('SuSa Dez25'!$N:$N,MATCH($A103,'SuSa Dez25'!$A:$A,0)),"")</f>
        <v>866.59</v>
      </c>
    </row>
    <row r="104" spans="1:46 16377:16383" s="478" customFormat="1" hidden="1" outlineLevel="1" collapsed="1" x14ac:dyDescent="0.25">
      <c r="A104" s="477">
        <v>3200</v>
      </c>
      <c r="B104" s="478" t="s">
        <v>1283</v>
      </c>
      <c r="C104" s="475" t="s">
        <v>1284</v>
      </c>
      <c r="D104" s="477" t="s">
        <v>693</v>
      </c>
      <c r="E104" s="479">
        <f>'P&amp;L (Annual Report)'!E50</f>
        <v>66776.73</v>
      </c>
      <c r="F104" s="479"/>
      <c r="G104" s="479">
        <f t="shared" si="3"/>
        <v>17389.509999999998</v>
      </c>
      <c r="H104" s="479">
        <f t="shared" si="4"/>
        <v>289719.8</v>
      </c>
      <c r="I104" s="479">
        <f t="shared" si="5"/>
        <v>20340.240000000002</v>
      </c>
      <c r="J104" s="479"/>
      <c r="K104" s="479">
        <v>2713.96</v>
      </c>
      <c r="L104" s="479">
        <v>2713.96</v>
      </c>
      <c r="M104" s="479">
        <v>2713.96</v>
      </c>
      <c r="N104" s="479">
        <v>5363.84</v>
      </c>
      <c r="O104" s="479">
        <v>5363.84</v>
      </c>
      <c r="P104" s="476">
        <v>7813.45</v>
      </c>
      <c r="Q104" s="479">
        <v>9365.2199999999993</v>
      </c>
      <c r="R104" s="479">
        <v>9365.2199999999993</v>
      </c>
      <c r="S104" s="479">
        <v>9365.2199999999993</v>
      </c>
      <c r="T104" s="479">
        <v>17389.509999999998</v>
      </c>
      <c r="U104" s="479">
        <v>17389.509999999998</v>
      </c>
      <c r="V104" s="479">
        <v>17389.509999999998</v>
      </c>
      <c r="W104" s="479">
        <v>3491.98</v>
      </c>
      <c r="X104" s="479">
        <v>3483.97</v>
      </c>
      <c r="Y104" s="479">
        <v>146419.48000000001</v>
      </c>
      <c r="Z104" s="479">
        <v>147735.48000000001</v>
      </c>
      <c r="AA104" s="479">
        <v>149976.94</v>
      </c>
      <c r="AB104" s="479">
        <v>151882.62</v>
      </c>
      <c r="AC104" s="479">
        <v>282082.62</v>
      </c>
      <c r="AD104" s="479">
        <v>282295.15999999997</v>
      </c>
      <c r="AE104" s="479">
        <v>282295.15999999997</v>
      </c>
      <c r="AF104" s="479">
        <v>282295.15999999997</v>
      </c>
      <c r="AG104" s="479">
        <v>282295.15999999997</v>
      </c>
      <c r="AH104" s="479">
        <v>289719.8</v>
      </c>
      <c r="AI104" s="479">
        <v>0</v>
      </c>
      <c r="AJ104" s="479">
        <v>0</v>
      </c>
      <c r="AK104" s="479">
        <v>0</v>
      </c>
      <c r="AL104" s="479">
        <v>583.6</v>
      </c>
      <c r="AM104" s="479">
        <v>583.6</v>
      </c>
      <c r="AN104" s="479">
        <v>784.09</v>
      </c>
      <c r="AO104" s="479">
        <v>1302.73</v>
      </c>
      <c r="AP104" s="479">
        <v>1302.73</v>
      </c>
      <c r="AQ104" s="479">
        <v>2226.19</v>
      </c>
      <c r="AR104" s="479">
        <f>IFERROR(INDEX('SuSa Okt25'!$N:$N,MATCH($A104,'SuSa Okt25'!A:A,0)),"")</f>
        <v>122543.71</v>
      </c>
      <c r="AS104" s="479">
        <f>IFERROR(INDEX('SuSa Nov25'!$N:$N,MATCH($A104,'SuSa Nov25'!$A:$A,0)),"")</f>
        <v>20340.240000000002</v>
      </c>
      <c r="AT104" s="479">
        <f>IFERROR(INDEX('SuSa Dez25'!$N:$N,MATCH($A104,'SuSa Dez25'!$A:$A,0)),"")</f>
        <v>20340.240000000002</v>
      </c>
    </row>
    <row r="105" spans="1:46 16377:16383" s="478" customFormat="1" hidden="1" outlineLevel="1" collapsed="1" x14ac:dyDescent="0.25">
      <c r="A105" s="477">
        <v>3400</v>
      </c>
      <c r="B105" s="478" t="s">
        <v>1285</v>
      </c>
      <c r="C105" s="475" t="s">
        <v>1286</v>
      </c>
      <c r="D105" s="477" t="s">
        <v>693</v>
      </c>
      <c r="E105" s="479">
        <f>'P&amp;L (Annual Report)'!E51</f>
        <v>1505208.16</v>
      </c>
      <c r="F105" s="479"/>
      <c r="G105" s="479">
        <f t="shared" si="3"/>
        <v>2066814.05</v>
      </c>
      <c r="H105" s="479">
        <f t="shared" si="4"/>
        <v>2076502.96</v>
      </c>
      <c r="I105" s="479">
        <f t="shared" si="5"/>
        <v>1800700.4</v>
      </c>
      <c r="J105" s="479"/>
      <c r="K105" s="479">
        <v>188905.95</v>
      </c>
      <c r="L105" s="479">
        <v>420343.05</v>
      </c>
      <c r="M105" s="479">
        <v>660085.15</v>
      </c>
      <c r="N105" s="479">
        <v>786335.38</v>
      </c>
      <c r="O105" s="479">
        <v>961620.77</v>
      </c>
      <c r="P105" s="476">
        <v>1102232.8700000001</v>
      </c>
      <c r="Q105" s="479">
        <v>1272552.3500000001</v>
      </c>
      <c r="R105" s="479">
        <v>1439491.97</v>
      </c>
      <c r="S105" s="479">
        <v>1593597.84</v>
      </c>
      <c r="T105" s="479">
        <v>1787945.67</v>
      </c>
      <c r="U105" s="479">
        <v>2003676.82</v>
      </c>
      <c r="V105" s="479">
        <v>2066814.05</v>
      </c>
      <c r="W105" s="479">
        <v>205060.11</v>
      </c>
      <c r="X105" s="479">
        <v>381605.52</v>
      </c>
      <c r="Y105" s="479">
        <v>574656.84</v>
      </c>
      <c r="Z105" s="479">
        <v>754081.84</v>
      </c>
      <c r="AA105" s="479">
        <v>969694.39</v>
      </c>
      <c r="AB105" s="479">
        <v>1104047.97</v>
      </c>
      <c r="AC105" s="479">
        <v>1348768.62</v>
      </c>
      <c r="AD105" s="479">
        <v>1474082.68</v>
      </c>
      <c r="AE105" s="479">
        <v>1620005.27</v>
      </c>
      <c r="AF105" s="479">
        <v>1774306.61</v>
      </c>
      <c r="AG105" s="479">
        <v>1977308.04</v>
      </c>
      <c r="AH105" s="479">
        <v>2076502.96</v>
      </c>
      <c r="AI105" s="479">
        <v>190541.69</v>
      </c>
      <c r="AJ105" s="479">
        <v>391911.16</v>
      </c>
      <c r="AK105" s="479">
        <v>635018.4</v>
      </c>
      <c r="AL105" s="479">
        <v>853961.34</v>
      </c>
      <c r="AM105" s="479">
        <v>997130.47</v>
      </c>
      <c r="AN105" s="479">
        <v>1083053.3999999999</v>
      </c>
      <c r="AO105" s="479">
        <v>1179410.5900000001</v>
      </c>
      <c r="AP105" s="479">
        <v>1296141.04</v>
      </c>
      <c r="AQ105" s="479">
        <v>1471225.47</v>
      </c>
      <c r="AR105" s="479">
        <f>IFERROR(INDEX('SuSa Okt25'!$N:$N,MATCH($A105,'SuSa Okt25'!A:A,0)),"")</f>
        <v>1556206.19</v>
      </c>
      <c r="AS105" s="479">
        <f>IFERROR(INDEX('SuSa Nov25'!$N:$N,MATCH($A105,'SuSa Nov25'!$A:$A,0)),"")</f>
        <v>1760954.29</v>
      </c>
      <c r="AT105" s="479">
        <f>IFERROR(INDEX('SuSa Dez25'!$N:$N,MATCH($A105,'SuSa Dez25'!$A:$A,0)),"")</f>
        <v>1800700.4</v>
      </c>
    </row>
    <row r="106" spans="1:46 16377:16383" s="478" customFormat="1" hidden="1" outlineLevel="1" collapsed="1" x14ac:dyDescent="0.25">
      <c r="A106" s="477">
        <v>3401</v>
      </c>
      <c r="B106" s="478" t="s">
        <v>1287</v>
      </c>
      <c r="C106" s="478" t="s">
        <v>1982</v>
      </c>
      <c r="D106" s="477" t="s">
        <v>693</v>
      </c>
      <c r="E106" s="479">
        <f>'P&amp;L (Annual Report)'!E52</f>
        <v>364976.54</v>
      </c>
      <c r="F106" s="479"/>
      <c r="G106" s="479">
        <f t="shared" si="3"/>
        <v>222391.73</v>
      </c>
      <c r="H106" s="479">
        <f t="shared" si="4"/>
        <v>621605.43999999994</v>
      </c>
      <c r="I106" s="479">
        <f t="shared" si="5"/>
        <v>454052.59</v>
      </c>
      <c r="J106" s="479"/>
      <c r="K106" s="479">
        <v>24785.5</v>
      </c>
      <c r="L106" s="479">
        <v>57048.6</v>
      </c>
      <c r="M106" s="479">
        <v>70630.100000000006</v>
      </c>
      <c r="N106" s="479">
        <v>89033.600000000006</v>
      </c>
      <c r="O106" s="479">
        <v>108290.7</v>
      </c>
      <c r="P106" s="479">
        <v>130337.2</v>
      </c>
      <c r="Q106" s="479">
        <v>166107.70000000001</v>
      </c>
      <c r="R106" s="479">
        <v>170357.7</v>
      </c>
      <c r="S106" s="479">
        <v>181227.2</v>
      </c>
      <c r="T106" s="479">
        <v>203852.73</v>
      </c>
      <c r="U106" s="479">
        <v>215953.73</v>
      </c>
      <c r="V106" s="479">
        <v>222391.73</v>
      </c>
      <c r="W106" s="479">
        <v>38234</v>
      </c>
      <c r="X106" s="479">
        <v>46224</v>
      </c>
      <c r="Y106" s="479">
        <v>101523</v>
      </c>
      <c r="Z106" s="479">
        <v>217963.19</v>
      </c>
      <c r="AA106" s="479">
        <v>339325.99</v>
      </c>
      <c r="AB106" s="479">
        <v>444997.99</v>
      </c>
      <c r="AC106" s="479">
        <v>451805.99</v>
      </c>
      <c r="AD106" s="479">
        <v>453629.99</v>
      </c>
      <c r="AE106" s="479">
        <v>521743.44</v>
      </c>
      <c r="AF106" s="479">
        <v>591210.43999999994</v>
      </c>
      <c r="AG106" s="479">
        <v>607080.43999999994</v>
      </c>
      <c r="AH106" s="479">
        <v>621605.43999999994</v>
      </c>
      <c r="AI106" s="479">
        <v>74862.7</v>
      </c>
      <c r="AJ106" s="479">
        <v>170705.4</v>
      </c>
      <c r="AK106" s="479">
        <v>183470.8</v>
      </c>
      <c r="AL106" s="479">
        <v>201684.4</v>
      </c>
      <c r="AM106" s="479">
        <v>239682.86</v>
      </c>
      <c r="AN106" s="479">
        <v>273240.69</v>
      </c>
      <c r="AO106" s="479">
        <v>287118.28999999998</v>
      </c>
      <c r="AP106" s="479">
        <v>397312.09</v>
      </c>
      <c r="AQ106" s="479">
        <v>410937.49</v>
      </c>
      <c r="AR106" s="479">
        <f>IFERROR(INDEX('SuSa Okt25'!$N:$N,MATCH($A106,'SuSa Okt25'!A:A,0)),"")</f>
        <v>420972.29</v>
      </c>
      <c r="AS106" s="479">
        <f>IFERROR(INDEX('SuSa Nov25'!$N:$N,MATCH($A106,'SuSa Nov25'!$A:$A,0)),"")</f>
        <v>432235.49</v>
      </c>
      <c r="AT106" s="479">
        <f>IFERROR(INDEX('SuSa Dez25'!$N:$N,MATCH($A106,'SuSa Dez25'!$A:$A,0)),"")</f>
        <v>454052.59</v>
      </c>
      <c r="XFC106" s="477"/>
    </row>
    <row r="107" spans="1:46 16377:16383" s="478" customFormat="1" hidden="1" outlineLevel="1" collapsed="1" x14ac:dyDescent="0.25">
      <c r="A107" s="477">
        <v>3425</v>
      </c>
      <c r="B107" s="478" t="s">
        <v>1289</v>
      </c>
      <c r="C107" s="478" t="s">
        <v>1290</v>
      </c>
      <c r="D107" s="477" t="s">
        <v>693</v>
      </c>
      <c r="E107" s="479">
        <f>'P&amp;L (Annual Report)'!E53</f>
        <v>5506372.4199999999</v>
      </c>
      <c r="F107" s="479"/>
      <c r="G107" s="479">
        <f t="shared" si="3"/>
        <v>5628952.3499999996</v>
      </c>
      <c r="H107" s="479">
        <f t="shared" si="4"/>
        <v>5510838.4900000002</v>
      </c>
      <c r="I107" s="479">
        <f t="shared" si="5"/>
        <v>3395099.75</v>
      </c>
      <c r="J107" s="479"/>
      <c r="K107" s="479">
        <v>449191.72</v>
      </c>
      <c r="L107" s="479">
        <v>1049783.69</v>
      </c>
      <c r="M107" s="479">
        <v>1702435.75</v>
      </c>
      <c r="N107" s="479">
        <v>2158249.44</v>
      </c>
      <c r="O107" s="479">
        <v>2880525.35</v>
      </c>
      <c r="P107" s="479">
        <v>3235597.19</v>
      </c>
      <c r="Q107" s="479">
        <v>3697952.45</v>
      </c>
      <c r="R107" s="479">
        <v>3999540.84</v>
      </c>
      <c r="S107" s="479">
        <v>4723679.45</v>
      </c>
      <c r="T107" s="479">
        <v>4973274.62</v>
      </c>
      <c r="U107" s="479">
        <v>5115063.1100000003</v>
      </c>
      <c r="V107" s="479">
        <v>5628952.3499999996</v>
      </c>
      <c r="W107" s="479">
        <v>376625.83</v>
      </c>
      <c r="X107" s="479">
        <v>648394.73</v>
      </c>
      <c r="Y107" s="479">
        <v>810888.24</v>
      </c>
      <c r="Z107" s="479">
        <v>1091496.49</v>
      </c>
      <c r="AA107" s="479">
        <v>1706989.26</v>
      </c>
      <c r="AB107" s="479">
        <v>2016862.34</v>
      </c>
      <c r="AC107" s="479">
        <v>3224261.43</v>
      </c>
      <c r="AD107" s="479">
        <v>3524844.05</v>
      </c>
      <c r="AE107" s="479">
        <v>4419506.3099999996</v>
      </c>
      <c r="AF107" s="479">
        <v>4629744.7</v>
      </c>
      <c r="AG107" s="479">
        <v>4936374</v>
      </c>
      <c r="AH107" s="479">
        <v>5510838.4900000002</v>
      </c>
      <c r="AI107" s="479">
        <v>357657.06</v>
      </c>
      <c r="AJ107" s="479">
        <v>854295.05</v>
      </c>
      <c r="AK107" s="479">
        <v>1124653.77</v>
      </c>
      <c r="AL107" s="479">
        <v>1537389.63</v>
      </c>
      <c r="AM107" s="479">
        <v>2005832.56</v>
      </c>
      <c r="AN107" s="479">
        <v>2139223.65</v>
      </c>
      <c r="AO107" s="479">
        <v>2492638.21</v>
      </c>
      <c r="AP107" s="479">
        <v>2651391.9</v>
      </c>
      <c r="AQ107" s="479">
        <v>2855359.01</v>
      </c>
      <c r="AR107" s="479">
        <f>IFERROR(INDEX('SuSa Okt25'!$N:$N,MATCH($A107,'SuSa Okt25'!A:A,0)),"")</f>
        <v>2976283.46</v>
      </c>
      <c r="AS107" s="479">
        <f>IFERROR(INDEX('SuSa Nov25'!$N:$N,MATCH($A107,'SuSa Nov25'!$A:$A,0)),"")</f>
        <v>3517822.75</v>
      </c>
      <c r="AT107" s="479">
        <f>IFERROR(INDEX('SuSa Dez25'!$N:$N,MATCH($A107,'SuSa Dez25'!$A:$A,0)),"")</f>
        <v>3395099.75</v>
      </c>
      <c r="XFC107" s="477"/>
    </row>
    <row r="108" spans="1:46 16377:16383" s="478" customFormat="1" hidden="1" outlineLevel="1" collapsed="1" x14ac:dyDescent="0.25">
      <c r="A108" s="477">
        <v>3736</v>
      </c>
      <c r="B108" s="478" t="s">
        <v>1291</v>
      </c>
      <c r="C108" s="477" t="s">
        <v>1983</v>
      </c>
      <c r="D108" s="477" t="s">
        <v>693</v>
      </c>
      <c r="E108" s="479">
        <f>'P&amp;L (Annual Report)'!E54</f>
        <v>-37093.839999999997</v>
      </c>
      <c r="F108" s="479"/>
      <c r="G108" s="479">
        <f t="shared" si="3"/>
        <v>-47746.5</v>
      </c>
      <c r="H108" s="479">
        <f t="shared" si="4"/>
        <v>-50431.7</v>
      </c>
      <c r="I108" s="479">
        <f t="shared" si="5"/>
        <v>-38589.83</v>
      </c>
      <c r="J108" s="479"/>
      <c r="K108" s="479">
        <v>-3252.48</v>
      </c>
      <c r="L108" s="479">
        <v>-8403.6200000000008</v>
      </c>
      <c r="M108" s="479">
        <v>-13876.07</v>
      </c>
      <c r="N108" s="479">
        <v>-16566.099999999999</v>
      </c>
      <c r="O108" s="479">
        <v>-20308.89</v>
      </c>
      <c r="P108" s="479">
        <v>-23567.1</v>
      </c>
      <c r="Q108" s="479">
        <v>-27459.75</v>
      </c>
      <c r="R108" s="479">
        <v>-31557.55</v>
      </c>
      <c r="S108" s="479">
        <v>-35861.5</v>
      </c>
      <c r="T108" s="479">
        <v>-39838.089999999997</v>
      </c>
      <c r="U108" s="479">
        <v>-44620.7</v>
      </c>
      <c r="V108" s="479">
        <v>-47746.5</v>
      </c>
      <c r="W108" s="479">
        <v>-3119.67</v>
      </c>
      <c r="X108" s="479">
        <v>-7842.71</v>
      </c>
      <c r="Y108" s="479">
        <v>-12885.7</v>
      </c>
      <c r="Z108" s="479">
        <v>-17168.91</v>
      </c>
      <c r="AA108" s="479">
        <v>-22008.95</v>
      </c>
      <c r="AB108" s="479">
        <v>-26075.02</v>
      </c>
      <c r="AC108" s="479">
        <v>-31336.79</v>
      </c>
      <c r="AD108" s="479">
        <v>-35144.129999999997</v>
      </c>
      <c r="AE108" s="479">
        <v>-39096.120000000003</v>
      </c>
      <c r="AF108" s="479">
        <v>-42112.98</v>
      </c>
      <c r="AG108" s="479">
        <v>-46490.26</v>
      </c>
      <c r="AH108" s="479">
        <v>-50431.7</v>
      </c>
      <c r="AI108" s="479">
        <v>-3130.5</v>
      </c>
      <c r="AJ108" s="479">
        <v>-7161.13</v>
      </c>
      <c r="AK108" s="479">
        <v>-11754.1</v>
      </c>
      <c r="AL108" s="479">
        <v>-17098.88</v>
      </c>
      <c r="AM108" s="479">
        <v>-21393.68</v>
      </c>
      <c r="AN108" s="479">
        <v>-22849.26</v>
      </c>
      <c r="AO108" s="479">
        <v>-25513.73</v>
      </c>
      <c r="AP108" s="479">
        <v>-27717.81</v>
      </c>
      <c r="AQ108" s="479">
        <v>-31151.75</v>
      </c>
      <c r="AR108" s="479">
        <f>IFERROR(INDEX('SuSa Okt25'!$N:$N,MATCH($A108,'SuSa Okt25'!A:A,0)),"")</f>
        <v>-33604.81</v>
      </c>
      <c r="AS108" s="479">
        <f>IFERROR(INDEX('SuSa Nov25'!$N:$N,MATCH($A108,'SuSa Nov25'!$A:$A,0)),"")</f>
        <v>-36528.47</v>
      </c>
      <c r="AT108" s="479">
        <f>IFERROR(INDEX('SuSa Dez25'!$N:$N,MATCH($A108,'SuSa Dez25'!$A:$A,0)),"")</f>
        <v>-38589.83</v>
      </c>
      <c r="XFC108" s="477"/>
    </row>
    <row r="109" spans="1:46 16377:16383" s="478" customFormat="1" hidden="1" outlineLevel="1" collapsed="1" x14ac:dyDescent="0.25">
      <c r="A109" s="477">
        <v>3738</v>
      </c>
      <c r="B109" s="478" t="s">
        <v>1293</v>
      </c>
      <c r="C109" s="479" t="s">
        <v>1984</v>
      </c>
      <c r="D109" s="477" t="s">
        <v>693</v>
      </c>
      <c r="E109" s="479">
        <f>'P&amp;L (Annual Report)'!E55</f>
        <v>0</v>
      </c>
      <c r="F109" s="479"/>
      <c r="G109" s="479">
        <f t="shared" si="3"/>
        <v>0</v>
      </c>
      <c r="H109" s="479">
        <f t="shared" si="4"/>
        <v>0</v>
      </c>
      <c r="I109" s="479">
        <f t="shared" si="5"/>
        <v>0</v>
      </c>
      <c r="J109" s="479"/>
      <c r="K109" s="479"/>
      <c r="L109" s="479"/>
      <c r="M109" s="479"/>
      <c r="N109" s="479"/>
      <c r="O109" s="479"/>
      <c r="P109" s="479"/>
      <c r="Q109" s="479"/>
      <c r="R109" s="479"/>
      <c r="S109" s="479"/>
      <c r="T109" s="479"/>
      <c r="U109" s="479"/>
      <c r="V109" s="479"/>
      <c r="W109" s="479"/>
      <c r="X109" s="479"/>
      <c r="Y109" s="479"/>
      <c r="Z109" s="479"/>
      <c r="AA109" s="479"/>
      <c r="AB109" s="479"/>
      <c r="AC109" s="479"/>
      <c r="AD109" s="479"/>
      <c r="AE109" s="479"/>
      <c r="AF109" s="479">
        <v>-53.89</v>
      </c>
      <c r="AG109" s="479">
        <v>-53.89</v>
      </c>
      <c r="AH109" s="479">
        <v>0</v>
      </c>
      <c r="AI109" s="479">
        <v>0</v>
      </c>
      <c r="AJ109" s="479">
        <v>0</v>
      </c>
      <c r="AK109" s="479">
        <v>0</v>
      </c>
      <c r="AL109" s="479">
        <v>0</v>
      </c>
      <c r="AM109" s="479">
        <v>0</v>
      </c>
      <c r="AN109" s="478">
        <v>0</v>
      </c>
      <c r="AO109" s="479">
        <v>0</v>
      </c>
      <c r="AP109" s="479">
        <v>0</v>
      </c>
      <c r="AQ109" s="479">
        <v>0</v>
      </c>
      <c r="AR109" s="479">
        <f>IFERROR(INDEX('SuSa Okt25'!$N:$N,MATCH($A109,'SuSa Okt25'!A:A,0)),"")</f>
        <v>0</v>
      </c>
      <c r="AS109" s="479">
        <f>IFERROR(INDEX('SuSa Nov25'!$N:$N,MATCH($A109,'SuSa Nov25'!$A:$A,0)),"")</f>
        <v>0</v>
      </c>
      <c r="AT109" s="479">
        <f>IFERROR(INDEX('SuSa Dez25'!$N:$N,MATCH($A109,'SuSa Dez25'!$A:$A,0)),"")</f>
        <v>0</v>
      </c>
      <c r="XFA109" s="477"/>
      <c r="XFC109" s="477"/>
    </row>
    <row r="110" spans="1:46 16377:16383" s="478" customFormat="1" hidden="1" outlineLevel="1" collapsed="1" x14ac:dyDescent="0.25">
      <c r="A110" s="477">
        <v>3748</v>
      </c>
      <c r="B110" s="478" t="s">
        <v>1295</v>
      </c>
      <c r="C110" s="479" t="s">
        <v>1985</v>
      </c>
      <c r="D110" s="477" t="s">
        <v>693</v>
      </c>
      <c r="E110" s="479">
        <f>'P&amp;L (Annual Report)'!E56</f>
        <v>-34707.21</v>
      </c>
      <c r="F110" s="479"/>
      <c r="G110" s="479">
        <f t="shared" si="3"/>
        <v>-34375.300000000003</v>
      </c>
      <c r="H110" s="479">
        <f t="shared" si="4"/>
        <v>-6721.22</v>
      </c>
      <c r="I110" s="479">
        <f t="shared" si="5"/>
        <v>-1246.1099999999999</v>
      </c>
      <c r="J110" s="479"/>
      <c r="K110" s="479">
        <v>-4898.8900000000003</v>
      </c>
      <c r="L110" s="479">
        <v>-7441.37</v>
      </c>
      <c r="M110" s="479">
        <v>-8897.8700000000008</v>
      </c>
      <c r="N110" s="479">
        <v>-15653.15</v>
      </c>
      <c r="O110" s="479">
        <v>-19529.45</v>
      </c>
      <c r="P110" s="479">
        <v>-21020.07</v>
      </c>
      <c r="Q110" s="479">
        <v>-25934.93</v>
      </c>
      <c r="R110" s="479">
        <v>-27618.07</v>
      </c>
      <c r="S110" s="479">
        <v>-29553.77</v>
      </c>
      <c r="T110" s="479">
        <v>-33664.06</v>
      </c>
      <c r="U110" s="479">
        <v>-33981.58</v>
      </c>
      <c r="V110" s="479">
        <v>-34375.300000000003</v>
      </c>
      <c r="W110" s="479">
        <v>-2619.2199999999998</v>
      </c>
      <c r="X110" s="479">
        <v>-6713.07</v>
      </c>
      <c r="Y110" s="479">
        <v>-6721.22</v>
      </c>
      <c r="Z110" s="479">
        <v>-6721.22</v>
      </c>
      <c r="AA110" s="479">
        <v>-6721.22</v>
      </c>
      <c r="AB110" s="479">
        <v>-6721.22</v>
      </c>
      <c r="AC110" s="479">
        <v>-6721.23</v>
      </c>
      <c r="AD110" s="479">
        <v>-6721.22</v>
      </c>
      <c r="AE110" s="479">
        <v>-6721.22</v>
      </c>
      <c r="AF110" s="479">
        <v>-6721.22</v>
      </c>
      <c r="AG110" s="479">
        <v>-6721.22</v>
      </c>
      <c r="AH110" s="479">
        <v>-6721.22</v>
      </c>
      <c r="AI110" s="479">
        <v>0</v>
      </c>
      <c r="AJ110" s="479">
        <v>0</v>
      </c>
      <c r="AK110" s="479">
        <v>0</v>
      </c>
      <c r="AL110" s="478">
        <v>0</v>
      </c>
      <c r="AM110" s="478">
        <v>0</v>
      </c>
      <c r="AN110" s="478">
        <v>0</v>
      </c>
      <c r="AO110" s="479">
        <v>0</v>
      </c>
      <c r="AP110" s="479">
        <v>0</v>
      </c>
      <c r="AQ110" s="479">
        <v>0</v>
      </c>
      <c r="AR110" s="479">
        <f>IFERROR(INDEX('SuSa Okt25'!$N:$N,MATCH($A110,'SuSa Okt25'!A:A,0)),"")</f>
        <v>0</v>
      </c>
      <c r="AS110" s="479">
        <f>IFERROR(INDEX('SuSa Nov25'!$N:$N,MATCH($A110,'SuSa Nov25'!$A:$A,0)),"")</f>
        <v>0</v>
      </c>
      <c r="AT110" s="479">
        <f>IFERROR(INDEX('SuSa Dez25'!$N:$N,MATCH($A110,'SuSa Dez25'!$A:$A,0)),"")</f>
        <v>-1246.1099999999999</v>
      </c>
      <c r="XEY110" s="477"/>
      <c r="XFA110" s="477"/>
      <c r="XFC110" s="477"/>
    </row>
    <row r="111" spans="1:46 16377:16383" s="478" customFormat="1" hidden="1" outlineLevel="1" collapsed="1" x14ac:dyDescent="0.25">
      <c r="A111" s="477">
        <v>3800</v>
      </c>
      <c r="B111" s="478" t="s">
        <v>1297</v>
      </c>
      <c r="C111" s="479" t="s">
        <v>1298</v>
      </c>
      <c r="D111" s="477" t="s">
        <v>693</v>
      </c>
      <c r="E111" s="479">
        <f>'P&amp;L (Annual Report)'!E57</f>
        <v>61051.79</v>
      </c>
      <c r="F111" s="479"/>
      <c r="G111" s="479">
        <f t="shared" si="3"/>
        <v>55606.31</v>
      </c>
      <c r="H111" s="479">
        <f t="shared" si="4"/>
        <v>129385.65</v>
      </c>
      <c r="I111" s="479">
        <f t="shared" si="5"/>
        <v>76214.77</v>
      </c>
      <c r="J111" s="479"/>
      <c r="K111" s="479">
        <v>4814.3999999999996</v>
      </c>
      <c r="L111" s="479">
        <v>11693.01</v>
      </c>
      <c r="M111" s="479">
        <v>16934.560000000001</v>
      </c>
      <c r="N111" s="479">
        <v>21999.78</v>
      </c>
      <c r="O111" s="479">
        <v>26541.64</v>
      </c>
      <c r="P111" s="479">
        <v>31001.31</v>
      </c>
      <c r="Q111" s="479">
        <v>37732.300000000003</v>
      </c>
      <c r="R111" s="479">
        <v>41163.49</v>
      </c>
      <c r="S111" s="479">
        <v>45875.64</v>
      </c>
      <c r="T111" s="479">
        <v>48840.02</v>
      </c>
      <c r="U111" s="479">
        <v>53752.26</v>
      </c>
      <c r="V111" s="479">
        <v>55606.31</v>
      </c>
      <c r="W111" s="479">
        <v>8136.6</v>
      </c>
      <c r="X111" s="479">
        <v>18848.93</v>
      </c>
      <c r="Y111" s="479">
        <v>28973.13</v>
      </c>
      <c r="Z111" s="479">
        <v>41660.019999999997</v>
      </c>
      <c r="AA111" s="479">
        <v>52467.92</v>
      </c>
      <c r="AB111" s="479">
        <v>62621.54</v>
      </c>
      <c r="AC111" s="479">
        <v>79263.34</v>
      </c>
      <c r="AD111" s="479">
        <v>89736.79</v>
      </c>
      <c r="AE111" s="479">
        <v>98583.88</v>
      </c>
      <c r="AF111" s="479">
        <v>108093.05</v>
      </c>
      <c r="AG111" s="479">
        <v>120576.68</v>
      </c>
      <c r="AH111" s="479">
        <v>129385.65</v>
      </c>
      <c r="AI111" s="479">
        <v>4612.24</v>
      </c>
      <c r="AJ111" s="478">
        <v>12459.77</v>
      </c>
      <c r="AK111" s="478">
        <v>17756.330000000002</v>
      </c>
      <c r="AL111" s="478">
        <v>26733.99</v>
      </c>
      <c r="AM111" s="478">
        <v>33156.620000000003</v>
      </c>
      <c r="AN111" s="478">
        <v>39534.76</v>
      </c>
      <c r="AO111" s="479">
        <v>46443.96</v>
      </c>
      <c r="AP111" s="479">
        <v>52312.09</v>
      </c>
      <c r="AQ111" s="479">
        <v>56043.38</v>
      </c>
      <c r="AR111" s="479">
        <f>IFERROR(INDEX('SuSa Okt25'!$N:$N,MATCH($A111,'SuSa Okt25'!A:A,0)),"")</f>
        <v>61934.14</v>
      </c>
      <c r="AS111" s="479">
        <f>IFERROR(INDEX('SuSa Nov25'!$N:$N,MATCH($A111,'SuSa Nov25'!$A:$A,0)),"")</f>
        <v>68389.039999999994</v>
      </c>
      <c r="AT111" s="479">
        <f>IFERROR(INDEX('SuSa Dez25'!$N:$N,MATCH($A111,'SuSa Dez25'!$A:$A,0)),"")</f>
        <v>76214.77</v>
      </c>
      <c r="XEW111" s="477"/>
      <c r="XEY111" s="477"/>
      <c r="XFA111" s="477"/>
      <c r="XFC111" s="477"/>
    </row>
    <row r="112" spans="1:46 16377:16383" s="478" customFormat="1" hidden="1" outlineLevel="1" collapsed="1" x14ac:dyDescent="0.25">
      <c r="A112" s="477">
        <v>3950</v>
      </c>
      <c r="B112" s="478" t="s">
        <v>1299</v>
      </c>
      <c r="C112" s="478" t="s">
        <v>1300</v>
      </c>
      <c r="D112" s="477" t="s">
        <v>693</v>
      </c>
      <c r="E112" s="479">
        <f>'P&amp;L (Annual Report)'!E58</f>
        <v>-183166</v>
      </c>
      <c r="F112" s="479"/>
      <c r="G112" s="479">
        <f t="shared" si="3"/>
        <v>-241736.85</v>
      </c>
      <c r="H112" s="479">
        <f t="shared" si="4"/>
        <v>-742002.06</v>
      </c>
      <c r="I112" s="479">
        <f t="shared" si="5"/>
        <v>831275.04</v>
      </c>
      <c r="J112" s="479"/>
      <c r="K112" s="479">
        <v>0</v>
      </c>
      <c r="L112" s="479">
        <v>0</v>
      </c>
      <c r="M112" s="479">
        <v>0</v>
      </c>
      <c r="N112" s="479">
        <v>0</v>
      </c>
      <c r="O112" s="479">
        <v>0</v>
      </c>
      <c r="P112" s="479">
        <v>-266463.52</v>
      </c>
      <c r="Q112" s="479">
        <v>-266463.52</v>
      </c>
      <c r="R112" s="479">
        <v>-266463.52</v>
      </c>
      <c r="S112" s="479">
        <v>-507999.59</v>
      </c>
      <c r="T112" s="479">
        <v>-507999.59</v>
      </c>
      <c r="U112" s="479">
        <v>-507999.59</v>
      </c>
      <c r="V112" s="479">
        <v>-241736.85</v>
      </c>
      <c r="W112" s="479">
        <v>0</v>
      </c>
      <c r="X112" s="479">
        <v>0</v>
      </c>
      <c r="Y112" s="479">
        <v>0</v>
      </c>
      <c r="Z112" s="479">
        <v>0</v>
      </c>
      <c r="AA112" s="479">
        <v>0</v>
      </c>
      <c r="AB112" s="479">
        <v>214920.31</v>
      </c>
      <c r="AC112" s="479">
        <v>214920.31</v>
      </c>
      <c r="AD112" s="479">
        <v>214920.31</v>
      </c>
      <c r="AE112" s="479">
        <v>214920.31</v>
      </c>
      <c r="AF112" s="479">
        <v>214920.31</v>
      </c>
      <c r="AG112" s="479">
        <v>214920.31</v>
      </c>
      <c r="AH112" s="479">
        <v>-742002.06</v>
      </c>
      <c r="AI112" s="479">
        <v>0</v>
      </c>
      <c r="AJ112" s="479">
        <v>0</v>
      </c>
      <c r="AK112" s="479">
        <v>0</v>
      </c>
      <c r="AL112" s="479">
        <v>0</v>
      </c>
      <c r="AM112" s="479">
        <v>0</v>
      </c>
      <c r="AN112" s="479">
        <v>0</v>
      </c>
      <c r="AO112" s="479">
        <v>0</v>
      </c>
      <c r="AP112" s="479">
        <v>0</v>
      </c>
      <c r="AQ112" s="479">
        <v>0</v>
      </c>
      <c r="AR112" s="479">
        <f>IFERROR(INDEX('SuSa Okt25'!$N:$N,MATCH($A112,'SuSa Okt25'!A:A,0)),"")</f>
        <v>0</v>
      </c>
      <c r="AS112" s="479">
        <f>IFERROR(INDEX('SuSa Nov25'!$N:$N,MATCH($A112,'SuSa Nov25'!$A:$A,0)),"")</f>
        <v>0</v>
      </c>
      <c r="AT112" s="479">
        <f>IFERROR(INDEX('SuSa Dez25'!$N:$N,MATCH($A112,'SuSa Dez25'!$A:$A,0)),"")</f>
        <v>831275.04</v>
      </c>
      <c r="XFC112" s="477"/>
    </row>
    <row r="113" spans="1:46 16381:16383" s="478" customFormat="1" hidden="1" outlineLevel="1" collapsed="1" x14ac:dyDescent="0.25">
      <c r="A113" s="477">
        <v>3960</v>
      </c>
      <c r="B113" s="478" t="s">
        <v>1301</v>
      </c>
      <c r="C113" s="479" t="s">
        <v>1302</v>
      </c>
      <c r="D113" s="477" t="s">
        <v>693</v>
      </c>
      <c r="E113" s="479">
        <f>'P&amp;L (Annual Report)'!E59</f>
        <v>-149703.78</v>
      </c>
      <c r="F113" s="479"/>
      <c r="G113" s="479">
        <f t="shared" si="3"/>
        <v>-257393.59</v>
      </c>
      <c r="H113" s="479">
        <f t="shared" si="4"/>
        <v>-110977.79</v>
      </c>
      <c r="I113" s="479">
        <f t="shared" si="5"/>
        <v>288112.2</v>
      </c>
      <c r="J113" s="479"/>
      <c r="K113" s="479">
        <v>0</v>
      </c>
      <c r="L113" s="479">
        <v>0</v>
      </c>
      <c r="M113" s="479">
        <v>0</v>
      </c>
      <c r="N113" s="479">
        <v>0</v>
      </c>
      <c r="O113" s="479">
        <v>0</v>
      </c>
      <c r="P113" s="479">
        <v>-357448.06</v>
      </c>
      <c r="Q113" s="479">
        <v>-357448.06</v>
      </c>
      <c r="R113" s="479">
        <v>-357448.06</v>
      </c>
      <c r="S113" s="479">
        <v>-328288.28000000003</v>
      </c>
      <c r="T113" s="479">
        <v>-328288.28000000003</v>
      </c>
      <c r="U113" s="479">
        <v>-328288.28000000003</v>
      </c>
      <c r="V113" s="479">
        <v>-257393.59</v>
      </c>
      <c r="W113" s="479">
        <v>0</v>
      </c>
      <c r="X113" s="479">
        <v>0</v>
      </c>
      <c r="Y113" s="479">
        <v>0</v>
      </c>
      <c r="Z113" s="479">
        <v>0</v>
      </c>
      <c r="AA113" s="479">
        <v>0</v>
      </c>
      <c r="AB113" s="479">
        <v>-52603.48</v>
      </c>
      <c r="AC113" s="479">
        <v>-52603.48</v>
      </c>
      <c r="AD113" s="479">
        <v>-52603.48</v>
      </c>
      <c r="AE113" s="479">
        <v>-52603.48</v>
      </c>
      <c r="AF113" s="479">
        <v>-52603.48</v>
      </c>
      <c r="AG113" s="479">
        <v>-52603.48</v>
      </c>
      <c r="AH113" s="479">
        <v>-110977.79</v>
      </c>
      <c r="AI113" s="479">
        <v>0</v>
      </c>
      <c r="AJ113" s="479">
        <v>0</v>
      </c>
      <c r="AK113" s="479">
        <v>0</v>
      </c>
      <c r="AL113" s="479">
        <v>0</v>
      </c>
      <c r="AM113" s="479">
        <v>0</v>
      </c>
      <c r="AN113" s="478">
        <v>0</v>
      </c>
      <c r="AO113" s="479">
        <v>0</v>
      </c>
      <c r="AP113" s="479">
        <v>0</v>
      </c>
      <c r="AQ113" s="479">
        <v>0</v>
      </c>
      <c r="AR113" s="479">
        <f>IFERROR(INDEX('SuSa Okt25'!$N:$N,MATCH($A113,'SuSa Okt25'!A:A,0)),"")</f>
        <v>0</v>
      </c>
      <c r="AS113" s="479">
        <f>IFERROR(INDEX('SuSa Nov25'!$N:$N,MATCH($A113,'SuSa Nov25'!$A:$A,0)),"")</f>
        <v>0</v>
      </c>
      <c r="AT113" s="479">
        <f>IFERROR(INDEX('SuSa Dez25'!$N:$N,MATCH($A113,'SuSa Dez25'!$A:$A,0)),"")</f>
        <v>288112.2</v>
      </c>
      <c r="XFA113" s="477"/>
      <c r="XFC113" s="477"/>
    </row>
    <row r="114" spans="1:46 16381:16383" hidden="1" outlineLevel="1" collapsed="1" x14ac:dyDescent="0.25">
      <c r="A114" s="452">
        <v>3970</v>
      </c>
      <c r="B114" t="s">
        <v>1986</v>
      </c>
      <c r="C114" t="s">
        <v>1987</v>
      </c>
      <c r="D114" t="s">
        <v>703</v>
      </c>
      <c r="G114" s="453">
        <f t="shared" si="3"/>
        <v>1132347.71</v>
      </c>
      <c r="H114" s="453">
        <f t="shared" si="4"/>
        <v>1243325.5</v>
      </c>
      <c r="I114" s="453">
        <f t="shared" si="5"/>
        <v>955213.3</v>
      </c>
      <c r="K114" s="453">
        <v>874954.12</v>
      </c>
      <c r="L114" s="453">
        <v>874954.12</v>
      </c>
      <c r="M114" s="453">
        <v>874954.12</v>
      </c>
      <c r="N114" s="453">
        <v>874954.12</v>
      </c>
      <c r="O114" s="453">
        <v>874954.12</v>
      </c>
      <c r="P114" s="453">
        <v>1232402.18</v>
      </c>
      <c r="Q114" s="453">
        <v>1232402.18</v>
      </c>
      <c r="R114" s="453">
        <v>1232402.18</v>
      </c>
      <c r="S114" s="453">
        <v>1203242.3999999999</v>
      </c>
      <c r="T114" s="453">
        <v>1203242.3999999999</v>
      </c>
      <c r="U114" s="453">
        <v>1203242.3999999999</v>
      </c>
      <c r="V114" s="453">
        <v>1132347.71</v>
      </c>
      <c r="W114" s="453">
        <v>1132347.71</v>
      </c>
      <c r="X114" s="453">
        <v>1132347.71</v>
      </c>
      <c r="Y114" s="453">
        <v>1132347.71</v>
      </c>
      <c r="Z114" s="453">
        <v>1132347.71</v>
      </c>
      <c r="AA114" s="453">
        <v>1132347.71</v>
      </c>
      <c r="AB114" s="453">
        <v>1184951.19</v>
      </c>
      <c r="AC114" s="453">
        <v>1184951.19</v>
      </c>
      <c r="AD114" s="453">
        <v>1184951.19</v>
      </c>
      <c r="AE114" s="453">
        <v>1184951.19</v>
      </c>
      <c r="AF114" s="453">
        <v>1184951.19</v>
      </c>
      <c r="AG114" s="453">
        <v>1184951.19</v>
      </c>
      <c r="AH114" s="453">
        <v>1243325.5</v>
      </c>
      <c r="AI114" s="453">
        <v>1243325.5</v>
      </c>
      <c r="AJ114" s="453">
        <v>1243325.5</v>
      </c>
      <c r="AK114" s="453">
        <v>1243325.5</v>
      </c>
      <c r="AL114" s="453">
        <v>1243325.5</v>
      </c>
      <c r="AM114" s="453">
        <v>1243325.5</v>
      </c>
      <c r="AN114" s="453">
        <v>1243325.5</v>
      </c>
      <c r="AO114" s="453">
        <v>1243325.5</v>
      </c>
      <c r="AP114" s="453">
        <v>1243325.5</v>
      </c>
      <c r="AQ114" s="453">
        <v>1243325.5</v>
      </c>
      <c r="AR114" s="453">
        <f>IFERROR(INDEX('SuSa Okt25'!$N:$N,MATCH($A114,'SuSa Okt25'!A:A,0)),"")</f>
        <v>1243325.5</v>
      </c>
      <c r="AS114" s="453">
        <f>IFERROR(INDEX('SuSa Nov25'!$N:$N,MATCH($A114,'SuSa Nov25'!$A:$A,0)),"")</f>
        <v>1243325.5</v>
      </c>
      <c r="AT114" s="453">
        <f>IFERROR(INDEX('SuSa Dez25'!$N:$N,MATCH($A114,'SuSa Dez25'!$A:$A,0)),"")</f>
        <v>955213.3</v>
      </c>
    </row>
    <row r="115" spans="1:46 16381:16383" s="525" customFormat="1" hidden="1" outlineLevel="1" collapsed="1" x14ac:dyDescent="0.25">
      <c r="A115" s="541">
        <v>3980</v>
      </c>
      <c r="B115" s="525" t="s">
        <v>1988</v>
      </c>
      <c r="C115" t="s">
        <v>1989</v>
      </c>
      <c r="D115" s="525" t="s">
        <v>705</v>
      </c>
      <c r="E115"/>
      <c r="F115"/>
      <c r="G115" s="465">
        <f t="shared" si="3"/>
        <v>732078.51</v>
      </c>
      <c r="H115" s="465">
        <f t="shared" si="4"/>
        <v>1474080.57</v>
      </c>
      <c r="I115" s="465">
        <f t="shared" si="5"/>
        <v>642805.53</v>
      </c>
      <c r="J115" s="465"/>
      <c r="K115" s="465">
        <v>490341.66</v>
      </c>
      <c r="L115" s="465">
        <v>490341.66</v>
      </c>
      <c r="M115" s="465">
        <v>490341.66</v>
      </c>
      <c r="N115" s="465">
        <v>490341.66</v>
      </c>
      <c r="O115" s="465">
        <v>490341.66</v>
      </c>
      <c r="P115" s="465">
        <v>756805.18</v>
      </c>
      <c r="Q115" s="465">
        <v>756805.18</v>
      </c>
      <c r="R115" s="465">
        <v>756805.18</v>
      </c>
      <c r="S115" s="465">
        <v>998341.25</v>
      </c>
      <c r="T115" s="465">
        <v>998341.25</v>
      </c>
      <c r="U115" s="465">
        <v>998341.25</v>
      </c>
      <c r="V115" s="465">
        <v>732078.51</v>
      </c>
      <c r="W115" s="465">
        <v>732078.51</v>
      </c>
      <c r="X115" s="465">
        <v>732078.51</v>
      </c>
      <c r="Y115" s="465">
        <v>732078.51</v>
      </c>
      <c r="Z115" s="465">
        <v>732078.51</v>
      </c>
      <c r="AA115" s="465">
        <v>732078.51</v>
      </c>
      <c r="AB115" s="465">
        <v>517158.2</v>
      </c>
      <c r="AC115" s="465">
        <v>517158.2</v>
      </c>
      <c r="AD115" s="465">
        <v>517158.2</v>
      </c>
      <c r="AE115" s="465">
        <v>517158.2</v>
      </c>
      <c r="AF115" s="465">
        <v>517158.2</v>
      </c>
      <c r="AG115" s="465">
        <v>517158.2</v>
      </c>
      <c r="AH115" s="465">
        <v>1474080.57</v>
      </c>
      <c r="AI115" s="465">
        <v>1474080.57</v>
      </c>
      <c r="AJ115" s="465">
        <v>1474080.57</v>
      </c>
      <c r="AK115" s="465">
        <v>1474080.57</v>
      </c>
      <c r="AL115" s="465">
        <v>1474080.57</v>
      </c>
      <c r="AM115" s="465">
        <v>1474080.57</v>
      </c>
      <c r="AN115" s="465">
        <v>1474080.57</v>
      </c>
      <c r="AO115" s="465">
        <v>1474080.57</v>
      </c>
      <c r="AP115" s="465">
        <v>1474080.57</v>
      </c>
      <c r="AQ115" s="465">
        <v>1474080.57</v>
      </c>
      <c r="AR115" s="465">
        <f>IFERROR(INDEX('SuSa Okt25'!$N:$N,MATCH($A115,'SuSa Okt25'!A:A,0)),"")</f>
        <v>1474080.57</v>
      </c>
      <c r="AS115" s="465">
        <f>IFERROR(INDEX('SuSa Nov25'!$N:$N,MATCH($A115,'SuSa Nov25'!$A:$A,0)),"")</f>
        <v>1474080.57</v>
      </c>
      <c r="AT115" s="465">
        <f>IFERROR(INDEX('SuSa Dez25'!$N:$N,MATCH($A115,'SuSa Dez25'!$A:$A,0)),"")</f>
        <v>642805.53</v>
      </c>
    </row>
    <row r="116" spans="1:46 16381:16383" hidden="1" outlineLevel="1" collapsed="1" x14ac:dyDescent="0.25">
      <c r="A116" s="452">
        <v>4110</v>
      </c>
      <c r="B116" t="s">
        <v>1304</v>
      </c>
      <c r="C116" t="s">
        <v>1305</v>
      </c>
      <c r="D116" t="s">
        <v>694</v>
      </c>
      <c r="E116" t="s">
        <v>2437</v>
      </c>
      <c r="G116" s="453">
        <f t="shared" si="3"/>
        <v>1477468.36</v>
      </c>
      <c r="H116" s="453">
        <f t="shared" si="4"/>
        <v>1931116.65</v>
      </c>
      <c r="I116" s="453">
        <f t="shared" si="5"/>
        <v>1668731.26</v>
      </c>
      <c r="K116" s="453">
        <v>112746.13</v>
      </c>
      <c r="L116" s="453">
        <v>217368.04</v>
      </c>
      <c r="M116" s="453">
        <v>334356.75</v>
      </c>
      <c r="N116" s="453">
        <v>436356.59</v>
      </c>
      <c r="O116" s="453">
        <v>561264.93999999994</v>
      </c>
      <c r="P116" s="453">
        <v>681084.77</v>
      </c>
      <c r="Q116" s="453">
        <v>794865.03</v>
      </c>
      <c r="R116" s="453">
        <v>918332.63</v>
      </c>
      <c r="S116" s="453">
        <v>1035969.15</v>
      </c>
      <c r="T116" s="453">
        <v>1170167.53</v>
      </c>
      <c r="U116" s="453">
        <v>1308675.53</v>
      </c>
      <c r="V116" s="453">
        <v>1477468.36</v>
      </c>
      <c r="W116" s="453">
        <v>152355.98000000001</v>
      </c>
      <c r="X116" s="453">
        <v>300017.77</v>
      </c>
      <c r="Y116" s="453">
        <v>452123.12</v>
      </c>
      <c r="Z116" s="453">
        <v>609079.35</v>
      </c>
      <c r="AA116" s="453">
        <v>779405.64</v>
      </c>
      <c r="AB116" s="453">
        <v>940522.99</v>
      </c>
      <c r="AC116" s="453">
        <v>1120476.3799999999</v>
      </c>
      <c r="AD116" s="453">
        <v>1288890.04</v>
      </c>
      <c r="AE116" s="453">
        <v>1446251.12</v>
      </c>
      <c r="AF116" s="453">
        <v>1619027.9</v>
      </c>
      <c r="AG116" s="453">
        <v>1769659.75</v>
      </c>
      <c r="AH116" s="453">
        <v>1931116.65</v>
      </c>
      <c r="AI116" s="453">
        <v>155097.29</v>
      </c>
      <c r="AJ116" s="453">
        <v>294530.69</v>
      </c>
      <c r="AK116" s="453">
        <v>444741.59</v>
      </c>
      <c r="AL116" s="453">
        <v>597309.64</v>
      </c>
      <c r="AM116" s="453">
        <v>745410.84</v>
      </c>
      <c r="AN116" s="453">
        <v>883446.5</v>
      </c>
      <c r="AO116" s="453">
        <v>1026954.66</v>
      </c>
      <c r="AP116" s="453">
        <v>1158064.6599999999</v>
      </c>
      <c r="AQ116" s="453">
        <v>1292922.3400000001</v>
      </c>
      <c r="AR116" s="453">
        <f>IFERROR(INDEX('SuSa Okt25'!$N:$N,MATCH($A116,'SuSa Okt25'!A:A,0)),"")</f>
        <v>1432228.09</v>
      </c>
      <c r="AS116" s="453">
        <f>IFERROR(INDEX('SuSa Nov25'!$N:$N,MATCH($A116,'SuSa Nov25'!$A:$A,0)),"")</f>
        <v>1548234.58</v>
      </c>
      <c r="AT116" s="453">
        <f>IFERROR(INDEX('SuSa Dez25'!$N:$N,MATCH($A116,'SuSa Dez25'!$A:$A,0)),"")</f>
        <v>1668731.26</v>
      </c>
    </row>
    <row r="117" spans="1:46 16381:16383" hidden="1" outlineLevel="1" collapsed="1" x14ac:dyDescent="0.25">
      <c r="A117" s="452">
        <v>4120</v>
      </c>
      <c r="B117" t="s">
        <v>1306</v>
      </c>
      <c r="C117" t="s">
        <v>1307</v>
      </c>
      <c r="D117" t="s">
        <v>694</v>
      </c>
      <c r="E117" t="s">
        <v>2437</v>
      </c>
      <c r="G117" s="453">
        <f t="shared" si="3"/>
        <v>1227036.5900000001</v>
      </c>
      <c r="H117" s="453">
        <f t="shared" si="4"/>
        <v>1320516.1000000001</v>
      </c>
      <c r="I117" s="453">
        <f t="shared" si="5"/>
        <v>1264434.8600000001</v>
      </c>
      <c r="K117" s="453">
        <v>109223.03</v>
      </c>
      <c r="L117" s="453">
        <v>188411.67</v>
      </c>
      <c r="M117" s="453">
        <v>275452.44</v>
      </c>
      <c r="N117" s="453">
        <v>376810.96</v>
      </c>
      <c r="O117" s="453">
        <v>476837.59</v>
      </c>
      <c r="P117" s="453">
        <v>576490.25</v>
      </c>
      <c r="Q117" s="453">
        <v>678058.46</v>
      </c>
      <c r="R117" s="453">
        <v>754168.77</v>
      </c>
      <c r="S117" s="453">
        <v>870343.18</v>
      </c>
      <c r="T117" s="453">
        <v>982120.49</v>
      </c>
      <c r="U117" s="453">
        <v>1084016.01</v>
      </c>
      <c r="V117" s="453">
        <v>1227036.5900000001</v>
      </c>
      <c r="W117" s="453">
        <v>98860.67</v>
      </c>
      <c r="X117" s="453">
        <v>202975.84</v>
      </c>
      <c r="Y117" s="453">
        <v>327595.2</v>
      </c>
      <c r="Z117" s="453">
        <v>445268.22</v>
      </c>
      <c r="AA117" s="453">
        <v>563021.93000000005</v>
      </c>
      <c r="AB117" s="453">
        <v>668505.11</v>
      </c>
      <c r="AC117" s="453">
        <v>783963.98</v>
      </c>
      <c r="AD117" s="453">
        <v>895741.34</v>
      </c>
      <c r="AE117" s="453">
        <v>1013480.48</v>
      </c>
      <c r="AF117" s="453">
        <v>1124990.71</v>
      </c>
      <c r="AG117" s="453">
        <v>1228451.9099999999</v>
      </c>
      <c r="AH117" s="453">
        <v>1320516.1000000001</v>
      </c>
      <c r="AI117" s="453">
        <v>97629.81</v>
      </c>
      <c r="AJ117" s="453">
        <v>200466.01</v>
      </c>
      <c r="AK117" s="453">
        <v>310262.01</v>
      </c>
      <c r="AL117" s="453">
        <v>415995.08</v>
      </c>
      <c r="AM117" s="453">
        <v>521865.2</v>
      </c>
      <c r="AN117" s="453">
        <v>630659.97</v>
      </c>
      <c r="AO117" s="453">
        <v>733631.39</v>
      </c>
      <c r="AP117" s="453">
        <v>839770.67</v>
      </c>
      <c r="AQ117" s="453">
        <v>951971.75</v>
      </c>
      <c r="AR117" s="453">
        <f>IFERROR(INDEX('SuSa Okt25'!$N:$N,MATCH($A117,'SuSa Okt25'!A:A,0)),"")</f>
        <v>1059124.01</v>
      </c>
      <c r="AS117" s="453">
        <f>IFERROR(INDEX('SuSa Nov25'!$N:$N,MATCH($A117,'SuSa Nov25'!$A:$A,0)),"")</f>
        <v>1168622.48</v>
      </c>
      <c r="AT117" s="453">
        <f>IFERROR(INDEX('SuSa Dez25'!$N:$N,MATCH($A117,'SuSa Dez25'!$A:$A,0)),"")</f>
        <v>1264434.8600000001</v>
      </c>
    </row>
    <row r="118" spans="1:46 16381:16383" hidden="1" outlineLevel="1" collapsed="1" x14ac:dyDescent="0.25">
      <c r="A118" s="452">
        <v>4124</v>
      </c>
      <c r="B118" t="s">
        <v>1308</v>
      </c>
      <c r="C118" t="s">
        <v>1990</v>
      </c>
      <c r="D118" t="s">
        <v>694</v>
      </c>
      <c r="E118" t="s">
        <v>2434</v>
      </c>
      <c r="G118" s="453">
        <f t="shared" si="3"/>
        <v>228000</v>
      </c>
      <c r="H118" s="453">
        <f t="shared" si="4"/>
        <v>228000</v>
      </c>
      <c r="I118" s="453">
        <f t="shared" si="5"/>
        <v>228000</v>
      </c>
      <c r="K118" s="453">
        <v>19000</v>
      </c>
      <c r="L118" s="453">
        <v>38000</v>
      </c>
      <c r="M118" s="453">
        <v>57000</v>
      </c>
      <c r="N118" s="453">
        <v>76000</v>
      </c>
      <c r="O118" s="453">
        <v>95000</v>
      </c>
      <c r="P118" s="453">
        <v>114000</v>
      </c>
      <c r="Q118" s="453">
        <v>133000</v>
      </c>
      <c r="R118" s="453">
        <v>152000</v>
      </c>
      <c r="S118" s="453">
        <v>171000</v>
      </c>
      <c r="T118" s="453">
        <v>190000</v>
      </c>
      <c r="U118" s="453">
        <v>209000</v>
      </c>
      <c r="V118" s="453">
        <v>228000</v>
      </c>
      <c r="W118" s="453">
        <v>19000</v>
      </c>
      <c r="X118" s="453">
        <v>38000</v>
      </c>
      <c r="Y118" s="453">
        <v>57000</v>
      </c>
      <c r="Z118" s="453">
        <v>76000</v>
      </c>
      <c r="AA118" s="453">
        <v>95000</v>
      </c>
      <c r="AB118" s="453">
        <v>114000</v>
      </c>
      <c r="AC118" s="453">
        <v>133000</v>
      </c>
      <c r="AD118" s="453">
        <v>152000</v>
      </c>
      <c r="AE118" s="453">
        <v>171000</v>
      </c>
      <c r="AF118" s="453">
        <v>190000</v>
      </c>
      <c r="AG118" s="453">
        <v>209000</v>
      </c>
      <c r="AH118" s="453">
        <v>228000</v>
      </c>
      <c r="AI118" s="453">
        <v>19000</v>
      </c>
      <c r="AJ118" s="453">
        <v>38000</v>
      </c>
      <c r="AK118" s="453">
        <v>57000</v>
      </c>
      <c r="AL118" s="453">
        <v>76000</v>
      </c>
      <c r="AM118" s="453">
        <v>95000</v>
      </c>
      <c r="AN118" s="453">
        <v>114000</v>
      </c>
      <c r="AO118" s="453">
        <v>133000</v>
      </c>
      <c r="AP118" s="453">
        <v>152000</v>
      </c>
      <c r="AQ118" s="453">
        <v>171000</v>
      </c>
      <c r="AR118" s="453">
        <f>IFERROR(INDEX('SuSa Okt25'!$N:$N,MATCH($A118,'SuSa Okt25'!A:A,0)),"")</f>
        <v>190000</v>
      </c>
      <c r="AS118" s="453">
        <f>IFERROR(INDEX('SuSa Nov25'!$N:$N,MATCH($A118,'SuSa Nov25'!$A:$A,0)),"")</f>
        <v>209000</v>
      </c>
      <c r="AT118" s="453">
        <f>IFERROR(INDEX('SuSa Dez25'!$N:$N,MATCH($A118,'SuSa Dez25'!$A:$A,0)),"")</f>
        <v>228000</v>
      </c>
    </row>
    <row r="119" spans="1:46 16381:16383" s="525" customFormat="1" hidden="1" outlineLevel="1" collapsed="1" x14ac:dyDescent="0.25">
      <c r="A119" s="541">
        <v>4126</v>
      </c>
      <c r="B119" s="525" t="s">
        <v>1310</v>
      </c>
      <c r="C119" s="525" t="s">
        <v>1311</v>
      </c>
      <c r="D119" s="525" t="s">
        <v>694</v>
      </c>
      <c r="E119" s="525" t="s">
        <v>2435</v>
      </c>
      <c r="G119" s="465">
        <f t="shared" si="3"/>
        <v>76000</v>
      </c>
      <c r="H119" s="465">
        <f t="shared" si="4"/>
        <v>76000</v>
      </c>
      <c r="I119" s="465">
        <f t="shared" si="5"/>
        <v>76000</v>
      </c>
      <c r="J119" s="465"/>
      <c r="K119" s="465">
        <v>0</v>
      </c>
      <c r="L119" s="465">
        <v>0</v>
      </c>
      <c r="M119" s="465">
        <v>0</v>
      </c>
      <c r="N119" s="465">
        <v>0</v>
      </c>
      <c r="O119" s="465">
        <v>0</v>
      </c>
      <c r="P119" s="465">
        <v>38000</v>
      </c>
      <c r="Q119" s="465">
        <v>38000</v>
      </c>
      <c r="R119" s="465">
        <v>38000</v>
      </c>
      <c r="S119" s="465">
        <v>57000</v>
      </c>
      <c r="T119" s="465">
        <v>57000</v>
      </c>
      <c r="U119" s="465">
        <v>57000</v>
      </c>
      <c r="V119" s="465">
        <v>76000</v>
      </c>
      <c r="W119" s="465">
        <v>0</v>
      </c>
      <c r="X119" s="465">
        <v>0</v>
      </c>
      <c r="Y119" s="465">
        <v>0</v>
      </c>
      <c r="Z119" s="465">
        <v>0</v>
      </c>
      <c r="AA119" s="465">
        <v>0</v>
      </c>
      <c r="AB119" s="465">
        <v>38000</v>
      </c>
      <c r="AC119" s="465">
        <v>38000</v>
      </c>
      <c r="AD119" s="465">
        <v>38000</v>
      </c>
      <c r="AE119" s="465">
        <v>38000</v>
      </c>
      <c r="AF119" s="465">
        <v>38000</v>
      </c>
      <c r="AG119" s="465">
        <v>38000</v>
      </c>
      <c r="AH119" s="465">
        <v>76000</v>
      </c>
      <c r="AI119" s="465">
        <v>0</v>
      </c>
      <c r="AJ119" s="465">
        <v>0</v>
      </c>
      <c r="AK119" s="465">
        <v>0</v>
      </c>
      <c r="AL119" s="465">
        <v>0</v>
      </c>
      <c r="AM119" s="465">
        <v>0</v>
      </c>
      <c r="AN119" s="465">
        <v>0</v>
      </c>
      <c r="AO119" s="465">
        <v>44333</v>
      </c>
      <c r="AP119" s="465">
        <v>44333</v>
      </c>
      <c r="AQ119" s="465">
        <v>44333</v>
      </c>
      <c r="AR119" s="465">
        <f>IFERROR(INDEX('SuSa Okt25'!$N:$N,MATCH($A119,'SuSa Okt25'!A:A,0)),"")</f>
        <v>44333</v>
      </c>
      <c r="AS119" s="465">
        <f>IFERROR(INDEX('SuSa Nov25'!$N:$N,MATCH($A119,'SuSa Nov25'!$A:$A,0)),"")</f>
        <v>44333</v>
      </c>
      <c r="AT119" s="465">
        <f>IFERROR(INDEX('SuSa Dez25'!$N:$N,MATCH($A119,'SuSa Dez25'!$A:$A,0)),"")</f>
        <v>76000</v>
      </c>
    </row>
    <row r="120" spans="1:46 16381:16383" s="535" customFormat="1" hidden="1" outlineLevel="1" collapsed="1" x14ac:dyDescent="0.25">
      <c r="A120" s="534">
        <v>4127</v>
      </c>
      <c r="B120" s="535" t="s">
        <v>1312</v>
      </c>
      <c r="C120" t="s">
        <v>1313</v>
      </c>
      <c r="D120" s="535" t="s">
        <v>694</v>
      </c>
      <c r="E120" s="535" t="s">
        <v>2434</v>
      </c>
      <c r="G120" s="536">
        <f t="shared" si="3"/>
        <v>0</v>
      </c>
      <c r="H120" s="536">
        <f t="shared" si="4"/>
        <v>62500.02</v>
      </c>
      <c r="I120" s="536">
        <f t="shared" si="5"/>
        <v>125000.04</v>
      </c>
      <c r="J120" s="536"/>
      <c r="K120" s="536"/>
      <c r="L120" s="536"/>
      <c r="M120" s="536"/>
      <c r="N120" s="536"/>
      <c r="O120" s="536"/>
      <c r="P120" s="536"/>
      <c r="Q120" s="536"/>
      <c r="R120" s="536"/>
      <c r="S120" s="536"/>
      <c r="T120" s="536"/>
      <c r="U120" s="536"/>
      <c r="V120" s="536"/>
      <c r="W120" s="536"/>
      <c r="X120" s="536"/>
      <c r="Y120" s="536"/>
      <c r="Z120" s="536"/>
      <c r="AA120" s="536"/>
      <c r="AB120" s="536"/>
      <c r="AC120" s="536">
        <v>10416.67</v>
      </c>
      <c r="AD120" s="536">
        <v>20833.34</v>
      </c>
      <c r="AE120" s="536">
        <v>31250.01</v>
      </c>
      <c r="AF120" s="536">
        <v>41666.68</v>
      </c>
      <c r="AG120" s="536">
        <v>52083.35</v>
      </c>
      <c r="AH120" s="536">
        <v>62500.02</v>
      </c>
      <c r="AI120" s="536">
        <v>10416.67</v>
      </c>
      <c r="AJ120" s="536">
        <v>20833.34</v>
      </c>
      <c r="AK120" s="536">
        <v>31250.01</v>
      </c>
      <c r="AL120" s="536">
        <v>41666.68</v>
      </c>
      <c r="AM120" s="536">
        <v>52083.35</v>
      </c>
      <c r="AN120" s="536">
        <v>62500.02</v>
      </c>
      <c r="AO120" s="536">
        <v>72916.69</v>
      </c>
      <c r="AP120" s="536">
        <v>83333.36</v>
      </c>
      <c r="AQ120" s="536">
        <v>93750.03</v>
      </c>
      <c r="AR120" s="536">
        <f>IFERROR(INDEX('SuSa Okt25'!$N:$N,MATCH($A120,'SuSa Okt25'!A:A,0)),"")</f>
        <v>104166.7</v>
      </c>
      <c r="AS120" s="536">
        <f>IFERROR(INDEX('SuSa Nov25'!$N:$N,MATCH($A120,'SuSa Nov25'!$A:$A,0)),"")</f>
        <v>114583.37</v>
      </c>
      <c r="AT120" s="536">
        <f>IFERROR(INDEX('SuSa Dez25'!$N:$N,MATCH($A120,'SuSa Dez25'!$A:$A,0)),"")</f>
        <v>125000.04</v>
      </c>
    </row>
    <row r="121" spans="1:46 16381:16383" s="535" customFormat="1" hidden="1" outlineLevel="1" collapsed="1" x14ac:dyDescent="0.25">
      <c r="A121" s="534">
        <v>4129</v>
      </c>
      <c r="B121" s="535" t="s">
        <v>1314</v>
      </c>
      <c r="C121" t="s">
        <v>1315</v>
      </c>
      <c r="D121" s="535" t="s">
        <v>694</v>
      </c>
      <c r="E121" s="535" t="s">
        <v>2436</v>
      </c>
      <c r="G121" s="536">
        <f t="shared" si="3"/>
        <v>43750</v>
      </c>
      <c r="H121" s="536">
        <f t="shared" si="4"/>
        <v>16757</v>
      </c>
      <c r="I121" s="536">
        <f t="shared" si="5"/>
        <v>12530</v>
      </c>
      <c r="J121" s="536"/>
      <c r="K121" s="536">
        <v>0</v>
      </c>
      <c r="L121" s="536">
        <v>0</v>
      </c>
      <c r="M121" s="536">
        <v>0</v>
      </c>
      <c r="N121" s="536">
        <v>0</v>
      </c>
      <c r="O121" s="536">
        <v>2000</v>
      </c>
      <c r="P121" s="536">
        <v>21000</v>
      </c>
      <c r="Q121" s="536">
        <v>23000</v>
      </c>
      <c r="R121" s="536">
        <v>25000</v>
      </c>
      <c r="S121" s="536">
        <v>45000</v>
      </c>
      <c r="T121" s="536">
        <v>47000</v>
      </c>
      <c r="U121" s="536">
        <v>49000</v>
      </c>
      <c r="V121" s="536">
        <v>43750</v>
      </c>
      <c r="W121" s="536">
        <v>2000</v>
      </c>
      <c r="X121" s="536">
        <v>4000</v>
      </c>
      <c r="Y121" s="536">
        <v>6000</v>
      </c>
      <c r="Z121" s="536">
        <v>8000</v>
      </c>
      <c r="AA121" s="536">
        <v>10000</v>
      </c>
      <c r="AB121" s="536">
        <v>15319</v>
      </c>
      <c r="AC121" s="536">
        <v>17319</v>
      </c>
      <c r="AD121" s="536">
        <v>17319</v>
      </c>
      <c r="AE121" s="536">
        <v>17319</v>
      </c>
      <c r="AF121" s="536">
        <v>17319</v>
      </c>
      <c r="AG121" s="536">
        <v>17319</v>
      </c>
      <c r="AH121" s="536">
        <v>16757</v>
      </c>
      <c r="AI121" s="536">
        <v>0</v>
      </c>
      <c r="AJ121" s="536">
        <v>0</v>
      </c>
      <c r="AK121" s="536">
        <v>0</v>
      </c>
      <c r="AL121" s="536">
        <v>0</v>
      </c>
      <c r="AM121" s="536">
        <v>0</v>
      </c>
      <c r="AN121" s="536">
        <v>0</v>
      </c>
      <c r="AO121" s="536">
        <v>10000</v>
      </c>
      <c r="AP121" s="536">
        <v>10000</v>
      </c>
      <c r="AQ121" s="536">
        <v>10000</v>
      </c>
      <c r="AR121" s="536">
        <f>IFERROR(INDEX('SuSa Okt25'!$N:$N,MATCH($A121,'SuSa Okt25'!A:A,0)),"")</f>
        <v>10000</v>
      </c>
      <c r="AS121" s="536">
        <f>IFERROR(INDEX('SuSa Nov25'!$N:$N,MATCH($A121,'SuSa Nov25'!$A:$A,0)),"")</f>
        <v>10000</v>
      </c>
      <c r="AT121" s="536">
        <f>IFERROR(INDEX('SuSa Dez25'!$N:$N,MATCH($A121,'SuSa Dez25'!$A:$A,0)),"")</f>
        <v>12530</v>
      </c>
    </row>
    <row r="122" spans="1:46 16381:16383" hidden="1" outlineLevel="1" collapsed="1" x14ac:dyDescent="0.25">
      <c r="A122" s="452">
        <v>4130</v>
      </c>
      <c r="B122" t="s">
        <v>1316</v>
      </c>
      <c r="C122" t="s">
        <v>1317</v>
      </c>
      <c r="D122" t="s">
        <v>694</v>
      </c>
      <c r="E122" t="s">
        <v>417</v>
      </c>
      <c r="G122" s="453">
        <f t="shared" si="3"/>
        <v>533642.28</v>
      </c>
      <c r="H122" s="453">
        <f t="shared" si="4"/>
        <v>652100.81000000006</v>
      </c>
      <c r="I122" s="453">
        <f t="shared" si="5"/>
        <v>631662.88</v>
      </c>
      <c r="K122" s="453">
        <v>41925.57</v>
      </c>
      <c r="L122" s="453">
        <v>79241.210000000006</v>
      </c>
      <c r="M122" s="453">
        <v>120942.9</v>
      </c>
      <c r="N122" s="453">
        <v>161210.25</v>
      </c>
      <c r="O122" s="453">
        <v>207008.84</v>
      </c>
      <c r="P122" s="453">
        <v>251590.37</v>
      </c>
      <c r="Q122" s="453">
        <v>295324.26</v>
      </c>
      <c r="R122" s="453">
        <v>335566.85</v>
      </c>
      <c r="S122" s="453">
        <v>381140.37</v>
      </c>
      <c r="T122" s="453">
        <v>430619.54</v>
      </c>
      <c r="U122" s="453">
        <v>479423.09</v>
      </c>
      <c r="V122" s="453">
        <v>533642.28</v>
      </c>
      <c r="W122" s="453">
        <v>49272.43</v>
      </c>
      <c r="X122" s="453">
        <v>100421.49</v>
      </c>
      <c r="Y122" s="453">
        <v>151800.6</v>
      </c>
      <c r="Z122" s="453">
        <v>205342.02</v>
      </c>
      <c r="AA122" s="453">
        <v>261921.62</v>
      </c>
      <c r="AB122" s="453">
        <v>316569.63</v>
      </c>
      <c r="AC122" s="453">
        <v>375775.1</v>
      </c>
      <c r="AD122" s="453">
        <v>432782.53</v>
      </c>
      <c r="AE122" s="453">
        <v>487673.28</v>
      </c>
      <c r="AF122" s="453">
        <v>544045.92000000004</v>
      </c>
      <c r="AG122" s="453">
        <v>596782.85</v>
      </c>
      <c r="AH122" s="453">
        <v>652100.81000000006</v>
      </c>
      <c r="AI122" s="453">
        <v>54434.97</v>
      </c>
      <c r="AJ122" s="453">
        <v>107115.2</v>
      </c>
      <c r="AK122" s="453">
        <v>160903.85999999999</v>
      </c>
      <c r="AL122" s="453">
        <v>217181.25</v>
      </c>
      <c r="AM122" s="453">
        <v>271969.63</v>
      </c>
      <c r="AN122" s="453">
        <v>325119.26</v>
      </c>
      <c r="AO122" s="453">
        <v>375946.85</v>
      </c>
      <c r="AP122" s="453">
        <v>427959.56</v>
      </c>
      <c r="AQ122" s="453">
        <v>481498.86</v>
      </c>
      <c r="AR122" s="453">
        <f>IFERROR(INDEX('SuSa Okt25'!$N:$N,MATCH($A122,'SuSa Okt25'!A:A,0)),"")</f>
        <v>535321.26</v>
      </c>
      <c r="AS122" s="453">
        <f>IFERROR(INDEX('SuSa Nov25'!$N:$N,MATCH($A122,'SuSa Nov25'!$A:$A,0)),"")</f>
        <v>583089.18999999994</v>
      </c>
      <c r="AT122" s="453">
        <f>IFERROR(INDEX('SuSa Dez25'!$N:$N,MATCH($A122,'SuSa Dez25'!$A:$A,0)),"")</f>
        <v>631662.88</v>
      </c>
    </row>
    <row r="123" spans="1:46 16381:16383" hidden="1" outlineLevel="1" collapsed="1" x14ac:dyDescent="0.25">
      <c r="A123" s="452">
        <v>4138</v>
      </c>
      <c r="B123" t="s">
        <v>1318</v>
      </c>
      <c r="C123" t="s">
        <v>1319</v>
      </c>
      <c r="D123" t="s">
        <v>694</v>
      </c>
      <c r="E123" t="s">
        <v>417</v>
      </c>
      <c r="G123" s="453">
        <f t="shared" si="3"/>
        <v>11187.58</v>
      </c>
      <c r="H123" s="453">
        <f t="shared" si="4"/>
        <v>20099.95</v>
      </c>
      <c r="I123" s="453">
        <f t="shared" si="5"/>
        <v>18000</v>
      </c>
      <c r="K123" s="453">
        <v>1000</v>
      </c>
      <c r="L123" s="453">
        <v>2000</v>
      </c>
      <c r="M123" s="453">
        <v>3000</v>
      </c>
      <c r="N123" s="453">
        <v>4000</v>
      </c>
      <c r="O123" s="453">
        <v>5000</v>
      </c>
      <c r="P123" s="453">
        <v>6000</v>
      </c>
      <c r="Q123" s="453">
        <v>7000</v>
      </c>
      <c r="R123" s="453">
        <v>8000</v>
      </c>
      <c r="S123" s="453">
        <v>9000</v>
      </c>
      <c r="T123" s="453">
        <v>10000</v>
      </c>
      <c r="U123" s="453">
        <v>11000</v>
      </c>
      <c r="V123" s="453">
        <v>11187.58</v>
      </c>
      <c r="W123" s="453">
        <v>1200</v>
      </c>
      <c r="X123" s="453">
        <v>2400</v>
      </c>
      <c r="Y123" s="453">
        <v>3600</v>
      </c>
      <c r="Z123" s="453">
        <v>4800</v>
      </c>
      <c r="AA123" s="453">
        <v>6000</v>
      </c>
      <c r="AB123" s="453">
        <v>7200</v>
      </c>
      <c r="AC123" s="453">
        <v>8400</v>
      </c>
      <c r="AD123" s="453">
        <v>9600</v>
      </c>
      <c r="AE123" s="453">
        <v>10800</v>
      </c>
      <c r="AF123" s="453">
        <v>12000</v>
      </c>
      <c r="AG123" s="453">
        <v>13200</v>
      </c>
      <c r="AH123" s="453">
        <v>20099.95</v>
      </c>
      <c r="AI123" s="453">
        <v>1200</v>
      </c>
      <c r="AJ123" s="453">
        <v>2400</v>
      </c>
      <c r="AK123" s="453">
        <v>3600</v>
      </c>
      <c r="AL123" s="453">
        <v>4800</v>
      </c>
      <c r="AM123" s="453">
        <v>6000</v>
      </c>
      <c r="AN123" s="453">
        <v>7200</v>
      </c>
      <c r="AO123" s="453">
        <v>11900</v>
      </c>
      <c r="AP123" s="453">
        <v>13600</v>
      </c>
      <c r="AQ123" s="453">
        <v>15300</v>
      </c>
      <c r="AR123" s="453">
        <f>IFERROR(INDEX('SuSa Okt25'!$N:$N,MATCH($A123,'SuSa Okt25'!A:A,0)),"")</f>
        <v>17000</v>
      </c>
      <c r="AS123" s="453">
        <f>IFERROR(INDEX('SuSa Nov25'!$N:$N,MATCH($A123,'SuSa Nov25'!$A:$A,0)),"")</f>
        <v>18700</v>
      </c>
      <c r="AT123" s="453">
        <f>IFERROR(INDEX('SuSa Dez25'!$N:$N,MATCH($A123,'SuSa Dez25'!$A:$A,0)),"")</f>
        <v>18000</v>
      </c>
    </row>
    <row r="124" spans="1:46 16381:16383" hidden="1" outlineLevel="1" collapsed="1" x14ac:dyDescent="0.25">
      <c r="A124" s="452">
        <v>4140</v>
      </c>
      <c r="B124" t="s">
        <v>1320</v>
      </c>
      <c r="C124" t="s">
        <v>1991</v>
      </c>
      <c r="D124" t="s">
        <v>694</v>
      </c>
      <c r="E124" t="s">
        <v>417</v>
      </c>
      <c r="G124" s="453">
        <f t="shared" si="3"/>
        <v>45469.120000000003</v>
      </c>
      <c r="H124" s="453">
        <f t="shared" si="4"/>
        <v>42670.74</v>
      </c>
      <c r="I124" s="453">
        <f t="shared" si="5"/>
        <v>27474.17</v>
      </c>
      <c r="K124" s="453">
        <v>810.49</v>
      </c>
      <c r="L124" s="453">
        <v>1060.49</v>
      </c>
      <c r="M124" s="453">
        <v>1310.49</v>
      </c>
      <c r="N124" s="453">
        <v>1560.49</v>
      </c>
      <c r="O124" s="453">
        <v>3770.49</v>
      </c>
      <c r="P124" s="453">
        <v>5160.49</v>
      </c>
      <c r="Q124" s="453">
        <v>6935.39</v>
      </c>
      <c r="R124" s="453">
        <v>7894.09</v>
      </c>
      <c r="S124" s="453">
        <v>8318.99</v>
      </c>
      <c r="T124" s="453">
        <v>10043.89</v>
      </c>
      <c r="U124" s="453">
        <v>28671.89</v>
      </c>
      <c r="V124" s="453">
        <v>45469.120000000003</v>
      </c>
      <c r="W124" s="453">
        <v>981.69</v>
      </c>
      <c r="X124" s="453">
        <v>2003.52</v>
      </c>
      <c r="Y124" s="453">
        <v>4183.12</v>
      </c>
      <c r="Z124" s="453">
        <v>6034.95</v>
      </c>
      <c r="AA124" s="453">
        <v>8607.32</v>
      </c>
      <c r="AB124" s="453">
        <v>10991.92</v>
      </c>
      <c r="AC124" s="453">
        <v>14505.71</v>
      </c>
      <c r="AD124" s="453">
        <v>17879.77</v>
      </c>
      <c r="AE124" s="453">
        <v>21394.1</v>
      </c>
      <c r="AF124" s="453">
        <v>25402.89</v>
      </c>
      <c r="AG124" s="453">
        <v>31657.99</v>
      </c>
      <c r="AH124" s="453">
        <v>42670.74</v>
      </c>
      <c r="AI124" s="453">
        <v>2808.4</v>
      </c>
      <c r="AJ124" s="453">
        <v>5192.6000000000004</v>
      </c>
      <c r="AK124" s="453">
        <v>7466.9</v>
      </c>
      <c r="AL124" s="453">
        <v>9048.3799999999992</v>
      </c>
      <c r="AM124" s="453">
        <v>10410.370000000001</v>
      </c>
      <c r="AN124" s="453">
        <v>12733.3</v>
      </c>
      <c r="AO124" s="453">
        <v>14339.8</v>
      </c>
      <c r="AP124" s="453">
        <v>15277.3</v>
      </c>
      <c r="AQ124" s="453">
        <v>16367.3</v>
      </c>
      <c r="AR124" s="453">
        <f>IFERROR(INDEX('SuSa Okt25'!$N:$N,MATCH($A124,'SuSa Okt25'!A:A,0)),"")</f>
        <v>17417.3</v>
      </c>
      <c r="AS124" s="453">
        <f>IFERROR(INDEX('SuSa Nov25'!$N:$N,MATCH($A124,'SuSa Nov25'!$A:$A,0)),"")</f>
        <v>18502.3</v>
      </c>
      <c r="AT124" s="453">
        <f>IFERROR(INDEX('SuSa Dez25'!$N:$N,MATCH($A124,'SuSa Dez25'!$A:$A,0)),"")</f>
        <v>27474.17</v>
      </c>
    </row>
    <row r="125" spans="1:46 16381:16383" hidden="1" outlineLevel="1" collapsed="1" x14ac:dyDescent="0.25">
      <c r="A125" s="452">
        <v>4144</v>
      </c>
      <c r="B125" t="s">
        <v>1322</v>
      </c>
      <c r="C125" t="s">
        <v>1992</v>
      </c>
      <c r="D125" t="s">
        <v>694</v>
      </c>
      <c r="E125" t="s">
        <v>417</v>
      </c>
      <c r="G125" s="453">
        <f t="shared" si="3"/>
        <v>2983.43</v>
      </c>
      <c r="H125" s="453">
        <f t="shared" si="4"/>
        <v>3915.04</v>
      </c>
      <c r="I125" s="453">
        <f t="shared" si="5"/>
        <v>4512.32</v>
      </c>
      <c r="K125" s="453">
        <v>155.5</v>
      </c>
      <c r="L125" s="453">
        <v>351.64</v>
      </c>
      <c r="M125" s="453">
        <v>721.97</v>
      </c>
      <c r="N125" s="453">
        <v>997.92</v>
      </c>
      <c r="O125" s="453">
        <v>1386.24</v>
      </c>
      <c r="P125" s="453">
        <v>1732.27</v>
      </c>
      <c r="Q125" s="453">
        <v>1910.57</v>
      </c>
      <c r="R125" s="453">
        <v>2265.67</v>
      </c>
      <c r="S125" s="453">
        <v>2564.4699999999998</v>
      </c>
      <c r="T125" s="453">
        <v>2661.43</v>
      </c>
      <c r="U125" s="453">
        <v>2720.16</v>
      </c>
      <c r="V125" s="453">
        <v>2983.43</v>
      </c>
      <c r="W125" s="453">
        <v>141.16999999999999</v>
      </c>
      <c r="X125" s="453">
        <v>296.99</v>
      </c>
      <c r="Y125" s="453">
        <v>388.7</v>
      </c>
      <c r="Z125" s="453">
        <v>598.27</v>
      </c>
      <c r="AA125" s="453">
        <v>997.06</v>
      </c>
      <c r="AB125" s="453">
        <v>1143.31</v>
      </c>
      <c r="AC125" s="453">
        <v>1489.47</v>
      </c>
      <c r="AD125" s="453">
        <v>1775.97</v>
      </c>
      <c r="AE125" s="453">
        <v>2370.15</v>
      </c>
      <c r="AF125" s="453">
        <v>2952.68</v>
      </c>
      <c r="AG125" s="453">
        <v>3586.33</v>
      </c>
      <c r="AH125" s="453">
        <v>3915.04</v>
      </c>
      <c r="AI125" s="453">
        <v>417.81</v>
      </c>
      <c r="AJ125" s="453">
        <v>845.19</v>
      </c>
      <c r="AK125" s="453">
        <v>1394.33</v>
      </c>
      <c r="AL125" s="453">
        <v>2038.67</v>
      </c>
      <c r="AM125" s="453">
        <v>2346.59</v>
      </c>
      <c r="AN125" s="453">
        <v>2706.65</v>
      </c>
      <c r="AO125" s="453">
        <v>2971.16</v>
      </c>
      <c r="AP125" s="453">
        <v>3272.49</v>
      </c>
      <c r="AQ125" s="453">
        <v>3611.85</v>
      </c>
      <c r="AR125" s="453">
        <f>IFERROR(INDEX('SuSa Okt25'!$N:$N,MATCH($A125,'SuSa Okt25'!A:A,0)),"")</f>
        <v>3924.5</v>
      </c>
      <c r="AS125" s="453">
        <f>IFERROR(INDEX('SuSa Nov25'!$N:$N,MATCH($A125,'SuSa Nov25'!$A:$A,0)),"")</f>
        <v>4265.26</v>
      </c>
      <c r="AT125" s="453">
        <f>IFERROR(INDEX('SuSa Dez25'!$N:$N,MATCH($A125,'SuSa Dez25'!$A:$A,0)),"")</f>
        <v>4512.32</v>
      </c>
    </row>
    <row r="126" spans="1:46 16381:16383" hidden="1" outlineLevel="1" collapsed="1" x14ac:dyDescent="0.25">
      <c r="A126" s="452">
        <v>4145</v>
      </c>
      <c r="B126" t="s">
        <v>1324</v>
      </c>
      <c r="C126" t="s">
        <v>1993</v>
      </c>
      <c r="D126" t="s">
        <v>694</v>
      </c>
      <c r="E126" t="s">
        <v>417</v>
      </c>
      <c r="G126" s="453">
        <f t="shared" si="3"/>
        <v>57441</v>
      </c>
      <c r="H126" s="453">
        <f t="shared" si="4"/>
        <v>76119</v>
      </c>
      <c r="I126" s="453">
        <f t="shared" si="5"/>
        <v>76858</v>
      </c>
      <c r="K126" s="453">
        <v>3361</v>
      </c>
      <c r="L126" s="453">
        <v>7117</v>
      </c>
      <c r="M126" s="453">
        <v>10190</v>
      </c>
      <c r="N126" s="453">
        <v>14127</v>
      </c>
      <c r="O126" s="453">
        <v>19514</v>
      </c>
      <c r="P126" s="453">
        <v>24901</v>
      </c>
      <c r="Q126" s="453">
        <v>30288</v>
      </c>
      <c r="R126" s="453">
        <v>35280</v>
      </c>
      <c r="S126" s="453">
        <v>40272</v>
      </c>
      <c r="T126" s="453">
        <v>46163</v>
      </c>
      <c r="U126" s="453">
        <v>51802</v>
      </c>
      <c r="V126" s="453">
        <v>57441</v>
      </c>
      <c r="W126" s="453">
        <v>5919</v>
      </c>
      <c r="X126" s="453">
        <v>11838</v>
      </c>
      <c r="Y126" s="453">
        <v>17444</v>
      </c>
      <c r="Z126" s="453">
        <v>23050</v>
      </c>
      <c r="AA126" s="453">
        <v>28656</v>
      </c>
      <c r="AB126" s="453">
        <v>34690</v>
      </c>
      <c r="AC126" s="453">
        <v>42139</v>
      </c>
      <c r="AD126" s="453">
        <v>49287</v>
      </c>
      <c r="AE126" s="453">
        <v>55995</v>
      </c>
      <c r="AF126" s="453">
        <v>62703</v>
      </c>
      <c r="AG126" s="453">
        <v>69411</v>
      </c>
      <c r="AH126" s="453">
        <v>76119</v>
      </c>
      <c r="AI126" s="453">
        <v>5724</v>
      </c>
      <c r="AJ126" s="453">
        <v>11999</v>
      </c>
      <c r="AK126" s="453">
        <v>17732</v>
      </c>
      <c r="AL126" s="453">
        <v>24440</v>
      </c>
      <c r="AM126" s="453">
        <v>31148</v>
      </c>
      <c r="AN126" s="453">
        <v>37856</v>
      </c>
      <c r="AO126" s="453">
        <v>44564</v>
      </c>
      <c r="AP126" s="453">
        <v>51272</v>
      </c>
      <c r="AQ126" s="453">
        <v>57980</v>
      </c>
      <c r="AR126" s="453">
        <f>IFERROR(INDEX('SuSa Okt25'!$N:$N,MATCH($A126,'SuSa Okt25'!A:A,0)),"")</f>
        <v>64688</v>
      </c>
      <c r="AS126" s="453">
        <f>IFERROR(INDEX('SuSa Nov25'!$N:$N,MATCH($A126,'SuSa Nov25'!$A:$A,0)),"")</f>
        <v>70773</v>
      </c>
      <c r="AT126" s="453">
        <f>IFERROR(INDEX('SuSa Dez25'!$N:$N,MATCH($A126,'SuSa Dez25'!$A:$A,0)),"")</f>
        <v>76858</v>
      </c>
    </row>
    <row r="127" spans="1:46 16381:16383" hidden="1" outlineLevel="1" collapsed="1" x14ac:dyDescent="0.25">
      <c r="A127" s="452">
        <v>4149</v>
      </c>
      <c r="B127" t="s">
        <v>1326</v>
      </c>
      <c r="C127" t="s">
        <v>1327</v>
      </c>
      <c r="D127" t="s">
        <v>694</v>
      </c>
      <c r="E127" t="s">
        <v>417</v>
      </c>
      <c r="G127" s="453">
        <f t="shared" si="3"/>
        <v>2234.16</v>
      </c>
      <c r="H127" s="453">
        <f t="shared" si="4"/>
        <v>3345.05</v>
      </c>
      <c r="I127" s="453">
        <f t="shared" si="5"/>
        <v>3066.06</v>
      </c>
      <c r="K127" s="453">
        <v>178.47</v>
      </c>
      <c r="L127" s="453">
        <v>374.87</v>
      </c>
      <c r="M127" s="453">
        <v>529.88</v>
      </c>
      <c r="N127" s="453">
        <v>690.66</v>
      </c>
      <c r="O127" s="453">
        <v>867.09</v>
      </c>
      <c r="P127" s="453">
        <v>1048.17</v>
      </c>
      <c r="Q127" s="453">
        <v>1224.81</v>
      </c>
      <c r="R127" s="453">
        <v>1386.85</v>
      </c>
      <c r="S127" s="453">
        <v>1543.98</v>
      </c>
      <c r="T127" s="453">
        <v>1752.85</v>
      </c>
      <c r="U127" s="453">
        <v>1993.58</v>
      </c>
      <c r="V127" s="453">
        <v>2234.16</v>
      </c>
      <c r="W127" s="453">
        <v>279.75</v>
      </c>
      <c r="X127" s="453">
        <v>542.98</v>
      </c>
      <c r="Y127" s="453">
        <v>809.98</v>
      </c>
      <c r="Z127" s="453">
        <v>1084.97</v>
      </c>
      <c r="AA127" s="453">
        <v>1360.63</v>
      </c>
      <c r="AB127" s="453">
        <v>1651.45</v>
      </c>
      <c r="AC127" s="453">
        <v>1962.16</v>
      </c>
      <c r="AD127" s="453">
        <v>2252.4</v>
      </c>
      <c r="AE127" s="453">
        <v>2531.87</v>
      </c>
      <c r="AF127" s="453">
        <v>2808.74</v>
      </c>
      <c r="AG127" s="453">
        <v>3079.65</v>
      </c>
      <c r="AH127" s="453">
        <v>3345.05</v>
      </c>
      <c r="AI127" s="453">
        <v>249.7</v>
      </c>
      <c r="AJ127" s="453">
        <v>504.01</v>
      </c>
      <c r="AK127" s="453">
        <v>761.36</v>
      </c>
      <c r="AL127" s="453">
        <v>1019.64</v>
      </c>
      <c r="AM127" s="453">
        <v>1288.53</v>
      </c>
      <c r="AN127" s="453">
        <v>1552.61</v>
      </c>
      <c r="AO127" s="453">
        <v>1811.43</v>
      </c>
      <c r="AP127" s="453">
        <v>2072.2399999999998</v>
      </c>
      <c r="AQ127" s="453">
        <v>2324.37</v>
      </c>
      <c r="AR127" s="453">
        <f>IFERROR(INDEX('SuSa Okt25'!$N:$N,MATCH($A127,'SuSa Okt25'!A:A,0)),"")</f>
        <v>2573.0300000000002</v>
      </c>
      <c r="AS127" s="453">
        <f>IFERROR(INDEX('SuSa Nov25'!$N:$N,MATCH($A127,'SuSa Nov25'!$A:$A,0)),"")</f>
        <v>2816.39</v>
      </c>
      <c r="AT127" s="453">
        <f>IFERROR(INDEX('SuSa Dez25'!$N:$N,MATCH($A127,'SuSa Dez25'!$A:$A,0)),"")</f>
        <v>3066.06</v>
      </c>
    </row>
    <row r="128" spans="1:46 16381:16383" hidden="1" outlineLevel="1" collapsed="1" x14ac:dyDescent="0.25">
      <c r="A128" s="452">
        <v>4150</v>
      </c>
      <c r="B128" t="s">
        <v>1328</v>
      </c>
      <c r="C128" t="s">
        <v>1329</v>
      </c>
      <c r="D128" t="s">
        <v>694</v>
      </c>
      <c r="E128" t="s">
        <v>417</v>
      </c>
      <c r="G128" s="453">
        <f t="shared" si="3"/>
        <v>15052.89</v>
      </c>
      <c r="H128" s="453">
        <f t="shared" si="4"/>
        <v>13770.19</v>
      </c>
      <c r="I128" s="453">
        <f t="shared" si="5"/>
        <v>11851.73</v>
      </c>
      <c r="K128" s="453">
        <v>1106.78</v>
      </c>
      <c r="L128" s="453">
        <v>2167.2800000000002</v>
      </c>
      <c r="M128" s="453">
        <v>3357.78</v>
      </c>
      <c r="N128" s="453">
        <v>4514.13</v>
      </c>
      <c r="O128" s="453">
        <v>5828.91</v>
      </c>
      <c r="P128" s="453">
        <v>7129.98</v>
      </c>
      <c r="Q128" s="453">
        <v>8402.2800000000007</v>
      </c>
      <c r="R128" s="453">
        <v>9699.6200000000008</v>
      </c>
      <c r="S128" s="453">
        <v>10951.9</v>
      </c>
      <c r="T128" s="453">
        <v>12330.36</v>
      </c>
      <c r="U128" s="453">
        <v>13696.58</v>
      </c>
      <c r="V128" s="453">
        <v>15052.89</v>
      </c>
      <c r="W128" s="453">
        <v>1091.27</v>
      </c>
      <c r="X128" s="453">
        <v>2164.88</v>
      </c>
      <c r="Y128" s="453">
        <v>3243.67</v>
      </c>
      <c r="Z128" s="453">
        <v>4363.53</v>
      </c>
      <c r="AA128" s="453">
        <v>5540.16</v>
      </c>
      <c r="AB128" s="453">
        <v>6719.7</v>
      </c>
      <c r="AC128" s="453">
        <v>7979.3</v>
      </c>
      <c r="AD128" s="453">
        <v>9191.5400000000009</v>
      </c>
      <c r="AE128" s="453">
        <v>10340.81</v>
      </c>
      <c r="AF128" s="453">
        <v>11529.56</v>
      </c>
      <c r="AG128" s="453">
        <v>12647.47</v>
      </c>
      <c r="AH128" s="453">
        <v>13770.19</v>
      </c>
      <c r="AI128" s="453">
        <v>996.81</v>
      </c>
      <c r="AJ128" s="453">
        <v>1949.62</v>
      </c>
      <c r="AK128" s="453">
        <v>2915.96</v>
      </c>
      <c r="AL128" s="453">
        <v>3964.77</v>
      </c>
      <c r="AM128" s="453">
        <v>4984.79</v>
      </c>
      <c r="AN128" s="453">
        <v>5972.03</v>
      </c>
      <c r="AO128" s="453">
        <v>6985.17</v>
      </c>
      <c r="AP128" s="453">
        <v>7952.49</v>
      </c>
      <c r="AQ128" s="453">
        <v>8929.2900000000009</v>
      </c>
      <c r="AR128" s="453">
        <f>IFERROR(INDEX('SuSa Okt25'!$N:$N,MATCH($A128,'SuSa Okt25'!A:A,0)),"")</f>
        <v>9932.75</v>
      </c>
      <c r="AS128" s="453">
        <f>IFERROR(INDEX('SuSa Nov25'!$N:$N,MATCH($A128,'SuSa Nov25'!$A:$A,0)),"")</f>
        <v>10863.81</v>
      </c>
      <c r="AT128" s="453">
        <f>IFERROR(INDEX('SuSa Dez25'!$N:$N,MATCH($A128,'SuSa Dez25'!$A:$A,0)),"")</f>
        <v>11851.73</v>
      </c>
    </row>
    <row r="129" spans="1:46" hidden="1" outlineLevel="1" collapsed="1" x14ac:dyDescent="0.25">
      <c r="A129" s="452">
        <v>4152</v>
      </c>
      <c r="B129" t="s">
        <v>1330</v>
      </c>
      <c r="C129" t="s">
        <v>1331</v>
      </c>
      <c r="D129" t="s">
        <v>694</v>
      </c>
      <c r="E129" t="s">
        <v>2437</v>
      </c>
      <c r="G129" s="453">
        <f t="shared" si="3"/>
        <v>189</v>
      </c>
      <c r="H129" s="453">
        <f t="shared" si="4"/>
        <v>497</v>
      </c>
      <c r="I129" s="453">
        <f t="shared" si="5"/>
        <v>771</v>
      </c>
      <c r="N129" s="453">
        <v>21</v>
      </c>
      <c r="O129" s="453">
        <v>42</v>
      </c>
      <c r="P129" s="453">
        <v>63</v>
      </c>
      <c r="Q129" s="453">
        <v>84</v>
      </c>
      <c r="R129" s="453">
        <v>105</v>
      </c>
      <c r="S129" s="453">
        <v>126</v>
      </c>
      <c r="T129" s="453">
        <v>147</v>
      </c>
      <c r="U129" s="453">
        <v>168</v>
      </c>
      <c r="V129" s="453">
        <v>189</v>
      </c>
      <c r="W129" s="453">
        <v>21</v>
      </c>
      <c r="X129" s="453">
        <v>42</v>
      </c>
      <c r="Y129" s="453">
        <v>63</v>
      </c>
      <c r="Z129" s="453">
        <v>84</v>
      </c>
      <c r="AA129" s="453">
        <v>126</v>
      </c>
      <c r="AB129" s="453">
        <v>68</v>
      </c>
      <c r="AC129" s="453">
        <v>32</v>
      </c>
      <c r="AD129" s="453">
        <v>-15</v>
      </c>
      <c r="AE129" s="453">
        <v>-62</v>
      </c>
      <c r="AF129" s="453">
        <v>391</v>
      </c>
      <c r="AG129" s="453">
        <v>444</v>
      </c>
      <c r="AH129" s="453">
        <v>497</v>
      </c>
      <c r="AI129" s="453">
        <v>53</v>
      </c>
      <c r="AJ129" s="453">
        <v>106</v>
      </c>
      <c r="AK129" s="453">
        <v>159</v>
      </c>
      <c r="AL129" s="453">
        <v>221</v>
      </c>
      <c r="AM129" s="453">
        <v>283</v>
      </c>
      <c r="AN129" s="453">
        <v>345</v>
      </c>
      <c r="AO129" s="453">
        <v>407</v>
      </c>
      <c r="AP129" s="453">
        <v>469</v>
      </c>
      <c r="AQ129" s="453">
        <v>531</v>
      </c>
      <c r="AR129" s="453">
        <f>IFERROR(INDEX('SuSa Okt25'!$N:$N,MATCH($A129,'SuSa Okt25'!A:A,0)),"")</f>
        <v>611</v>
      </c>
      <c r="AS129" s="453">
        <f>IFERROR(INDEX('SuSa Nov25'!$N:$N,MATCH($A129,'SuSa Nov25'!$A:$A,0)),"")</f>
        <v>691</v>
      </c>
      <c r="AT129" s="453">
        <f>IFERROR(INDEX('SuSa Dez25'!$N:$N,MATCH($A129,'SuSa Dez25'!$A:$A,0)),"")</f>
        <v>771</v>
      </c>
    </row>
    <row r="130" spans="1:46" hidden="1" outlineLevel="1" collapsed="1" x14ac:dyDescent="0.25">
      <c r="A130" s="452">
        <v>4155</v>
      </c>
      <c r="B130" t="s">
        <v>1332</v>
      </c>
      <c r="C130" t="s">
        <v>1333</v>
      </c>
      <c r="D130" t="s">
        <v>694</v>
      </c>
      <c r="E130" t="s">
        <v>2437</v>
      </c>
      <c r="G130" s="453">
        <f t="shared" si="3"/>
        <v>-5588.23</v>
      </c>
      <c r="H130" s="453">
        <f t="shared" si="4"/>
        <v>0</v>
      </c>
      <c r="I130" s="453" t="str">
        <f t="shared" si="5"/>
        <v/>
      </c>
      <c r="K130" s="453">
        <v>-126.43</v>
      </c>
      <c r="L130" s="453">
        <v>-126.43</v>
      </c>
      <c r="M130" s="453">
        <v>-126.43</v>
      </c>
      <c r="N130" s="453">
        <v>-126.43</v>
      </c>
      <c r="O130" s="453">
        <v>-1740.44</v>
      </c>
      <c r="P130" s="453">
        <v>-5588.23</v>
      </c>
      <c r="Q130" s="453">
        <v>-5588.23</v>
      </c>
      <c r="R130" s="453">
        <v>-5588.23</v>
      </c>
      <c r="S130" s="453">
        <v>-5588.23</v>
      </c>
      <c r="T130" s="453">
        <v>-5588.23</v>
      </c>
      <c r="U130" s="453">
        <v>-5588.23</v>
      </c>
      <c r="V130" s="453">
        <v>-5588.23</v>
      </c>
      <c r="W130" s="453">
        <v>0</v>
      </c>
      <c r="X130" s="453">
        <v>0</v>
      </c>
      <c r="Y130" s="453">
        <v>0</v>
      </c>
      <c r="Z130" s="453">
        <v>0</v>
      </c>
      <c r="AA130" s="453">
        <v>0</v>
      </c>
      <c r="AB130" s="453">
        <v>0</v>
      </c>
      <c r="AC130" s="453">
        <v>0</v>
      </c>
      <c r="AD130" s="453">
        <v>0</v>
      </c>
      <c r="AE130" s="453">
        <v>0</v>
      </c>
      <c r="AF130" s="453">
        <v>0</v>
      </c>
      <c r="AG130" s="453">
        <v>0</v>
      </c>
      <c r="AH130" s="453">
        <v>0</v>
      </c>
      <c r="AR130" s="453" t="str">
        <f>IFERROR(INDEX('SuSa Okt25'!$N:$N,MATCH($A130,'SuSa Okt25'!A:A,0)),"")</f>
        <v/>
      </c>
      <c r="AS130" s="453" t="str">
        <f>IFERROR(INDEX('SuSa Nov25'!$N:$N,MATCH($A130,'SuSa Nov25'!$A:$A,0)),"")</f>
        <v/>
      </c>
      <c r="AT130" s="453" t="str">
        <f>IFERROR(INDEX('SuSa Dez25'!$N:$N,MATCH($A130,'SuSa Dez25'!$A:$A,0)),"")</f>
        <v/>
      </c>
    </row>
    <row r="131" spans="1:46" hidden="1" outlineLevel="1" collapsed="1" x14ac:dyDescent="0.25">
      <c r="A131" s="452">
        <v>4156</v>
      </c>
      <c r="B131" t="s">
        <v>1334</v>
      </c>
      <c r="C131" t="s">
        <v>1994</v>
      </c>
      <c r="D131" t="s">
        <v>694</v>
      </c>
      <c r="E131" t="s">
        <v>2437</v>
      </c>
      <c r="G131" s="453">
        <f t="shared" ref="G131:G194" si="6">V131</f>
        <v>-6800.54</v>
      </c>
      <c r="H131" s="453">
        <f t="shared" ref="H131:H194" si="7">AH131</f>
        <v>-1405.64</v>
      </c>
      <c r="I131" s="453">
        <f t="shared" ref="I131:I194" si="8">AT131</f>
        <v>597.03</v>
      </c>
      <c r="K131" s="453">
        <v>0</v>
      </c>
      <c r="L131" s="453">
        <v>0</v>
      </c>
      <c r="M131" s="453">
        <v>0</v>
      </c>
      <c r="N131" s="453">
        <v>0</v>
      </c>
      <c r="O131" s="453">
        <v>0</v>
      </c>
      <c r="P131" s="453">
        <v>0</v>
      </c>
      <c r="Q131" s="453">
        <v>0</v>
      </c>
      <c r="R131" s="453">
        <v>0</v>
      </c>
      <c r="S131" s="453">
        <v>0</v>
      </c>
      <c r="T131" s="453">
        <v>0</v>
      </c>
      <c r="U131" s="453">
        <v>0</v>
      </c>
      <c r="V131" s="453">
        <v>-6800.54</v>
      </c>
      <c r="W131" s="453">
        <v>0</v>
      </c>
      <c r="X131" s="453">
        <v>0</v>
      </c>
      <c r="Y131" s="453">
        <v>0</v>
      </c>
      <c r="Z131" s="453">
        <v>0</v>
      </c>
      <c r="AA131" s="453">
        <v>0</v>
      </c>
      <c r="AB131" s="453">
        <v>0</v>
      </c>
      <c r="AC131" s="453">
        <v>0</v>
      </c>
      <c r="AD131" s="453">
        <v>0</v>
      </c>
      <c r="AE131" s="453">
        <v>0</v>
      </c>
      <c r="AF131" s="453">
        <v>0</v>
      </c>
      <c r="AG131" s="453">
        <v>0</v>
      </c>
      <c r="AH131" s="453">
        <v>-1405.64</v>
      </c>
      <c r="AI131" s="453">
        <v>0</v>
      </c>
      <c r="AJ131" s="453">
        <v>0</v>
      </c>
      <c r="AK131" s="453">
        <v>0</v>
      </c>
      <c r="AL131" s="453">
        <v>0</v>
      </c>
      <c r="AM131" s="453">
        <v>0</v>
      </c>
      <c r="AN131" s="453">
        <v>0</v>
      </c>
      <c r="AO131" s="453">
        <v>0</v>
      </c>
      <c r="AP131" s="453">
        <v>0</v>
      </c>
      <c r="AQ131" s="453">
        <v>0</v>
      </c>
      <c r="AR131" s="453">
        <f>IFERROR(INDEX('SuSa Okt25'!$N:$N,MATCH($A131,'SuSa Okt25'!A:A,0)),"")</f>
        <v>0</v>
      </c>
      <c r="AS131" s="453">
        <f>IFERROR(INDEX('SuSa Nov25'!$N:$N,MATCH($A131,'SuSa Nov25'!$A:$A,0)),"")</f>
        <v>0</v>
      </c>
      <c r="AT131" s="453">
        <f>IFERROR(INDEX('SuSa Dez25'!$N:$N,MATCH($A131,'SuSa Dez25'!$A:$A,0)),"")</f>
        <v>597.03</v>
      </c>
    </row>
    <row r="132" spans="1:46" hidden="1" outlineLevel="1" collapsed="1" x14ac:dyDescent="0.25">
      <c r="A132" s="452">
        <v>4165</v>
      </c>
      <c r="B132" t="s">
        <v>1336</v>
      </c>
      <c r="C132" t="s">
        <v>1337</v>
      </c>
      <c r="D132" t="s">
        <v>694</v>
      </c>
      <c r="E132" t="s">
        <v>417</v>
      </c>
      <c r="G132" s="453">
        <f t="shared" si="6"/>
        <v>13016.38</v>
      </c>
      <c r="H132" s="453">
        <f t="shared" si="7"/>
        <v>26846.36</v>
      </c>
      <c r="I132" s="453">
        <f t="shared" si="8"/>
        <v>24521.71</v>
      </c>
      <c r="K132" s="453">
        <v>2509.35</v>
      </c>
      <c r="L132" s="453">
        <v>4652.1000000000004</v>
      </c>
      <c r="M132" s="453">
        <v>6690.22</v>
      </c>
      <c r="N132" s="453">
        <v>8480.82</v>
      </c>
      <c r="O132" s="453">
        <v>10727.42</v>
      </c>
      <c r="P132" s="453">
        <v>12974.02</v>
      </c>
      <c r="Q132" s="453">
        <v>15115.62</v>
      </c>
      <c r="R132" s="453">
        <v>17257.22</v>
      </c>
      <c r="S132" s="453">
        <v>6463.82</v>
      </c>
      <c r="T132" s="453">
        <v>8605.42</v>
      </c>
      <c r="U132" s="453">
        <v>10894.9</v>
      </c>
      <c r="V132" s="453">
        <v>13016.38</v>
      </c>
      <c r="W132" s="453">
        <v>3101.5</v>
      </c>
      <c r="X132" s="453">
        <v>6203</v>
      </c>
      <c r="Y132" s="453">
        <v>9304.5</v>
      </c>
      <c r="Z132" s="453">
        <v>12238</v>
      </c>
      <c r="AA132" s="453">
        <v>15801.5</v>
      </c>
      <c r="AB132" s="453">
        <v>19467</v>
      </c>
      <c r="AC132" s="453">
        <v>23252.5</v>
      </c>
      <c r="AD132" s="453">
        <v>26894</v>
      </c>
      <c r="AE132" s="453">
        <v>30383.59</v>
      </c>
      <c r="AF132" s="453">
        <v>33657.18</v>
      </c>
      <c r="AG132" s="453">
        <v>36930.769999999997</v>
      </c>
      <c r="AH132" s="453">
        <v>26846.36</v>
      </c>
      <c r="AI132" s="453">
        <v>3052.72</v>
      </c>
      <c r="AJ132" s="453">
        <v>5337.44</v>
      </c>
      <c r="AK132" s="453">
        <v>8252.16</v>
      </c>
      <c r="AL132" s="453">
        <v>11416.88</v>
      </c>
      <c r="AM132" s="453">
        <v>14903.6</v>
      </c>
      <c r="AN132" s="453">
        <v>18390.32</v>
      </c>
      <c r="AO132" s="453">
        <v>21877.040000000001</v>
      </c>
      <c r="AP132" s="453">
        <v>25412.959999999999</v>
      </c>
      <c r="AQ132" s="453">
        <v>28948.880000000001</v>
      </c>
      <c r="AR132" s="453">
        <f>IFERROR(INDEX('SuSa Okt25'!$N:$N,MATCH($A132,'SuSa Okt25'!A:A,0)),"")</f>
        <v>32408.49</v>
      </c>
      <c r="AS132" s="453">
        <f>IFERROR(INDEX('SuSa Nov25'!$N:$N,MATCH($A132,'SuSa Nov25'!$A:$A,0)),"")</f>
        <v>35546.1</v>
      </c>
      <c r="AT132" s="453">
        <f>IFERROR(INDEX('SuSa Dez25'!$N:$N,MATCH($A132,'SuSa Dez25'!$A:$A,0)),"")</f>
        <v>24521.71</v>
      </c>
    </row>
    <row r="133" spans="1:46" hidden="1" outlineLevel="1" collapsed="1" x14ac:dyDescent="0.25">
      <c r="A133" s="452">
        <v>4170</v>
      </c>
      <c r="B133" t="s">
        <v>1338</v>
      </c>
      <c r="C133" t="s">
        <v>1339</v>
      </c>
      <c r="D133" t="s">
        <v>694</v>
      </c>
      <c r="E133" t="s">
        <v>2437</v>
      </c>
      <c r="G133" s="453">
        <f t="shared" si="6"/>
        <v>2624.66</v>
      </c>
      <c r="H133" s="453">
        <f t="shared" si="7"/>
        <v>2985.79</v>
      </c>
      <c r="I133" s="453">
        <f t="shared" si="8"/>
        <v>2899.74</v>
      </c>
      <c r="K133" s="453">
        <v>183.95</v>
      </c>
      <c r="L133" s="453">
        <v>367.9</v>
      </c>
      <c r="M133" s="453">
        <v>551.85</v>
      </c>
      <c r="N133" s="453">
        <v>735.8</v>
      </c>
      <c r="O133" s="453">
        <v>946.34</v>
      </c>
      <c r="P133" s="453">
        <v>1183.47</v>
      </c>
      <c r="Q133" s="453">
        <v>1420.6</v>
      </c>
      <c r="R133" s="453">
        <v>1631.14</v>
      </c>
      <c r="S133" s="453">
        <v>1841.68</v>
      </c>
      <c r="T133" s="453">
        <v>2067.2199999999998</v>
      </c>
      <c r="U133" s="453">
        <v>2345.94</v>
      </c>
      <c r="V133" s="453">
        <v>2624.66</v>
      </c>
      <c r="W133" s="453">
        <v>198.95</v>
      </c>
      <c r="X133" s="453">
        <v>491.08</v>
      </c>
      <c r="Y133" s="453">
        <v>716.62</v>
      </c>
      <c r="Z133" s="453">
        <v>968.75</v>
      </c>
      <c r="AA133" s="453">
        <v>1234.29</v>
      </c>
      <c r="AB133" s="453">
        <v>1499.83</v>
      </c>
      <c r="AC133" s="453">
        <v>1765.37</v>
      </c>
      <c r="AD133" s="453">
        <v>1977.27</v>
      </c>
      <c r="AE133" s="453">
        <v>2229.4</v>
      </c>
      <c r="AF133" s="453">
        <v>2481.5300000000002</v>
      </c>
      <c r="AG133" s="453">
        <v>2733.66</v>
      </c>
      <c r="AH133" s="453">
        <v>2985.79</v>
      </c>
      <c r="AI133" s="453">
        <v>227.13</v>
      </c>
      <c r="AJ133" s="453">
        <v>480.85</v>
      </c>
      <c r="AK133" s="453">
        <v>761.16</v>
      </c>
      <c r="AL133" s="453">
        <v>1039.8800000000001</v>
      </c>
      <c r="AM133" s="453">
        <v>1318.6</v>
      </c>
      <c r="AN133" s="453">
        <v>1570.73</v>
      </c>
      <c r="AO133" s="453">
        <v>1769.68</v>
      </c>
      <c r="AP133" s="453">
        <v>1995.22</v>
      </c>
      <c r="AQ133" s="453">
        <v>2221.35</v>
      </c>
      <c r="AR133" s="453">
        <f>IFERROR(INDEX('SuSa Okt25'!$N:$N,MATCH($A133,'SuSa Okt25'!A:A,0)),"")</f>
        <v>2447.48</v>
      </c>
      <c r="AS133" s="453">
        <f>IFERROR(INDEX('SuSa Nov25'!$N:$N,MATCH($A133,'SuSa Nov25'!$A:$A,0)),"")</f>
        <v>2673.61</v>
      </c>
      <c r="AT133" s="453">
        <f>IFERROR(INDEX('SuSa Dez25'!$N:$N,MATCH($A133,'SuSa Dez25'!$A:$A,0)),"")</f>
        <v>2899.74</v>
      </c>
    </row>
    <row r="134" spans="1:46" hidden="1" outlineLevel="1" collapsed="1" x14ac:dyDescent="0.25">
      <c r="A134" s="452">
        <v>4175</v>
      </c>
      <c r="B134" t="s">
        <v>1340</v>
      </c>
      <c r="C134" t="s">
        <v>1995</v>
      </c>
      <c r="D134" t="s">
        <v>694</v>
      </c>
      <c r="E134" t="s">
        <v>2437</v>
      </c>
      <c r="G134" s="453">
        <f t="shared" si="6"/>
        <v>23513.4</v>
      </c>
      <c r="H134" s="453">
        <f t="shared" si="7"/>
        <v>33929</v>
      </c>
      <c r="I134" s="453">
        <f t="shared" si="8"/>
        <v>31658.51</v>
      </c>
      <c r="K134" s="453">
        <v>2005.73</v>
      </c>
      <c r="L134" s="453">
        <v>4350.78</v>
      </c>
      <c r="M134" s="453">
        <v>5924.85</v>
      </c>
      <c r="N134" s="453">
        <v>7533.47</v>
      </c>
      <c r="O134" s="453">
        <v>9359.82</v>
      </c>
      <c r="P134" s="453">
        <v>11213.86</v>
      </c>
      <c r="Q134" s="453">
        <v>13041.32</v>
      </c>
      <c r="R134" s="453">
        <v>14657.56</v>
      </c>
      <c r="S134" s="453">
        <v>16244.41</v>
      </c>
      <c r="T134" s="453">
        <v>18445.189999999999</v>
      </c>
      <c r="U134" s="453">
        <v>20979.67</v>
      </c>
      <c r="V134" s="453">
        <v>23513.4</v>
      </c>
      <c r="W134" s="453">
        <v>2906.3</v>
      </c>
      <c r="X134" s="453">
        <v>5566.72</v>
      </c>
      <c r="Y134" s="453">
        <v>8165.14</v>
      </c>
      <c r="Z134" s="453">
        <v>10811.36</v>
      </c>
      <c r="AA134" s="453">
        <v>13470.89</v>
      </c>
      <c r="AB134" s="453">
        <v>16220.16</v>
      </c>
      <c r="AC134" s="453">
        <v>19492.349999999999</v>
      </c>
      <c r="AD134" s="453">
        <v>22639.88</v>
      </c>
      <c r="AE134" s="453">
        <v>25559.77</v>
      </c>
      <c r="AF134" s="453">
        <v>28464.09</v>
      </c>
      <c r="AG134" s="453">
        <v>31295.7</v>
      </c>
      <c r="AH134" s="453">
        <v>33929</v>
      </c>
      <c r="AI134" s="453">
        <v>2540.29</v>
      </c>
      <c r="AJ134" s="453">
        <v>5107.79</v>
      </c>
      <c r="AK134" s="453">
        <v>7693.43</v>
      </c>
      <c r="AL134" s="453">
        <v>10377.709999999999</v>
      </c>
      <c r="AM134" s="453">
        <v>13124.82</v>
      </c>
      <c r="AN134" s="453">
        <v>15843.67</v>
      </c>
      <c r="AO134" s="453">
        <v>18530.96</v>
      </c>
      <c r="AP134" s="453">
        <v>21230.2</v>
      </c>
      <c r="AQ134" s="453">
        <v>23862.7</v>
      </c>
      <c r="AR134" s="453">
        <f>IFERROR(INDEX('SuSa Okt25'!$N:$N,MATCH($A134,'SuSa Okt25'!A:A,0)),"")</f>
        <v>26474.43</v>
      </c>
      <c r="AS134" s="453">
        <f>IFERROR(INDEX('SuSa Nov25'!$N:$N,MATCH($A134,'SuSa Nov25'!$A:$A,0)),"")</f>
        <v>29045.39</v>
      </c>
      <c r="AT134" s="453">
        <f>IFERROR(INDEX('SuSa Dez25'!$N:$N,MATCH($A134,'SuSa Dez25'!$A:$A,0)),"")</f>
        <v>31658.51</v>
      </c>
    </row>
    <row r="135" spans="1:46" hidden="1" outlineLevel="1" collapsed="1" x14ac:dyDescent="0.25">
      <c r="A135" s="452">
        <v>4190</v>
      </c>
      <c r="B135" t="s">
        <v>1342</v>
      </c>
      <c r="C135" t="s">
        <v>1343</v>
      </c>
      <c r="D135" t="s">
        <v>694</v>
      </c>
      <c r="E135" t="s">
        <v>2437</v>
      </c>
      <c r="G135" s="453">
        <f t="shared" si="6"/>
        <v>1144.2</v>
      </c>
      <c r="H135" s="453">
        <f t="shared" si="7"/>
        <v>0</v>
      </c>
      <c r="I135" s="453">
        <f t="shared" si="8"/>
        <v>2973.75</v>
      </c>
      <c r="K135" s="453">
        <v>0</v>
      </c>
      <c r="L135" s="453">
        <v>0</v>
      </c>
      <c r="M135" s="453">
        <v>0</v>
      </c>
      <c r="N135" s="453">
        <v>0</v>
      </c>
      <c r="O135" s="453">
        <v>0</v>
      </c>
      <c r="P135" s="453">
        <v>0</v>
      </c>
      <c r="Q135" s="453">
        <v>1144.2</v>
      </c>
      <c r="R135" s="453">
        <v>1144.2</v>
      </c>
      <c r="S135" s="453">
        <v>1144.2</v>
      </c>
      <c r="T135" s="453">
        <v>1144.2</v>
      </c>
      <c r="U135" s="453">
        <v>1144.2</v>
      </c>
      <c r="V135" s="453">
        <v>1144.2</v>
      </c>
      <c r="W135" s="453">
        <v>0</v>
      </c>
      <c r="X135" s="453">
        <v>0</v>
      </c>
      <c r="Y135" s="453">
        <v>0</v>
      </c>
      <c r="Z135" s="453">
        <v>0</v>
      </c>
      <c r="AA135" s="453">
        <v>0</v>
      </c>
      <c r="AB135" s="453">
        <v>0</v>
      </c>
      <c r="AC135" s="453">
        <v>0</v>
      </c>
      <c r="AD135" s="453">
        <v>0</v>
      </c>
      <c r="AE135" s="453">
        <v>0</v>
      </c>
      <c r="AF135" s="453">
        <v>0</v>
      </c>
      <c r="AG135" s="453">
        <v>0</v>
      </c>
      <c r="AH135" s="453">
        <v>0</v>
      </c>
      <c r="AL135" s="453">
        <v>565.89</v>
      </c>
      <c r="AM135" s="453">
        <v>565.89</v>
      </c>
      <c r="AN135" s="453">
        <v>565.89</v>
      </c>
      <c r="AO135" s="453">
        <v>924.43</v>
      </c>
      <c r="AP135" s="453">
        <v>2289.56</v>
      </c>
      <c r="AQ135" s="453">
        <v>2289.56</v>
      </c>
      <c r="AR135" s="453">
        <f>IFERROR(INDEX('SuSa Okt25'!$N:$N,MATCH($A135,'SuSa Okt25'!A:A,0)),"")</f>
        <v>2973.75</v>
      </c>
      <c r="AS135" s="453">
        <f>IFERROR(INDEX('SuSa Nov25'!$N:$N,MATCH($A135,'SuSa Nov25'!$A:$A,0)),"")</f>
        <v>2973.75</v>
      </c>
      <c r="AT135" s="453">
        <f>IFERROR(INDEX('SuSa Dez25'!$N:$N,MATCH($A135,'SuSa Dez25'!$A:$A,0)),"")</f>
        <v>2973.75</v>
      </c>
    </row>
    <row r="136" spans="1:46" hidden="1" outlineLevel="1" collapsed="1" x14ac:dyDescent="0.25">
      <c r="A136" s="452">
        <v>4194</v>
      </c>
      <c r="B136" t="s">
        <v>1344</v>
      </c>
      <c r="C136" t="s">
        <v>1345</v>
      </c>
      <c r="D136" t="s">
        <v>694</v>
      </c>
      <c r="E136" t="s">
        <v>417</v>
      </c>
      <c r="G136" s="453">
        <f t="shared" si="6"/>
        <v>0</v>
      </c>
      <c r="H136" s="453">
        <f t="shared" si="7"/>
        <v>0</v>
      </c>
      <c r="I136" s="453">
        <f t="shared" si="8"/>
        <v>19.579999999999998</v>
      </c>
      <c r="K136" s="453">
        <v>0</v>
      </c>
      <c r="L136" s="453">
        <v>0</v>
      </c>
      <c r="M136" s="453">
        <v>0</v>
      </c>
      <c r="N136" s="453">
        <v>0</v>
      </c>
      <c r="O136" s="453">
        <v>0</v>
      </c>
      <c r="P136" s="453">
        <v>0</v>
      </c>
      <c r="Q136" s="453">
        <v>0</v>
      </c>
      <c r="R136" s="453">
        <v>0</v>
      </c>
      <c r="S136" s="453">
        <v>0</v>
      </c>
      <c r="T136" s="453">
        <v>0</v>
      </c>
      <c r="U136" s="453">
        <v>0</v>
      </c>
      <c r="V136" s="453">
        <v>0</v>
      </c>
      <c r="W136" s="453">
        <v>0</v>
      </c>
      <c r="X136" s="453">
        <v>0</v>
      </c>
      <c r="Y136" s="453">
        <v>0</v>
      </c>
      <c r="Z136" s="453">
        <v>0</v>
      </c>
      <c r="AA136" s="453">
        <v>1.54</v>
      </c>
      <c r="AB136" s="453">
        <v>3.08</v>
      </c>
      <c r="AC136" s="453">
        <v>4.62</v>
      </c>
      <c r="AD136" s="453">
        <v>0</v>
      </c>
      <c r="AE136" s="453">
        <v>0</v>
      </c>
      <c r="AF136" s="453">
        <v>0</v>
      </c>
      <c r="AG136" s="453">
        <v>0</v>
      </c>
      <c r="AH136" s="453">
        <v>0</v>
      </c>
      <c r="AI136" s="453">
        <v>0</v>
      </c>
      <c r="AJ136" s="453">
        <v>18.72</v>
      </c>
      <c r="AK136" s="453">
        <v>18.72</v>
      </c>
      <c r="AL136" s="453">
        <v>18.72</v>
      </c>
      <c r="AM136" s="453">
        <v>18.72</v>
      </c>
      <c r="AN136" s="453">
        <v>18.72</v>
      </c>
      <c r="AO136" s="453">
        <v>18.72</v>
      </c>
      <c r="AP136" s="453">
        <v>18.72</v>
      </c>
      <c r="AQ136" s="453">
        <v>18.72</v>
      </c>
      <c r="AR136" s="453">
        <f>IFERROR(INDEX('SuSa Okt25'!$N:$N,MATCH($A136,'SuSa Okt25'!A:A,0)),"")</f>
        <v>18.72</v>
      </c>
      <c r="AS136" s="453">
        <f>IFERROR(INDEX('SuSa Nov25'!$N:$N,MATCH($A136,'SuSa Nov25'!$A:$A,0)),"")</f>
        <v>19.579999999999998</v>
      </c>
      <c r="AT136" s="453">
        <f>IFERROR(INDEX('SuSa Dez25'!$N:$N,MATCH($A136,'SuSa Dez25'!$A:$A,0)),"")</f>
        <v>19.579999999999998</v>
      </c>
    </row>
    <row r="137" spans="1:46" hidden="1" outlineLevel="1" collapsed="1" x14ac:dyDescent="0.25">
      <c r="A137" s="452">
        <v>4195</v>
      </c>
      <c r="B137" t="s">
        <v>1346</v>
      </c>
      <c r="C137" t="s">
        <v>1347</v>
      </c>
      <c r="D137" t="s">
        <v>694</v>
      </c>
      <c r="E137" t="s">
        <v>2437</v>
      </c>
      <c r="G137" s="453">
        <f t="shared" si="6"/>
        <v>10545.92</v>
      </c>
      <c r="H137" s="453">
        <f t="shared" si="7"/>
        <v>12472.93</v>
      </c>
      <c r="I137" s="453">
        <f t="shared" si="8"/>
        <v>14138.93</v>
      </c>
      <c r="K137" s="453">
        <v>549.45000000000005</v>
      </c>
      <c r="L137" s="453">
        <v>1242.49</v>
      </c>
      <c r="M137" s="453">
        <v>2551.04</v>
      </c>
      <c r="N137" s="453">
        <v>3526.15</v>
      </c>
      <c r="O137" s="453">
        <v>4898.34</v>
      </c>
      <c r="P137" s="453">
        <v>6124.33</v>
      </c>
      <c r="Q137" s="453">
        <v>6754.37</v>
      </c>
      <c r="R137" s="453">
        <v>8009.17</v>
      </c>
      <c r="S137" s="453">
        <v>9065.06</v>
      </c>
      <c r="T137" s="453">
        <v>9407.61</v>
      </c>
      <c r="U137" s="453">
        <v>9615.64</v>
      </c>
      <c r="V137" s="453">
        <v>10545.92</v>
      </c>
      <c r="W137" s="453">
        <v>499.17</v>
      </c>
      <c r="X137" s="453">
        <v>1049.77</v>
      </c>
      <c r="Y137" s="453">
        <v>1373.86</v>
      </c>
      <c r="Z137" s="453">
        <v>2114.39</v>
      </c>
      <c r="AA137" s="453">
        <v>3523.54</v>
      </c>
      <c r="AB137" s="453">
        <v>4040.34</v>
      </c>
      <c r="AC137" s="453">
        <v>5263.54</v>
      </c>
      <c r="AD137" s="453">
        <v>6275.88</v>
      </c>
      <c r="AE137" s="453">
        <v>8375.43</v>
      </c>
      <c r="AF137" s="453">
        <v>10043.81</v>
      </c>
      <c r="AG137" s="453">
        <v>11818.35</v>
      </c>
      <c r="AH137" s="453">
        <v>12472.93</v>
      </c>
      <c r="AI137" s="453">
        <v>926.68</v>
      </c>
      <c r="AJ137" s="453">
        <v>1968.4</v>
      </c>
      <c r="AK137" s="453">
        <v>3396.98</v>
      </c>
      <c r="AL137" s="453">
        <v>5405.39</v>
      </c>
      <c r="AM137" s="453">
        <v>6490.76</v>
      </c>
      <c r="AN137" s="453">
        <v>7768.52</v>
      </c>
      <c r="AO137" s="453">
        <v>8700.86</v>
      </c>
      <c r="AP137" s="453">
        <v>9762.9599999999991</v>
      </c>
      <c r="AQ137" s="453">
        <v>10959.18</v>
      </c>
      <c r="AR137" s="453">
        <f>IFERROR(INDEX('SuSa Okt25'!$N:$N,MATCH($A137,'SuSa Okt25'!A:A,0)),"")</f>
        <v>12061.16</v>
      </c>
      <c r="AS137" s="453">
        <f>IFERROR(INDEX('SuSa Nov25'!$N:$N,MATCH($A137,'SuSa Nov25'!$A:$A,0)),"")</f>
        <v>13264.85</v>
      </c>
      <c r="AT137" s="453">
        <f>IFERROR(INDEX('SuSa Dez25'!$N:$N,MATCH($A137,'SuSa Dez25'!$A:$A,0)),"")</f>
        <v>14138.93</v>
      </c>
    </row>
    <row r="138" spans="1:46" hidden="1" outlineLevel="1" collapsed="1" x14ac:dyDescent="0.25">
      <c r="A138" s="452">
        <v>4198</v>
      </c>
      <c r="B138" t="s">
        <v>1348</v>
      </c>
      <c r="C138" t="s">
        <v>1349</v>
      </c>
      <c r="D138" t="s">
        <v>694</v>
      </c>
      <c r="E138" t="s">
        <v>417</v>
      </c>
      <c r="G138" s="453">
        <f t="shared" si="6"/>
        <v>74.06</v>
      </c>
      <c r="H138" s="453">
        <f t="shared" si="7"/>
        <v>115.06</v>
      </c>
      <c r="I138" s="453">
        <f t="shared" si="8"/>
        <v>125.46</v>
      </c>
      <c r="Q138" s="453">
        <v>17.96</v>
      </c>
      <c r="R138" s="453">
        <v>33.51</v>
      </c>
      <c r="S138" s="453">
        <v>44.02</v>
      </c>
      <c r="T138" s="453">
        <v>52.33</v>
      </c>
      <c r="U138" s="453">
        <v>52.33</v>
      </c>
      <c r="V138" s="453">
        <v>74.06</v>
      </c>
      <c r="W138" s="453">
        <v>0.69</v>
      </c>
      <c r="X138" s="453">
        <v>9.49</v>
      </c>
      <c r="Y138" s="453">
        <v>18.23</v>
      </c>
      <c r="Z138" s="453">
        <v>27.8</v>
      </c>
      <c r="AA138" s="453">
        <v>38.5</v>
      </c>
      <c r="AB138" s="453">
        <v>46.98</v>
      </c>
      <c r="AC138" s="453">
        <v>62.14</v>
      </c>
      <c r="AD138" s="453">
        <v>73.819999999999993</v>
      </c>
      <c r="AE138" s="453">
        <v>82.94</v>
      </c>
      <c r="AF138" s="453">
        <v>97.85</v>
      </c>
      <c r="AG138" s="453">
        <v>106.61</v>
      </c>
      <c r="AH138" s="453">
        <v>115.06</v>
      </c>
      <c r="AI138" s="453">
        <v>3.02</v>
      </c>
      <c r="AJ138" s="453">
        <v>14.3</v>
      </c>
      <c r="AK138" s="453">
        <v>30.11</v>
      </c>
      <c r="AL138" s="453">
        <v>41.22</v>
      </c>
      <c r="AM138" s="453">
        <v>41.22</v>
      </c>
      <c r="AN138" s="453">
        <v>61.16</v>
      </c>
      <c r="AO138" s="453">
        <v>76.790000000000006</v>
      </c>
      <c r="AP138" s="453">
        <v>89.41</v>
      </c>
      <c r="AQ138" s="453">
        <v>97.59</v>
      </c>
      <c r="AR138" s="453">
        <f>IFERROR(INDEX('SuSa Okt25'!$N:$N,MATCH($A138,'SuSa Okt25'!A:A,0)),"")</f>
        <v>109.11</v>
      </c>
      <c r="AS138" s="453">
        <f>IFERROR(INDEX('SuSa Nov25'!$N:$N,MATCH($A138,'SuSa Nov25'!$A:$A,0)),"")</f>
        <v>116.76</v>
      </c>
      <c r="AT138" s="453">
        <f>IFERROR(INDEX('SuSa Dez25'!$N:$N,MATCH($A138,'SuSa Dez25'!$A:$A,0)),"")</f>
        <v>125.46</v>
      </c>
    </row>
    <row r="139" spans="1:46" hidden="1" outlineLevel="1" collapsed="1" x14ac:dyDescent="0.25">
      <c r="A139" s="452">
        <v>4210</v>
      </c>
      <c r="B139" t="s">
        <v>1371</v>
      </c>
      <c r="C139" t="s">
        <v>1372</v>
      </c>
      <c r="D139" t="s">
        <v>1373</v>
      </c>
      <c r="G139" s="453">
        <f t="shared" si="6"/>
        <v>198000</v>
      </c>
      <c r="H139" s="453">
        <f t="shared" si="7"/>
        <v>198000</v>
      </c>
      <c r="I139" s="453">
        <f t="shared" si="8"/>
        <v>198000</v>
      </c>
      <c r="K139" s="453">
        <v>16500</v>
      </c>
      <c r="L139" s="453">
        <v>33000</v>
      </c>
      <c r="M139" s="453">
        <v>49500</v>
      </c>
      <c r="N139" s="453">
        <v>66000</v>
      </c>
      <c r="O139" s="453">
        <v>82500</v>
      </c>
      <c r="P139" s="453">
        <v>99000</v>
      </c>
      <c r="Q139" s="453">
        <v>115500</v>
      </c>
      <c r="R139" s="453">
        <v>132000</v>
      </c>
      <c r="S139" s="453">
        <v>148500</v>
      </c>
      <c r="T139" s="453">
        <v>165000</v>
      </c>
      <c r="U139" s="453">
        <v>181500</v>
      </c>
      <c r="V139" s="453">
        <v>198000</v>
      </c>
      <c r="W139" s="453">
        <v>16500</v>
      </c>
      <c r="X139" s="453">
        <v>33000</v>
      </c>
      <c r="Y139" s="453">
        <v>49500</v>
      </c>
      <c r="Z139" s="453">
        <v>66000</v>
      </c>
      <c r="AA139" s="453">
        <v>82500</v>
      </c>
      <c r="AB139" s="453">
        <v>99000</v>
      </c>
      <c r="AC139" s="453">
        <v>115500</v>
      </c>
      <c r="AD139" s="453">
        <v>132000</v>
      </c>
      <c r="AE139" s="453">
        <v>148500</v>
      </c>
      <c r="AF139" s="453">
        <v>165000</v>
      </c>
      <c r="AG139" s="453">
        <v>181500</v>
      </c>
      <c r="AH139" s="453">
        <v>198000</v>
      </c>
      <c r="AI139" s="453">
        <v>16500</v>
      </c>
      <c r="AJ139" s="453">
        <v>33000</v>
      </c>
      <c r="AK139" s="453">
        <v>49500</v>
      </c>
      <c r="AL139" s="453">
        <v>66000</v>
      </c>
      <c r="AM139" s="453">
        <v>82500</v>
      </c>
      <c r="AN139" s="453">
        <v>99000</v>
      </c>
      <c r="AO139" s="453">
        <v>115500</v>
      </c>
      <c r="AP139" s="453">
        <v>132000</v>
      </c>
      <c r="AQ139" s="453">
        <v>148500</v>
      </c>
      <c r="AR139" s="453">
        <f>IFERROR(INDEX('SuSa Okt25'!$N:$N,MATCH($A139,'SuSa Okt25'!A:A,0)),"")</f>
        <v>165000</v>
      </c>
      <c r="AS139" s="453">
        <f>IFERROR(INDEX('SuSa Nov25'!$N:$N,MATCH($A139,'SuSa Nov25'!$A:$A,0)),"")</f>
        <v>181500</v>
      </c>
      <c r="AT139" s="453">
        <f>IFERROR(INDEX('SuSa Dez25'!$N:$N,MATCH($A139,'SuSa Dez25'!$A:$A,0)),"")</f>
        <v>198000</v>
      </c>
    </row>
    <row r="140" spans="1:46" hidden="1" outlineLevel="1" collapsed="1" x14ac:dyDescent="0.25">
      <c r="A140" s="452">
        <v>4228</v>
      </c>
      <c r="B140" t="s">
        <v>1374</v>
      </c>
      <c r="C140" t="s">
        <v>1375</v>
      </c>
      <c r="D140" t="s">
        <v>1373</v>
      </c>
      <c r="G140" s="453">
        <f t="shared" si="6"/>
        <v>11657.92</v>
      </c>
      <c r="H140" s="453">
        <f t="shared" si="7"/>
        <v>11468.21</v>
      </c>
      <c r="I140" s="453">
        <f t="shared" si="8"/>
        <v>10017.25</v>
      </c>
      <c r="K140" s="453">
        <v>1000</v>
      </c>
      <c r="L140" s="453">
        <v>2000</v>
      </c>
      <c r="M140" s="453">
        <v>3000</v>
      </c>
      <c r="N140" s="453">
        <v>4000</v>
      </c>
      <c r="O140" s="453">
        <v>5000</v>
      </c>
      <c r="P140" s="453">
        <v>6000</v>
      </c>
      <c r="Q140" s="453">
        <v>7000</v>
      </c>
      <c r="R140" s="453">
        <v>8000</v>
      </c>
      <c r="S140" s="453">
        <v>9000</v>
      </c>
      <c r="T140" s="453">
        <v>10000</v>
      </c>
      <c r="U140" s="453">
        <v>11000</v>
      </c>
      <c r="V140" s="453">
        <v>11657.92</v>
      </c>
      <c r="W140" s="453">
        <v>1000</v>
      </c>
      <c r="X140" s="453">
        <v>2000</v>
      </c>
      <c r="Y140" s="453">
        <v>3000</v>
      </c>
      <c r="Z140" s="453">
        <v>4000</v>
      </c>
      <c r="AA140" s="453">
        <v>5000</v>
      </c>
      <c r="AB140" s="453">
        <v>6000</v>
      </c>
      <c r="AC140" s="453">
        <v>7000</v>
      </c>
      <c r="AD140" s="453">
        <v>8000</v>
      </c>
      <c r="AE140" s="453">
        <v>9000</v>
      </c>
      <c r="AF140" s="453">
        <v>10000</v>
      </c>
      <c r="AG140" s="453">
        <v>11000</v>
      </c>
      <c r="AH140" s="453">
        <v>11468.21</v>
      </c>
      <c r="AI140" s="453">
        <v>1000</v>
      </c>
      <c r="AJ140" s="453">
        <v>2000</v>
      </c>
      <c r="AK140" s="453">
        <v>3000</v>
      </c>
      <c r="AL140" s="453">
        <v>4000</v>
      </c>
      <c r="AM140" s="453">
        <v>5000</v>
      </c>
      <c r="AN140" s="453">
        <v>6000</v>
      </c>
      <c r="AO140" s="453">
        <v>7000</v>
      </c>
      <c r="AP140" s="453">
        <v>8000</v>
      </c>
      <c r="AQ140" s="453">
        <v>9000</v>
      </c>
      <c r="AR140" s="453">
        <f>IFERROR(INDEX('SuSa Okt25'!$N:$N,MATCH($A140,'SuSa Okt25'!A:A,0)),"")</f>
        <v>10000</v>
      </c>
      <c r="AS140" s="453">
        <f>IFERROR(INDEX('SuSa Nov25'!$N:$N,MATCH($A140,'SuSa Nov25'!$A:$A,0)),"")</f>
        <v>11000</v>
      </c>
      <c r="AT140" s="453">
        <f>IFERROR(INDEX('SuSa Dez25'!$N:$N,MATCH($A140,'SuSa Dez25'!$A:$A,0)),"")</f>
        <v>10017.25</v>
      </c>
    </row>
    <row r="141" spans="1:46" hidden="1" outlineLevel="1" collapsed="1" x14ac:dyDescent="0.25">
      <c r="A141" s="452">
        <v>4240</v>
      </c>
      <c r="B141" t="s">
        <v>1376</v>
      </c>
      <c r="C141" t="s">
        <v>1377</v>
      </c>
      <c r="D141" t="s">
        <v>1373</v>
      </c>
      <c r="G141" s="453">
        <f t="shared" si="6"/>
        <v>85322.76</v>
      </c>
      <c r="H141" s="453">
        <f t="shared" si="7"/>
        <v>137747.99</v>
      </c>
      <c r="I141" s="453">
        <f t="shared" si="8"/>
        <v>89799.93</v>
      </c>
      <c r="K141" s="453">
        <v>6140.88</v>
      </c>
      <c r="L141" s="453">
        <v>12032.87</v>
      </c>
      <c r="M141" s="453">
        <v>20825.59</v>
      </c>
      <c r="N141" s="453">
        <v>20966.39</v>
      </c>
      <c r="O141" s="453">
        <v>28169.25</v>
      </c>
      <c r="P141" s="453">
        <v>39958.400000000001</v>
      </c>
      <c r="Q141" s="453">
        <v>46746.26</v>
      </c>
      <c r="R141" s="453">
        <v>54553.78</v>
      </c>
      <c r="S141" s="453">
        <v>62095.9</v>
      </c>
      <c r="T141" s="453">
        <v>69059.44</v>
      </c>
      <c r="U141" s="453">
        <v>75702.16</v>
      </c>
      <c r="V141" s="453">
        <v>85322.76</v>
      </c>
      <c r="W141" s="453">
        <v>4830.79</v>
      </c>
      <c r="X141" s="453">
        <v>17140.439999999999</v>
      </c>
      <c r="Y141" s="453">
        <v>33443.800000000003</v>
      </c>
      <c r="Z141" s="453">
        <v>51531.21</v>
      </c>
      <c r="AA141" s="453">
        <v>61697.64</v>
      </c>
      <c r="AB141" s="453">
        <v>71953.98</v>
      </c>
      <c r="AC141" s="453">
        <v>83179.95</v>
      </c>
      <c r="AD141" s="453">
        <v>95133.62</v>
      </c>
      <c r="AE141" s="453">
        <v>106426.73</v>
      </c>
      <c r="AF141" s="453">
        <v>116957.96</v>
      </c>
      <c r="AG141" s="453">
        <v>127660.37</v>
      </c>
      <c r="AH141" s="453">
        <v>137747.99</v>
      </c>
      <c r="AI141" s="453">
        <v>3320.22</v>
      </c>
      <c r="AJ141" s="453">
        <v>11548.09</v>
      </c>
      <c r="AK141" s="453">
        <v>15745.87</v>
      </c>
      <c r="AL141" s="453">
        <v>22836.55</v>
      </c>
      <c r="AM141" s="453">
        <v>29878.86</v>
      </c>
      <c r="AN141" s="453">
        <v>36486.68</v>
      </c>
      <c r="AO141" s="453">
        <v>50315.55</v>
      </c>
      <c r="AP141" s="453">
        <v>58850.59</v>
      </c>
      <c r="AQ141" s="453">
        <v>67104.61</v>
      </c>
      <c r="AR141" s="453">
        <f>IFERROR(INDEX('SuSa Okt25'!$N:$N,MATCH($A141,'SuSa Okt25'!A:A,0)),"")</f>
        <v>75082.559999999998</v>
      </c>
      <c r="AS141" s="453">
        <f>IFERROR(INDEX('SuSa Nov25'!$N:$N,MATCH($A141,'SuSa Nov25'!$A:$A,0)),"")</f>
        <v>83082.47</v>
      </c>
      <c r="AT141" s="453">
        <f>IFERROR(INDEX('SuSa Dez25'!$N:$N,MATCH($A141,'SuSa Dez25'!$A:$A,0)),"")</f>
        <v>89799.93</v>
      </c>
    </row>
    <row r="142" spans="1:46" hidden="1" outlineLevel="1" collapsed="1" x14ac:dyDescent="0.25">
      <c r="A142" s="452">
        <v>4250</v>
      </c>
      <c r="B142" t="s">
        <v>1378</v>
      </c>
      <c r="C142" t="s">
        <v>1379</v>
      </c>
      <c r="D142" t="s">
        <v>1373</v>
      </c>
      <c r="G142" s="453">
        <f t="shared" si="6"/>
        <v>34957.89</v>
      </c>
      <c r="H142" s="453">
        <f t="shared" si="7"/>
        <v>39420.82</v>
      </c>
      <c r="I142" s="453">
        <f t="shared" si="8"/>
        <v>37819.800000000003</v>
      </c>
      <c r="K142" s="453">
        <v>3079.72</v>
      </c>
      <c r="L142" s="453">
        <v>5713.28</v>
      </c>
      <c r="M142" s="453">
        <v>8509.08</v>
      </c>
      <c r="N142" s="453">
        <v>11142.64</v>
      </c>
      <c r="O142" s="453">
        <v>13776.2</v>
      </c>
      <c r="P142" s="453">
        <v>16731.060000000001</v>
      </c>
      <c r="Q142" s="453">
        <v>19364.62</v>
      </c>
      <c r="R142" s="453">
        <v>21998.18</v>
      </c>
      <c r="S142" s="453">
        <v>24631.74</v>
      </c>
      <c r="T142" s="453">
        <v>27265.3</v>
      </c>
      <c r="U142" s="453">
        <v>29898.86</v>
      </c>
      <c r="V142" s="453">
        <v>34957.89</v>
      </c>
      <c r="W142" s="453">
        <v>2765.24</v>
      </c>
      <c r="X142" s="453">
        <v>5530.48</v>
      </c>
      <c r="Y142" s="453">
        <v>8295.7199999999993</v>
      </c>
      <c r="Z142" s="453">
        <v>13833.43</v>
      </c>
      <c r="AA142" s="453">
        <v>16598.669999999998</v>
      </c>
      <c r="AB142" s="453">
        <v>19363.91</v>
      </c>
      <c r="AC142" s="453">
        <v>22129.15</v>
      </c>
      <c r="AD142" s="453">
        <v>24894.39</v>
      </c>
      <c r="AE142" s="453">
        <v>27659.63</v>
      </c>
      <c r="AF142" s="453">
        <v>30424.87</v>
      </c>
      <c r="AG142" s="453">
        <v>33190.11</v>
      </c>
      <c r="AH142" s="453">
        <v>39420.82</v>
      </c>
      <c r="AI142" s="453">
        <v>2918.99</v>
      </c>
      <c r="AJ142" s="453">
        <v>5837.98</v>
      </c>
      <c r="AK142" s="453">
        <v>8756.9699999999993</v>
      </c>
      <c r="AL142" s="453">
        <v>11675.96</v>
      </c>
      <c r="AM142" s="453">
        <v>14594.95</v>
      </c>
      <c r="AN142" s="453">
        <v>17880.39</v>
      </c>
      <c r="AO142" s="453">
        <v>23224.85</v>
      </c>
      <c r="AP142" s="453">
        <v>26143.84</v>
      </c>
      <c r="AQ142" s="453">
        <v>29062.83</v>
      </c>
      <c r="AR142" s="453">
        <f>IFERROR(INDEX('SuSa Okt25'!$N:$N,MATCH($A142,'SuSa Okt25'!A:A,0)),"")</f>
        <v>31981.82</v>
      </c>
      <c r="AS142" s="453">
        <f>IFERROR(INDEX('SuSa Nov25'!$N:$N,MATCH($A142,'SuSa Nov25'!$A:$A,0)),"")</f>
        <v>34900.81</v>
      </c>
      <c r="AT142" s="453">
        <f>IFERROR(INDEX('SuSa Dez25'!$N:$N,MATCH($A142,'SuSa Dez25'!$A:$A,0)),"")</f>
        <v>37819.800000000003</v>
      </c>
    </row>
    <row r="143" spans="1:46" hidden="1" outlineLevel="1" collapsed="1" x14ac:dyDescent="0.25">
      <c r="A143" s="452">
        <v>4260</v>
      </c>
      <c r="B143" t="s">
        <v>1380</v>
      </c>
      <c r="C143" t="s">
        <v>1381</v>
      </c>
      <c r="D143" t="s">
        <v>1373</v>
      </c>
      <c r="G143" s="453">
        <f t="shared" si="6"/>
        <v>2653.08</v>
      </c>
      <c r="H143" s="453">
        <f t="shared" si="7"/>
        <v>15958</v>
      </c>
      <c r="I143" s="453">
        <f t="shared" si="8"/>
        <v>9239.7000000000007</v>
      </c>
      <c r="K143" s="453">
        <v>391</v>
      </c>
      <c r="L143" s="453">
        <v>728.56</v>
      </c>
      <c r="M143" s="453">
        <v>827.14</v>
      </c>
      <c r="N143" s="453">
        <v>1761.66</v>
      </c>
      <c r="O143" s="453">
        <v>1761.66</v>
      </c>
      <c r="P143" s="453">
        <v>1761.66</v>
      </c>
      <c r="Q143" s="453">
        <v>1761.66</v>
      </c>
      <c r="R143" s="453">
        <v>2075.46</v>
      </c>
      <c r="S143" s="453">
        <v>2147.36</v>
      </c>
      <c r="T143" s="453">
        <v>2217.16</v>
      </c>
      <c r="U143" s="453">
        <v>2480.33</v>
      </c>
      <c r="V143" s="453">
        <v>2653.08</v>
      </c>
      <c r="W143" s="453">
        <v>0</v>
      </c>
      <c r="X143" s="453">
        <v>0</v>
      </c>
      <c r="Y143" s="453">
        <v>3766.52</v>
      </c>
      <c r="Z143" s="453">
        <v>4981.7</v>
      </c>
      <c r="AA143" s="453">
        <v>5146.03</v>
      </c>
      <c r="AB143" s="453">
        <v>7300.64</v>
      </c>
      <c r="AC143" s="453">
        <v>7300.64</v>
      </c>
      <c r="AD143" s="453">
        <v>7327.52</v>
      </c>
      <c r="AE143" s="453">
        <v>7559.43</v>
      </c>
      <c r="AF143" s="453">
        <v>7559.43</v>
      </c>
      <c r="AG143" s="453">
        <v>7785.1</v>
      </c>
      <c r="AH143" s="453">
        <v>15958</v>
      </c>
      <c r="AI143" s="453">
        <v>0</v>
      </c>
      <c r="AJ143" s="453">
        <v>1135.3499999999999</v>
      </c>
      <c r="AK143" s="453">
        <v>1837.57</v>
      </c>
      <c r="AL143" s="453">
        <v>1837.57</v>
      </c>
      <c r="AM143" s="453">
        <v>3529.28</v>
      </c>
      <c r="AN143" s="453">
        <v>7124.29</v>
      </c>
      <c r="AO143" s="453">
        <v>7279.93</v>
      </c>
      <c r="AP143" s="453">
        <v>7417.68</v>
      </c>
      <c r="AQ143" s="453">
        <v>7417.68</v>
      </c>
      <c r="AR143" s="453">
        <f>IFERROR(INDEX('SuSa Okt25'!$N:$N,MATCH($A143,'SuSa Okt25'!A:A,0)),"")</f>
        <v>7468.45</v>
      </c>
      <c r="AS143" s="453">
        <f>IFERROR(INDEX('SuSa Nov25'!$N:$N,MATCH($A143,'SuSa Nov25'!$A:$A,0)),"")</f>
        <v>7626.35</v>
      </c>
      <c r="AT143" s="453">
        <f>IFERROR(INDEX('SuSa Dez25'!$N:$N,MATCH($A143,'SuSa Dez25'!$A:$A,0)),"")</f>
        <v>9239.7000000000007</v>
      </c>
    </row>
    <row r="144" spans="1:46" hidden="1" outlineLevel="1" collapsed="1" x14ac:dyDescent="0.25">
      <c r="A144" s="452">
        <v>4320</v>
      </c>
      <c r="B144" t="s">
        <v>1169</v>
      </c>
      <c r="C144" t="s">
        <v>1170</v>
      </c>
      <c r="D144" t="s">
        <v>698</v>
      </c>
      <c r="G144" s="453">
        <f t="shared" si="6"/>
        <v>191983</v>
      </c>
      <c r="H144" s="453">
        <f t="shared" si="7"/>
        <v>194461</v>
      </c>
      <c r="I144" s="453">
        <f t="shared" si="8"/>
        <v>93973</v>
      </c>
      <c r="K144" s="453">
        <v>0</v>
      </c>
      <c r="L144" s="453">
        <v>82746</v>
      </c>
      <c r="M144" s="453">
        <v>82746</v>
      </c>
      <c r="N144" s="453">
        <v>82746</v>
      </c>
      <c r="O144" s="453">
        <v>165492</v>
      </c>
      <c r="P144" s="453">
        <v>165492</v>
      </c>
      <c r="Q144" s="453">
        <v>165492</v>
      </c>
      <c r="R144" s="453">
        <v>248238</v>
      </c>
      <c r="S144" s="453">
        <v>248238</v>
      </c>
      <c r="T144" s="453">
        <v>248238</v>
      </c>
      <c r="U144" s="453">
        <v>330984</v>
      </c>
      <c r="V144" s="453">
        <v>191983</v>
      </c>
      <c r="W144" s="453">
        <v>0</v>
      </c>
      <c r="X144" s="453">
        <v>82746</v>
      </c>
      <c r="Y144" s="453">
        <v>82746</v>
      </c>
      <c r="Z144" s="453">
        <v>82746</v>
      </c>
      <c r="AA144" s="453">
        <v>134341</v>
      </c>
      <c r="AB144" s="453">
        <v>133678</v>
      </c>
      <c r="AC144" s="453">
        <v>133678</v>
      </c>
      <c r="AD144" s="453">
        <v>185273</v>
      </c>
      <c r="AE144" s="453">
        <v>185273</v>
      </c>
      <c r="AF144" s="453">
        <v>185273</v>
      </c>
      <c r="AG144" s="453">
        <v>236868</v>
      </c>
      <c r="AH144" s="453">
        <v>194461</v>
      </c>
      <c r="AI144" s="453">
        <v>0</v>
      </c>
      <c r="AJ144" s="453">
        <v>61693</v>
      </c>
      <c r="AK144" s="453">
        <v>61693</v>
      </c>
      <c r="AL144" s="453">
        <v>61693</v>
      </c>
      <c r="AM144" s="453">
        <v>123386</v>
      </c>
      <c r="AN144" s="453">
        <v>123386</v>
      </c>
      <c r="AO144" s="453">
        <v>123386</v>
      </c>
      <c r="AP144" s="453">
        <v>185079</v>
      </c>
      <c r="AQ144" s="453">
        <v>185079</v>
      </c>
      <c r="AR144" s="453">
        <f>IFERROR(INDEX('SuSa Okt25'!$N:$N,MATCH($A144,'SuSa Okt25'!A:A,0)),"")</f>
        <v>185079</v>
      </c>
      <c r="AS144" s="453">
        <f>IFERROR(INDEX('SuSa Nov25'!$N:$N,MATCH($A144,'SuSa Nov25'!$A:$A,0)),"")</f>
        <v>246771</v>
      </c>
      <c r="AT144" s="453">
        <f>IFERROR(INDEX('SuSa Dez25'!$N:$N,MATCH($A144,'SuSa Dez25'!$A:$A,0)),"")</f>
        <v>93973</v>
      </c>
    </row>
    <row r="145" spans="1:46" hidden="1" outlineLevel="1" collapsed="1" x14ac:dyDescent="0.25">
      <c r="A145" s="452">
        <v>4360</v>
      </c>
      <c r="B145" t="s">
        <v>1382</v>
      </c>
      <c r="C145" t="s">
        <v>1383</v>
      </c>
      <c r="D145" t="s">
        <v>1384</v>
      </c>
      <c r="G145" s="453">
        <f t="shared" si="6"/>
        <v>38580.26</v>
      </c>
      <c r="H145" s="453">
        <f t="shared" si="7"/>
        <v>35259.68</v>
      </c>
      <c r="I145" s="453">
        <f t="shared" si="8"/>
        <v>37504</v>
      </c>
      <c r="K145" s="453">
        <v>2115.96</v>
      </c>
      <c r="L145" s="453">
        <v>4010.33</v>
      </c>
      <c r="M145" s="453">
        <v>5627.34</v>
      </c>
      <c r="N145" s="453">
        <v>8436.17</v>
      </c>
      <c r="O145" s="453">
        <v>11245</v>
      </c>
      <c r="P145" s="453">
        <v>14068.35</v>
      </c>
      <c r="Q145" s="453">
        <v>16891.7</v>
      </c>
      <c r="R145" s="453">
        <v>19715.05</v>
      </c>
      <c r="S145" s="453">
        <v>22538.400000000001</v>
      </c>
      <c r="T145" s="453">
        <v>25361.75</v>
      </c>
      <c r="U145" s="453">
        <v>28185.1</v>
      </c>
      <c r="V145" s="453">
        <v>38580.26</v>
      </c>
      <c r="W145" s="453">
        <v>3251.62</v>
      </c>
      <c r="X145" s="453">
        <v>6146.41</v>
      </c>
      <c r="Y145" s="453">
        <v>9046.7900000000009</v>
      </c>
      <c r="Z145" s="453">
        <v>11947.17</v>
      </c>
      <c r="AA145" s="453">
        <v>14847.55</v>
      </c>
      <c r="AB145" s="453">
        <v>17755.439999999999</v>
      </c>
      <c r="AC145" s="453">
        <v>20663.330000000002</v>
      </c>
      <c r="AD145" s="453">
        <v>23571.22</v>
      </c>
      <c r="AE145" s="453">
        <v>26479.11</v>
      </c>
      <c r="AF145" s="453">
        <v>29387</v>
      </c>
      <c r="AG145" s="453">
        <v>32319.88</v>
      </c>
      <c r="AH145" s="453">
        <v>35259.68</v>
      </c>
      <c r="AI145" s="453">
        <v>3265.9</v>
      </c>
      <c r="AJ145" s="453">
        <v>6174.97</v>
      </c>
      <c r="AK145" s="453">
        <v>9084.0400000000009</v>
      </c>
      <c r="AL145" s="453">
        <v>11993.11</v>
      </c>
      <c r="AM145" s="453">
        <v>14902.18</v>
      </c>
      <c r="AN145" s="453">
        <v>17826.400000000001</v>
      </c>
      <c r="AO145" s="453">
        <v>20750.62</v>
      </c>
      <c r="AP145" s="453">
        <v>23674.84</v>
      </c>
      <c r="AQ145" s="453">
        <v>26642.959999999999</v>
      </c>
      <c r="AR145" s="453">
        <f>IFERROR(INDEX('SuSa Okt25'!$N:$N,MATCH($A145,'SuSa Okt25'!A:A,0)),"")</f>
        <v>29567.18</v>
      </c>
      <c r="AS145" s="453">
        <f>IFERROR(INDEX('SuSa Nov25'!$N:$N,MATCH($A145,'SuSa Nov25'!$A:$A,0)),"")</f>
        <v>32491.4</v>
      </c>
      <c r="AT145" s="453">
        <f>IFERROR(INDEX('SuSa Dez25'!$N:$N,MATCH($A145,'SuSa Dez25'!$A:$A,0)),"")</f>
        <v>37504</v>
      </c>
    </row>
    <row r="146" spans="1:46" hidden="1" outlineLevel="1" collapsed="1" x14ac:dyDescent="0.25">
      <c r="A146" s="452">
        <v>4380</v>
      </c>
      <c r="B146" t="s">
        <v>1385</v>
      </c>
      <c r="C146" t="s">
        <v>1386</v>
      </c>
      <c r="D146" t="s">
        <v>1384</v>
      </c>
      <c r="G146" s="453">
        <f t="shared" si="6"/>
        <v>34662.839999999997</v>
      </c>
      <c r="H146" s="453">
        <f t="shared" si="7"/>
        <v>34423.72</v>
      </c>
      <c r="I146" s="453">
        <f t="shared" si="8"/>
        <v>32266.79</v>
      </c>
      <c r="K146" s="453">
        <v>3876.18</v>
      </c>
      <c r="L146" s="453">
        <v>5790.92</v>
      </c>
      <c r="M146" s="453">
        <v>14049.06</v>
      </c>
      <c r="N146" s="453">
        <v>16020.8</v>
      </c>
      <c r="O146" s="453">
        <v>19142.54</v>
      </c>
      <c r="P146" s="453">
        <v>21114.28</v>
      </c>
      <c r="Q146" s="453">
        <v>23156.02</v>
      </c>
      <c r="R146" s="453">
        <v>25148.76</v>
      </c>
      <c r="S146" s="453">
        <v>27120.5</v>
      </c>
      <c r="T146" s="453">
        <v>29900.240000000002</v>
      </c>
      <c r="U146" s="453">
        <v>32671.98</v>
      </c>
      <c r="V146" s="453">
        <v>34662.839999999997</v>
      </c>
      <c r="W146" s="453">
        <v>3348.18</v>
      </c>
      <c r="X146" s="453">
        <v>5840.92</v>
      </c>
      <c r="Y146" s="453">
        <v>8232.66</v>
      </c>
      <c r="Z146" s="453">
        <v>10324.4</v>
      </c>
      <c r="AA146" s="453">
        <v>13016.14</v>
      </c>
      <c r="AB146" s="453">
        <v>15057.88</v>
      </c>
      <c r="AC146" s="453">
        <v>18179.62</v>
      </c>
      <c r="AD146" s="453">
        <v>30156.74</v>
      </c>
      <c r="AE146" s="453">
        <v>28430.5</v>
      </c>
      <c r="AF146" s="453">
        <v>30460.240000000002</v>
      </c>
      <c r="AG146" s="453">
        <v>32431.98</v>
      </c>
      <c r="AH146" s="453">
        <v>34423.72</v>
      </c>
      <c r="AI146" s="453">
        <v>9373.65</v>
      </c>
      <c r="AJ146" s="453">
        <v>19544.71</v>
      </c>
      <c r="AK146" s="453">
        <v>21976.35</v>
      </c>
      <c r="AL146" s="453">
        <v>24067.99</v>
      </c>
      <c r="AM146" s="453">
        <v>26759.63</v>
      </c>
      <c r="AN146" s="453">
        <v>29301.27</v>
      </c>
      <c r="AO146" s="453">
        <v>32022.91</v>
      </c>
      <c r="AP146" s="453">
        <v>34415.550000000003</v>
      </c>
      <c r="AQ146" s="453">
        <v>36387.21</v>
      </c>
      <c r="AR146" s="453">
        <f>IFERROR(INDEX('SuSa Okt25'!$N:$N,MATCH($A146,'SuSa Okt25'!A:A,0)),"")</f>
        <v>38416.85</v>
      </c>
      <c r="AS146" s="453">
        <f>IFERROR(INDEX('SuSa Nov25'!$N:$N,MATCH($A146,'SuSa Nov25'!$A:$A,0)),"")</f>
        <v>38416.85</v>
      </c>
      <c r="AT146" s="453">
        <f>IFERROR(INDEX('SuSa Dez25'!$N:$N,MATCH($A146,'SuSa Dez25'!$A:$A,0)),"")</f>
        <v>32266.79</v>
      </c>
    </row>
    <row r="147" spans="1:46" outlineLevel="1" collapsed="1" x14ac:dyDescent="0.25">
      <c r="A147" s="452">
        <v>4400</v>
      </c>
      <c r="B147" s="521" t="s">
        <v>1387</v>
      </c>
      <c r="C147" t="s">
        <v>1388</v>
      </c>
      <c r="D147" t="s">
        <v>1352</v>
      </c>
      <c r="F147" t="s">
        <v>2504</v>
      </c>
      <c r="G147" s="453">
        <f t="shared" si="6"/>
        <v>145319.51999999999</v>
      </c>
      <c r="H147" s="453">
        <f t="shared" si="7"/>
        <v>136980.34</v>
      </c>
      <c r="I147" s="453">
        <f t="shared" si="8"/>
        <v>55897.24</v>
      </c>
      <c r="K147" s="453">
        <v>14232.53</v>
      </c>
      <c r="L147" s="453">
        <v>30570.14</v>
      </c>
      <c r="M147" s="453">
        <v>49115.98</v>
      </c>
      <c r="N147" s="453">
        <v>63432.97</v>
      </c>
      <c r="O147" s="453">
        <v>74695.199999999997</v>
      </c>
      <c r="P147" s="453">
        <v>83861</v>
      </c>
      <c r="Q147" s="453">
        <v>91619.18</v>
      </c>
      <c r="R147" s="453">
        <v>98790.42</v>
      </c>
      <c r="S147" s="453">
        <v>109930.31</v>
      </c>
      <c r="T147" s="453">
        <v>123903.2</v>
      </c>
      <c r="U147" s="453">
        <v>136238.06</v>
      </c>
      <c r="V147" s="453">
        <v>145319.51999999999</v>
      </c>
      <c r="W147" s="453">
        <v>13334.86</v>
      </c>
      <c r="X147" s="453">
        <v>31158.78</v>
      </c>
      <c r="Y147" s="453">
        <v>46496.05</v>
      </c>
      <c r="Z147" s="453">
        <v>67633.48</v>
      </c>
      <c r="AA147" s="453">
        <v>86219.82</v>
      </c>
      <c r="AB147" s="453">
        <v>96811.02</v>
      </c>
      <c r="AC147" s="453">
        <v>105553.82</v>
      </c>
      <c r="AD147" s="453">
        <v>112168.05</v>
      </c>
      <c r="AE147" s="453">
        <v>118192.14</v>
      </c>
      <c r="AF147" s="453">
        <v>125750.13</v>
      </c>
      <c r="AG147" s="453">
        <v>132105.42000000001</v>
      </c>
      <c r="AH147" s="453">
        <v>136980.34</v>
      </c>
      <c r="AI147" s="453">
        <v>2173.65</v>
      </c>
      <c r="AJ147" s="453">
        <v>10924.75</v>
      </c>
      <c r="AK147" s="453">
        <v>17255.14</v>
      </c>
      <c r="AL147" s="453">
        <v>23140.7</v>
      </c>
      <c r="AM147" s="453">
        <v>27360.05</v>
      </c>
      <c r="AN147" s="453">
        <v>32574.76</v>
      </c>
      <c r="AO147" s="453">
        <v>40979.69</v>
      </c>
      <c r="AP147" s="453">
        <v>44999.78</v>
      </c>
      <c r="AQ147" s="453">
        <v>52176.639999999999</v>
      </c>
      <c r="AR147" s="453">
        <f>IFERROR(INDEX('SuSa Okt25'!$N:$N,MATCH($A147,'SuSa Okt25'!A:A,0)),"")</f>
        <v>52176.639999999999</v>
      </c>
      <c r="AS147" s="453">
        <f>IFERROR(INDEX('SuSa Nov25'!$N:$N,MATCH($A147,'SuSa Nov25'!$A:$A,0)),"")</f>
        <v>55463.44</v>
      </c>
      <c r="AT147" s="453">
        <f>IFERROR(INDEX('SuSa Dez25'!$N:$N,MATCH($A147,'SuSa Dez25'!$A:$A,0)),"")</f>
        <v>55897.24</v>
      </c>
    </row>
    <row r="148" spans="1:46" hidden="1" outlineLevel="1" collapsed="1" x14ac:dyDescent="0.25">
      <c r="A148" s="452">
        <v>4510</v>
      </c>
      <c r="B148" t="s">
        <v>1653</v>
      </c>
      <c r="C148" t="s">
        <v>1654</v>
      </c>
      <c r="D148" t="s">
        <v>699</v>
      </c>
      <c r="G148" s="453">
        <f t="shared" si="6"/>
        <v>300</v>
      </c>
      <c r="H148" s="453">
        <f t="shared" si="7"/>
        <v>0</v>
      </c>
      <c r="I148" s="453">
        <f t="shared" si="8"/>
        <v>0</v>
      </c>
      <c r="K148" s="453">
        <v>0</v>
      </c>
      <c r="L148" s="453">
        <v>0</v>
      </c>
      <c r="M148" s="453">
        <v>300</v>
      </c>
      <c r="N148" s="453">
        <v>300</v>
      </c>
      <c r="O148" s="453">
        <v>300</v>
      </c>
      <c r="P148" s="453">
        <v>300</v>
      </c>
      <c r="Q148" s="453">
        <v>300</v>
      </c>
      <c r="R148" s="453">
        <v>300</v>
      </c>
      <c r="S148" s="453">
        <v>300</v>
      </c>
      <c r="T148" s="453">
        <v>300</v>
      </c>
      <c r="U148" s="453">
        <v>300</v>
      </c>
      <c r="V148" s="453">
        <v>300</v>
      </c>
    </row>
    <row r="149" spans="1:46" hidden="1" outlineLevel="1" collapsed="1" x14ac:dyDescent="0.25">
      <c r="A149" s="452">
        <v>4510</v>
      </c>
      <c r="B149" t="s">
        <v>1175</v>
      </c>
      <c r="C149" t="s">
        <v>1176</v>
      </c>
      <c r="D149" t="s">
        <v>699</v>
      </c>
      <c r="G149" s="453">
        <f t="shared" si="6"/>
        <v>0</v>
      </c>
      <c r="H149" s="453">
        <f t="shared" si="7"/>
        <v>9</v>
      </c>
      <c r="I149" s="453">
        <f t="shared" si="8"/>
        <v>0</v>
      </c>
      <c r="W149" s="453">
        <v>0</v>
      </c>
      <c r="X149" s="453">
        <v>0</v>
      </c>
      <c r="Y149" s="453">
        <v>300</v>
      </c>
      <c r="Z149" s="453">
        <v>9</v>
      </c>
      <c r="AA149" s="453">
        <v>9</v>
      </c>
      <c r="AB149" s="453">
        <v>9</v>
      </c>
      <c r="AC149" s="453">
        <v>9</v>
      </c>
      <c r="AD149" s="453">
        <v>9</v>
      </c>
      <c r="AE149" s="453">
        <v>9</v>
      </c>
      <c r="AF149" s="453">
        <v>9</v>
      </c>
      <c r="AG149" s="453">
        <v>9</v>
      </c>
      <c r="AH149" s="453">
        <v>9</v>
      </c>
      <c r="AI149" s="453">
        <v>0</v>
      </c>
      <c r="AJ149" s="453">
        <v>0</v>
      </c>
      <c r="AK149" s="453">
        <v>0</v>
      </c>
      <c r="AL149" s="453">
        <v>0</v>
      </c>
      <c r="AM149" s="453">
        <v>0</v>
      </c>
      <c r="AN149" s="453">
        <v>0</v>
      </c>
      <c r="AO149" s="453">
        <v>0</v>
      </c>
      <c r="AP149" s="453">
        <v>0</v>
      </c>
      <c r="AQ149" s="453">
        <v>0</v>
      </c>
      <c r="AR149" s="453">
        <f>IFERROR(INDEX('SuSa Okt25'!$N:$N,MATCH($A149,'SuSa Okt25'!A:A,0)),"")</f>
        <v>0</v>
      </c>
      <c r="AS149" s="453">
        <f>IFERROR(INDEX('SuSa Nov25'!$N:$N,MATCH($A149,'SuSa Nov25'!$A:$A,0)),"")</f>
        <v>0</v>
      </c>
      <c r="AT149" s="453">
        <f>IFERROR(INDEX('SuSa Dez25'!$N:$N,MATCH($A149,'SuSa Dez25'!$A:$A,0)),"")</f>
        <v>0</v>
      </c>
    </row>
    <row r="150" spans="1:46" hidden="1" outlineLevel="1" collapsed="1" x14ac:dyDescent="0.25">
      <c r="A150" s="452">
        <v>4511</v>
      </c>
      <c r="B150" t="s">
        <v>1177</v>
      </c>
      <c r="C150" t="s">
        <v>1178</v>
      </c>
      <c r="D150" t="s">
        <v>699</v>
      </c>
      <c r="G150" s="453">
        <f t="shared" si="6"/>
        <v>0</v>
      </c>
      <c r="H150" s="453">
        <f t="shared" si="7"/>
        <v>0</v>
      </c>
      <c r="I150" s="453" t="str">
        <f t="shared" si="8"/>
        <v/>
      </c>
      <c r="K150" s="453">
        <v>0</v>
      </c>
      <c r="L150" s="453">
        <v>0</v>
      </c>
      <c r="M150" s="453">
        <v>0</v>
      </c>
      <c r="N150" s="453">
        <v>0</v>
      </c>
      <c r="O150" s="453">
        <v>0</v>
      </c>
      <c r="P150" s="453">
        <v>0</v>
      </c>
      <c r="Q150" s="453">
        <v>0</v>
      </c>
      <c r="R150" s="453">
        <v>0</v>
      </c>
      <c r="S150" s="453">
        <v>0</v>
      </c>
      <c r="T150" s="453">
        <v>0</v>
      </c>
      <c r="U150" s="453">
        <v>0</v>
      </c>
      <c r="V150" s="453">
        <v>0</v>
      </c>
      <c r="AR150" s="453" t="str">
        <f>IFERROR(INDEX('SuSa Okt25'!$N:$N,MATCH($A150,'SuSa Okt25'!A:A,0)),"")</f>
        <v/>
      </c>
      <c r="AS150" s="453" t="str">
        <f>IFERROR(INDEX('SuSa Nov25'!$N:$N,MATCH($A150,'SuSa Nov25'!$A:$A,0)),"")</f>
        <v/>
      </c>
      <c r="AT150" s="453" t="str">
        <f>IFERROR(INDEX('SuSa Dez25'!$N:$N,MATCH($A150,'SuSa Dez25'!$A:$A,0)),"")</f>
        <v/>
      </c>
    </row>
    <row r="151" spans="1:46" hidden="1" outlineLevel="1" collapsed="1" x14ac:dyDescent="0.25">
      <c r="A151" s="452">
        <v>4512</v>
      </c>
      <c r="B151" t="s">
        <v>1179</v>
      </c>
      <c r="C151" t="s">
        <v>1180</v>
      </c>
      <c r="D151" t="s">
        <v>699</v>
      </c>
      <c r="G151" s="453">
        <f t="shared" si="6"/>
        <v>6</v>
      </c>
      <c r="H151" s="453">
        <f t="shared" si="7"/>
        <v>0</v>
      </c>
      <c r="I151" s="453" t="str">
        <f t="shared" si="8"/>
        <v/>
      </c>
      <c r="K151" s="453">
        <v>0</v>
      </c>
      <c r="L151" s="453">
        <v>0</v>
      </c>
      <c r="M151" s="453">
        <v>6</v>
      </c>
      <c r="N151" s="453">
        <v>6</v>
      </c>
      <c r="O151" s="453">
        <v>6</v>
      </c>
      <c r="P151" s="453">
        <v>6</v>
      </c>
      <c r="Q151" s="453">
        <v>6</v>
      </c>
      <c r="R151" s="453">
        <v>6</v>
      </c>
      <c r="S151" s="453">
        <v>6</v>
      </c>
      <c r="T151" s="453">
        <v>6</v>
      </c>
      <c r="U151" s="453">
        <v>6</v>
      </c>
      <c r="V151" s="453">
        <v>6</v>
      </c>
      <c r="AR151" s="453" t="str">
        <f>IFERROR(INDEX('SuSa Okt25'!$N:$N,MATCH($A151,'SuSa Okt25'!A:A,0)),"")</f>
        <v/>
      </c>
      <c r="AS151" s="453" t="str">
        <f>IFERROR(INDEX('SuSa Nov25'!$N:$N,MATCH($A151,'SuSa Nov25'!$A:$A,0)),"")</f>
        <v/>
      </c>
      <c r="AT151" s="453" t="str">
        <f>IFERROR(INDEX('SuSa Dez25'!$N:$N,MATCH($A151,'SuSa Dez25'!$A:$A,0)),"")</f>
        <v/>
      </c>
    </row>
    <row r="152" spans="1:46" hidden="1" outlineLevel="1" collapsed="1" x14ac:dyDescent="0.25">
      <c r="A152" s="452">
        <v>4512</v>
      </c>
      <c r="B152" t="s">
        <v>1655</v>
      </c>
      <c r="C152" t="s">
        <v>1656</v>
      </c>
      <c r="D152" t="s">
        <v>699</v>
      </c>
      <c r="G152" s="453">
        <f t="shared" si="6"/>
        <v>0</v>
      </c>
      <c r="H152" s="453">
        <f t="shared" si="7"/>
        <v>0</v>
      </c>
      <c r="I152" s="453" t="str">
        <f t="shared" si="8"/>
        <v/>
      </c>
      <c r="W152" s="453">
        <v>0</v>
      </c>
      <c r="X152" s="453">
        <v>0</v>
      </c>
      <c r="Y152" s="453">
        <v>0</v>
      </c>
      <c r="Z152" s="453">
        <v>0</v>
      </c>
      <c r="AA152" s="453">
        <v>0</v>
      </c>
      <c r="AB152" s="453">
        <v>0</v>
      </c>
      <c r="AC152" s="453">
        <v>0</v>
      </c>
      <c r="AD152" s="453">
        <v>0</v>
      </c>
      <c r="AE152" s="453">
        <v>0</v>
      </c>
      <c r="AF152" s="453">
        <v>0</v>
      </c>
      <c r="AG152" s="453">
        <v>0</v>
      </c>
      <c r="AH152" s="453">
        <v>0</v>
      </c>
      <c r="AR152" s="453" t="str">
        <f>IFERROR(INDEX('SuSa Okt25'!$N:$N,MATCH($A152,'SuSa Okt25'!A:A,0)),"")</f>
        <v/>
      </c>
      <c r="AS152" s="453" t="str">
        <f>IFERROR(INDEX('SuSa Nov25'!$N:$N,MATCH($A152,'SuSa Nov25'!$A:$A,0)),"")</f>
        <v/>
      </c>
      <c r="AT152" s="453" t="str">
        <f>IFERROR(INDEX('SuSa Dez25'!$N:$N,MATCH($A152,'SuSa Dez25'!$A:$A,0)),"")</f>
        <v/>
      </c>
    </row>
    <row r="153" spans="1:46" hidden="1" outlineLevel="1" collapsed="1" x14ac:dyDescent="0.25">
      <c r="A153" s="452">
        <v>4513</v>
      </c>
      <c r="B153" t="s">
        <v>1657</v>
      </c>
      <c r="C153" t="s">
        <v>1658</v>
      </c>
      <c r="D153" t="s">
        <v>699</v>
      </c>
      <c r="G153" s="453">
        <f t="shared" si="6"/>
        <v>278</v>
      </c>
      <c r="H153" s="453">
        <f t="shared" si="7"/>
        <v>0</v>
      </c>
      <c r="I153" s="453">
        <f t="shared" si="8"/>
        <v>0</v>
      </c>
      <c r="K153" s="453">
        <v>0</v>
      </c>
      <c r="L153" s="453">
        <v>0</v>
      </c>
      <c r="M153" s="453">
        <v>0</v>
      </c>
      <c r="N153" s="453">
        <v>0</v>
      </c>
      <c r="O153" s="453">
        <v>0</v>
      </c>
      <c r="P153" s="453">
        <v>0</v>
      </c>
      <c r="Q153" s="453">
        <v>0</v>
      </c>
      <c r="R153" s="453">
        <v>320</v>
      </c>
      <c r="S153" s="453">
        <v>278</v>
      </c>
      <c r="T153" s="453">
        <v>278</v>
      </c>
      <c r="U153" s="453">
        <v>278</v>
      </c>
      <c r="V153" s="453">
        <v>278</v>
      </c>
    </row>
    <row r="154" spans="1:46" hidden="1" outlineLevel="1" collapsed="1" x14ac:dyDescent="0.25">
      <c r="A154" s="452">
        <v>4513</v>
      </c>
      <c r="B154" t="s">
        <v>1181</v>
      </c>
      <c r="C154" t="s">
        <v>1182</v>
      </c>
      <c r="D154" t="s">
        <v>699</v>
      </c>
      <c r="G154" s="453">
        <f t="shared" si="6"/>
        <v>0</v>
      </c>
      <c r="H154" s="453">
        <f t="shared" si="7"/>
        <v>456</v>
      </c>
      <c r="I154" s="453">
        <f t="shared" si="8"/>
        <v>456</v>
      </c>
      <c r="W154" s="453">
        <v>0</v>
      </c>
      <c r="X154" s="453">
        <v>0</v>
      </c>
      <c r="Y154" s="453">
        <v>0</v>
      </c>
      <c r="Z154" s="453">
        <v>0</v>
      </c>
      <c r="AA154" s="453">
        <v>0</v>
      </c>
      <c r="AB154" s="453">
        <v>177</v>
      </c>
      <c r="AC154" s="453">
        <v>177</v>
      </c>
      <c r="AD154" s="453">
        <v>456</v>
      </c>
      <c r="AE154" s="453">
        <v>456</v>
      </c>
      <c r="AF154" s="453">
        <v>456</v>
      </c>
      <c r="AG154" s="453">
        <v>456</v>
      </c>
      <c r="AH154" s="453">
        <v>456</v>
      </c>
      <c r="AI154" s="453">
        <v>0</v>
      </c>
      <c r="AJ154" s="453">
        <v>0</v>
      </c>
      <c r="AK154" s="453">
        <v>0</v>
      </c>
      <c r="AL154" s="453">
        <v>177</v>
      </c>
      <c r="AM154" s="453">
        <v>177</v>
      </c>
      <c r="AN154" s="453">
        <v>177</v>
      </c>
      <c r="AO154" s="453">
        <v>177</v>
      </c>
      <c r="AP154" s="453">
        <v>456</v>
      </c>
      <c r="AQ154" s="453">
        <v>456</v>
      </c>
      <c r="AR154" s="453">
        <f>IFERROR(INDEX('SuSa Okt25'!$N:$N,MATCH($A154,'SuSa Okt25'!A:A,0)),"")</f>
        <v>456</v>
      </c>
      <c r="AS154" s="453">
        <f>IFERROR(INDEX('SuSa Nov25'!$N:$N,MATCH($A154,'SuSa Nov25'!$A:$A,0)),"")</f>
        <v>456</v>
      </c>
      <c r="AT154" s="453">
        <f>IFERROR(INDEX('SuSa Dez25'!$N:$N,MATCH($A154,'SuSa Dez25'!$A:$A,0)),"")</f>
        <v>456</v>
      </c>
    </row>
    <row r="155" spans="1:46" hidden="1" outlineLevel="1" collapsed="1" x14ac:dyDescent="0.25">
      <c r="A155" s="452">
        <v>4514</v>
      </c>
      <c r="B155" t="s">
        <v>1183</v>
      </c>
      <c r="C155" t="s">
        <v>1184</v>
      </c>
      <c r="D155" t="s">
        <v>699</v>
      </c>
      <c r="G155" s="453">
        <f t="shared" si="6"/>
        <v>622</v>
      </c>
      <c r="H155" s="453">
        <f t="shared" si="7"/>
        <v>622</v>
      </c>
      <c r="I155" s="453">
        <f t="shared" si="8"/>
        <v>392</v>
      </c>
      <c r="K155" s="453">
        <v>0</v>
      </c>
      <c r="L155" s="453">
        <v>0</v>
      </c>
      <c r="M155" s="453">
        <v>311</v>
      </c>
      <c r="N155" s="453">
        <v>311</v>
      </c>
      <c r="O155" s="453">
        <v>622</v>
      </c>
      <c r="P155" s="453">
        <v>622</v>
      </c>
      <c r="Q155" s="453">
        <v>622</v>
      </c>
      <c r="R155" s="453">
        <v>622</v>
      </c>
      <c r="S155" s="453">
        <v>622</v>
      </c>
      <c r="T155" s="453">
        <v>622</v>
      </c>
      <c r="U155" s="453">
        <v>622</v>
      </c>
      <c r="V155" s="453">
        <v>622</v>
      </c>
      <c r="W155" s="453">
        <v>0</v>
      </c>
      <c r="X155" s="453">
        <v>0</v>
      </c>
      <c r="Y155" s="453">
        <v>311</v>
      </c>
      <c r="Z155" s="453">
        <v>311</v>
      </c>
      <c r="AA155" s="453">
        <v>622</v>
      </c>
      <c r="AB155" s="453">
        <v>622</v>
      </c>
      <c r="AC155" s="453">
        <v>622</v>
      </c>
      <c r="AD155" s="453">
        <v>622</v>
      </c>
      <c r="AE155" s="453">
        <v>622</v>
      </c>
      <c r="AF155" s="453">
        <v>622</v>
      </c>
      <c r="AG155" s="453">
        <v>622</v>
      </c>
      <c r="AH155" s="453">
        <v>622</v>
      </c>
      <c r="AI155" s="453">
        <v>0</v>
      </c>
      <c r="AJ155" s="453">
        <v>0</v>
      </c>
      <c r="AK155" s="453">
        <v>311</v>
      </c>
      <c r="AL155" s="453">
        <v>311</v>
      </c>
      <c r="AM155" s="453">
        <v>622</v>
      </c>
      <c r="AN155" s="453">
        <v>622</v>
      </c>
      <c r="AO155" s="453">
        <v>622</v>
      </c>
      <c r="AP155" s="453">
        <v>622</v>
      </c>
      <c r="AQ155" s="453">
        <v>622</v>
      </c>
      <c r="AR155" s="453">
        <f>IFERROR(INDEX('SuSa Okt25'!$N:$N,MATCH($A155,'SuSa Okt25'!A:A,0)),"")</f>
        <v>622</v>
      </c>
      <c r="AS155" s="453">
        <f>IFERROR(INDEX('SuSa Nov25'!$N:$N,MATCH($A155,'SuSa Nov25'!$A:$A,0)),"")</f>
        <v>362</v>
      </c>
      <c r="AT155" s="453">
        <f>IFERROR(INDEX('SuSa Dez25'!$N:$N,MATCH($A155,'SuSa Dez25'!$A:$A,0)),"")</f>
        <v>392</v>
      </c>
    </row>
    <row r="156" spans="1:46" hidden="1" outlineLevel="1" collapsed="1" x14ac:dyDescent="0.25">
      <c r="A156" s="452">
        <v>4515</v>
      </c>
      <c r="B156" t="s">
        <v>1659</v>
      </c>
      <c r="C156" t="s">
        <v>1660</v>
      </c>
      <c r="D156" t="s">
        <v>699</v>
      </c>
      <c r="G156" s="453">
        <f t="shared" si="6"/>
        <v>238</v>
      </c>
      <c r="H156" s="453">
        <f t="shared" si="7"/>
        <v>0</v>
      </c>
      <c r="I156" s="453">
        <f t="shared" si="8"/>
        <v>0</v>
      </c>
      <c r="K156" s="453">
        <v>238</v>
      </c>
      <c r="L156" s="453">
        <v>238</v>
      </c>
      <c r="M156" s="453">
        <v>238</v>
      </c>
      <c r="N156" s="453">
        <v>238</v>
      </c>
      <c r="O156" s="453">
        <v>238</v>
      </c>
      <c r="P156" s="453">
        <v>238</v>
      </c>
      <c r="Q156" s="453">
        <v>238</v>
      </c>
      <c r="R156" s="453">
        <v>238</v>
      </c>
      <c r="S156" s="453">
        <v>238</v>
      </c>
      <c r="T156" s="453">
        <v>238</v>
      </c>
      <c r="U156" s="453">
        <v>238</v>
      </c>
      <c r="V156" s="453">
        <v>238</v>
      </c>
    </row>
    <row r="157" spans="1:46" hidden="1" outlineLevel="1" collapsed="1" x14ac:dyDescent="0.25">
      <c r="A157" s="452">
        <v>4515</v>
      </c>
      <c r="B157" t="s">
        <v>1185</v>
      </c>
      <c r="C157" t="s">
        <v>1186</v>
      </c>
      <c r="D157" t="s">
        <v>699</v>
      </c>
      <c r="G157" s="453">
        <f t="shared" si="6"/>
        <v>0</v>
      </c>
      <c r="H157" s="453">
        <f t="shared" si="7"/>
        <v>504</v>
      </c>
      <c r="I157" s="453">
        <f t="shared" si="8"/>
        <v>432</v>
      </c>
      <c r="W157" s="453">
        <v>238</v>
      </c>
      <c r="X157" s="453">
        <v>238</v>
      </c>
      <c r="Y157" s="453">
        <v>238</v>
      </c>
      <c r="Z157" s="453">
        <v>238</v>
      </c>
      <c r="AA157" s="453">
        <v>238</v>
      </c>
      <c r="AB157" s="453">
        <v>332</v>
      </c>
      <c r="AC157" s="453">
        <v>504</v>
      </c>
      <c r="AD157" s="453">
        <v>504</v>
      </c>
      <c r="AE157" s="453">
        <v>504</v>
      </c>
      <c r="AF157" s="453">
        <v>504</v>
      </c>
      <c r="AG157" s="453">
        <v>504</v>
      </c>
      <c r="AH157" s="453">
        <v>504</v>
      </c>
      <c r="AI157" s="453">
        <v>0</v>
      </c>
      <c r="AJ157" s="453">
        <v>0</v>
      </c>
      <c r="AK157" s="453">
        <v>0</v>
      </c>
      <c r="AL157" s="453">
        <v>260</v>
      </c>
      <c r="AM157" s="453">
        <v>260</v>
      </c>
      <c r="AN157" s="453">
        <v>432</v>
      </c>
      <c r="AO157" s="453">
        <v>432</v>
      </c>
      <c r="AP157" s="453">
        <v>432</v>
      </c>
      <c r="AQ157" s="453">
        <v>432</v>
      </c>
      <c r="AR157" s="453">
        <f>IFERROR(INDEX('SuSa Okt25'!$N:$N,MATCH($A157,'SuSa Okt25'!A:A,0)),"")</f>
        <v>432</v>
      </c>
      <c r="AS157" s="453">
        <f>IFERROR(INDEX('SuSa Nov25'!$N:$N,MATCH($A157,'SuSa Nov25'!$A:$A,0)),"")</f>
        <v>432</v>
      </c>
      <c r="AT157" s="453">
        <f>IFERROR(INDEX('SuSa Dez25'!$N:$N,MATCH($A157,'SuSa Dez25'!$A:$A,0)),"")</f>
        <v>432</v>
      </c>
    </row>
    <row r="158" spans="1:46" hidden="1" outlineLevel="1" collapsed="1" x14ac:dyDescent="0.25">
      <c r="A158" s="452">
        <v>4516</v>
      </c>
      <c r="B158" t="s">
        <v>1661</v>
      </c>
      <c r="C158" t="s">
        <v>1662</v>
      </c>
      <c r="D158" t="s">
        <v>699</v>
      </c>
      <c r="G158" s="453">
        <f t="shared" si="6"/>
        <v>684</v>
      </c>
      <c r="H158" s="453">
        <f t="shared" si="7"/>
        <v>0</v>
      </c>
      <c r="I158" s="453">
        <f t="shared" si="8"/>
        <v>0</v>
      </c>
      <c r="K158" s="453">
        <v>0</v>
      </c>
      <c r="L158" s="453">
        <v>152</v>
      </c>
      <c r="M158" s="453">
        <v>152</v>
      </c>
      <c r="N158" s="453">
        <v>704</v>
      </c>
      <c r="O158" s="453">
        <v>704</v>
      </c>
      <c r="P158" s="453">
        <v>704</v>
      </c>
      <c r="Q158" s="453">
        <v>704</v>
      </c>
      <c r="R158" s="453">
        <v>704</v>
      </c>
      <c r="S158" s="453">
        <v>704</v>
      </c>
      <c r="T158" s="453">
        <v>704</v>
      </c>
      <c r="U158" s="453">
        <v>704</v>
      </c>
      <c r="V158" s="453">
        <v>684</v>
      </c>
    </row>
    <row r="159" spans="1:46" hidden="1" outlineLevel="1" collapsed="1" x14ac:dyDescent="0.25">
      <c r="A159" s="452">
        <v>4516</v>
      </c>
      <c r="B159" t="s">
        <v>1187</v>
      </c>
      <c r="C159" t="s">
        <v>1188</v>
      </c>
      <c r="D159" t="s">
        <v>699</v>
      </c>
      <c r="G159" s="453">
        <f t="shared" si="6"/>
        <v>0</v>
      </c>
      <c r="H159" s="453">
        <f t="shared" si="7"/>
        <v>379</v>
      </c>
      <c r="I159" s="453">
        <f t="shared" si="8"/>
        <v>186</v>
      </c>
      <c r="W159" s="453">
        <v>176</v>
      </c>
      <c r="X159" s="453">
        <v>176</v>
      </c>
      <c r="Y159" s="453">
        <v>176</v>
      </c>
      <c r="Z159" s="453">
        <v>728</v>
      </c>
      <c r="AA159" s="453">
        <v>728</v>
      </c>
      <c r="AB159" s="453">
        <v>728</v>
      </c>
      <c r="AC159" s="453">
        <v>728</v>
      </c>
      <c r="AD159" s="453">
        <v>728</v>
      </c>
      <c r="AE159" s="453">
        <v>349</v>
      </c>
      <c r="AF159" s="453">
        <v>379</v>
      </c>
      <c r="AG159" s="453">
        <v>379</v>
      </c>
      <c r="AH159" s="453">
        <v>379</v>
      </c>
      <c r="AI159" s="453">
        <v>176</v>
      </c>
      <c r="AJ159" s="453">
        <v>176</v>
      </c>
      <c r="AK159" s="453">
        <v>176</v>
      </c>
      <c r="AL159" s="453">
        <v>176</v>
      </c>
      <c r="AM159" s="453">
        <v>176</v>
      </c>
      <c r="AN159" s="453">
        <v>176</v>
      </c>
      <c r="AO159" s="453">
        <v>176</v>
      </c>
      <c r="AP159" s="453">
        <v>186</v>
      </c>
      <c r="AQ159" s="453">
        <v>186</v>
      </c>
      <c r="AR159" s="453">
        <f>IFERROR(INDEX('SuSa Okt25'!$N:$N,MATCH($A159,'SuSa Okt25'!A:A,0)),"")</f>
        <v>186</v>
      </c>
      <c r="AS159" s="453">
        <f>IFERROR(INDEX('SuSa Nov25'!$N:$N,MATCH($A159,'SuSa Nov25'!$A:$A,0)),"")</f>
        <v>186</v>
      </c>
      <c r="AT159" s="453">
        <f>IFERROR(INDEX('SuSa Dez25'!$N:$N,MATCH($A159,'SuSa Dez25'!$A:$A,0)),"")</f>
        <v>186</v>
      </c>
    </row>
    <row r="160" spans="1:46" hidden="1" outlineLevel="1" collapsed="1" x14ac:dyDescent="0.25">
      <c r="A160" s="452">
        <v>4517</v>
      </c>
      <c r="B160" t="s">
        <v>1663</v>
      </c>
      <c r="C160" t="s">
        <v>1664</v>
      </c>
      <c r="D160" t="s">
        <v>699</v>
      </c>
      <c r="G160" s="453">
        <f t="shared" si="6"/>
        <v>563</v>
      </c>
      <c r="H160" s="453">
        <f t="shared" si="7"/>
        <v>0</v>
      </c>
      <c r="I160" s="453">
        <f t="shared" si="8"/>
        <v>0</v>
      </c>
      <c r="K160" s="453">
        <v>0</v>
      </c>
      <c r="L160" s="453">
        <v>309</v>
      </c>
      <c r="M160" s="453">
        <v>309</v>
      </c>
      <c r="N160" s="453">
        <v>563</v>
      </c>
      <c r="O160" s="453">
        <v>563</v>
      </c>
      <c r="P160" s="453">
        <v>563</v>
      </c>
      <c r="Q160" s="453">
        <v>563</v>
      </c>
      <c r="R160" s="453">
        <v>563</v>
      </c>
      <c r="S160" s="453">
        <v>563</v>
      </c>
      <c r="T160" s="453">
        <v>563</v>
      </c>
      <c r="U160" s="453">
        <v>563</v>
      </c>
      <c r="V160" s="453">
        <v>563</v>
      </c>
    </row>
    <row r="161" spans="1:46" hidden="1" outlineLevel="1" collapsed="1" x14ac:dyDescent="0.25">
      <c r="A161" s="452">
        <v>4517</v>
      </c>
      <c r="B161" t="s">
        <v>1189</v>
      </c>
      <c r="C161" t="s">
        <v>1190</v>
      </c>
      <c r="D161" t="s">
        <v>699</v>
      </c>
      <c r="G161" s="453">
        <f t="shared" si="6"/>
        <v>0</v>
      </c>
      <c r="H161" s="453">
        <f t="shared" si="7"/>
        <v>801</v>
      </c>
      <c r="I161" s="453">
        <f t="shared" si="8"/>
        <v>557</v>
      </c>
      <c r="W161" s="453">
        <v>254</v>
      </c>
      <c r="X161" s="453">
        <v>563</v>
      </c>
      <c r="Y161" s="453">
        <v>563</v>
      </c>
      <c r="Z161" s="453">
        <v>563</v>
      </c>
      <c r="AA161" s="453">
        <v>563</v>
      </c>
      <c r="AB161" s="453">
        <v>563</v>
      </c>
      <c r="AC161" s="453">
        <v>801</v>
      </c>
      <c r="AD161" s="453">
        <v>801</v>
      </c>
      <c r="AE161" s="453">
        <v>801</v>
      </c>
      <c r="AF161" s="453">
        <v>801</v>
      </c>
      <c r="AG161" s="453">
        <v>801</v>
      </c>
      <c r="AH161" s="453">
        <v>801</v>
      </c>
      <c r="AI161" s="453">
        <v>0</v>
      </c>
      <c r="AJ161" s="453">
        <v>0</v>
      </c>
      <c r="AK161" s="453">
        <v>0</v>
      </c>
      <c r="AL161" s="453">
        <v>0</v>
      </c>
      <c r="AM161" s="453">
        <v>314</v>
      </c>
      <c r="AN161" s="453">
        <v>557</v>
      </c>
      <c r="AO161" s="453">
        <v>557</v>
      </c>
      <c r="AP161" s="453">
        <v>557</v>
      </c>
      <c r="AQ161" s="453">
        <v>557</v>
      </c>
      <c r="AR161" s="453">
        <f>IFERROR(INDEX('SuSa Okt25'!$N:$N,MATCH($A161,'SuSa Okt25'!A:A,0)),"")</f>
        <v>557</v>
      </c>
      <c r="AS161" s="453">
        <f>IFERROR(INDEX('SuSa Nov25'!$N:$N,MATCH($A161,'SuSa Nov25'!$A:$A,0)),"")</f>
        <v>557</v>
      </c>
      <c r="AT161" s="453">
        <f>IFERROR(INDEX('SuSa Dez25'!$N:$N,MATCH($A161,'SuSa Dez25'!$A:$A,0)),"")</f>
        <v>557</v>
      </c>
    </row>
    <row r="162" spans="1:46" hidden="1" outlineLevel="1" collapsed="1" x14ac:dyDescent="0.25">
      <c r="A162" s="452">
        <v>4518</v>
      </c>
      <c r="B162" t="s">
        <v>1191</v>
      </c>
      <c r="C162" t="s">
        <v>1192</v>
      </c>
      <c r="D162" t="s">
        <v>699</v>
      </c>
      <c r="G162" s="453">
        <f t="shared" si="6"/>
        <v>231</v>
      </c>
      <c r="H162" s="453">
        <f t="shared" si="7"/>
        <v>231</v>
      </c>
      <c r="I162" s="453">
        <f t="shared" si="8"/>
        <v>231</v>
      </c>
      <c r="P162" s="453">
        <v>231</v>
      </c>
      <c r="Q162" s="453">
        <v>231</v>
      </c>
      <c r="R162" s="453">
        <v>231</v>
      </c>
      <c r="S162" s="453">
        <v>231</v>
      </c>
      <c r="T162" s="453">
        <v>231</v>
      </c>
      <c r="U162" s="453">
        <v>231</v>
      </c>
      <c r="V162" s="453">
        <v>231</v>
      </c>
      <c r="W162" s="453">
        <v>0</v>
      </c>
      <c r="X162" s="453">
        <v>0</v>
      </c>
      <c r="Y162" s="453">
        <v>0</v>
      </c>
      <c r="Z162" s="453">
        <v>231</v>
      </c>
      <c r="AA162" s="453">
        <v>231</v>
      </c>
      <c r="AB162" s="453">
        <v>231</v>
      </c>
      <c r="AC162" s="453">
        <v>231</v>
      </c>
      <c r="AD162" s="453">
        <v>231</v>
      </c>
      <c r="AE162" s="453">
        <v>231</v>
      </c>
      <c r="AF162" s="453">
        <v>231</v>
      </c>
      <c r="AG162" s="453">
        <v>231</v>
      </c>
      <c r="AH162" s="453">
        <v>231</v>
      </c>
      <c r="AI162" s="453">
        <v>0</v>
      </c>
      <c r="AJ162" s="453">
        <v>0</v>
      </c>
      <c r="AK162" s="453">
        <v>0</v>
      </c>
      <c r="AL162" s="453">
        <v>231</v>
      </c>
      <c r="AM162" s="453">
        <v>231</v>
      </c>
      <c r="AN162" s="453">
        <v>231</v>
      </c>
      <c r="AO162" s="453">
        <v>231</v>
      </c>
      <c r="AP162" s="453">
        <v>231</v>
      </c>
      <c r="AQ162" s="453">
        <v>231</v>
      </c>
      <c r="AR162" s="453">
        <f>IFERROR(INDEX('SuSa Okt25'!$N:$N,MATCH($A162,'SuSa Okt25'!A:A,0)),"")</f>
        <v>231</v>
      </c>
      <c r="AS162" s="453">
        <f>IFERROR(INDEX('SuSa Nov25'!$N:$N,MATCH($A162,'SuSa Nov25'!$A:$A,0)),"")</f>
        <v>231</v>
      </c>
      <c r="AT162" s="453">
        <f>IFERROR(INDEX('SuSa Dez25'!$N:$N,MATCH($A162,'SuSa Dez25'!$A:$A,0)),"")</f>
        <v>231</v>
      </c>
    </row>
    <row r="163" spans="1:46" hidden="1" outlineLevel="1" collapsed="1" x14ac:dyDescent="0.25">
      <c r="A163" s="452">
        <v>4519</v>
      </c>
      <c r="B163" t="s">
        <v>1665</v>
      </c>
      <c r="C163" t="s">
        <v>1996</v>
      </c>
      <c r="D163" t="s">
        <v>699</v>
      </c>
      <c r="G163" s="453">
        <f t="shared" si="6"/>
        <v>0</v>
      </c>
      <c r="H163" s="453">
        <f t="shared" si="7"/>
        <v>0</v>
      </c>
      <c r="I163" s="453" t="str">
        <f t="shared" si="8"/>
        <v/>
      </c>
      <c r="K163" s="453">
        <v>254</v>
      </c>
      <c r="L163" s="453">
        <v>254</v>
      </c>
      <c r="M163" s="453">
        <v>254</v>
      </c>
      <c r="N163" s="453">
        <v>0</v>
      </c>
      <c r="O163" s="453">
        <v>0</v>
      </c>
      <c r="P163" s="453">
        <v>0</v>
      </c>
      <c r="Q163" s="453">
        <v>0</v>
      </c>
      <c r="R163" s="453">
        <v>0</v>
      </c>
      <c r="S163" s="453">
        <v>0</v>
      </c>
      <c r="T163" s="453">
        <v>0</v>
      </c>
      <c r="U163" s="453">
        <v>0</v>
      </c>
      <c r="V163" s="453">
        <v>0</v>
      </c>
      <c r="W163" s="453">
        <v>0</v>
      </c>
      <c r="X163" s="453">
        <v>0</v>
      </c>
      <c r="Y163" s="453">
        <v>0</v>
      </c>
      <c r="Z163" s="453">
        <v>0</v>
      </c>
      <c r="AA163" s="453">
        <v>0</v>
      </c>
      <c r="AB163" s="453">
        <v>0</v>
      </c>
      <c r="AC163" s="453">
        <v>0</v>
      </c>
      <c r="AD163" s="453">
        <v>0</v>
      </c>
      <c r="AE163" s="453">
        <v>0</v>
      </c>
      <c r="AF163" s="453">
        <v>0</v>
      </c>
      <c r="AG163" s="453">
        <v>0</v>
      </c>
      <c r="AH163" s="453">
        <v>0</v>
      </c>
      <c r="AR163" s="453" t="str">
        <f>IFERROR(INDEX('SuSa Okt25'!$N:$N,MATCH($A163,'SuSa Okt25'!A:A,0)),"")</f>
        <v/>
      </c>
      <c r="AS163" s="453" t="str">
        <f>IFERROR(INDEX('SuSa Nov25'!$N:$N,MATCH($A163,'SuSa Nov25'!$A:$A,0)),"")</f>
        <v/>
      </c>
      <c r="AT163" s="453" t="str">
        <f>IFERROR(INDEX('SuSa Dez25'!$N:$N,MATCH($A163,'SuSa Dez25'!$A:$A,0)),"")</f>
        <v/>
      </c>
    </row>
    <row r="164" spans="1:46" hidden="1" outlineLevel="1" collapsed="1" x14ac:dyDescent="0.25">
      <c r="A164" s="452">
        <v>4520</v>
      </c>
      <c r="B164" t="s">
        <v>1389</v>
      </c>
      <c r="C164" t="s">
        <v>1390</v>
      </c>
      <c r="D164" t="s">
        <v>1391</v>
      </c>
      <c r="G164" s="453">
        <f t="shared" si="6"/>
        <v>1163.22</v>
      </c>
      <c r="H164" s="453">
        <f t="shared" si="7"/>
        <v>0</v>
      </c>
      <c r="I164" s="453">
        <f t="shared" si="8"/>
        <v>0</v>
      </c>
      <c r="K164" s="453">
        <v>82.27</v>
      </c>
      <c r="L164" s="453">
        <v>164.54</v>
      </c>
      <c r="M164" s="453">
        <v>264.41000000000003</v>
      </c>
      <c r="N164" s="453">
        <v>364.28</v>
      </c>
      <c r="O164" s="453">
        <v>464.15</v>
      </c>
      <c r="P164" s="453">
        <v>564.02</v>
      </c>
      <c r="Q164" s="453">
        <v>663.89</v>
      </c>
      <c r="R164" s="453">
        <v>763.76</v>
      </c>
      <c r="S164" s="453">
        <v>863.63</v>
      </c>
      <c r="T164" s="453">
        <v>963.5</v>
      </c>
      <c r="U164" s="453">
        <v>1063.3699999999999</v>
      </c>
      <c r="V164" s="453">
        <v>1163.22</v>
      </c>
    </row>
    <row r="165" spans="1:46" hidden="1" outlineLevel="1" collapsed="1" x14ac:dyDescent="0.25">
      <c r="A165" s="452">
        <v>4520</v>
      </c>
      <c r="B165" t="s">
        <v>1392</v>
      </c>
      <c r="C165" t="s">
        <v>1997</v>
      </c>
      <c r="D165" t="s">
        <v>1391</v>
      </c>
      <c r="G165" s="453">
        <f t="shared" si="6"/>
        <v>0</v>
      </c>
      <c r="H165" s="453">
        <f t="shared" si="7"/>
        <v>1236.47</v>
      </c>
      <c r="I165" s="453">
        <f t="shared" si="8"/>
        <v>1438.69</v>
      </c>
      <c r="W165" s="453">
        <v>99.87</v>
      </c>
      <c r="X165" s="453">
        <v>365.35</v>
      </c>
      <c r="Y165" s="453">
        <v>517.89</v>
      </c>
      <c r="Z165" s="453">
        <v>707.61</v>
      </c>
      <c r="AA165" s="453">
        <v>897.33</v>
      </c>
      <c r="AB165" s="453">
        <v>700.48</v>
      </c>
      <c r="AC165" s="453">
        <v>789.81</v>
      </c>
      <c r="AD165" s="453">
        <v>879.14</v>
      </c>
      <c r="AE165" s="453">
        <v>968.47</v>
      </c>
      <c r="AF165" s="453">
        <v>1057.8</v>
      </c>
      <c r="AG165" s="453">
        <v>1147.1300000000001</v>
      </c>
      <c r="AH165" s="453">
        <v>1236.47</v>
      </c>
      <c r="AI165" s="453">
        <v>119.89</v>
      </c>
      <c r="AJ165" s="453">
        <v>239.78</v>
      </c>
      <c r="AK165" s="453">
        <v>359.67</v>
      </c>
      <c r="AL165" s="453">
        <v>479.56</v>
      </c>
      <c r="AM165" s="453">
        <v>599.45000000000005</v>
      </c>
      <c r="AN165" s="453">
        <v>719.34</v>
      </c>
      <c r="AO165" s="453">
        <v>839.23</v>
      </c>
      <c r="AP165" s="453">
        <v>959.12</v>
      </c>
      <c r="AQ165" s="453">
        <v>1079.01</v>
      </c>
      <c r="AR165" s="453">
        <f>IFERROR(INDEX('SuSa Okt25'!$N:$N,MATCH($A165,'SuSa Okt25'!A:A,0)),"")</f>
        <v>1198.9000000000001</v>
      </c>
      <c r="AS165" s="453">
        <f>IFERROR(INDEX('SuSa Nov25'!$N:$N,MATCH($A165,'SuSa Nov25'!$A:$A,0)),"")</f>
        <v>1318.79</v>
      </c>
      <c r="AT165" s="453">
        <f>IFERROR(INDEX('SuSa Dez25'!$N:$N,MATCH($A165,'SuSa Dez25'!$A:$A,0)),"")</f>
        <v>1438.69</v>
      </c>
    </row>
    <row r="166" spans="1:46" hidden="1" outlineLevel="1" collapsed="1" x14ac:dyDescent="0.25">
      <c r="A166" s="452">
        <v>4521</v>
      </c>
      <c r="B166" t="s">
        <v>1394</v>
      </c>
      <c r="C166" t="s">
        <v>1395</v>
      </c>
      <c r="D166" t="s">
        <v>1391</v>
      </c>
      <c r="G166" s="453">
        <f t="shared" si="6"/>
        <v>0</v>
      </c>
      <c r="H166" s="453">
        <f t="shared" si="7"/>
        <v>0</v>
      </c>
      <c r="I166" s="453" t="str">
        <f t="shared" si="8"/>
        <v/>
      </c>
      <c r="K166" s="453">
        <v>0</v>
      </c>
      <c r="L166" s="453">
        <v>0</v>
      </c>
      <c r="M166" s="453">
        <v>0</v>
      </c>
      <c r="N166" s="453">
        <v>0</v>
      </c>
      <c r="O166" s="453">
        <v>0</v>
      </c>
      <c r="P166" s="453">
        <v>0</v>
      </c>
      <c r="Q166" s="453">
        <v>0</v>
      </c>
      <c r="R166" s="453">
        <v>0</v>
      </c>
      <c r="S166" s="453">
        <v>0</v>
      </c>
      <c r="T166" s="453">
        <v>0</v>
      </c>
      <c r="U166" s="453">
        <v>0</v>
      </c>
      <c r="V166" s="453">
        <v>0</v>
      </c>
      <c r="AR166" s="453" t="str">
        <f>IFERROR(INDEX('SuSa Okt25'!$N:$N,MATCH($A166,'SuSa Okt25'!A:A,0)),"")</f>
        <v/>
      </c>
      <c r="AS166" s="453" t="str">
        <f>IFERROR(INDEX('SuSa Nov25'!$N:$N,MATCH($A166,'SuSa Nov25'!$A:$A,0)),"")</f>
        <v/>
      </c>
      <c r="AT166" s="453" t="str">
        <f>IFERROR(INDEX('SuSa Dez25'!$N:$N,MATCH($A166,'SuSa Dez25'!$A:$A,0)),"")</f>
        <v/>
      </c>
    </row>
    <row r="167" spans="1:46" hidden="1" outlineLevel="1" collapsed="1" x14ac:dyDescent="0.25">
      <c r="A167" s="452">
        <v>4522</v>
      </c>
      <c r="B167" t="s">
        <v>1396</v>
      </c>
      <c r="C167" t="s">
        <v>1397</v>
      </c>
      <c r="D167" t="s">
        <v>1391</v>
      </c>
      <c r="G167" s="453">
        <f t="shared" si="6"/>
        <v>2612.5100000000002</v>
      </c>
      <c r="H167" s="453">
        <f t="shared" si="7"/>
        <v>0</v>
      </c>
      <c r="I167" s="453">
        <f t="shared" si="8"/>
        <v>0</v>
      </c>
      <c r="K167" s="453">
        <v>99.61</v>
      </c>
      <c r="L167" s="453">
        <v>199.22</v>
      </c>
      <c r="M167" s="453">
        <v>249.61</v>
      </c>
      <c r="N167" s="453">
        <v>924.84</v>
      </c>
      <c r="O167" s="453">
        <v>45.01</v>
      </c>
      <c r="P167" s="453">
        <v>1320.96</v>
      </c>
      <c r="Q167" s="453">
        <v>1520.4</v>
      </c>
      <c r="R167" s="453">
        <v>1719.84</v>
      </c>
      <c r="S167" s="453">
        <v>1888.86</v>
      </c>
      <c r="T167" s="453">
        <v>2088.3000000000002</v>
      </c>
      <c r="U167" s="453">
        <v>2287.7399999999998</v>
      </c>
      <c r="V167" s="453">
        <v>2612.5100000000002</v>
      </c>
    </row>
    <row r="168" spans="1:46" hidden="1" outlineLevel="1" collapsed="1" x14ac:dyDescent="0.25">
      <c r="A168" s="452">
        <v>4522</v>
      </c>
      <c r="B168" t="s">
        <v>1398</v>
      </c>
      <c r="C168" t="s">
        <v>1998</v>
      </c>
      <c r="D168" t="s">
        <v>1391</v>
      </c>
      <c r="G168" s="453">
        <f t="shared" si="6"/>
        <v>0</v>
      </c>
      <c r="H168" s="453">
        <f t="shared" si="7"/>
        <v>3534.81</v>
      </c>
      <c r="I168" s="453">
        <f t="shared" si="8"/>
        <v>2877.38</v>
      </c>
      <c r="W168" s="453">
        <v>297.98</v>
      </c>
      <c r="X168" s="453">
        <v>746.54</v>
      </c>
      <c r="Y168" s="453">
        <v>1195.0999999999999</v>
      </c>
      <c r="Z168" s="453">
        <v>1643.66</v>
      </c>
      <c r="AA168" s="453">
        <v>2092.2199999999998</v>
      </c>
      <c r="AB168" s="453">
        <v>2219.52</v>
      </c>
      <c r="AC168" s="453">
        <v>2420.91</v>
      </c>
      <c r="AD168" s="453">
        <v>2622.3</v>
      </c>
      <c r="AE168" s="453">
        <v>2823.69</v>
      </c>
      <c r="AF168" s="453">
        <v>3137.69</v>
      </c>
      <c r="AG168" s="453">
        <v>3336.26</v>
      </c>
      <c r="AH168" s="453">
        <v>3534.81</v>
      </c>
      <c r="AI168" s="453">
        <v>239.78</v>
      </c>
      <c r="AJ168" s="453">
        <v>479.56</v>
      </c>
      <c r="AK168" s="453">
        <v>719.34</v>
      </c>
      <c r="AL168" s="453">
        <v>959.12</v>
      </c>
      <c r="AM168" s="453">
        <v>1198.9000000000001</v>
      </c>
      <c r="AN168" s="453">
        <v>1438.68</v>
      </c>
      <c r="AO168" s="453">
        <v>1678.46</v>
      </c>
      <c r="AP168" s="453">
        <v>1918.24</v>
      </c>
      <c r="AQ168" s="453">
        <v>2158.02</v>
      </c>
      <c r="AR168" s="453">
        <f>IFERROR(INDEX('SuSa Okt25'!$N:$N,MATCH($A168,'SuSa Okt25'!A:A,0)),"")</f>
        <v>2397.8000000000002</v>
      </c>
      <c r="AS168" s="453">
        <f>IFERROR(INDEX('SuSa Nov25'!$N:$N,MATCH($A168,'SuSa Nov25'!$A:$A,0)),"")</f>
        <v>2637.58</v>
      </c>
      <c r="AT168" s="453">
        <f>IFERROR(INDEX('SuSa Dez25'!$N:$N,MATCH($A168,'SuSa Dez25'!$A:$A,0)),"")</f>
        <v>2877.38</v>
      </c>
    </row>
    <row r="169" spans="1:46" hidden="1" outlineLevel="1" collapsed="1" x14ac:dyDescent="0.25">
      <c r="A169" s="452">
        <v>4523</v>
      </c>
      <c r="B169" t="s">
        <v>1400</v>
      </c>
      <c r="C169" t="s">
        <v>1999</v>
      </c>
      <c r="D169" t="s">
        <v>1391</v>
      </c>
      <c r="G169" s="453">
        <f t="shared" si="6"/>
        <v>1276.8699999999999</v>
      </c>
      <c r="H169" s="453">
        <f t="shared" si="7"/>
        <v>0</v>
      </c>
      <c r="I169" s="453">
        <f t="shared" si="8"/>
        <v>0</v>
      </c>
      <c r="K169" s="453">
        <v>127.43</v>
      </c>
      <c r="L169" s="453">
        <v>254.86</v>
      </c>
      <c r="M169" s="453">
        <v>382.29</v>
      </c>
      <c r="N169" s="453">
        <v>509.72</v>
      </c>
      <c r="O169" s="453">
        <v>637.15</v>
      </c>
      <c r="P169" s="453">
        <v>764.58</v>
      </c>
      <c r="Q169" s="453">
        <v>892.01</v>
      </c>
      <c r="R169" s="453">
        <v>1019.44</v>
      </c>
      <c r="S169" s="453">
        <v>1140.05</v>
      </c>
      <c r="T169" s="453">
        <v>1267.48</v>
      </c>
      <c r="U169" s="453">
        <v>1394.91</v>
      </c>
      <c r="V169" s="453">
        <v>1276.8699999999999</v>
      </c>
    </row>
    <row r="170" spans="1:46" hidden="1" outlineLevel="1" collapsed="1" x14ac:dyDescent="0.25">
      <c r="A170" s="452">
        <v>4523</v>
      </c>
      <c r="B170" t="s">
        <v>1402</v>
      </c>
      <c r="C170" t="s">
        <v>1403</v>
      </c>
      <c r="D170" t="s">
        <v>1391</v>
      </c>
      <c r="G170" s="453">
        <f t="shared" si="6"/>
        <v>0</v>
      </c>
      <c r="H170" s="453">
        <f t="shared" si="7"/>
        <v>2157.6999999999998</v>
      </c>
      <c r="I170" s="453">
        <f t="shared" si="8"/>
        <v>2877.38</v>
      </c>
      <c r="W170" s="453">
        <v>143.27000000000001</v>
      </c>
      <c r="X170" s="453">
        <v>286.54000000000002</v>
      </c>
      <c r="Y170" s="453">
        <v>429.81</v>
      </c>
      <c r="Z170" s="453">
        <v>573.08000000000004</v>
      </c>
      <c r="AA170" s="453">
        <v>716.35</v>
      </c>
      <c r="AB170" s="453">
        <v>922.26</v>
      </c>
      <c r="AC170" s="453">
        <v>1128.17</v>
      </c>
      <c r="AD170" s="453">
        <v>1334.08</v>
      </c>
      <c r="AE170" s="453">
        <v>1539.99</v>
      </c>
      <c r="AF170" s="453">
        <v>1745.9</v>
      </c>
      <c r="AG170" s="453">
        <v>1951.81</v>
      </c>
      <c r="AH170" s="453">
        <v>2157.6999999999998</v>
      </c>
      <c r="AI170" s="453">
        <v>239.78</v>
      </c>
      <c r="AJ170" s="453">
        <v>479.56</v>
      </c>
      <c r="AK170" s="453">
        <v>719.34</v>
      </c>
      <c r="AL170" s="453">
        <v>959.12</v>
      </c>
      <c r="AM170" s="453">
        <v>1198.9000000000001</v>
      </c>
      <c r="AN170" s="453">
        <v>1438.68</v>
      </c>
      <c r="AO170" s="453">
        <v>1678.46</v>
      </c>
      <c r="AP170" s="453">
        <v>1918.24</v>
      </c>
      <c r="AQ170" s="453">
        <v>2158.02</v>
      </c>
      <c r="AR170" s="453">
        <f>IFERROR(INDEX('SuSa Okt25'!$N:$N,MATCH($A170,'SuSa Okt25'!A:A,0)),"")</f>
        <v>2397.8000000000002</v>
      </c>
      <c r="AS170" s="453">
        <f>IFERROR(INDEX('SuSa Nov25'!$N:$N,MATCH($A170,'SuSa Nov25'!$A:$A,0)),"")</f>
        <v>2637.58</v>
      </c>
      <c r="AT170" s="453">
        <f>IFERROR(INDEX('SuSa Dez25'!$N:$N,MATCH($A170,'SuSa Dez25'!$A:$A,0)),"")</f>
        <v>2877.38</v>
      </c>
    </row>
    <row r="171" spans="1:46" hidden="1" outlineLevel="1" collapsed="1" x14ac:dyDescent="0.25">
      <c r="A171" s="452">
        <v>4524</v>
      </c>
      <c r="B171" t="s">
        <v>1404</v>
      </c>
      <c r="C171" t="s">
        <v>1405</v>
      </c>
      <c r="D171" t="s">
        <v>1391</v>
      </c>
      <c r="G171" s="453">
        <f t="shared" si="6"/>
        <v>2819.28</v>
      </c>
      <c r="H171" s="453">
        <f t="shared" si="7"/>
        <v>2666.76</v>
      </c>
      <c r="I171" s="453">
        <f t="shared" si="8"/>
        <v>2862.7</v>
      </c>
      <c r="K171" s="453">
        <v>355.77</v>
      </c>
      <c r="L171" s="453">
        <v>711.54</v>
      </c>
      <c r="M171" s="453">
        <v>925.48</v>
      </c>
      <c r="N171" s="453">
        <v>1139.42</v>
      </c>
      <c r="O171" s="453">
        <v>1353.36</v>
      </c>
      <c r="P171" s="453">
        <v>1567.3</v>
      </c>
      <c r="Q171" s="453">
        <v>1781.24</v>
      </c>
      <c r="R171" s="453">
        <v>1995.18</v>
      </c>
      <c r="S171" s="453">
        <v>2178.92</v>
      </c>
      <c r="T171" s="453">
        <v>2392.86</v>
      </c>
      <c r="U171" s="453">
        <v>2606.8000000000002</v>
      </c>
      <c r="V171" s="453">
        <v>2819.28</v>
      </c>
      <c r="W171" s="453">
        <v>295.95999999999998</v>
      </c>
      <c r="X171" s="453">
        <v>591.91999999999996</v>
      </c>
      <c r="Y171" s="453">
        <v>887.88</v>
      </c>
      <c r="Z171" s="453">
        <v>1183.8399999999999</v>
      </c>
      <c r="AA171" s="453">
        <v>1479.8</v>
      </c>
      <c r="AB171" s="453">
        <v>1649.36</v>
      </c>
      <c r="AC171" s="453">
        <v>1818.92</v>
      </c>
      <c r="AD171" s="453">
        <v>1988.48</v>
      </c>
      <c r="AE171" s="453">
        <v>2158.04</v>
      </c>
      <c r="AF171" s="453">
        <v>2327.6</v>
      </c>
      <c r="AG171" s="453">
        <v>2497.16</v>
      </c>
      <c r="AH171" s="453">
        <v>2666.76</v>
      </c>
      <c r="AI171" s="453">
        <v>239.78</v>
      </c>
      <c r="AJ171" s="453">
        <v>479.56</v>
      </c>
      <c r="AK171" s="453">
        <v>719.34</v>
      </c>
      <c r="AL171" s="453">
        <v>959.12</v>
      </c>
      <c r="AM171" s="453">
        <v>1198.9000000000001</v>
      </c>
      <c r="AN171" s="453">
        <v>1438.68</v>
      </c>
      <c r="AO171" s="453">
        <v>1678.46</v>
      </c>
      <c r="AP171" s="453">
        <v>1918.24</v>
      </c>
      <c r="AQ171" s="453">
        <v>2158.02</v>
      </c>
      <c r="AR171" s="453">
        <f>IFERROR(INDEX('SuSa Okt25'!$N:$N,MATCH($A171,'SuSa Okt25'!A:A,0)),"")</f>
        <v>2397.8000000000002</v>
      </c>
      <c r="AS171" s="453">
        <f>IFERROR(INDEX('SuSa Nov25'!$N:$N,MATCH($A171,'SuSa Nov25'!$A:$A,0)),"")</f>
        <v>2862.7</v>
      </c>
      <c r="AT171" s="453">
        <f>IFERROR(INDEX('SuSa Dez25'!$N:$N,MATCH($A171,'SuSa Dez25'!$A:$A,0)),"")</f>
        <v>2862.7</v>
      </c>
    </row>
    <row r="172" spans="1:46" hidden="1" outlineLevel="1" collapsed="1" x14ac:dyDescent="0.25">
      <c r="A172" s="452">
        <v>4525</v>
      </c>
      <c r="B172" t="s">
        <v>1406</v>
      </c>
      <c r="C172" t="s">
        <v>2000</v>
      </c>
      <c r="D172" t="s">
        <v>1391</v>
      </c>
      <c r="G172" s="453">
        <f t="shared" si="6"/>
        <v>920.98</v>
      </c>
      <c r="H172" s="453">
        <f t="shared" si="7"/>
        <v>0</v>
      </c>
      <c r="I172" s="453">
        <f t="shared" si="8"/>
        <v>0</v>
      </c>
      <c r="K172" s="453">
        <v>158.22999999999999</v>
      </c>
      <c r="L172" s="453">
        <v>316.45999999999998</v>
      </c>
      <c r="M172" s="453">
        <v>394.12</v>
      </c>
      <c r="N172" s="453">
        <v>471.78</v>
      </c>
      <c r="O172" s="453">
        <v>549.44000000000005</v>
      </c>
      <c r="P172" s="453">
        <v>627.1</v>
      </c>
      <c r="Q172" s="453">
        <v>704.76</v>
      </c>
      <c r="R172" s="453">
        <v>782.42</v>
      </c>
      <c r="S172" s="453">
        <v>849.13</v>
      </c>
      <c r="T172" s="453">
        <v>926.79</v>
      </c>
      <c r="U172" s="453">
        <v>1004.45</v>
      </c>
      <c r="V172" s="453">
        <v>920.98</v>
      </c>
    </row>
    <row r="173" spans="1:46" hidden="1" outlineLevel="1" collapsed="1" x14ac:dyDescent="0.25">
      <c r="A173" s="452">
        <v>4525</v>
      </c>
      <c r="B173" t="s">
        <v>1408</v>
      </c>
      <c r="C173" t="s">
        <v>1409</v>
      </c>
      <c r="D173" t="s">
        <v>1391</v>
      </c>
      <c r="G173" s="453">
        <f t="shared" si="6"/>
        <v>0</v>
      </c>
      <c r="H173" s="453">
        <f t="shared" si="7"/>
        <v>1575.71</v>
      </c>
      <c r="I173" s="453">
        <f t="shared" si="8"/>
        <v>2877.38</v>
      </c>
      <c r="W173" s="453">
        <v>107.37</v>
      </c>
      <c r="X173" s="453">
        <v>214.74</v>
      </c>
      <c r="Y173" s="453">
        <v>322.11</v>
      </c>
      <c r="Z173" s="453">
        <v>429.48</v>
      </c>
      <c r="AA173" s="453">
        <v>536.85</v>
      </c>
      <c r="AB173" s="453">
        <v>456.22</v>
      </c>
      <c r="AC173" s="453">
        <v>642.79999999999995</v>
      </c>
      <c r="AD173" s="453">
        <v>829.38</v>
      </c>
      <c r="AE173" s="453">
        <v>1015.96</v>
      </c>
      <c r="AF173" s="453">
        <v>1202.54</v>
      </c>
      <c r="AG173" s="453">
        <v>1389.12</v>
      </c>
      <c r="AH173" s="453">
        <v>1575.71</v>
      </c>
      <c r="AI173" s="453">
        <v>239.78</v>
      </c>
      <c r="AJ173" s="453">
        <v>479.56</v>
      </c>
      <c r="AK173" s="453">
        <v>719.34</v>
      </c>
      <c r="AL173" s="453">
        <v>959.12</v>
      </c>
      <c r="AM173" s="453">
        <v>1198.9000000000001</v>
      </c>
      <c r="AN173" s="453">
        <v>1438.68</v>
      </c>
      <c r="AO173" s="453">
        <v>1678.46</v>
      </c>
      <c r="AP173" s="453">
        <v>1918.24</v>
      </c>
      <c r="AQ173" s="453">
        <v>2158.02</v>
      </c>
      <c r="AR173" s="453">
        <f>IFERROR(INDEX('SuSa Okt25'!$N:$N,MATCH($A173,'SuSa Okt25'!A:A,0)),"")</f>
        <v>2397.8000000000002</v>
      </c>
      <c r="AS173" s="453">
        <f>IFERROR(INDEX('SuSa Nov25'!$N:$N,MATCH($A173,'SuSa Nov25'!$A:$A,0)),"")</f>
        <v>2637.58</v>
      </c>
      <c r="AT173" s="453">
        <f>IFERROR(INDEX('SuSa Dez25'!$N:$N,MATCH($A173,'SuSa Dez25'!$A:$A,0)),"")</f>
        <v>2877.38</v>
      </c>
    </row>
    <row r="174" spans="1:46" hidden="1" outlineLevel="1" collapsed="1" x14ac:dyDescent="0.25">
      <c r="A174" s="452">
        <v>4526</v>
      </c>
      <c r="B174" t="s">
        <v>1410</v>
      </c>
      <c r="C174" t="s">
        <v>1411</v>
      </c>
      <c r="D174" t="s">
        <v>1391</v>
      </c>
      <c r="G174" s="453">
        <f t="shared" si="6"/>
        <v>3996.94</v>
      </c>
      <c r="H174" s="453">
        <f t="shared" si="7"/>
        <v>0</v>
      </c>
      <c r="I174" s="453">
        <f t="shared" si="8"/>
        <v>0</v>
      </c>
      <c r="K174" s="453">
        <v>348.84</v>
      </c>
      <c r="L174" s="453">
        <v>697.68</v>
      </c>
      <c r="M174" s="453">
        <v>1034.6500000000001</v>
      </c>
      <c r="N174" s="453">
        <v>1355.62</v>
      </c>
      <c r="O174" s="453">
        <v>1676.59</v>
      </c>
      <c r="P174" s="453">
        <v>2013.61</v>
      </c>
      <c r="Q174" s="453">
        <v>2350.63</v>
      </c>
      <c r="R174" s="453">
        <v>2687.65</v>
      </c>
      <c r="S174" s="453">
        <v>3009.57</v>
      </c>
      <c r="T174" s="453">
        <v>3346.59</v>
      </c>
      <c r="U174" s="453">
        <v>3683.61</v>
      </c>
      <c r="V174" s="453">
        <v>3996.94</v>
      </c>
    </row>
    <row r="175" spans="1:46" hidden="1" outlineLevel="1" collapsed="1" x14ac:dyDescent="0.25">
      <c r="A175" s="452">
        <v>4526</v>
      </c>
      <c r="B175" t="s">
        <v>1412</v>
      </c>
      <c r="C175" t="s">
        <v>1413</v>
      </c>
      <c r="D175" t="s">
        <v>1391</v>
      </c>
      <c r="G175" s="453">
        <f t="shared" si="6"/>
        <v>0</v>
      </c>
      <c r="H175" s="453">
        <f t="shared" si="7"/>
        <v>4041.56</v>
      </c>
      <c r="I175" s="453">
        <f t="shared" si="8"/>
        <v>0</v>
      </c>
      <c r="W175" s="453">
        <v>337.02</v>
      </c>
      <c r="X175" s="453">
        <v>739.77</v>
      </c>
      <c r="Y175" s="453">
        <v>1278.01</v>
      </c>
      <c r="Z175" s="453">
        <v>1615.03</v>
      </c>
      <c r="AA175" s="453">
        <v>1952.05</v>
      </c>
      <c r="AB175" s="453">
        <v>2373.41</v>
      </c>
      <c r="AC175" s="453">
        <v>2545.11</v>
      </c>
      <c r="AD175" s="453">
        <v>2756.69</v>
      </c>
      <c r="AE175" s="453">
        <v>2787.92</v>
      </c>
      <c r="AF175" s="453">
        <v>3368.42</v>
      </c>
      <c r="AG175" s="453">
        <v>3704.99</v>
      </c>
      <c r="AH175" s="453">
        <v>4041.56</v>
      </c>
    </row>
    <row r="176" spans="1:46" hidden="1" outlineLevel="1" collapsed="1" x14ac:dyDescent="0.25">
      <c r="A176" s="452">
        <v>4526</v>
      </c>
      <c r="B176" t="s">
        <v>1414</v>
      </c>
      <c r="C176" t="s">
        <v>2001</v>
      </c>
      <c r="D176" t="s">
        <v>1391</v>
      </c>
      <c r="G176" s="453">
        <f t="shared" si="6"/>
        <v>0</v>
      </c>
      <c r="H176" s="453">
        <f t="shared" si="7"/>
        <v>0</v>
      </c>
      <c r="I176" s="453">
        <f t="shared" si="8"/>
        <v>4379.8999999999996</v>
      </c>
      <c r="AI176" s="453">
        <v>350.32</v>
      </c>
      <c r="AJ176" s="453">
        <v>700.64</v>
      </c>
      <c r="AK176" s="453">
        <v>1050.96</v>
      </c>
      <c r="AL176" s="453">
        <v>1401.28</v>
      </c>
      <c r="AM176" s="453">
        <v>1751.6</v>
      </c>
      <c r="AN176" s="453">
        <v>2101.92</v>
      </c>
      <c r="AO176" s="453">
        <v>2452.2399999999998</v>
      </c>
      <c r="AP176" s="453">
        <v>2802.56</v>
      </c>
      <c r="AQ176" s="453">
        <v>3152.88</v>
      </c>
      <c r="AR176" s="453">
        <f>IFERROR(INDEX('SuSa Okt25'!$N:$N,MATCH($A176,'SuSa Okt25'!A:A,0)),"")</f>
        <v>3503.2</v>
      </c>
      <c r="AS176" s="453">
        <f>IFERROR(INDEX('SuSa Nov25'!$N:$N,MATCH($A176,'SuSa Nov25'!$A:$A,0)),"")</f>
        <v>4029.52</v>
      </c>
      <c r="AT176" s="453">
        <f>IFERROR(INDEX('SuSa Dez25'!$N:$N,MATCH($A176,'SuSa Dez25'!$A:$A,0)),"")</f>
        <v>4379.8999999999996</v>
      </c>
    </row>
    <row r="177" spans="1:46" hidden="1" outlineLevel="1" collapsed="1" x14ac:dyDescent="0.25">
      <c r="A177" s="452">
        <v>4527</v>
      </c>
      <c r="B177" t="s">
        <v>1415</v>
      </c>
      <c r="C177" t="s">
        <v>1416</v>
      </c>
      <c r="D177" t="s">
        <v>1391</v>
      </c>
      <c r="G177" s="453">
        <f t="shared" si="6"/>
        <v>2199.46</v>
      </c>
      <c r="H177" s="453">
        <f t="shared" si="7"/>
        <v>0</v>
      </c>
      <c r="I177" s="453">
        <f t="shared" si="8"/>
        <v>0</v>
      </c>
      <c r="K177" s="453">
        <v>137.33000000000001</v>
      </c>
      <c r="L177" s="453">
        <v>274.66000000000003</v>
      </c>
      <c r="M177" s="453">
        <v>381.63</v>
      </c>
      <c r="N177" s="453">
        <v>852.74</v>
      </c>
      <c r="O177" s="453">
        <v>1038.21</v>
      </c>
      <c r="P177" s="453">
        <v>1223.68</v>
      </c>
      <c r="Q177" s="453">
        <v>1409.15</v>
      </c>
      <c r="R177" s="453">
        <v>1594.62</v>
      </c>
      <c r="S177" s="453">
        <v>1753.91</v>
      </c>
      <c r="T177" s="453">
        <v>1939.38</v>
      </c>
      <c r="U177" s="453">
        <v>2124.85</v>
      </c>
      <c r="V177" s="453">
        <v>2199.46</v>
      </c>
    </row>
    <row r="178" spans="1:46" hidden="1" outlineLevel="1" collapsed="1" x14ac:dyDescent="0.25">
      <c r="A178" s="452">
        <v>4527</v>
      </c>
      <c r="B178" t="s">
        <v>1417</v>
      </c>
      <c r="C178" t="s">
        <v>2002</v>
      </c>
      <c r="D178" t="s">
        <v>1391</v>
      </c>
      <c r="G178" s="453">
        <f t="shared" si="6"/>
        <v>0</v>
      </c>
      <c r="H178" s="453">
        <f t="shared" si="7"/>
        <v>2424.81</v>
      </c>
      <c r="I178" s="453">
        <f t="shared" si="8"/>
        <v>2877.38</v>
      </c>
      <c r="W178" s="453">
        <v>256.51</v>
      </c>
      <c r="X178" s="453">
        <v>513.02</v>
      </c>
      <c r="Y178" s="453">
        <v>769.53</v>
      </c>
      <c r="Z178" s="453">
        <v>1026.04</v>
      </c>
      <c r="AA178" s="453">
        <v>1282.55</v>
      </c>
      <c r="AB178" s="453">
        <v>1429.57</v>
      </c>
      <c r="AC178" s="453">
        <v>1595.45</v>
      </c>
      <c r="AD178" s="453">
        <v>1761.33</v>
      </c>
      <c r="AE178" s="453">
        <v>1927.21</v>
      </c>
      <c r="AF178" s="453">
        <v>2093.09</v>
      </c>
      <c r="AG178" s="453">
        <v>2258.9699999999998</v>
      </c>
      <c r="AH178" s="453">
        <v>2424.81</v>
      </c>
      <c r="AI178" s="453">
        <v>239.78</v>
      </c>
      <c r="AJ178" s="453">
        <v>479.56</v>
      </c>
      <c r="AK178" s="453">
        <v>719.34</v>
      </c>
      <c r="AL178" s="453">
        <v>959.12</v>
      </c>
      <c r="AM178" s="453">
        <v>1198.9000000000001</v>
      </c>
      <c r="AN178" s="453">
        <v>1438.68</v>
      </c>
      <c r="AO178" s="453">
        <v>1678.46</v>
      </c>
      <c r="AP178" s="453">
        <v>1918.24</v>
      </c>
      <c r="AQ178" s="453">
        <v>2158.02</v>
      </c>
      <c r="AR178" s="453">
        <f>IFERROR(INDEX('SuSa Okt25'!$N:$N,MATCH($A178,'SuSa Okt25'!A:A,0)),"")</f>
        <v>2397.8000000000002</v>
      </c>
      <c r="AS178" s="453">
        <f>IFERROR(INDEX('SuSa Nov25'!$N:$N,MATCH($A178,'SuSa Nov25'!$A:$A,0)),"")</f>
        <v>2637.58</v>
      </c>
      <c r="AT178" s="453">
        <f>IFERROR(INDEX('SuSa Dez25'!$N:$N,MATCH($A178,'SuSa Dez25'!$A:$A,0)),"")</f>
        <v>2877.38</v>
      </c>
    </row>
    <row r="179" spans="1:46" hidden="1" outlineLevel="1" collapsed="1" x14ac:dyDescent="0.25">
      <c r="A179" s="452">
        <v>4528</v>
      </c>
      <c r="B179" t="s">
        <v>1419</v>
      </c>
      <c r="C179" t="s">
        <v>1420</v>
      </c>
      <c r="D179" t="s">
        <v>1391</v>
      </c>
      <c r="G179" s="453">
        <f t="shared" si="6"/>
        <v>1253.29</v>
      </c>
      <c r="H179" s="453">
        <f t="shared" si="7"/>
        <v>1968</v>
      </c>
      <c r="I179" s="453">
        <f t="shared" si="8"/>
        <v>2877.38</v>
      </c>
      <c r="K179" s="453">
        <v>185.79</v>
      </c>
      <c r="L179" s="453">
        <v>371.58</v>
      </c>
      <c r="M179" s="453">
        <v>478.55</v>
      </c>
      <c r="N179" s="453">
        <v>0</v>
      </c>
      <c r="O179" s="453">
        <v>0</v>
      </c>
      <c r="P179" s="453">
        <v>208.89</v>
      </c>
      <c r="Q179" s="453">
        <v>417.78</v>
      </c>
      <c r="R179" s="453">
        <v>626.66999999999996</v>
      </c>
      <c r="S179" s="453">
        <v>835.56</v>
      </c>
      <c r="T179" s="453">
        <v>1044.45</v>
      </c>
      <c r="U179" s="453">
        <v>1253.3399999999999</v>
      </c>
      <c r="V179" s="453">
        <v>1253.29</v>
      </c>
      <c r="W179" s="453">
        <v>216.92</v>
      </c>
      <c r="X179" s="453">
        <v>433.84</v>
      </c>
      <c r="Y179" s="453">
        <v>650.76</v>
      </c>
      <c r="Z179" s="453">
        <v>867.68</v>
      </c>
      <c r="AA179" s="453">
        <v>1084.5999999999999</v>
      </c>
      <c r="AB179" s="453">
        <v>1210.8</v>
      </c>
      <c r="AC179" s="453">
        <v>1337</v>
      </c>
      <c r="AD179" s="453">
        <v>1463.2</v>
      </c>
      <c r="AE179" s="453">
        <v>1589.4</v>
      </c>
      <c r="AF179" s="453">
        <v>1715.6</v>
      </c>
      <c r="AG179" s="453">
        <v>1841.8</v>
      </c>
      <c r="AH179" s="453">
        <v>1968</v>
      </c>
      <c r="AI179" s="453">
        <v>239.78</v>
      </c>
      <c r="AJ179" s="453">
        <v>479.56</v>
      </c>
      <c r="AK179" s="453">
        <v>719.34</v>
      </c>
      <c r="AL179" s="453">
        <v>959.12</v>
      </c>
      <c r="AM179" s="453">
        <v>1198.9000000000001</v>
      </c>
      <c r="AN179" s="453">
        <v>1438.68</v>
      </c>
      <c r="AO179" s="453">
        <v>1678.46</v>
      </c>
      <c r="AP179" s="453">
        <v>1918.24</v>
      </c>
      <c r="AQ179" s="453">
        <v>2158.02</v>
      </c>
      <c r="AR179" s="453">
        <f>IFERROR(INDEX('SuSa Okt25'!$N:$N,MATCH($A179,'SuSa Okt25'!A:A,0)),"")</f>
        <v>2397.8000000000002</v>
      </c>
      <c r="AS179" s="453">
        <f>IFERROR(INDEX('SuSa Nov25'!$N:$N,MATCH($A179,'SuSa Nov25'!$A:$A,0)),"")</f>
        <v>2637.58</v>
      </c>
      <c r="AT179" s="453">
        <f>IFERROR(INDEX('SuSa Dez25'!$N:$N,MATCH($A179,'SuSa Dez25'!$A:$A,0)),"")</f>
        <v>2877.38</v>
      </c>
    </row>
    <row r="180" spans="1:46" hidden="1" outlineLevel="1" collapsed="1" x14ac:dyDescent="0.25">
      <c r="A180" s="452">
        <v>4529</v>
      </c>
      <c r="B180" t="s">
        <v>1421</v>
      </c>
      <c r="C180" t="s">
        <v>1422</v>
      </c>
      <c r="D180" t="s">
        <v>1391</v>
      </c>
      <c r="G180" s="453">
        <f t="shared" si="6"/>
        <v>222.4</v>
      </c>
      <c r="H180" s="453">
        <f t="shared" si="7"/>
        <v>661.4</v>
      </c>
      <c r="I180" s="453">
        <f t="shared" si="8"/>
        <v>1093.2</v>
      </c>
      <c r="K180" s="453">
        <v>103.57</v>
      </c>
      <c r="L180" s="453">
        <v>207.14</v>
      </c>
      <c r="M180" s="453">
        <v>285.64</v>
      </c>
      <c r="N180" s="453">
        <v>0</v>
      </c>
      <c r="O180" s="453">
        <v>27.8</v>
      </c>
      <c r="P180" s="453">
        <v>55.6</v>
      </c>
      <c r="Q180" s="453">
        <v>83.4</v>
      </c>
      <c r="R180" s="453">
        <v>111.2</v>
      </c>
      <c r="S180" s="453">
        <v>139</v>
      </c>
      <c r="T180" s="453">
        <v>166.8</v>
      </c>
      <c r="U180" s="453">
        <v>194.6</v>
      </c>
      <c r="V180" s="453">
        <v>222.4</v>
      </c>
      <c r="W180" s="453">
        <v>27.8</v>
      </c>
      <c r="X180" s="453">
        <v>55.6</v>
      </c>
      <c r="Y180" s="453">
        <v>83.4</v>
      </c>
      <c r="Z180" s="453">
        <v>111.2</v>
      </c>
      <c r="AA180" s="453">
        <v>139</v>
      </c>
      <c r="AB180" s="453">
        <v>226.4</v>
      </c>
      <c r="AC180" s="453">
        <v>298.89999999999998</v>
      </c>
      <c r="AD180" s="453">
        <v>371.4</v>
      </c>
      <c r="AE180" s="453">
        <v>443.9</v>
      </c>
      <c r="AF180" s="453">
        <v>516.4</v>
      </c>
      <c r="AG180" s="453">
        <v>588.9</v>
      </c>
      <c r="AH180" s="453">
        <v>661.4</v>
      </c>
      <c r="AI180" s="453">
        <v>72.5</v>
      </c>
      <c r="AJ180" s="453">
        <v>145</v>
      </c>
      <c r="AK180" s="453">
        <v>217.5</v>
      </c>
      <c r="AL180" s="453">
        <v>290</v>
      </c>
      <c r="AM180" s="453">
        <v>388.3</v>
      </c>
      <c r="AN180" s="453">
        <v>473.7</v>
      </c>
      <c r="AO180" s="453">
        <v>559.1</v>
      </c>
      <c r="AP180" s="453">
        <v>644.5</v>
      </c>
      <c r="AQ180" s="453">
        <v>729.9</v>
      </c>
      <c r="AR180" s="453">
        <f>IFERROR(INDEX('SuSa Okt25'!$N:$N,MATCH($A180,'SuSa Okt25'!A:A,0)),"")</f>
        <v>838.1</v>
      </c>
      <c r="AS180" s="453">
        <f>IFERROR(INDEX('SuSa Nov25'!$N:$N,MATCH($A180,'SuSa Nov25'!$A:$A,0)),"")</f>
        <v>972.1</v>
      </c>
      <c r="AT180" s="453">
        <f>IFERROR(INDEX('SuSa Dez25'!$N:$N,MATCH($A180,'SuSa Dez25'!$A:$A,0)),"")</f>
        <v>1093.2</v>
      </c>
    </row>
    <row r="181" spans="1:46" hidden="1" outlineLevel="1" collapsed="1" x14ac:dyDescent="0.25">
      <c r="A181" s="452">
        <v>4530</v>
      </c>
      <c r="B181" t="s">
        <v>1423</v>
      </c>
      <c r="C181" t="s">
        <v>1424</v>
      </c>
      <c r="D181" t="s">
        <v>1391</v>
      </c>
      <c r="G181" s="453">
        <f t="shared" si="6"/>
        <v>2174.3200000000002</v>
      </c>
      <c r="H181" s="453">
        <f t="shared" si="7"/>
        <v>0</v>
      </c>
      <c r="I181" s="453">
        <f t="shared" si="8"/>
        <v>0</v>
      </c>
      <c r="K181" s="453">
        <v>146.47</v>
      </c>
      <c r="L181" s="453">
        <v>228.92</v>
      </c>
      <c r="M181" s="453">
        <v>372.1</v>
      </c>
      <c r="N181" s="453">
        <v>707.47</v>
      </c>
      <c r="O181" s="453">
        <v>721.49</v>
      </c>
      <c r="P181" s="453">
        <v>721.49</v>
      </c>
      <c r="Q181" s="453">
        <v>876.03</v>
      </c>
      <c r="R181" s="453">
        <v>1111.98</v>
      </c>
      <c r="S181" s="453">
        <v>1431.4</v>
      </c>
      <c r="T181" s="453">
        <v>1673.53</v>
      </c>
      <c r="U181" s="453">
        <v>1911.44</v>
      </c>
      <c r="V181" s="453">
        <v>2174.3200000000002</v>
      </c>
    </row>
    <row r="182" spans="1:46" hidden="1" outlineLevel="1" collapsed="1" x14ac:dyDescent="0.25">
      <c r="A182" s="452">
        <v>4530</v>
      </c>
      <c r="B182" t="s">
        <v>1425</v>
      </c>
      <c r="C182" t="s">
        <v>1426</v>
      </c>
      <c r="D182" t="s">
        <v>1391</v>
      </c>
      <c r="G182" s="453">
        <f t="shared" si="6"/>
        <v>0</v>
      </c>
      <c r="H182" s="453">
        <f t="shared" si="7"/>
        <v>663.18</v>
      </c>
      <c r="I182" s="453">
        <f t="shared" si="8"/>
        <v>0</v>
      </c>
      <c r="W182" s="453">
        <v>215.16</v>
      </c>
      <c r="X182" s="453">
        <v>215.16</v>
      </c>
      <c r="Y182" s="453">
        <v>493.26</v>
      </c>
      <c r="Z182" s="453">
        <v>493.26</v>
      </c>
      <c r="AA182" s="453">
        <v>493.26</v>
      </c>
      <c r="AB182" s="453">
        <v>493.26</v>
      </c>
      <c r="AC182" s="453">
        <v>493.26</v>
      </c>
      <c r="AD182" s="453">
        <v>549.67999999999995</v>
      </c>
      <c r="AE182" s="453">
        <v>663.18</v>
      </c>
      <c r="AF182" s="453">
        <v>663.18</v>
      </c>
      <c r="AG182" s="453">
        <v>663.18</v>
      </c>
      <c r="AH182" s="453">
        <v>663.18</v>
      </c>
    </row>
    <row r="183" spans="1:46" hidden="1" outlineLevel="1" collapsed="1" x14ac:dyDescent="0.25">
      <c r="A183" s="452">
        <v>4530</v>
      </c>
      <c r="B183" t="s">
        <v>1427</v>
      </c>
      <c r="C183" t="s">
        <v>1426</v>
      </c>
      <c r="D183" t="s">
        <v>1391</v>
      </c>
      <c r="G183" s="453">
        <f t="shared" si="6"/>
        <v>0</v>
      </c>
      <c r="H183" s="453">
        <f t="shared" si="7"/>
        <v>0</v>
      </c>
      <c r="I183" s="453">
        <f t="shared" si="8"/>
        <v>539.08000000000004</v>
      </c>
      <c r="AI183" s="453">
        <v>0</v>
      </c>
      <c r="AJ183" s="453">
        <v>13.67</v>
      </c>
      <c r="AK183" s="453">
        <v>55.69</v>
      </c>
      <c r="AL183" s="453">
        <v>55.69</v>
      </c>
      <c r="AM183" s="453">
        <v>55.69</v>
      </c>
      <c r="AN183" s="453">
        <v>82.27</v>
      </c>
      <c r="AO183" s="453">
        <v>149.55000000000001</v>
      </c>
      <c r="AP183" s="453">
        <v>149.55000000000001</v>
      </c>
      <c r="AQ183" s="453">
        <v>231.15</v>
      </c>
      <c r="AR183" s="453">
        <f>IFERROR(INDEX('SuSa Okt25'!$N:$N,MATCH($A183,'SuSa Okt25'!A:A,0)),"")</f>
        <v>266.72000000000003</v>
      </c>
      <c r="AS183" s="453">
        <f>IFERROR(INDEX('SuSa Nov25'!$N:$N,MATCH($A183,'SuSa Nov25'!$A:$A,0)),"")</f>
        <v>298.33</v>
      </c>
      <c r="AT183" s="453">
        <f>IFERROR(INDEX('SuSa Dez25'!$N:$N,MATCH($A183,'SuSa Dez25'!$A:$A,0)),"")</f>
        <v>539.08000000000004</v>
      </c>
    </row>
    <row r="184" spans="1:46" hidden="1" outlineLevel="1" collapsed="1" x14ac:dyDescent="0.25">
      <c r="A184" s="452">
        <v>4531</v>
      </c>
      <c r="B184" t="s">
        <v>1428</v>
      </c>
      <c r="C184" t="s">
        <v>1429</v>
      </c>
      <c r="D184" t="s">
        <v>1391</v>
      </c>
      <c r="G184" s="453">
        <f t="shared" si="6"/>
        <v>0</v>
      </c>
      <c r="H184" s="453">
        <f t="shared" si="7"/>
        <v>0</v>
      </c>
      <c r="I184" s="453" t="str">
        <f t="shared" si="8"/>
        <v/>
      </c>
      <c r="K184" s="453">
        <v>0</v>
      </c>
      <c r="L184" s="453">
        <v>0</v>
      </c>
      <c r="M184" s="453">
        <v>0</v>
      </c>
      <c r="N184" s="453">
        <v>0</v>
      </c>
      <c r="O184" s="453">
        <v>0</v>
      </c>
      <c r="P184" s="453">
        <v>0</v>
      </c>
      <c r="Q184" s="453">
        <v>0</v>
      </c>
      <c r="R184" s="453">
        <v>0</v>
      </c>
      <c r="S184" s="453">
        <v>0</v>
      </c>
      <c r="T184" s="453">
        <v>0</v>
      </c>
      <c r="U184" s="453">
        <v>0</v>
      </c>
      <c r="V184" s="453">
        <v>0</v>
      </c>
      <c r="AR184" s="453" t="str">
        <f>IFERROR(INDEX('SuSa Okt25'!$N:$N,MATCH($A184,'SuSa Okt25'!A:A,0)),"")</f>
        <v/>
      </c>
      <c r="AS184" s="453" t="str">
        <f>IFERROR(INDEX('SuSa Nov25'!$N:$N,MATCH($A184,'SuSa Nov25'!$A:$A,0)),"")</f>
        <v/>
      </c>
      <c r="AT184" s="453" t="str">
        <f>IFERROR(INDEX('SuSa Dez25'!$N:$N,MATCH($A184,'SuSa Dez25'!$A:$A,0)),"")</f>
        <v/>
      </c>
    </row>
    <row r="185" spans="1:46" hidden="1" outlineLevel="1" collapsed="1" x14ac:dyDescent="0.25">
      <c r="A185" s="452">
        <v>4532</v>
      </c>
      <c r="B185" t="s">
        <v>1430</v>
      </c>
      <c r="C185" t="s">
        <v>1431</v>
      </c>
      <c r="D185" t="s">
        <v>1391</v>
      </c>
      <c r="G185" s="453">
        <f t="shared" si="6"/>
        <v>3175.21</v>
      </c>
      <c r="H185" s="453">
        <f t="shared" si="7"/>
        <v>0</v>
      </c>
      <c r="I185" s="453">
        <f t="shared" si="8"/>
        <v>0</v>
      </c>
      <c r="K185" s="453">
        <v>199.27</v>
      </c>
      <c r="L185" s="453">
        <v>205.99</v>
      </c>
      <c r="M185" s="453">
        <v>849.85</v>
      </c>
      <c r="N185" s="453">
        <v>1044.74</v>
      </c>
      <c r="O185" s="453">
        <v>1149.3900000000001</v>
      </c>
      <c r="P185" s="453">
        <v>1480.36</v>
      </c>
      <c r="Q185" s="453">
        <v>1533.32</v>
      </c>
      <c r="R185" s="453">
        <v>1933.75</v>
      </c>
      <c r="S185" s="453">
        <v>2213.1799999999998</v>
      </c>
      <c r="T185" s="453">
        <v>2339.61</v>
      </c>
      <c r="U185" s="453">
        <v>2552.25</v>
      </c>
      <c r="V185" s="453">
        <v>3175.21</v>
      </c>
    </row>
    <row r="186" spans="1:46" hidden="1" outlineLevel="1" collapsed="1" x14ac:dyDescent="0.25">
      <c r="A186" s="452">
        <v>4532</v>
      </c>
      <c r="B186" t="s">
        <v>1432</v>
      </c>
      <c r="C186" t="s">
        <v>1433</v>
      </c>
      <c r="D186" t="s">
        <v>1391</v>
      </c>
      <c r="G186" s="453">
        <f t="shared" si="6"/>
        <v>0</v>
      </c>
      <c r="H186" s="453">
        <f t="shared" si="7"/>
        <v>2032.09</v>
      </c>
      <c r="I186" s="453">
        <f t="shared" si="8"/>
        <v>0</v>
      </c>
      <c r="W186" s="453">
        <v>0</v>
      </c>
      <c r="X186" s="453">
        <v>178.33</v>
      </c>
      <c r="Y186" s="453">
        <v>370.22</v>
      </c>
      <c r="Z186" s="453">
        <v>535.45000000000005</v>
      </c>
      <c r="AA186" s="453">
        <v>1076.73</v>
      </c>
      <c r="AB186" s="453">
        <v>1342.14</v>
      </c>
      <c r="AC186" s="453">
        <v>1418.58</v>
      </c>
      <c r="AD186" s="453">
        <v>1587.25</v>
      </c>
      <c r="AE186" s="453">
        <v>1564.63</v>
      </c>
      <c r="AF186" s="453">
        <v>1683.85</v>
      </c>
      <c r="AG186" s="453">
        <v>1695.63</v>
      </c>
      <c r="AH186" s="453">
        <v>2032.09</v>
      </c>
    </row>
    <row r="187" spans="1:46" hidden="1" outlineLevel="1" collapsed="1" x14ac:dyDescent="0.25">
      <c r="A187" s="452">
        <v>4532</v>
      </c>
      <c r="B187" t="s">
        <v>1434</v>
      </c>
      <c r="C187" t="s">
        <v>1433</v>
      </c>
      <c r="D187" t="s">
        <v>1391</v>
      </c>
      <c r="G187" s="453">
        <f t="shared" si="6"/>
        <v>0</v>
      </c>
      <c r="H187" s="453">
        <f t="shared" si="7"/>
        <v>0</v>
      </c>
      <c r="I187" s="453">
        <f t="shared" si="8"/>
        <v>1341.83</v>
      </c>
      <c r="AI187" s="453">
        <v>0</v>
      </c>
      <c r="AJ187" s="453">
        <v>151.22999999999999</v>
      </c>
      <c r="AK187" s="453">
        <v>409.93</v>
      </c>
      <c r="AL187" s="453">
        <v>643.99</v>
      </c>
      <c r="AM187" s="453">
        <v>862.96</v>
      </c>
      <c r="AN187" s="453">
        <v>862.96</v>
      </c>
      <c r="AO187" s="453">
        <v>898.34</v>
      </c>
      <c r="AP187" s="453">
        <v>977.33</v>
      </c>
      <c r="AQ187" s="453">
        <v>1119.5899999999999</v>
      </c>
      <c r="AR187" s="453">
        <f>IFERROR(INDEX('SuSa Okt25'!$N:$N,MATCH($A187,'SuSa Okt25'!A:A,0)),"")</f>
        <v>1164.04</v>
      </c>
      <c r="AS187" s="453">
        <f>IFERROR(INDEX('SuSa Nov25'!$N:$N,MATCH($A187,'SuSa Nov25'!$A:$A,0)),"")</f>
        <v>1238.27</v>
      </c>
      <c r="AT187" s="453">
        <f>IFERROR(INDEX('SuSa Dez25'!$N:$N,MATCH($A187,'SuSa Dez25'!$A:$A,0)),"")</f>
        <v>1341.83</v>
      </c>
    </row>
    <row r="188" spans="1:46" hidden="1" outlineLevel="1" collapsed="1" x14ac:dyDescent="0.25">
      <c r="A188" s="452">
        <v>4533</v>
      </c>
      <c r="B188" t="s">
        <v>1435</v>
      </c>
      <c r="C188" t="s">
        <v>1436</v>
      </c>
      <c r="D188" t="s">
        <v>1391</v>
      </c>
      <c r="G188" s="453">
        <f t="shared" si="6"/>
        <v>4995.33</v>
      </c>
      <c r="H188" s="453">
        <f t="shared" si="7"/>
        <v>0</v>
      </c>
      <c r="I188" s="453">
        <f t="shared" si="8"/>
        <v>0</v>
      </c>
      <c r="K188" s="453">
        <v>471.01</v>
      </c>
      <c r="L188" s="453">
        <v>557.57000000000005</v>
      </c>
      <c r="M188" s="453">
        <v>557.57000000000005</v>
      </c>
      <c r="N188" s="453">
        <v>948.36</v>
      </c>
      <c r="O188" s="453">
        <v>968.36</v>
      </c>
      <c r="P188" s="453">
        <v>1522.84</v>
      </c>
      <c r="Q188" s="453">
        <v>1690.36</v>
      </c>
      <c r="R188" s="453">
        <v>2496.5300000000002</v>
      </c>
      <c r="S188" s="453">
        <v>2928.99</v>
      </c>
      <c r="T188" s="453">
        <v>3390.57</v>
      </c>
      <c r="U188" s="453">
        <v>3853.68</v>
      </c>
      <c r="V188" s="453">
        <v>4995.33</v>
      </c>
    </row>
    <row r="189" spans="1:46" hidden="1" outlineLevel="1" collapsed="1" x14ac:dyDescent="0.25">
      <c r="A189" s="452">
        <v>4533</v>
      </c>
      <c r="B189" t="s">
        <v>1437</v>
      </c>
      <c r="C189" t="s">
        <v>1438</v>
      </c>
      <c r="D189" t="s">
        <v>1391</v>
      </c>
      <c r="G189" s="453">
        <f t="shared" si="6"/>
        <v>0</v>
      </c>
      <c r="H189" s="453">
        <f t="shared" si="7"/>
        <v>7361.81</v>
      </c>
      <c r="I189" s="453">
        <f t="shared" si="8"/>
        <v>7665.29</v>
      </c>
      <c r="W189" s="453">
        <v>0</v>
      </c>
      <c r="X189" s="453">
        <v>477.6</v>
      </c>
      <c r="Y189" s="453">
        <v>1047.44</v>
      </c>
      <c r="Z189" s="453">
        <v>1401.96</v>
      </c>
      <c r="AA189" s="453">
        <v>1879.32</v>
      </c>
      <c r="AB189" s="453">
        <v>2267.9499999999998</v>
      </c>
      <c r="AC189" s="453">
        <v>3012.53</v>
      </c>
      <c r="AD189" s="453">
        <v>3796.07</v>
      </c>
      <c r="AE189" s="453">
        <v>4488.8900000000003</v>
      </c>
      <c r="AF189" s="453">
        <v>5159.5200000000004</v>
      </c>
      <c r="AG189" s="453">
        <v>6010.69</v>
      </c>
      <c r="AH189" s="453">
        <v>7361.81</v>
      </c>
      <c r="AI189" s="453">
        <v>0</v>
      </c>
      <c r="AJ189" s="453">
        <v>564.49</v>
      </c>
      <c r="AK189" s="453">
        <v>1220.42</v>
      </c>
      <c r="AL189" s="453">
        <v>1971.32</v>
      </c>
      <c r="AM189" s="453">
        <v>2586.84</v>
      </c>
      <c r="AN189" s="453">
        <v>3226.37</v>
      </c>
      <c r="AO189" s="453">
        <v>4020.48</v>
      </c>
      <c r="AP189" s="453">
        <v>4798.41</v>
      </c>
      <c r="AQ189" s="453">
        <v>5643.96</v>
      </c>
      <c r="AR189" s="453">
        <f>IFERROR(INDEX('SuSa Okt25'!$N:$N,MATCH($A189,'SuSa Okt25'!A:A,0)),"")</f>
        <v>5861.75</v>
      </c>
      <c r="AS189" s="453">
        <f>IFERROR(INDEX('SuSa Nov25'!$N:$N,MATCH($A189,'SuSa Nov25'!$A:$A,0)),"")</f>
        <v>6934.85</v>
      </c>
      <c r="AT189" s="453">
        <f>IFERROR(INDEX('SuSa Dez25'!$N:$N,MATCH($A189,'SuSa Dez25'!$A:$A,0)),"")</f>
        <v>7665.29</v>
      </c>
    </row>
    <row r="190" spans="1:46" hidden="1" outlineLevel="1" collapsed="1" x14ac:dyDescent="0.25">
      <c r="A190" s="452">
        <v>4534</v>
      </c>
      <c r="B190" t="s">
        <v>1439</v>
      </c>
      <c r="C190" t="s">
        <v>1440</v>
      </c>
      <c r="D190" t="s">
        <v>1391</v>
      </c>
      <c r="G190" s="453">
        <f t="shared" si="6"/>
        <v>6585.3</v>
      </c>
      <c r="H190" s="453">
        <f t="shared" si="7"/>
        <v>0</v>
      </c>
      <c r="I190" s="453">
        <f t="shared" si="8"/>
        <v>4733.12</v>
      </c>
      <c r="K190" s="453">
        <v>1102.0999999999999</v>
      </c>
      <c r="L190" s="453">
        <v>1102.0999999999999</v>
      </c>
      <c r="M190" s="453">
        <v>3363.1</v>
      </c>
      <c r="N190" s="453">
        <v>3421.92</v>
      </c>
      <c r="O190" s="453">
        <v>3019.35</v>
      </c>
      <c r="P190" s="453">
        <v>3019.35</v>
      </c>
      <c r="Q190" s="453">
        <v>3262.75</v>
      </c>
      <c r="R190" s="453">
        <v>3525.96</v>
      </c>
      <c r="S190" s="453">
        <v>3525.96</v>
      </c>
      <c r="T190" s="453">
        <v>3690.68</v>
      </c>
      <c r="U190" s="453">
        <v>3699.08</v>
      </c>
      <c r="V190" s="453">
        <v>6585.3</v>
      </c>
      <c r="AI190" s="453">
        <v>0</v>
      </c>
      <c r="AJ190" s="453">
        <v>0</v>
      </c>
      <c r="AK190" s="453">
        <v>179.29</v>
      </c>
      <c r="AL190" s="453">
        <v>312.44</v>
      </c>
      <c r="AM190" s="453">
        <v>555.29999999999995</v>
      </c>
      <c r="AN190" s="453">
        <v>1714.74</v>
      </c>
      <c r="AO190" s="453">
        <v>2413.5</v>
      </c>
      <c r="AP190" s="453">
        <v>2850.2</v>
      </c>
      <c r="AQ190" s="453">
        <v>3201.38</v>
      </c>
      <c r="AR190" s="453">
        <f>IFERROR(INDEX('SuSa Okt25'!$N:$N,MATCH($A190,'SuSa Okt25'!A:A,0)),"")</f>
        <v>3637.67</v>
      </c>
      <c r="AS190" s="453">
        <f>IFERROR(INDEX('SuSa Nov25'!$N:$N,MATCH($A190,'SuSa Nov25'!$A:$A,0)),"")</f>
        <v>4415.8500000000004</v>
      </c>
      <c r="AT190" s="453">
        <f>IFERROR(INDEX('SuSa Dez25'!$N:$N,MATCH($A190,'SuSa Dez25'!$A:$A,0)),"")</f>
        <v>4733.12</v>
      </c>
    </row>
    <row r="191" spans="1:46" hidden="1" outlineLevel="1" collapsed="1" x14ac:dyDescent="0.25">
      <c r="A191" s="452">
        <v>4534</v>
      </c>
      <c r="B191" t="s">
        <v>1441</v>
      </c>
      <c r="C191" t="s">
        <v>1440</v>
      </c>
      <c r="D191" t="s">
        <v>1391</v>
      </c>
      <c r="G191" s="453">
        <f t="shared" si="6"/>
        <v>0</v>
      </c>
      <c r="H191" s="453">
        <f t="shared" si="7"/>
        <v>10298.84</v>
      </c>
      <c r="I191" s="453">
        <f t="shared" si="8"/>
        <v>0</v>
      </c>
      <c r="W191" s="453">
        <v>0</v>
      </c>
      <c r="X191" s="453">
        <v>0</v>
      </c>
      <c r="Y191" s="453">
        <v>0</v>
      </c>
      <c r="Z191" s="453">
        <v>1184.3699999999999</v>
      </c>
      <c r="AA191" s="453">
        <v>1591.93</v>
      </c>
      <c r="AB191" s="453">
        <v>2021.46</v>
      </c>
      <c r="AC191" s="453">
        <v>2021.46</v>
      </c>
      <c r="AD191" s="453">
        <v>2510.67</v>
      </c>
      <c r="AE191" s="453">
        <v>2510.67</v>
      </c>
      <c r="AF191" s="453">
        <v>3263.42</v>
      </c>
      <c r="AG191" s="453">
        <v>3547.55</v>
      </c>
      <c r="AH191" s="453">
        <v>10298.84</v>
      </c>
    </row>
    <row r="192" spans="1:46" hidden="1" outlineLevel="1" collapsed="1" x14ac:dyDescent="0.25">
      <c r="A192" s="452">
        <v>4535</v>
      </c>
      <c r="B192" t="s">
        <v>1442</v>
      </c>
      <c r="C192" t="s">
        <v>1443</v>
      </c>
      <c r="D192" t="s">
        <v>1391</v>
      </c>
      <c r="G192" s="453">
        <f t="shared" si="6"/>
        <v>1452.5</v>
      </c>
      <c r="H192" s="453">
        <f t="shared" si="7"/>
        <v>0</v>
      </c>
      <c r="I192" s="453">
        <f t="shared" si="8"/>
        <v>0</v>
      </c>
      <c r="K192" s="453">
        <v>209.7</v>
      </c>
      <c r="L192" s="453">
        <v>209.7</v>
      </c>
      <c r="M192" s="453">
        <v>573.80999999999995</v>
      </c>
      <c r="N192" s="453">
        <v>573.80999999999995</v>
      </c>
      <c r="O192" s="453">
        <v>744.7</v>
      </c>
      <c r="P192" s="453">
        <v>793.9</v>
      </c>
      <c r="Q192" s="453">
        <v>793.9</v>
      </c>
      <c r="R192" s="453">
        <v>930.73</v>
      </c>
      <c r="S192" s="453">
        <v>1082.6500000000001</v>
      </c>
      <c r="T192" s="453">
        <v>1082.6500000000001</v>
      </c>
      <c r="U192" s="453">
        <v>1279.04</v>
      </c>
      <c r="V192" s="453">
        <v>1452.5</v>
      </c>
    </row>
    <row r="193" spans="1:46" hidden="1" outlineLevel="1" collapsed="1" x14ac:dyDescent="0.25">
      <c r="A193" s="452">
        <v>4535</v>
      </c>
      <c r="B193" t="s">
        <v>1444</v>
      </c>
      <c r="C193" t="s">
        <v>1445</v>
      </c>
      <c r="D193" t="s">
        <v>1391</v>
      </c>
      <c r="G193" s="453">
        <f t="shared" si="6"/>
        <v>0</v>
      </c>
      <c r="H193" s="453">
        <f t="shared" si="7"/>
        <v>3859.3</v>
      </c>
      <c r="I193" s="453">
        <f t="shared" si="8"/>
        <v>2348.25</v>
      </c>
      <c r="W193" s="453">
        <v>0</v>
      </c>
      <c r="X193" s="453">
        <v>145.56</v>
      </c>
      <c r="Y193" s="453">
        <v>297.88</v>
      </c>
      <c r="Z193" s="453">
        <v>307.12</v>
      </c>
      <c r="AA193" s="453">
        <v>656.76</v>
      </c>
      <c r="AB193" s="453">
        <v>1002.34</v>
      </c>
      <c r="AC193" s="453">
        <v>1430.62</v>
      </c>
      <c r="AD193" s="453">
        <v>2021.63</v>
      </c>
      <c r="AE193" s="453">
        <v>2148.29</v>
      </c>
      <c r="AF193" s="453">
        <v>2712.31</v>
      </c>
      <c r="AG193" s="453">
        <v>3105.21</v>
      </c>
      <c r="AH193" s="453">
        <v>3859.3</v>
      </c>
      <c r="AI193" s="453">
        <v>0</v>
      </c>
      <c r="AJ193" s="453">
        <v>316.77</v>
      </c>
      <c r="AK193" s="453">
        <v>699.08</v>
      </c>
      <c r="AL193" s="453">
        <v>945.63</v>
      </c>
      <c r="AM193" s="453">
        <v>1359.21</v>
      </c>
      <c r="AN193" s="453">
        <v>1359.21</v>
      </c>
      <c r="AO193" s="453">
        <v>1359.21</v>
      </c>
      <c r="AP193" s="453">
        <v>2074.6</v>
      </c>
      <c r="AQ193" s="453">
        <v>2348.25</v>
      </c>
      <c r="AR193" s="453">
        <f>IFERROR(INDEX('SuSa Okt25'!$N:$N,MATCH($A193,'SuSa Okt25'!A:A,0)),"")</f>
        <v>2348.25</v>
      </c>
      <c r="AS193" s="453">
        <f>IFERROR(INDEX('SuSa Nov25'!$N:$N,MATCH($A193,'SuSa Nov25'!$A:$A,0)),"")</f>
        <v>2348.25</v>
      </c>
      <c r="AT193" s="453">
        <f>IFERROR(INDEX('SuSa Dez25'!$N:$N,MATCH($A193,'SuSa Dez25'!$A:$A,0)),"")</f>
        <v>2348.25</v>
      </c>
    </row>
    <row r="194" spans="1:46" hidden="1" outlineLevel="1" collapsed="1" x14ac:dyDescent="0.25">
      <c r="A194" s="452">
        <v>4536</v>
      </c>
      <c r="B194" t="s">
        <v>1446</v>
      </c>
      <c r="C194" t="s">
        <v>1447</v>
      </c>
      <c r="D194" t="s">
        <v>1391</v>
      </c>
      <c r="G194" s="453">
        <f t="shared" si="6"/>
        <v>4235.25</v>
      </c>
      <c r="H194" s="453">
        <f t="shared" si="7"/>
        <v>0</v>
      </c>
      <c r="I194" s="453">
        <f t="shared" si="8"/>
        <v>0</v>
      </c>
      <c r="K194" s="453">
        <v>240.03</v>
      </c>
      <c r="L194" s="453">
        <v>505.91</v>
      </c>
      <c r="M194" s="453">
        <v>784.69</v>
      </c>
      <c r="N194" s="453">
        <v>1251.3800000000001</v>
      </c>
      <c r="O194" s="453">
        <v>1659.63</v>
      </c>
      <c r="P194" s="453">
        <v>2047.8</v>
      </c>
      <c r="Q194" s="453">
        <v>2456.6</v>
      </c>
      <c r="R194" s="453">
        <v>2711.59</v>
      </c>
      <c r="S194" s="453">
        <v>3031.93</v>
      </c>
      <c r="T194" s="453">
        <v>3427.83</v>
      </c>
      <c r="U194" s="453">
        <v>3636.95</v>
      </c>
      <c r="V194" s="453">
        <v>4235.25</v>
      </c>
    </row>
    <row r="195" spans="1:46" hidden="1" outlineLevel="1" collapsed="1" x14ac:dyDescent="0.25">
      <c r="A195" s="452">
        <v>4536</v>
      </c>
      <c r="B195" t="s">
        <v>1448</v>
      </c>
      <c r="C195" t="s">
        <v>1449</v>
      </c>
      <c r="D195" t="s">
        <v>1391</v>
      </c>
      <c r="G195" s="453">
        <f t="shared" ref="G195:G258" si="9">V195</f>
        <v>0</v>
      </c>
      <c r="H195" s="453">
        <f t="shared" ref="H195:H258" si="10">AH195</f>
        <v>4354.3</v>
      </c>
      <c r="I195" s="453">
        <f t="shared" ref="I195:I258" si="11">AT195</f>
        <v>2373.5300000000002</v>
      </c>
      <c r="W195" s="453">
        <v>0</v>
      </c>
      <c r="X195" s="453">
        <v>288.51</v>
      </c>
      <c r="Y195" s="453">
        <v>401.8</v>
      </c>
      <c r="Z195" s="453">
        <v>934.05</v>
      </c>
      <c r="AA195" s="453">
        <v>1289.0899999999999</v>
      </c>
      <c r="AB195" s="453">
        <v>1870.89</v>
      </c>
      <c r="AC195" s="453">
        <v>2435.9699999999998</v>
      </c>
      <c r="AD195" s="453">
        <v>2882.87</v>
      </c>
      <c r="AE195" s="453">
        <v>3311.7</v>
      </c>
      <c r="AF195" s="453">
        <v>3507.59</v>
      </c>
      <c r="AG195" s="453">
        <v>3507.59</v>
      </c>
      <c r="AH195" s="453">
        <v>4354.3</v>
      </c>
      <c r="AI195" s="453">
        <v>0</v>
      </c>
      <c r="AJ195" s="453">
        <v>310.14999999999998</v>
      </c>
      <c r="AK195" s="453">
        <v>565.26</v>
      </c>
      <c r="AL195" s="453">
        <v>774.91</v>
      </c>
      <c r="AM195" s="453">
        <v>774.91</v>
      </c>
      <c r="AN195" s="453">
        <v>774.91</v>
      </c>
      <c r="AO195" s="453">
        <v>1354.76</v>
      </c>
      <c r="AP195" s="453">
        <v>1480.28</v>
      </c>
      <c r="AQ195" s="453">
        <v>1665.41</v>
      </c>
      <c r="AR195" s="453">
        <f>IFERROR(INDEX('SuSa Okt25'!$N:$N,MATCH($A195,'SuSa Okt25'!A:A,0)),"")</f>
        <v>1847.64</v>
      </c>
      <c r="AS195" s="453">
        <f>IFERROR(INDEX('SuSa Nov25'!$N:$N,MATCH($A195,'SuSa Nov25'!$A:$A,0)),"")</f>
        <v>2011.44</v>
      </c>
      <c r="AT195" s="453">
        <f>IFERROR(INDEX('SuSa Dez25'!$N:$N,MATCH($A195,'SuSa Dez25'!$A:$A,0)),"")</f>
        <v>2373.5300000000002</v>
      </c>
    </row>
    <row r="196" spans="1:46" hidden="1" outlineLevel="1" collapsed="1" x14ac:dyDescent="0.25">
      <c r="A196" s="452">
        <v>4537</v>
      </c>
      <c r="B196" t="s">
        <v>1450</v>
      </c>
      <c r="C196" t="s">
        <v>1451</v>
      </c>
      <c r="D196" t="s">
        <v>1391</v>
      </c>
      <c r="G196" s="453">
        <f t="shared" si="9"/>
        <v>11120.56</v>
      </c>
      <c r="H196" s="453">
        <f t="shared" si="10"/>
        <v>0</v>
      </c>
      <c r="I196" s="453">
        <f t="shared" si="11"/>
        <v>0</v>
      </c>
      <c r="K196" s="453">
        <v>0</v>
      </c>
      <c r="L196" s="453">
        <v>0</v>
      </c>
      <c r="M196" s="453">
        <v>0</v>
      </c>
      <c r="N196" s="453">
        <v>0</v>
      </c>
      <c r="O196" s="453">
        <v>0</v>
      </c>
      <c r="P196" s="453">
        <v>0</v>
      </c>
      <c r="Q196" s="453">
        <v>219.53</v>
      </c>
      <c r="R196" s="453">
        <v>670.11</v>
      </c>
      <c r="S196" s="453">
        <v>670.11</v>
      </c>
      <c r="T196" s="453">
        <v>670.11</v>
      </c>
      <c r="U196" s="453">
        <v>864.17</v>
      </c>
      <c r="V196" s="453">
        <v>11120.56</v>
      </c>
    </row>
    <row r="197" spans="1:46" hidden="1" outlineLevel="1" collapsed="1" x14ac:dyDescent="0.25">
      <c r="A197" s="452">
        <v>4537</v>
      </c>
      <c r="B197" t="s">
        <v>1452</v>
      </c>
      <c r="C197" t="s">
        <v>1453</v>
      </c>
      <c r="D197" t="s">
        <v>1391</v>
      </c>
      <c r="G197" s="453">
        <f t="shared" si="9"/>
        <v>0</v>
      </c>
      <c r="H197" s="453">
        <f t="shared" si="10"/>
        <v>7956.52</v>
      </c>
      <c r="I197" s="453">
        <f t="shared" si="11"/>
        <v>1771.02</v>
      </c>
      <c r="W197" s="453">
        <v>0</v>
      </c>
      <c r="X197" s="453">
        <v>517.94000000000005</v>
      </c>
      <c r="Y197" s="453">
        <v>1748.42</v>
      </c>
      <c r="Z197" s="453">
        <v>5918.19</v>
      </c>
      <c r="AA197" s="453">
        <v>7842.21</v>
      </c>
      <c r="AB197" s="453">
        <v>8357.25</v>
      </c>
      <c r="AC197" s="453">
        <v>8529.91</v>
      </c>
      <c r="AD197" s="453">
        <v>12422.88</v>
      </c>
      <c r="AE197" s="453">
        <v>13199.02</v>
      </c>
      <c r="AF197" s="453">
        <v>13508.35</v>
      </c>
      <c r="AG197" s="453">
        <v>14018.94</v>
      </c>
      <c r="AH197" s="453">
        <v>7956.52</v>
      </c>
      <c r="AI197" s="453">
        <v>0</v>
      </c>
      <c r="AJ197" s="453">
        <v>0</v>
      </c>
      <c r="AK197" s="453">
        <v>0</v>
      </c>
      <c r="AL197" s="453">
        <v>344.63</v>
      </c>
      <c r="AM197" s="453">
        <v>344.63</v>
      </c>
      <c r="AN197" s="453">
        <v>639.53</v>
      </c>
      <c r="AO197" s="453">
        <v>639.53</v>
      </c>
      <c r="AP197" s="453">
        <v>870.94</v>
      </c>
      <c r="AQ197" s="453">
        <v>870.94</v>
      </c>
      <c r="AR197" s="453">
        <f>IFERROR(INDEX('SuSa Okt25'!$N:$N,MATCH($A197,'SuSa Okt25'!A:A,0)),"")</f>
        <v>1367.99</v>
      </c>
      <c r="AS197" s="453">
        <f>IFERROR(INDEX('SuSa Nov25'!$N:$N,MATCH($A197,'SuSa Nov25'!$A:$A,0)),"")</f>
        <v>1655.67</v>
      </c>
      <c r="AT197" s="453">
        <f>IFERROR(INDEX('SuSa Dez25'!$N:$N,MATCH($A197,'SuSa Dez25'!$A:$A,0)),"")</f>
        <v>1771.02</v>
      </c>
    </row>
    <row r="198" spans="1:46" hidden="1" outlineLevel="1" collapsed="1" x14ac:dyDescent="0.25">
      <c r="A198" s="452">
        <v>4538</v>
      </c>
      <c r="B198" t="s">
        <v>1454</v>
      </c>
      <c r="C198" t="s">
        <v>1455</v>
      </c>
      <c r="D198" t="s">
        <v>1391</v>
      </c>
      <c r="G198" s="453">
        <f t="shared" si="9"/>
        <v>4715.79</v>
      </c>
      <c r="H198" s="453">
        <f t="shared" si="10"/>
        <v>7079.6</v>
      </c>
      <c r="I198" s="453">
        <f t="shared" si="11"/>
        <v>6416.06</v>
      </c>
      <c r="K198" s="453">
        <v>12.17</v>
      </c>
      <c r="L198" s="453">
        <v>12.17</v>
      </c>
      <c r="M198" s="453">
        <v>194.89</v>
      </c>
      <c r="N198" s="453">
        <v>0</v>
      </c>
      <c r="O198" s="453">
        <v>0</v>
      </c>
      <c r="P198" s="453">
        <v>657.78</v>
      </c>
      <c r="Q198" s="453">
        <v>657.78</v>
      </c>
      <c r="R198" s="453">
        <v>1841.16</v>
      </c>
      <c r="S198" s="453">
        <v>2431.96</v>
      </c>
      <c r="T198" s="453">
        <v>2955.18</v>
      </c>
      <c r="U198" s="453">
        <v>3375.55</v>
      </c>
      <c r="V198" s="453">
        <v>4715.79</v>
      </c>
      <c r="W198" s="453">
        <v>0</v>
      </c>
      <c r="X198" s="453">
        <v>589.17999999999995</v>
      </c>
      <c r="Y198" s="453">
        <v>1301.51</v>
      </c>
      <c r="Z198" s="453">
        <v>1862.48</v>
      </c>
      <c r="AA198" s="453">
        <v>2573.61</v>
      </c>
      <c r="AB198" s="453">
        <v>3183.09</v>
      </c>
      <c r="AC198" s="453">
        <v>3656.5</v>
      </c>
      <c r="AD198" s="453">
        <v>4225.3500000000004</v>
      </c>
      <c r="AE198" s="453">
        <v>4686.55</v>
      </c>
      <c r="AF198" s="453">
        <v>5058.08</v>
      </c>
      <c r="AG198" s="453">
        <v>5812.23</v>
      </c>
      <c r="AH198" s="453">
        <v>7079.6</v>
      </c>
      <c r="AI198" s="453">
        <v>0</v>
      </c>
      <c r="AJ198" s="453">
        <v>403.73</v>
      </c>
      <c r="AK198" s="453">
        <v>960.4</v>
      </c>
      <c r="AL198" s="453">
        <v>1600.96</v>
      </c>
      <c r="AM198" s="453">
        <v>2048.4499999999998</v>
      </c>
      <c r="AN198" s="453">
        <v>2580.77</v>
      </c>
      <c r="AO198" s="453">
        <v>3255.59</v>
      </c>
      <c r="AP198" s="453">
        <v>3767.52</v>
      </c>
      <c r="AQ198" s="453">
        <v>4611.6000000000004</v>
      </c>
      <c r="AR198" s="453">
        <f>IFERROR(INDEX('SuSa Okt25'!$N:$N,MATCH($A198,'SuSa Okt25'!A:A,0)),"")</f>
        <v>5183.41</v>
      </c>
      <c r="AS198" s="453">
        <f>IFERROR(INDEX('SuSa Nov25'!$N:$N,MATCH($A198,'SuSa Nov25'!$A:$A,0)),"")</f>
        <v>5912.11</v>
      </c>
      <c r="AT198" s="453">
        <f>IFERROR(INDEX('SuSa Dez25'!$N:$N,MATCH($A198,'SuSa Dez25'!$A:$A,0)),"")</f>
        <v>6416.06</v>
      </c>
    </row>
    <row r="199" spans="1:46" hidden="1" outlineLevel="1" collapsed="1" x14ac:dyDescent="0.25">
      <c r="A199" s="452">
        <v>4539</v>
      </c>
      <c r="B199" t="s">
        <v>1456</v>
      </c>
      <c r="C199" t="s">
        <v>1457</v>
      </c>
      <c r="D199" t="s">
        <v>1391</v>
      </c>
      <c r="G199" s="453">
        <f t="shared" si="9"/>
        <v>0</v>
      </c>
      <c r="H199" s="453">
        <f t="shared" si="10"/>
        <v>0</v>
      </c>
      <c r="I199" s="453" t="str">
        <f t="shared" si="11"/>
        <v/>
      </c>
      <c r="K199" s="453">
        <v>0</v>
      </c>
      <c r="L199" s="453">
        <v>0</v>
      </c>
      <c r="M199" s="453">
        <v>0</v>
      </c>
      <c r="N199" s="453">
        <v>0</v>
      </c>
      <c r="O199" s="453">
        <v>0</v>
      </c>
      <c r="P199" s="453">
        <v>0</v>
      </c>
      <c r="Q199" s="453">
        <v>0</v>
      </c>
      <c r="R199" s="453">
        <v>0</v>
      </c>
      <c r="S199" s="453">
        <v>0</v>
      </c>
      <c r="T199" s="453">
        <v>0</v>
      </c>
      <c r="U199" s="453">
        <v>0</v>
      </c>
      <c r="V199" s="453">
        <v>0</v>
      </c>
      <c r="AR199" s="453" t="str">
        <f>IFERROR(INDEX('SuSa Okt25'!$N:$N,MATCH($A199,'SuSa Okt25'!A:A,0)),"")</f>
        <v/>
      </c>
      <c r="AS199" s="453" t="str">
        <f>IFERROR(INDEX('SuSa Nov25'!$N:$N,MATCH($A199,'SuSa Nov25'!$A:$A,0)),"")</f>
        <v/>
      </c>
      <c r="AT199" s="453" t="str">
        <f>IFERROR(INDEX('SuSa Dez25'!$N:$N,MATCH($A199,'SuSa Dez25'!$A:$A,0)),"")</f>
        <v/>
      </c>
    </row>
    <row r="200" spans="1:46" hidden="1" outlineLevel="1" collapsed="1" x14ac:dyDescent="0.25">
      <c r="A200" s="452">
        <v>4540</v>
      </c>
      <c r="B200" t="s">
        <v>1458</v>
      </c>
      <c r="C200" t="s">
        <v>1459</v>
      </c>
      <c r="D200" t="s">
        <v>1391</v>
      </c>
      <c r="G200" s="453">
        <f t="shared" si="9"/>
        <v>2738.31</v>
      </c>
      <c r="H200" s="453">
        <f t="shared" si="10"/>
        <v>0</v>
      </c>
      <c r="I200" s="453">
        <f t="shared" si="11"/>
        <v>0</v>
      </c>
      <c r="K200" s="453">
        <v>0</v>
      </c>
      <c r="L200" s="453">
        <v>0</v>
      </c>
      <c r="M200" s="453">
        <v>0</v>
      </c>
      <c r="N200" s="453">
        <v>2166.34</v>
      </c>
      <c r="O200" s="453">
        <v>2166.34</v>
      </c>
      <c r="P200" s="453">
        <v>2409.77</v>
      </c>
      <c r="Q200" s="453">
        <v>2409.77</v>
      </c>
      <c r="R200" s="453">
        <v>2409.77</v>
      </c>
      <c r="S200" s="453">
        <v>2409.77</v>
      </c>
      <c r="T200" s="453">
        <v>2409.77</v>
      </c>
      <c r="U200" s="453">
        <v>2738.31</v>
      </c>
      <c r="V200" s="453">
        <v>2738.31</v>
      </c>
    </row>
    <row r="201" spans="1:46" hidden="1" outlineLevel="1" collapsed="1" x14ac:dyDescent="0.25">
      <c r="A201" s="452">
        <v>4540</v>
      </c>
      <c r="B201" t="s">
        <v>1460</v>
      </c>
      <c r="C201" t="s">
        <v>2003</v>
      </c>
      <c r="D201" t="s">
        <v>1391</v>
      </c>
      <c r="G201" s="453">
        <f t="shared" si="9"/>
        <v>0</v>
      </c>
      <c r="H201" s="453">
        <f t="shared" si="10"/>
        <v>3345.83</v>
      </c>
      <c r="I201" s="453">
        <f t="shared" si="11"/>
        <v>4132.87</v>
      </c>
      <c r="W201" s="453">
        <v>0</v>
      </c>
      <c r="X201" s="453">
        <v>571.42999999999995</v>
      </c>
      <c r="Y201" s="453">
        <v>571.42999999999995</v>
      </c>
      <c r="Z201" s="453">
        <v>571.42999999999995</v>
      </c>
      <c r="AA201" s="453">
        <v>600.84</v>
      </c>
      <c r="AB201" s="453">
        <v>600.84</v>
      </c>
      <c r="AC201" s="453">
        <v>600.84</v>
      </c>
      <c r="AD201" s="453">
        <v>1261.08</v>
      </c>
      <c r="AE201" s="453">
        <v>3303.81</v>
      </c>
      <c r="AF201" s="453">
        <v>3345.83</v>
      </c>
      <c r="AG201" s="453">
        <v>3345.83</v>
      </c>
      <c r="AH201" s="453">
        <v>3345.83</v>
      </c>
      <c r="AI201" s="453">
        <v>0</v>
      </c>
      <c r="AJ201" s="453">
        <v>0</v>
      </c>
      <c r="AK201" s="453">
        <v>159.66</v>
      </c>
      <c r="AL201" s="453">
        <v>951.26</v>
      </c>
      <c r="AM201" s="453">
        <v>2935.48</v>
      </c>
      <c r="AN201" s="453">
        <v>2935.48</v>
      </c>
      <c r="AO201" s="453">
        <v>2935.48</v>
      </c>
      <c r="AP201" s="453">
        <v>2935.48</v>
      </c>
      <c r="AQ201" s="453">
        <v>2935.48</v>
      </c>
      <c r="AR201" s="453">
        <f>IFERROR(INDEX('SuSa Okt25'!$N:$N,MATCH($A201,'SuSa Okt25'!A:A,0)),"")</f>
        <v>2935.48</v>
      </c>
      <c r="AS201" s="453">
        <f>IFERROR(INDEX('SuSa Nov25'!$N:$N,MATCH($A201,'SuSa Nov25'!$A:$A,0)),"")</f>
        <v>3277.47</v>
      </c>
      <c r="AT201" s="453">
        <f>IFERROR(INDEX('SuSa Dez25'!$N:$N,MATCH($A201,'SuSa Dez25'!$A:$A,0)),"")</f>
        <v>4132.87</v>
      </c>
    </row>
    <row r="202" spans="1:46" hidden="1" outlineLevel="1" collapsed="1" x14ac:dyDescent="0.25">
      <c r="A202" s="452">
        <v>4541</v>
      </c>
      <c r="B202" t="s">
        <v>1462</v>
      </c>
      <c r="C202" t="s">
        <v>1463</v>
      </c>
      <c r="D202" t="s">
        <v>1391</v>
      </c>
      <c r="G202" s="453">
        <f t="shared" si="9"/>
        <v>0</v>
      </c>
      <c r="H202" s="453">
        <f t="shared" si="10"/>
        <v>0</v>
      </c>
      <c r="I202" s="453" t="str">
        <f t="shared" si="11"/>
        <v/>
      </c>
      <c r="K202" s="453">
        <v>0</v>
      </c>
      <c r="L202" s="453">
        <v>0</v>
      </c>
      <c r="M202" s="453">
        <v>0</v>
      </c>
      <c r="N202" s="453">
        <v>0</v>
      </c>
      <c r="O202" s="453">
        <v>0</v>
      </c>
      <c r="P202" s="453">
        <v>0</v>
      </c>
      <c r="Q202" s="453">
        <v>0</v>
      </c>
      <c r="R202" s="453">
        <v>0</v>
      </c>
      <c r="S202" s="453">
        <v>0</v>
      </c>
      <c r="T202" s="453">
        <v>0</v>
      </c>
      <c r="U202" s="453">
        <v>0</v>
      </c>
      <c r="V202" s="453">
        <v>0</v>
      </c>
      <c r="AR202" s="453" t="str">
        <f>IFERROR(INDEX('SuSa Okt25'!$N:$N,MATCH($A202,'SuSa Okt25'!A:A,0)),"")</f>
        <v/>
      </c>
      <c r="AS202" s="453" t="str">
        <f>IFERROR(INDEX('SuSa Nov25'!$N:$N,MATCH($A202,'SuSa Nov25'!$A:$A,0)),"")</f>
        <v/>
      </c>
      <c r="AT202" s="453" t="str">
        <f>IFERROR(INDEX('SuSa Dez25'!$N:$N,MATCH($A202,'SuSa Dez25'!$A:$A,0)),"")</f>
        <v/>
      </c>
    </row>
    <row r="203" spans="1:46" hidden="1" outlineLevel="1" collapsed="1" x14ac:dyDescent="0.25">
      <c r="A203" s="452">
        <v>4542</v>
      </c>
      <c r="B203" t="s">
        <v>1464</v>
      </c>
      <c r="C203" t="s">
        <v>1465</v>
      </c>
      <c r="D203" t="s">
        <v>1391</v>
      </c>
      <c r="G203" s="453">
        <f t="shared" si="9"/>
        <v>2477.13</v>
      </c>
      <c r="H203" s="453">
        <f t="shared" si="10"/>
        <v>0</v>
      </c>
      <c r="I203" s="453">
        <f t="shared" si="11"/>
        <v>0</v>
      </c>
      <c r="K203" s="453">
        <v>0</v>
      </c>
      <c r="L203" s="453">
        <v>1285.6400000000001</v>
      </c>
      <c r="M203" s="453">
        <v>1285.6400000000001</v>
      </c>
      <c r="N203" s="453">
        <v>1398.76</v>
      </c>
      <c r="O203" s="453">
        <v>1398.76</v>
      </c>
      <c r="P203" s="453">
        <v>1398.76</v>
      </c>
      <c r="Q203" s="453">
        <v>1398.76</v>
      </c>
      <c r="R203" s="453">
        <v>1468.51</v>
      </c>
      <c r="S203" s="453">
        <v>1468.51</v>
      </c>
      <c r="T203" s="453">
        <v>1611.87</v>
      </c>
      <c r="U203" s="453">
        <v>1611.87</v>
      </c>
      <c r="V203" s="453">
        <v>2477.13</v>
      </c>
    </row>
    <row r="204" spans="1:46" hidden="1" outlineLevel="1" collapsed="1" x14ac:dyDescent="0.25">
      <c r="A204" s="452">
        <v>4542</v>
      </c>
      <c r="B204" t="s">
        <v>1466</v>
      </c>
      <c r="C204" t="s">
        <v>1467</v>
      </c>
      <c r="D204" t="s">
        <v>1391</v>
      </c>
      <c r="G204" s="453">
        <f t="shared" si="9"/>
        <v>0</v>
      </c>
      <c r="H204" s="453">
        <f t="shared" si="10"/>
        <v>3369.76</v>
      </c>
      <c r="I204" s="453">
        <f t="shared" si="11"/>
        <v>2956.24</v>
      </c>
      <c r="W204" s="453">
        <v>0</v>
      </c>
      <c r="X204" s="453">
        <v>0</v>
      </c>
      <c r="Y204" s="453">
        <v>0</v>
      </c>
      <c r="Z204" s="453">
        <v>286.72000000000003</v>
      </c>
      <c r="AA204" s="453">
        <v>586.72</v>
      </c>
      <c r="AB204" s="453">
        <v>2263.04</v>
      </c>
      <c r="AC204" s="453">
        <v>2263.04</v>
      </c>
      <c r="AD204" s="453">
        <v>2263.04</v>
      </c>
      <c r="AE204" s="453">
        <v>2263.04</v>
      </c>
      <c r="AF204" s="453">
        <v>3069.76</v>
      </c>
      <c r="AG204" s="453">
        <v>3069.76</v>
      </c>
      <c r="AH204" s="453">
        <v>3369.76</v>
      </c>
      <c r="AI204" s="453">
        <v>0</v>
      </c>
      <c r="AJ204" s="453">
        <v>0</v>
      </c>
      <c r="AK204" s="453">
        <v>0</v>
      </c>
      <c r="AL204" s="453">
        <v>143.36000000000001</v>
      </c>
      <c r="AM204" s="453">
        <v>1549.34</v>
      </c>
      <c r="AN204" s="453">
        <v>1549.34</v>
      </c>
      <c r="AO204" s="453">
        <v>1549.34</v>
      </c>
      <c r="AP204" s="453">
        <v>1549.34</v>
      </c>
      <c r="AQ204" s="453">
        <v>1849.34</v>
      </c>
      <c r="AR204" s="453">
        <f>IFERROR(INDEX('SuSa Okt25'!$N:$N,MATCH($A204,'SuSa Okt25'!A:A,0)),"")</f>
        <v>2525.06</v>
      </c>
      <c r="AS204" s="453">
        <f>IFERROR(INDEX('SuSa Nov25'!$N:$N,MATCH($A204,'SuSa Nov25'!$A:$A,0)),"")</f>
        <v>2956.24</v>
      </c>
      <c r="AT204" s="453">
        <f>IFERROR(INDEX('SuSa Dez25'!$N:$N,MATCH($A204,'SuSa Dez25'!$A:$A,0)),"")</f>
        <v>2956.24</v>
      </c>
    </row>
    <row r="205" spans="1:46" hidden="1" outlineLevel="1" collapsed="1" x14ac:dyDescent="0.25">
      <c r="A205" s="452">
        <v>4543</v>
      </c>
      <c r="B205" t="s">
        <v>1468</v>
      </c>
      <c r="C205" t="s">
        <v>1469</v>
      </c>
      <c r="D205" t="s">
        <v>1391</v>
      </c>
      <c r="G205" s="453">
        <f t="shared" si="9"/>
        <v>3815.8</v>
      </c>
      <c r="H205" s="453">
        <f t="shared" si="10"/>
        <v>0</v>
      </c>
      <c r="I205" s="453">
        <f t="shared" si="11"/>
        <v>0</v>
      </c>
      <c r="K205" s="453">
        <v>0</v>
      </c>
      <c r="L205" s="453">
        <v>921.78</v>
      </c>
      <c r="M205" s="453">
        <v>921.78</v>
      </c>
      <c r="N205" s="453">
        <v>921.78</v>
      </c>
      <c r="O205" s="453">
        <v>921.78</v>
      </c>
      <c r="P205" s="453">
        <v>921.78</v>
      </c>
      <c r="Q205" s="453">
        <v>3167.76</v>
      </c>
      <c r="R205" s="453">
        <v>3167.76</v>
      </c>
      <c r="S205" s="453">
        <v>3167.76</v>
      </c>
      <c r="T205" s="453">
        <v>3167.76</v>
      </c>
      <c r="U205" s="453">
        <v>3292.88</v>
      </c>
      <c r="V205" s="453">
        <v>3815.8</v>
      </c>
    </row>
    <row r="206" spans="1:46" hidden="1" outlineLevel="1" collapsed="1" x14ac:dyDescent="0.25">
      <c r="A206" s="452">
        <v>4543</v>
      </c>
      <c r="B206" t="s">
        <v>1470</v>
      </c>
      <c r="C206" t="s">
        <v>1471</v>
      </c>
      <c r="D206" t="s">
        <v>1391</v>
      </c>
      <c r="G206" s="453">
        <f t="shared" si="9"/>
        <v>0</v>
      </c>
      <c r="H206" s="453">
        <f t="shared" si="10"/>
        <v>3942.67</v>
      </c>
      <c r="I206" s="453">
        <f t="shared" si="11"/>
        <v>4533.32</v>
      </c>
      <c r="W206" s="453">
        <v>0</v>
      </c>
      <c r="X206" s="453">
        <v>0</v>
      </c>
      <c r="Y206" s="453">
        <v>0</v>
      </c>
      <c r="Z206" s="453">
        <v>1316.6</v>
      </c>
      <c r="AA206" s="453">
        <v>2013.04</v>
      </c>
      <c r="AB206" s="453">
        <v>2077.7800000000002</v>
      </c>
      <c r="AC206" s="453">
        <v>2109.62</v>
      </c>
      <c r="AD206" s="453">
        <v>2141.46</v>
      </c>
      <c r="AE206" s="453">
        <v>2173.3000000000002</v>
      </c>
      <c r="AF206" s="453">
        <v>2948.82</v>
      </c>
      <c r="AG206" s="453">
        <v>3810.5</v>
      </c>
      <c r="AH206" s="453">
        <v>3942.67</v>
      </c>
      <c r="AI206" s="453">
        <v>825.63</v>
      </c>
      <c r="AJ206" s="453">
        <v>857.47</v>
      </c>
      <c r="AK206" s="453">
        <v>1210.47</v>
      </c>
      <c r="AL206" s="453">
        <v>1977.21</v>
      </c>
      <c r="AM206" s="453">
        <v>2224.4899999999998</v>
      </c>
      <c r="AN206" s="453">
        <v>2224.4899999999998</v>
      </c>
      <c r="AO206" s="453">
        <v>2288.17</v>
      </c>
      <c r="AP206" s="453">
        <v>3216.82</v>
      </c>
      <c r="AQ206" s="453">
        <v>3248.66</v>
      </c>
      <c r="AR206" s="453">
        <f>IFERROR(INDEX('SuSa Okt25'!$N:$N,MATCH($A206,'SuSa Okt25'!A:A,0)),"")</f>
        <v>3280.5</v>
      </c>
      <c r="AS206" s="453">
        <f>IFERROR(INDEX('SuSa Nov25'!$N:$N,MATCH($A206,'SuSa Nov25'!$A:$A,0)),"")</f>
        <v>4501.4799999999996</v>
      </c>
      <c r="AT206" s="453">
        <f>IFERROR(INDEX('SuSa Dez25'!$N:$N,MATCH($A206,'SuSa Dez25'!$A:$A,0)),"")</f>
        <v>4533.32</v>
      </c>
    </row>
    <row r="207" spans="1:46" hidden="1" outlineLevel="1" collapsed="1" x14ac:dyDescent="0.25">
      <c r="A207" s="452">
        <v>4544</v>
      </c>
      <c r="B207" t="s">
        <v>1472</v>
      </c>
      <c r="C207" t="s">
        <v>1473</v>
      </c>
      <c r="D207" t="s">
        <v>1391</v>
      </c>
      <c r="G207" s="453">
        <f t="shared" si="9"/>
        <v>4780.91</v>
      </c>
      <c r="H207" s="453">
        <f t="shared" si="10"/>
        <v>4879.63</v>
      </c>
      <c r="I207" s="453">
        <f t="shared" si="11"/>
        <v>6782.12</v>
      </c>
      <c r="K207" s="453">
        <v>0</v>
      </c>
      <c r="L207" s="453">
        <v>0</v>
      </c>
      <c r="M207" s="453">
        <v>1360.74</v>
      </c>
      <c r="N207" s="453">
        <v>1360.74</v>
      </c>
      <c r="O207" s="453">
        <v>2316.62</v>
      </c>
      <c r="P207" s="453">
        <v>2899.25</v>
      </c>
      <c r="Q207" s="453">
        <v>2899.25</v>
      </c>
      <c r="R207" s="453">
        <v>2899.25</v>
      </c>
      <c r="S207" s="453">
        <v>2899.25</v>
      </c>
      <c r="T207" s="453">
        <v>2899.25</v>
      </c>
      <c r="U207" s="453">
        <v>4762.72</v>
      </c>
      <c r="V207" s="453">
        <v>4780.91</v>
      </c>
      <c r="W207" s="453">
        <v>0</v>
      </c>
      <c r="X207" s="453">
        <v>1727.09</v>
      </c>
      <c r="Y207" s="453">
        <v>2196.52</v>
      </c>
      <c r="Z207" s="453">
        <v>2336.94</v>
      </c>
      <c r="AA207" s="453">
        <v>2336.94</v>
      </c>
      <c r="AB207" s="453">
        <v>2336.94</v>
      </c>
      <c r="AC207" s="453">
        <v>2357.9499999999998</v>
      </c>
      <c r="AD207" s="453">
        <v>3390.68</v>
      </c>
      <c r="AE207" s="453">
        <v>3390.68</v>
      </c>
      <c r="AF207" s="453">
        <v>4336.53</v>
      </c>
      <c r="AG207" s="453">
        <v>4336.53</v>
      </c>
      <c r="AH207" s="453">
        <v>4879.63</v>
      </c>
      <c r="AI207" s="453">
        <v>636.64</v>
      </c>
      <c r="AJ207" s="453">
        <v>636.64</v>
      </c>
      <c r="AK207" s="453">
        <v>636.64</v>
      </c>
      <c r="AL207" s="453">
        <v>796.64</v>
      </c>
      <c r="AM207" s="453">
        <v>1479.75</v>
      </c>
      <c r="AN207" s="453">
        <v>1479.75</v>
      </c>
      <c r="AO207" s="453">
        <v>3701.82</v>
      </c>
      <c r="AP207" s="453">
        <v>4032.52</v>
      </c>
      <c r="AQ207" s="453">
        <v>4032.52</v>
      </c>
      <c r="AR207" s="453">
        <f>IFERROR(INDEX('SuSa Okt25'!$N:$N,MATCH($A207,'SuSa Okt25'!A:A,0)),"")</f>
        <v>6782.12</v>
      </c>
      <c r="AS207" s="453">
        <f>IFERROR(INDEX('SuSa Nov25'!$N:$N,MATCH($A207,'SuSa Nov25'!$A:$A,0)),"")</f>
        <v>6782.12</v>
      </c>
      <c r="AT207" s="453">
        <f>IFERROR(INDEX('SuSa Dez25'!$N:$N,MATCH($A207,'SuSa Dez25'!$A:$A,0)),"")</f>
        <v>6782.12</v>
      </c>
    </row>
    <row r="208" spans="1:46" hidden="1" outlineLevel="1" collapsed="1" x14ac:dyDescent="0.25">
      <c r="A208" s="452">
        <v>4545</v>
      </c>
      <c r="B208" t="s">
        <v>1474</v>
      </c>
      <c r="C208" t="s">
        <v>1475</v>
      </c>
      <c r="D208" t="s">
        <v>1391</v>
      </c>
      <c r="G208" s="453">
        <f t="shared" si="9"/>
        <v>563.85</v>
      </c>
      <c r="H208" s="453">
        <f t="shared" si="10"/>
        <v>0</v>
      </c>
      <c r="I208" s="453">
        <f t="shared" si="11"/>
        <v>0</v>
      </c>
      <c r="K208" s="453">
        <v>0</v>
      </c>
      <c r="L208" s="453">
        <v>0</v>
      </c>
      <c r="M208" s="453">
        <v>0</v>
      </c>
      <c r="N208" s="453">
        <v>0</v>
      </c>
      <c r="O208" s="453">
        <v>468.8</v>
      </c>
      <c r="P208" s="453">
        <v>468.8</v>
      </c>
      <c r="Q208" s="453">
        <v>468.8</v>
      </c>
      <c r="R208" s="453">
        <v>563.85</v>
      </c>
      <c r="S208" s="453">
        <v>563.85</v>
      </c>
      <c r="T208" s="453">
        <v>563.85</v>
      </c>
      <c r="U208" s="453">
        <v>563.85</v>
      </c>
      <c r="V208" s="453">
        <v>563.85</v>
      </c>
    </row>
    <row r="209" spans="1:46" hidden="1" outlineLevel="1" collapsed="1" x14ac:dyDescent="0.25">
      <c r="A209" s="452">
        <v>4545</v>
      </c>
      <c r="B209" t="s">
        <v>1476</v>
      </c>
      <c r="C209" t="s">
        <v>1477</v>
      </c>
      <c r="D209" t="s">
        <v>1391</v>
      </c>
      <c r="G209" s="453">
        <f t="shared" si="9"/>
        <v>0</v>
      </c>
      <c r="H209" s="453">
        <f t="shared" si="10"/>
        <v>3714.45</v>
      </c>
      <c r="I209" s="453">
        <f t="shared" si="11"/>
        <v>1347.09</v>
      </c>
      <c r="W209" s="453">
        <v>0</v>
      </c>
      <c r="X209" s="453">
        <v>0</v>
      </c>
      <c r="Y209" s="453">
        <v>102.13</v>
      </c>
      <c r="Z209" s="453">
        <v>1143.3</v>
      </c>
      <c r="AA209" s="453">
        <v>1143.3</v>
      </c>
      <c r="AB209" s="453">
        <v>1341.74</v>
      </c>
      <c r="AC209" s="453">
        <v>1386.11</v>
      </c>
      <c r="AD209" s="453">
        <v>1430.48</v>
      </c>
      <c r="AE209" s="453">
        <v>1474.85</v>
      </c>
      <c r="AF209" s="453">
        <v>1519.22</v>
      </c>
      <c r="AG209" s="453">
        <v>3670.08</v>
      </c>
      <c r="AH209" s="453">
        <v>3714.45</v>
      </c>
      <c r="AI209" s="453">
        <v>44.37</v>
      </c>
      <c r="AJ209" s="453">
        <v>88.74</v>
      </c>
      <c r="AK209" s="453">
        <v>133.11000000000001</v>
      </c>
      <c r="AL209" s="453">
        <v>303.52999999999997</v>
      </c>
      <c r="AM209" s="453">
        <v>347.9</v>
      </c>
      <c r="AN209" s="453">
        <v>999.19</v>
      </c>
      <c r="AO209" s="453">
        <v>1043.56</v>
      </c>
      <c r="AP209" s="453">
        <v>1087.93</v>
      </c>
      <c r="AQ209" s="453">
        <v>1132.3</v>
      </c>
      <c r="AR209" s="453">
        <f>IFERROR(INDEX('SuSa Okt25'!$N:$N,MATCH($A209,'SuSa Okt25'!A:A,0)),"")</f>
        <v>1132.3</v>
      </c>
      <c r="AS209" s="453">
        <f>IFERROR(INDEX('SuSa Nov25'!$N:$N,MATCH($A209,'SuSa Nov25'!$A:$A,0)),"")</f>
        <v>1176.67</v>
      </c>
      <c r="AT209" s="453">
        <f>IFERROR(INDEX('SuSa Dez25'!$N:$N,MATCH($A209,'SuSa Dez25'!$A:$A,0)),"")</f>
        <v>1347.09</v>
      </c>
    </row>
    <row r="210" spans="1:46" hidden="1" outlineLevel="1" collapsed="1" x14ac:dyDescent="0.25">
      <c r="A210" s="452">
        <v>4546</v>
      </c>
      <c r="B210" t="s">
        <v>1478</v>
      </c>
      <c r="C210" t="s">
        <v>1479</v>
      </c>
      <c r="D210" t="s">
        <v>1391</v>
      </c>
      <c r="G210" s="453">
        <f t="shared" si="9"/>
        <v>3351.13</v>
      </c>
      <c r="H210" s="453">
        <f t="shared" si="10"/>
        <v>0</v>
      </c>
      <c r="I210" s="453">
        <f t="shared" si="11"/>
        <v>0</v>
      </c>
      <c r="K210" s="453">
        <v>29.46</v>
      </c>
      <c r="L210" s="453">
        <v>29.46</v>
      </c>
      <c r="M210" s="453">
        <v>29.46</v>
      </c>
      <c r="N210" s="453">
        <v>457.76</v>
      </c>
      <c r="O210" s="453">
        <v>1073.3900000000001</v>
      </c>
      <c r="P210" s="453">
        <v>1073.3900000000001</v>
      </c>
      <c r="Q210" s="453">
        <v>1073.3900000000001</v>
      </c>
      <c r="R210" s="453">
        <v>1073.3900000000001</v>
      </c>
      <c r="S210" s="453">
        <v>1073.3900000000001</v>
      </c>
      <c r="T210" s="453">
        <v>1073.3900000000001</v>
      </c>
      <c r="U210" s="453">
        <v>1621.74</v>
      </c>
      <c r="V210" s="453">
        <v>3351.13</v>
      </c>
    </row>
    <row r="211" spans="1:46" hidden="1" outlineLevel="1" collapsed="1" x14ac:dyDescent="0.25">
      <c r="A211" s="452">
        <v>4546</v>
      </c>
      <c r="B211" t="s">
        <v>1480</v>
      </c>
      <c r="C211" t="s">
        <v>1481</v>
      </c>
      <c r="D211" t="s">
        <v>1391</v>
      </c>
      <c r="G211" s="453">
        <f t="shared" si="9"/>
        <v>0</v>
      </c>
      <c r="H211" s="453">
        <f t="shared" si="10"/>
        <v>5684.87</v>
      </c>
      <c r="I211" s="453">
        <f t="shared" si="11"/>
        <v>0</v>
      </c>
      <c r="W211" s="453">
        <v>0</v>
      </c>
      <c r="X211" s="453">
        <v>697.82</v>
      </c>
      <c r="Y211" s="453">
        <v>697.82</v>
      </c>
      <c r="Z211" s="453">
        <v>1318.83</v>
      </c>
      <c r="AA211" s="453">
        <v>1589.95</v>
      </c>
      <c r="AB211" s="453">
        <v>1589.95</v>
      </c>
      <c r="AC211" s="453">
        <v>1589.95</v>
      </c>
      <c r="AD211" s="453">
        <v>1749.95</v>
      </c>
      <c r="AE211" s="453">
        <v>1749.95</v>
      </c>
      <c r="AF211" s="453">
        <v>5684.87</v>
      </c>
      <c r="AG211" s="453">
        <v>5684.87</v>
      </c>
      <c r="AH211" s="453">
        <v>5684.87</v>
      </c>
    </row>
    <row r="212" spans="1:46" hidden="1" outlineLevel="1" collapsed="1" x14ac:dyDescent="0.25">
      <c r="A212" s="452">
        <v>4546</v>
      </c>
      <c r="B212" t="s">
        <v>1482</v>
      </c>
      <c r="C212" t="s">
        <v>1483</v>
      </c>
      <c r="D212" t="s">
        <v>1391</v>
      </c>
      <c r="G212" s="453">
        <f t="shared" si="9"/>
        <v>0</v>
      </c>
      <c r="H212" s="453">
        <f t="shared" si="10"/>
        <v>0</v>
      </c>
      <c r="I212" s="453">
        <f t="shared" si="11"/>
        <v>1817.07</v>
      </c>
      <c r="AI212" s="453">
        <v>0</v>
      </c>
      <c r="AJ212" s="453">
        <v>0</v>
      </c>
      <c r="AK212" s="453">
        <v>0</v>
      </c>
      <c r="AL212" s="453">
        <v>237.81</v>
      </c>
      <c r="AM212" s="453">
        <v>237.81</v>
      </c>
      <c r="AN212" s="453">
        <v>237.81</v>
      </c>
      <c r="AO212" s="453">
        <v>1123.26</v>
      </c>
      <c r="AP212" s="453">
        <v>1579.26</v>
      </c>
      <c r="AQ212" s="453">
        <v>1579.26</v>
      </c>
      <c r="AR212" s="453">
        <f>IFERROR(INDEX('SuSa Okt25'!$N:$N,MATCH($A212,'SuSa Okt25'!A:A,0)),"")</f>
        <v>1579.26</v>
      </c>
      <c r="AS212" s="453">
        <f>IFERROR(INDEX('SuSa Nov25'!$N:$N,MATCH($A212,'SuSa Nov25'!$A:$A,0)),"")</f>
        <v>1817.07</v>
      </c>
      <c r="AT212" s="453">
        <f>IFERROR(INDEX('SuSa Dez25'!$N:$N,MATCH($A212,'SuSa Dez25'!$A:$A,0)),"")</f>
        <v>1817.07</v>
      </c>
    </row>
    <row r="213" spans="1:46" hidden="1" outlineLevel="1" collapsed="1" x14ac:dyDescent="0.25">
      <c r="A213" s="452">
        <v>4547</v>
      </c>
      <c r="B213" t="s">
        <v>1484</v>
      </c>
      <c r="C213" t="s">
        <v>1485</v>
      </c>
      <c r="D213" t="s">
        <v>1391</v>
      </c>
      <c r="G213" s="453">
        <f t="shared" si="9"/>
        <v>7572.07</v>
      </c>
      <c r="H213" s="453">
        <f t="shared" si="10"/>
        <v>0</v>
      </c>
      <c r="I213" s="453">
        <f t="shared" si="11"/>
        <v>0</v>
      </c>
      <c r="K213" s="453">
        <v>0</v>
      </c>
      <c r="L213" s="453">
        <v>215.03</v>
      </c>
      <c r="M213" s="453">
        <v>301.43</v>
      </c>
      <c r="N213" s="453">
        <v>1941.59</v>
      </c>
      <c r="O213" s="453">
        <v>2690.03</v>
      </c>
      <c r="P213" s="453">
        <v>3835.42</v>
      </c>
      <c r="Q213" s="453">
        <v>3835.42</v>
      </c>
      <c r="R213" s="453">
        <v>3835.42</v>
      </c>
      <c r="S213" s="453">
        <v>6803.15</v>
      </c>
      <c r="T213" s="453">
        <v>6803.15</v>
      </c>
      <c r="U213" s="453">
        <v>7572.07</v>
      </c>
      <c r="V213" s="453">
        <v>7572.07</v>
      </c>
    </row>
    <row r="214" spans="1:46" hidden="1" outlineLevel="1" collapsed="1" x14ac:dyDescent="0.25">
      <c r="A214" s="452">
        <v>4547</v>
      </c>
      <c r="B214" t="s">
        <v>1486</v>
      </c>
      <c r="C214" t="s">
        <v>1487</v>
      </c>
      <c r="D214" t="s">
        <v>1391</v>
      </c>
      <c r="G214" s="453">
        <f t="shared" si="9"/>
        <v>0</v>
      </c>
      <c r="H214" s="453">
        <f t="shared" si="10"/>
        <v>2653.69</v>
      </c>
      <c r="I214" s="453">
        <f t="shared" si="11"/>
        <v>2490.8000000000002</v>
      </c>
      <c r="W214" s="453">
        <v>0</v>
      </c>
      <c r="X214" s="453">
        <v>44.1</v>
      </c>
      <c r="Y214" s="453">
        <v>494.1</v>
      </c>
      <c r="Z214" s="453">
        <v>615.94000000000005</v>
      </c>
      <c r="AA214" s="453">
        <v>1021.4</v>
      </c>
      <c r="AB214" s="453">
        <v>1021.4</v>
      </c>
      <c r="AC214" s="453">
        <v>1321.4</v>
      </c>
      <c r="AD214" s="453">
        <v>1321.4</v>
      </c>
      <c r="AE214" s="453">
        <v>1471.4</v>
      </c>
      <c r="AF214" s="453">
        <v>2344.64</v>
      </c>
      <c r="AG214" s="453">
        <v>2422.38</v>
      </c>
      <c r="AH214" s="453">
        <v>2653.69</v>
      </c>
      <c r="AI214" s="453">
        <v>0</v>
      </c>
      <c r="AJ214" s="453">
        <v>0</v>
      </c>
      <c r="AK214" s="453">
        <v>166.84</v>
      </c>
      <c r="AL214" s="453">
        <v>2174.67</v>
      </c>
      <c r="AM214" s="453">
        <v>2252.41</v>
      </c>
      <c r="AN214" s="453">
        <v>2252.41</v>
      </c>
      <c r="AO214" s="453">
        <v>2252.41</v>
      </c>
      <c r="AP214" s="453">
        <v>2275.7199999999998</v>
      </c>
      <c r="AQ214" s="453">
        <v>2275.7199999999998</v>
      </c>
      <c r="AR214" s="453">
        <f>IFERROR(INDEX('SuSa Okt25'!$N:$N,MATCH($A214,'SuSa Okt25'!A:A,0)),"")</f>
        <v>2413.06</v>
      </c>
      <c r="AS214" s="453">
        <f>IFERROR(INDEX('SuSa Nov25'!$N:$N,MATCH($A214,'SuSa Nov25'!$A:$A,0)),"")</f>
        <v>2490.8000000000002</v>
      </c>
      <c r="AT214" s="453">
        <f>IFERROR(INDEX('SuSa Dez25'!$N:$N,MATCH($A214,'SuSa Dez25'!$A:$A,0)),"")</f>
        <v>2490.8000000000002</v>
      </c>
    </row>
    <row r="215" spans="1:46" hidden="1" outlineLevel="1" collapsed="1" x14ac:dyDescent="0.25">
      <c r="A215" s="452">
        <v>4548</v>
      </c>
      <c r="B215" t="s">
        <v>1488</v>
      </c>
      <c r="C215" t="s">
        <v>1489</v>
      </c>
      <c r="D215" t="s">
        <v>1391</v>
      </c>
      <c r="G215" s="453">
        <f t="shared" si="9"/>
        <v>3282.4</v>
      </c>
      <c r="H215" s="453">
        <f t="shared" si="10"/>
        <v>4788.5</v>
      </c>
      <c r="I215" s="453">
        <f t="shared" si="11"/>
        <v>4955.8599999999997</v>
      </c>
      <c r="K215" s="453">
        <v>0</v>
      </c>
      <c r="L215" s="453">
        <v>0</v>
      </c>
      <c r="M215" s="453">
        <v>0</v>
      </c>
      <c r="N215" s="453">
        <v>0</v>
      </c>
      <c r="O215" s="453">
        <v>0</v>
      </c>
      <c r="P215" s="453">
        <v>151.16</v>
      </c>
      <c r="Q215" s="453">
        <v>302.32</v>
      </c>
      <c r="R215" s="453">
        <v>953.48</v>
      </c>
      <c r="S215" s="453">
        <v>1604.64</v>
      </c>
      <c r="T215" s="453">
        <v>2835.63</v>
      </c>
      <c r="U215" s="453">
        <v>2986.79</v>
      </c>
      <c r="V215" s="453">
        <v>3282.4</v>
      </c>
      <c r="W215" s="453">
        <v>151.16</v>
      </c>
      <c r="X215" s="453">
        <v>2301.02</v>
      </c>
      <c r="Y215" s="453">
        <v>2586.63</v>
      </c>
      <c r="Z215" s="453">
        <v>2833.59</v>
      </c>
      <c r="AA215" s="453">
        <v>2984.75</v>
      </c>
      <c r="AB215" s="453">
        <v>3635.91</v>
      </c>
      <c r="AC215" s="453">
        <v>3787.07</v>
      </c>
      <c r="AD215" s="453">
        <v>3938.23</v>
      </c>
      <c r="AE215" s="453">
        <v>4089.39</v>
      </c>
      <c r="AF215" s="453">
        <v>4351.7299999999996</v>
      </c>
      <c r="AG215" s="453">
        <v>4502.8900000000003</v>
      </c>
      <c r="AH215" s="453">
        <v>4788.5</v>
      </c>
      <c r="AI215" s="453">
        <v>151.16</v>
      </c>
      <c r="AJ215" s="453">
        <v>302.32</v>
      </c>
      <c r="AK215" s="453">
        <v>736.58</v>
      </c>
      <c r="AL215" s="453">
        <v>998.92</v>
      </c>
      <c r="AM215" s="453">
        <v>1650.08</v>
      </c>
      <c r="AN215" s="453">
        <v>1801.24</v>
      </c>
      <c r="AO215" s="453">
        <v>1952.4</v>
      </c>
      <c r="AP215" s="453">
        <v>2103.56</v>
      </c>
      <c r="AQ215" s="453">
        <v>3977.33</v>
      </c>
      <c r="AR215" s="453">
        <f>IFERROR(INDEX('SuSa Okt25'!$N:$N,MATCH($A215,'SuSa Okt25'!A:A,0)),"")</f>
        <v>4489.67</v>
      </c>
      <c r="AS215" s="453">
        <f>IFERROR(INDEX('SuSa Nov25'!$N:$N,MATCH($A215,'SuSa Nov25'!$A:$A,0)),"")</f>
        <v>4640.83</v>
      </c>
      <c r="AT215" s="453">
        <f>IFERROR(INDEX('SuSa Dez25'!$N:$N,MATCH($A215,'SuSa Dez25'!$A:$A,0)),"")</f>
        <v>4955.8599999999997</v>
      </c>
    </row>
    <row r="216" spans="1:46" hidden="1" outlineLevel="1" collapsed="1" x14ac:dyDescent="0.25">
      <c r="A216" s="452">
        <v>4549</v>
      </c>
      <c r="B216" t="s">
        <v>1490</v>
      </c>
      <c r="C216" t="s">
        <v>1491</v>
      </c>
      <c r="D216" t="s">
        <v>1391</v>
      </c>
      <c r="G216" s="453">
        <f t="shared" si="9"/>
        <v>64</v>
      </c>
      <c r="H216" s="453">
        <f t="shared" si="10"/>
        <v>184</v>
      </c>
      <c r="I216" s="453">
        <f t="shared" si="11"/>
        <v>300</v>
      </c>
      <c r="K216" s="453">
        <v>0</v>
      </c>
      <c r="L216" s="453">
        <v>0</v>
      </c>
      <c r="M216" s="453">
        <v>0</v>
      </c>
      <c r="N216" s="453">
        <v>0</v>
      </c>
      <c r="O216" s="453">
        <v>8</v>
      </c>
      <c r="P216" s="453">
        <v>16</v>
      </c>
      <c r="Q216" s="453">
        <v>24</v>
      </c>
      <c r="R216" s="453">
        <v>32</v>
      </c>
      <c r="S216" s="453">
        <v>40</v>
      </c>
      <c r="T216" s="453">
        <v>48</v>
      </c>
      <c r="U216" s="453">
        <v>56</v>
      </c>
      <c r="V216" s="453">
        <v>64</v>
      </c>
      <c r="W216" s="453">
        <v>8</v>
      </c>
      <c r="X216" s="453">
        <v>16</v>
      </c>
      <c r="Y216" s="453">
        <v>24</v>
      </c>
      <c r="Z216" s="453">
        <v>32</v>
      </c>
      <c r="AA216" s="453">
        <v>40</v>
      </c>
      <c r="AB216" s="453">
        <v>64</v>
      </c>
      <c r="AC216" s="453">
        <v>84</v>
      </c>
      <c r="AD216" s="453">
        <v>104</v>
      </c>
      <c r="AE216" s="453">
        <v>124</v>
      </c>
      <c r="AF216" s="453">
        <v>144</v>
      </c>
      <c r="AG216" s="453">
        <v>164</v>
      </c>
      <c r="AH216" s="453">
        <v>184</v>
      </c>
      <c r="AI216" s="453">
        <v>20</v>
      </c>
      <c r="AJ216" s="453">
        <v>40</v>
      </c>
      <c r="AK216" s="453">
        <v>60</v>
      </c>
      <c r="AL216" s="453">
        <v>80</v>
      </c>
      <c r="AM216" s="453">
        <v>108</v>
      </c>
      <c r="AN216" s="453">
        <v>132</v>
      </c>
      <c r="AO216" s="453">
        <v>156</v>
      </c>
      <c r="AP216" s="453">
        <v>180</v>
      </c>
      <c r="AQ216" s="453">
        <v>204</v>
      </c>
      <c r="AR216" s="453">
        <f>IFERROR(INDEX('SuSa Okt25'!$N:$N,MATCH($A216,'SuSa Okt25'!A:A,0)),"")</f>
        <v>232</v>
      </c>
      <c r="AS216" s="453">
        <f>IFERROR(INDEX('SuSa Nov25'!$N:$N,MATCH($A216,'SuSa Nov25'!$A:$A,0)),"")</f>
        <v>268</v>
      </c>
      <c r="AT216" s="453">
        <f>IFERROR(INDEX('SuSa Dez25'!$N:$N,MATCH($A216,'SuSa Dez25'!$A:$A,0)),"")</f>
        <v>300</v>
      </c>
    </row>
    <row r="217" spans="1:46" hidden="1" outlineLevel="1" collapsed="1" x14ac:dyDescent="0.25">
      <c r="A217" s="452">
        <v>4570</v>
      </c>
      <c r="B217" t="s">
        <v>1492</v>
      </c>
      <c r="C217" t="s">
        <v>1493</v>
      </c>
      <c r="D217" t="s">
        <v>1391</v>
      </c>
      <c r="G217" s="453">
        <f t="shared" si="9"/>
        <v>7163.16</v>
      </c>
      <c r="H217" s="453">
        <f t="shared" si="10"/>
        <v>0</v>
      </c>
      <c r="I217" s="453">
        <f t="shared" si="11"/>
        <v>0</v>
      </c>
      <c r="K217" s="453">
        <v>596.92999999999995</v>
      </c>
      <c r="L217" s="453">
        <v>1193.8599999999999</v>
      </c>
      <c r="M217" s="453">
        <v>1790.79</v>
      </c>
      <c r="N217" s="453">
        <v>2387.7199999999998</v>
      </c>
      <c r="O217" s="453">
        <v>2984.65</v>
      </c>
      <c r="P217" s="453">
        <v>3581.58</v>
      </c>
      <c r="Q217" s="453">
        <v>4178.51</v>
      </c>
      <c r="R217" s="453">
        <v>4775.4399999999996</v>
      </c>
      <c r="S217" s="453">
        <v>5372.37</v>
      </c>
      <c r="T217" s="453">
        <v>5969.3</v>
      </c>
      <c r="U217" s="453">
        <v>6566.23</v>
      </c>
      <c r="V217" s="453">
        <v>7163.16</v>
      </c>
    </row>
    <row r="218" spans="1:46" hidden="1" outlineLevel="1" collapsed="1" x14ac:dyDescent="0.25">
      <c r="A218" s="452">
        <v>4570</v>
      </c>
      <c r="B218" t="s">
        <v>1494</v>
      </c>
      <c r="C218" t="s">
        <v>1495</v>
      </c>
      <c r="D218" t="s">
        <v>1391</v>
      </c>
      <c r="G218" s="453">
        <f t="shared" si="9"/>
        <v>0</v>
      </c>
      <c r="H218" s="453">
        <f t="shared" si="10"/>
        <v>11643.09</v>
      </c>
      <c r="I218" s="453">
        <f t="shared" si="11"/>
        <v>0</v>
      </c>
      <c r="W218" s="453">
        <v>596.92999999999995</v>
      </c>
      <c r="X218" s="453">
        <v>1277.2</v>
      </c>
      <c r="Y218" s="453">
        <v>3317.37</v>
      </c>
      <c r="Z218" s="453">
        <v>4242.45</v>
      </c>
      <c r="AA218" s="453">
        <v>5167.53</v>
      </c>
      <c r="AB218" s="453">
        <v>6092.61</v>
      </c>
      <c r="AC218" s="453">
        <v>7017.69</v>
      </c>
      <c r="AD218" s="453">
        <v>7942.77</v>
      </c>
      <c r="AE218" s="453">
        <v>8867.85</v>
      </c>
      <c r="AF218" s="453">
        <v>9792.93</v>
      </c>
      <c r="AG218" s="453">
        <v>10718.01</v>
      </c>
      <c r="AH218" s="453">
        <v>11643.09</v>
      </c>
    </row>
    <row r="219" spans="1:46" hidden="1" outlineLevel="1" collapsed="1" x14ac:dyDescent="0.25">
      <c r="A219" s="452">
        <v>4570</v>
      </c>
      <c r="B219" t="s">
        <v>1496</v>
      </c>
      <c r="C219" t="s">
        <v>1497</v>
      </c>
      <c r="D219" t="s">
        <v>1391</v>
      </c>
      <c r="G219" s="453">
        <f t="shared" si="9"/>
        <v>0</v>
      </c>
      <c r="H219" s="453">
        <f t="shared" si="10"/>
        <v>0</v>
      </c>
      <c r="I219" s="453">
        <f t="shared" si="11"/>
        <v>11100.96</v>
      </c>
      <c r="AI219" s="453">
        <v>925.08</v>
      </c>
      <c r="AJ219" s="453">
        <v>1850.16</v>
      </c>
      <c r="AK219" s="453">
        <v>2775.24</v>
      </c>
      <c r="AL219" s="453">
        <v>3700.32</v>
      </c>
      <c r="AM219" s="453">
        <v>4625.3999999999996</v>
      </c>
      <c r="AN219" s="453">
        <v>5550.48</v>
      </c>
      <c r="AO219" s="453">
        <v>6475.56</v>
      </c>
      <c r="AP219" s="453">
        <v>7400.64</v>
      </c>
      <c r="AQ219" s="453">
        <v>8325.7199999999993</v>
      </c>
      <c r="AR219" s="453">
        <f>IFERROR(INDEX('SuSa Okt25'!$N:$N,MATCH($A219,'SuSa Okt25'!A:A,0)),"")</f>
        <v>9250.7999999999993</v>
      </c>
      <c r="AS219" s="453">
        <f>IFERROR(INDEX('SuSa Nov25'!$N:$N,MATCH($A219,'SuSa Nov25'!$A:$A,0)),"")</f>
        <v>10175.879999999999</v>
      </c>
      <c r="AT219" s="453">
        <f>IFERROR(INDEX('SuSa Dez25'!$N:$N,MATCH($A219,'SuSa Dez25'!$A:$A,0)),"")</f>
        <v>11100.96</v>
      </c>
    </row>
    <row r="220" spans="1:46" hidden="1" outlineLevel="1" collapsed="1" x14ac:dyDescent="0.25">
      <c r="A220" s="452">
        <v>4571</v>
      </c>
      <c r="B220" t="s">
        <v>1498</v>
      </c>
      <c r="C220" t="s">
        <v>1499</v>
      </c>
      <c r="D220" t="s">
        <v>1391</v>
      </c>
      <c r="G220" s="453">
        <f t="shared" si="9"/>
        <v>0</v>
      </c>
      <c r="H220" s="453">
        <f t="shared" si="10"/>
        <v>0</v>
      </c>
      <c r="I220" s="453" t="str">
        <f t="shared" si="11"/>
        <v/>
      </c>
      <c r="K220" s="453">
        <v>0</v>
      </c>
      <c r="L220" s="453">
        <v>0</v>
      </c>
      <c r="M220" s="453">
        <v>0</v>
      </c>
      <c r="N220" s="453">
        <v>0</v>
      </c>
      <c r="O220" s="453">
        <v>0</v>
      </c>
      <c r="P220" s="453">
        <v>0</v>
      </c>
      <c r="Q220" s="453">
        <v>0</v>
      </c>
      <c r="R220" s="453">
        <v>0</v>
      </c>
      <c r="S220" s="453">
        <v>0</v>
      </c>
      <c r="T220" s="453">
        <v>0</v>
      </c>
      <c r="U220" s="453">
        <v>0</v>
      </c>
      <c r="V220" s="453">
        <v>0</v>
      </c>
      <c r="AR220" s="453" t="str">
        <f>IFERROR(INDEX('SuSa Okt25'!$N:$N,MATCH($A220,'SuSa Okt25'!A:A,0)),"")</f>
        <v/>
      </c>
      <c r="AS220" s="453" t="str">
        <f>IFERROR(INDEX('SuSa Nov25'!$N:$N,MATCH($A220,'SuSa Nov25'!$A:$A,0)),"")</f>
        <v/>
      </c>
      <c r="AT220" s="453" t="str">
        <f>IFERROR(INDEX('SuSa Dez25'!$N:$N,MATCH($A220,'SuSa Dez25'!$A:$A,0)),"")</f>
        <v/>
      </c>
    </row>
    <row r="221" spans="1:46" hidden="1" outlineLevel="1" collapsed="1" x14ac:dyDescent="0.25">
      <c r="A221" s="452">
        <v>4572</v>
      </c>
      <c r="B221" t="s">
        <v>1500</v>
      </c>
      <c r="C221" t="s">
        <v>2004</v>
      </c>
      <c r="D221" t="s">
        <v>1391</v>
      </c>
      <c r="G221" s="453">
        <f t="shared" si="9"/>
        <v>17911.990000000002</v>
      </c>
      <c r="H221" s="453">
        <f t="shared" si="10"/>
        <v>0</v>
      </c>
      <c r="I221" s="453">
        <f t="shared" si="11"/>
        <v>0</v>
      </c>
      <c r="K221" s="453">
        <v>701.35</v>
      </c>
      <c r="L221" s="453">
        <v>1402.7</v>
      </c>
      <c r="M221" s="453">
        <v>-630.64</v>
      </c>
      <c r="N221" s="453">
        <v>2311.44</v>
      </c>
      <c r="O221" s="453">
        <v>3130.12</v>
      </c>
      <c r="P221" s="453">
        <v>7634.48</v>
      </c>
      <c r="Q221" s="453">
        <v>9337.7199999999993</v>
      </c>
      <c r="R221" s="453">
        <v>11040.96</v>
      </c>
      <c r="S221" s="453">
        <v>12744.2</v>
      </c>
      <c r="T221" s="453">
        <v>14447.44</v>
      </c>
      <c r="U221" s="453">
        <v>16150.68</v>
      </c>
      <c r="V221" s="453">
        <v>17911.990000000002</v>
      </c>
    </row>
    <row r="222" spans="1:46" hidden="1" outlineLevel="1" collapsed="1" x14ac:dyDescent="0.25">
      <c r="A222" s="452">
        <v>4572</v>
      </c>
      <c r="B222" t="s">
        <v>1502</v>
      </c>
      <c r="C222" t="s">
        <v>2005</v>
      </c>
      <c r="D222" t="s">
        <v>1391</v>
      </c>
      <c r="G222" s="453">
        <f t="shared" si="9"/>
        <v>0</v>
      </c>
      <c r="H222" s="453">
        <f t="shared" si="10"/>
        <v>23535.91</v>
      </c>
      <c r="I222" s="453">
        <f t="shared" si="11"/>
        <v>0</v>
      </c>
      <c r="W222" s="453">
        <v>2283.9</v>
      </c>
      <c r="X222" s="453">
        <v>4801.34</v>
      </c>
      <c r="Y222" s="453">
        <v>7201.95</v>
      </c>
      <c r="Z222" s="453">
        <v>9602.56</v>
      </c>
      <c r="AA222" s="453">
        <v>12003.17</v>
      </c>
      <c r="AB222" s="453">
        <v>13379.05</v>
      </c>
      <c r="AC222" s="453">
        <v>14955.15</v>
      </c>
      <c r="AD222" s="453">
        <v>16820.23</v>
      </c>
      <c r="AE222" s="453">
        <v>18568.599999999999</v>
      </c>
      <c r="AF222" s="453">
        <v>20316.97</v>
      </c>
      <c r="AG222" s="453">
        <v>21843.1</v>
      </c>
      <c r="AH222" s="453">
        <v>23535.91</v>
      </c>
    </row>
    <row r="223" spans="1:46" hidden="1" outlineLevel="1" collapsed="1" x14ac:dyDescent="0.25">
      <c r="A223" s="452">
        <v>4572</v>
      </c>
      <c r="B223" t="s">
        <v>1504</v>
      </c>
      <c r="C223" t="s">
        <v>1505</v>
      </c>
      <c r="D223" t="s">
        <v>1391</v>
      </c>
      <c r="G223" s="453">
        <f t="shared" si="9"/>
        <v>0</v>
      </c>
      <c r="H223" s="453">
        <f t="shared" si="10"/>
        <v>0</v>
      </c>
      <c r="I223" s="453">
        <f t="shared" si="11"/>
        <v>20313.72</v>
      </c>
      <c r="AI223" s="453">
        <v>1692.81</v>
      </c>
      <c r="AJ223" s="453">
        <v>3385.62</v>
      </c>
      <c r="AK223" s="453">
        <v>5078.43</v>
      </c>
      <c r="AL223" s="453">
        <v>6771.24</v>
      </c>
      <c r="AM223" s="453">
        <v>8464.0499999999993</v>
      </c>
      <c r="AN223" s="453">
        <v>10156.86</v>
      </c>
      <c r="AO223" s="453">
        <v>11849.67</v>
      </c>
      <c r="AP223" s="453">
        <v>13542.48</v>
      </c>
      <c r="AQ223" s="453">
        <v>15235.29</v>
      </c>
      <c r="AR223" s="453">
        <f>IFERROR(INDEX('SuSa Okt25'!$N:$N,MATCH($A223,'SuSa Okt25'!A:A,0)),"")</f>
        <v>16928.099999999999</v>
      </c>
      <c r="AS223" s="453">
        <f>IFERROR(INDEX('SuSa Nov25'!$N:$N,MATCH($A223,'SuSa Nov25'!$A:$A,0)),"")</f>
        <v>18620.91</v>
      </c>
      <c r="AT223" s="453">
        <f>IFERROR(INDEX('SuSa Dez25'!$N:$N,MATCH($A223,'SuSa Dez25'!$A:$A,0)),"")</f>
        <v>20313.72</v>
      </c>
    </row>
    <row r="224" spans="1:46" hidden="1" outlineLevel="1" collapsed="1" x14ac:dyDescent="0.25">
      <c r="A224" s="452">
        <v>4573</v>
      </c>
      <c r="B224" t="s">
        <v>1506</v>
      </c>
      <c r="C224" t="s">
        <v>1507</v>
      </c>
      <c r="D224" t="s">
        <v>1391</v>
      </c>
      <c r="G224" s="453">
        <f t="shared" si="9"/>
        <v>12340.07</v>
      </c>
      <c r="H224" s="453">
        <f t="shared" si="10"/>
        <v>0</v>
      </c>
      <c r="I224" s="453">
        <f t="shared" si="11"/>
        <v>0</v>
      </c>
      <c r="K224" s="453">
        <v>1175</v>
      </c>
      <c r="L224" s="453">
        <v>2350</v>
      </c>
      <c r="M224" s="453">
        <v>3525</v>
      </c>
      <c r="N224" s="453">
        <v>4700</v>
      </c>
      <c r="O224" s="453">
        <v>5875</v>
      </c>
      <c r="P224" s="453">
        <v>7050</v>
      </c>
      <c r="Q224" s="453">
        <v>8225</v>
      </c>
      <c r="R224" s="453">
        <v>8595.4</v>
      </c>
      <c r="S224" s="453">
        <v>9495.3799999999992</v>
      </c>
      <c r="T224" s="453">
        <v>10443.61</v>
      </c>
      <c r="U224" s="453">
        <v>11391.84</v>
      </c>
      <c r="V224" s="453">
        <v>12340.07</v>
      </c>
    </row>
    <row r="225" spans="1:46" hidden="1" outlineLevel="1" collapsed="1" x14ac:dyDescent="0.25">
      <c r="A225" s="452">
        <v>4573</v>
      </c>
      <c r="B225" t="s">
        <v>1508</v>
      </c>
      <c r="C225" t="s">
        <v>1509</v>
      </c>
      <c r="D225" t="s">
        <v>1391</v>
      </c>
      <c r="G225" s="453">
        <f t="shared" si="9"/>
        <v>0</v>
      </c>
      <c r="H225" s="453">
        <f t="shared" si="10"/>
        <v>14346.92</v>
      </c>
      <c r="I225" s="453">
        <f t="shared" si="11"/>
        <v>15812.52</v>
      </c>
      <c r="W225" s="453">
        <v>948.23</v>
      </c>
      <c r="X225" s="453">
        <v>1896.46</v>
      </c>
      <c r="Y225" s="453">
        <v>2844.69</v>
      </c>
      <c r="Z225" s="453">
        <v>3792.92</v>
      </c>
      <c r="AA225" s="453">
        <v>4741.1499999999996</v>
      </c>
      <c r="AB225" s="453">
        <v>6440.66</v>
      </c>
      <c r="AC225" s="453">
        <v>7758.37</v>
      </c>
      <c r="AD225" s="453">
        <v>9076.08</v>
      </c>
      <c r="AE225" s="453">
        <v>10393.790000000001</v>
      </c>
      <c r="AF225" s="453">
        <v>11711.5</v>
      </c>
      <c r="AG225" s="453">
        <v>13029.21</v>
      </c>
      <c r="AH225" s="453">
        <v>14346.92</v>
      </c>
      <c r="AI225" s="453">
        <v>1317.71</v>
      </c>
      <c r="AJ225" s="453">
        <v>2635.42</v>
      </c>
      <c r="AK225" s="453">
        <v>3953.13</v>
      </c>
      <c r="AL225" s="453">
        <v>5270.84</v>
      </c>
      <c r="AM225" s="453">
        <v>6588.55</v>
      </c>
      <c r="AN225" s="453">
        <v>7938.1</v>
      </c>
      <c r="AO225" s="453">
        <v>9223.9699999999993</v>
      </c>
      <c r="AP225" s="453">
        <v>10541.68</v>
      </c>
      <c r="AQ225" s="453">
        <v>11859.39</v>
      </c>
      <c r="AR225" s="453">
        <f>IFERROR(INDEX('SuSa Okt25'!$N:$N,MATCH($A225,'SuSa Okt25'!A:A,0)),"")</f>
        <v>13177.1</v>
      </c>
      <c r="AS225" s="453">
        <f>IFERROR(INDEX('SuSa Nov25'!$N:$N,MATCH($A225,'SuSa Nov25'!$A:$A,0)),"")</f>
        <v>14494.81</v>
      </c>
      <c r="AT225" s="453">
        <f>IFERROR(INDEX('SuSa Dez25'!$N:$N,MATCH($A225,'SuSa Dez25'!$A:$A,0)),"")</f>
        <v>15812.52</v>
      </c>
    </row>
    <row r="226" spans="1:46" hidden="1" outlineLevel="1" collapsed="1" x14ac:dyDescent="0.25">
      <c r="A226" s="452">
        <v>4574</v>
      </c>
      <c r="B226" t="s">
        <v>1510</v>
      </c>
      <c r="C226" t="s">
        <v>1511</v>
      </c>
      <c r="D226" t="s">
        <v>1391</v>
      </c>
      <c r="G226" s="453">
        <f t="shared" si="9"/>
        <v>14087.88</v>
      </c>
      <c r="H226" s="453">
        <f t="shared" si="10"/>
        <v>0</v>
      </c>
      <c r="I226" s="453">
        <f t="shared" si="11"/>
        <v>14092.12</v>
      </c>
      <c r="K226" s="453">
        <v>1173.99</v>
      </c>
      <c r="L226" s="453">
        <v>2347.98</v>
      </c>
      <c r="M226" s="453">
        <v>3521.97</v>
      </c>
      <c r="N226" s="453">
        <v>4695.96</v>
      </c>
      <c r="O226" s="453">
        <v>5869.95</v>
      </c>
      <c r="P226" s="453">
        <v>7043.94</v>
      </c>
      <c r="Q226" s="453">
        <v>8217.93</v>
      </c>
      <c r="R226" s="453">
        <v>9391.92</v>
      </c>
      <c r="S226" s="453">
        <v>10565.91</v>
      </c>
      <c r="T226" s="453">
        <v>11739.9</v>
      </c>
      <c r="U226" s="453">
        <v>12913.89</v>
      </c>
      <c r="V226" s="453">
        <v>14087.88</v>
      </c>
      <c r="AI226" s="453">
        <v>1173.99</v>
      </c>
      <c r="AJ226" s="453">
        <v>2347.98</v>
      </c>
      <c r="AK226" s="453">
        <v>3183.97</v>
      </c>
      <c r="AL226" s="453">
        <v>4019.96</v>
      </c>
      <c r="AM226" s="453">
        <v>4753.96</v>
      </c>
      <c r="AN226" s="453">
        <v>5487.96</v>
      </c>
      <c r="AO226" s="453">
        <v>6221.96</v>
      </c>
      <c r="AP226" s="453">
        <v>6955.96</v>
      </c>
      <c r="AQ226" s="453">
        <v>7689.96</v>
      </c>
      <c r="AR226" s="453">
        <f>IFERROR(INDEX('SuSa Okt25'!$N:$N,MATCH($A226,'SuSa Okt25'!A:A,0)),"")</f>
        <v>8423.9599999999991</v>
      </c>
      <c r="AS226" s="453">
        <f>IFERROR(INDEX('SuSa Nov25'!$N:$N,MATCH($A226,'SuSa Nov25'!$A:$A,0)),"")</f>
        <v>12889.12</v>
      </c>
      <c r="AT226" s="453">
        <f>IFERROR(INDEX('SuSa Dez25'!$N:$N,MATCH($A226,'SuSa Dez25'!$A:$A,0)),"")</f>
        <v>14092.12</v>
      </c>
    </row>
    <row r="227" spans="1:46" hidden="1" outlineLevel="1" collapsed="1" x14ac:dyDescent="0.25">
      <c r="A227" s="452">
        <v>4574</v>
      </c>
      <c r="B227" t="s">
        <v>1512</v>
      </c>
      <c r="C227" t="s">
        <v>2006</v>
      </c>
      <c r="D227" t="s">
        <v>1391</v>
      </c>
      <c r="G227" s="453">
        <f t="shared" si="9"/>
        <v>0</v>
      </c>
      <c r="H227" s="453">
        <f t="shared" si="10"/>
        <v>14087.88</v>
      </c>
      <c r="I227" s="453">
        <f t="shared" si="11"/>
        <v>0</v>
      </c>
      <c r="W227" s="453">
        <v>1173.99</v>
      </c>
      <c r="X227" s="453">
        <v>2347.98</v>
      </c>
      <c r="Y227" s="453">
        <v>3521.97</v>
      </c>
      <c r="Z227" s="453">
        <v>4695.96</v>
      </c>
      <c r="AA227" s="453">
        <v>5869.95</v>
      </c>
      <c r="AB227" s="453">
        <v>7043.94</v>
      </c>
      <c r="AC227" s="453">
        <v>8217.93</v>
      </c>
      <c r="AD227" s="453">
        <v>9391.92</v>
      </c>
      <c r="AE227" s="453">
        <v>10565.91</v>
      </c>
      <c r="AF227" s="453">
        <v>11739.9</v>
      </c>
      <c r="AG227" s="453">
        <v>12913.89</v>
      </c>
      <c r="AH227" s="453">
        <v>14087.88</v>
      </c>
    </row>
    <row r="228" spans="1:46" hidden="1" outlineLevel="1" collapsed="1" x14ac:dyDescent="0.25">
      <c r="A228" s="452">
        <v>4575</v>
      </c>
      <c r="B228" t="s">
        <v>1514</v>
      </c>
      <c r="C228" t="s">
        <v>1515</v>
      </c>
      <c r="D228" t="s">
        <v>1391</v>
      </c>
      <c r="G228" s="453">
        <f t="shared" si="9"/>
        <v>6396</v>
      </c>
      <c r="H228" s="453">
        <f t="shared" si="10"/>
        <v>0</v>
      </c>
      <c r="I228" s="453">
        <f t="shared" si="11"/>
        <v>0</v>
      </c>
      <c r="K228" s="453">
        <v>533</v>
      </c>
      <c r="L228" s="453">
        <v>1066</v>
      </c>
      <c r="M228" s="453">
        <v>1599</v>
      </c>
      <c r="N228" s="453">
        <v>2132</v>
      </c>
      <c r="O228" s="453">
        <v>2665</v>
      </c>
      <c r="P228" s="453">
        <v>3198</v>
      </c>
      <c r="Q228" s="453">
        <v>3731</v>
      </c>
      <c r="R228" s="453">
        <v>4264</v>
      </c>
      <c r="S228" s="453">
        <v>4797</v>
      </c>
      <c r="T228" s="453">
        <v>5330</v>
      </c>
      <c r="U228" s="453">
        <v>5863</v>
      </c>
      <c r="V228" s="453">
        <v>6396</v>
      </c>
    </row>
    <row r="229" spans="1:46" hidden="1" outlineLevel="1" collapsed="1" x14ac:dyDescent="0.25">
      <c r="A229" s="452">
        <v>4575</v>
      </c>
      <c r="B229" t="s">
        <v>1516</v>
      </c>
      <c r="C229" t="s">
        <v>1517</v>
      </c>
      <c r="D229" t="s">
        <v>1391</v>
      </c>
      <c r="G229" s="453">
        <f t="shared" si="9"/>
        <v>0</v>
      </c>
      <c r="H229" s="453">
        <f t="shared" si="10"/>
        <v>13325.3</v>
      </c>
      <c r="I229" s="453">
        <f t="shared" si="11"/>
        <v>19059.45</v>
      </c>
      <c r="W229" s="453">
        <v>426.4</v>
      </c>
      <c r="X229" s="453">
        <v>959.4</v>
      </c>
      <c r="Y229" s="453">
        <v>1599</v>
      </c>
      <c r="Z229" s="453">
        <v>2132</v>
      </c>
      <c r="AA229" s="453">
        <v>1491.05</v>
      </c>
      <c r="AB229" s="453">
        <v>3817.76</v>
      </c>
      <c r="AC229" s="453">
        <v>5402.35</v>
      </c>
      <c r="AD229" s="453">
        <v>6986.94</v>
      </c>
      <c r="AE229" s="453">
        <v>8571.5300000000007</v>
      </c>
      <c r="AF229" s="453">
        <v>10156.120000000001</v>
      </c>
      <c r="AG229" s="453">
        <v>11740.71</v>
      </c>
      <c r="AH229" s="453">
        <v>13325.3</v>
      </c>
      <c r="AI229" s="453">
        <v>1584.59</v>
      </c>
      <c r="AJ229" s="453">
        <v>3169.18</v>
      </c>
      <c r="AK229" s="453">
        <v>4753.7700000000004</v>
      </c>
      <c r="AL229" s="453">
        <v>6338.36</v>
      </c>
      <c r="AM229" s="453">
        <v>7922.95</v>
      </c>
      <c r="AN229" s="453">
        <v>9507.5400000000009</v>
      </c>
      <c r="AO229" s="453">
        <v>11092.13</v>
      </c>
      <c r="AP229" s="453">
        <v>12676.72</v>
      </c>
      <c r="AQ229" s="453">
        <v>14261.31</v>
      </c>
      <c r="AR229" s="453">
        <f>IFERROR(INDEX('SuSa Okt25'!$N:$N,MATCH($A229,'SuSa Okt25'!A:A,0)),"")</f>
        <v>15890.27</v>
      </c>
      <c r="AS229" s="453">
        <f>IFERROR(INDEX('SuSa Nov25'!$N:$N,MATCH($A229,'SuSa Nov25'!$A:$A,0)),"")</f>
        <v>17474.86</v>
      </c>
      <c r="AT229" s="453">
        <f>IFERROR(INDEX('SuSa Dez25'!$N:$N,MATCH($A229,'SuSa Dez25'!$A:$A,0)),"")</f>
        <v>19059.45</v>
      </c>
    </row>
    <row r="230" spans="1:46" hidden="1" outlineLevel="1" collapsed="1" x14ac:dyDescent="0.25">
      <c r="A230" s="452">
        <v>4576</v>
      </c>
      <c r="B230" t="s">
        <v>1518</v>
      </c>
      <c r="C230" t="s">
        <v>1519</v>
      </c>
      <c r="D230" t="s">
        <v>1391</v>
      </c>
      <c r="G230" s="453">
        <f t="shared" si="9"/>
        <v>17669.14</v>
      </c>
      <c r="H230" s="453">
        <f t="shared" si="10"/>
        <v>0</v>
      </c>
      <c r="I230" s="453">
        <f t="shared" si="11"/>
        <v>0</v>
      </c>
      <c r="K230" s="453">
        <v>1382.99</v>
      </c>
      <c r="L230" s="453">
        <v>2784.06</v>
      </c>
      <c r="M230" s="453">
        <v>4187.91</v>
      </c>
      <c r="N230" s="453">
        <v>5591.76</v>
      </c>
      <c r="O230" s="453">
        <v>6995.61</v>
      </c>
      <c r="P230" s="453">
        <v>8399.4599999999991</v>
      </c>
      <c r="Q230" s="453">
        <v>9803.31</v>
      </c>
      <c r="R230" s="453">
        <v>11207.16</v>
      </c>
      <c r="S230" s="453">
        <v>12611.01</v>
      </c>
      <c r="T230" s="453">
        <v>12975.87</v>
      </c>
      <c r="U230" s="453">
        <v>13024.52</v>
      </c>
      <c r="V230" s="453">
        <v>17669.14</v>
      </c>
    </row>
    <row r="231" spans="1:46" hidden="1" outlineLevel="1" collapsed="1" x14ac:dyDescent="0.25">
      <c r="A231" s="452">
        <v>4576</v>
      </c>
      <c r="B231" t="s">
        <v>1520</v>
      </c>
      <c r="C231" t="s">
        <v>2007</v>
      </c>
      <c r="D231" t="s">
        <v>1391</v>
      </c>
      <c r="G231" s="453">
        <f t="shared" si="9"/>
        <v>0</v>
      </c>
      <c r="H231" s="453">
        <f t="shared" si="10"/>
        <v>23024.68</v>
      </c>
      <c r="I231" s="453">
        <f t="shared" si="11"/>
        <v>32325.599999999999</v>
      </c>
      <c r="W231" s="453">
        <v>1568.9</v>
      </c>
      <c r="X231" s="453">
        <v>3137.8</v>
      </c>
      <c r="Y231" s="453">
        <v>4706.7</v>
      </c>
      <c r="Z231" s="453">
        <v>6275.6</v>
      </c>
      <c r="AA231" s="453">
        <v>7844.5</v>
      </c>
      <c r="AB231" s="453">
        <v>9413.4</v>
      </c>
      <c r="AC231" s="453">
        <v>10982.3</v>
      </c>
      <c r="AD231" s="453">
        <v>12551.2</v>
      </c>
      <c r="AE231" s="453">
        <v>18447.88</v>
      </c>
      <c r="AF231" s="453">
        <v>21141.68</v>
      </c>
      <c r="AG231" s="453">
        <v>20330.88</v>
      </c>
      <c r="AH231" s="453">
        <v>23024.68</v>
      </c>
      <c r="AI231" s="453">
        <v>2693.8</v>
      </c>
      <c r="AJ231" s="453">
        <v>5387.6</v>
      </c>
      <c r="AK231" s="453">
        <v>8081.4</v>
      </c>
      <c r="AL231" s="453">
        <v>10775.2</v>
      </c>
      <c r="AM231" s="453">
        <v>13469</v>
      </c>
      <c r="AN231" s="453">
        <v>16162.8</v>
      </c>
      <c r="AO231" s="453">
        <v>18856.599999999999</v>
      </c>
      <c r="AP231" s="453">
        <v>21550.400000000001</v>
      </c>
      <c r="AQ231" s="453">
        <v>24244.2</v>
      </c>
      <c r="AR231" s="453">
        <f>IFERROR(INDEX('SuSa Okt25'!$N:$N,MATCH($A231,'SuSa Okt25'!A:A,0)),"")</f>
        <v>26938</v>
      </c>
      <c r="AS231" s="453">
        <f>IFERROR(INDEX('SuSa Nov25'!$N:$N,MATCH($A231,'SuSa Nov25'!$A:$A,0)),"")</f>
        <v>29631.8</v>
      </c>
      <c r="AT231" s="453">
        <f>IFERROR(INDEX('SuSa Dez25'!$N:$N,MATCH($A231,'SuSa Dez25'!$A:$A,0)),"")</f>
        <v>32325.599999999999</v>
      </c>
    </row>
    <row r="232" spans="1:46" hidden="1" outlineLevel="1" collapsed="1" x14ac:dyDescent="0.25">
      <c r="A232" s="452">
        <v>4577</v>
      </c>
      <c r="B232" t="s">
        <v>1522</v>
      </c>
      <c r="C232" t="s">
        <v>1523</v>
      </c>
      <c r="D232" t="s">
        <v>1391</v>
      </c>
      <c r="G232" s="453">
        <f t="shared" si="9"/>
        <v>12996</v>
      </c>
      <c r="H232" s="453">
        <f t="shared" si="10"/>
        <v>0</v>
      </c>
      <c r="I232" s="453">
        <f t="shared" si="11"/>
        <v>0</v>
      </c>
      <c r="K232" s="453">
        <v>524</v>
      </c>
      <c r="L232" s="453">
        <v>1048</v>
      </c>
      <c r="M232" s="453">
        <v>1572</v>
      </c>
      <c r="N232" s="453">
        <v>4332</v>
      </c>
      <c r="O232" s="453">
        <v>5415</v>
      </c>
      <c r="P232" s="453">
        <v>6498</v>
      </c>
      <c r="Q232" s="453">
        <v>7581</v>
      </c>
      <c r="R232" s="453">
        <v>8664</v>
      </c>
      <c r="S232" s="453">
        <v>9747</v>
      </c>
      <c r="T232" s="453">
        <v>10830</v>
      </c>
      <c r="U232" s="453">
        <v>11913</v>
      </c>
      <c r="V232" s="453">
        <v>12996</v>
      </c>
    </row>
    <row r="233" spans="1:46" hidden="1" outlineLevel="1" collapsed="1" x14ac:dyDescent="0.25">
      <c r="A233" s="452">
        <v>4577</v>
      </c>
      <c r="B233" t="s">
        <v>1524</v>
      </c>
      <c r="C233" t="s">
        <v>1525</v>
      </c>
      <c r="D233" t="s">
        <v>1391</v>
      </c>
      <c r="G233" s="453">
        <f t="shared" si="9"/>
        <v>0</v>
      </c>
      <c r="H233" s="453">
        <f t="shared" si="10"/>
        <v>18297.189999999999</v>
      </c>
      <c r="I233" s="453">
        <f t="shared" si="11"/>
        <v>16812</v>
      </c>
      <c r="W233" s="453">
        <v>1083</v>
      </c>
      <c r="X233" s="453">
        <v>2166</v>
      </c>
      <c r="Y233" s="453">
        <v>3249</v>
      </c>
      <c r="Z233" s="453">
        <v>4332</v>
      </c>
      <c r="AA233" s="453">
        <v>4891</v>
      </c>
      <c r="AB233" s="453">
        <v>6252</v>
      </c>
      <c r="AC233" s="453">
        <v>11292.19</v>
      </c>
      <c r="AD233" s="453">
        <v>12693.19</v>
      </c>
      <c r="AE233" s="453">
        <v>14094.19</v>
      </c>
      <c r="AF233" s="453">
        <v>15495.19</v>
      </c>
      <c r="AG233" s="453">
        <v>16896.189999999999</v>
      </c>
      <c r="AH233" s="453">
        <v>18297.189999999999</v>
      </c>
      <c r="AI233" s="453">
        <v>1401</v>
      </c>
      <c r="AJ233" s="453">
        <v>2802</v>
      </c>
      <c r="AK233" s="453">
        <v>4203</v>
      </c>
      <c r="AL233" s="453">
        <v>5604</v>
      </c>
      <c r="AM233" s="453">
        <v>7005</v>
      </c>
      <c r="AN233" s="453">
        <v>8406</v>
      </c>
      <c r="AO233" s="453">
        <v>9807</v>
      </c>
      <c r="AP233" s="453">
        <v>11208</v>
      </c>
      <c r="AQ233" s="453">
        <v>12609</v>
      </c>
      <c r="AR233" s="453">
        <f>IFERROR(INDEX('SuSa Okt25'!$N:$N,MATCH($A233,'SuSa Okt25'!A:A,0)),"")</f>
        <v>14010</v>
      </c>
      <c r="AS233" s="453">
        <f>IFERROR(INDEX('SuSa Nov25'!$N:$N,MATCH($A233,'SuSa Nov25'!$A:$A,0)),"")</f>
        <v>15411</v>
      </c>
      <c r="AT233" s="453">
        <f>IFERROR(INDEX('SuSa Dez25'!$N:$N,MATCH($A233,'SuSa Dez25'!$A:$A,0)),"")</f>
        <v>16812</v>
      </c>
    </row>
    <row r="234" spans="1:46" hidden="1" outlineLevel="1" collapsed="1" x14ac:dyDescent="0.25">
      <c r="A234" s="452">
        <v>4578</v>
      </c>
      <c r="B234" t="s">
        <v>1526</v>
      </c>
      <c r="C234" t="s">
        <v>1527</v>
      </c>
      <c r="D234" t="s">
        <v>1391</v>
      </c>
      <c r="G234" s="453">
        <f t="shared" si="9"/>
        <v>9946.56</v>
      </c>
      <c r="H234" s="453">
        <f t="shared" si="10"/>
        <v>14367.84</v>
      </c>
      <c r="I234" s="453">
        <f t="shared" si="11"/>
        <v>14367.84</v>
      </c>
      <c r="K234" s="453">
        <v>707.8</v>
      </c>
      <c r="L234" s="453">
        <v>1415.6</v>
      </c>
      <c r="M234" s="453">
        <v>2123.4</v>
      </c>
      <c r="N234" s="453">
        <v>111.12</v>
      </c>
      <c r="O234" s="453">
        <v>1565.32</v>
      </c>
      <c r="P234" s="453">
        <v>2762.64</v>
      </c>
      <c r="Q234" s="453">
        <v>3959.96</v>
      </c>
      <c r="R234" s="453">
        <v>5157.28</v>
      </c>
      <c r="S234" s="453">
        <v>6354.6</v>
      </c>
      <c r="T234" s="453">
        <v>7551.92</v>
      </c>
      <c r="U234" s="453">
        <v>8749.24</v>
      </c>
      <c r="V234" s="453">
        <v>9946.56</v>
      </c>
      <c r="W234" s="453">
        <v>1197.32</v>
      </c>
      <c r="X234" s="453">
        <v>2394.64</v>
      </c>
      <c r="Y234" s="453">
        <v>3591.96</v>
      </c>
      <c r="Z234" s="453">
        <v>4789.28</v>
      </c>
      <c r="AA234" s="453">
        <v>5986.6</v>
      </c>
      <c r="AB234" s="453">
        <v>7183.92</v>
      </c>
      <c r="AC234" s="453">
        <v>8381.24</v>
      </c>
      <c r="AD234" s="453">
        <v>9578.56</v>
      </c>
      <c r="AE234" s="453">
        <v>10775.88</v>
      </c>
      <c r="AF234" s="453">
        <v>11973.2</v>
      </c>
      <c r="AG234" s="453">
        <v>13170.52</v>
      </c>
      <c r="AH234" s="453">
        <v>14367.84</v>
      </c>
      <c r="AI234" s="453">
        <v>1197.32</v>
      </c>
      <c r="AJ234" s="453">
        <v>2394.64</v>
      </c>
      <c r="AK234" s="453">
        <v>3591.96</v>
      </c>
      <c r="AL234" s="453">
        <v>4789.28</v>
      </c>
      <c r="AM234" s="453">
        <v>5986.6</v>
      </c>
      <c r="AN234" s="453">
        <v>7183.92</v>
      </c>
      <c r="AO234" s="453">
        <v>8381.24</v>
      </c>
      <c r="AP234" s="453">
        <v>9578.56</v>
      </c>
      <c r="AQ234" s="453">
        <v>10775.88</v>
      </c>
      <c r="AR234" s="453">
        <f>IFERROR(INDEX('SuSa Okt25'!$N:$N,MATCH($A234,'SuSa Okt25'!A:A,0)),"")</f>
        <v>11973.2</v>
      </c>
      <c r="AS234" s="453">
        <f>IFERROR(INDEX('SuSa Nov25'!$N:$N,MATCH($A234,'SuSa Nov25'!$A:$A,0)),"")</f>
        <v>13170.52</v>
      </c>
      <c r="AT234" s="453">
        <f>IFERROR(INDEX('SuSa Dez25'!$N:$N,MATCH($A234,'SuSa Dez25'!$A:$A,0)),"")</f>
        <v>14367.84</v>
      </c>
    </row>
    <row r="235" spans="1:46" hidden="1" outlineLevel="1" collapsed="1" x14ac:dyDescent="0.25">
      <c r="A235" s="452">
        <v>4579</v>
      </c>
      <c r="B235" t="s">
        <v>1528</v>
      </c>
      <c r="C235" t="s">
        <v>1529</v>
      </c>
      <c r="D235" t="s">
        <v>1391</v>
      </c>
      <c r="G235" s="453">
        <f t="shared" si="9"/>
        <v>1699.92</v>
      </c>
      <c r="H235" s="453">
        <f t="shared" si="10"/>
        <v>5210.3599999999997</v>
      </c>
      <c r="I235" s="453">
        <f t="shared" si="11"/>
        <v>8453.76</v>
      </c>
      <c r="K235" s="453">
        <v>559</v>
      </c>
      <c r="L235" s="453">
        <v>1118</v>
      </c>
      <c r="M235" s="453">
        <v>1677</v>
      </c>
      <c r="N235" s="453">
        <v>0</v>
      </c>
      <c r="O235" s="453">
        <v>212.49</v>
      </c>
      <c r="P235" s="453">
        <v>424.98</v>
      </c>
      <c r="Q235" s="453">
        <v>637.47</v>
      </c>
      <c r="R235" s="453">
        <v>849.96</v>
      </c>
      <c r="S235" s="453">
        <v>1062.45</v>
      </c>
      <c r="T235" s="453">
        <v>1274.94</v>
      </c>
      <c r="U235" s="453">
        <v>1487.43</v>
      </c>
      <c r="V235" s="453">
        <v>1699.92</v>
      </c>
      <c r="W235" s="453">
        <v>212.49</v>
      </c>
      <c r="X235" s="453">
        <v>424.98</v>
      </c>
      <c r="Y235" s="453">
        <v>637.47</v>
      </c>
      <c r="Z235" s="453">
        <v>849.96</v>
      </c>
      <c r="AA235" s="453">
        <v>1062.45</v>
      </c>
      <c r="AB235" s="453">
        <v>1770.56</v>
      </c>
      <c r="AC235" s="453">
        <v>2343.86</v>
      </c>
      <c r="AD235" s="453">
        <v>2917.16</v>
      </c>
      <c r="AE235" s="453">
        <v>3490.46</v>
      </c>
      <c r="AF235" s="453">
        <v>4063.76</v>
      </c>
      <c r="AG235" s="453">
        <v>4637.0600000000004</v>
      </c>
      <c r="AH235" s="453">
        <v>5210.3599999999997</v>
      </c>
      <c r="AI235" s="453">
        <v>573.29999999999995</v>
      </c>
      <c r="AJ235" s="453">
        <v>1146.5999999999999</v>
      </c>
      <c r="AK235" s="453">
        <v>1719.9</v>
      </c>
      <c r="AL235" s="453">
        <v>2293.1999999999998</v>
      </c>
      <c r="AM235" s="453">
        <v>3078.72</v>
      </c>
      <c r="AN235" s="453">
        <v>3758.13</v>
      </c>
      <c r="AO235" s="453">
        <v>4437.54</v>
      </c>
      <c r="AP235" s="453">
        <v>5116.95</v>
      </c>
      <c r="AQ235" s="453">
        <v>5796.36</v>
      </c>
      <c r="AR235" s="453">
        <f>IFERROR(INDEX('SuSa Okt25'!$N:$N,MATCH($A235,'SuSa Okt25'!A:A,0)),"")</f>
        <v>6584.33</v>
      </c>
      <c r="AS235" s="453">
        <f>IFERROR(INDEX('SuSa Nov25'!$N:$N,MATCH($A235,'SuSa Nov25'!$A:$A,0)),"")</f>
        <v>7567.96</v>
      </c>
      <c r="AT235" s="453">
        <f>IFERROR(INDEX('SuSa Dez25'!$N:$N,MATCH($A235,'SuSa Dez25'!$A:$A,0)),"")</f>
        <v>8453.76</v>
      </c>
    </row>
    <row r="236" spans="1:46" hidden="1" outlineLevel="1" collapsed="1" x14ac:dyDescent="0.25">
      <c r="A236" s="452">
        <v>4580</v>
      </c>
      <c r="B236" t="s">
        <v>1530</v>
      </c>
      <c r="C236" t="s">
        <v>1531</v>
      </c>
      <c r="D236" t="s">
        <v>1391</v>
      </c>
      <c r="G236" s="453">
        <f t="shared" si="9"/>
        <v>90.07</v>
      </c>
      <c r="H236" s="453">
        <f t="shared" si="10"/>
        <v>0</v>
      </c>
      <c r="I236" s="453">
        <f t="shared" si="11"/>
        <v>0</v>
      </c>
      <c r="K236" s="453">
        <v>22.32</v>
      </c>
      <c r="L236" s="453">
        <v>22.32</v>
      </c>
      <c r="M236" s="453">
        <v>26.35</v>
      </c>
      <c r="N236" s="453">
        <v>29.38</v>
      </c>
      <c r="O236" s="453">
        <v>37.31</v>
      </c>
      <c r="P236" s="453">
        <v>42.35</v>
      </c>
      <c r="Q236" s="453">
        <v>46.38</v>
      </c>
      <c r="R236" s="453">
        <v>49.41</v>
      </c>
      <c r="S236" s="453">
        <v>51.42</v>
      </c>
      <c r="T236" s="453">
        <v>83.35</v>
      </c>
      <c r="U236" s="453">
        <v>86.71</v>
      </c>
      <c r="V236" s="453">
        <v>90.07</v>
      </c>
    </row>
    <row r="237" spans="1:46" hidden="1" outlineLevel="1" collapsed="1" x14ac:dyDescent="0.25">
      <c r="A237" s="452">
        <v>4580</v>
      </c>
      <c r="B237" t="s">
        <v>1532</v>
      </c>
      <c r="C237" t="s">
        <v>1533</v>
      </c>
      <c r="D237" t="s">
        <v>1391</v>
      </c>
      <c r="G237" s="453">
        <f t="shared" si="9"/>
        <v>0</v>
      </c>
      <c r="H237" s="453">
        <f t="shared" si="10"/>
        <v>2656.31</v>
      </c>
      <c r="I237" s="453">
        <f t="shared" si="11"/>
        <v>448.96</v>
      </c>
      <c r="W237" s="453">
        <v>3.03</v>
      </c>
      <c r="X237" s="453">
        <v>1203.8699999999999</v>
      </c>
      <c r="Y237" s="453">
        <v>1307.23</v>
      </c>
      <c r="Z237" s="453">
        <v>2202.19</v>
      </c>
      <c r="AA237" s="453">
        <v>2407.5700000000002</v>
      </c>
      <c r="AB237" s="453">
        <v>2455.4899999999998</v>
      </c>
      <c r="AC237" s="453">
        <v>2455.4899999999998</v>
      </c>
      <c r="AD237" s="453">
        <v>2465.94</v>
      </c>
      <c r="AE237" s="453">
        <v>2555.61</v>
      </c>
      <c r="AF237" s="453">
        <v>2644.21</v>
      </c>
      <c r="AG237" s="453">
        <v>2652.11</v>
      </c>
      <c r="AH237" s="453">
        <v>2656.31</v>
      </c>
      <c r="AI237" s="453">
        <v>0</v>
      </c>
      <c r="AJ237" s="453">
        <v>4.2</v>
      </c>
      <c r="AK237" s="453">
        <v>8.4</v>
      </c>
      <c r="AL237" s="453">
        <v>54.62</v>
      </c>
      <c r="AM237" s="453">
        <v>54.62</v>
      </c>
      <c r="AN237" s="453">
        <v>63.02</v>
      </c>
      <c r="AO237" s="453">
        <v>78.209999999999994</v>
      </c>
      <c r="AP237" s="453">
        <v>175.37</v>
      </c>
      <c r="AQ237" s="453">
        <v>336.14</v>
      </c>
      <c r="AR237" s="453">
        <f>IFERROR(INDEX('SuSa Okt25'!$N:$N,MATCH($A237,'SuSa Okt25'!A:A,0)),"")</f>
        <v>336.14</v>
      </c>
      <c r="AS237" s="453">
        <f>IFERROR(INDEX('SuSa Nov25'!$N:$N,MATCH($A237,'SuSa Nov25'!$A:$A,0)),"")</f>
        <v>426.9</v>
      </c>
      <c r="AT237" s="453">
        <f>IFERROR(INDEX('SuSa Dez25'!$N:$N,MATCH($A237,'SuSa Dez25'!$A:$A,0)),"")</f>
        <v>448.96</v>
      </c>
    </row>
    <row r="238" spans="1:46" hidden="1" outlineLevel="1" collapsed="1" x14ac:dyDescent="0.25">
      <c r="A238" s="452">
        <v>4581</v>
      </c>
      <c r="B238" t="s">
        <v>1534</v>
      </c>
      <c r="C238" t="s">
        <v>1535</v>
      </c>
      <c r="D238" t="s">
        <v>1391</v>
      </c>
      <c r="G238" s="453">
        <f t="shared" si="9"/>
        <v>0</v>
      </c>
      <c r="H238" s="453">
        <f t="shared" si="10"/>
        <v>0</v>
      </c>
      <c r="I238" s="453" t="str">
        <f t="shared" si="11"/>
        <v/>
      </c>
      <c r="K238" s="453">
        <v>0</v>
      </c>
      <c r="L238" s="453">
        <v>0</v>
      </c>
      <c r="M238" s="453">
        <v>0</v>
      </c>
      <c r="N238" s="453">
        <v>0</v>
      </c>
      <c r="O238" s="453">
        <v>0</v>
      </c>
      <c r="P238" s="453">
        <v>0</v>
      </c>
      <c r="Q238" s="453">
        <v>0</v>
      </c>
      <c r="R238" s="453">
        <v>0</v>
      </c>
      <c r="S238" s="453">
        <v>0</v>
      </c>
      <c r="T238" s="453">
        <v>0</v>
      </c>
      <c r="U238" s="453">
        <v>0</v>
      </c>
      <c r="V238" s="453">
        <v>0</v>
      </c>
      <c r="AR238" s="453" t="str">
        <f>IFERROR(INDEX('SuSa Okt25'!$N:$N,MATCH($A238,'SuSa Okt25'!A:A,0)),"")</f>
        <v/>
      </c>
      <c r="AS238" s="453" t="str">
        <f>IFERROR(INDEX('SuSa Nov25'!$N:$N,MATCH($A238,'SuSa Nov25'!$A:$A,0)),"")</f>
        <v/>
      </c>
      <c r="AT238" s="453" t="str">
        <f>IFERROR(INDEX('SuSa Dez25'!$N:$N,MATCH($A238,'SuSa Dez25'!$A:$A,0)),"")</f>
        <v/>
      </c>
    </row>
    <row r="239" spans="1:46" hidden="1" outlineLevel="1" collapsed="1" x14ac:dyDescent="0.25">
      <c r="A239" s="452">
        <v>4582</v>
      </c>
      <c r="B239" t="s">
        <v>1536</v>
      </c>
      <c r="C239" t="s">
        <v>1537</v>
      </c>
      <c r="D239" t="s">
        <v>1391</v>
      </c>
      <c r="G239" s="453">
        <f t="shared" si="9"/>
        <v>471.34</v>
      </c>
      <c r="H239" s="453">
        <f t="shared" si="10"/>
        <v>0</v>
      </c>
      <c r="I239" s="453">
        <f t="shared" si="11"/>
        <v>0</v>
      </c>
      <c r="K239" s="453">
        <v>210.08</v>
      </c>
      <c r="L239" s="453">
        <v>253.78</v>
      </c>
      <c r="M239" s="453">
        <v>499.81</v>
      </c>
      <c r="N239" s="453">
        <v>499.81</v>
      </c>
      <c r="O239" s="453">
        <v>298.55</v>
      </c>
      <c r="P239" s="453">
        <v>333.11</v>
      </c>
      <c r="Q239" s="453">
        <v>333.11</v>
      </c>
      <c r="R239" s="453">
        <v>380.17</v>
      </c>
      <c r="S239" s="453">
        <v>405.8</v>
      </c>
      <c r="T239" s="453">
        <v>418.41</v>
      </c>
      <c r="U239" s="453">
        <v>467.98</v>
      </c>
      <c r="V239" s="453">
        <v>471.34</v>
      </c>
    </row>
    <row r="240" spans="1:46" hidden="1" outlineLevel="1" collapsed="1" x14ac:dyDescent="0.25">
      <c r="A240" s="452">
        <v>4582</v>
      </c>
      <c r="B240" t="s">
        <v>1538</v>
      </c>
      <c r="C240" t="s">
        <v>1539</v>
      </c>
      <c r="D240" t="s">
        <v>1391</v>
      </c>
      <c r="G240" s="453">
        <f t="shared" si="9"/>
        <v>0</v>
      </c>
      <c r="H240" s="453">
        <f t="shared" si="10"/>
        <v>428.13</v>
      </c>
      <c r="I240" s="453">
        <f t="shared" si="11"/>
        <v>203.47</v>
      </c>
      <c r="W240" s="453">
        <v>0</v>
      </c>
      <c r="X240" s="453">
        <v>35.17</v>
      </c>
      <c r="Y240" s="453">
        <v>86.63</v>
      </c>
      <c r="Z240" s="453">
        <v>90.63</v>
      </c>
      <c r="AA240" s="453">
        <v>160.87</v>
      </c>
      <c r="AB240" s="453">
        <v>160.87</v>
      </c>
      <c r="AC240" s="453">
        <v>220.03</v>
      </c>
      <c r="AD240" s="453">
        <v>236.4</v>
      </c>
      <c r="AE240" s="453">
        <v>248.09</v>
      </c>
      <c r="AF240" s="453">
        <v>285.06</v>
      </c>
      <c r="AG240" s="453">
        <v>288.42</v>
      </c>
      <c r="AH240" s="453">
        <v>428.13</v>
      </c>
      <c r="AI240" s="453">
        <v>0</v>
      </c>
      <c r="AJ240" s="453">
        <v>6.72</v>
      </c>
      <c r="AK240" s="453">
        <v>37.81</v>
      </c>
      <c r="AL240" s="453">
        <v>39.07</v>
      </c>
      <c r="AM240" s="453">
        <v>59.48</v>
      </c>
      <c r="AN240" s="453">
        <v>59.48</v>
      </c>
      <c r="AO240" s="453">
        <v>59.48</v>
      </c>
      <c r="AP240" s="453">
        <v>62.23</v>
      </c>
      <c r="AQ240" s="453">
        <v>120.44</v>
      </c>
      <c r="AR240" s="453">
        <f>IFERROR(INDEX('SuSa Okt25'!$N:$N,MATCH($A240,'SuSa Okt25'!A:A,0)),"")</f>
        <v>178.25</v>
      </c>
      <c r="AS240" s="453">
        <f>IFERROR(INDEX('SuSa Nov25'!$N:$N,MATCH($A240,'SuSa Nov25'!$A:$A,0)),"")</f>
        <v>178.25</v>
      </c>
      <c r="AT240" s="453">
        <f>IFERROR(INDEX('SuSa Dez25'!$N:$N,MATCH($A240,'SuSa Dez25'!$A:$A,0)),"")</f>
        <v>203.47</v>
      </c>
    </row>
    <row r="241" spans="1:46" hidden="1" outlineLevel="1" collapsed="1" x14ac:dyDescent="0.25">
      <c r="A241" s="452">
        <v>4583</v>
      </c>
      <c r="B241" t="s">
        <v>1540</v>
      </c>
      <c r="C241" t="s">
        <v>1541</v>
      </c>
      <c r="D241" t="s">
        <v>1391</v>
      </c>
      <c r="G241" s="453">
        <f t="shared" si="9"/>
        <v>1777.08</v>
      </c>
      <c r="H241" s="453">
        <f t="shared" si="10"/>
        <v>0</v>
      </c>
      <c r="I241" s="453">
        <f t="shared" si="11"/>
        <v>0</v>
      </c>
      <c r="K241" s="453">
        <v>50.42</v>
      </c>
      <c r="L241" s="453">
        <v>50.42</v>
      </c>
      <c r="M241" s="453">
        <v>50.42</v>
      </c>
      <c r="N241" s="453">
        <v>144.16</v>
      </c>
      <c r="O241" s="453">
        <v>119.79</v>
      </c>
      <c r="P241" s="453">
        <v>119.79</v>
      </c>
      <c r="Q241" s="453">
        <v>119.79</v>
      </c>
      <c r="R241" s="453">
        <v>1456.76</v>
      </c>
      <c r="S241" s="453">
        <v>1456.76</v>
      </c>
      <c r="T241" s="453">
        <v>1561.8</v>
      </c>
      <c r="U241" s="453">
        <v>1632.37</v>
      </c>
      <c r="V241" s="453">
        <v>1777.08</v>
      </c>
    </row>
    <row r="242" spans="1:46" hidden="1" outlineLevel="1" collapsed="1" x14ac:dyDescent="0.25">
      <c r="A242" s="452">
        <v>4583</v>
      </c>
      <c r="B242" t="s">
        <v>1542</v>
      </c>
      <c r="C242" t="s">
        <v>1543</v>
      </c>
      <c r="D242" t="s">
        <v>1391</v>
      </c>
      <c r="G242" s="453">
        <f t="shared" si="9"/>
        <v>0</v>
      </c>
      <c r="H242" s="453">
        <f t="shared" si="10"/>
        <v>709.9</v>
      </c>
      <c r="I242" s="453">
        <f t="shared" si="11"/>
        <v>598.22</v>
      </c>
      <c r="W242" s="453">
        <v>0</v>
      </c>
      <c r="X242" s="453">
        <v>12.61</v>
      </c>
      <c r="Y242" s="453">
        <v>33.619999999999997</v>
      </c>
      <c r="Z242" s="453">
        <v>36.979999999999997</v>
      </c>
      <c r="AA242" s="453">
        <v>99.16</v>
      </c>
      <c r="AB242" s="453">
        <v>205.04</v>
      </c>
      <c r="AC242" s="453">
        <v>282.35000000000002</v>
      </c>
      <c r="AD242" s="453">
        <v>337.81</v>
      </c>
      <c r="AE242" s="453">
        <v>341.17</v>
      </c>
      <c r="AF242" s="453">
        <v>442.01</v>
      </c>
      <c r="AG242" s="453">
        <v>497.89</v>
      </c>
      <c r="AH242" s="453">
        <v>709.9</v>
      </c>
      <c r="AI242" s="453">
        <v>0</v>
      </c>
      <c r="AJ242" s="453">
        <v>0</v>
      </c>
      <c r="AK242" s="453">
        <v>5.88</v>
      </c>
      <c r="AL242" s="453">
        <v>40.08</v>
      </c>
      <c r="AM242" s="453">
        <v>44.28</v>
      </c>
      <c r="AN242" s="453">
        <v>59.41</v>
      </c>
      <c r="AO242" s="453">
        <v>167.61</v>
      </c>
      <c r="AP242" s="453">
        <v>184.9</v>
      </c>
      <c r="AQ242" s="453">
        <v>207.59</v>
      </c>
      <c r="AR242" s="453">
        <f>IFERROR(INDEX('SuSa Okt25'!$N:$N,MATCH($A242,'SuSa Okt25'!A:A,0)),"")</f>
        <v>289.94</v>
      </c>
      <c r="AS242" s="453">
        <f>IFERROR(INDEX('SuSa Nov25'!$N:$N,MATCH($A242,'SuSa Nov25'!$A:$A,0)),"")</f>
        <v>566.29</v>
      </c>
      <c r="AT242" s="453">
        <f>IFERROR(INDEX('SuSa Dez25'!$N:$N,MATCH($A242,'SuSa Dez25'!$A:$A,0)),"")</f>
        <v>598.22</v>
      </c>
    </row>
    <row r="243" spans="1:46" hidden="1" outlineLevel="1" collapsed="1" x14ac:dyDescent="0.25">
      <c r="A243" s="452">
        <v>4584</v>
      </c>
      <c r="B243" t="s">
        <v>1544</v>
      </c>
      <c r="C243" t="s">
        <v>1545</v>
      </c>
      <c r="D243" t="s">
        <v>1391</v>
      </c>
      <c r="G243" s="453">
        <f t="shared" si="9"/>
        <v>447.2</v>
      </c>
      <c r="H243" s="453">
        <f t="shared" si="10"/>
        <v>427.44</v>
      </c>
      <c r="I243" s="453">
        <f t="shared" si="11"/>
        <v>2415.56</v>
      </c>
      <c r="K243" s="453">
        <v>16.46</v>
      </c>
      <c r="L243" s="453">
        <v>18.46</v>
      </c>
      <c r="M243" s="453">
        <v>40.630000000000003</v>
      </c>
      <c r="N243" s="453">
        <v>40.630000000000003</v>
      </c>
      <c r="O243" s="453">
        <v>32.39</v>
      </c>
      <c r="P243" s="453">
        <v>32.39</v>
      </c>
      <c r="Q243" s="453">
        <v>32.39</v>
      </c>
      <c r="R243" s="453">
        <v>34.07</v>
      </c>
      <c r="S243" s="453">
        <v>34.07</v>
      </c>
      <c r="T243" s="453">
        <v>36.58</v>
      </c>
      <c r="U243" s="453">
        <v>81.7</v>
      </c>
      <c r="V243" s="453">
        <v>447.2</v>
      </c>
      <c r="W243" s="453">
        <v>0</v>
      </c>
      <c r="X243" s="453">
        <v>0</v>
      </c>
      <c r="Y243" s="453">
        <v>0</v>
      </c>
      <c r="Z243" s="453">
        <v>21.93</v>
      </c>
      <c r="AA243" s="453">
        <v>32.01</v>
      </c>
      <c r="AB243" s="453">
        <v>128.41</v>
      </c>
      <c r="AC243" s="453">
        <v>128.41</v>
      </c>
      <c r="AD243" s="453">
        <v>128.41</v>
      </c>
      <c r="AE243" s="453">
        <v>129.41</v>
      </c>
      <c r="AF243" s="453">
        <v>233.19</v>
      </c>
      <c r="AG243" s="453">
        <v>233.19</v>
      </c>
      <c r="AH243" s="453">
        <v>427.44</v>
      </c>
      <c r="AI243" s="453">
        <v>0</v>
      </c>
      <c r="AJ243" s="453">
        <v>2.68</v>
      </c>
      <c r="AK243" s="453">
        <v>2.68</v>
      </c>
      <c r="AL243" s="453">
        <v>2.68</v>
      </c>
      <c r="AM243" s="453">
        <v>2.68</v>
      </c>
      <c r="AN243" s="453">
        <v>88.04</v>
      </c>
      <c r="AO243" s="453">
        <v>130.65</v>
      </c>
      <c r="AP243" s="453">
        <v>157.75</v>
      </c>
      <c r="AQ243" s="453">
        <v>172.85</v>
      </c>
      <c r="AR243" s="453">
        <f>IFERROR(INDEX('SuSa Okt25'!$N:$N,MATCH($A243,'SuSa Okt25'!A:A,0)),"")</f>
        <v>2259.6999999999998</v>
      </c>
      <c r="AS243" s="453">
        <f>IFERROR(INDEX('SuSa Nov25'!$N:$N,MATCH($A243,'SuSa Nov25'!$A:$A,0)),"")</f>
        <v>2367.41</v>
      </c>
      <c r="AT243" s="453">
        <f>IFERROR(INDEX('SuSa Dez25'!$N:$N,MATCH($A243,'SuSa Dez25'!$A:$A,0)),"")</f>
        <v>2415.56</v>
      </c>
    </row>
    <row r="244" spans="1:46" hidden="1" outlineLevel="1" collapsed="1" x14ac:dyDescent="0.25">
      <c r="A244" s="452">
        <v>4585</v>
      </c>
      <c r="B244" t="s">
        <v>1546</v>
      </c>
      <c r="C244" t="s">
        <v>1547</v>
      </c>
      <c r="D244" t="s">
        <v>1391</v>
      </c>
      <c r="G244" s="453">
        <f t="shared" si="9"/>
        <v>344.56</v>
      </c>
      <c r="H244" s="453">
        <f t="shared" si="10"/>
        <v>0</v>
      </c>
      <c r="I244" s="453">
        <f t="shared" si="11"/>
        <v>0</v>
      </c>
      <c r="K244" s="453">
        <v>0</v>
      </c>
      <c r="L244" s="453">
        <v>0</v>
      </c>
      <c r="M244" s="453">
        <v>69.55</v>
      </c>
      <c r="N244" s="453">
        <v>69.55</v>
      </c>
      <c r="O244" s="453">
        <v>89.3</v>
      </c>
      <c r="P244" s="453">
        <v>89.3</v>
      </c>
      <c r="Q244" s="453">
        <v>168.29</v>
      </c>
      <c r="R244" s="453">
        <v>200.31</v>
      </c>
      <c r="S244" s="453">
        <v>200.31</v>
      </c>
      <c r="T244" s="453">
        <v>230.56</v>
      </c>
      <c r="U244" s="453">
        <v>344.56</v>
      </c>
      <c r="V244" s="453">
        <v>344.56</v>
      </c>
    </row>
    <row r="245" spans="1:46" hidden="1" outlineLevel="1" collapsed="1" x14ac:dyDescent="0.25">
      <c r="A245" s="452">
        <v>4585</v>
      </c>
      <c r="B245" t="s">
        <v>1548</v>
      </c>
      <c r="C245" t="s">
        <v>1549</v>
      </c>
      <c r="D245" t="s">
        <v>1391</v>
      </c>
      <c r="G245" s="453">
        <f t="shared" si="9"/>
        <v>0</v>
      </c>
      <c r="H245" s="453">
        <f t="shared" si="10"/>
        <v>1436.42</v>
      </c>
      <c r="I245" s="453">
        <f t="shared" si="11"/>
        <v>173.72</v>
      </c>
      <c r="W245" s="453">
        <v>0</v>
      </c>
      <c r="X245" s="453">
        <v>38.380000000000003</v>
      </c>
      <c r="Y245" s="453">
        <v>70.400000000000006</v>
      </c>
      <c r="Z245" s="453">
        <v>70.400000000000006</v>
      </c>
      <c r="AA245" s="453">
        <v>144.41</v>
      </c>
      <c r="AB245" s="453">
        <v>1169.4100000000001</v>
      </c>
      <c r="AC245" s="453">
        <v>1202.94</v>
      </c>
      <c r="AD245" s="453">
        <v>1239.9100000000001</v>
      </c>
      <c r="AE245" s="453">
        <v>1242.26</v>
      </c>
      <c r="AF245" s="453">
        <v>1354.9</v>
      </c>
      <c r="AG245" s="453">
        <v>1380.11</v>
      </c>
      <c r="AH245" s="453">
        <v>1436.42</v>
      </c>
      <c r="AI245" s="453">
        <v>0</v>
      </c>
      <c r="AJ245" s="453">
        <v>66.34</v>
      </c>
      <c r="AK245" s="453">
        <v>101.45</v>
      </c>
      <c r="AL245" s="453">
        <v>101.45</v>
      </c>
      <c r="AM245" s="453">
        <v>107.33</v>
      </c>
      <c r="AN245" s="453">
        <v>107.33</v>
      </c>
      <c r="AO245" s="453">
        <v>107.33</v>
      </c>
      <c r="AP245" s="453">
        <v>173.72</v>
      </c>
      <c r="AQ245" s="453">
        <v>173.72</v>
      </c>
      <c r="AR245" s="453">
        <f>IFERROR(INDEX('SuSa Okt25'!$N:$N,MATCH($A245,'SuSa Okt25'!A:A,0)),"")</f>
        <v>173.72</v>
      </c>
      <c r="AS245" s="453">
        <f>IFERROR(INDEX('SuSa Nov25'!$N:$N,MATCH($A245,'SuSa Nov25'!$A:$A,0)),"")</f>
        <v>173.72</v>
      </c>
      <c r="AT245" s="453">
        <f>IFERROR(INDEX('SuSa Dez25'!$N:$N,MATCH($A245,'SuSa Dez25'!$A:$A,0)),"")</f>
        <v>173.72</v>
      </c>
    </row>
    <row r="246" spans="1:46" hidden="1" outlineLevel="1" collapsed="1" x14ac:dyDescent="0.25">
      <c r="A246" s="452">
        <v>4586</v>
      </c>
      <c r="B246" t="s">
        <v>1550</v>
      </c>
      <c r="C246" t="s">
        <v>1551</v>
      </c>
      <c r="D246" t="s">
        <v>1391</v>
      </c>
      <c r="G246" s="453">
        <f t="shared" si="9"/>
        <v>1197.54</v>
      </c>
      <c r="H246" s="453">
        <f t="shared" si="10"/>
        <v>0</v>
      </c>
      <c r="I246" s="453">
        <f t="shared" si="11"/>
        <v>0</v>
      </c>
      <c r="K246" s="453">
        <v>0</v>
      </c>
      <c r="L246" s="453">
        <v>38.729999999999997</v>
      </c>
      <c r="M246" s="453">
        <v>48.65</v>
      </c>
      <c r="N246" s="453">
        <v>87.22</v>
      </c>
      <c r="O246" s="453">
        <v>108.73</v>
      </c>
      <c r="P246" s="453">
        <v>121.5</v>
      </c>
      <c r="Q246" s="453">
        <v>141.5</v>
      </c>
      <c r="R246" s="453">
        <v>162.43</v>
      </c>
      <c r="S246" s="453">
        <v>190.83</v>
      </c>
      <c r="T246" s="453">
        <v>215.03</v>
      </c>
      <c r="U246" s="453">
        <v>228.81</v>
      </c>
      <c r="V246" s="453">
        <v>1197.54</v>
      </c>
    </row>
    <row r="247" spans="1:46" hidden="1" outlineLevel="1" collapsed="1" x14ac:dyDescent="0.25">
      <c r="A247" s="452">
        <v>4586</v>
      </c>
      <c r="B247" t="s">
        <v>1552</v>
      </c>
      <c r="C247" t="s">
        <v>1553</v>
      </c>
      <c r="D247" t="s">
        <v>1391</v>
      </c>
      <c r="G247" s="453">
        <f t="shared" si="9"/>
        <v>0</v>
      </c>
      <c r="H247" s="453">
        <f t="shared" si="10"/>
        <v>1496.04</v>
      </c>
      <c r="I247" s="453">
        <f t="shared" si="11"/>
        <v>122.86</v>
      </c>
      <c r="W247" s="453">
        <v>0</v>
      </c>
      <c r="X247" s="453">
        <v>12.77</v>
      </c>
      <c r="Y247" s="453">
        <v>28.23</v>
      </c>
      <c r="Z247" s="453">
        <v>47.55</v>
      </c>
      <c r="AA247" s="453">
        <v>54.86</v>
      </c>
      <c r="AB247" s="453">
        <v>62.59</v>
      </c>
      <c r="AC247" s="453">
        <v>102.51</v>
      </c>
      <c r="AD247" s="453">
        <v>1465.79</v>
      </c>
      <c r="AE247" s="453">
        <v>1470.83</v>
      </c>
      <c r="AF247" s="453">
        <v>1481.25</v>
      </c>
      <c r="AG247" s="453">
        <v>1481.25</v>
      </c>
      <c r="AH247" s="453">
        <v>1496.04</v>
      </c>
      <c r="AI247" s="453">
        <v>0</v>
      </c>
      <c r="AJ247" s="453">
        <v>0</v>
      </c>
      <c r="AK247" s="453">
        <v>0</v>
      </c>
      <c r="AL247" s="453">
        <v>0</v>
      </c>
      <c r="AM247" s="453">
        <v>0</v>
      </c>
      <c r="AN247" s="453">
        <v>0</v>
      </c>
      <c r="AO247" s="453">
        <v>5.21</v>
      </c>
      <c r="AP247" s="453">
        <v>5.21</v>
      </c>
      <c r="AQ247" s="453">
        <v>5.21</v>
      </c>
      <c r="AR247" s="453">
        <f>IFERROR(INDEX('SuSa Okt25'!$N:$N,MATCH($A247,'SuSa Okt25'!A:A,0)),"")</f>
        <v>122.86</v>
      </c>
      <c r="AS247" s="453">
        <f>IFERROR(INDEX('SuSa Nov25'!$N:$N,MATCH($A247,'SuSa Nov25'!$A:$A,0)),"")</f>
        <v>122.86</v>
      </c>
      <c r="AT247" s="453">
        <f>IFERROR(INDEX('SuSa Dez25'!$N:$N,MATCH($A247,'SuSa Dez25'!$A:$A,0)),"")</f>
        <v>122.86</v>
      </c>
    </row>
    <row r="248" spans="1:46" hidden="1" outlineLevel="1" collapsed="1" x14ac:dyDescent="0.25">
      <c r="A248" s="452">
        <v>4587</v>
      </c>
      <c r="B248" t="s">
        <v>1554</v>
      </c>
      <c r="C248" t="s">
        <v>1555</v>
      </c>
      <c r="D248" t="s">
        <v>1391</v>
      </c>
      <c r="G248" s="453">
        <f t="shared" si="9"/>
        <v>627.79999999999995</v>
      </c>
      <c r="H248" s="453">
        <f t="shared" si="10"/>
        <v>0</v>
      </c>
      <c r="I248" s="453">
        <f t="shared" si="11"/>
        <v>0</v>
      </c>
      <c r="K248" s="453">
        <v>0</v>
      </c>
      <c r="L248" s="453">
        <v>0</v>
      </c>
      <c r="M248" s="453">
        <v>0</v>
      </c>
      <c r="N248" s="453">
        <v>0</v>
      </c>
      <c r="O248" s="453">
        <v>0</v>
      </c>
      <c r="P248" s="453">
        <v>0</v>
      </c>
      <c r="Q248" s="453">
        <v>7.23</v>
      </c>
      <c r="R248" s="453">
        <v>11.43</v>
      </c>
      <c r="S248" s="453">
        <v>11.43</v>
      </c>
      <c r="T248" s="453">
        <v>11.43</v>
      </c>
      <c r="U248" s="453">
        <v>16.05</v>
      </c>
      <c r="V248" s="453">
        <v>627.79999999999995</v>
      </c>
    </row>
    <row r="249" spans="1:46" hidden="1" outlineLevel="1" collapsed="1" x14ac:dyDescent="0.25">
      <c r="A249" s="452">
        <v>4587</v>
      </c>
      <c r="B249" t="s">
        <v>1556</v>
      </c>
      <c r="C249" t="s">
        <v>1557</v>
      </c>
      <c r="D249" t="s">
        <v>1391</v>
      </c>
      <c r="G249" s="453">
        <f t="shared" si="9"/>
        <v>0</v>
      </c>
      <c r="H249" s="453">
        <f t="shared" si="10"/>
        <v>2597.73</v>
      </c>
      <c r="I249" s="453">
        <f t="shared" si="11"/>
        <v>263.62</v>
      </c>
      <c r="W249" s="453">
        <v>0</v>
      </c>
      <c r="X249" s="453">
        <v>82.24</v>
      </c>
      <c r="Y249" s="453">
        <v>343.34</v>
      </c>
      <c r="Z249" s="453">
        <v>552.45000000000005</v>
      </c>
      <c r="AA249" s="453">
        <v>693.61</v>
      </c>
      <c r="AB249" s="453">
        <v>2650.75</v>
      </c>
      <c r="AC249" s="453">
        <v>2650.75</v>
      </c>
      <c r="AD249" s="453">
        <v>2986.38</v>
      </c>
      <c r="AE249" s="453">
        <v>3037.43</v>
      </c>
      <c r="AF249" s="453">
        <v>3084.27</v>
      </c>
      <c r="AG249" s="453">
        <v>3116.12</v>
      </c>
      <c r="AH249" s="453">
        <v>2597.73</v>
      </c>
      <c r="AI249" s="453">
        <v>0</v>
      </c>
      <c r="AJ249" s="453">
        <v>0</v>
      </c>
      <c r="AK249" s="453">
        <v>0</v>
      </c>
      <c r="AL249" s="453">
        <v>12.61</v>
      </c>
      <c r="AM249" s="453">
        <v>12.61</v>
      </c>
      <c r="AN249" s="453">
        <v>17.649999999999999</v>
      </c>
      <c r="AO249" s="453">
        <v>17.649999999999999</v>
      </c>
      <c r="AP249" s="453">
        <v>36.19</v>
      </c>
      <c r="AQ249" s="453">
        <v>36.19</v>
      </c>
      <c r="AR249" s="453">
        <f>IFERROR(INDEX('SuSa Okt25'!$N:$N,MATCH($A249,'SuSa Okt25'!A:A,0)),"")</f>
        <v>136.46</v>
      </c>
      <c r="AS249" s="453">
        <f>IFERROR(INDEX('SuSa Nov25'!$N:$N,MATCH($A249,'SuSa Nov25'!$A:$A,0)),"")</f>
        <v>229.17</v>
      </c>
      <c r="AT249" s="453">
        <f>IFERROR(INDEX('SuSa Dez25'!$N:$N,MATCH($A249,'SuSa Dez25'!$A:$A,0)),"")</f>
        <v>263.62</v>
      </c>
    </row>
    <row r="250" spans="1:46" hidden="1" outlineLevel="1" collapsed="1" x14ac:dyDescent="0.25">
      <c r="A250" s="452">
        <v>4588</v>
      </c>
      <c r="B250" t="s">
        <v>1558</v>
      </c>
      <c r="C250" t="s">
        <v>1559</v>
      </c>
      <c r="D250" t="s">
        <v>1391</v>
      </c>
      <c r="G250" s="453">
        <f t="shared" si="9"/>
        <v>4490.04</v>
      </c>
      <c r="H250" s="453">
        <f t="shared" si="10"/>
        <v>668.38</v>
      </c>
      <c r="I250" s="453">
        <f t="shared" si="11"/>
        <v>784.18</v>
      </c>
      <c r="N250" s="453">
        <v>1498</v>
      </c>
      <c r="O250" s="453">
        <v>1498</v>
      </c>
      <c r="P250" s="453">
        <v>1498</v>
      </c>
      <c r="Q250" s="453">
        <v>1498</v>
      </c>
      <c r="R250" s="453">
        <v>1664.48</v>
      </c>
      <c r="S250" s="453">
        <v>1735.07</v>
      </c>
      <c r="T250" s="453">
        <v>1749.68</v>
      </c>
      <c r="U250" s="453">
        <v>4400.54</v>
      </c>
      <c r="V250" s="453">
        <v>4490.04</v>
      </c>
      <c r="W250" s="453">
        <v>0</v>
      </c>
      <c r="X250" s="453">
        <v>68.069999999999993</v>
      </c>
      <c r="Y250" s="453">
        <v>152.99</v>
      </c>
      <c r="Z250" s="453">
        <v>163.49</v>
      </c>
      <c r="AA250" s="453">
        <v>252.44</v>
      </c>
      <c r="AB250" s="453">
        <v>277.64999999999998</v>
      </c>
      <c r="AC250" s="453">
        <v>313.75</v>
      </c>
      <c r="AD250" s="453">
        <v>398.19</v>
      </c>
      <c r="AE250" s="453">
        <v>431.38</v>
      </c>
      <c r="AF250" s="453">
        <v>490.7</v>
      </c>
      <c r="AG250" s="453">
        <v>550.15</v>
      </c>
      <c r="AH250" s="453">
        <v>668.38</v>
      </c>
      <c r="AI250" s="453">
        <v>0</v>
      </c>
      <c r="AJ250" s="453">
        <v>0</v>
      </c>
      <c r="AK250" s="453">
        <v>37.19</v>
      </c>
      <c r="AL250" s="453">
        <v>95.17</v>
      </c>
      <c r="AM250" s="453">
        <v>122.58</v>
      </c>
      <c r="AN250" s="453">
        <v>166.58</v>
      </c>
      <c r="AO250" s="453">
        <v>195.79</v>
      </c>
      <c r="AP250" s="453">
        <v>215.12</v>
      </c>
      <c r="AQ250" s="453">
        <v>404.45</v>
      </c>
      <c r="AR250" s="453">
        <f>IFERROR(INDEX('SuSa Okt25'!$N:$N,MATCH($A250,'SuSa Okt25'!A:A,0)),"")</f>
        <v>559.28</v>
      </c>
      <c r="AS250" s="453">
        <f>IFERROR(INDEX('SuSa Nov25'!$N:$N,MATCH($A250,'SuSa Nov25'!$A:$A,0)),"")</f>
        <v>650.87</v>
      </c>
      <c r="AT250" s="453">
        <f>IFERROR(INDEX('SuSa Dez25'!$N:$N,MATCH($A250,'SuSa Dez25'!$A:$A,0)),"")</f>
        <v>784.18</v>
      </c>
    </row>
    <row r="251" spans="1:46" hidden="1" outlineLevel="1" collapsed="1" x14ac:dyDescent="0.25">
      <c r="A251" s="452">
        <v>4589</v>
      </c>
      <c r="B251" t="s">
        <v>1560</v>
      </c>
      <c r="C251" t="s">
        <v>1561</v>
      </c>
      <c r="D251" t="s">
        <v>1391</v>
      </c>
      <c r="G251" s="453">
        <f t="shared" si="9"/>
        <v>0</v>
      </c>
      <c r="H251" s="453">
        <f t="shared" si="10"/>
        <v>0</v>
      </c>
      <c r="I251" s="453" t="str">
        <f t="shared" si="11"/>
        <v/>
      </c>
      <c r="K251" s="453">
        <v>0</v>
      </c>
      <c r="L251" s="453">
        <v>0</v>
      </c>
      <c r="M251" s="453">
        <v>0</v>
      </c>
      <c r="N251" s="453">
        <v>0</v>
      </c>
      <c r="O251" s="453">
        <v>0</v>
      </c>
      <c r="P251" s="453">
        <v>0</v>
      </c>
      <c r="Q251" s="453">
        <v>0</v>
      </c>
      <c r="R251" s="453">
        <v>0</v>
      </c>
      <c r="S251" s="453">
        <v>0</v>
      </c>
      <c r="T251" s="453">
        <v>0</v>
      </c>
      <c r="U251" s="453">
        <v>0</v>
      </c>
      <c r="V251" s="453">
        <v>0</v>
      </c>
      <c r="AR251" s="453" t="str">
        <f>IFERROR(INDEX('SuSa Okt25'!$N:$N,MATCH($A251,'SuSa Okt25'!A:A,0)),"")</f>
        <v/>
      </c>
      <c r="AS251" s="453" t="str">
        <f>IFERROR(INDEX('SuSa Nov25'!$N:$N,MATCH($A251,'SuSa Nov25'!$A:$A,0)),"")</f>
        <v/>
      </c>
      <c r="AT251" s="453" t="str">
        <f>IFERROR(INDEX('SuSa Dez25'!$N:$N,MATCH($A251,'SuSa Dez25'!$A:$A,0)),"")</f>
        <v/>
      </c>
    </row>
    <row r="252" spans="1:46" hidden="1" outlineLevel="1" collapsed="1" x14ac:dyDescent="0.25">
      <c r="A252" s="452">
        <v>4595</v>
      </c>
      <c r="B252" t="s">
        <v>1562</v>
      </c>
      <c r="C252" t="s">
        <v>2008</v>
      </c>
      <c r="D252" t="s">
        <v>1391</v>
      </c>
      <c r="G252" s="453">
        <f t="shared" si="9"/>
        <v>1446.92</v>
      </c>
      <c r="H252" s="453">
        <f t="shared" si="10"/>
        <v>1366.03</v>
      </c>
      <c r="I252" s="453">
        <f t="shared" si="11"/>
        <v>1935.53</v>
      </c>
      <c r="K252" s="453">
        <v>0</v>
      </c>
      <c r="L252" s="453">
        <v>0</v>
      </c>
      <c r="M252" s="453">
        <v>0</v>
      </c>
      <c r="N252" s="453">
        <v>134.28</v>
      </c>
      <c r="O252" s="453">
        <v>191.65</v>
      </c>
      <c r="P252" s="453">
        <v>208.45</v>
      </c>
      <c r="Q252" s="453">
        <v>502.49</v>
      </c>
      <c r="R252" s="453">
        <v>946.81</v>
      </c>
      <c r="S252" s="453">
        <v>946.81</v>
      </c>
      <c r="T252" s="453">
        <v>959.42</v>
      </c>
      <c r="U252" s="453">
        <v>959.42</v>
      </c>
      <c r="V252" s="453">
        <v>1446.92</v>
      </c>
      <c r="W252" s="453">
        <v>0</v>
      </c>
      <c r="X252" s="453">
        <v>100.52</v>
      </c>
      <c r="Y252" s="453">
        <v>212.96</v>
      </c>
      <c r="Z252" s="453">
        <v>212.96</v>
      </c>
      <c r="AA252" s="453">
        <v>238.09</v>
      </c>
      <c r="AB252" s="453">
        <v>777.19</v>
      </c>
      <c r="AC252" s="453">
        <v>777.19</v>
      </c>
      <c r="AD252" s="453">
        <v>988.9</v>
      </c>
      <c r="AE252" s="453">
        <v>993.1</v>
      </c>
      <c r="AF252" s="453">
        <v>993.1</v>
      </c>
      <c r="AG252" s="453">
        <v>1018.23</v>
      </c>
      <c r="AH252" s="453">
        <v>1366.03</v>
      </c>
      <c r="AI252" s="453">
        <v>0</v>
      </c>
      <c r="AJ252" s="453">
        <v>15.97</v>
      </c>
      <c r="AK252" s="453">
        <v>15.97</v>
      </c>
      <c r="AL252" s="453">
        <v>24.38</v>
      </c>
      <c r="AM252" s="453">
        <v>55.89</v>
      </c>
      <c r="AN252" s="453">
        <v>666.73</v>
      </c>
      <c r="AO252" s="453">
        <v>666.73</v>
      </c>
      <c r="AP252" s="453">
        <v>706.5</v>
      </c>
      <c r="AQ252" s="453">
        <v>748.52</v>
      </c>
      <c r="AR252" s="453">
        <f>IFERROR(INDEX('SuSa Okt25'!$N:$N,MATCH($A252,'SuSa Okt25'!A:A,0)),"")</f>
        <v>1935.53</v>
      </c>
      <c r="AS252" s="453">
        <f>IFERROR(INDEX('SuSa Nov25'!$N:$N,MATCH($A252,'SuSa Nov25'!$A:$A,0)),"")</f>
        <v>1935.53</v>
      </c>
      <c r="AT252" s="453">
        <f>IFERROR(INDEX('SuSa Dez25'!$N:$N,MATCH($A252,'SuSa Dez25'!$A:$A,0)),"")</f>
        <v>1935.53</v>
      </c>
    </row>
    <row r="253" spans="1:46" hidden="1" outlineLevel="1" collapsed="1" x14ac:dyDescent="0.25">
      <c r="A253" s="452">
        <v>4600</v>
      </c>
      <c r="B253" t="s">
        <v>1564</v>
      </c>
      <c r="C253" t="s">
        <v>1565</v>
      </c>
      <c r="D253" t="s">
        <v>1566</v>
      </c>
      <c r="G253" s="453">
        <f t="shared" si="9"/>
        <v>18036.669999999998</v>
      </c>
      <c r="H253" s="453">
        <f t="shared" si="10"/>
        <v>14088.81</v>
      </c>
      <c r="I253" s="453">
        <f t="shared" si="11"/>
        <v>10639.48</v>
      </c>
      <c r="K253" s="453">
        <v>113.19</v>
      </c>
      <c r="L253" s="453">
        <v>1112.9100000000001</v>
      </c>
      <c r="M253" s="453">
        <v>1290.92</v>
      </c>
      <c r="N253" s="453">
        <v>2587.52</v>
      </c>
      <c r="O253" s="453">
        <v>2958.39</v>
      </c>
      <c r="P253" s="453">
        <v>14669.19</v>
      </c>
      <c r="Q253" s="453">
        <v>16580.38</v>
      </c>
      <c r="R253" s="453">
        <v>16580.38</v>
      </c>
      <c r="S253" s="453">
        <v>16580.38</v>
      </c>
      <c r="T253" s="453">
        <v>16693.57</v>
      </c>
      <c r="U253" s="453">
        <v>17826.669999999998</v>
      </c>
      <c r="V253" s="453">
        <v>18036.669999999998</v>
      </c>
      <c r="W253" s="453">
        <v>2129.7199999999998</v>
      </c>
      <c r="X253" s="453">
        <v>2129.7199999999998</v>
      </c>
      <c r="Y253" s="453">
        <v>3060.83</v>
      </c>
      <c r="Z253" s="453">
        <v>4626.1499999999996</v>
      </c>
      <c r="AA253" s="453">
        <v>5382.2</v>
      </c>
      <c r="AB253" s="453">
        <v>6774.8</v>
      </c>
      <c r="AC253" s="453">
        <v>7374.55</v>
      </c>
      <c r="AD253" s="453">
        <v>7922.73</v>
      </c>
      <c r="AE253" s="453">
        <v>10415.200000000001</v>
      </c>
      <c r="AF253" s="453">
        <v>13020.43</v>
      </c>
      <c r="AG253" s="453">
        <v>13942.52</v>
      </c>
      <c r="AH253" s="453">
        <v>14088.81</v>
      </c>
      <c r="AI253" s="453">
        <v>317.75</v>
      </c>
      <c r="AJ253" s="453">
        <v>2565.77</v>
      </c>
      <c r="AK253" s="453">
        <v>6482.05</v>
      </c>
      <c r="AL253" s="453">
        <v>6651.07</v>
      </c>
      <c r="AM253" s="453">
        <v>7254.55</v>
      </c>
      <c r="AN253" s="453">
        <v>7254.55</v>
      </c>
      <c r="AO253" s="453">
        <v>7854.3</v>
      </c>
      <c r="AP253" s="453">
        <v>7854.3</v>
      </c>
      <c r="AQ253" s="453">
        <v>8862.2800000000007</v>
      </c>
      <c r="AR253" s="453">
        <f>IFERROR(INDEX('SuSa Okt25'!$N:$N,MATCH($A253,'SuSa Okt25'!A:A,0)),"")</f>
        <v>10199.049999999999</v>
      </c>
      <c r="AS253" s="453">
        <f>IFERROR(INDEX('SuSa Nov25'!$N:$N,MATCH($A253,'SuSa Nov25'!$A:$A,0)),"")</f>
        <v>10430.030000000001</v>
      </c>
      <c r="AT253" s="453">
        <f>IFERROR(INDEX('SuSa Dez25'!$N:$N,MATCH($A253,'SuSa Dez25'!$A:$A,0)),"")</f>
        <v>10639.48</v>
      </c>
    </row>
    <row r="254" spans="1:46" hidden="1" outlineLevel="1" collapsed="1" x14ac:dyDescent="0.25">
      <c r="A254" s="452">
        <v>4605</v>
      </c>
      <c r="B254" t="s">
        <v>1567</v>
      </c>
      <c r="C254" t="s">
        <v>1568</v>
      </c>
      <c r="D254" t="s">
        <v>1566</v>
      </c>
      <c r="G254" s="453">
        <f t="shared" si="9"/>
        <v>6374.38</v>
      </c>
      <c r="H254" s="453">
        <f t="shared" si="10"/>
        <v>3645.53</v>
      </c>
      <c r="I254" s="453">
        <f t="shared" si="11"/>
        <v>3473.14</v>
      </c>
      <c r="K254" s="453">
        <v>8.39</v>
      </c>
      <c r="L254" s="453">
        <v>8.39</v>
      </c>
      <c r="M254" s="453">
        <v>1173.3699999999999</v>
      </c>
      <c r="N254" s="453">
        <v>1898.37</v>
      </c>
      <c r="O254" s="453">
        <v>3709.58</v>
      </c>
      <c r="P254" s="453">
        <v>3709.58</v>
      </c>
      <c r="Q254" s="453">
        <v>3709.58</v>
      </c>
      <c r="R254" s="453">
        <v>4954.33</v>
      </c>
      <c r="S254" s="453">
        <v>5389.33</v>
      </c>
      <c r="T254" s="453">
        <v>6033.28</v>
      </c>
      <c r="U254" s="453">
        <v>6033.28</v>
      </c>
      <c r="V254" s="453">
        <v>6374.38</v>
      </c>
      <c r="W254" s="453">
        <v>649.99</v>
      </c>
      <c r="X254" s="453">
        <v>649.99</v>
      </c>
      <c r="Y254" s="453">
        <v>649.99</v>
      </c>
      <c r="Z254" s="453">
        <v>649.99</v>
      </c>
      <c r="AA254" s="453">
        <v>649.99</v>
      </c>
      <c r="AB254" s="453">
        <v>649.99</v>
      </c>
      <c r="AC254" s="453">
        <v>2630.29</v>
      </c>
      <c r="AD254" s="453">
        <v>2630.29</v>
      </c>
      <c r="AE254" s="453">
        <v>2630.29</v>
      </c>
      <c r="AF254" s="453">
        <v>2634.07</v>
      </c>
      <c r="AG254" s="453">
        <v>3600.32</v>
      </c>
      <c r="AH254" s="453">
        <v>3645.53</v>
      </c>
      <c r="AI254" s="453">
        <v>0</v>
      </c>
      <c r="AJ254" s="453">
        <v>0</v>
      </c>
      <c r="AK254" s="453">
        <v>0</v>
      </c>
      <c r="AL254" s="453">
        <v>217.81</v>
      </c>
      <c r="AM254" s="453">
        <v>925.14</v>
      </c>
      <c r="AN254" s="453">
        <v>1575.84</v>
      </c>
      <c r="AO254" s="453">
        <v>1575.84</v>
      </c>
      <c r="AP254" s="453">
        <v>1575.84</v>
      </c>
      <c r="AQ254" s="453">
        <v>1575.84</v>
      </c>
      <c r="AR254" s="453">
        <f>IFERROR(INDEX('SuSa Okt25'!$N:$N,MATCH($A254,'SuSa Okt25'!A:A,0)),"")</f>
        <v>2655.74</v>
      </c>
      <c r="AS254" s="453">
        <f>IFERROR(INDEX('SuSa Nov25'!$N:$N,MATCH($A254,'SuSa Nov25'!$A:$A,0)),"")</f>
        <v>3075.19</v>
      </c>
      <c r="AT254" s="453">
        <f>IFERROR(INDEX('SuSa Dez25'!$N:$N,MATCH($A254,'SuSa Dez25'!$A:$A,0)),"")</f>
        <v>3473.14</v>
      </c>
    </row>
    <row r="255" spans="1:46" hidden="1" outlineLevel="1" collapsed="1" x14ac:dyDescent="0.25">
      <c r="A255" s="452">
        <v>4620</v>
      </c>
      <c r="B255" t="s">
        <v>1569</v>
      </c>
      <c r="C255" t="s">
        <v>1570</v>
      </c>
      <c r="D255" t="s">
        <v>1566</v>
      </c>
      <c r="G255" s="453">
        <f t="shared" si="9"/>
        <v>41300.910000000003</v>
      </c>
      <c r="H255" s="453">
        <f t="shared" si="10"/>
        <v>46948.17</v>
      </c>
      <c r="I255" s="453">
        <f t="shared" si="11"/>
        <v>38372.14</v>
      </c>
      <c r="K255" s="453">
        <v>416</v>
      </c>
      <c r="L255" s="453">
        <v>416</v>
      </c>
      <c r="M255" s="453">
        <v>5816</v>
      </c>
      <c r="N255" s="453">
        <v>11486</v>
      </c>
      <c r="O255" s="453">
        <v>13244.71</v>
      </c>
      <c r="P255" s="453">
        <v>19939.71</v>
      </c>
      <c r="Q255" s="453">
        <v>24505.25</v>
      </c>
      <c r="R255" s="453">
        <v>24695.32</v>
      </c>
      <c r="S255" s="453">
        <v>29690.61</v>
      </c>
      <c r="T255" s="453">
        <v>38393.11</v>
      </c>
      <c r="U255" s="453">
        <v>40165.339999999997</v>
      </c>
      <c r="V255" s="453">
        <v>41300.910000000003</v>
      </c>
      <c r="W255" s="453">
        <v>0</v>
      </c>
      <c r="X255" s="453">
        <v>100</v>
      </c>
      <c r="Y255" s="453">
        <v>3222.57</v>
      </c>
      <c r="Z255" s="453">
        <v>18825.28</v>
      </c>
      <c r="AA255" s="453">
        <v>25905.279999999999</v>
      </c>
      <c r="AB255" s="453">
        <v>32032.28</v>
      </c>
      <c r="AC255" s="453">
        <v>35950.78</v>
      </c>
      <c r="AD255" s="453">
        <v>36681.78</v>
      </c>
      <c r="AE255" s="453">
        <v>40242.42</v>
      </c>
      <c r="AF255" s="453">
        <v>45720.2</v>
      </c>
      <c r="AG255" s="453">
        <v>46236.9</v>
      </c>
      <c r="AH255" s="453">
        <v>46948.17</v>
      </c>
      <c r="AI255" s="453">
        <v>5400</v>
      </c>
      <c r="AJ255" s="453">
        <v>5400</v>
      </c>
      <c r="AK255" s="453">
        <v>5550</v>
      </c>
      <c r="AL255" s="453">
        <v>6588.19</v>
      </c>
      <c r="AM255" s="453">
        <v>9524.77</v>
      </c>
      <c r="AN255" s="453">
        <v>18276.310000000001</v>
      </c>
      <c r="AO255" s="453">
        <v>21893.81</v>
      </c>
      <c r="AP255" s="453">
        <v>22443.81</v>
      </c>
      <c r="AQ255" s="453">
        <v>33377.230000000003</v>
      </c>
      <c r="AR255" s="453">
        <f>IFERROR(INDEX('SuSa Okt25'!$N:$N,MATCH($A255,'SuSa Okt25'!A:A,0)),"")</f>
        <v>38230.230000000003</v>
      </c>
      <c r="AS255" s="453">
        <f>IFERROR(INDEX('SuSa Nov25'!$N:$N,MATCH($A255,'SuSa Nov25'!$A:$A,0)),"")</f>
        <v>38372.14</v>
      </c>
      <c r="AT255" s="453">
        <f>IFERROR(INDEX('SuSa Dez25'!$N:$N,MATCH($A255,'SuSa Dez25'!$A:$A,0)),"")</f>
        <v>38372.14</v>
      </c>
    </row>
    <row r="256" spans="1:46" hidden="1" outlineLevel="1" collapsed="1" x14ac:dyDescent="0.25">
      <c r="A256" s="452">
        <v>4631</v>
      </c>
      <c r="B256" t="s">
        <v>1571</v>
      </c>
      <c r="C256" t="s">
        <v>1572</v>
      </c>
      <c r="D256" t="s">
        <v>1566</v>
      </c>
      <c r="G256" s="453">
        <f t="shared" si="9"/>
        <v>7329.05</v>
      </c>
      <c r="H256" s="453">
        <f t="shared" si="10"/>
        <v>16627.61</v>
      </c>
      <c r="I256" s="453">
        <f t="shared" si="11"/>
        <v>18090.900000000001</v>
      </c>
      <c r="K256" s="453">
        <v>0</v>
      </c>
      <c r="L256" s="453">
        <v>0</v>
      </c>
      <c r="M256" s="453">
        <v>0</v>
      </c>
      <c r="N256" s="453">
        <v>0</v>
      </c>
      <c r="O256" s="453">
        <v>0</v>
      </c>
      <c r="P256" s="453">
        <v>0</v>
      </c>
      <c r="Q256" s="453">
        <v>0</v>
      </c>
      <c r="R256" s="453">
        <v>0</v>
      </c>
      <c r="S256" s="453">
        <v>0</v>
      </c>
      <c r="T256" s="453">
        <v>0</v>
      </c>
      <c r="U256" s="453">
        <v>0</v>
      </c>
      <c r="V256" s="453">
        <v>7329.05</v>
      </c>
      <c r="W256" s="453">
        <v>0</v>
      </c>
      <c r="X256" s="453">
        <v>0</v>
      </c>
      <c r="Y256" s="453">
        <v>0</v>
      </c>
      <c r="Z256" s="453">
        <v>0</v>
      </c>
      <c r="AA256" s="453">
        <v>0</v>
      </c>
      <c r="AB256" s="453">
        <v>0</v>
      </c>
      <c r="AC256" s="453">
        <v>0</v>
      </c>
      <c r="AD256" s="453">
        <v>0</v>
      </c>
      <c r="AE256" s="453">
        <v>0</v>
      </c>
      <c r="AF256" s="453">
        <v>0</v>
      </c>
      <c r="AG256" s="453">
        <v>0</v>
      </c>
      <c r="AH256" s="453">
        <v>16627.61</v>
      </c>
      <c r="AI256" s="453">
        <v>0</v>
      </c>
      <c r="AJ256" s="453">
        <v>0</v>
      </c>
      <c r="AK256" s="453">
        <v>0</v>
      </c>
      <c r="AL256" s="453">
        <v>0</v>
      </c>
      <c r="AM256" s="453">
        <v>0</v>
      </c>
      <c r="AN256" s="453">
        <v>0</v>
      </c>
      <c r="AO256" s="453">
        <v>0</v>
      </c>
      <c r="AP256" s="453">
        <v>0</v>
      </c>
      <c r="AQ256" s="453">
        <v>0</v>
      </c>
      <c r="AR256" s="453">
        <f>IFERROR(INDEX('SuSa Okt25'!$N:$N,MATCH($A256,'SuSa Okt25'!A:A,0)),"")</f>
        <v>0</v>
      </c>
      <c r="AS256" s="453">
        <f>IFERROR(INDEX('SuSa Nov25'!$N:$N,MATCH($A256,'SuSa Nov25'!$A:$A,0)),"")</f>
        <v>0</v>
      </c>
      <c r="AT256" s="453">
        <f>IFERROR(INDEX('SuSa Dez25'!$N:$N,MATCH($A256,'SuSa Dez25'!$A:$A,0)),"")</f>
        <v>18090.900000000001</v>
      </c>
    </row>
    <row r="257" spans="1:46" hidden="1" outlineLevel="1" collapsed="1" x14ac:dyDescent="0.25">
      <c r="A257" s="452">
        <v>4632</v>
      </c>
      <c r="B257" t="s">
        <v>1573</v>
      </c>
      <c r="C257" t="s">
        <v>2009</v>
      </c>
      <c r="D257" t="s">
        <v>1566</v>
      </c>
      <c r="G257" s="453">
        <f t="shared" si="9"/>
        <v>2727.37</v>
      </c>
      <c r="H257" s="453">
        <f t="shared" si="10"/>
        <v>6250.84</v>
      </c>
      <c r="I257" s="453">
        <f t="shared" si="11"/>
        <v>6569.62</v>
      </c>
      <c r="K257" s="453">
        <v>0</v>
      </c>
      <c r="L257" s="453">
        <v>0</v>
      </c>
      <c r="M257" s="453">
        <v>0</v>
      </c>
      <c r="N257" s="453">
        <v>0</v>
      </c>
      <c r="O257" s="453">
        <v>0</v>
      </c>
      <c r="P257" s="453">
        <v>0</v>
      </c>
      <c r="Q257" s="453">
        <v>0</v>
      </c>
      <c r="R257" s="453">
        <v>0</v>
      </c>
      <c r="S257" s="453">
        <v>0</v>
      </c>
      <c r="T257" s="453">
        <v>0</v>
      </c>
      <c r="U257" s="453">
        <v>0</v>
      </c>
      <c r="V257" s="453">
        <v>2727.37</v>
      </c>
      <c r="W257" s="453">
        <v>0</v>
      </c>
      <c r="X257" s="453">
        <v>0</v>
      </c>
      <c r="Y257" s="453">
        <v>0</v>
      </c>
      <c r="Z257" s="453">
        <v>0</v>
      </c>
      <c r="AA257" s="453">
        <v>0</v>
      </c>
      <c r="AB257" s="453">
        <v>0</v>
      </c>
      <c r="AC257" s="453">
        <v>0</v>
      </c>
      <c r="AD257" s="453">
        <v>0</v>
      </c>
      <c r="AE257" s="453">
        <v>0</v>
      </c>
      <c r="AF257" s="453">
        <v>0</v>
      </c>
      <c r="AG257" s="453">
        <v>0</v>
      </c>
      <c r="AH257" s="453">
        <v>6250.84</v>
      </c>
      <c r="AI257" s="453">
        <v>0</v>
      </c>
      <c r="AJ257" s="453">
        <v>0</v>
      </c>
      <c r="AK257" s="453">
        <v>0</v>
      </c>
      <c r="AL257" s="453">
        <v>0</v>
      </c>
      <c r="AM257" s="453">
        <v>0</v>
      </c>
      <c r="AN257" s="453">
        <v>0</v>
      </c>
      <c r="AO257" s="453">
        <v>0</v>
      </c>
      <c r="AP257" s="453">
        <v>0</v>
      </c>
      <c r="AQ257" s="453">
        <v>0</v>
      </c>
      <c r="AR257" s="453">
        <f>IFERROR(INDEX('SuSa Okt25'!$N:$N,MATCH($A257,'SuSa Okt25'!A:A,0)),"")</f>
        <v>0</v>
      </c>
      <c r="AS257" s="453">
        <f>IFERROR(INDEX('SuSa Nov25'!$N:$N,MATCH($A257,'SuSa Nov25'!$A:$A,0)),"")</f>
        <v>0</v>
      </c>
      <c r="AT257" s="453">
        <f>IFERROR(INDEX('SuSa Dez25'!$N:$N,MATCH($A257,'SuSa Dez25'!$A:$A,0)),"")</f>
        <v>6569.62</v>
      </c>
    </row>
    <row r="258" spans="1:46" hidden="1" outlineLevel="1" collapsed="1" x14ac:dyDescent="0.25">
      <c r="A258" s="452">
        <v>4640</v>
      </c>
      <c r="B258" t="s">
        <v>1575</v>
      </c>
      <c r="C258" t="s">
        <v>1576</v>
      </c>
      <c r="D258" t="s">
        <v>1566</v>
      </c>
      <c r="G258" s="453">
        <f t="shared" si="9"/>
        <v>7368.39</v>
      </c>
      <c r="H258" s="453">
        <f t="shared" si="10"/>
        <v>13928.72</v>
      </c>
      <c r="I258" s="453">
        <f t="shared" si="11"/>
        <v>12944.08</v>
      </c>
      <c r="K258" s="453">
        <v>819.26</v>
      </c>
      <c r="L258" s="453">
        <v>1242.0999999999999</v>
      </c>
      <c r="M258" s="453">
        <v>1913.61</v>
      </c>
      <c r="N258" s="453">
        <v>2322.94</v>
      </c>
      <c r="O258" s="453">
        <v>2623.66</v>
      </c>
      <c r="P258" s="453">
        <v>3514.38</v>
      </c>
      <c r="Q258" s="453">
        <v>3863.82</v>
      </c>
      <c r="R258" s="453">
        <v>34202.15</v>
      </c>
      <c r="S258" s="453">
        <v>38360.629999999997</v>
      </c>
      <c r="T258" s="453">
        <v>39430.32</v>
      </c>
      <c r="U258" s="453">
        <v>41465.82</v>
      </c>
      <c r="V258" s="453">
        <v>7368.39</v>
      </c>
      <c r="W258" s="453">
        <v>1137.47</v>
      </c>
      <c r="X258" s="453">
        <v>3056.7</v>
      </c>
      <c r="Y258" s="453">
        <v>4864.32</v>
      </c>
      <c r="Z258" s="453">
        <v>6493.62</v>
      </c>
      <c r="AA258" s="453">
        <v>7687.27</v>
      </c>
      <c r="AB258" s="453">
        <v>9050.35</v>
      </c>
      <c r="AC258" s="453">
        <v>10598.83</v>
      </c>
      <c r="AD258" s="453">
        <v>11864.87</v>
      </c>
      <c r="AE258" s="453">
        <v>14210.92</v>
      </c>
      <c r="AF258" s="453">
        <v>18993.150000000001</v>
      </c>
      <c r="AG258" s="453">
        <v>23934.5</v>
      </c>
      <c r="AH258" s="453">
        <v>13928.72</v>
      </c>
      <c r="AI258" s="453">
        <v>359.09</v>
      </c>
      <c r="AJ258" s="453">
        <v>2839.38</v>
      </c>
      <c r="AK258" s="453">
        <v>4650.99</v>
      </c>
      <c r="AL258" s="453">
        <v>6285.43</v>
      </c>
      <c r="AM258" s="453">
        <v>10003.39</v>
      </c>
      <c r="AN258" s="453">
        <v>11264.83</v>
      </c>
      <c r="AO258" s="453">
        <v>13072.66</v>
      </c>
      <c r="AP258" s="453">
        <v>14594.32</v>
      </c>
      <c r="AQ258" s="453">
        <v>16274.85</v>
      </c>
      <c r="AR258" s="453">
        <f>IFERROR(INDEX('SuSa Okt25'!$N:$N,MATCH($A258,'SuSa Okt25'!A:A,0)),"")</f>
        <v>18016.02</v>
      </c>
      <c r="AS258" s="453">
        <f>IFERROR(INDEX('SuSa Nov25'!$N:$N,MATCH($A258,'SuSa Nov25'!$A:$A,0)),"")</f>
        <v>25673.83</v>
      </c>
      <c r="AT258" s="453">
        <f>IFERROR(INDEX('SuSa Dez25'!$N:$N,MATCH($A258,'SuSa Dez25'!$A:$A,0)),"")</f>
        <v>12944.08</v>
      </c>
    </row>
    <row r="259" spans="1:46" hidden="1" outlineLevel="1" collapsed="1" x14ac:dyDescent="0.25">
      <c r="A259" s="452">
        <v>4641</v>
      </c>
      <c r="B259" t="s">
        <v>1577</v>
      </c>
      <c r="C259" t="s">
        <v>2010</v>
      </c>
      <c r="D259" t="s">
        <v>1566</v>
      </c>
      <c r="E259" t="s">
        <v>2481</v>
      </c>
      <c r="G259" s="453">
        <f t="shared" ref="G259:G329" si="12">V259</f>
        <v>32306.75</v>
      </c>
      <c r="H259" s="453">
        <f t="shared" ref="H259:H290" si="13">AH259</f>
        <v>0</v>
      </c>
      <c r="I259" s="453" t="str">
        <f t="shared" ref="I259:I322" si="14">AT259</f>
        <v/>
      </c>
      <c r="V259" s="453">
        <v>32306.75</v>
      </c>
      <c r="W259" s="453">
        <v>0</v>
      </c>
      <c r="X259" s="453">
        <v>0</v>
      </c>
      <c r="Y259" s="453">
        <v>0</v>
      </c>
      <c r="Z259" s="453">
        <v>0</v>
      </c>
      <c r="AA259" s="453">
        <v>0</v>
      </c>
      <c r="AB259" s="453">
        <v>0</v>
      </c>
      <c r="AC259" s="453">
        <v>0</v>
      </c>
      <c r="AD259" s="453">
        <v>0</v>
      </c>
      <c r="AE259" s="453">
        <v>0</v>
      </c>
      <c r="AF259" s="453">
        <v>0</v>
      </c>
      <c r="AG259" s="453">
        <v>0</v>
      </c>
      <c r="AH259" s="453">
        <v>0</v>
      </c>
      <c r="AR259" s="453" t="str">
        <f>IFERROR(INDEX('SuSa Okt25'!$N:$N,MATCH($A259,'SuSa Okt25'!A:A,0)),"")</f>
        <v/>
      </c>
      <c r="AS259" s="453" t="str">
        <f>IFERROR(INDEX('SuSa Nov25'!$N:$N,MATCH($A259,'SuSa Nov25'!$A:$A,0)),"")</f>
        <v/>
      </c>
      <c r="AT259" s="453" t="str">
        <f>IFERROR(INDEX('SuSa Dez25'!$N:$N,MATCH($A259,'SuSa Dez25'!$A:$A,0)),"")</f>
        <v/>
      </c>
    </row>
    <row r="260" spans="1:46" hidden="1" outlineLevel="1" collapsed="1" x14ac:dyDescent="0.25">
      <c r="A260" s="452">
        <v>4650</v>
      </c>
      <c r="B260" t="s">
        <v>1579</v>
      </c>
      <c r="C260" t="s">
        <v>1580</v>
      </c>
      <c r="D260" t="s">
        <v>1566</v>
      </c>
      <c r="G260" s="453">
        <f t="shared" si="12"/>
        <v>2743.2</v>
      </c>
      <c r="H260" s="453">
        <f t="shared" si="13"/>
        <v>2737.35</v>
      </c>
      <c r="I260" s="453">
        <f t="shared" si="14"/>
        <v>2521.04</v>
      </c>
      <c r="K260" s="453">
        <v>33.35</v>
      </c>
      <c r="L260" s="453">
        <v>164.81</v>
      </c>
      <c r="M260" s="453">
        <v>542.22</v>
      </c>
      <c r="N260" s="453">
        <v>862.8</v>
      </c>
      <c r="O260" s="453">
        <v>1025.3499999999999</v>
      </c>
      <c r="P260" s="453">
        <v>1199.8900000000001</v>
      </c>
      <c r="Q260" s="453">
        <v>1443.62</v>
      </c>
      <c r="R260" s="453">
        <v>1570.23</v>
      </c>
      <c r="S260" s="453">
        <v>1712.64</v>
      </c>
      <c r="T260" s="453">
        <v>1936.04</v>
      </c>
      <c r="U260" s="453">
        <v>2444.66</v>
      </c>
      <c r="V260" s="453">
        <v>2743.2</v>
      </c>
      <c r="W260" s="453">
        <v>14.69</v>
      </c>
      <c r="X260" s="453">
        <v>14.69</v>
      </c>
      <c r="Y260" s="453">
        <v>223.57</v>
      </c>
      <c r="Z260" s="453">
        <v>565.87</v>
      </c>
      <c r="AA260" s="453">
        <v>807.93</v>
      </c>
      <c r="AB260" s="453">
        <v>951.53</v>
      </c>
      <c r="AC260" s="453">
        <v>1135.6600000000001</v>
      </c>
      <c r="AD260" s="453">
        <v>1282.1300000000001</v>
      </c>
      <c r="AE260" s="453">
        <v>1386.27</v>
      </c>
      <c r="AF260" s="453">
        <v>2094.09</v>
      </c>
      <c r="AG260" s="453">
        <v>2182.9299999999998</v>
      </c>
      <c r="AH260" s="453">
        <v>2737.35</v>
      </c>
      <c r="AI260" s="453">
        <v>52.35</v>
      </c>
      <c r="AJ260" s="453">
        <v>230.3</v>
      </c>
      <c r="AK260" s="453">
        <v>448.48</v>
      </c>
      <c r="AL260" s="453">
        <v>792.23</v>
      </c>
      <c r="AM260" s="453">
        <v>1026.0899999999999</v>
      </c>
      <c r="AN260" s="453">
        <v>1229.4000000000001</v>
      </c>
      <c r="AO260" s="453">
        <v>1435.49</v>
      </c>
      <c r="AP260" s="453">
        <v>1503.84</v>
      </c>
      <c r="AQ260" s="453">
        <v>1563.42</v>
      </c>
      <c r="AR260" s="453">
        <f>IFERROR(INDEX('SuSa Okt25'!$N:$N,MATCH($A260,'SuSa Okt25'!A:A,0)),"")</f>
        <v>1647.94</v>
      </c>
      <c r="AS260" s="453">
        <f>IFERROR(INDEX('SuSa Nov25'!$N:$N,MATCH($A260,'SuSa Nov25'!$A:$A,0)),"")</f>
        <v>2306.86</v>
      </c>
      <c r="AT260" s="453">
        <f>IFERROR(INDEX('SuSa Dez25'!$N:$N,MATCH($A260,'SuSa Dez25'!$A:$A,0)),"")</f>
        <v>2521.04</v>
      </c>
    </row>
    <row r="261" spans="1:46" hidden="1" outlineLevel="1" collapsed="1" x14ac:dyDescent="0.25">
      <c r="A261" s="452">
        <v>4654</v>
      </c>
      <c r="B261" t="s">
        <v>1581</v>
      </c>
      <c r="C261" t="s">
        <v>1582</v>
      </c>
      <c r="D261" t="s">
        <v>1566</v>
      </c>
      <c r="G261" s="453">
        <f t="shared" si="12"/>
        <v>1175.72</v>
      </c>
      <c r="H261" s="453">
        <f t="shared" si="13"/>
        <v>1173.1600000000001</v>
      </c>
      <c r="I261" s="453">
        <f t="shared" si="14"/>
        <v>1080.48</v>
      </c>
      <c r="K261" s="453">
        <v>14.29</v>
      </c>
      <c r="L261" s="453">
        <v>70.64</v>
      </c>
      <c r="M261" s="453">
        <v>232.4</v>
      </c>
      <c r="N261" s="453">
        <v>369.78</v>
      </c>
      <c r="O261" s="453">
        <v>439.45</v>
      </c>
      <c r="P261" s="453">
        <v>514.25</v>
      </c>
      <c r="Q261" s="453">
        <v>618.72</v>
      </c>
      <c r="R261" s="453">
        <v>672.98</v>
      </c>
      <c r="S261" s="453">
        <v>734.03</v>
      </c>
      <c r="T261" s="453">
        <v>829.78</v>
      </c>
      <c r="U261" s="453">
        <v>1047.77</v>
      </c>
      <c r="V261" s="453">
        <v>1175.72</v>
      </c>
      <c r="W261" s="453">
        <v>6.29</v>
      </c>
      <c r="X261" s="453">
        <v>6.29</v>
      </c>
      <c r="Y261" s="453">
        <v>53.33</v>
      </c>
      <c r="Z261" s="453">
        <v>242.52</v>
      </c>
      <c r="AA261" s="453">
        <v>346.25</v>
      </c>
      <c r="AB261" s="453">
        <v>407.79</v>
      </c>
      <c r="AC261" s="453">
        <v>486.71</v>
      </c>
      <c r="AD261" s="453">
        <v>549.48</v>
      </c>
      <c r="AE261" s="453">
        <v>594.12</v>
      </c>
      <c r="AF261" s="453">
        <v>897.47</v>
      </c>
      <c r="AG261" s="453">
        <v>935.54</v>
      </c>
      <c r="AH261" s="453">
        <v>1173.1600000000001</v>
      </c>
      <c r="AI261" s="453">
        <v>22.44</v>
      </c>
      <c r="AJ261" s="453">
        <v>98.7</v>
      </c>
      <c r="AK261" s="453">
        <v>192.2</v>
      </c>
      <c r="AL261" s="453">
        <v>339.53</v>
      </c>
      <c r="AM261" s="453">
        <v>439.76</v>
      </c>
      <c r="AN261" s="453">
        <v>526.89</v>
      </c>
      <c r="AO261" s="453">
        <v>615.21</v>
      </c>
      <c r="AP261" s="453">
        <v>644.51</v>
      </c>
      <c r="AQ261" s="453">
        <v>670.05</v>
      </c>
      <c r="AR261" s="453">
        <f>IFERROR(INDEX('SuSa Okt25'!$N:$N,MATCH($A261,'SuSa Okt25'!A:A,0)),"")</f>
        <v>706.28</v>
      </c>
      <c r="AS261" s="453">
        <f>IFERROR(INDEX('SuSa Nov25'!$N:$N,MATCH($A261,'SuSa Nov25'!$A:$A,0)),"")</f>
        <v>988.68</v>
      </c>
      <c r="AT261" s="453">
        <f>IFERROR(INDEX('SuSa Dez25'!$N:$N,MATCH($A261,'SuSa Dez25'!$A:$A,0)),"")</f>
        <v>1080.48</v>
      </c>
    </row>
    <row r="262" spans="1:46" hidden="1" outlineLevel="1" x14ac:dyDescent="0.25">
      <c r="A262" s="452">
        <v>4660</v>
      </c>
      <c r="B262" t="s">
        <v>4742</v>
      </c>
      <c r="D262" t="s">
        <v>1566</v>
      </c>
      <c r="G262" s="453">
        <f>V262</f>
        <v>0</v>
      </c>
      <c r="H262" s="453">
        <f t="shared" si="13"/>
        <v>0</v>
      </c>
      <c r="I262" s="453">
        <f t="shared" si="14"/>
        <v>30799.119999999999</v>
      </c>
      <c r="AR262" s="453" t="str">
        <f>IFERROR(INDEX('SuSa Okt25'!$N:$N,MATCH($A262,'SuSa Okt25'!A:A,0)),"")</f>
        <v/>
      </c>
      <c r="AS262" s="453" t="str">
        <f>IFERROR(INDEX('SuSa Nov25'!$N:$N,MATCH($A262,'SuSa Nov25'!$A:$A,0)),"")</f>
        <v/>
      </c>
      <c r="AT262" s="453">
        <f>IFERROR(INDEX('SuSa Dez25'!$N:$N,MATCH($A262,'SuSa Dez25'!$A:$A,0)),"")</f>
        <v>30799.119999999999</v>
      </c>
    </row>
    <row r="263" spans="1:46" hidden="1" outlineLevel="1" collapsed="1" x14ac:dyDescent="0.25">
      <c r="A263" s="452">
        <v>4663</v>
      </c>
      <c r="B263" t="s">
        <v>1583</v>
      </c>
      <c r="C263" t="s">
        <v>2011</v>
      </c>
      <c r="D263" t="s">
        <v>1566</v>
      </c>
      <c r="G263" s="453">
        <f t="shared" si="12"/>
        <v>8772.5300000000007</v>
      </c>
      <c r="H263" s="453">
        <f t="shared" si="13"/>
        <v>7620.74</v>
      </c>
      <c r="I263" s="453">
        <f t="shared" si="14"/>
        <v>6417.46</v>
      </c>
      <c r="K263" s="453">
        <v>225.23</v>
      </c>
      <c r="L263" s="453">
        <v>1977.43</v>
      </c>
      <c r="M263" s="453">
        <v>2058.41</v>
      </c>
      <c r="N263" s="453">
        <v>2382.7600000000002</v>
      </c>
      <c r="O263" s="453">
        <v>4683.34</v>
      </c>
      <c r="P263" s="453">
        <v>4988.2</v>
      </c>
      <c r="Q263" s="453">
        <v>5308.27</v>
      </c>
      <c r="R263" s="453">
        <v>6207.02</v>
      </c>
      <c r="S263" s="453">
        <v>6299.82</v>
      </c>
      <c r="T263" s="453">
        <v>7180.68</v>
      </c>
      <c r="U263" s="453">
        <v>7420.41</v>
      </c>
      <c r="V263" s="453">
        <v>8772.5300000000007</v>
      </c>
      <c r="W263" s="453">
        <v>848.96</v>
      </c>
      <c r="X263" s="453">
        <v>721.9</v>
      </c>
      <c r="Y263" s="453">
        <v>1168.03</v>
      </c>
      <c r="Z263" s="453">
        <v>1967.81</v>
      </c>
      <c r="AA263" s="453">
        <v>2117.89</v>
      </c>
      <c r="AB263" s="453">
        <v>3230.35</v>
      </c>
      <c r="AC263" s="453">
        <v>3638.06</v>
      </c>
      <c r="AD263" s="453">
        <v>4521.78</v>
      </c>
      <c r="AE263" s="453">
        <v>5481.33</v>
      </c>
      <c r="AF263" s="453">
        <v>5969.05</v>
      </c>
      <c r="AG263" s="453">
        <v>6917.71</v>
      </c>
      <c r="AH263" s="453">
        <v>7620.74</v>
      </c>
      <c r="AI263" s="453">
        <v>0</v>
      </c>
      <c r="AJ263" s="453">
        <v>1670.31</v>
      </c>
      <c r="AK263" s="453">
        <v>1883.66</v>
      </c>
      <c r="AL263" s="453">
        <v>2700.93</v>
      </c>
      <c r="AM263" s="453">
        <v>3086.91</v>
      </c>
      <c r="AN263" s="453">
        <v>3233.17</v>
      </c>
      <c r="AO263" s="453">
        <v>3397.57</v>
      </c>
      <c r="AP263" s="453">
        <v>4679.92</v>
      </c>
      <c r="AQ263" s="453">
        <v>5050.82</v>
      </c>
      <c r="AR263" s="453">
        <f>IFERROR(INDEX('SuSa Okt25'!$N:$N,MATCH($A263,'SuSa Okt25'!A:A,0)),"")</f>
        <v>5050.82</v>
      </c>
      <c r="AS263" s="453">
        <f>IFERROR(INDEX('SuSa Nov25'!$N:$N,MATCH($A263,'SuSa Nov25'!$A:$A,0)),"")</f>
        <v>5891.63</v>
      </c>
      <c r="AT263" s="453">
        <f>IFERROR(INDEX('SuSa Dez25'!$N:$N,MATCH($A263,'SuSa Dez25'!$A:$A,0)),"")</f>
        <v>6417.46</v>
      </c>
    </row>
    <row r="264" spans="1:46" hidden="1" outlineLevel="1" collapsed="1" x14ac:dyDescent="0.25">
      <c r="A264" s="452">
        <v>4664</v>
      </c>
      <c r="B264" t="s">
        <v>1585</v>
      </c>
      <c r="C264" t="s">
        <v>1586</v>
      </c>
      <c r="D264" t="s">
        <v>1566</v>
      </c>
      <c r="G264" s="453">
        <f t="shared" si="12"/>
        <v>7788.6</v>
      </c>
      <c r="H264" s="453">
        <f t="shared" si="13"/>
        <v>13134.6</v>
      </c>
      <c r="I264" s="453">
        <f t="shared" si="14"/>
        <v>7137.6</v>
      </c>
      <c r="K264" s="453">
        <v>296.8</v>
      </c>
      <c r="L264" s="453">
        <v>392</v>
      </c>
      <c r="M264" s="453">
        <v>892.4</v>
      </c>
      <c r="N264" s="453">
        <v>1404.4</v>
      </c>
      <c r="O264" s="453">
        <v>895.8</v>
      </c>
      <c r="P264" s="453">
        <v>1478.2</v>
      </c>
      <c r="Q264" s="453">
        <v>2417.8000000000002</v>
      </c>
      <c r="R264" s="453">
        <v>3630.6</v>
      </c>
      <c r="S264" s="453">
        <v>3921.8</v>
      </c>
      <c r="T264" s="453">
        <v>4887</v>
      </c>
      <c r="U264" s="453">
        <v>5889.4</v>
      </c>
      <c r="V264" s="453">
        <v>7788.6</v>
      </c>
      <c r="W264" s="453">
        <v>0</v>
      </c>
      <c r="X264" s="453">
        <v>627.20000000000005</v>
      </c>
      <c r="Y264" s="453">
        <v>1396</v>
      </c>
      <c r="Z264" s="453">
        <v>3465.58</v>
      </c>
      <c r="AA264" s="453">
        <v>5332.78</v>
      </c>
      <c r="AB264" s="453">
        <v>4821.2</v>
      </c>
      <c r="AC264" s="453">
        <v>5609.2</v>
      </c>
      <c r="AD264" s="453">
        <v>6176.2</v>
      </c>
      <c r="AE264" s="453">
        <v>7679.6</v>
      </c>
      <c r="AF264" s="453">
        <v>8320</v>
      </c>
      <c r="AG264" s="453">
        <v>9220.2000000000007</v>
      </c>
      <c r="AH264" s="453">
        <v>13134.6</v>
      </c>
      <c r="AI264" s="453">
        <v>0</v>
      </c>
      <c r="AJ264" s="453">
        <v>314.39999999999998</v>
      </c>
      <c r="AK264" s="453">
        <v>446</v>
      </c>
      <c r="AL264" s="453">
        <v>955.6</v>
      </c>
      <c r="AM264" s="453">
        <v>1076</v>
      </c>
      <c r="AN264" s="453">
        <v>2396</v>
      </c>
      <c r="AO264" s="453">
        <v>2828.8</v>
      </c>
      <c r="AP264" s="453">
        <v>3687.2</v>
      </c>
      <c r="AQ264" s="453">
        <v>4012</v>
      </c>
      <c r="AR264" s="453">
        <f>IFERROR(INDEX('SuSa Okt25'!$N:$N,MATCH($A264,'SuSa Okt25'!A:A,0)),"")</f>
        <v>5505.4</v>
      </c>
      <c r="AS264" s="453">
        <f>IFERROR(INDEX('SuSa Nov25'!$N:$N,MATCH($A264,'SuSa Nov25'!$A:$A,0)),"")</f>
        <v>6389.2</v>
      </c>
      <c r="AT264" s="453">
        <f>IFERROR(INDEX('SuSa Dez25'!$N:$N,MATCH($A264,'SuSa Dez25'!$A:$A,0)),"")</f>
        <v>7137.6</v>
      </c>
    </row>
    <row r="265" spans="1:46" hidden="1" outlineLevel="1" collapsed="1" x14ac:dyDescent="0.25">
      <c r="A265" s="452">
        <v>4666</v>
      </c>
      <c r="B265" t="s">
        <v>1587</v>
      </c>
      <c r="C265" t="s">
        <v>1588</v>
      </c>
      <c r="D265" t="s">
        <v>1566</v>
      </c>
      <c r="G265" s="453">
        <f t="shared" si="12"/>
        <v>38756.17</v>
      </c>
      <c r="H265" s="453">
        <f t="shared" si="13"/>
        <v>27341.48</v>
      </c>
      <c r="I265" s="453">
        <f t="shared" si="14"/>
        <v>24976.45</v>
      </c>
      <c r="K265" s="453">
        <v>765.42</v>
      </c>
      <c r="L265" s="453">
        <v>1211.0999999999999</v>
      </c>
      <c r="M265" s="453">
        <v>4388.5</v>
      </c>
      <c r="N265" s="453">
        <v>5198</v>
      </c>
      <c r="O265" s="453">
        <v>5912.44</v>
      </c>
      <c r="P265" s="453">
        <v>8812.39</v>
      </c>
      <c r="Q265" s="453">
        <v>9681.7900000000009</v>
      </c>
      <c r="R265" s="453">
        <v>13116.4</v>
      </c>
      <c r="S265" s="453">
        <v>15716.16</v>
      </c>
      <c r="T265" s="453">
        <v>17182.88</v>
      </c>
      <c r="U265" s="453">
        <v>21010.74</v>
      </c>
      <c r="V265" s="453">
        <v>38756.17</v>
      </c>
      <c r="W265" s="453">
        <v>0</v>
      </c>
      <c r="X265" s="453">
        <v>1981.97</v>
      </c>
      <c r="Y265" s="453">
        <v>4658.72</v>
      </c>
      <c r="Z265" s="453">
        <v>8385.64</v>
      </c>
      <c r="AA265" s="453">
        <v>12194.64</v>
      </c>
      <c r="AB265" s="453">
        <v>14824.86</v>
      </c>
      <c r="AC265" s="453">
        <v>17358.78</v>
      </c>
      <c r="AD265" s="453">
        <v>20444.32</v>
      </c>
      <c r="AE265" s="453">
        <v>21913.62</v>
      </c>
      <c r="AF265" s="453">
        <v>29525.69</v>
      </c>
      <c r="AG265" s="453">
        <v>35147.24</v>
      </c>
      <c r="AH265" s="453">
        <v>27341.48</v>
      </c>
      <c r="AI265" s="453">
        <v>0</v>
      </c>
      <c r="AJ265" s="453">
        <v>1063.69</v>
      </c>
      <c r="AK265" s="453">
        <v>2110.9899999999998</v>
      </c>
      <c r="AL265" s="453">
        <v>4759.59</v>
      </c>
      <c r="AM265" s="453">
        <v>5840.85</v>
      </c>
      <c r="AN265" s="453">
        <v>7751.39</v>
      </c>
      <c r="AO265" s="453">
        <v>10344.94</v>
      </c>
      <c r="AP265" s="453">
        <v>11351.45</v>
      </c>
      <c r="AQ265" s="453">
        <v>13294.1</v>
      </c>
      <c r="AR265" s="453">
        <f>IFERROR(INDEX('SuSa Okt25'!$N:$N,MATCH($A265,'SuSa Okt25'!A:A,0)),"")</f>
        <v>17034.099999999999</v>
      </c>
      <c r="AS265" s="453">
        <f>IFERROR(INDEX('SuSa Nov25'!$N:$N,MATCH($A265,'SuSa Nov25'!$A:$A,0)),"")</f>
        <v>23620.06</v>
      </c>
      <c r="AT265" s="453">
        <f>IFERROR(INDEX('SuSa Dez25'!$N:$N,MATCH($A265,'SuSa Dez25'!$A:$A,0)),"")</f>
        <v>24976.45</v>
      </c>
    </row>
    <row r="266" spans="1:46" hidden="1" outlineLevel="1" collapsed="1" x14ac:dyDescent="0.25">
      <c r="A266" s="452">
        <v>4668</v>
      </c>
      <c r="B266" t="s">
        <v>1589</v>
      </c>
      <c r="C266" t="s">
        <v>1590</v>
      </c>
      <c r="D266" t="s">
        <v>1566</v>
      </c>
      <c r="G266" s="453">
        <f t="shared" si="12"/>
        <v>2740.2</v>
      </c>
      <c r="H266" s="453">
        <f t="shared" si="13"/>
        <v>609.62</v>
      </c>
      <c r="I266" s="453">
        <f t="shared" si="14"/>
        <v>594.15</v>
      </c>
      <c r="K266" s="453">
        <v>38.1</v>
      </c>
      <c r="L266" s="453">
        <v>57</v>
      </c>
      <c r="M266" s="453">
        <v>553.79999999999995</v>
      </c>
      <c r="N266" s="453">
        <v>1114.2</v>
      </c>
      <c r="O266" s="453">
        <v>2148.3000000000002</v>
      </c>
      <c r="P266" s="453">
        <v>2148.3000000000002</v>
      </c>
      <c r="Q266" s="453">
        <v>2148.3000000000002</v>
      </c>
      <c r="R266" s="453">
        <v>2152.1999999999998</v>
      </c>
      <c r="S266" s="453">
        <v>2218.1999999999998</v>
      </c>
      <c r="T266" s="453">
        <v>2289.3000000000002</v>
      </c>
      <c r="U266" s="453">
        <v>2703</v>
      </c>
      <c r="V266" s="453">
        <v>2740.2</v>
      </c>
      <c r="W266" s="453">
        <v>15.3</v>
      </c>
      <c r="X266" s="453">
        <v>44.4</v>
      </c>
      <c r="Y266" s="453">
        <v>53.4</v>
      </c>
      <c r="Z266" s="453">
        <v>145.80000000000001</v>
      </c>
      <c r="AA266" s="453">
        <v>165.3</v>
      </c>
      <c r="AB266" s="453">
        <v>217.8</v>
      </c>
      <c r="AC266" s="453">
        <v>263.10000000000002</v>
      </c>
      <c r="AD266" s="453">
        <v>263.10000000000002</v>
      </c>
      <c r="AE266" s="453">
        <v>334.22</v>
      </c>
      <c r="AF266" s="453">
        <v>341.72</v>
      </c>
      <c r="AG266" s="453">
        <v>589.52</v>
      </c>
      <c r="AH266" s="453">
        <v>609.62</v>
      </c>
      <c r="AI266" s="453">
        <v>0</v>
      </c>
      <c r="AJ266" s="453">
        <v>3</v>
      </c>
      <c r="AK266" s="453">
        <v>9</v>
      </c>
      <c r="AL266" s="453">
        <v>9</v>
      </c>
      <c r="AM266" s="453">
        <v>102.6</v>
      </c>
      <c r="AN266" s="453">
        <v>284.39999999999998</v>
      </c>
      <c r="AO266" s="453">
        <v>301.2</v>
      </c>
      <c r="AP266" s="453">
        <v>406.8</v>
      </c>
      <c r="AQ266" s="453">
        <v>406.8</v>
      </c>
      <c r="AR266" s="453">
        <f>IFERROR(INDEX('SuSa Okt25'!$N:$N,MATCH($A266,'SuSa Okt25'!A:A,0)),"")</f>
        <v>445.05</v>
      </c>
      <c r="AS266" s="453">
        <f>IFERROR(INDEX('SuSa Nov25'!$N:$N,MATCH($A266,'SuSa Nov25'!$A:$A,0)),"")</f>
        <v>589.04999999999995</v>
      </c>
      <c r="AT266" s="453">
        <f>IFERROR(INDEX('SuSa Dez25'!$N:$N,MATCH($A266,'SuSa Dez25'!$A:$A,0)),"")</f>
        <v>594.15</v>
      </c>
    </row>
    <row r="267" spans="1:46" hidden="1" outlineLevel="1" collapsed="1" x14ac:dyDescent="0.25">
      <c r="A267" s="452">
        <v>4730</v>
      </c>
      <c r="B267" t="s">
        <v>1591</v>
      </c>
      <c r="C267" t="s">
        <v>1592</v>
      </c>
      <c r="D267" t="s">
        <v>1593</v>
      </c>
      <c r="G267" s="453">
        <f t="shared" si="12"/>
        <v>285329.81</v>
      </c>
      <c r="H267" s="453">
        <f t="shared" si="13"/>
        <v>294960.43</v>
      </c>
      <c r="I267" s="453">
        <f t="shared" si="14"/>
        <v>354655.7</v>
      </c>
      <c r="K267" s="453">
        <v>21851.48</v>
      </c>
      <c r="L267" s="453">
        <v>44497.64</v>
      </c>
      <c r="M267" s="453">
        <v>66829.759999999995</v>
      </c>
      <c r="N267" s="453">
        <v>95952.11</v>
      </c>
      <c r="O267" s="453">
        <v>110827.89</v>
      </c>
      <c r="P267" s="453">
        <v>136883.84</v>
      </c>
      <c r="Q267" s="453">
        <v>159850.82</v>
      </c>
      <c r="R267" s="453">
        <v>187496.75</v>
      </c>
      <c r="S267" s="453">
        <v>210623.64</v>
      </c>
      <c r="T267" s="453">
        <v>235032.91</v>
      </c>
      <c r="U267" s="453">
        <v>258000.79</v>
      </c>
      <c r="V267" s="453">
        <v>285329.81</v>
      </c>
      <c r="W267" s="453">
        <v>21166.26</v>
      </c>
      <c r="X267" s="453">
        <v>46389.42</v>
      </c>
      <c r="Y267" s="453">
        <v>73948.22</v>
      </c>
      <c r="Z267" s="453">
        <v>98611.76</v>
      </c>
      <c r="AA267" s="453">
        <v>124160.55</v>
      </c>
      <c r="AB267" s="453">
        <v>149555.92000000001</v>
      </c>
      <c r="AC267" s="453">
        <v>172341.65</v>
      </c>
      <c r="AD267" s="453">
        <v>195688.74</v>
      </c>
      <c r="AE267" s="453">
        <v>221885.85</v>
      </c>
      <c r="AF267" s="453">
        <v>250886.39</v>
      </c>
      <c r="AG267" s="453">
        <v>276154.40000000002</v>
      </c>
      <c r="AH267" s="453">
        <v>294960.43</v>
      </c>
      <c r="AI267" s="453">
        <v>28315.83</v>
      </c>
      <c r="AJ267" s="453">
        <v>62246.37</v>
      </c>
      <c r="AK267" s="453">
        <v>98434.12</v>
      </c>
      <c r="AL267" s="453">
        <v>129321.9</v>
      </c>
      <c r="AM267" s="453">
        <v>164475.34</v>
      </c>
      <c r="AN267" s="453">
        <v>192055.87</v>
      </c>
      <c r="AO267" s="453">
        <v>217819.12</v>
      </c>
      <c r="AP267" s="453">
        <v>246041.8</v>
      </c>
      <c r="AQ267" s="453">
        <v>271424.34000000003</v>
      </c>
      <c r="AR267" s="453">
        <f>IFERROR(INDEX('SuSa Okt25'!$N:$N,MATCH($A267,'SuSa Okt25'!A:A,0)),"")</f>
        <v>301185.03000000003</v>
      </c>
      <c r="AS267" s="453">
        <f>IFERROR(INDEX('SuSa Nov25'!$N:$N,MATCH($A267,'SuSa Nov25'!$A:$A,0)),"")</f>
        <v>325456.55</v>
      </c>
      <c r="AT267" s="453">
        <f>IFERROR(INDEX('SuSa Dez25'!$N:$N,MATCH($A267,'SuSa Dez25'!$A:$A,0)),"")</f>
        <v>354655.7</v>
      </c>
    </row>
    <row r="268" spans="1:46" hidden="1" outlineLevel="1" collapsed="1" x14ac:dyDescent="0.25">
      <c r="A268" s="452">
        <v>4780</v>
      </c>
      <c r="B268" t="s">
        <v>1594</v>
      </c>
      <c r="C268" t="s">
        <v>1595</v>
      </c>
      <c r="D268" t="s">
        <v>1593</v>
      </c>
      <c r="G268" s="453">
        <f t="shared" si="12"/>
        <v>0</v>
      </c>
      <c r="H268" s="453">
        <f t="shared" si="13"/>
        <v>0</v>
      </c>
      <c r="I268" s="453">
        <f t="shared" si="14"/>
        <v>932.14</v>
      </c>
      <c r="K268" s="453">
        <v>3200</v>
      </c>
      <c r="L268" s="453">
        <v>6400</v>
      </c>
      <c r="M268" s="453">
        <v>9600</v>
      </c>
      <c r="N268" s="453">
        <v>12800</v>
      </c>
      <c r="O268" s="453">
        <v>16000</v>
      </c>
      <c r="P268" s="453">
        <v>19200</v>
      </c>
      <c r="Q268" s="453">
        <v>22400</v>
      </c>
      <c r="R268" s="453">
        <v>25600</v>
      </c>
      <c r="S268" s="453">
        <v>28800</v>
      </c>
      <c r="T268" s="453">
        <v>96620</v>
      </c>
      <c r="U268" s="453">
        <v>99820</v>
      </c>
      <c r="V268" s="453">
        <v>0</v>
      </c>
      <c r="W268" s="453">
        <v>0</v>
      </c>
      <c r="X268" s="453">
        <v>0</v>
      </c>
      <c r="Y268" s="453">
        <v>0</v>
      </c>
      <c r="Z268" s="453">
        <v>0</v>
      </c>
      <c r="AA268" s="453">
        <v>0</v>
      </c>
      <c r="AB268" s="453">
        <v>0</v>
      </c>
      <c r="AC268" s="453">
        <v>0</v>
      </c>
      <c r="AD268" s="453">
        <v>0</v>
      </c>
      <c r="AE268" s="453">
        <v>0</v>
      </c>
      <c r="AF268" s="453">
        <v>0</v>
      </c>
      <c r="AG268" s="453">
        <v>0</v>
      </c>
      <c r="AH268" s="453">
        <v>0</v>
      </c>
      <c r="AR268" s="453" t="str">
        <f>IFERROR(INDEX('SuSa Okt25'!$N:$N,MATCH($A268,'SuSa Okt25'!A:A,0)),"")</f>
        <v/>
      </c>
      <c r="AS268" s="453">
        <f>IFERROR(INDEX('SuSa Nov25'!$N:$N,MATCH($A268,'SuSa Nov25'!$A:$A,0)),"")</f>
        <v>932.14</v>
      </c>
      <c r="AT268" s="453">
        <f>IFERROR(INDEX('SuSa Dez25'!$N:$N,MATCH($A268,'SuSa Dez25'!$A:$A,0)),"")</f>
        <v>932.14</v>
      </c>
    </row>
    <row r="269" spans="1:46" hidden="1" outlineLevel="1" collapsed="1" x14ac:dyDescent="0.25">
      <c r="A269" s="452">
        <v>4790</v>
      </c>
      <c r="B269" t="s">
        <v>1597</v>
      </c>
      <c r="C269" t="s">
        <v>2012</v>
      </c>
      <c r="D269" t="s">
        <v>1593</v>
      </c>
      <c r="G269" s="453">
        <f t="shared" si="12"/>
        <v>98</v>
      </c>
      <c r="H269" s="453">
        <f t="shared" si="13"/>
        <v>6423</v>
      </c>
      <c r="I269" s="453">
        <f t="shared" si="14"/>
        <v>0</v>
      </c>
      <c r="K269" s="453">
        <v>0</v>
      </c>
      <c r="L269" s="453">
        <v>0</v>
      </c>
      <c r="M269" s="453">
        <v>0</v>
      </c>
      <c r="N269" s="453">
        <v>0</v>
      </c>
      <c r="O269" s="453">
        <v>0</v>
      </c>
      <c r="P269" s="453">
        <v>0</v>
      </c>
      <c r="Q269" s="453">
        <v>0</v>
      </c>
      <c r="R269" s="453">
        <v>0</v>
      </c>
      <c r="S269" s="453">
        <v>0</v>
      </c>
      <c r="T269" s="453">
        <v>0</v>
      </c>
      <c r="U269" s="453">
        <v>0</v>
      </c>
      <c r="V269" s="453">
        <v>98</v>
      </c>
      <c r="W269" s="453">
        <v>0</v>
      </c>
      <c r="X269" s="453">
        <v>0</v>
      </c>
      <c r="Y269" s="453">
        <v>0</v>
      </c>
      <c r="Z269" s="453">
        <v>0</v>
      </c>
      <c r="AA269" s="453">
        <v>0</v>
      </c>
      <c r="AB269" s="453">
        <v>0</v>
      </c>
      <c r="AC269" s="453">
        <v>0</v>
      </c>
      <c r="AD269" s="453">
        <v>0</v>
      </c>
      <c r="AE269" s="453">
        <v>0</v>
      </c>
      <c r="AF269" s="453">
        <v>0</v>
      </c>
      <c r="AG269" s="453">
        <v>0</v>
      </c>
      <c r="AH269" s="453">
        <v>6423</v>
      </c>
      <c r="AI269" s="453">
        <v>0</v>
      </c>
      <c r="AJ269" s="453">
        <v>0</v>
      </c>
      <c r="AK269" s="453">
        <v>0</v>
      </c>
      <c r="AL269" s="453">
        <v>0</v>
      </c>
      <c r="AM269" s="453">
        <v>0</v>
      </c>
      <c r="AN269" s="453">
        <v>0</v>
      </c>
      <c r="AO269" s="453">
        <v>0</v>
      </c>
      <c r="AP269" s="453">
        <v>0</v>
      </c>
      <c r="AQ269" s="453">
        <v>0</v>
      </c>
      <c r="AR269" s="453">
        <f>IFERROR(INDEX('SuSa Okt25'!$N:$N,MATCH($A269,'SuSa Okt25'!A:A,0)),"")</f>
        <v>0</v>
      </c>
      <c r="AS269" s="453">
        <f>IFERROR(INDEX('SuSa Nov25'!$N:$N,MATCH($A269,'SuSa Nov25'!$A:$A,0)),"")</f>
        <v>0</v>
      </c>
      <c r="AT269" s="453">
        <f>IFERROR(INDEX('SuSa Dez25'!$N:$N,MATCH($A269,'SuSa Dez25'!$A:$A,0)),"")</f>
        <v>0</v>
      </c>
    </row>
    <row r="270" spans="1:46" hidden="1" outlineLevel="1" collapsed="1" x14ac:dyDescent="0.25">
      <c r="A270" s="452">
        <v>4800</v>
      </c>
      <c r="B270" t="s">
        <v>1599</v>
      </c>
      <c r="C270" t="s">
        <v>1600</v>
      </c>
      <c r="D270" t="s">
        <v>1601</v>
      </c>
      <c r="G270" s="453">
        <f t="shared" si="12"/>
        <v>55405.43</v>
      </c>
      <c r="H270" s="453">
        <f t="shared" si="13"/>
        <v>59746.21</v>
      </c>
      <c r="I270" s="453">
        <f t="shared" si="14"/>
        <v>61969.7</v>
      </c>
      <c r="K270" s="453">
        <v>226.4</v>
      </c>
      <c r="L270" s="453">
        <v>2834.54</v>
      </c>
      <c r="M270" s="453">
        <v>4521.74</v>
      </c>
      <c r="N270" s="453">
        <v>11748.01</v>
      </c>
      <c r="O270" s="453">
        <v>16638.57</v>
      </c>
      <c r="P270" s="453">
        <v>17151.57</v>
      </c>
      <c r="Q270" s="453">
        <v>27112.92</v>
      </c>
      <c r="R270" s="453">
        <v>29071.95</v>
      </c>
      <c r="S270" s="453">
        <v>33617.51</v>
      </c>
      <c r="T270" s="453">
        <v>34055.339999999997</v>
      </c>
      <c r="U270" s="453">
        <v>42524.14</v>
      </c>
      <c r="V270" s="453">
        <v>55405.43</v>
      </c>
      <c r="W270" s="453">
        <v>3400.73</v>
      </c>
      <c r="X270" s="453">
        <v>5471.17</v>
      </c>
      <c r="Y270" s="453">
        <v>6971.23</v>
      </c>
      <c r="Z270" s="453">
        <v>16731.439999999999</v>
      </c>
      <c r="AA270" s="453">
        <v>24953.91</v>
      </c>
      <c r="AB270" s="453">
        <v>32385.47</v>
      </c>
      <c r="AC270" s="453">
        <v>36306.269999999997</v>
      </c>
      <c r="AD270" s="453">
        <v>37718.300000000003</v>
      </c>
      <c r="AE270" s="453">
        <v>41585.019999999997</v>
      </c>
      <c r="AF270" s="453">
        <v>46371.61</v>
      </c>
      <c r="AG270" s="453">
        <v>47380.06</v>
      </c>
      <c r="AH270" s="453">
        <v>59746.21</v>
      </c>
      <c r="AI270" s="453">
        <v>4330.05</v>
      </c>
      <c r="AJ270" s="453">
        <v>10088.64</v>
      </c>
      <c r="AK270" s="453">
        <v>11229.65</v>
      </c>
      <c r="AL270" s="453">
        <v>17993.669999999998</v>
      </c>
      <c r="AM270" s="453">
        <v>26139.53</v>
      </c>
      <c r="AN270" s="453">
        <v>29652.62</v>
      </c>
      <c r="AO270" s="453">
        <v>34007.86</v>
      </c>
      <c r="AP270" s="453">
        <v>35864.79</v>
      </c>
      <c r="AQ270" s="453">
        <v>39977.49</v>
      </c>
      <c r="AR270" s="453">
        <f>IFERROR(INDEX('SuSa Okt25'!$N:$N,MATCH($A270,'SuSa Okt25'!A:A,0)),"")</f>
        <v>59120.99</v>
      </c>
      <c r="AS270" s="453">
        <f>IFERROR(INDEX('SuSa Nov25'!$N:$N,MATCH($A270,'SuSa Nov25'!$A:$A,0)),"")</f>
        <v>61127.41</v>
      </c>
      <c r="AT270" s="453">
        <f>IFERROR(INDEX('SuSa Dez25'!$N:$N,MATCH($A270,'SuSa Dez25'!$A:$A,0)),"")</f>
        <v>61969.7</v>
      </c>
    </row>
    <row r="271" spans="1:46" hidden="1" outlineLevel="1" collapsed="1" x14ac:dyDescent="0.25">
      <c r="A271" s="452">
        <v>4805</v>
      </c>
      <c r="B271" t="s">
        <v>1602</v>
      </c>
      <c r="C271" t="s">
        <v>1603</v>
      </c>
      <c r="D271" t="s">
        <v>1601</v>
      </c>
      <c r="G271" s="453">
        <f t="shared" si="12"/>
        <v>6634.9</v>
      </c>
      <c r="H271" s="453">
        <f t="shared" si="13"/>
        <v>36669.120000000003</v>
      </c>
      <c r="I271" s="453">
        <f t="shared" si="14"/>
        <v>11286.46</v>
      </c>
      <c r="K271" s="453">
        <v>125.33</v>
      </c>
      <c r="L271" s="453">
        <v>168.53</v>
      </c>
      <c r="M271" s="453">
        <v>1067.6300000000001</v>
      </c>
      <c r="N271" s="453">
        <v>1447.75</v>
      </c>
      <c r="O271" s="453">
        <v>1488.8</v>
      </c>
      <c r="P271" s="453">
        <v>1713.14</v>
      </c>
      <c r="Q271" s="453">
        <v>2226.41</v>
      </c>
      <c r="R271" s="453">
        <v>3947.35</v>
      </c>
      <c r="S271" s="453">
        <v>5249.38</v>
      </c>
      <c r="T271" s="453">
        <v>6297.98</v>
      </c>
      <c r="U271" s="453">
        <v>6311.55</v>
      </c>
      <c r="V271" s="453">
        <v>6634.9</v>
      </c>
      <c r="W271" s="453">
        <v>626.13</v>
      </c>
      <c r="X271" s="453">
        <v>5818.43</v>
      </c>
      <c r="Y271" s="453">
        <v>6291.47</v>
      </c>
      <c r="Z271" s="453">
        <v>10778.5</v>
      </c>
      <c r="AA271" s="453">
        <v>11525.46</v>
      </c>
      <c r="AB271" s="453">
        <v>12204.13</v>
      </c>
      <c r="AC271" s="453">
        <v>15093.93</v>
      </c>
      <c r="AD271" s="453">
        <v>23677.48</v>
      </c>
      <c r="AE271" s="453">
        <v>26983.59</v>
      </c>
      <c r="AF271" s="453">
        <v>35288.559999999998</v>
      </c>
      <c r="AG271" s="453">
        <v>36031.17</v>
      </c>
      <c r="AH271" s="453">
        <v>36669.120000000003</v>
      </c>
      <c r="AI271" s="453">
        <v>0</v>
      </c>
      <c r="AJ271" s="453">
        <v>0</v>
      </c>
      <c r="AK271" s="453">
        <v>242.9</v>
      </c>
      <c r="AL271" s="453">
        <v>4174.16</v>
      </c>
      <c r="AM271" s="453">
        <v>5386.35</v>
      </c>
      <c r="AN271" s="453">
        <v>6256.22</v>
      </c>
      <c r="AO271" s="453">
        <v>6932.15</v>
      </c>
      <c r="AP271" s="453">
        <v>9160.34</v>
      </c>
      <c r="AQ271" s="453">
        <v>9337.02</v>
      </c>
      <c r="AR271" s="453">
        <f>IFERROR(INDEX('SuSa Okt25'!$N:$N,MATCH($A271,'SuSa Okt25'!A:A,0)),"")</f>
        <v>9547.1</v>
      </c>
      <c r="AS271" s="453">
        <f>IFERROR(INDEX('SuSa Nov25'!$N:$N,MATCH($A271,'SuSa Nov25'!$A:$A,0)),"")</f>
        <v>11286.46</v>
      </c>
      <c r="AT271" s="453">
        <f>IFERROR(INDEX('SuSa Dez25'!$N:$N,MATCH($A271,'SuSa Dez25'!$A:$A,0)),"")</f>
        <v>11286.46</v>
      </c>
    </row>
    <row r="272" spans="1:46" hidden="1" outlineLevel="1" collapsed="1" x14ac:dyDescent="0.25">
      <c r="A272" s="452">
        <v>4806</v>
      </c>
      <c r="B272" t="s">
        <v>1604</v>
      </c>
      <c r="C272" t="s">
        <v>1605</v>
      </c>
      <c r="D272" t="s">
        <v>1601</v>
      </c>
      <c r="G272" s="453">
        <f t="shared" si="12"/>
        <v>62241.16</v>
      </c>
      <c r="H272" s="453">
        <f t="shared" si="13"/>
        <v>36897.480000000003</v>
      </c>
      <c r="I272" s="453">
        <f t="shared" si="14"/>
        <v>39277.33</v>
      </c>
      <c r="K272" s="453">
        <v>3787.56</v>
      </c>
      <c r="L272" s="453">
        <v>12699.86</v>
      </c>
      <c r="M272" s="453">
        <v>22595.26</v>
      </c>
      <c r="N272" s="453">
        <v>25054</v>
      </c>
      <c r="O272" s="453">
        <v>28601.98</v>
      </c>
      <c r="P272" s="453">
        <v>32568.6</v>
      </c>
      <c r="Q272" s="453">
        <v>35078.58</v>
      </c>
      <c r="R272" s="453">
        <v>36775.33</v>
      </c>
      <c r="S272" s="453">
        <v>43018.1</v>
      </c>
      <c r="T272" s="453">
        <v>45088.93</v>
      </c>
      <c r="U272" s="453">
        <v>49981.84</v>
      </c>
      <c r="V272" s="453">
        <v>62241.16</v>
      </c>
      <c r="W272" s="453">
        <v>3760.17</v>
      </c>
      <c r="X272" s="453">
        <v>6720.13</v>
      </c>
      <c r="Y272" s="453">
        <v>15042.92</v>
      </c>
      <c r="Z272" s="453">
        <v>16362.09</v>
      </c>
      <c r="AA272" s="453">
        <v>17494.43</v>
      </c>
      <c r="AB272" s="453">
        <v>20295.66</v>
      </c>
      <c r="AC272" s="453">
        <v>24668.22</v>
      </c>
      <c r="AD272" s="453">
        <v>25554.720000000001</v>
      </c>
      <c r="AE272" s="453">
        <v>27485.94</v>
      </c>
      <c r="AF272" s="453">
        <v>31562.1</v>
      </c>
      <c r="AG272" s="453">
        <v>35869.86</v>
      </c>
      <c r="AH272" s="453">
        <v>36897.480000000003</v>
      </c>
      <c r="AI272" s="453">
        <v>3982.04</v>
      </c>
      <c r="AJ272" s="453">
        <v>6995.29</v>
      </c>
      <c r="AK272" s="453">
        <v>21761.88</v>
      </c>
      <c r="AL272" s="453">
        <v>23689.35</v>
      </c>
      <c r="AM272" s="453">
        <v>25257.71</v>
      </c>
      <c r="AN272" s="453">
        <v>26265.360000000001</v>
      </c>
      <c r="AO272" s="453">
        <v>32300.95</v>
      </c>
      <c r="AP272" s="453">
        <v>29153.46</v>
      </c>
      <c r="AQ272" s="453">
        <v>31184.27</v>
      </c>
      <c r="AR272" s="453">
        <f>IFERROR(INDEX('SuSa Okt25'!$N:$N,MATCH($A272,'SuSa Okt25'!A:A,0)),"")</f>
        <v>34149.589999999997</v>
      </c>
      <c r="AS272" s="453">
        <f>IFERROR(INDEX('SuSa Nov25'!$N:$N,MATCH($A272,'SuSa Nov25'!$A:$A,0)),"")</f>
        <v>37754.129999999997</v>
      </c>
      <c r="AT272" s="453">
        <f>IFERROR(INDEX('SuSa Dez25'!$N:$N,MATCH($A272,'SuSa Dez25'!$A:$A,0)),"")</f>
        <v>39277.33</v>
      </c>
    </row>
    <row r="273" spans="1:46" outlineLevel="1" collapsed="1" x14ac:dyDescent="0.25">
      <c r="A273" s="452">
        <v>4810</v>
      </c>
      <c r="B273" s="522" t="s">
        <v>1606</v>
      </c>
      <c r="C273" t="s">
        <v>2013</v>
      </c>
      <c r="D273" t="s">
        <v>1352</v>
      </c>
      <c r="F273" t="s">
        <v>2505</v>
      </c>
      <c r="G273" s="453">
        <f t="shared" si="12"/>
        <v>40187.760000000002</v>
      </c>
      <c r="H273" s="453">
        <f t="shared" si="13"/>
        <v>43768.480000000003</v>
      </c>
      <c r="I273" s="453">
        <f t="shared" si="14"/>
        <v>97515.86</v>
      </c>
      <c r="K273" s="453">
        <v>3205.62</v>
      </c>
      <c r="L273" s="453">
        <v>6411.24</v>
      </c>
      <c r="M273" s="453">
        <v>9616.86</v>
      </c>
      <c r="N273" s="453">
        <v>13520.22</v>
      </c>
      <c r="O273" s="453">
        <v>16864.939999999999</v>
      </c>
      <c r="P273" s="453">
        <v>19554.25</v>
      </c>
      <c r="Q273" s="453">
        <v>22941.3</v>
      </c>
      <c r="R273" s="453">
        <v>26328.35</v>
      </c>
      <c r="S273" s="453">
        <v>29715.4</v>
      </c>
      <c r="T273" s="453">
        <v>33121.980000000003</v>
      </c>
      <c r="U273" s="453">
        <v>36528.559999999998</v>
      </c>
      <c r="V273" s="453">
        <v>40187.760000000002</v>
      </c>
      <c r="W273" s="453">
        <v>3541.13</v>
      </c>
      <c r="X273" s="453">
        <v>7082.26</v>
      </c>
      <c r="Y273" s="453">
        <v>10705.84</v>
      </c>
      <c r="Z273" s="453">
        <v>15941.03</v>
      </c>
      <c r="AA273" s="453">
        <v>21191.63</v>
      </c>
      <c r="AB273" s="453">
        <v>21636.82</v>
      </c>
      <c r="AC273" s="453">
        <v>25325.43</v>
      </c>
      <c r="AD273" s="453">
        <v>29014.04</v>
      </c>
      <c r="AE273" s="453">
        <v>32702.65</v>
      </c>
      <c r="AF273" s="453">
        <v>36391.26</v>
      </c>
      <c r="AG273" s="453">
        <v>41669.57</v>
      </c>
      <c r="AH273" s="453">
        <v>43768.480000000003</v>
      </c>
      <c r="AI273" s="453">
        <v>7065.51</v>
      </c>
      <c r="AJ273" s="453">
        <v>16222.94</v>
      </c>
      <c r="AK273" s="453">
        <v>24334.41</v>
      </c>
      <c r="AL273" s="453">
        <v>32452.560000000001</v>
      </c>
      <c r="AM273" s="453">
        <v>40570.720000000001</v>
      </c>
      <c r="AN273" s="453">
        <v>48688.88</v>
      </c>
      <c r="AO273" s="453">
        <v>56807.040000000001</v>
      </c>
      <c r="AP273" s="453">
        <v>64925.2</v>
      </c>
      <c r="AQ273" s="453">
        <v>73043.350000000006</v>
      </c>
      <c r="AR273" s="453">
        <f>IFERROR(INDEX('SuSa Okt25'!$N:$N,MATCH($A273,'SuSa Okt25'!A:A,0)),"")</f>
        <v>81161.509999999995</v>
      </c>
      <c r="AS273" s="453">
        <f>IFERROR(INDEX('SuSa Nov25'!$N:$N,MATCH($A273,'SuSa Nov25'!$A:$A,0)),"")</f>
        <v>89279.67</v>
      </c>
      <c r="AT273" s="453">
        <f>IFERROR(INDEX('SuSa Dez25'!$N:$N,MATCH($A273,'SuSa Dez25'!$A:$A,0)),"")</f>
        <v>97515.86</v>
      </c>
    </row>
    <row r="274" spans="1:46" hidden="1" outlineLevel="1" collapsed="1" x14ac:dyDescent="0.25">
      <c r="A274" s="452">
        <v>4822</v>
      </c>
      <c r="B274" t="s">
        <v>1130</v>
      </c>
      <c r="C274" t="s">
        <v>1131</v>
      </c>
      <c r="D274" t="s">
        <v>695</v>
      </c>
      <c r="G274" s="453">
        <f t="shared" si="12"/>
        <v>2548</v>
      </c>
      <c r="H274" s="453">
        <f t="shared" si="13"/>
        <v>2497</v>
      </c>
      <c r="I274" s="453">
        <f t="shared" si="14"/>
        <v>1102</v>
      </c>
      <c r="K274" s="453">
        <v>212.32</v>
      </c>
      <c r="L274" s="453">
        <v>424.66</v>
      </c>
      <c r="M274" s="453">
        <v>636.98</v>
      </c>
      <c r="N274" s="453">
        <v>849.32</v>
      </c>
      <c r="O274" s="453">
        <v>1061.6600000000001</v>
      </c>
      <c r="P274" s="453">
        <v>1273.98</v>
      </c>
      <c r="Q274" s="453">
        <v>1486.32</v>
      </c>
      <c r="R274" s="453">
        <v>1698.66</v>
      </c>
      <c r="S274" s="453">
        <v>1910.98</v>
      </c>
      <c r="T274" s="453">
        <v>2123.3200000000002</v>
      </c>
      <c r="U274" s="453">
        <v>2335.66</v>
      </c>
      <c r="V274" s="453">
        <v>2548</v>
      </c>
      <c r="W274" s="453">
        <v>212.18</v>
      </c>
      <c r="X274" s="453">
        <v>424.37</v>
      </c>
      <c r="Y274" s="453">
        <v>636.54999999999995</v>
      </c>
      <c r="Z274" s="453">
        <v>848.75</v>
      </c>
      <c r="AA274" s="453">
        <v>1060.94</v>
      </c>
      <c r="AB274" s="453">
        <v>1273.1199999999999</v>
      </c>
      <c r="AC274" s="453">
        <v>1485.31</v>
      </c>
      <c r="AD274" s="453">
        <v>1697.51</v>
      </c>
      <c r="AE274" s="453">
        <v>1909.69</v>
      </c>
      <c r="AF274" s="453">
        <v>2121.88</v>
      </c>
      <c r="AG274" s="453">
        <v>2334.0700000000002</v>
      </c>
      <c r="AH274" s="453">
        <v>2497</v>
      </c>
      <c r="AI274" s="453">
        <v>162.5</v>
      </c>
      <c r="AJ274" s="453">
        <v>325</v>
      </c>
      <c r="AK274" s="453">
        <v>436</v>
      </c>
      <c r="AL274" s="453">
        <v>547</v>
      </c>
      <c r="AM274" s="453">
        <v>658</v>
      </c>
      <c r="AN274" s="453">
        <v>769</v>
      </c>
      <c r="AO274" s="453">
        <v>880</v>
      </c>
      <c r="AP274" s="453">
        <v>991</v>
      </c>
      <c r="AQ274" s="453">
        <v>1102</v>
      </c>
      <c r="AR274" s="453">
        <f>IFERROR(INDEX('SuSa Okt25'!$N:$N,MATCH($A274,'SuSa Okt25'!A:A,0)),"")</f>
        <v>1102</v>
      </c>
      <c r="AS274" s="453">
        <f>IFERROR(INDEX('SuSa Nov25'!$N:$N,MATCH($A274,'SuSa Nov25'!$A:$A,0)),"")</f>
        <v>1102</v>
      </c>
      <c r="AT274" s="453">
        <f>IFERROR(INDEX('SuSa Dez25'!$N:$N,MATCH($A274,'SuSa Dez25'!$A:$A,0)),"")</f>
        <v>1102</v>
      </c>
    </row>
    <row r="275" spans="1:46" hidden="1" outlineLevel="1" collapsed="1" x14ac:dyDescent="0.25">
      <c r="A275" s="452">
        <v>4830</v>
      </c>
      <c r="B275" t="s">
        <v>1132</v>
      </c>
      <c r="C275" t="s">
        <v>1133</v>
      </c>
      <c r="D275" t="s">
        <v>695</v>
      </c>
      <c r="G275" s="453">
        <f t="shared" si="12"/>
        <v>309569.18</v>
      </c>
      <c r="H275" s="453">
        <f t="shared" si="13"/>
        <v>297729.64</v>
      </c>
      <c r="I275" s="453">
        <f t="shared" si="14"/>
        <v>260316.01</v>
      </c>
      <c r="K275" s="453">
        <v>27771.42</v>
      </c>
      <c r="L275" s="453">
        <v>55380.03</v>
      </c>
      <c r="M275" s="453">
        <v>82875.460000000006</v>
      </c>
      <c r="N275" s="453">
        <v>110409.66</v>
      </c>
      <c r="O275" s="453">
        <v>132362.16</v>
      </c>
      <c r="P275" s="453">
        <v>157636.88</v>
      </c>
      <c r="Q275" s="453">
        <v>183616.62</v>
      </c>
      <c r="R275" s="453">
        <v>209457.71</v>
      </c>
      <c r="S275" s="453">
        <v>234898.17</v>
      </c>
      <c r="T275" s="453">
        <v>260535.73</v>
      </c>
      <c r="U275" s="453">
        <v>285968.03999999998</v>
      </c>
      <c r="V275" s="453">
        <v>309569.18</v>
      </c>
      <c r="W275" s="453">
        <v>22812.94</v>
      </c>
      <c r="X275" s="453">
        <v>45170.35</v>
      </c>
      <c r="Y275" s="453">
        <v>67314.649999999994</v>
      </c>
      <c r="Z275" s="453">
        <v>92102.84</v>
      </c>
      <c r="AA275" s="453">
        <v>116125.36</v>
      </c>
      <c r="AB275" s="453">
        <v>140726.51</v>
      </c>
      <c r="AC275" s="453">
        <v>166028.73000000001</v>
      </c>
      <c r="AD275" s="453">
        <v>192001.01</v>
      </c>
      <c r="AE275" s="453">
        <v>216991.71</v>
      </c>
      <c r="AF275" s="453">
        <v>241397.39</v>
      </c>
      <c r="AG275" s="453">
        <v>272123.40000000002</v>
      </c>
      <c r="AH275" s="453">
        <v>297729.64</v>
      </c>
      <c r="AI275" s="453">
        <v>24011.98</v>
      </c>
      <c r="AJ275" s="453">
        <v>47405.120000000003</v>
      </c>
      <c r="AK275" s="453">
        <v>70881.429999999993</v>
      </c>
      <c r="AL275" s="453">
        <v>93724.99</v>
      </c>
      <c r="AM275" s="453">
        <v>116158.21</v>
      </c>
      <c r="AN275" s="453">
        <v>138261.76000000001</v>
      </c>
      <c r="AO275" s="453">
        <v>159585.74</v>
      </c>
      <c r="AP275" s="453">
        <v>180750.74</v>
      </c>
      <c r="AQ275" s="453">
        <v>201224.4</v>
      </c>
      <c r="AR275" s="453">
        <f>IFERROR(INDEX('SuSa Okt25'!$N:$N,MATCH($A275,'SuSa Okt25'!A:A,0)),"")</f>
        <v>221383.83</v>
      </c>
      <c r="AS275" s="453">
        <f>IFERROR(INDEX('SuSa Nov25'!$N:$N,MATCH($A275,'SuSa Nov25'!$A:$A,0)),"")</f>
        <v>241274.81</v>
      </c>
      <c r="AT275" s="453">
        <f>IFERROR(INDEX('SuSa Dez25'!$N:$N,MATCH($A275,'SuSa Dez25'!$A:$A,0)),"")</f>
        <v>260316.01</v>
      </c>
    </row>
    <row r="276" spans="1:46" hidden="1" outlineLevel="1" collapsed="1" x14ac:dyDescent="0.25">
      <c r="A276" s="452">
        <v>4840</v>
      </c>
      <c r="B276" t="s">
        <v>1136</v>
      </c>
      <c r="C276" t="s">
        <v>1647</v>
      </c>
      <c r="D276" t="s">
        <v>695</v>
      </c>
      <c r="G276" s="453">
        <f t="shared" si="12"/>
        <v>0</v>
      </c>
      <c r="H276" s="453">
        <f t="shared" si="13"/>
        <v>0</v>
      </c>
      <c r="I276" s="453" t="str">
        <f t="shared" si="14"/>
        <v/>
      </c>
      <c r="K276" s="453">
        <v>0</v>
      </c>
      <c r="L276" s="453">
        <v>0</v>
      </c>
      <c r="M276" s="453">
        <v>0</v>
      </c>
      <c r="N276" s="453">
        <v>0</v>
      </c>
      <c r="O276" s="453">
        <v>0</v>
      </c>
      <c r="P276" s="453">
        <v>0</v>
      </c>
      <c r="Q276" s="453">
        <v>0</v>
      </c>
      <c r="R276" s="453">
        <v>0</v>
      </c>
      <c r="S276" s="453">
        <v>0</v>
      </c>
      <c r="T276" s="453">
        <v>0</v>
      </c>
      <c r="U276" s="453">
        <v>0</v>
      </c>
      <c r="V276" s="453">
        <v>0</v>
      </c>
      <c r="AR276" s="453" t="str">
        <f>IFERROR(INDEX('SuSa Okt25'!$N:$N,MATCH($A276,'SuSa Okt25'!A:A,0)),"")</f>
        <v/>
      </c>
      <c r="AS276" s="453" t="str">
        <f>IFERROR(INDEX('SuSa Nov25'!$N:$N,MATCH($A276,'SuSa Nov25'!$A:$A,0)),"")</f>
        <v/>
      </c>
      <c r="AT276" s="453" t="str">
        <f>IFERROR(INDEX('SuSa Dez25'!$N:$N,MATCH($A276,'SuSa Dez25'!$A:$A,0)),"")</f>
        <v/>
      </c>
    </row>
    <row r="277" spans="1:46" hidden="1" outlineLevel="1" collapsed="1" x14ac:dyDescent="0.25">
      <c r="A277" s="452">
        <v>4855</v>
      </c>
      <c r="B277" t="s">
        <v>1134</v>
      </c>
      <c r="C277" t="s">
        <v>1135</v>
      </c>
      <c r="D277" t="s">
        <v>695</v>
      </c>
      <c r="G277" s="453">
        <f t="shared" si="12"/>
        <v>12522.74</v>
      </c>
      <c r="H277" s="453">
        <f t="shared" si="13"/>
        <v>15493.07</v>
      </c>
      <c r="I277" s="453">
        <f t="shared" si="14"/>
        <v>7364.49</v>
      </c>
      <c r="K277" s="453">
        <v>724.71</v>
      </c>
      <c r="L277" s="453">
        <v>724.71</v>
      </c>
      <c r="M277" s="453">
        <v>1952.29</v>
      </c>
      <c r="N277" s="453">
        <v>3227.18</v>
      </c>
      <c r="O277" s="453">
        <v>3784.53</v>
      </c>
      <c r="P277" s="453">
        <v>4522.26</v>
      </c>
      <c r="Q277" s="453">
        <v>6277.35</v>
      </c>
      <c r="R277" s="453">
        <v>6236.14</v>
      </c>
      <c r="S277" s="453">
        <v>6236.14</v>
      </c>
      <c r="T277" s="453">
        <v>6883.97</v>
      </c>
      <c r="U277" s="453">
        <v>10284.41</v>
      </c>
      <c r="V277" s="453">
        <v>12522.74</v>
      </c>
      <c r="W277" s="453">
        <v>565.04999999999995</v>
      </c>
      <c r="X277" s="453">
        <v>2424.5</v>
      </c>
      <c r="Y277" s="453">
        <v>3403.91</v>
      </c>
      <c r="Z277" s="453">
        <v>5431.14</v>
      </c>
      <c r="AA277" s="453">
        <v>7250.54</v>
      </c>
      <c r="AB277" s="453">
        <v>7722.54</v>
      </c>
      <c r="AC277" s="453">
        <v>9754.26</v>
      </c>
      <c r="AD277" s="453">
        <v>9754.26</v>
      </c>
      <c r="AE277" s="453">
        <v>10400.469999999999</v>
      </c>
      <c r="AF277" s="453">
        <v>13173.7</v>
      </c>
      <c r="AG277" s="453">
        <v>15133.07</v>
      </c>
      <c r="AH277" s="453">
        <v>15493.07</v>
      </c>
      <c r="AI277" s="453">
        <v>201</v>
      </c>
      <c r="AJ277" s="453">
        <v>426.87</v>
      </c>
      <c r="AK277" s="453">
        <v>2017.23</v>
      </c>
      <c r="AL277" s="453">
        <v>2233.19</v>
      </c>
      <c r="AM277" s="453">
        <v>2392.77</v>
      </c>
      <c r="AN277" s="453">
        <v>3620.31</v>
      </c>
      <c r="AO277" s="453">
        <v>4050.58</v>
      </c>
      <c r="AP277" s="453">
        <v>4839.62</v>
      </c>
      <c r="AQ277" s="453">
        <v>6091.56</v>
      </c>
      <c r="AR277" s="453">
        <f>IFERROR(INDEX('SuSa Okt25'!$N:$N,MATCH($A277,'SuSa Okt25'!A:A,0)),"")</f>
        <v>6091.56</v>
      </c>
      <c r="AS277" s="453">
        <f>IFERROR(INDEX('SuSa Nov25'!$N:$N,MATCH($A277,'SuSa Nov25'!$A:$A,0)),"")</f>
        <v>6091.56</v>
      </c>
      <c r="AT277" s="453">
        <f>IFERROR(INDEX('SuSa Dez25'!$N:$N,MATCH($A277,'SuSa Dez25'!$A:$A,0)),"")</f>
        <v>7364.49</v>
      </c>
    </row>
    <row r="278" spans="1:46" hidden="1" outlineLevel="1" collapsed="1" x14ac:dyDescent="0.25">
      <c r="A278" s="452">
        <v>4870</v>
      </c>
      <c r="B278" t="s">
        <v>1137</v>
      </c>
      <c r="C278" t="s">
        <v>1138</v>
      </c>
      <c r="D278" t="s">
        <v>2407</v>
      </c>
      <c r="G278" s="453">
        <f t="shared" si="12"/>
        <v>35078.5</v>
      </c>
      <c r="H278" s="453">
        <f t="shared" si="13"/>
        <v>4073.29</v>
      </c>
      <c r="I278" s="453">
        <f t="shared" si="14"/>
        <v>710</v>
      </c>
      <c r="K278" s="453">
        <v>0</v>
      </c>
      <c r="L278" s="453">
        <v>0</v>
      </c>
      <c r="M278" s="453">
        <v>0</v>
      </c>
      <c r="N278" s="453">
        <v>0</v>
      </c>
      <c r="O278" s="453">
        <v>0</v>
      </c>
      <c r="P278" s="453">
        <v>0</v>
      </c>
      <c r="Q278" s="453">
        <v>0</v>
      </c>
      <c r="R278" s="453">
        <v>0</v>
      </c>
      <c r="S278" s="453">
        <v>3656.62</v>
      </c>
      <c r="T278" s="453">
        <v>0</v>
      </c>
      <c r="U278" s="453">
        <v>0</v>
      </c>
      <c r="V278" s="453">
        <v>35078.5</v>
      </c>
      <c r="W278" s="453">
        <v>0</v>
      </c>
      <c r="X278" s="453">
        <v>0</v>
      </c>
      <c r="Y278" s="453">
        <v>0</v>
      </c>
      <c r="Z278" s="453">
        <v>0</v>
      </c>
      <c r="AA278" s="453">
        <v>0</v>
      </c>
      <c r="AB278" s="453">
        <v>0</v>
      </c>
      <c r="AC278" s="453">
        <v>0</v>
      </c>
      <c r="AD278" s="453">
        <v>0</v>
      </c>
      <c r="AE278" s="453">
        <v>0</v>
      </c>
      <c r="AF278" s="453">
        <v>0</v>
      </c>
      <c r="AG278" s="453">
        <v>0</v>
      </c>
      <c r="AH278" s="453">
        <v>4073.29</v>
      </c>
      <c r="AI278" s="453">
        <v>0</v>
      </c>
      <c r="AJ278" s="453">
        <v>0</v>
      </c>
      <c r="AK278" s="453">
        <v>0</v>
      </c>
      <c r="AL278" s="453">
        <v>0</v>
      </c>
      <c r="AM278" s="453">
        <v>0</v>
      </c>
      <c r="AN278" s="453">
        <v>0</v>
      </c>
      <c r="AO278" s="453">
        <v>0</v>
      </c>
      <c r="AP278" s="453">
        <v>0</v>
      </c>
      <c r="AQ278" s="453">
        <v>0</v>
      </c>
      <c r="AR278" s="453">
        <f>IFERROR(INDEX('SuSa Okt25'!$N:$N,MATCH($A278,'SuSa Okt25'!A:A,0)),"")</f>
        <v>0</v>
      </c>
      <c r="AS278" s="453">
        <f>IFERROR(INDEX('SuSa Nov25'!$N:$N,MATCH($A278,'SuSa Nov25'!$A:$A,0)),"")</f>
        <v>0</v>
      </c>
      <c r="AT278" s="453">
        <f>IFERROR(INDEX('SuSa Dez25'!$N:$N,MATCH($A278,'SuSa Dez25'!$A:$A,0)),"")</f>
        <v>710</v>
      </c>
    </row>
    <row r="279" spans="1:46" outlineLevel="1" collapsed="1" x14ac:dyDescent="0.25">
      <c r="A279" s="527">
        <v>4900</v>
      </c>
      <c r="B279" s="524" t="s">
        <v>1608</v>
      </c>
      <c r="C279" t="s">
        <v>1609</v>
      </c>
      <c r="D279" t="s">
        <v>1352</v>
      </c>
      <c r="F279" t="s">
        <v>2503</v>
      </c>
      <c r="G279" s="453">
        <f t="shared" si="12"/>
        <v>87185.78</v>
      </c>
      <c r="H279" s="453">
        <f t="shared" si="13"/>
        <v>44158.12</v>
      </c>
      <c r="I279" s="453">
        <f t="shared" si="14"/>
        <v>25264.87</v>
      </c>
      <c r="K279" s="453">
        <v>11547.59</v>
      </c>
      <c r="L279" s="453">
        <v>21478.94</v>
      </c>
      <c r="M279" s="453">
        <v>22183.25</v>
      </c>
      <c r="N279" s="453">
        <v>27563.55</v>
      </c>
      <c r="O279" s="453">
        <v>37606.230000000003</v>
      </c>
      <c r="P279" s="453">
        <v>41067.4</v>
      </c>
      <c r="Q279" s="453">
        <v>63165.58</v>
      </c>
      <c r="R279" s="453">
        <v>69904.570000000007</v>
      </c>
      <c r="S279" s="453">
        <v>75998.399999999994</v>
      </c>
      <c r="T279" s="453">
        <v>81174.899999999994</v>
      </c>
      <c r="U279" s="453">
        <v>82742.42</v>
      </c>
      <c r="V279" s="453">
        <v>87185.78</v>
      </c>
      <c r="W279" s="453">
        <v>2298.5500000000002</v>
      </c>
      <c r="X279" s="453">
        <v>5352.04</v>
      </c>
      <c r="Y279" s="453">
        <v>7749.22</v>
      </c>
      <c r="Z279" s="453">
        <v>16177.25</v>
      </c>
      <c r="AA279" s="453">
        <v>17258.45</v>
      </c>
      <c r="AB279" s="453">
        <v>20808.21</v>
      </c>
      <c r="AC279" s="453">
        <v>24822.32</v>
      </c>
      <c r="AD279" s="453">
        <v>32327.96</v>
      </c>
      <c r="AE279" s="453">
        <v>34997.39</v>
      </c>
      <c r="AF279" s="453">
        <v>41425.660000000003</v>
      </c>
      <c r="AG279" s="453">
        <v>44584.49</v>
      </c>
      <c r="AH279" s="453">
        <v>44158.12</v>
      </c>
      <c r="AI279" s="453">
        <v>2908.62</v>
      </c>
      <c r="AJ279" s="453">
        <v>3839.68</v>
      </c>
      <c r="AK279" s="453">
        <v>4551.83</v>
      </c>
      <c r="AL279" s="453">
        <v>5972.64</v>
      </c>
      <c r="AM279" s="453">
        <v>12933.63</v>
      </c>
      <c r="AN279" s="453">
        <v>14593.34</v>
      </c>
      <c r="AO279" s="453">
        <v>16815.3</v>
      </c>
      <c r="AP279" s="453">
        <v>20282.830000000002</v>
      </c>
      <c r="AQ279" s="453">
        <v>20972.74</v>
      </c>
      <c r="AR279" s="453">
        <f>IFERROR(INDEX('SuSa Okt25'!$N:$N,MATCH($A279,'SuSa Okt25'!A:A,0)),"")</f>
        <v>21784.35</v>
      </c>
      <c r="AS279" s="453">
        <f>IFERROR(INDEX('SuSa Nov25'!$N:$N,MATCH($A279,'SuSa Nov25'!$A:$A,0)),"")</f>
        <v>24610.23</v>
      </c>
      <c r="AT279" s="453">
        <f>IFERROR(INDEX('SuSa Dez25'!$N:$N,MATCH($A279,'SuSa Dez25'!$A:$A,0)),"")</f>
        <v>25264.87</v>
      </c>
    </row>
    <row r="280" spans="1:46" outlineLevel="1" collapsed="1" x14ac:dyDescent="0.25">
      <c r="A280" s="452">
        <v>4905</v>
      </c>
      <c r="B280" s="524" t="s">
        <v>1610</v>
      </c>
      <c r="C280" t="s">
        <v>1611</v>
      </c>
      <c r="D280" t="s">
        <v>1352</v>
      </c>
      <c r="F280" t="s">
        <v>2503</v>
      </c>
      <c r="G280" s="453">
        <f t="shared" si="12"/>
        <v>0.99</v>
      </c>
      <c r="H280" s="453">
        <f t="shared" si="13"/>
        <v>0</v>
      </c>
      <c r="I280" s="453">
        <f t="shared" si="14"/>
        <v>1.42</v>
      </c>
      <c r="K280" s="453">
        <v>0</v>
      </c>
      <c r="L280" s="453">
        <v>0</v>
      </c>
      <c r="M280" s="453">
        <v>0</v>
      </c>
      <c r="N280" s="453">
        <v>0</v>
      </c>
      <c r="O280" s="453">
        <v>0</v>
      </c>
      <c r="P280" s="453">
        <v>0</v>
      </c>
      <c r="Q280" s="453">
        <v>0</v>
      </c>
      <c r="R280" s="453">
        <v>0</v>
      </c>
      <c r="S280" s="453">
        <v>0</v>
      </c>
      <c r="T280" s="453">
        <v>0.15</v>
      </c>
      <c r="U280" s="453">
        <v>0.15</v>
      </c>
      <c r="V280" s="453">
        <v>0.99</v>
      </c>
      <c r="W280" s="453">
        <v>0</v>
      </c>
      <c r="X280" s="453">
        <v>0</v>
      </c>
      <c r="Y280" s="453">
        <v>0</v>
      </c>
      <c r="Z280" s="453">
        <v>0</v>
      </c>
      <c r="AA280" s="453">
        <v>0</v>
      </c>
      <c r="AB280" s="453">
        <v>0</v>
      </c>
      <c r="AC280" s="453">
        <v>0</v>
      </c>
      <c r="AD280" s="453">
        <v>0</v>
      </c>
      <c r="AE280" s="453">
        <v>0</v>
      </c>
      <c r="AF280" s="453">
        <v>0</v>
      </c>
      <c r="AG280" s="453">
        <v>0</v>
      </c>
      <c r="AH280" s="453">
        <v>0</v>
      </c>
      <c r="AR280" s="453" t="str">
        <f>IFERROR(INDEX('SuSa Okt25'!$N:$N,MATCH($A280,'SuSa Okt25'!A:A,0)),"")</f>
        <v/>
      </c>
      <c r="AS280" s="453" t="str">
        <f>IFERROR(INDEX('SuSa Nov25'!$N:$N,MATCH($A280,'SuSa Nov25'!$A:$A,0)),"")</f>
        <v/>
      </c>
      <c r="AT280" s="453">
        <f>IFERROR(INDEX('SuSa Dez25'!$N:$N,MATCH($A280,'SuSa Dez25'!$A:$A,0)),"")</f>
        <v>1.42</v>
      </c>
    </row>
    <row r="281" spans="1:46" outlineLevel="1" collapsed="1" x14ac:dyDescent="0.25">
      <c r="A281" s="452">
        <v>4910</v>
      </c>
      <c r="B281" s="526" t="s">
        <v>1612</v>
      </c>
      <c r="C281" t="s">
        <v>1613</v>
      </c>
      <c r="D281" t="s">
        <v>1352</v>
      </c>
      <c r="F281" t="s">
        <v>2506</v>
      </c>
      <c r="G281" s="453">
        <f t="shared" si="12"/>
        <v>3396.93</v>
      </c>
      <c r="H281" s="453">
        <f t="shared" si="13"/>
        <v>2038.37</v>
      </c>
      <c r="I281" s="453">
        <f t="shared" si="14"/>
        <v>1064.45</v>
      </c>
      <c r="K281" s="453">
        <v>0</v>
      </c>
      <c r="L281" s="453">
        <v>304</v>
      </c>
      <c r="M281" s="453">
        <v>479.49</v>
      </c>
      <c r="N281" s="453">
        <v>697.49</v>
      </c>
      <c r="O281" s="453">
        <v>936.49</v>
      </c>
      <c r="P281" s="453">
        <v>1467.52</v>
      </c>
      <c r="Q281" s="453">
        <v>1467.52</v>
      </c>
      <c r="R281" s="453">
        <v>1554.66</v>
      </c>
      <c r="S281" s="453">
        <v>1562.89</v>
      </c>
      <c r="T281" s="453">
        <v>1638.39</v>
      </c>
      <c r="U281" s="453">
        <v>2468.37</v>
      </c>
      <c r="V281" s="453">
        <v>3396.93</v>
      </c>
      <c r="W281" s="453">
        <v>485.99</v>
      </c>
      <c r="X281" s="453">
        <v>533.99</v>
      </c>
      <c r="Y281" s="453">
        <v>622.47</v>
      </c>
      <c r="Z281" s="453">
        <v>746.47</v>
      </c>
      <c r="AA281" s="453">
        <v>746.47</v>
      </c>
      <c r="AB281" s="453">
        <v>1136.47</v>
      </c>
      <c r="AC281" s="453">
        <v>1136.47</v>
      </c>
      <c r="AD281" s="453">
        <v>1136.47</v>
      </c>
      <c r="AE281" s="453">
        <v>1136.47</v>
      </c>
      <c r="AF281" s="453">
        <v>1411.47</v>
      </c>
      <c r="AG281" s="453">
        <v>1891.47</v>
      </c>
      <c r="AH281" s="453">
        <v>2038.37</v>
      </c>
      <c r="AI281" s="453">
        <v>0</v>
      </c>
      <c r="AJ281" s="453">
        <v>0</v>
      </c>
      <c r="AK281" s="453">
        <v>213.5</v>
      </c>
      <c r="AL281" s="453">
        <v>213.5</v>
      </c>
      <c r="AM281" s="453">
        <v>545.5</v>
      </c>
      <c r="AN281" s="453">
        <v>600.79999999999995</v>
      </c>
      <c r="AO281" s="453">
        <v>600.79999999999995</v>
      </c>
      <c r="AP281" s="453">
        <v>790.8</v>
      </c>
      <c r="AQ281" s="453">
        <v>790.8</v>
      </c>
      <c r="AR281" s="453">
        <f>IFERROR(INDEX('SuSa Okt25'!$N:$N,MATCH($A281,'SuSa Okt25'!A:A,0)),"")</f>
        <v>790.8</v>
      </c>
      <c r="AS281" s="453">
        <f>IFERROR(INDEX('SuSa Nov25'!$N:$N,MATCH($A281,'SuSa Nov25'!$A:$A,0)),"")</f>
        <v>865.45</v>
      </c>
      <c r="AT281" s="453">
        <f>IFERROR(INDEX('SuSa Dez25'!$N:$N,MATCH($A281,'SuSa Dez25'!$A:$A,0)),"")</f>
        <v>1064.45</v>
      </c>
    </row>
    <row r="282" spans="1:46" outlineLevel="1" collapsed="1" x14ac:dyDescent="0.25">
      <c r="A282" s="452">
        <v>4920</v>
      </c>
      <c r="B282" s="526" t="s">
        <v>1614</v>
      </c>
      <c r="C282" t="s">
        <v>1615</v>
      </c>
      <c r="D282" t="s">
        <v>1352</v>
      </c>
      <c r="F282" t="s">
        <v>2506</v>
      </c>
      <c r="G282" s="453">
        <f t="shared" si="12"/>
        <v>8205.99</v>
      </c>
      <c r="H282" s="453">
        <f t="shared" si="13"/>
        <v>7431.7</v>
      </c>
      <c r="I282" s="453">
        <f t="shared" si="14"/>
        <v>8885.7900000000009</v>
      </c>
      <c r="K282" s="453">
        <v>910.17</v>
      </c>
      <c r="L282" s="453">
        <v>1884.69</v>
      </c>
      <c r="M282" s="453">
        <v>2781.1</v>
      </c>
      <c r="N282" s="453">
        <v>3722.82</v>
      </c>
      <c r="O282" s="453">
        <v>4290.33</v>
      </c>
      <c r="P282" s="453">
        <v>3291.88</v>
      </c>
      <c r="Q282" s="453">
        <v>4064.4</v>
      </c>
      <c r="R282" s="453">
        <v>4917.87</v>
      </c>
      <c r="S282" s="453">
        <v>5755.52</v>
      </c>
      <c r="T282" s="453">
        <v>6573.13</v>
      </c>
      <c r="U282" s="453">
        <v>7410.27</v>
      </c>
      <c r="V282" s="453">
        <v>8205.99</v>
      </c>
      <c r="W282" s="453">
        <v>826.47</v>
      </c>
      <c r="X282" s="453">
        <v>1636.63</v>
      </c>
      <c r="Y282" s="453">
        <v>2467.14</v>
      </c>
      <c r="Z282" s="453">
        <v>3309.39</v>
      </c>
      <c r="AA282" s="453">
        <v>4120.08</v>
      </c>
      <c r="AB282" s="453">
        <v>4905.3</v>
      </c>
      <c r="AC282" s="453">
        <v>5695.04</v>
      </c>
      <c r="AD282" s="453">
        <v>6506.16</v>
      </c>
      <c r="AE282" s="453">
        <v>7287.02</v>
      </c>
      <c r="AF282" s="453">
        <v>8132.53</v>
      </c>
      <c r="AG282" s="453">
        <v>6661.61</v>
      </c>
      <c r="AH282" s="453">
        <v>7431.7</v>
      </c>
      <c r="AI282" s="453">
        <v>711</v>
      </c>
      <c r="AJ282" s="453">
        <v>1533.1</v>
      </c>
      <c r="AK282" s="453">
        <v>2308.2800000000002</v>
      </c>
      <c r="AL282" s="453">
        <v>3049.13</v>
      </c>
      <c r="AM282" s="453">
        <v>3750.45</v>
      </c>
      <c r="AN282" s="453">
        <v>4497.47</v>
      </c>
      <c r="AO282" s="453">
        <v>5216.74</v>
      </c>
      <c r="AP282" s="453">
        <v>5959.28</v>
      </c>
      <c r="AQ282" s="453">
        <v>6716.89</v>
      </c>
      <c r="AR282" s="453">
        <f>IFERROR(INDEX('SuSa Okt25'!$N:$N,MATCH($A282,'SuSa Okt25'!A:A,0)),"")</f>
        <v>7446.01</v>
      </c>
      <c r="AS282" s="453">
        <f>IFERROR(INDEX('SuSa Nov25'!$N:$N,MATCH($A282,'SuSa Nov25'!$A:$A,0)),"")</f>
        <v>8169.6</v>
      </c>
      <c r="AT282" s="453">
        <f>IFERROR(INDEX('SuSa Dez25'!$N:$N,MATCH($A282,'SuSa Dez25'!$A:$A,0)),"")</f>
        <v>8885.7900000000009</v>
      </c>
    </row>
    <row r="283" spans="1:46" outlineLevel="1" collapsed="1" x14ac:dyDescent="0.25">
      <c r="A283" s="452">
        <v>4930</v>
      </c>
      <c r="B283" s="526" t="s">
        <v>1616</v>
      </c>
      <c r="C283" t="s">
        <v>1617</v>
      </c>
      <c r="D283" t="s">
        <v>1352</v>
      </c>
      <c r="F283" t="s">
        <v>2506</v>
      </c>
      <c r="G283" s="453">
        <f t="shared" si="12"/>
        <v>6908.99</v>
      </c>
      <c r="H283" s="453">
        <f t="shared" si="13"/>
        <v>6461.66</v>
      </c>
      <c r="I283" s="453">
        <f t="shared" si="14"/>
        <v>4601.3599999999997</v>
      </c>
      <c r="K283" s="453">
        <v>846.81</v>
      </c>
      <c r="L283" s="453">
        <v>1492.45</v>
      </c>
      <c r="M283" s="453">
        <v>1723.4</v>
      </c>
      <c r="N283" s="453">
        <v>2306.11</v>
      </c>
      <c r="O283" s="453">
        <v>2656.68</v>
      </c>
      <c r="P283" s="453">
        <v>3585.71</v>
      </c>
      <c r="Q283" s="453">
        <v>4371.74</v>
      </c>
      <c r="R283" s="453">
        <v>4680.8500000000004</v>
      </c>
      <c r="S283" s="453">
        <v>4891.12</v>
      </c>
      <c r="T283" s="453">
        <v>5558.22</v>
      </c>
      <c r="U283" s="453">
        <v>6083.69</v>
      </c>
      <c r="V283" s="453">
        <v>6908.99</v>
      </c>
      <c r="W283" s="453">
        <v>714.65</v>
      </c>
      <c r="X283" s="453">
        <v>1138.45</v>
      </c>
      <c r="Y283" s="453">
        <v>1371.1</v>
      </c>
      <c r="Z283" s="453">
        <v>1999.65</v>
      </c>
      <c r="AA283" s="453">
        <v>2155.65</v>
      </c>
      <c r="AB283" s="453">
        <v>2695.52</v>
      </c>
      <c r="AC283" s="453">
        <v>3858.52</v>
      </c>
      <c r="AD283" s="453">
        <v>3963.7</v>
      </c>
      <c r="AE283" s="453">
        <v>4248.37</v>
      </c>
      <c r="AF283" s="453">
        <v>5034.92</v>
      </c>
      <c r="AG283" s="453">
        <v>5411.41</v>
      </c>
      <c r="AH283" s="453">
        <v>6461.66</v>
      </c>
      <c r="AI283" s="453">
        <v>577.66</v>
      </c>
      <c r="AJ283" s="453">
        <v>763.09</v>
      </c>
      <c r="AK283" s="453">
        <v>1110.57</v>
      </c>
      <c r="AL283" s="453">
        <v>1774.77</v>
      </c>
      <c r="AM283" s="453">
        <v>1937.41</v>
      </c>
      <c r="AN283" s="453">
        <v>2269.2800000000002</v>
      </c>
      <c r="AO283" s="453">
        <v>3020.87</v>
      </c>
      <c r="AP283" s="453">
        <v>3443.52</v>
      </c>
      <c r="AQ283" s="453">
        <v>3826.35</v>
      </c>
      <c r="AR283" s="453">
        <f>IFERROR(INDEX('SuSa Okt25'!$N:$N,MATCH($A283,'SuSa Okt25'!A:A,0)),"")</f>
        <v>4413.2</v>
      </c>
      <c r="AS283" s="453">
        <f>IFERROR(INDEX('SuSa Nov25'!$N:$N,MATCH($A283,'SuSa Nov25'!$A:$A,0)),"")</f>
        <v>4511.32</v>
      </c>
      <c r="AT283" s="453">
        <f>IFERROR(INDEX('SuSa Dez25'!$N:$N,MATCH($A283,'SuSa Dez25'!$A:$A,0)),"")</f>
        <v>4601.3599999999997</v>
      </c>
    </row>
    <row r="284" spans="1:46" outlineLevel="1" collapsed="1" x14ac:dyDescent="0.25">
      <c r="A284" s="452">
        <v>4940</v>
      </c>
      <c r="B284" s="526" t="s">
        <v>1618</v>
      </c>
      <c r="C284" t="s">
        <v>2014</v>
      </c>
      <c r="D284" t="s">
        <v>1352</v>
      </c>
      <c r="F284" t="s">
        <v>2506</v>
      </c>
      <c r="G284" s="453">
        <f t="shared" si="12"/>
        <v>4168.24</v>
      </c>
      <c r="H284" s="453">
        <f t="shared" si="13"/>
        <v>0</v>
      </c>
      <c r="I284" s="453">
        <f t="shared" si="14"/>
        <v>0</v>
      </c>
      <c r="K284" s="453">
        <v>742.64</v>
      </c>
      <c r="L284" s="453">
        <v>1003.94</v>
      </c>
      <c r="M284" s="453">
        <v>1233.76</v>
      </c>
      <c r="N284" s="453">
        <v>2282.71</v>
      </c>
      <c r="O284" s="453">
        <v>2559.5700000000002</v>
      </c>
      <c r="P284" s="453">
        <v>3024.93</v>
      </c>
      <c r="Q284" s="453">
        <v>3147.18</v>
      </c>
      <c r="R284" s="453">
        <v>3219.16</v>
      </c>
      <c r="S284" s="453">
        <v>3444.66</v>
      </c>
      <c r="T284" s="453">
        <v>3444.66</v>
      </c>
      <c r="U284" s="453">
        <v>4043.66</v>
      </c>
      <c r="V284" s="453">
        <v>4168.24</v>
      </c>
    </row>
    <row r="285" spans="1:46" outlineLevel="1" collapsed="1" x14ac:dyDescent="0.25">
      <c r="A285" s="452">
        <v>4940</v>
      </c>
      <c r="B285" s="526" t="s">
        <v>1620</v>
      </c>
      <c r="C285" t="s">
        <v>1621</v>
      </c>
      <c r="D285" t="s">
        <v>1352</v>
      </c>
      <c r="F285" t="s">
        <v>2506</v>
      </c>
      <c r="G285" s="453">
        <f t="shared" si="12"/>
        <v>0</v>
      </c>
      <c r="H285" s="453">
        <f t="shared" si="13"/>
        <v>4925.66</v>
      </c>
      <c r="I285" s="453">
        <f t="shared" si="14"/>
        <v>3761.87</v>
      </c>
      <c r="W285" s="453">
        <v>614.15</v>
      </c>
      <c r="X285" s="453">
        <v>614.15</v>
      </c>
      <c r="Y285" s="453">
        <v>2038.41</v>
      </c>
      <c r="Z285" s="453">
        <v>2986.41</v>
      </c>
      <c r="AA285" s="453">
        <v>3134.64</v>
      </c>
      <c r="AB285" s="453">
        <v>4077.04</v>
      </c>
      <c r="AC285" s="453">
        <v>4077.04</v>
      </c>
      <c r="AD285" s="453">
        <v>4121.8900000000003</v>
      </c>
      <c r="AE285" s="453">
        <v>4121.8900000000003</v>
      </c>
      <c r="AF285" s="453">
        <v>4121.8900000000003</v>
      </c>
      <c r="AG285" s="453">
        <v>4720.8900000000003</v>
      </c>
      <c r="AH285" s="453">
        <v>4925.66</v>
      </c>
      <c r="AI285" s="453">
        <v>196.97</v>
      </c>
      <c r="AJ285" s="453">
        <v>999.04</v>
      </c>
      <c r="AK285" s="453">
        <v>999.04</v>
      </c>
      <c r="AL285" s="453">
        <v>2354.71</v>
      </c>
      <c r="AM285" s="453">
        <v>2645.53</v>
      </c>
      <c r="AN285" s="453">
        <v>2788.92</v>
      </c>
      <c r="AO285" s="453">
        <v>2788.92</v>
      </c>
      <c r="AP285" s="453">
        <v>2913.73</v>
      </c>
      <c r="AQ285" s="453">
        <v>2913.73</v>
      </c>
      <c r="AR285" s="453">
        <f>IFERROR(INDEX('SuSa Okt25'!$N:$N,MATCH($A285,'SuSa Okt25'!A:A,0)),"")</f>
        <v>3023.86</v>
      </c>
      <c r="AS285" s="453">
        <f>IFERROR(INDEX('SuSa Nov25'!$N:$N,MATCH($A285,'SuSa Nov25'!$A:$A,0)),"")</f>
        <v>3739.53</v>
      </c>
      <c r="AT285" s="453">
        <f>IFERROR(INDEX('SuSa Dez25'!$N:$N,MATCH($A285,'SuSa Dez25'!$A:$A,0)),"")</f>
        <v>3761.87</v>
      </c>
    </row>
    <row r="286" spans="1:46" outlineLevel="1" collapsed="1" x14ac:dyDescent="0.25">
      <c r="A286" s="452">
        <v>4945</v>
      </c>
      <c r="B286" s="524" t="s">
        <v>1622</v>
      </c>
      <c r="C286" t="s">
        <v>1623</v>
      </c>
      <c r="D286" t="s">
        <v>1352</v>
      </c>
      <c r="F286" t="s">
        <v>2503</v>
      </c>
      <c r="G286" s="453">
        <f t="shared" si="12"/>
        <v>14198.86</v>
      </c>
      <c r="H286" s="453">
        <f t="shared" si="13"/>
        <v>14579.43</v>
      </c>
      <c r="I286" s="453">
        <f t="shared" si="14"/>
        <v>13698</v>
      </c>
      <c r="K286" s="453">
        <v>0</v>
      </c>
      <c r="L286" s="453">
        <v>439</v>
      </c>
      <c r="M286" s="453">
        <v>439</v>
      </c>
      <c r="N286" s="453">
        <v>2327.1999999999998</v>
      </c>
      <c r="O286" s="453">
        <v>3217.2</v>
      </c>
      <c r="P286" s="453">
        <v>3482.2</v>
      </c>
      <c r="Q286" s="453">
        <v>3987.2</v>
      </c>
      <c r="R286" s="453">
        <v>3987.2</v>
      </c>
      <c r="S286" s="453">
        <v>6897.2</v>
      </c>
      <c r="T286" s="453">
        <v>8982.2000000000007</v>
      </c>
      <c r="U286" s="453">
        <v>14168.86</v>
      </c>
      <c r="V286" s="453">
        <v>14198.86</v>
      </c>
      <c r="W286" s="453">
        <v>270</v>
      </c>
      <c r="X286" s="453">
        <v>270</v>
      </c>
      <c r="Y286" s="453">
        <v>1665</v>
      </c>
      <c r="Z286" s="453">
        <v>1665</v>
      </c>
      <c r="AA286" s="453">
        <v>3234</v>
      </c>
      <c r="AB286" s="453">
        <v>4394.43</v>
      </c>
      <c r="AC286" s="453">
        <v>6004.43</v>
      </c>
      <c r="AD286" s="453">
        <v>6174.43</v>
      </c>
      <c r="AE286" s="453">
        <v>8624.43</v>
      </c>
      <c r="AF286" s="453">
        <v>10794.43</v>
      </c>
      <c r="AG286" s="453">
        <v>14494.43</v>
      </c>
      <c r="AH286" s="453">
        <v>14579.43</v>
      </c>
      <c r="AI286" s="453">
        <v>0</v>
      </c>
      <c r="AJ286" s="453">
        <v>0</v>
      </c>
      <c r="AK286" s="453">
        <v>0</v>
      </c>
      <c r="AL286" s="453">
        <v>1570</v>
      </c>
      <c r="AM286" s="453">
        <v>3462</v>
      </c>
      <c r="AN286" s="453">
        <v>5572</v>
      </c>
      <c r="AO286" s="453">
        <v>7163</v>
      </c>
      <c r="AP286" s="453">
        <v>8408</v>
      </c>
      <c r="AQ286" s="453">
        <v>8408</v>
      </c>
      <c r="AR286" s="453">
        <f>IFERROR(INDEX('SuSa Okt25'!$N:$N,MATCH($A286,'SuSa Okt25'!A:A,0)),"")</f>
        <v>10245</v>
      </c>
      <c r="AS286" s="453">
        <f>IFERROR(INDEX('SuSa Nov25'!$N:$N,MATCH($A286,'SuSa Nov25'!$A:$A,0)),"")</f>
        <v>13358</v>
      </c>
      <c r="AT286" s="453">
        <f>IFERROR(INDEX('SuSa Dez25'!$N:$N,MATCH($A286,'SuSa Dez25'!$A:$A,0)),"")</f>
        <v>13698</v>
      </c>
    </row>
    <row r="287" spans="1:46" outlineLevel="1" collapsed="1" x14ac:dyDescent="0.25">
      <c r="A287" s="527">
        <v>4950</v>
      </c>
      <c r="B287" s="523" t="s">
        <v>1624</v>
      </c>
      <c r="C287" t="s">
        <v>2015</v>
      </c>
      <c r="D287" t="s">
        <v>1352</v>
      </c>
      <c r="F287" t="s">
        <v>2507</v>
      </c>
      <c r="G287" s="453">
        <f t="shared" si="12"/>
        <v>306619.32</v>
      </c>
      <c r="H287" s="453">
        <f t="shared" si="13"/>
        <v>323410.84999999998</v>
      </c>
      <c r="I287" s="453">
        <f t="shared" si="14"/>
        <v>303745.34000000003</v>
      </c>
      <c r="K287" s="453">
        <v>14661.08</v>
      </c>
      <c r="L287" s="453">
        <v>22643.119999999999</v>
      </c>
      <c r="M287" s="453">
        <v>86501.78</v>
      </c>
      <c r="N287" s="453">
        <v>133419.1</v>
      </c>
      <c r="O287" s="453">
        <v>152137.99</v>
      </c>
      <c r="P287" s="453">
        <v>163506.51999999999</v>
      </c>
      <c r="Q287" s="453">
        <v>195341.34</v>
      </c>
      <c r="R287" s="453">
        <v>216368.36</v>
      </c>
      <c r="S287" s="453">
        <v>233793.71</v>
      </c>
      <c r="T287" s="453">
        <v>247870.21</v>
      </c>
      <c r="U287" s="453">
        <v>279441.65999999997</v>
      </c>
      <c r="V287" s="453">
        <v>306619.32</v>
      </c>
      <c r="W287" s="453">
        <v>25769.7</v>
      </c>
      <c r="X287" s="453">
        <v>41414.699999999997</v>
      </c>
      <c r="Y287" s="453">
        <v>57001.67</v>
      </c>
      <c r="Z287" s="453">
        <v>77764.789999999994</v>
      </c>
      <c r="AA287" s="453">
        <v>94528.99</v>
      </c>
      <c r="AB287" s="453">
        <v>114639.72</v>
      </c>
      <c r="AC287" s="453">
        <v>161195.44</v>
      </c>
      <c r="AD287" s="453">
        <v>185625.94</v>
      </c>
      <c r="AE287" s="453">
        <v>204953.18</v>
      </c>
      <c r="AF287" s="453">
        <v>220902.18</v>
      </c>
      <c r="AG287" s="453">
        <v>238538.18</v>
      </c>
      <c r="AH287" s="453">
        <v>323410.84999999998</v>
      </c>
      <c r="AI287" s="453">
        <v>16604.13</v>
      </c>
      <c r="AJ287" s="453">
        <v>30527.360000000001</v>
      </c>
      <c r="AK287" s="453">
        <v>75399.45</v>
      </c>
      <c r="AL287" s="453">
        <v>95731.86</v>
      </c>
      <c r="AM287" s="453">
        <v>112134.71</v>
      </c>
      <c r="AN287" s="453">
        <v>144472.25</v>
      </c>
      <c r="AO287" s="453">
        <v>172068.92</v>
      </c>
      <c r="AP287" s="453">
        <v>179724.42</v>
      </c>
      <c r="AQ287" s="453">
        <v>194498.92</v>
      </c>
      <c r="AR287" s="453">
        <f>IFERROR(INDEX('SuSa Okt25'!$N:$N,MATCH($A287,'SuSa Okt25'!A:A,0)),"")</f>
        <v>225009.11</v>
      </c>
      <c r="AS287" s="453">
        <f>IFERROR(INDEX('SuSa Nov25'!$N:$N,MATCH($A287,'SuSa Nov25'!$A:$A,0)),"")</f>
        <v>252820.45</v>
      </c>
      <c r="AT287" s="453">
        <f>IFERROR(INDEX('SuSa Dez25'!$N:$N,MATCH($A287,'SuSa Dez25'!$A:$A,0)),"")</f>
        <v>303745.34000000003</v>
      </c>
    </row>
    <row r="288" spans="1:46" outlineLevel="1" collapsed="1" x14ac:dyDescent="0.25">
      <c r="A288" s="452">
        <v>4951</v>
      </c>
      <c r="B288" s="524" t="s">
        <v>1626</v>
      </c>
      <c r="C288" t="s">
        <v>2016</v>
      </c>
      <c r="D288" t="s">
        <v>1352</v>
      </c>
      <c r="F288" t="s">
        <v>2503</v>
      </c>
      <c r="G288" s="453">
        <f t="shared" si="12"/>
        <v>0</v>
      </c>
      <c r="H288" s="453">
        <f t="shared" si="13"/>
        <v>0</v>
      </c>
      <c r="I288" s="453">
        <f t="shared" si="14"/>
        <v>0</v>
      </c>
      <c r="AF288" s="453">
        <v>165197.81</v>
      </c>
      <c r="AG288" s="453">
        <v>171597.81</v>
      </c>
      <c r="AH288" s="453">
        <v>0</v>
      </c>
      <c r="AI288" s="453">
        <v>87056.960000000006</v>
      </c>
      <c r="AJ288" s="453">
        <v>90256.960000000006</v>
      </c>
      <c r="AK288" s="453">
        <v>93456.960000000006</v>
      </c>
      <c r="AL288" s="453">
        <v>94342.54</v>
      </c>
      <c r="AM288" s="453">
        <v>99767.9</v>
      </c>
      <c r="AN288" s="453">
        <v>109842.9</v>
      </c>
      <c r="AO288" s="453">
        <v>0</v>
      </c>
      <c r="AP288" s="453">
        <v>6875</v>
      </c>
      <c r="AQ288" s="453">
        <v>17425</v>
      </c>
      <c r="AR288" s="453">
        <f>IFERROR(INDEX('SuSa Okt25'!$N:$N,MATCH($A288,'SuSa Okt25'!A:A,0)),"")</f>
        <v>116400</v>
      </c>
      <c r="AS288" s="453">
        <f>IFERROR(INDEX('SuSa Nov25'!$N:$N,MATCH($A288,'SuSa Nov25'!$A:$A,0)),"")</f>
        <v>119600</v>
      </c>
      <c r="AT288" s="453">
        <f>IFERROR(INDEX('SuSa Dez25'!$N:$N,MATCH($A288,'SuSa Dez25'!$A:$A,0)),"")</f>
        <v>0</v>
      </c>
    </row>
    <row r="289" spans="1:46" outlineLevel="1" collapsed="1" x14ac:dyDescent="0.25">
      <c r="A289" s="452">
        <v>4952</v>
      </c>
      <c r="B289" s="524" t="s">
        <v>1628</v>
      </c>
      <c r="C289" t="s">
        <v>1629</v>
      </c>
      <c r="D289" t="s">
        <v>1352</v>
      </c>
      <c r="F289" t="s">
        <v>2503</v>
      </c>
      <c r="G289" s="453">
        <f t="shared" si="12"/>
        <v>0</v>
      </c>
      <c r="H289" s="453">
        <f t="shared" si="13"/>
        <v>0</v>
      </c>
      <c r="I289" s="453">
        <f t="shared" si="14"/>
        <v>0</v>
      </c>
      <c r="AM289" s="453">
        <v>2550</v>
      </c>
      <c r="AN289" s="453">
        <v>3444</v>
      </c>
      <c r="AO289" s="453">
        <v>0</v>
      </c>
      <c r="AP289" s="453">
        <v>525.84</v>
      </c>
      <c r="AQ289" s="453">
        <v>15484.96</v>
      </c>
      <c r="AR289" s="453">
        <f>IFERROR(INDEX('SuSa Okt25'!$N:$N,MATCH($A289,'SuSa Okt25'!A:A,0)),"")</f>
        <v>16343.2</v>
      </c>
      <c r="AS289" s="453">
        <f>IFERROR(INDEX('SuSa Nov25'!$N:$N,MATCH($A289,'SuSa Nov25'!$A:$A,0)),"")</f>
        <v>17932.2</v>
      </c>
      <c r="AT289" s="453">
        <f>IFERROR(INDEX('SuSa Dez25'!$N:$N,MATCH($A289,'SuSa Dez25'!$A:$A,0)),"")</f>
        <v>0</v>
      </c>
    </row>
    <row r="290" spans="1:46" outlineLevel="1" collapsed="1" x14ac:dyDescent="0.25">
      <c r="A290" s="452">
        <v>4960</v>
      </c>
      <c r="B290" s="522" t="s">
        <v>1630</v>
      </c>
      <c r="C290" t="s">
        <v>1631</v>
      </c>
      <c r="D290" t="s">
        <v>1352</v>
      </c>
      <c r="F290" t="s">
        <v>2505</v>
      </c>
      <c r="G290" s="453">
        <f t="shared" si="12"/>
        <v>0</v>
      </c>
      <c r="H290" s="453">
        <f t="shared" si="13"/>
        <v>6681.97</v>
      </c>
      <c r="I290" s="453">
        <f t="shared" si="14"/>
        <v>9502.98</v>
      </c>
      <c r="K290" s="453">
        <v>0</v>
      </c>
      <c r="L290" s="453">
        <v>0</v>
      </c>
      <c r="M290" s="453">
        <v>0</v>
      </c>
      <c r="N290" s="453">
        <v>0</v>
      </c>
      <c r="O290" s="453">
        <v>0</v>
      </c>
      <c r="P290" s="453">
        <v>0</v>
      </c>
      <c r="Q290" s="453">
        <v>0</v>
      </c>
      <c r="R290" s="453">
        <v>0</v>
      </c>
      <c r="S290" s="453">
        <v>0</v>
      </c>
      <c r="T290" s="453">
        <v>0</v>
      </c>
      <c r="U290" s="453">
        <v>0</v>
      </c>
      <c r="V290" s="453">
        <v>0</v>
      </c>
      <c r="Z290" s="453">
        <v>336</v>
      </c>
      <c r="AA290" s="453">
        <v>336</v>
      </c>
      <c r="AB290" s="453">
        <v>336</v>
      </c>
      <c r="AC290" s="453">
        <v>336</v>
      </c>
      <c r="AD290" s="453">
        <v>336</v>
      </c>
      <c r="AE290" s="453">
        <v>1161.47</v>
      </c>
      <c r="AF290" s="453">
        <v>2691.47</v>
      </c>
      <c r="AG290" s="453">
        <v>3387.47</v>
      </c>
      <c r="AH290" s="453">
        <v>6681.97</v>
      </c>
      <c r="AI290" s="453">
        <v>0</v>
      </c>
      <c r="AJ290" s="453">
        <v>0</v>
      </c>
      <c r="AK290" s="453">
        <v>0</v>
      </c>
      <c r="AL290" s="453">
        <v>365.55</v>
      </c>
      <c r="AM290" s="453">
        <v>365.55</v>
      </c>
      <c r="AN290" s="453">
        <v>1214.68</v>
      </c>
      <c r="AO290" s="453">
        <v>3727.98</v>
      </c>
      <c r="AP290" s="453">
        <v>3727.98</v>
      </c>
      <c r="AQ290" s="453">
        <v>6912.98</v>
      </c>
      <c r="AR290" s="453">
        <f>IFERROR(INDEX('SuSa Okt25'!$N:$N,MATCH($A290,'SuSa Okt25'!A:A,0)),"")</f>
        <v>6912.98</v>
      </c>
      <c r="AS290" s="453">
        <f>IFERROR(INDEX('SuSa Nov25'!$N:$N,MATCH($A290,'SuSa Nov25'!$A:$A,0)),"")</f>
        <v>6912.98</v>
      </c>
      <c r="AT290" s="453">
        <f>IFERROR(INDEX('SuSa Dez25'!$N:$N,MATCH($A290,'SuSa Dez25'!$A:$A,0)),"")</f>
        <v>9502.98</v>
      </c>
    </row>
    <row r="291" spans="1:46" outlineLevel="1" collapsed="1" x14ac:dyDescent="0.25">
      <c r="A291" s="527">
        <v>4964</v>
      </c>
      <c r="B291" s="525" t="s">
        <v>1632</v>
      </c>
      <c r="C291" t="s">
        <v>1633</v>
      </c>
      <c r="D291" t="s">
        <v>1352</v>
      </c>
      <c r="F291" t="s">
        <v>2508</v>
      </c>
      <c r="G291" s="453">
        <f t="shared" si="12"/>
        <v>312084.98</v>
      </c>
      <c r="H291" s="453">
        <f t="shared" ref="H291:H322" si="15">AH291</f>
        <v>527074.59</v>
      </c>
      <c r="I291" s="453">
        <f t="shared" si="14"/>
        <v>537965.76</v>
      </c>
      <c r="K291" s="453">
        <v>0</v>
      </c>
      <c r="L291" s="453">
        <v>0</v>
      </c>
      <c r="M291" s="453">
        <v>0</v>
      </c>
      <c r="N291" s="453">
        <v>61396.28</v>
      </c>
      <c r="O291" s="453">
        <v>61396.28</v>
      </c>
      <c r="P291" s="453">
        <v>127823.46</v>
      </c>
      <c r="Q291" s="453">
        <v>127823.46</v>
      </c>
      <c r="R291" s="453">
        <v>127823.46</v>
      </c>
      <c r="S291" s="453">
        <v>213204.25</v>
      </c>
      <c r="T291" s="453">
        <v>213204.25</v>
      </c>
      <c r="U291" s="453">
        <v>213204.25</v>
      </c>
      <c r="V291" s="453">
        <v>312084.98</v>
      </c>
      <c r="W291" s="453">
        <v>0</v>
      </c>
      <c r="X291" s="453">
        <v>98880.67</v>
      </c>
      <c r="Y291" s="453">
        <v>98880.67</v>
      </c>
      <c r="Z291" s="453">
        <v>98880.67</v>
      </c>
      <c r="AA291" s="453">
        <v>214188.38</v>
      </c>
      <c r="AB291" s="453">
        <v>224489.86</v>
      </c>
      <c r="AC291" s="453">
        <v>224489.86</v>
      </c>
      <c r="AD291" s="453">
        <v>224489.86</v>
      </c>
      <c r="AE291" s="453">
        <v>224489.86</v>
      </c>
      <c r="AF291" s="453">
        <v>385968.48</v>
      </c>
      <c r="AG291" s="453">
        <v>385968.48</v>
      </c>
      <c r="AH291" s="453">
        <v>527074.59</v>
      </c>
      <c r="AI291" s="453">
        <v>0</v>
      </c>
      <c r="AJ291" s="453">
        <v>0</v>
      </c>
      <c r="AK291" s="453">
        <v>0</v>
      </c>
      <c r="AL291" s="453">
        <v>0</v>
      </c>
      <c r="AM291" s="453">
        <v>128486.31</v>
      </c>
      <c r="AN291" s="453">
        <v>128486.31</v>
      </c>
      <c r="AO291" s="453">
        <v>303933.34999999998</v>
      </c>
      <c r="AP291" s="453">
        <v>303933.34999999998</v>
      </c>
      <c r="AQ291" s="453">
        <v>303933.34999999998</v>
      </c>
      <c r="AR291" s="453">
        <f>IFERROR(INDEX('SuSa Okt25'!$N:$N,MATCH($A291,'SuSa Okt25'!A:A,0)),"")</f>
        <v>303933.34999999998</v>
      </c>
      <c r="AS291" s="453">
        <f>IFERROR(INDEX('SuSa Nov25'!$N:$N,MATCH($A291,'SuSa Nov25'!$A:$A,0)),"")</f>
        <v>397547.4</v>
      </c>
      <c r="AT291" s="453">
        <f>IFERROR(INDEX('SuSa Dez25'!$N:$N,MATCH($A291,'SuSa Dez25'!$A:$A,0)),"")</f>
        <v>537965.76</v>
      </c>
    </row>
    <row r="292" spans="1:46" outlineLevel="1" collapsed="1" x14ac:dyDescent="0.25">
      <c r="A292" s="452">
        <v>4969</v>
      </c>
      <c r="B292" s="526" t="s">
        <v>1634</v>
      </c>
      <c r="C292" t="s">
        <v>1635</v>
      </c>
      <c r="D292" t="s">
        <v>1352</v>
      </c>
      <c r="F292" t="s">
        <v>2506</v>
      </c>
      <c r="G292" s="453">
        <f t="shared" si="12"/>
        <v>8932.57</v>
      </c>
      <c r="H292" s="453">
        <f t="shared" si="15"/>
        <v>12407.2</v>
      </c>
      <c r="I292" s="453">
        <f t="shared" si="14"/>
        <v>25818.58</v>
      </c>
      <c r="K292" s="453">
        <v>542.78</v>
      </c>
      <c r="L292" s="453">
        <v>4756.83</v>
      </c>
      <c r="M292" s="453">
        <v>6095.92</v>
      </c>
      <c r="N292" s="453">
        <v>6759.83</v>
      </c>
      <c r="O292" s="453">
        <v>6978.19</v>
      </c>
      <c r="P292" s="453">
        <v>7235.6</v>
      </c>
      <c r="Q292" s="453">
        <v>7361.22</v>
      </c>
      <c r="R292" s="453">
        <v>7730.92</v>
      </c>
      <c r="S292" s="453">
        <v>8028.46</v>
      </c>
      <c r="T292" s="453">
        <v>8295.2800000000007</v>
      </c>
      <c r="U292" s="453">
        <v>8779.52</v>
      </c>
      <c r="V292" s="453">
        <v>8932.57</v>
      </c>
      <c r="W292" s="453">
        <v>6649.55</v>
      </c>
      <c r="X292" s="453">
        <v>6935.07</v>
      </c>
      <c r="Y292" s="453">
        <v>7843.48</v>
      </c>
      <c r="Z292" s="453">
        <v>8551.64</v>
      </c>
      <c r="AA292" s="453">
        <v>8854.5499999999993</v>
      </c>
      <c r="AB292" s="453">
        <v>9266.2999999999993</v>
      </c>
      <c r="AC292" s="453">
        <v>10038.49</v>
      </c>
      <c r="AD292" s="453">
        <v>10405.11</v>
      </c>
      <c r="AE292" s="453">
        <v>10757.46</v>
      </c>
      <c r="AF292" s="453">
        <v>11188.3</v>
      </c>
      <c r="AG292" s="453">
        <v>11864.69</v>
      </c>
      <c r="AH292" s="453">
        <v>12407.2</v>
      </c>
      <c r="AI292" s="453">
        <v>587.86</v>
      </c>
      <c r="AJ292" s="453">
        <v>1140.46</v>
      </c>
      <c r="AK292" s="453">
        <v>10084.35</v>
      </c>
      <c r="AL292" s="453">
        <v>10509.22</v>
      </c>
      <c r="AM292" s="453">
        <v>10855.37</v>
      </c>
      <c r="AN292" s="453">
        <v>11163.76</v>
      </c>
      <c r="AO292" s="453">
        <v>11453.17</v>
      </c>
      <c r="AP292" s="453">
        <v>11743.13</v>
      </c>
      <c r="AQ292" s="453">
        <v>11903.08</v>
      </c>
      <c r="AR292" s="453">
        <f>IFERROR(INDEX('SuSa Okt25'!$N:$N,MATCH($A292,'SuSa Okt25'!A:A,0)),"")</f>
        <v>12248.91</v>
      </c>
      <c r="AS292" s="453">
        <f>IFERROR(INDEX('SuSa Nov25'!$N:$N,MATCH($A292,'SuSa Nov25'!$A:$A,0)),"")</f>
        <v>17678.740000000002</v>
      </c>
      <c r="AT292" s="453">
        <f>IFERROR(INDEX('SuSa Dez25'!$N:$N,MATCH($A292,'SuSa Dez25'!$A:$A,0)),"")</f>
        <v>25818.58</v>
      </c>
    </row>
    <row r="293" spans="1:46" outlineLevel="1" collapsed="1" x14ac:dyDescent="0.25">
      <c r="A293" s="452">
        <v>4970</v>
      </c>
      <c r="B293" s="524" t="s">
        <v>1636</v>
      </c>
      <c r="C293" t="s">
        <v>1637</v>
      </c>
      <c r="D293" t="s">
        <v>1352</v>
      </c>
      <c r="F293" t="s">
        <v>2503</v>
      </c>
      <c r="G293" s="453">
        <f t="shared" si="12"/>
        <v>6101.1</v>
      </c>
      <c r="H293" s="453">
        <f t="shared" si="15"/>
        <v>6829.47</v>
      </c>
      <c r="I293" s="453">
        <f t="shared" si="14"/>
        <v>8447.81</v>
      </c>
      <c r="K293" s="453">
        <v>466.06</v>
      </c>
      <c r="L293" s="453">
        <v>1130.51</v>
      </c>
      <c r="M293" s="453">
        <v>1490.94</v>
      </c>
      <c r="N293" s="453">
        <v>1867.73</v>
      </c>
      <c r="O293" s="453">
        <v>2363.67</v>
      </c>
      <c r="P293" s="453">
        <v>3097.28</v>
      </c>
      <c r="Q293" s="453">
        <v>3538.49</v>
      </c>
      <c r="R293" s="453">
        <v>3891.33</v>
      </c>
      <c r="S293" s="453">
        <v>4203.28</v>
      </c>
      <c r="T293" s="453">
        <v>4695.09</v>
      </c>
      <c r="U293" s="453">
        <v>5233.7</v>
      </c>
      <c r="V293" s="453">
        <v>6101.1</v>
      </c>
      <c r="W293" s="453">
        <v>444.3</v>
      </c>
      <c r="X293" s="453">
        <v>918.1</v>
      </c>
      <c r="Y293" s="453">
        <v>1473.86</v>
      </c>
      <c r="Z293" s="453">
        <v>2076.4299999999998</v>
      </c>
      <c r="AA293" s="453">
        <v>2762.38</v>
      </c>
      <c r="AB293" s="453">
        <v>3390.83</v>
      </c>
      <c r="AC293" s="453">
        <v>3868.86</v>
      </c>
      <c r="AD293" s="453">
        <v>4314.84</v>
      </c>
      <c r="AE293" s="453">
        <v>4801.8999999999996</v>
      </c>
      <c r="AF293" s="453">
        <v>5750.88</v>
      </c>
      <c r="AG293" s="453">
        <v>6355.69</v>
      </c>
      <c r="AH293" s="453">
        <v>6829.47</v>
      </c>
      <c r="AI293" s="453">
        <v>678.8</v>
      </c>
      <c r="AJ293" s="453">
        <v>1418.21</v>
      </c>
      <c r="AK293" s="453">
        <v>2400.5300000000002</v>
      </c>
      <c r="AL293" s="453">
        <v>3410.58</v>
      </c>
      <c r="AM293" s="453">
        <v>4076.63</v>
      </c>
      <c r="AN293" s="453">
        <v>4657.41</v>
      </c>
      <c r="AO293" s="453">
        <v>5281.46</v>
      </c>
      <c r="AP293" s="453">
        <v>5871.33</v>
      </c>
      <c r="AQ293" s="453">
        <v>6593.91</v>
      </c>
      <c r="AR293" s="453">
        <f>IFERROR(INDEX('SuSa Okt25'!$N:$N,MATCH($A293,'SuSa Okt25'!A:A,0)),"")</f>
        <v>7024.79</v>
      </c>
      <c r="AS293" s="453">
        <f>IFERROR(INDEX('SuSa Nov25'!$N:$N,MATCH($A293,'SuSa Nov25'!$A:$A,0)),"")</f>
        <v>7626.99</v>
      </c>
      <c r="AT293" s="453">
        <f>IFERROR(INDEX('SuSa Dez25'!$N:$N,MATCH($A293,'SuSa Dez25'!$A:$A,0)),"")</f>
        <v>8447.81</v>
      </c>
    </row>
    <row r="294" spans="1:46" outlineLevel="1" collapsed="1" x14ac:dyDescent="0.25">
      <c r="A294" s="452">
        <v>4971</v>
      </c>
      <c r="B294" s="524" t="s">
        <v>1638</v>
      </c>
      <c r="C294" t="s">
        <v>1639</v>
      </c>
      <c r="D294" t="s">
        <v>1352</v>
      </c>
      <c r="F294" t="s">
        <v>2503</v>
      </c>
      <c r="G294" s="453">
        <f t="shared" si="12"/>
        <v>0</v>
      </c>
      <c r="H294" s="453">
        <f t="shared" si="15"/>
        <v>0</v>
      </c>
      <c r="I294" s="453" t="str">
        <f t="shared" si="14"/>
        <v/>
      </c>
      <c r="K294" s="453">
        <v>0</v>
      </c>
      <c r="L294" s="453">
        <v>0</v>
      </c>
      <c r="M294" s="453">
        <v>0</v>
      </c>
      <c r="N294" s="453">
        <v>0</v>
      </c>
      <c r="O294" s="453">
        <v>0</v>
      </c>
      <c r="P294" s="453">
        <v>0</v>
      </c>
      <c r="Q294" s="453">
        <v>0</v>
      </c>
      <c r="R294" s="453">
        <v>0</v>
      </c>
      <c r="S294" s="453">
        <v>0</v>
      </c>
      <c r="T294" s="453">
        <v>0</v>
      </c>
      <c r="U294" s="453">
        <v>0</v>
      </c>
      <c r="V294" s="453">
        <v>0</v>
      </c>
      <c r="AR294" s="453" t="str">
        <f>IFERROR(INDEX('SuSa Okt25'!$N:$N,MATCH($A294,'SuSa Okt25'!A:A,0)),"")</f>
        <v/>
      </c>
      <c r="AS294" s="453" t="str">
        <f>IFERROR(INDEX('SuSa Nov25'!$N:$N,MATCH($A294,'SuSa Nov25'!$A:$A,0)),"")</f>
        <v/>
      </c>
      <c r="AT294" s="453" t="str">
        <f>IFERROR(INDEX('SuSa Dez25'!$N:$N,MATCH($A294,'SuSa Dez25'!$A:$A,0)),"")</f>
        <v/>
      </c>
    </row>
    <row r="295" spans="1:46" outlineLevel="1" collapsed="1" x14ac:dyDescent="0.25">
      <c r="A295" s="452">
        <v>4980</v>
      </c>
      <c r="B295" s="526" t="s">
        <v>1640</v>
      </c>
      <c r="C295" t="s">
        <v>1609</v>
      </c>
      <c r="D295" t="s">
        <v>1352</v>
      </c>
      <c r="F295" t="s">
        <v>2506</v>
      </c>
      <c r="G295" s="453">
        <f t="shared" si="12"/>
        <v>54370.12</v>
      </c>
      <c r="H295" s="453">
        <f t="shared" si="15"/>
        <v>63670.35</v>
      </c>
      <c r="I295" s="453">
        <f t="shared" si="14"/>
        <v>52017.88</v>
      </c>
      <c r="K295" s="453">
        <v>6209.9</v>
      </c>
      <c r="L295" s="453">
        <v>9169.81</v>
      </c>
      <c r="M295" s="453">
        <v>14791.86</v>
      </c>
      <c r="N295" s="453">
        <v>17832.599999999999</v>
      </c>
      <c r="O295" s="453">
        <v>21935.1</v>
      </c>
      <c r="P295" s="453">
        <v>27318.19</v>
      </c>
      <c r="Q295" s="453">
        <v>31668.07</v>
      </c>
      <c r="R295" s="453">
        <v>36160.769999999997</v>
      </c>
      <c r="S295" s="453">
        <v>38885.300000000003</v>
      </c>
      <c r="T295" s="453">
        <v>44133.59</v>
      </c>
      <c r="U295" s="453">
        <v>49951.07</v>
      </c>
      <c r="V295" s="453">
        <v>54370.12</v>
      </c>
      <c r="W295" s="453">
        <v>3338.26</v>
      </c>
      <c r="X295" s="453">
        <v>8038.93</v>
      </c>
      <c r="Y295" s="453">
        <v>12024.32</v>
      </c>
      <c r="Z295" s="453">
        <v>18542.88</v>
      </c>
      <c r="AA295" s="453">
        <v>24301.91</v>
      </c>
      <c r="AB295" s="453">
        <v>28743.01</v>
      </c>
      <c r="AC295" s="453">
        <v>35486.03</v>
      </c>
      <c r="AD295" s="453">
        <v>42107.86</v>
      </c>
      <c r="AE295" s="453">
        <v>48222.98</v>
      </c>
      <c r="AF295" s="453">
        <v>55354.96</v>
      </c>
      <c r="AG295" s="453">
        <v>60502.42</v>
      </c>
      <c r="AH295" s="453">
        <v>63670.35</v>
      </c>
      <c r="AI295" s="453">
        <v>4623.63</v>
      </c>
      <c r="AJ295" s="453">
        <v>10830.94</v>
      </c>
      <c r="AK295" s="453">
        <v>13877.73</v>
      </c>
      <c r="AL295" s="453">
        <v>19722.48</v>
      </c>
      <c r="AM295" s="453">
        <v>23630.52</v>
      </c>
      <c r="AN295" s="453">
        <v>26852.95</v>
      </c>
      <c r="AO295" s="453">
        <v>29992.07</v>
      </c>
      <c r="AP295" s="453">
        <v>34333.4</v>
      </c>
      <c r="AQ295" s="453">
        <v>38310.65</v>
      </c>
      <c r="AR295" s="453">
        <f>IFERROR(INDEX('SuSa Okt25'!$N:$N,MATCH($A295,'SuSa Okt25'!A:A,0)),"")</f>
        <v>41527.57</v>
      </c>
      <c r="AS295" s="453">
        <f>IFERROR(INDEX('SuSa Nov25'!$N:$N,MATCH($A295,'SuSa Nov25'!$A:$A,0)),"")</f>
        <v>49563.8</v>
      </c>
      <c r="AT295" s="453">
        <f>IFERROR(INDEX('SuSa Dez25'!$N:$N,MATCH($A295,'SuSa Dez25'!$A:$A,0)),"")</f>
        <v>52017.88</v>
      </c>
    </row>
    <row r="296" spans="1:46" hidden="1" outlineLevel="1" collapsed="1" x14ac:dyDescent="0.25">
      <c r="A296" s="452">
        <v>7050</v>
      </c>
      <c r="B296" t="s">
        <v>2017</v>
      </c>
      <c r="C296" t="s">
        <v>2018</v>
      </c>
      <c r="D296" t="s">
        <v>704</v>
      </c>
      <c r="G296" s="453">
        <f t="shared" si="12"/>
        <v>143733.26999999999</v>
      </c>
      <c r="H296" s="453">
        <f t="shared" si="15"/>
        <v>36760.67</v>
      </c>
      <c r="I296" s="453">
        <f t="shared" si="14"/>
        <v>69605.570000000007</v>
      </c>
      <c r="K296" s="453">
        <v>31922.95</v>
      </c>
      <c r="L296" s="453">
        <v>31922.95</v>
      </c>
      <c r="M296" s="453">
        <v>31922.95</v>
      </c>
      <c r="N296" s="453">
        <v>31922.95</v>
      </c>
      <c r="O296" s="453">
        <v>31922.95</v>
      </c>
      <c r="P296" s="453">
        <v>68887.429999999993</v>
      </c>
      <c r="Q296" s="453">
        <v>68887.429999999993</v>
      </c>
      <c r="R296" s="453">
        <v>68887.429999999993</v>
      </c>
      <c r="S296" s="453">
        <v>107074.57</v>
      </c>
      <c r="T296" s="453">
        <v>107074.57</v>
      </c>
      <c r="U296" s="453">
        <v>107074.57</v>
      </c>
      <c r="V296" s="453">
        <v>143733.26999999999</v>
      </c>
      <c r="W296" s="453">
        <v>143733.26999999999</v>
      </c>
      <c r="X296" s="453">
        <v>143733.26999999999</v>
      </c>
      <c r="Y296" s="453">
        <v>143733.26999999999</v>
      </c>
      <c r="Z296" s="453">
        <v>143733.26999999999</v>
      </c>
      <c r="AA296" s="453">
        <v>143733.26999999999</v>
      </c>
      <c r="AB296" s="453">
        <v>190282.17</v>
      </c>
      <c r="AC296" s="453">
        <v>190282.17</v>
      </c>
      <c r="AD296" s="453">
        <v>190282.17</v>
      </c>
      <c r="AE296" s="453">
        <v>190282.17</v>
      </c>
      <c r="AF296" s="453">
        <v>190282.17</v>
      </c>
      <c r="AG296" s="453">
        <v>190282.17</v>
      </c>
      <c r="AH296" s="453">
        <v>36760.67</v>
      </c>
      <c r="AI296" s="453">
        <v>36760.67</v>
      </c>
      <c r="AJ296" s="453">
        <v>36760.67</v>
      </c>
      <c r="AK296" s="453">
        <v>36760.67</v>
      </c>
      <c r="AL296" s="453">
        <v>36760.67</v>
      </c>
      <c r="AM296" s="453">
        <v>36760.67</v>
      </c>
      <c r="AN296" s="453">
        <v>36760.67</v>
      </c>
      <c r="AO296" s="453">
        <v>36760.67</v>
      </c>
      <c r="AP296" s="453">
        <v>36760.67</v>
      </c>
      <c r="AQ296" s="453">
        <v>36760.67</v>
      </c>
      <c r="AR296" s="453">
        <f>IFERROR(INDEX('SuSa Okt25'!$N:$N,MATCH($A296,'SuSa Okt25'!A:A,0)),"")</f>
        <v>36760.67</v>
      </c>
      <c r="AS296" s="453">
        <f>IFERROR(INDEX('SuSa Nov25'!$N:$N,MATCH($A296,'SuSa Nov25'!$A:$A,0)),"")</f>
        <v>36760.67</v>
      </c>
      <c r="AT296" s="453">
        <f>IFERROR(INDEX('SuSa Dez25'!$N:$N,MATCH($A296,'SuSa Dez25'!$A:$A,0)),"")</f>
        <v>69605.570000000007</v>
      </c>
    </row>
    <row r="297" spans="1:46" hidden="1" outlineLevel="1" collapsed="1" x14ac:dyDescent="0.25">
      <c r="A297" s="452">
        <v>7100</v>
      </c>
      <c r="B297" t="s">
        <v>2019</v>
      </c>
      <c r="C297" t="s">
        <v>2020</v>
      </c>
      <c r="D297" t="s">
        <v>705</v>
      </c>
      <c r="G297" s="453">
        <f t="shared" si="12"/>
        <v>593949.16</v>
      </c>
      <c r="H297" s="453">
        <f t="shared" si="15"/>
        <v>1051716.8999999999</v>
      </c>
      <c r="I297" s="453">
        <f t="shared" si="14"/>
        <v>1245062.1599999999</v>
      </c>
      <c r="K297" s="453">
        <v>506182.35</v>
      </c>
      <c r="L297" s="453">
        <v>506182.35</v>
      </c>
      <c r="M297" s="453">
        <v>506182.35</v>
      </c>
      <c r="N297" s="453">
        <v>506182.35</v>
      </c>
      <c r="O297" s="453">
        <v>506182.35</v>
      </c>
      <c r="P297" s="453">
        <v>610245.19999999995</v>
      </c>
      <c r="Q297" s="453">
        <v>610245.19999999995</v>
      </c>
      <c r="R297" s="453">
        <v>610245.19999999995</v>
      </c>
      <c r="S297" s="453">
        <v>592071.05000000005</v>
      </c>
      <c r="T297" s="453">
        <v>592071.05000000005</v>
      </c>
      <c r="U297" s="453">
        <v>592071.05000000005</v>
      </c>
      <c r="V297" s="453">
        <v>593949.16</v>
      </c>
      <c r="W297" s="453">
        <v>593949.16</v>
      </c>
      <c r="X297" s="453">
        <v>593949.16</v>
      </c>
      <c r="Y297" s="453">
        <v>593949.16</v>
      </c>
      <c r="Z297" s="453">
        <v>593949.16</v>
      </c>
      <c r="AA297" s="453">
        <v>593949.16</v>
      </c>
      <c r="AB297" s="453">
        <v>657308.98</v>
      </c>
      <c r="AC297" s="453">
        <v>657308.98</v>
      </c>
      <c r="AD297" s="453">
        <v>657308.98</v>
      </c>
      <c r="AE297" s="453">
        <v>657308.98</v>
      </c>
      <c r="AF297" s="453">
        <v>657308.98</v>
      </c>
      <c r="AG297" s="453">
        <v>657308.98</v>
      </c>
      <c r="AH297" s="453">
        <v>1051716.8999999999</v>
      </c>
      <c r="AI297" s="453">
        <v>1051716.8999999999</v>
      </c>
      <c r="AJ297" s="453">
        <v>1051716.8999999999</v>
      </c>
      <c r="AK297" s="453">
        <v>1051716.8999999999</v>
      </c>
      <c r="AL297" s="453">
        <v>1051716.8999999999</v>
      </c>
      <c r="AM297" s="453">
        <v>1051716.8999999999</v>
      </c>
      <c r="AN297" s="453">
        <v>1051716.8999999999</v>
      </c>
      <c r="AO297" s="453">
        <v>1051716.8999999999</v>
      </c>
      <c r="AP297" s="453">
        <v>1051716.8999999999</v>
      </c>
      <c r="AQ297" s="453">
        <v>1051716.8999999999</v>
      </c>
      <c r="AR297" s="453">
        <f>IFERROR(INDEX('SuSa Okt25'!$N:$N,MATCH($A297,'SuSa Okt25'!A:A,0)),"")</f>
        <v>1051716.8999999999</v>
      </c>
      <c r="AS297" s="453">
        <f>IFERROR(INDEX('SuSa Nov25'!$N:$N,MATCH($A297,'SuSa Nov25'!$A:$A,0)),"")</f>
        <v>1051716.8999999999</v>
      </c>
      <c r="AT297" s="453">
        <f>IFERROR(INDEX('SuSa Dez25'!$N:$N,MATCH($A297,'SuSa Dez25'!$A:$A,0)),"")</f>
        <v>1245062.1599999999</v>
      </c>
    </row>
    <row r="298" spans="1:46" hidden="1" outlineLevel="1" collapsed="1" x14ac:dyDescent="0.25">
      <c r="A298" s="452">
        <v>8120</v>
      </c>
      <c r="B298" t="s">
        <v>1083</v>
      </c>
      <c r="C298" t="s">
        <v>1084</v>
      </c>
      <c r="D298" t="s">
        <v>677</v>
      </c>
      <c r="F298" t="s">
        <v>2522</v>
      </c>
      <c r="G298" s="453">
        <f t="shared" si="12"/>
        <v>-1694051.98</v>
      </c>
      <c r="H298" s="453">
        <f t="shared" si="15"/>
        <v>-3023763.09</v>
      </c>
      <c r="I298" s="453">
        <f t="shared" si="14"/>
        <v>-3014157</v>
      </c>
      <c r="K298" s="453">
        <v>-89392.2</v>
      </c>
      <c r="L298" s="453">
        <v>-109983.06</v>
      </c>
      <c r="M298" s="453">
        <v>-194636.56</v>
      </c>
      <c r="N298" s="453">
        <v>-305256.65999999997</v>
      </c>
      <c r="O298" s="453">
        <v>-434097.11</v>
      </c>
      <c r="P298" s="453">
        <v>-590217.11</v>
      </c>
      <c r="Q298" s="453">
        <v>-764210.21</v>
      </c>
      <c r="R298" s="453">
        <v>-923347.96</v>
      </c>
      <c r="S298" s="453">
        <v>-1092184</v>
      </c>
      <c r="T298" s="453">
        <v>-1190329.6000000001</v>
      </c>
      <c r="U298" s="453">
        <v>-1204035.07</v>
      </c>
      <c r="V298" s="453">
        <v>-1694051.98</v>
      </c>
      <c r="W298" s="453">
        <v>-160483.1</v>
      </c>
      <c r="X298" s="453">
        <v>-276267.75</v>
      </c>
      <c r="Y298" s="453">
        <v>-602425.62</v>
      </c>
      <c r="Z298" s="453">
        <v>-666231.38</v>
      </c>
      <c r="AA298" s="453">
        <v>-1143047.48</v>
      </c>
      <c r="AB298" s="453">
        <v>-1185670.48</v>
      </c>
      <c r="AC298" s="453">
        <v>-1610201.08</v>
      </c>
      <c r="AD298" s="453">
        <v>-1813069.2</v>
      </c>
      <c r="AE298" s="453">
        <v>-2227372.7999999998</v>
      </c>
      <c r="AF298" s="453">
        <v>-2454966.14</v>
      </c>
      <c r="AG298" s="453">
        <v>-2699389.24</v>
      </c>
      <c r="AH298" s="453">
        <v>-3023763.09</v>
      </c>
      <c r="AI298" s="453">
        <v>-269102.5</v>
      </c>
      <c r="AJ298" s="453">
        <v>-670195.5</v>
      </c>
      <c r="AK298" s="453">
        <v>-794410.5</v>
      </c>
      <c r="AL298" s="453">
        <v>-1058360.5</v>
      </c>
      <c r="AM298" s="453">
        <v>-1484338</v>
      </c>
      <c r="AN298" s="453">
        <v>-1513052</v>
      </c>
      <c r="AO298" s="453">
        <v>-1669857.5</v>
      </c>
      <c r="AP298" s="453">
        <v>-2138819</v>
      </c>
      <c r="AQ298" s="453">
        <v>-2274522.5</v>
      </c>
      <c r="AR298" s="453">
        <f>IFERROR(INDEX('SuSa Okt25'!$N:$N,MATCH($A298,'SuSa Okt25'!A:A,0)),"")</f>
        <v>-2530491.5</v>
      </c>
      <c r="AS298" s="453">
        <f>IFERROR(INDEX('SuSa Nov25'!$N:$N,MATCH($A298,'SuSa Nov25'!$A:$A,0)),"")</f>
        <v>-2880880.5</v>
      </c>
      <c r="AT298" s="453">
        <f>IFERROR(INDEX('SuSa Dez25'!$N:$N,MATCH($A298,'SuSa Dez25'!$A:$A,0)),"")</f>
        <v>-3014157</v>
      </c>
    </row>
    <row r="299" spans="1:46" hidden="1" outlineLevel="1" collapsed="1" x14ac:dyDescent="0.25">
      <c r="A299" s="452">
        <v>8125</v>
      </c>
      <c r="B299" t="s">
        <v>1085</v>
      </c>
      <c r="C299" t="s">
        <v>1086</v>
      </c>
      <c r="D299" t="s">
        <v>677</v>
      </c>
      <c r="F299" t="s">
        <v>2522</v>
      </c>
      <c r="G299" s="453">
        <f t="shared" si="12"/>
        <v>-989149.92</v>
      </c>
      <c r="H299" s="453">
        <f t="shared" si="15"/>
        <v>-1330747.17</v>
      </c>
      <c r="I299" s="453">
        <f t="shared" si="14"/>
        <v>-1569931.5</v>
      </c>
      <c r="K299" s="453">
        <v>-55235.7</v>
      </c>
      <c r="L299" s="453">
        <v>-194121.55</v>
      </c>
      <c r="M299" s="453">
        <v>-303440.95</v>
      </c>
      <c r="N299" s="453">
        <v>-383118.45</v>
      </c>
      <c r="O299" s="453">
        <v>-420300.15</v>
      </c>
      <c r="P299" s="453">
        <v>-462771.87</v>
      </c>
      <c r="Q299" s="453">
        <v>-596402.37</v>
      </c>
      <c r="R299" s="453">
        <v>-621876.27</v>
      </c>
      <c r="S299" s="453">
        <v>-718604.37</v>
      </c>
      <c r="T299" s="453">
        <v>-745463.27</v>
      </c>
      <c r="U299" s="453">
        <v>-917454.02</v>
      </c>
      <c r="V299" s="453">
        <v>-989149.92</v>
      </c>
      <c r="W299" s="453">
        <v>-41676.54</v>
      </c>
      <c r="X299" s="453">
        <v>-216028.09</v>
      </c>
      <c r="Y299" s="453">
        <v>-279386.74</v>
      </c>
      <c r="Z299" s="453">
        <v>-383919.79</v>
      </c>
      <c r="AA299" s="453">
        <v>-506387.51</v>
      </c>
      <c r="AB299" s="453">
        <v>-669605.21</v>
      </c>
      <c r="AC299" s="453">
        <v>-697855.61</v>
      </c>
      <c r="AD299" s="453">
        <v>-780015.81</v>
      </c>
      <c r="AE299" s="453">
        <v>-937691.62</v>
      </c>
      <c r="AF299" s="453">
        <v>-1026762.92</v>
      </c>
      <c r="AG299" s="453">
        <v>-1192340.72</v>
      </c>
      <c r="AH299" s="453">
        <v>-1330747.17</v>
      </c>
      <c r="AI299" s="453">
        <v>-109141.9</v>
      </c>
      <c r="AJ299" s="453">
        <v>-267125.09999999998</v>
      </c>
      <c r="AK299" s="453">
        <v>-355450.9</v>
      </c>
      <c r="AL299" s="453">
        <v>-445987.1</v>
      </c>
      <c r="AM299" s="453">
        <v>-663115.11</v>
      </c>
      <c r="AN299" s="453">
        <v>-866098.18</v>
      </c>
      <c r="AO299" s="453">
        <v>-924020.22</v>
      </c>
      <c r="AP299" s="453">
        <v>-1040593.27</v>
      </c>
      <c r="AQ299" s="453">
        <v>-1141587.77</v>
      </c>
      <c r="AR299" s="453">
        <f>IFERROR(INDEX('SuSa Okt25'!$N:$N,MATCH($A299,'SuSa Okt25'!A:A,0)),"")</f>
        <v>-1373218.77</v>
      </c>
      <c r="AS299" s="453">
        <f>IFERROR(INDEX('SuSa Nov25'!$N:$N,MATCH($A299,'SuSa Nov25'!$A:$A,0)),"")</f>
        <v>-1434573.32</v>
      </c>
      <c r="AT299" s="453">
        <f>IFERROR(INDEX('SuSa Dez25'!$N:$N,MATCH($A299,'SuSa Dez25'!$A:$A,0)),"")</f>
        <v>-1569931.5</v>
      </c>
    </row>
    <row r="300" spans="1:46" hidden="1" outlineLevel="1" collapsed="1" x14ac:dyDescent="0.25">
      <c r="A300" s="452">
        <v>8140</v>
      </c>
      <c r="B300" t="s">
        <v>1087</v>
      </c>
      <c r="C300" t="s">
        <v>1088</v>
      </c>
      <c r="D300" t="s">
        <v>677</v>
      </c>
      <c r="F300" t="s">
        <v>2522</v>
      </c>
      <c r="G300" s="453">
        <f t="shared" si="12"/>
        <v>0</v>
      </c>
      <c r="H300" s="453">
        <f t="shared" si="15"/>
        <v>0</v>
      </c>
      <c r="I300" s="453">
        <f t="shared" si="14"/>
        <v>-1050.5</v>
      </c>
      <c r="K300" s="453">
        <v>0</v>
      </c>
      <c r="L300" s="453">
        <v>0</v>
      </c>
      <c r="M300" s="453">
        <v>0</v>
      </c>
      <c r="N300" s="453">
        <v>0</v>
      </c>
      <c r="O300" s="453">
        <v>0</v>
      </c>
      <c r="P300" s="453">
        <v>0</v>
      </c>
      <c r="Q300" s="453">
        <v>0</v>
      </c>
      <c r="R300" s="453">
        <v>0</v>
      </c>
      <c r="S300" s="453">
        <v>0</v>
      </c>
      <c r="T300" s="453">
        <v>0</v>
      </c>
      <c r="U300" s="453">
        <v>0</v>
      </c>
      <c r="V300" s="453">
        <v>0</v>
      </c>
      <c r="AK300" s="453">
        <v>-1050.5</v>
      </c>
      <c r="AL300" s="453">
        <v>-1050.5</v>
      </c>
      <c r="AM300" s="453">
        <v>-1050.5</v>
      </c>
      <c r="AN300" s="453">
        <v>-1050.5</v>
      </c>
      <c r="AO300" s="453">
        <v>-1050.5</v>
      </c>
      <c r="AP300" s="453">
        <v>-1050.5</v>
      </c>
      <c r="AQ300" s="453">
        <v>-1050.5</v>
      </c>
      <c r="AR300" s="453">
        <f>IFERROR(INDEX('SuSa Okt25'!$N:$N,MATCH($A300,'SuSa Okt25'!A:A,0)),"")</f>
        <v>-1050.5</v>
      </c>
      <c r="AS300" s="453">
        <f>IFERROR(INDEX('SuSa Nov25'!$N:$N,MATCH($A300,'SuSa Nov25'!$A:$A,0)),"")</f>
        <v>-1050.5</v>
      </c>
      <c r="AT300" s="453">
        <f>IFERROR(INDEX('SuSa Dez25'!$N:$N,MATCH($A300,'SuSa Dez25'!$A:$A,0)),"")</f>
        <v>-1050.5</v>
      </c>
    </row>
    <row r="301" spans="1:46" hidden="1" outlineLevel="1" collapsed="1" x14ac:dyDescent="0.25">
      <c r="A301" s="452">
        <v>8336</v>
      </c>
      <c r="B301" t="s">
        <v>1089</v>
      </c>
      <c r="C301" t="s">
        <v>1090</v>
      </c>
      <c r="D301" t="s">
        <v>677</v>
      </c>
      <c r="F301" t="s">
        <v>2522</v>
      </c>
      <c r="G301" s="453">
        <f t="shared" si="12"/>
        <v>-138515</v>
      </c>
      <c r="H301" s="453">
        <f t="shared" si="15"/>
        <v>-161171.35</v>
      </c>
      <c r="I301" s="453">
        <f t="shared" si="14"/>
        <v>-230610</v>
      </c>
      <c r="K301" s="453">
        <v>-5360</v>
      </c>
      <c r="L301" s="453">
        <v>-12060</v>
      </c>
      <c r="M301" s="453">
        <v>-28140</v>
      </c>
      <c r="N301" s="453">
        <v>-37520</v>
      </c>
      <c r="O301" s="453">
        <v>-44220</v>
      </c>
      <c r="P301" s="453">
        <v>-69680</v>
      </c>
      <c r="Q301" s="453">
        <v>-90275</v>
      </c>
      <c r="R301" s="453">
        <v>-98315</v>
      </c>
      <c r="S301" s="453">
        <v>-98315</v>
      </c>
      <c r="T301" s="453">
        <v>-117075</v>
      </c>
      <c r="U301" s="453">
        <v>-126455</v>
      </c>
      <c r="V301" s="453">
        <v>-138515</v>
      </c>
      <c r="W301" s="453">
        <v>-14740</v>
      </c>
      <c r="X301" s="453">
        <v>-25460</v>
      </c>
      <c r="Y301" s="453">
        <v>-40200</v>
      </c>
      <c r="Z301" s="453">
        <v>-51220</v>
      </c>
      <c r="AA301" s="453">
        <v>-76421.350000000006</v>
      </c>
      <c r="AB301" s="453">
        <v>-88481.35</v>
      </c>
      <c r="AC301" s="453">
        <v>-95866.35</v>
      </c>
      <c r="AD301" s="453">
        <v>-107926.35</v>
      </c>
      <c r="AE301" s="453">
        <v>-129366.35</v>
      </c>
      <c r="AF301" s="453">
        <v>-148126.35</v>
      </c>
      <c r="AG301" s="453">
        <v>-159146.35</v>
      </c>
      <c r="AH301" s="453">
        <v>-161171.35</v>
      </c>
      <c r="AI301" s="453">
        <v>-29300</v>
      </c>
      <c r="AJ301" s="453">
        <v>-30300</v>
      </c>
      <c r="AK301" s="453">
        <v>-40305</v>
      </c>
      <c r="AL301" s="453">
        <v>-70385</v>
      </c>
      <c r="AM301" s="453">
        <v>-85785</v>
      </c>
      <c r="AN301" s="453">
        <v>-85785</v>
      </c>
      <c r="AO301" s="453">
        <v>-110665</v>
      </c>
      <c r="AP301" s="453">
        <v>-131070</v>
      </c>
      <c r="AQ301" s="453">
        <v>-145890</v>
      </c>
      <c r="AR301" s="453">
        <f>IFERROR(INDEX('SuSa Okt25'!$N:$N,MATCH($A301,'SuSa Okt25'!A:A,0)),"")</f>
        <v>-171070</v>
      </c>
      <c r="AS301" s="453">
        <f>IFERROR(INDEX('SuSa Nov25'!$N:$N,MATCH($A301,'SuSa Nov25'!$A:$A,0)),"")</f>
        <v>-194910</v>
      </c>
      <c r="AT301" s="453">
        <f>IFERROR(INDEX('SuSa Dez25'!$N:$N,MATCH($A301,'SuSa Dez25'!$A:$A,0)),"")</f>
        <v>-230610</v>
      </c>
    </row>
    <row r="302" spans="1:46" hidden="1" outlineLevel="1" collapsed="1" x14ac:dyDescent="0.25">
      <c r="A302" s="452">
        <v>8337</v>
      </c>
      <c r="B302" t="s">
        <v>1091</v>
      </c>
      <c r="C302" t="s">
        <v>2021</v>
      </c>
      <c r="D302" t="s">
        <v>677</v>
      </c>
      <c r="F302" t="s">
        <v>2524</v>
      </c>
      <c r="G302" s="453">
        <f t="shared" si="12"/>
        <v>-468.5</v>
      </c>
      <c r="H302" s="453">
        <f t="shared" si="15"/>
        <v>-600</v>
      </c>
      <c r="I302" s="453">
        <f t="shared" si="14"/>
        <v>-390.75</v>
      </c>
      <c r="K302" s="453">
        <v>-45</v>
      </c>
      <c r="L302" s="453">
        <v>-81</v>
      </c>
      <c r="M302" s="453">
        <v>-108</v>
      </c>
      <c r="N302" s="453">
        <v>-108</v>
      </c>
      <c r="O302" s="453">
        <v>-132</v>
      </c>
      <c r="P302" s="453">
        <v>-220.5</v>
      </c>
      <c r="Q302" s="453">
        <v>-252.75</v>
      </c>
      <c r="R302" s="453">
        <v>-310.5</v>
      </c>
      <c r="S302" s="453">
        <v>-344</v>
      </c>
      <c r="T302" s="453">
        <v>-344</v>
      </c>
      <c r="U302" s="453">
        <v>-418.25</v>
      </c>
      <c r="V302" s="453">
        <v>-468.5</v>
      </c>
      <c r="W302" s="453">
        <v>-38.25</v>
      </c>
      <c r="X302" s="453">
        <v>-107.25</v>
      </c>
      <c r="Y302" s="453">
        <v>-141</v>
      </c>
      <c r="Z302" s="453">
        <v>-181.5</v>
      </c>
      <c r="AA302" s="453">
        <v>-246.75</v>
      </c>
      <c r="AB302" s="453">
        <v>-276</v>
      </c>
      <c r="AC302" s="453">
        <v>-352.5</v>
      </c>
      <c r="AD302" s="453">
        <v>-372</v>
      </c>
      <c r="AE302" s="453">
        <v>-432.5</v>
      </c>
      <c r="AF302" s="453">
        <v>-461.75</v>
      </c>
      <c r="AG302" s="453">
        <v>-538.75</v>
      </c>
      <c r="AH302" s="453">
        <v>-600</v>
      </c>
      <c r="AI302" s="453">
        <v>-20.25</v>
      </c>
      <c r="AJ302" s="453">
        <v>-75</v>
      </c>
      <c r="AK302" s="453">
        <v>-108</v>
      </c>
      <c r="AL302" s="453">
        <v>-178</v>
      </c>
      <c r="AM302" s="453">
        <v>-208</v>
      </c>
      <c r="AN302" s="453">
        <v>-233</v>
      </c>
      <c r="AO302" s="453">
        <v>-259.75</v>
      </c>
      <c r="AP302" s="453">
        <v>-299.25</v>
      </c>
      <c r="AQ302" s="453">
        <v>-313.25</v>
      </c>
      <c r="AR302" s="453">
        <f>IFERROR(INDEX('SuSa Okt25'!$N:$N,MATCH($A302,'SuSa Okt25'!A:A,0)),"")</f>
        <v>-352.25</v>
      </c>
      <c r="AS302" s="453">
        <f>IFERROR(INDEX('SuSa Nov25'!$N:$N,MATCH($A302,'SuSa Nov25'!$A:$A,0)),"")</f>
        <v>-375.75</v>
      </c>
      <c r="AT302" s="453">
        <f>IFERROR(INDEX('SuSa Dez25'!$N:$N,MATCH($A302,'SuSa Dez25'!$A:$A,0)),"")</f>
        <v>-390.75</v>
      </c>
    </row>
    <row r="303" spans="1:46" hidden="1" outlineLevel="1" collapsed="1" x14ac:dyDescent="0.25">
      <c r="A303" s="452">
        <v>8338</v>
      </c>
      <c r="B303" t="s">
        <v>1093</v>
      </c>
      <c r="C303" t="s">
        <v>1094</v>
      </c>
      <c r="D303" t="s">
        <v>677</v>
      </c>
      <c r="F303" t="s">
        <v>2522</v>
      </c>
      <c r="G303" s="453">
        <f t="shared" si="12"/>
        <v>-33986.81</v>
      </c>
      <c r="H303" s="453">
        <f t="shared" si="15"/>
        <v>-75638.34</v>
      </c>
      <c r="I303" s="453">
        <f t="shared" si="14"/>
        <v>-29821.58</v>
      </c>
      <c r="K303" s="453">
        <v>-1339.87</v>
      </c>
      <c r="L303" s="453">
        <v>-2779.87</v>
      </c>
      <c r="M303" s="453">
        <v>-8138.59</v>
      </c>
      <c r="N303" s="453">
        <v>-10517.07</v>
      </c>
      <c r="O303" s="453">
        <v>-11861.89</v>
      </c>
      <c r="P303" s="453">
        <v>-15488.55</v>
      </c>
      <c r="Q303" s="453">
        <v>-20713.55</v>
      </c>
      <c r="R303" s="453">
        <v>-23157.89</v>
      </c>
      <c r="S303" s="453">
        <v>-26109.29</v>
      </c>
      <c r="T303" s="453">
        <v>-29511.77</v>
      </c>
      <c r="U303" s="453">
        <v>-35209.910000000003</v>
      </c>
      <c r="V303" s="453">
        <v>-33986.81</v>
      </c>
      <c r="W303" s="453">
        <v>-765</v>
      </c>
      <c r="X303" s="453">
        <v>-11462.38</v>
      </c>
      <c r="Y303" s="453">
        <v>-23428.7</v>
      </c>
      <c r="Z303" s="453">
        <v>-25401.439999999999</v>
      </c>
      <c r="AA303" s="453">
        <v>-29276</v>
      </c>
      <c r="AB303" s="453">
        <v>-32459.49</v>
      </c>
      <c r="AC303" s="453">
        <v>-40004.49</v>
      </c>
      <c r="AD303" s="453">
        <v>-43049.49</v>
      </c>
      <c r="AE303" s="453">
        <v>-48199.49</v>
      </c>
      <c r="AF303" s="453">
        <v>-53199.49</v>
      </c>
      <c r="AG303" s="453">
        <v>-54199.49</v>
      </c>
      <c r="AH303" s="453">
        <v>-75638.34</v>
      </c>
      <c r="AI303" s="453">
        <v>-3892.4</v>
      </c>
      <c r="AJ303" s="453">
        <v>-4392.3999999999996</v>
      </c>
      <c r="AK303" s="453">
        <v>-7892.4</v>
      </c>
      <c r="AL303" s="453">
        <v>-8542.4</v>
      </c>
      <c r="AM303" s="453">
        <v>-8542.4</v>
      </c>
      <c r="AN303" s="453">
        <v>-12667.4</v>
      </c>
      <c r="AO303" s="453">
        <v>-16667.400000000001</v>
      </c>
      <c r="AP303" s="453">
        <v>-18167.189999999999</v>
      </c>
      <c r="AQ303" s="453">
        <v>-22167.19</v>
      </c>
      <c r="AR303" s="453">
        <f>IFERROR(INDEX('SuSa Okt25'!$N:$N,MATCH($A303,'SuSa Okt25'!A:A,0)),"")</f>
        <v>-25317.19</v>
      </c>
      <c r="AS303" s="453">
        <f>IFERROR(INDEX('SuSa Nov25'!$N:$N,MATCH($A303,'SuSa Nov25'!$A:$A,0)),"")</f>
        <v>-25317.19</v>
      </c>
      <c r="AT303" s="453">
        <f>IFERROR(INDEX('SuSa Dez25'!$N:$N,MATCH($A303,'SuSa Dez25'!$A:$A,0)),"")</f>
        <v>-29821.58</v>
      </c>
    </row>
    <row r="304" spans="1:46" hidden="1" outlineLevel="1" x14ac:dyDescent="0.25">
      <c r="A304" s="611">
        <v>8339</v>
      </c>
      <c r="B304" s="612" t="s">
        <v>4744</v>
      </c>
      <c r="D304" t="s">
        <v>677</v>
      </c>
      <c r="G304" s="453">
        <f>V304</f>
        <v>0</v>
      </c>
      <c r="H304" s="453">
        <f t="shared" si="15"/>
        <v>0</v>
      </c>
      <c r="I304" s="453">
        <f t="shared" si="14"/>
        <v>-1950</v>
      </c>
      <c r="AR304" s="453" t="str">
        <f>IFERROR(INDEX('SuSa Okt25'!$N:$N,MATCH($A304,'SuSa Okt25'!A:A,0)),"")</f>
        <v/>
      </c>
      <c r="AS304" s="453" t="str">
        <f>IFERROR(INDEX('SuSa Nov25'!$N:$N,MATCH($A304,'SuSa Nov25'!$A:$A,0)),"")</f>
        <v/>
      </c>
      <c r="AT304" s="453">
        <f>IFERROR(INDEX('SuSa Dez25'!$N:$N,MATCH($A304,'SuSa Dez25'!$A:$A,0)),"")</f>
        <v>-1950</v>
      </c>
    </row>
    <row r="305" spans="1:46" s="468" customFormat="1" hidden="1" outlineLevel="1" collapsed="1" x14ac:dyDescent="0.25">
      <c r="A305" s="467">
        <v>8400</v>
      </c>
      <c r="B305" s="468" t="s">
        <v>1099</v>
      </c>
      <c r="C305" s="468" t="s">
        <v>2022</v>
      </c>
      <c r="D305" s="468" t="s">
        <v>677</v>
      </c>
      <c r="F305" s="468" t="s">
        <v>2516</v>
      </c>
      <c r="G305" s="469">
        <f t="shared" si="12"/>
        <v>-6489093.5300000003</v>
      </c>
      <c r="H305" s="469">
        <f t="shared" si="15"/>
        <v>-6958228.2800000003</v>
      </c>
      <c r="I305" s="469">
        <f t="shared" si="14"/>
        <v>-6124283.04</v>
      </c>
      <c r="J305" s="469"/>
      <c r="K305" s="469">
        <v>-441002.82</v>
      </c>
      <c r="L305" s="469">
        <v>-948611.74</v>
      </c>
      <c r="M305" s="469">
        <v>-1628082.97</v>
      </c>
      <c r="N305" s="469">
        <v>-2182583.85</v>
      </c>
      <c r="O305" s="469">
        <v>-2738078.7</v>
      </c>
      <c r="P305" s="469">
        <v>-3185034.73</v>
      </c>
      <c r="Q305" s="469">
        <v>-3613885.72</v>
      </c>
      <c r="R305" s="469">
        <v>-4273599.07</v>
      </c>
      <c r="S305" s="469">
        <v>-4770335.6399999997</v>
      </c>
      <c r="T305" s="469">
        <v>-5285119.96</v>
      </c>
      <c r="U305" s="469">
        <v>-5955737.4900000002</v>
      </c>
      <c r="V305" s="469">
        <v>-6489093.5300000003</v>
      </c>
      <c r="W305" s="469">
        <v>-553822.75</v>
      </c>
      <c r="X305" s="469">
        <v>-1189997.72</v>
      </c>
      <c r="Y305" s="469">
        <v>-1913980.13</v>
      </c>
      <c r="Z305" s="469">
        <v>-2586900.1800000002</v>
      </c>
      <c r="AA305" s="469">
        <v>-3269563.08</v>
      </c>
      <c r="AB305" s="469">
        <v>-3704353.08</v>
      </c>
      <c r="AC305" s="469">
        <v>-4321090.03</v>
      </c>
      <c r="AD305" s="469">
        <v>-4737671.05</v>
      </c>
      <c r="AE305" s="469">
        <v>-5266998.08</v>
      </c>
      <c r="AF305" s="469">
        <v>-5839623.9699999997</v>
      </c>
      <c r="AG305" s="469">
        <v>-6429317.6900000004</v>
      </c>
      <c r="AH305" s="469">
        <v>-6958228.2800000003</v>
      </c>
      <c r="AI305" s="469">
        <v>-552681.97</v>
      </c>
      <c r="AJ305" s="469">
        <v>-1171822.1100000001</v>
      </c>
      <c r="AK305" s="469">
        <v>-1766528.43</v>
      </c>
      <c r="AL305" s="469">
        <v>-2390368.84</v>
      </c>
      <c r="AM305" s="469">
        <v>-2921267.37</v>
      </c>
      <c r="AN305" s="469">
        <v>-3448411.84</v>
      </c>
      <c r="AO305" s="469">
        <v>-3878482.84</v>
      </c>
      <c r="AP305" s="469">
        <v>-4344968.3</v>
      </c>
      <c r="AQ305" s="469">
        <v>-4848832.2300000004</v>
      </c>
      <c r="AR305" s="469">
        <f>IFERROR(INDEX('SuSa Okt25'!$N:$N,MATCH($A305,'SuSa Okt25'!A:A,0)),"")</f>
        <v>-5249739.09</v>
      </c>
      <c r="AS305" s="469">
        <f>IFERROR(INDEX('SuSa Nov25'!$N:$N,MATCH($A305,'SuSa Nov25'!$A:$A,0)),"")</f>
        <v>-5670193.2999999998</v>
      </c>
      <c r="AT305" s="469">
        <f>IFERROR(INDEX('SuSa Dez25'!$N:$N,MATCH($A305,'SuSa Dez25'!$A:$A,0)),"")</f>
        <v>-6124283.04</v>
      </c>
    </row>
    <row r="306" spans="1:46" s="468" customFormat="1" hidden="1" outlineLevel="1" collapsed="1" x14ac:dyDescent="0.25">
      <c r="A306" s="467">
        <v>8401</v>
      </c>
      <c r="B306" s="468" t="s">
        <v>1101</v>
      </c>
      <c r="C306" s="468" t="s">
        <v>2023</v>
      </c>
      <c r="D306" s="468" t="s">
        <v>677</v>
      </c>
      <c r="F306" s="468" t="s">
        <v>2517</v>
      </c>
      <c r="G306" s="469">
        <f t="shared" si="12"/>
        <v>-5988361.0199999996</v>
      </c>
      <c r="H306" s="469">
        <f t="shared" si="15"/>
        <v>-5070747.21</v>
      </c>
      <c r="I306" s="469">
        <f t="shared" si="14"/>
        <v>-4016101.71</v>
      </c>
      <c r="J306" s="469"/>
      <c r="K306" s="469">
        <v>-468819.57</v>
      </c>
      <c r="L306" s="469">
        <v>-977733.21</v>
      </c>
      <c r="M306" s="469">
        <v>-1531472.23</v>
      </c>
      <c r="N306" s="469">
        <v>-2109335.61</v>
      </c>
      <c r="O306" s="469">
        <v>-2609205.4700000002</v>
      </c>
      <c r="P306" s="469">
        <v>-3167353.35</v>
      </c>
      <c r="Q306" s="469">
        <v>-3628887.91</v>
      </c>
      <c r="R306" s="469">
        <v>-4137508.69</v>
      </c>
      <c r="S306" s="469">
        <v>-4677688.91</v>
      </c>
      <c r="T306" s="469">
        <v>-5101349.79</v>
      </c>
      <c r="U306" s="469">
        <v>-5556858.75</v>
      </c>
      <c r="V306" s="469">
        <v>-5988361.0199999996</v>
      </c>
      <c r="W306" s="469">
        <v>-500401.64</v>
      </c>
      <c r="X306" s="469">
        <v>-934090.36</v>
      </c>
      <c r="Y306" s="469">
        <v>-1453419.29</v>
      </c>
      <c r="Z306" s="469">
        <v>-1937889.78</v>
      </c>
      <c r="AA306" s="469">
        <v>-2384366.64</v>
      </c>
      <c r="AB306" s="469">
        <v>-2823795.64</v>
      </c>
      <c r="AC306" s="469">
        <v>-3237152.99</v>
      </c>
      <c r="AD306" s="469">
        <v>-3784522.09</v>
      </c>
      <c r="AE306" s="469">
        <v>-4075411.33</v>
      </c>
      <c r="AF306" s="469">
        <v>-4498076.0999999996</v>
      </c>
      <c r="AG306" s="469">
        <v>-4810463.6900000004</v>
      </c>
      <c r="AH306" s="469">
        <v>-5070747.21</v>
      </c>
      <c r="AI306" s="469">
        <v>-362229.69</v>
      </c>
      <c r="AJ306" s="469">
        <v>-654308.76</v>
      </c>
      <c r="AK306" s="469">
        <v>-952458.46</v>
      </c>
      <c r="AL306" s="469">
        <v>-1316152.97</v>
      </c>
      <c r="AM306" s="469">
        <v>-1638988.92</v>
      </c>
      <c r="AN306" s="469">
        <v>-1936204.88</v>
      </c>
      <c r="AO306" s="469">
        <v>-2364988.25</v>
      </c>
      <c r="AP306" s="469">
        <v>-2667826.87</v>
      </c>
      <c r="AQ306" s="469">
        <v>-3033922.29</v>
      </c>
      <c r="AR306" s="469">
        <f>IFERROR(INDEX('SuSa Okt25'!$N:$N,MATCH($A306,'SuSa Okt25'!A:A,0)),"")</f>
        <v>-3330893.33</v>
      </c>
      <c r="AS306" s="469">
        <f>IFERROR(INDEX('SuSa Nov25'!$N:$N,MATCH($A306,'SuSa Nov25'!$A:$A,0)),"")</f>
        <v>-3672293.03</v>
      </c>
      <c r="AT306" s="469">
        <f>IFERROR(INDEX('SuSa Dez25'!$N:$N,MATCH($A306,'SuSa Dez25'!$A:$A,0)),"")</f>
        <v>-4016101.71</v>
      </c>
    </row>
    <row r="307" spans="1:46" s="468" customFormat="1" hidden="1" outlineLevel="1" collapsed="1" x14ac:dyDescent="0.25">
      <c r="A307" s="467">
        <v>8402</v>
      </c>
      <c r="B307" s="468" t="s">
        <v>1102</v>
      </c>
      <c r="C307" s="468" t="s">
        <v>1103</v>
      </c>
      <c r="D307" s="468" t="s">
        <v>677</v>
      </c>
      <c r="F307" s="468" t="s">
        <v>2518</v>
      </c>
      <c r="G307" s="469">
        <f t="shared" si="12"/>
        <v>-77148.800000000003</v>
      </c>
      <c r="H307" s="469">
        <f t="shared" si="15"/>
        <v>-81261.37</v>
      </c>
      <c r="I307" s="469">
        <f t="shared" si="14"/>
        <v>-96273.19</v>
      </c>
      <c r="J307" s="469"/>
      <c r="K307" s="469">
        <v>-2606.87</v>
      </c>
      <c r="L307" s="469">
        <v>-8533.18</v>
      </c>
      <c r="M307" s="469">
        <v>-11187.61</v>
      </c>
      <c r="N307" s="469">
        <v>-20970.12</v>
      </c>
      <c r="O307" s="469">
        <v>-24730.62</v>
      </c>
      <c r="P307" s="469">
        <v>-34386.870000000003</v>
      </c>
      <c r="Q307" s="469">
        <v>-42551.19</v>
      </c>
      <c r="R307" s="469">
        <v>-48876.02</v>
      </c>
      <c r="S307" s="469">
        <v>-56025.04</v>
      </c>
      <c r="T307" s="469">
        <v>-65585.8</v>
      </c>
      <c r="U307" s="469">
        <v>-69784.97</v>
      </c>
      <c r="V307" s="469">
        <v>-77148.800000000003</v>
      </c>
      <c r="W307" s="469">
        <v>-9701.17</v>
      </c>
      <c r="X307" s="469">
        <v>-14928.03</v>
      </c>
      <c r="Y307" s="469">
        <v>-24485.72</v>
      </c>
      <c r="Z307" s="469">
        <v>-31126.17</v>
      </c>
      <c r="AA307" s="469">
        <v>-34297.050000000003</v>
      </c>
      <c r="AB307" s="469">
        <v>-48802.66</v>
      </c>
      <c r="AC307" s="469">
        <v>-52828.33</v>
      </c>
      <c r="AD307" s="469">
        <v>-57368.59</v>
      </c>
      <c r="AE307" s="469">
        <v>-64557.8</v>
      </c>
      <c r="AF307" s="469">
        <v>-73762.03</v>
      </c>
      <c r="AG307" s="469">
        <v>-76072.7</v>
      </c>
      <c r="AH307" s="469">
        <v>-81261.37</v>
      </c>
      <c r="AI307" s="469">
        <v>-8101.01</v>
      </c>
      <c r="AJ307" s="469">
        <v>-16064.07</v>
      </c>
      <c r="AK307" s="469">
        <v>-28128.63</v>
      </c>
      <c r="AL307" s="469">
        <v>-29011.5</v>
      </c>
      <c r="AM307" s="469">
        <v>-37411.5</v>
      </c>
      <c r="AN307" s="469">
        <v>-43607.17</v>
      </c>
      <c r="AO307" s="469">
        <v>-57337.09</v>
      </c>
      <c r="AP307" s="469">
        <v>-65204.25</v>
      </c>
      <c r="AQ307" s="469">
        <v>-73319.509999999995</v>
      </c>
      <c r="AR307" s="469">
        <f>IFERROR(INDEX('SuSa Okt25'!$N:$N,MATCH($A307,'SuSa Okt25'!A:A,0)),"")</f>
        <v>-80636.63</v>
      </c>
      <c r="AS307" s="469">
        <f>IFERROR(INDEX('SuSa Nov25'!$N:$N,MATCH($A307,'SuSa Nov25'!$A:$A,0)),"")</f>
        <v>-85534.69</v>
      </c>
      <c r="AT307" s="469">
        <f>IFERROR(INDEX('SuSa Dez25'!$N:$N,MATCH($A307,'SuSa Dez25'!$A:$A,0)),"")</f>
        <v>-96273.19</v>
      </c>
    </row>
    <row r="308" spans="1:46" s="468" customFormat="1" hidden="1" outlineLevel="1" collapsed="1" x14ac:dyDescent="0.25">
      <c r="A308" s="467">
        <v>8403</v>
      </c>
      <c r="B308" s="468" t="s">
        <v>1104</v>
      </c>
      <c r="C308" s="468" t="s">
        <v>1105</v>
      </c>
      <c r="D308" s="468" t="s">
        <v>677</v>
      </c>
      <c r="F308" s="468" t="s">
        <v>2519</v>
      </c>
      <c r="G308" s="469">
        <f t="shared" si="12"/>
        <v>-64515.5</v>
      </c>
      <c r="H308" s="469">
        <f t="shared" si="15"/>
        <v>-88513.8</v>
      </c>
      <c r="I308" s="469">
        <f t="shared" si="14"/>
        <v>-63396.800000000003</v>
      </c>
      <c r="J308" s="469"/>
      <c r="K308" s="469">
        <v>-39386.5</v>
      </c>
      <c r="L308" s="469">
        <v>-41213.5</v>
      </c>
      <c r="M308" s="469">
        <v>-41903.5</v>
      </c>
      <c r="N308" s="469">
        <v>-41903.5</v>
      </c>
      <c r="O308" s="469">
        <v>-41903.5</v>
      </c>
      <c r="P308" s="469">
        <v>-43853.5</v>
      </c>
      <c r="Q308" s="469">
        <v>-45080.5</v>
      </c>
      <c r="R308" s="469">
        <v>-48330.5</v>
      </c>
      <c r="S308" s="469">
        <v>-50080.5</v>
      </c>
      <c r="T308" s="469">
        <v>-50080.5</v>
      </c>
      <c r="U308" s="469">
        <v>-56100.5</v>
      </c>
      <c r="V308" s="469">
        <v>-64515.5</v>
      </c>
      <c r="W308" s="469">
        <v>-47490.8</v>
      </c>
      <c r="X308" s="469">
        <v>-53310.8</v>
      </c>
      <c r="Y308" s="469">
        <v>-57391.8</v>
      </c>
      <c r="Z308" s="469">
        <v>-57929.8</v>
      </c>
      <c r="AA308" s="469">
        <v>-59885.8</v>
      </c>
      <c r="AB308" s="469">
        <v>-59885.8</v>
      </c>
      <c r="AC308" s="469">
        <v>-62435.8</v>
      </c>
      <c r="AD308" s="469">
        <v>-69863.8</v>
      </c>
      <c r="AE308" s="469">
        <v>-77313.8</v>
      </c>
      <c r="AF308" s="469">
        <v>-78613.8</v>
      </c>
      <c r="AG308" s="469">
        <v>-83363.8</v>
      </c>
      <c r="AH308" s="469">
        <v>-88513.8</v>
      </c>
      <c r="AI308" s="469">
        <v>-24143</v>
      </c>
      <c r="AJ308" s="469">
        <v>-26901.8</v>
      </c>
      <c r="AK308" s="469">
        <v>-26901.8</v>
      </c>
      <c r="AL308" s="469">
        <v>-27210.799999999999</v>
      </c>
      <c r="AM308" s="469">
        <v>-34760.800000000003</v>
      </c>
      <c r="AN308" s="469">
        <v>-38010.800000000003</v>
      </c>
      <c r="AO308" s="469">
        <v>-46810.8</v>
      </c>
      <c r="AP308" s="469">
        <v>-51710.8</v>
      </c>
      <c r="AQ308" s="469">
        <v>-56660.800000000003</v>
      </c>
      <c r="AR308" s="469">
        <f>IFERROR(INDEX('SuSa Okt25'!$N:$N,MATCH($A308,'SuSa Okt25'!A:A,0)),"")</f>
        <v>-56660.800000000003</v>
      </c>
      <c r="AS308" s="469">
        <f>IFERROR(INDEX('SuSa Nov25'!$N:$N,MATCH($A308,'SuSa Nov25'!$A:$A,0)),"")</f>
        <v>-56660.800000000003</v>
      </c>
      <c r="AT308" s="469">
        <f>IFERROR(INDEX('SuSa Dez25'!$N:$N,MATCH($A308,'SuSa Dez25'!$A:$A,0)),"")</f>
        <v>-63396.800000000003</v>
      </c>
    </row>
    <row r="309" spans="1:46" s="468" customFormat="1" hidden="1" outlineLevel="1" collapsed="1" x14ac:dyDescent="0.25">
      <c r="A309" s="467">
        <v>8404</v>
      </c>
      <c r="B309" s="468" t="s">
        <v>1106</v>
      </c>
      <c r="C309" s="468" t="s">
        <v>1107</v>
      </c>
      <c r="D309" s="468" t="s">
        <v>677</v>
      </c>
      <c r="F309" s="468" t="s">
        <v>2520</v>
      </c>
      <c r="G309" s="469">
        <f t="shared" si="12"/>
        <v>-48320</v>
      </c>
      <c r="H309" s="469">
        <f t="shared" si="15"/>
        <v>-41699</v>
      </c>
      <c r="I309" s="469">
        <f t="shared" si="14"/>
        <v>-28843.3</v>
      </c>
      <c r="J309" s="469"/>
      <c r="K309" s="469">
        <v>0</v>
      </c>
      <c r="L309" s="469">
        <v>-39790</v>
      </c>
      <c r="M309" s="469">
        <v>-48270</v>
      </c>
      <c r="N309" s="469">
        <v>-54110</v>
      </c>
      <c r="O309" s="469">
        <v>-35850</v>
      </c>
      <c r="P309" s="469">
        <v>-36090</v>
      </c>
      <c r="Q309" s="469">
        <v>-38130</v>
      </c>
      <c r="R309" s="469">
        <v>-38370</v>
      </c>
      <c r="S309" s="469">
        <v>-38610</v>
      </c>
      <c r="T309" s="469">
        <v>-44600</v>
      </c>
      <c r="U309" s="469">
        <v>-46460</v>
      </c>
      <c r="V309" s="469">
        <v>-48320</v>
      </c>
      <c r="W309" s="469">
        <v>-21790</v>
      </c>
      <c r="X309" s="469">
        <v>-22776</v>
      </c>
      <c r="Y309" s="469">
        <v>-23636</v>
      </c>
      <c r="Z309" s="469">
        <v>-26496</v>
      </c>
      <c r="AA309" s="469">
        <v>-27179</v>
      </c>
      <c r="AB309" s="469">
        <v>-27539</v>
      </c>
      <c r="AC309" s="469">
        <v>-27899</v>
      </c>
      <c r="AD309" s="469">
        <v>-28259</v>
      </c>
      <c r="AE309" s="469">
        <v>-30619</v>
      </c>
      <c r="AF309" s="469">
        <v>-33979</v>
      </c>
      <c r="AG309" s="469">
        <v>-39339</v>
      </c>
      <c r="AH309" s="469">
        <v>-41699</v>
      </c>
      <c r="AI309" s="469">
        <v>-8130</v>
      </c>
      <c r="AJ309" s="469">
        <v>-9460</v>
      </c>
      <c r="AK309" s="469">
        <v>-9790</v>
      </c>
      <c r="AL309" s="469">
        <v>-13620</v>
      </c>
      <c r="AM309" s="469">
        <v>-13950</v>
      </c>
      <c r="AN309" s="469">
        <v>-14780</v>
      </c>
      <c r="AO309" s="469">
        <v>-15110</v>
      </c>
      <c r="AP309" s="469">
        <v>-16940</v>
      </c>
      <c r="AQ309" s="469">
        <v>-19770</v>
      </c>
      <c r="AR309" s="469">
        <f>IFERROR(INDEX('SuSa Okt25'!$N:$N,MATCH($A309,'SuSa Okt25'!A:A,0)),"")</f>
        <v>-24683.3</v>
      </c>
      <c r="AS309" s="469">
        <f>IFERROR(INDEX('SuSa Nov25'!$N:$N,MATCH($A309,'SuSa Nov25'!$A:$A,0)),"")</f>
        <v>-28513.3</v>
      </c>
      <c r="AT309" s="469">
        <f>IFERROR(INDEX('SuSa Dez25'!$N:$N,MATCH($A309,'SuSa Dez25'!$A:$A,0)),"")</f>
        <v>-28843.3</v>
      </c>
    </row>
    <row r="310" spans="1:46" hidden="1" outlineLevel="1" collapsed="1" x14ac:dyDescent="0.25">
      <c r="A310" s="452">
        <v>8520</v>
      </c>
      <c r="B310" t="s">
        <v>1108</v>
      </c>
      <c r="C310" t="s">
        <v>1109</v>
      </c>
      <c r="D310" t="s">
        <v>690</v>
      </c>
      <c r="F310" t="s">
        <v>2523</v>
      </c>
      <c r="G310" s="453">
        <f t="shared" si="12"/>
        <v>-1395.4</v>
      </c>
      <c r="H310" s="453">
        <f t="shared" si="15"/>
        <v>-3457.4</v>
      </c>
      <c r="I310" s="453">
        <f t="shared" si="14"/>
        <v>-3079.6</v>
      </c>
      <c r="K310" s="453">
        <v>-38</v>
      </c>
      <c r="L310" s="453">
        <v>-106.6</v>
      </c>
      <c r="M310" s="453">
        <v>-224.9</v>
      </c>
      <c r="N310" s="453">
        <v>-224.9</v>
      </c>
      <c r="O310" s="453">
        <v>-330.65</v>
      </c>
      <c r="P310" s="453">
        <v>-571.6</v>
      </c>
      <c r="Q310" s="453">
        <v>-662.95</v>
      </c>
      <c r="R310" s="453">
        <v>-777.7</v>
      </c>
      <c r="S310" s="453">
        <v>-916.75</v>
      </c>
      <c r="T310" s="453">
        <v>-916.75</v>
      </c>
      <c r="U310" s="453">
        <v>-1275.4000000000001</v>
      </c>
      <c r="V310" s="453">
        <v>-1395.4</v>
      </c>
      <c r="W310" s="453">
        <v>-173.4</v>
      </c>
      <c r="X310" s="453">
        <v>-340.8</v>
      </c>
      <c r="Y310" s="453">
        <v>-555.6</v>
      </c>
      <c r="Z310" s="453">
        <v>-739</v>
      </c>
      <c r="AA310" s="453">
        <v>-1130.5</v>
      </c>
      <c r="AB310" s="453">
        <v>-1331.6</v>
      </c>
      <c r="AC310" s="453">
        <v>-1892.6</v>
      </c>
      <c r="AD310" s="453">
        <v>-2208.3000000000002</v>
      </c>
      <c r="AE310" s="453">
        <v>-2589.3000000000002</v>
      </c>
      <c r="AF310" s="453">
        <v>-2960.1</v>
      </c>
      <c r="AG310" s="453">
        <v>-3306.6</v>
      </c>
      <c r="AH310" s="453">
        <v>-3457.4</v>
      </c>
      <c r="AI310" s="453">
        <v>-241.4</v>
      </c>
      <c r="AJ310" s="453">
        <v>-613.1</v>
      </c>
      <c r="AK310" s="453">
        <v>-837.1</v>
      </c>
      <c r="AL310" s="453">
        <v>-1332.1</v>
      </c>
      <c r="AM310" s="453">
        <v>-1728.1</v>
      </c>
      <c r="AN310" s="453">
        <v>-1988.8</v>
      </c>
      <c r="AO310" s="453">
        <v>-2196.6999999999998</v>
      </c>
      <c r="AP310" s="453">
        <v>-2422.3000000000002</v>
      </c>
      <c r="AQ310" s="453">
        <v>-2627.1</v>
      </c>
      <c r="AR310" s="453">
        <f>IFERROR(INDEX('SuSa Okt25'!$N:$N,MATCH($A310,'SuSa Okt25'!A:A,0)),"")</f>
        <v>-2896.5</v>
      </c>
      <c r="AS310" s="453">
        <f>IFERROR(INDEX('SuSa Nov25'!$N:$N,MATCH($A310,'SuSa Nov25'!$A:$A,0)),"")</f>
        <v>-3094.6</v>
      </c>
      <c r="AT310" s="453">
        <f>IFERROR(INDEX('SuSa Dez25'!$N:$N,MATCH($A310,'SuSa Dez25'!$A:$A,0)),"")</f>
        <v>-3079.6</v>
      </c>
    </row>
    <row r="311" spans="1:46" hidden="1" outlineLevel="1" collapsed="1" x14ac:dyDescent="0.25">
      <c r="A311" s="452">
        <v>8610</v>
      </c>
      <c r="B311" s="577" t="s">
        <v>1259</v>
      </c>
      <c r="C311" t="s">
        <v>1260</v>
      </c>
      <c r="D311" t="s">
        <v>690</v>
      </c>
      <c r="G311" s="453">
        <f t="shared" si="12"/>
        <v>9719.99</v>
      </c>
      <c r="H311" s="453">
        <f t="shared" si="15"/>
        <v>21702.85</v>
      </c>
      <c r="I311" s="453">
        <f t="shared" si="14"/>
        <v>19733.96</v>
      </c>
      <c r="K311" s="453">
        <v>689.08</v>
      </c>
      <c r="L311" s="453">
        <v>1378.16</v>
      </c>
      <c r="M311" s="453">
        <v>1986.92</v>
      </c>
      <c r="N311" s="453">
        <v>2773.19</v>
      </c>
      <c r="O311" s="453">
        <v>3559.46</v>
      </c>
      <c r="P311" s="453">
        <v>4345.7299999999996</v>
      </c>
      <c r="Q311" s="453">
        <v>5132</v>
      </c>
      <c r="R311" s="453">
        <v>5918.27</v>
      </c>
      <c r="S311" s="453">
        <v>6704.54</v>
      </c>
      <c r="T311" s="453">
        <v>7490.81</v>
      </c>
      <c r="U311" s="453">
        <v>8605.4</v>
      </c>
      <c r="V311" s="453">
        <v>9719.99</v>
      </c>
      <c r="W311" s="453">
        <v>1758.08</v>
      </c>
      <c r="X311" s="453">
        <v>3516.16</v>
      </c>
      <c r="Y311" s="453">
        <v>5784.78</v>
      </c>
      <c r="Z311" s="453">
        <v>8053.4</v>
      </c>
      <c r="AA311" s="453">
        <v>10135.209999999999</v>
      </c>
      <c r="AB311" s="453">
        <v>11895.02</v>
      </c>
      <c r="AC311" s="453">
        <v>13490.83</v>
      </c>
      <c r="AD311" s="453">
        <v>15168.64</v>
      </c>
      <c r="AE311" s="453">
        <v>16846.45</v>
      </c>
      <c r="AF311" s="453">
        <v>18524.259999999998</v>
      </c>
      <c r="AG311" s="453">
        <v>20084.05</v>
      </c>
      <c r="AH311" s="453">
        <v>21702.85</v>
      </c>
      <c r="AI311" s="453">
        <v>1618.8</v>
      </c>
      <c r="AJ311" s="453">
        <v>3237.6</v>
      </c>
      <c r="AK311" s="453">
        <v>4856.3999999999996</v>
      </c>
      <c r="AL311" s="453">
        <v>6395.09</v>
      </c>
      <c r="AM311" s="453">
        <v>7933.78</v>
      </c>
      <c r="AN311" s="453">
        <v>9472.4699999999993</v>
      </c>
      <c r="AO311" s="453">
        <v>11011.16</v>
      </c>
      <c r="AP311" s="453">
        <v>12549.85</v>
      </c>
      <c r="AQ311" s="453">
        <v>14088.54</v>
      </c>
      <c r="AR311" s="453">
        <f>IFERROR(INDEX('SuSa Okt25'!$N:$N,MATCH($A311,'SuSa Okt25'!A:A,0)),"")</f>
        <v>15463.94</v>
      </c>
      <c r="AS311" s="453">
        <f>IFERROR(INDEX('SuSa Nov25'!$N:$N,MATCH($A311,'SuSa Nov25'!$A:$A,0)),"")</f>
        <v>17593.82</v>
      </c>
      <c r="AT311" s="453">
        <f>IFERROR(INDEX('SuSa Dez25'!$N:$N,MATCH($A311,'SuSa Dez25'!$A:$A,0)),"")</f>
        <v>19733.96</v>
      </c>
    </row>
    <row r="312" spans="1:46" hidden="1" outlineLevel="1" collapsed="1" x14ac:dyDescent="0.25">
      <c r="A312" s="452">
        <v>8611</v>
      </c>
      <c r="B312" s="577" t="s">
        <v>1261</v>
      </c>
      <c r="C312" t="s">
        <v>1262</v>
      </c>
      <c r="D312" t="s">
        <v>690</v>
      </c>
      <c r="G312" s="453">
        <f t="shared" si="12"/>
        <v>-76370.06</v>
      </c>
      <c r="H312" s="453">
        <f t="shared" si="15"/>
        <v>-113011.8</v>
      </c>
      <c r="I312" s="453">
        <f t="shared" si="14"/>
        <v>-113605.49</v>
      </c>
      <c r="K312" s="453">
        <v>-4935.3</v>
      </c>
      <c r="L312" s="453">
        <v>-10541.1</v>
      </c>
      <c r="M312" s="453">
        <v>-14868.19</v>
      </c>
      <c r="N312" s="453">
        <v>-20266.71</v>
      </c>
      <c r="O312" s="453">
        <v>-27053.01</v>
      </c>
      <c r="P312" s="453">
        <v>-33839.31</v>
      </c>
      <c r="Q312" s="453">
        <v>-40625.61</v>
      </c>
      <c r="R312" s="453">
        <v>-46910.69</v>
      </c>
      <c r="S312" s="453">
        <v>-53195.77</v>
      </c>
      <c r="T312" s="453">
        <v>-60694.38</v>
      </c>
      <c r="U312" s="453">
        <v>-68532.22</v>
      </c>
      <c r="V312" s="453">
        <v>-76370.06</v>
      </c>
      <c r="W312" s="453">
        <v>-8963.17</v>
      </c>
      <c r="X312" s="453">
        <v>-17687.349999999999</v>
      </c>
      <c r="Y312" s="453">
        <v>-26506.51</v>
      </c>
      <c r="Z312" s="453">
        <v>-35325.67</v>
      </c>
      <c r="AA312" s="453">
        <v>-44218.78</v>
      </c>
      <c r="AB312" s="453">
        <v>-53200.97</v>
      </c>
      <c r="AC312" s="453">
        <v>-63885.51</v>
      </c>
      <c r="AD312" s="453">
        <v>-74242.47</v>
      </c>
      <c r="AE312" s="453">
        <v>-84069.09</v>
      </c>
      <c r="AF312" s="453">
        <v>-93895.71</v>
      </c>
      <c r="AG312" s="453">
        <v>-103524.33</v>
      </c>
      <c r="AH312" s="453">
        <v>-113011.8</v>
      </c>
      <c r="AI312" s="453">
        <v>-8660.58</v>
      </c>
      <c r="AJ312" s="453">
        <v>-17784.18</v>
      </c>
      <c r="AK312" s="453">
        <v>-26452.32</v>
      </c>
      <c r="AL312" s="453">
        <v>-36091.79</v>
      </c>
      <c r="AM312" s="453">
        <v>-45731.26</v>
      </c>
      <c r="AN312" s="453">
        <v>-55370.73</v>
      </c>
      <c r="AO312" s="453">
        <v>-65010.2</v>
      </c>
      <c r="AP312" s="453">
        <v>-74649.67</v>
      </c>
      <c r="AQ312" s="453">
        <v>-84289.14</v>
      </c>
      <c r="AR312" s="453">
        <f>IFERROR(INDEX('SuSa Okt25'!$N:$N,MATCH($A312,'SuSa Okt25'!A:A,0)),"")</f>
        <v>-93993.32</v>
      </c>
      <c r="AS312" s="453">
        <f>IFERROR(INDEX('SuSa Nov25'!$N:$N,MATCH($A312,'SuSa Nov25'!$A:$A,0)),"")</f>
        <v>-103790.79</v>
      </c>
      <c r="AT312" s="453">
        <f>IFERROR(INDEX('SuSa Dez25'!$N:$N,MATCH($A312,'SuSa Dez25'!$A:$A,0)),"")</f>
        <v>-113605.49</v>
      </c>
    </row>
    <row r="313" spans="1:46" hidden="1" outlineLevel="1" collapsed="1" x14ac:dyDescent="0.25">
      <c r="A313" s="452">
        <v>8625</v>
      </c>
      <c r="B313" s="575" t="s">
        <v>1263</v>
      </c>
      <c r="C313" t="s">
        <v>1264</v>
      </c>
      <c r="D313" t="s">
        <v>690</v>
      </c>
      <c r="G313" s="453">
        <f t="shared" si="12"/>
        <v>0</v>
      </c>
      <c r="H313" s="453">
        <f t="shared" si="15"/>
        <v>0</v>
      </c>
      <c r="I313" s="453">
        <f t="shared" si="14"/>
        <v>0</v>
      </c>
      <c r="K313" s="453">
        <v>0</v>
      </c>
      <c r="L313" s="453">
        <v>0</v>
      </c>
      <c r="M313" s="453">
        <v>0</v>
      </c>
      <c r="N313" s="453">
        <v>0</v>
      </c>
      <c r="O313" s="453">
        <v>0</v>
      </c>
      <c r="P313" s="453">
        <v>0</v>
      </c>
      <c r="Q313" s="453">
        <v>0</v>
      </c>
      <c r="R313" s="453">
        <v>0</v>
      </c>
      <c r="S313" s="453">
        <v>0</v>
      </c>
      <c r="T313" s="453">
        <v>0</v>
      </c>
      <c r="U313" s="453">
        <v>-100</v>
      </c>
      <c r="V313" s="453">
        <v>0</v>
      </c>
      <c r="W313" s="453">
        <v>-1675.1</v>
      </c>
      <c r="X313" s="453">
        <v>-1675.1</v>
      </c>
      <c r="Y313" s="453">
        <v>-1675.1</v>
      </c>
      <c r="Z313" s="453">
        <v>-1675.1</v>
      </c>
      <c r="AA313" s="453">
        <v>-1675.1</v>
      </c>
      <c r="AB313" s="453">
        <v>-1675.1</v>
      </c>
      <c r="AC313" s="453">
        <v>-1675.1</v>
      </c>
      <c r="AD313" s="453">
        <v>-1675.1</v>
      </c>
      <c r="AE313" s="453">
        <v>-1675.1</v>
      </c>
      <c r="AF313" s="453">
        <v>-1675.1</v>
      </c>
      <c r="AG313" s="453">
        <v>-1675.1</v>
      </c>
      <c r="AH313" s="453">
        <v>0</v>
      </c>
      <c r="AI313" s="453">
        <v>0</v>
      </c>
      <c r="AJ313" s="453">
        <v>0</v>
      </c>
      <c r="AK313" s="453">
        <v>0</v>
      </c>
      <c r="AL313" s="453">
        <v>0</v>
      </c>
      <c r="AM313" s="453">
        <v>0</v>
      </c>
      <c r="AN313" s="453">
        <v>0</v>
      </c>
      <c r="AO313" s="453">
        <v>0</v>
      </c>
      <c r="AP313" s="453">
        <v>0</v>
      </c>
      <c r="AQ313" s="453">
        <v>0</v>
      </c>
      <c r="AR313" s="453">
        <f>IFERROR(INDEX('SuSa Okt25'!$N:$N,MATCH($A313,'SuSa Okt25'!A:A,0)),"")</f>
        <v>0</v>
      </c>
      <c r="AS313" s="453">
        <f>IFERROR(INDEX('SuSa Nov25'!$N:$N,MATCH($A313,'SuSa Nov25'!$A:$A,0)),"")</f>
        <v>0</v>
      </c>
      <c r="AT313" s="453">
        <f>IFERROR(INDEX('SuSa Dez25'!$N:$N,MATCH($A313,'SuSa Dez25'!$A:$A,0)),"")</f>
        <v>0</v>
      </c>
    </row>
    <row r="314" spans="1:46" hidden="1" outlineLevel="1" collapsed="1" x14ac:dyDescent="0.25">
      <c r="A314" s="452">
        <v>8640</v>
      </c>
      <c r="B314" s="575" t="s">
        <v>1265</v>
      </c>
      <c r="C314" t="s">
        <v>2024</v>
      </c>
      <c r="D314" t="s">
        <v>690</v>
      </c>
      <c r="G314" s="453">
        <f t="shared" si="12"/>
        <v>-4010.74</v>
      </c>
      <c r="H314" s="453">
        <f t="shared" si="15"/>
        <v>-2377.3200000000002</v>
      </c>
      <c r="I314" s="453">
        <f t="shared" si="14"/>
        <v>-26816.55</v>
      </c>
      <c r="K314" s="453">
        <v>-1708.21</v>
      </c>
      <c r="L314" s="453">
        <v>-1738.21</v>
      </c>
      <c r="M314" s="453">
        <v>-1738.21</v>
      </c>
      <c r="N314" s="453">
        <v>-6933.26</v>
      </c>
      <c r="O314" s="453">
        <v>-6933.26</v>
      </c>
      <c r="P314" s="453">
        <v>-7133.26</v>
      </c>
      <c r="Q314" s="453">
        <v>-7263.37</v>
      </c>
      <c r="R314" s="453">
        <v>-24684.37</v>
      </c>
      <c r="S314" s="453">
        <v>-25188.11</v>
      </c>
      <c r="T314" s="453">
        <v>-25188.11</v>
      </c>
      <c r="U314" s="453">
        <v>-26521.75</v>
      </c>
      <c r="V314" s="453">
        <v>-4010.74</v>
      </c>
      <c r="W314" s="453">
        <v>-2260.83</v>
      </c>
      <c r="X314" s="453">
        <v>-2260.83</v>
      </c>
      <c r="Y314" s="453">
        <v>-2377.3200000000002</v>
      </c>
      <c r="Z314" s="453">
        <v>-2377.3200000000002</v>
      </c>
      <c r="AA314" s="453">
        <v>-2377.3200000000002</v>
      </c>
      <c r="AB314" s="453">
        <v>-2377.3200000000002</v>
      </c>
      <c r="AC314" s="453">
        <v>-2377.3200000000002</v>
      </c>
      <c r="AD314" s="453">
        <v>-2377.3200000000002</v>
      </c>
      <c r="AE314" s="453">
        <v>-2377.3200000000002</v>
      </c>
      <c r="AF314" s="453">
        <v>-2377.3200000000002</v>
      </c>
      <c r="AG314" s="453">
        <v>-2377.3200000000002</v>
      </c>
      <c r="AH314" s="453">
        <v>-2377.3200000000002</v>
      </c>
      <c r="AI314" s="453">
        <v>-3261.03</v>
      </c>
      <c r="AJ314" s="453">
        <v>-3261.03</v>
      </c>
      <c r="AK314" s="453">
        <v>-3449.27</v>
      </c>
      <c r="AL314" s="453">
        <v>-3449.27</v>
      </c>
      <c r="AM314" s="453">
        <v>-3449.27</v>
      </c>
      <c r="AN314" s="453">
        <v>-3449.27</v>
      </c>
      <c r="AO314" s="453">
        <v>-3449.27</v>
      </c>
      <c r="AP314" s="453">
        <v>-3449.27</v>
      </c>
      <c r="AQ314" s="453">
        <v>-3749.27</v>
      </c>
      <c r="AR314" s="453">
        <f>IFERROR(INDEX('SuSa Okt25'!$N:$N,MATCH($A314,'SuSa Okt25'!A:A,0)),"")</f>
        <v>-3749.27</v>
      </c>
      <c r="AS314" s="453">
        <f>IFERROR(INDEX('SuSa Nov25'!$N:$N,MATCH($A314,'SuSa Nov25'!$A:$A,0)),"")</f>
        <v>-3749.27</v>
      </c>
      <c r="AT314" s="453">
        <f>IFERROR(INDEX('SuSa Dez25'!$N:$N,MATCH($A314,'SuSa Dez25'!$A:$A,0)),"")</f>
        <v>-26816.55</v>
      </c>
    </row>
    <row r="315" spans="1:46" hidden="1" outlineLevel="1" collapsed="1" x14ac:dyDescent="0.25">
      <c r="A315" s="452">
        <v>8730</v>
      </c>
      <c r="B315" t="s">
        <v>1110</v>
      </c>
      <c r="C315" t="s">
        <v>1111</v>
      </c>
      <c r="D315" t="s">
        <v>677</v>
      </c>
      <c r="F315" t="s">
        <v>2521</v>
      </c>
      <c r="G315" s="453">
        <f t="shared" si="12"/>
        <v>632.17999999999995</v>
      </c>
      <c r="H315" s="453">
        <f t="shared" si="15"/>
        <v>655.09</v>
      </c>
      <c r="I315" s="453">
        <f t="shared" si="14"/>
        <v>104.17</v>
      </c>
      <c r="K315" s="453">
        <v>0</v>
      </c>
      <c r="L315" s="453">
        <v>0</v>
      </c>
      <c r="M315" s="453">
        <v>43.3</v>
      </c>
      <c r="N315" s="453">
        <v>43.3</v>
      </c>
      <c r="O315" s="453">
        <v>43.3</v>
      </c>
      <c r="P315" s="453">
        <v>236.7</v>
      </c>
      <c r="Q315" s="453">
        <v>236.7</v>
      </c>
      <c r="R315" s="453">
        <v>243.1</v>
      </c>
      <c r="S315" s="453">
        <v>334.68</v>
      </c>
      <c r="T315" s="453">
        <v>632.17999999999995</v>
      </c>
      <c r="U315" s="453">
        <v>632.17999999999995</v>
      </c>
      <c r="V315" s="453">
        <v>632.17999999999995</v>
      </c>
      <c r="W315" s="453">
        <v>0</v>
      </c>
      <c r="X315" s="453">
        <v>280</v>
      </c>
      <c r="Y315" s="453">
        <v>286.55</v>
      </c>
      <c r="Z315" s="453">
        <v>286.55</v>
      </c>
      <c r="AA315" s="453">
        <v>286.55</v>
      </c>
      <c r="AB315" s="453">
        <v>286.55</v>
      </c>
      <c r="AC315" s="453">
        <v>371.75</v>
      </c>
      <c r="AD315" s="453">
        <v>378.29</v>
      </c>
      <c r="AE315" s="453">
        <v>557.74</v>
      </c>
      <c r="AF315" s="453">
        <v>642.94000000000005</v>
      </c>
      <c r="AG315" s="453">
        <v>642.94000000000005</v>
      </c>
      <c r="AH315" s="453">
        <v>655.09</v>
      </c>
      <c r="AI315" s="453">
        <v>0</v>
      </c>
      <c r="AJ315" s="453">
        <v>6.63</v>
      </c>
      <c r="AK315" s="453">
        <v>6.63</v>
      </c>
      <c r="AL315" s="453">
        <v>6.63</v>
      </c>
      <c r="AM315" s="453">
        <v>6.67</v>
      </c>
      <c r="AN315" s="453">
        <v>16.170000000000002</v>
      </c>
      <c r="AO315" s="453">
        <v>57.67</v>
      </c>
      <c r="AP315" s="453">
        <v>57.67</v>
      </c>
      <c r="AQ315" s="453">
        <v>57.67</v>
      </c>
      <c r="AR315" s="453">
        <f>IFERROR(INDEX('SuSa Okt25'!$N:$N,MATCH($A315,'SuSa Okt25'!A:A,0)),"")</f>
        <v>96.67</v>
      </c>
      <c r="AS315" s="453">
        <f>IFERROR(INDEX('SuSa Nov25'!$N:$N,MATCH($A315,'SuSa Nov25'!$A:$A,0)),"")</f>
        <v>104.17</v>
      </c>
      <c r="AT315" s="453">
        <f>IFERROR(INDEX('SuSa Dez25'!$N:$N,MATCH($A315,'SuSa Dez25'!$A:$A,0)),"")</f>
        <v>104.17</v>
      </c>
    </row>
    <row r="316" spans="1:46" hidden="1" outlineLevel="1" collapsed="1" x14ac:dyDescent="0.25">
      <c r="A316" s="452">
        <v>8736</v>
      </c>
      <c r="B316" t="s">
        <v>1113</v>
      </c>
      <c r="C316" t="s">
        <v>1114</v>
      </c>
      <c r="D316" t="s">
        <v>677</v>
      </c>
      <c r="F316" t="s">
        <v>2521</v>
      </c>
      <c r="G316" s="453">
        <f t="shared" si="12"/>
        <v>177100.63</v>
      </c>
      <c r="H316" s="453">
        <f t="shared" si="15"/>
        <v>159415.34</v>
      </c>
      <c r="I316" s="453">
        <f t="shared" si="14"/>
        <v>156650.35999999999</v>
      </c>
      <c r="K316" s="453">
        <v>14953.35</v>
      </c>
      <c r="L316" s="453">
        <v>29258.98</v>
      </c>
      <c r="M316" s="453">
        <v>43788.13</v>
      </c>
      <c r="N316" s="453">
        <v>59704.3</v>
      </c>
      <c r="O316" s="453">
        <v>73704.3</v>
      </c>
      <c r="P316" s="453">
        <v>88087.94</v>
      </c>
      <c r="Q316" s="453">
        <v>104953.61</v>
      </c>
      <c r="R316" s="453">
        <v>119368.66</v>
      </c>
      <c r="S316" s="453">
        <v>134512.07999999999</v>
      </c>
      <c r="T316" s="453">
        <v>149536.87</v>
      </c>
      <c r="U316" s="453">
        <v>163867.20000000001</v>
      </c>
      <c r="V316" s="453">
        <v>177100.63</v>
      </c>
      <c r="W316" s="453">
        <v>9824.91</v>
      </c>
      <c r="X316" s="453">
        <v>24458.51</v>
      </c>
      <c r="Y316" s="453">
        <v>38682.81</v>
      </c>
      <c r="Z316" s="453">
        <v>52191.8</v>
      </c>
      <c r="AA316" s="453">
        <v>68770.17</v>
      </c>
      <c r="AB316" s="453">
        <v>82222.44</v>
      </c>
      <c r="AC316" s="453">
        <v>98288.37</v>
      </c>
      <c r="AD316" s="453">
        <v>109910.77</v>
      </c>
      <c r="AE316" s="453">
        <v>122450.97</v>
      </c>
      <c r="AF316" s="453">
        <v>135976.53</v>
      </c>
      <c r="AG316" s="453">
        <v>148533.47</v>
      </c>
      <c r="AH316" s="453">
        <v>159415.34</v>
      </c>
      <c r="AI316" s="453">
        <v>11095.82</v>
      </c>
      <c r="AJ316" s="453">
        <v>21747.05</v>
      </c>
      <c r="AK316" s="453">
        <v>35078.42</v>
      </c>
      <c r="AL316" s="453">
        <v>49055.18</v>
      </c>
      <c r="AM316" s="453">
        <v>62207.28</v>
      </c>
      <c r="AN316" s="453">
        <v>75736.11</v>
      </c>
      <c r="AO316" s="453">
        <v>89353.63</v>
      </c>
      <c r="AP316" s="453">
        <v>100947.56</v>
      </c>
      <c r="AQ316" s="453">
        <v>117845.91</v>
      </c>
      <c r="AR316" s="453">
        <f>IFERROR(INDEX('SuSa Okt25'!$N:$N,MATCH($A316,'SuSa Okt25'!A:A,0)),"")</f>
        <v>130939.75</v>
      </c>
      <c r="AS316" s="453">
        <f>IFERROR(INDEX('SuSa Nov25'!$N:$N,MATCH($A316,'SuSa Nov25'!$A:$A,0)),"")</f>
        <v>143000.93</v>
      </c>
      <c r="AT316" s="453">
        <f>IFERROR(INDEX('SuSa Dez25'!$N:$N,MATCH($A316,'SuSa Dez25'!$A:$A,0)),"")</f>
        <v>156650.35999999999</v>
      </c>
    </row>
    <row r="317" spans="1:46" hidden="1" outlineLevel="1" collapsed="1" x14ac:dyDescent="0.25">
      <c r="A317" s="452">
        <v>8743</v>
      </c>
      <c r="B317" t="s">
        <v>1115</v>
      </c>
      <c r="C317" t="s">
        <v>2025</v>
      </c>
      <c r="D317" t="s">
        <v>677</v>
      </c>
      <c r="F317" t="s">
        <v>2521</v>
      </c>
      <c r="G317" s="453">
        <f t="shared" si="12"/>
        <v>9226.66</v>
      </c>
      <c r="H317" s="453">
        <f t="shared" si="15"/>
        <v>11224.6</v>
      </c>
      <c r="I317" s="453">
        <f t="shared" si="14"/>
        <v>8992.4599999999991</v>
      </c>
      <c r="K317" s="453">
        <v>282.95999999999998</v>
      </c>
      <c r="L317" s="453">
        <v>2045.16</v>
      </c>
      <c r="M317" s="453">
        <v>2045.16</v>
      </c>
      <c r="N317" s="453">
        <v>2650.88</v>
      </c>
      <c r="O317" s="453">
        <v>3477.75</v>
      </c>
      <c r="P317" s="453">
        <v>4086.1</v>
      </c>
      <c r="Q317" s="453">
        <v>4249.46</v>
      </c>
      <c r="R317" s="453">
        <v>5207.0200000000004</v>
      </c>
      <c r="S317" s="453">
        <v>5804.56</v>
      </c>
      <c r="T317" s="453">
        <v>6792</v>
      </c>
      <c r="U317" s="453">
        <v>7966.76</v>
      </c>
      <c r="V317" s="453">
        <v>9226.66</v>
      </c>
      <c r="W317" s="453">
        <v>180.51</v>
      </c>
      <c r="X317" s="453">
        <v>2578.27</v>
      </c>
      <c r="Y317" s="453">
        <v>2892.29</v>
      </c>
      <c r="Z317" s="453">
        <v>3826.63</v>
      </c>
      <c r="AA317" s="453">
        <v>5417.32</v>
      </c>
      <c r="AB317" s="453">
        <v>6194.25</v>
      </c>
      <c r="AC317" s="453">
        <v>6688.25</v>
      </c>
      <c r="AD317" s="453">
        <v>7028.79</v>
      </c>
      <c r="AE317" s="453">
        <v>7596.73</v>
      </c>
      <c r="AF317" s="453">
        <v>9372.58</v>
      </c>
      <c r="AG317" s="453">
        <v>11060.1</v>
      </c>
      <c r="AH317" s="453">
        <v>11224.6</v>
      </c>
      <c r="AI317" s="453">
        <v>711.9</v>
      </c>
      <c r="AJ317" s="453">
        <v>1616.2</v>
      </c>
      <c r="AK317" s="453">
        <v>2550.42</v>
      </c>
      <c r="AL317" s="453">
        <v>3509.16</v>
      </c>
      <c r="AM317" s="453">
        <v>4935.04</v>
      </c>
      <c r="AN317" s="453">
        <v>5512.12</v>
      </c>
      <c r="AO317" s="453">
        <v>5884.52</v>
      </c>
      <c r="AP317" s="453">
        <v>6754.36</v>
      </c>
      <c r="AQ317" s="453">
        <v>7021.66</v>
      </c>
      <c r="AR317" s="453">
        <f>IFERROR(INDEX('SuSa Okt25'!$N:$N,MATCH($A317,'SuSa Okt25'!A:A,0)),"")</f>
        <v>7638.6</v>
      </c>
      <c r="AS317" s="453">
        <f>IFERROR(INDEX('SuSa Nov25'!$N:$N,MATCH($A317,'SuSa Nov25'!$A:$A,0)),"")</f>
        <v>8266.1299999999992</v>
      </c>
      <c r="AT317" s="453">
        <f>IFERROR(INDEX('SuSa Dez25'!$N:$N,MATCH($A317,'SuSa Dez25'!$A:$A,0)),"")</f>
        <v>8992.4599999999991</v>
      </c>
    </row>
    <row r="318" spans="1:46" hidden="1" outlineLevel="1" collapsed="1" x14ac:dyDescent="0.25">
      <c r="A318" s="452">
        <v>8760</v>
      </c>
      <c r="B318" t="s">
        <v>1117</v>
      </c>
      <c r="C318" t="s">
        <v>1118</v>
      </c>
      <c r="D318" t="s">
        <v>677</v>
      </c>
      <c r="F318" t="s">
        <v>2521</v>
      </c>
      <c r="G318" s="453">
        <f t="shared" si="12"/>
        <v>18212.07</v>
      </c>
      <c r="H318" s="453">
        <f t="shared" si="15"/>
        <v>2195.94</v>
      </c>
      <c r="I318" s="453">
        <f t="shared" si="14"/>
        <v>1111.1199999999999</v>
      </c>
      <c r="K318" s="453">
        <v>0</v>
      </c>
      <c r="L318" s="453">
        <v>0</v>
      </c>
      <c r="M318" s="453">
        <v>0</v>
      </c>
      <c r="N318" s="453">
        <v>7236.08</v>
      </c>
      <c r="O318" s="453">
        <v>7236.08</v>
      </c>
      <c r="P318" s="453">
        <v>7236.08</v>
      </c>
      <c r="Q318" s="453">
        <v>7456.7</v>
      </c>
      <c r="R318" s="453">
        <v>7456.7</v>
      </c>
      <c r="S318" s="453">
        <v>7456.7</v>
      </c>
      <c r="T318" s="453">
        <v>8672.06</v>
      </c>
      <c r="U318" s="453">
        <v>8672.06</v>
      </c>
      <c r="V318" s="453">
        <v>18212.07</v>
      </c>
      <c r="W318" s="453">
        <v>0</v>
      </c>
      <c r="X318" s="453">
        <v>522.29999999999995</v>
      </c>
      <c r="Y318" s="453">
        <v>522.29999999999995</v>
      </c>
      <c r="Z318" s="453">
        <v>2195.94</v>
      </c>
      <c r="AA318" s="453">
        <v>2195.94</v>
      </c>
      <c r="AB318" s="453">
        <v>2195.94</v>
      </c>
      <c r="AC318" s="453">
        <v>2195.94</v>
      </c>
      <c r="AD318" s="453">
        <v>2195.94</v>
      </c>
      <c r="AE318" s="453">
        <v>2195.94</v>
      </c>
      <c r="AF318" s="453">
        <v>2195.94</v>
      </c>
      <c r="AG318" s="453">
        <v>2195.94</v>
      </c>
      <c r="AH318" s="453">
        <v>2195.94</v>
      </c>
      <c r="AI318" s="453">
        <v>0</v>
      </c>
      <c r="AJ318" s="453">
        <v>0</v>
      </c>
      <c r="AK318" s="453">
        <v>0</v>
      </c>
      <c r="AL318" s="453">
        <v>0</v>
      </c>
      <c r="AM318" s="453">
        <v>1111.1199999999999</v>
      </c>
      <c r="AN318" s="453">
        <v>1111.1199999999999</v>
      </c>
      <c r="AO318" s="453">
        <v>1111.1199999999999</v>
      </c>
      <c r="AP318" s="453">
        <v>1111.1199999999999</v>
      </c>
      <c r="AQ318" s="453">
        <v>1111.1199999999999</v>
      </c>
      <c r="AR318" s="453">
        <f>IFERROR(INDEX('SuSa Okt25'!$N:$N,MATCH($A318,'SuSa Okt25'!A:A,0)),"")</f>
        <v>1111.1199999999999</v>
      </c>
      <c r="AS318" s="453">
        <f>IFERROR(INDEX('SuSa Nov25'!$N:$N,MATCH($A318,'SuSa Nov25'!$A:$A,0)),"")</f>
        <v>1111.1199999999999</v>
      </c>
      <c r="AT318" s="453">
        <f>IFERROR(INDEX('SuSa Dez25'!$N:$N,MATCH($A318,'SuSa Dez25'!$A:$A,0)),"")</f>
        <v>1111.1199999999999</v>
      </c>
    </row>
    <row r="319" spans="1:46" hidden="1" outlineLevel="1" collapsed="1" x14ac:dyDescent="0.25">
      <c r="A319" s="452">
        <v>8769</v>
      </c>
      <c r="B319" t="s">
        <v>1119</v>
      </c>
      <c r="C319" t="s">
        <v>1120</v>
      </c>
      <c r="D319" t="s">
        <v>677</v>
      </c>
      <c r="F319" t="s">
        <v>2521</v>
      </c>
      <c r="G319" s="453">
        <f t="shared" si="12"/>
        <v>2195.94</v>
      </c>
      <c r="H319" s="453">
        <f t="shared" si="15"/>
        <v>-1084.82</v>
      </c>
      <c r="I319" s="453">
        <f t="shared" si="14"/>
        <v>222.97</v>
      </c>
      <c r="V319" s="453">
        <v>2195.94</v>
      </c>
      <c r="W319" s="453">
        <v>0</v>
      </c>
      <c r="X319" s="453">
        <v>0</v>
      </c>
      <c r="Y319" s="453">
        <v>0</v>
      </c>
      <c r="Z319" s="453">
        <v>0</v>
      </c>
      <c r="AA319" s="453">
        <v>0</v>
      </c>
      <c r="AB319" s="453">
        <v>-2195.94</v>
      </c>
      <c r="AC319" s="453">
        <v>-2195.94</v>
      </c>
      <c r="AD319" s="453">
        <v>-2195.94</v>
      </c>
      <c r="AE319" s="453">
        <v>-2195.94</v>
      </c>
      <c r="AF319" s="453">
        <v>-2195.94</v>
      </c>
      <c r="AG319" s="453">
        <v>-2195.94</v>
      </c>
      <c r="AH319" s="453">
        <v>-1084.82</v>
      </c>
      <c r="AI319" s="453">
        <v>0</v>
      </c>
      <c r="AJ319" s="453">
        <v>0</v>
      </c>
      <c r="AK319" s="453">
        <v>0</v>
      </c>
      <c r="AL319" s="453">
        <v>0</v>
      </c>
      <c r="AM319" s="453">
        <v>-1111.1199999999999</v>
      </c>
      <c r="AN319" s="453">
        <v>-1111.1199999999999</v>
      </c>
      <c r="AO319" s="453">
        <v>-1111.1199999999999</v>
      </c>
      <c r="AP319" s="453">
        <v>-1111.1199999999999</v>
      </c>
      <c r="AQ319" s="453">
        <v>-1111.1199999999999</v>
      </c>
      <c r="AR319" s="453">
        <f>IFERROR(INDEX('SuSa Okt25'!$N:$N,MATCH($A319,'SuSa Okt25'!A:A,0)),"")</f>
        <v>-1111.1199999999999</v>
      </c>
      <c r="AS319" s="453">
        <f>IFERROR(INDEX('SuSa Nov25'!$N:$N,MATCH($A319,'SuSa Nov25'!$A:$A,0)),"")</f>
        <v>-1111.1199999999999</v>
      </c>
      <c r="AT319" s="453">
        <f>IFERROR(INDEX('SuSa Dez25'!$N:$N,MATCH($A319,'SuSa Dez25'!$A:$A,0)),"")</f>
        <v>222.97</v>
      </c>
    </row>
    <row r="320" spans="1:46" outlineLevel="1" collapsed="1" x14ac:dyDescent="0.25">
      <c r="A320" s="452">
        <v>8801</v>
      </c>
      <c r="B320" s="468" t="s">
        <v>1641</v>
      </c>
      <c r="C320" t="s">
        <v>1642</v>
      </c>
      <c r="D320" t="s">
        <v>1352</v>
      </c>
      <c r="F320" t="s">
        <v>2502</v>
      </c>
      <c r="G320" s="453">
        <f t="shared" si="12"/>
        <v>0</v>
      </c>
      <c r="H320" s="453">
        <f t="shared" si="15"/>
        <v>-1</v>
      </c>
      <c r="I320" s="453">
        <f t="shared" si="14"/>
        <v>-4651</v>
      </c>
      <c r="AE320" s="453">
        <v>-1</v>
      </c>
      <c r="AF320" s="453">
        <v>-1</v>
      </c>
      <c r="AG320" s="453">
        <v>-1</v>
      </c>
      <c r="AH320" s="453">
        <v>-1</v>
      </c>
      <c r="AI320" s="453">
        <v>-2550</v>
      </c>
      <c r="AJ320" s="453">
        <v>-2550</v>
      </c>
      <c r="AK320" s="453">
        <v>-4651</v>
      </c>
      <c r="AL320" s="453">
        <v>-4651</v>
      </c>
      <c r="AM320" s="453">
        <v>-4651</v>
      </c>
      <c r="AN320" s="453">
        <v>-4651</v>
      </c>
      <c r="AO320" s="453">
        <v>-4651</v>
      </c>
      <c r="AP320" s="453">
        <v>-4651</v>
      </c>
      <c r="AQ320" s="453">
        <v>-4651</v>
      </c>
      <c r="AR320" s="453">
        <f>IFERROR(INDEX('SuSa Okt25'!$N:$N,MATCH($A320,'SuSa Okt25'!A:A,0)),"")</f>
        <v>-4651</v>
      </c>
      <c r="AS320" s="453">
        <f>IFERROR(INDEX('SuSa Nov25'!$N:$N,MATCH($A320,'SuSa Nov25'!$A:$A,0)),"")</f>
        <v>-4651</v>
      </c>
      <c r="AT320" s="453">
        <f>IFERROR(INDEX('SuSa Dez25'!$N:$N,MATCH($A320,'SuSa Dez25'!$A:$A,0)),"")</f>
        <v>-4651</v>
      </c>
    </row>
    <row r="321" spans="1:46" outlineLevel="1" collapsed="1" x14ac:dyDescent="0.25">
      <c r="A321" s="452">
        <v>8807</v>
      </c>
      <c r="B321" s="468" t="s">
        <v>1643</v>
      </c>
      <c r="C321" t="s">
        <v>2026</v>
      </c>
      <c r="D321" t="s">
        <v>1352</v>
      </c>
      <c r="F321" t="s">
        <v>2502</v>
      </c>
      <c r="G321" s="453">
        <f t="shared" si="12"/>
        <v>0</v>
      </c>
      <c r="H321" s="453">
        <f t="shared" si="15"/>
        <v>-1</v>
      </c>
      <c r="I321" s="453">
        <f t="shared" si="14"/>
        <v>0</v>
      </c>
      <c r="AC321" s="453">
        <v>-1</v>
      </c>
      <c r="AD321" s="453">
        <v>-1</v>
      </c>
      <c r="AE321" s="453">
        <v>-1</v>
      </c>
      <c r="AF321" s="453">
        <v>-1</v>
      </c>
      <c r="AG321" s="453">
        <v>-1</v>
      </c>
      <c r="AH321" s="453">
        <v>-1</v>
      </c>
      <c r="AI321" s="453">
        <v>0</v>
      </c>
      <c r="AJ321" s="453">
        <v>0</v>
      </c>
      <c r="AK321" s="453">
        <v>0</v>
      </c>
      <c r="AL321" s="453">
        <v>0</v>
      </c>
      <c r="AM321" s="453">
        <v>0</v>
      </c>
      <c r="AN321" s="453">
        <v>0</v>
      </c>
      <c r="AO321" s="453">
        <v>0</v>
      </c>
      <c r="AP321" s="453">
        <v>0</v>
      </c>
      <c r="AQ321" s="453">
        <v>0</v>
      </c>
      <c r="AR321" s="453">
        <f>IFERROR(INDEX('SuSa Okt25'!$N:$N,MATCH($A321,'SuSa Okt25'!A:A,0)),"")</f>
        <v>0</v>
      </c>
      <c r="AS321" s="453">
        <f>IFERROR(INDEX('SuSa Nov25'!$N:$N,MATCH($A321,'SuSa Nov25'!$A:$A,0)),"")</f>
        <v>0</v>
      </c>
      <c r="AT321" s="453">
        <f>IFERROR(INDEX('SuSa Dez25'!$N:$N,MATCH($A321,'SuSa Dez25'!$A:$A,0)),"")</f>
        <v>0</v>
      </c>
    </row>
    <row r="322" spans="1:46" outlineLevel="1" collapsed="1" x14ac:dyDescent="0.25">
      <c r="A322" s="452">
        <v>8818</v>
      </c>
      <c r="B322" s="468" t="s">
        <v>1645</v>
      </c>
      <c r="C322" t="s">
        <v>1646</v>
      </c>
      <c r="D322" t="s">
        <v>1352</v>
      </c>
      <c r="E322" t="s">
        <v>2466</v>
      </c>
      <c r="F322" t="s">
        <v>2502</v>
      </c>
      <c r="G322" s="453">
        <f t="shared" si="12"/>
        <v>0</v>
      </c>
      <c r="H322" s="453">
        <f t="shared" si="15"/>
        <v>-80849.600000000006</v>
      </c>
      <c r="I322" s="453">
        <f t="shared" si="14"/>
        <v>0</v>
      </c>
      <c r="K322" s="453">
        <v>0</v>
      </c>
      <c r="L322" s="453">
        <v>0</v>
      </c>
      <c r="M322" s="453">
        <v>0</v>
      </c>
      <c r="N322" s="453">
        <v>0</v>
      </c>
      <c r="O322" s="453">
        <v>0</v>
      </c>
      <c r="P322" s="453">
        <v>0</v>
      </c>
      <c r="Q322" s="453">
        <v>0</v>
      </c>
      <c r="R322" s="453">
        <v>0</v>
      </c>
      <c r="S322" s="453">
        <v>0</v>
      </c>
      <c r="T322" s="453">
        <v>0</v>
      </c>
      <c r="U322" s="453">
        <v>0</v>
      </c>
      <c r="V322" s="453">
        <v>0</v>
      </c>
      <c r="AF322" s="453">
        <v>-80849.600000000006</v>
      </c>
      <c r="AG322" s="453">
        <v>-80849.600000000006</v>
      </c>
      <c r="AH322" s="453">
        <v>-80849.600000000006</v>
      </c>
      <c r="AI322" s="453">
        <v>0</v>
      </c>
      <c r="AJ322" s="453">
        <v>0</v>
      </c>
      <c r="AK322" s="453">
        <v>0</v>
      </c>
      <c r="AL322" s="453">
        <v>0</v>
      </c>
      <c r="AM322" s="453">
        <v>0</v>
      </c>
      <c r="AN322" s="453">
        <v>0</v>
      </c>
      <c r="AO322" s="453">
        <v>0</v>
      </c>
      <c r="AP322" s="453">
        <v>0</v>
      </c>
      <c r="AQ322" s="453">
        <v>0</v>
      </c>
      <c r="AR322" s="453">
        <f>IFERROR(INDEX('SuSa Okt25'!$N:$N,MATCH($A322,'SuSa Okt25'!A:A,0)),"")</f>
        <v>0</v>
      </c>
      <c r="AS322" s="453">
        <f>IFERROR(INDEX('SuSa Nov25'!$N:$N,MATCH($A322,'SuSa Nov25'!$A:$A,0)),"")</f>
        <v>0</v>
      </c>
      <c r="AT322" s="453">
        <f>IFERROR(INDEX('SuSa Dez25'!$N:$N,MATCH($A322,'SuSa Dez25'!$A:$A,0)),"")</f>
        <v>0</v>
      </c>
    </row>
    <row r="323" spans="1:46" hidden="1" outlineLevel="1" collapsed="1" x14ac:dyDescent="0.25">
      <c r="A323" s="452">
        <v>8820</v>
      </c>
      <c r="B323" s="468" t="s">
        <v>1267</v>
      </c>
      <c r="C323" t="s">
        <v>2027</v>
      </c>
      <c r="D323" t="s">
        <v>690</v>
      </c>
      <c r="G323" s="453">
        <f t="shared" si="12"/>
        <v>-104900</v>
      </c>
      <c r="H323" s="453">
        <f t="shared" ref="H323:H329" si="16">AH323</f>
        <v>-379850</v>
      </c>
      <c r="I323" s="453">
        <f t="shared" ref="I323:I328" si="17">AT323</f>
        <v>-53650</v>
      </c>
      <c r="K323" s="453">
        <v>-36900</v>
      </c>
      <c r="L323" s="453">
        <v>-36900</v>
      </c>
      <c r="M323" s="453">
        <v>-36900</v>
      </c>
      <c r="N323" s="453">
        <v>-36900</v>
      </c>
      <c r="O323" s="453">
        <v>-70900</v>
      </c>
      <c r="P323" s="453">
        <v>-70900</v>
      </c>
      <c r="Q323" s="453">
        <v>-70900</v>
      </c>
      <c r="R323" s="453">
        <v>-70900</v>
      </c>
      <c r="S323" s="453">
        <v>-70900</v>
      </c>
      <c r="T323" s="453">
        <v>-70900</v>
      </c>
      <c r="U323" s="453">
        <v>-70900</v>
      </c>
      <c r="V323" s="453">
        <v>-104900</v>
      </c>
      <c r="W323" s="453">
        <v>-32950</v>
      </c>
      <c r="X323" s="453">
        <v>-66950</v>
      </c>
      <c r="Y323" s="453">
        <v>-66950</v>
      </c>
      <c r="Z323" s="453">
        <v>-83950</v>
      </c>
      <c r="AA323" s="453">
        <v>-117950</v>
      </c>
      <c r="AB323" s="453">
        <v>-117950</v>
      </c>
      <c r="AC323" s="453">
        <v>-117950</v>
      </c>
      <c r="AD323" s="453">
        <v>-134950</v>
      </c>
      <c r="AE323" s="453">
        <v>-143450</v>
      </c>
      <c r="AF323" s="453">
        <v>-143450</v>
      </c>
      <c r="AG323" s="453">
        <v>-143450</v>
      </c>
      <c r="AH323" s="453">
        <v>-379850</v>
      </c>
      <c r="AI323" s="453">
        <v>-14450</v>
      </c>
      <c r="AJ323" s="453">
        <v>-14450</v>
      </c>
      <c r="AK323" s="453">
        <v>-53650</v>
      </c>
      <c r="AL323" s="453">
        <v>-53650</v>
      </c>
      <c r="AM323" s="453">
        <v>-53650</v>
      </c>
      <c r="AN323" s="453">
        <v>-53650</v>
      </c>
      <c r="AO323" s="453">
        <v>-53650</v>
      </c>
      <c r="AP323" s="453">
        <v>-53650</v>
      </c>
      <c r="AQ323" s="453">
        <v>-53650</v>
      </c>
      <c r="AR323" s="453">
        <f>IFERROR(INDEX('SuSa Okt25'!$N:$N,MATCH($A323,'SuSa Okt25'!A:A,0)),"")</f>
        <v>-53650</v>
      </c>
      <c r="AS323" s="453">
        <f>IFERROR(INDEX('SuSa Nov25'!$N:$N,MATCH($A323,'SuSa Nov25'!$A:$A,0)),"")</f>
        <v>-53650</v>
      </c>
      <c r="AT323" s="453">
        <f>IFERROR(INDEX('SuSa Dez25'!$N:$N,MATCH($A323,'SuSa Dez25'!$A:$A,0)),"")</f>
        <v>-53650</v>
      </c>
    </row>
    <row r="324" spans="1:46" hidden="1" outlineLevel="1" collapsed="1" x14ac:dyDescent="0.25">
      <c r="A324" s="452">
        <v>8827</v>
      </c>
      <c r="B324" s="468" t="s">
        <v>1269</v>
      </c>
      <c r="C324" t="s">
        <v>1270</v>
      </c>
      <c r="D324" t="s">
        <v>690</v>
      </c>
      <c r="G324" s="453">
        <f t="shared" si="12"/>
        <v>-15950</v>
      </c>
      <c r="H324" s="453">
        <f t="shared" si="16"/>
        <v>-15950</v>
      </c>
      <c r="I324" s="453">
        <f t="shared" si="17"/>
        <v>0</v>
      </c>
      <c r="M324" s="453">
        <v>-15950</v>
      </c>
      <c r="N324" s="453">
        <v>-15950</v>
      </c>
      <c r="O324" s="453">
        <v>-15950</v>
      </c>
      <c r="P324" s="453">
        <v>-15950</v>
      </c>
      <c r="Q324" s="453">
        <v>-15950</v>
      </c>
      <c r="R324" s="453">
        <v>-15950</v>
      </c>
      <c r="S324" s="453">
        <v>-15950</v>
      </c>
      <c r="T324" s="453">
        <v>-15950</v>
      </c>
      <c r="U324" s="453">
        <v>-15950</v>
      </c>
      <c r="V324" s="453">
        <v>-15950</v>
      </c>
      <c r="W324" s="453">
        <v>0</v>
      </c>
      <c r="X324" s="453">
        <v>0</v>
      </c>
      <c r="Y324" s="453">
        <v>0</v>
      </c>
      <c r="Z324" s="453">
        <v>0</v>
      </c>
      <c r="AA324" s="453">
        <v>0</v>
      </c>
      <c r="AB324" s="453">
        <v>0</v>
      </c>
      <c r="AC324" s="453">
        <v>0</v>
      </c>
      <c r="AD324" s="453">
        <v>0</v>
      </c>
      <c r="AE324" s="453">
        <v>-15950</v>
      </c>
      <c r="AF324" s="453">
        <v>-15950</v>
      </c>
      <c r="AG324" s="453">
        <v>-15950</v>
      </c>
      <c r="AH324" s="453">
        <v>-15950</v>
      </c>
      <c r="AI324" s="453">
        <v>0</v>
      </c>
      <c r="AJ324" s="453">
        <v>0</v>
      </c>
      <c r="AK324" s="453">
        <v>0</v>
      </c>
      <c r="AL324" s="453">
        <v>0</v>
      </c>
      <c r="AM324" s="453">
        <v>0</v>
      </c>
      <c r="AN324" s="453">
        <v>0</v>
      </c>
      <c r="AO324" s="453">
        <v>0</v>
      </c>
      <c r="AP324" s="453">
        <v>0</v>
      </c>
      <c r="AQ324" s="453">
        <v>0</v>
      </c>
      <c r="AR324" s="453">
        <f>IFERROR(INDEX('SuSa Okt25'!$N:$N,MATCH($A324,'SuSa Okt25'!A:A,0)),"")</f>
        <v>0</v>
      </c>
      <c r="AS324" s="453">
        <f>IFERROR(INDEX('SuSa Nov25'!$N:$N,MATCH($A324,'SuSa Nov25'!$A:$A,0)),"")</f>
        <v>0</v>
      </c>
      <c r="AT324" s="453">
        <f>IFERROR(INDEX('SuSa Dez25'!$N:$N,MATCH($A324,'SuSa Dez25'!$A:$A,0)),"")</f>
        <v>0</v>
      </c>
    </row>
    <row r="325" spans="1:46" hidden="1" outlineLevel="1" collapsed="1" x14ac:dyDescent="0.25">
      <c r="A325" s="452">
        <v>8838</v>
      </c>
      <c r="B325" s="468" t="s">
        <v>1271</v>
      </c>
      <c r="C325" t="s">
        <v>1272</v>
      </c>
      <c r="D325" t="s">
        <v>690</v>
      </c>
      <c r="E325" t="s">
        <v>2466</v>
      </c>
      <c r="G325" s="453">
        <f t="shared" si="12"/>
        <v>0</v>
      </c>
      <c r="H325" s="453">
        <f t="shared" si="16"/>
        <v>0</v>
      </c>
      <c r="I325" s="453">
        <f t="shared" si="17"/>
        <v>-34905.46</v>
      </c>
      <c r="K325" s="453">
        <v>0</v>
      </c>
      <c r="L325" s="453">
        <v>0</v>
      </c>
      <c r="M325" s="453">
        <v>0</v>
      </c>
      <c r="N325" s="453">
        <v>0</v>
      </c>
      <c r="O325" s="453">
        <v>0</v>
      </c>
      <c r="P325" s="453">
        <v>0</v>
      </c>
      <c r="Q325" s="453">
        <v>0</v>
      </c>
      <c r="R325" s="453">
        <v>0</v>
      </c>
      <c r="S325" s="453">
        <v>0</v>
      </c>
      <c r="T325" s="453">
        <v>0</v>
      </c>
      <c r="U325" s="453">
        <v>0</v>
      </c>
      <c r="V325" s="453">
        <v>0</v>
      </c>
      <c r="AK325" s="453">
        <v>-34905.46</v>
      </c>
      <c r="AL325" s="453">
        <v>-34905.46</v>
      </c>
      <c r="AM325" s="453">
        <v>-34905.46</v>
      </c>
      <c r="AN325" s="453">
        <v>-34905.46</v>
      </c>
      <c r="AO325" s="453">
        <v>-34905.46</v>
      </c>
      <c r="AP325" s="453">
        <v>-34905.46</v>
      </c>
      <c r="AQ325" s="453">
        <v>-34905.46</v>
      </c>
      <c r="AR325" s="453">
        <f>IFERROR(INDEX('SuSa Okt25'!$N:$N,MATCH($A325,'SuSa Okt25'!A:A,0)),"")</f>
        <v>-34905.46</v>
      </c>
      <c r="AS325" s="453">
        <f>IFERROR(INDEX('SuSa Nov25'!$N:$N,MATCH($A325,'SuSa Nov25'!$A:$A,0)),"")</f>
        <v>-34905.46</v>
      </c>
      <c r="AT325" s="453">
        <f>IFERROR(INDEX('SuSa Dez25'!$N:$N,MATCH($A325,'SuSa Dez25'!$A:$A,0)),"")</f>
        <v>-34905.46</v>
      </c>
    </row>
    <row r="326" spans="1:46" hidden="1" outlineLevel="1" collapsed="1" x14ac:dyDescent="0.25">
      <c r="A326" s="452">
        <v>8950</v>
      </c>
      <c r="B326" t="s">
        <v>1237</v>
      </c>
      <c r="C326" t="s">
        <v>2028</v>
      </c>
      <c r="D326" t="s">
        <v>677</v>
      </c>
      <c r="G326" s="453">
        <f t="shared" si="12"/>
        <v>0</v>
      </c>
      <c r="H326" s="453">
        <f t="shared" si="16"/>
        <v>0</v>
      </c>
      <c r="I326" s="453">
        <f t="shared" si="17"/>
        <v>0</v>
      </c>
      <c r="AF326" s="453">
        <v>-500</v>
      </c>
      <c r="AG326" s="453">
        <v>-600</v>
      </c>
      <c r="AH326" s="453">
        <v>0</v>
      </c>
      <c r="AI326" s="453">
        <v>0</v>
      </c>
      <c r="AJ326" s="453">
        <v>0</v>
      </c>
      <c r="AK326" s="453">
        <v>0</v>
      </c>
      <c r="AL326" s="453">
        <v>0</v>
      </c>
      <c r="AM326" s="453">
        <v>0</v>
      </c>
      <c r="AN326" s="453">
        <v>0</v>
      </c>
      <c r="AO326" s="453">
        <v>0</v>
      </c>
      <c r="AP326" s="453">
        <v>0</v>
      </c>
      <c r="AQ326" s="453">
        <v>0</v>
      </c>
      <c r="AR326" s="453">
        <f>IFERROR(INDEX('SuSa Okt25'!$N:$N,MATCH($A326,'SuSa Okt25'!A:A,0)),"")</f>
        <v>0</v>
      </c>
      <c r="AS326" s="453">
        <f>IFERROR(INDEX('SuSa Nov25'!$N:$N,MATCH($A326,'SuSa Nov25'!$A:$A,0)),"")</f>
        <v>0</v>
      </c>
      <c r="AT326" s="453">
        <f>IFERROR(INDEX('SuSa Dez25'!$N:$N,MATCH($A326,'SuSa Dez25'!$A:$A,0)),"")</f>
        <v>0</v>
      </c>
    </row>
    <row r="327" spans="1:46" hidden="1" outlineLevel="1" collapsed="1" x14ac:dyDescent="0.25">
      <c r="A327" s="452">
        <v>8960</v>
      </c>
      <c r="B327" t="s">
        <v>1123</v>
      </c>
      <c r="C327" t="s">
        <v>2029</v>
      </c>
      <c r="D327" t="s">
        <v>684</v>
      </c>
      <c r="G327" s="453">
        <f t="shared" si="12"/>
        <v>-111810.32</v>
      </c>
      <c r="H327" s="453">
        <f t="shared" si="16"/>
        <v>106972.6</v>
      </c>
      <c r="I327" s="453">
        <f t="shared" si="17"/>
        <v>-32844.9</v>
      </c>
      <c r="K327" s="453">
        <v>0</v>
      </c>
      <c r="L327" s="453">
        <v>0</v>
      </c>
      <c r="M327" s="453">
        <v>0</v>
      </c>
      <c r="N327" s="453">
        <v>0</v>
      </c>
      <c r="O327" s="453">
        <v>0</v>
      </c>
      <c r="P327" s="453">
        <v>-36964.480000000003</v>
      </c>
      <c r="Q327" s="453">
        <v>-36964.480000000003</v>
      </c>
      <c r="R327" s="453">
        <v>-36964.480000000003</v>
      </c>
      <c r="S327" s="453">
        <v>-75151.62</v>
      </c>
      <c r="T327" s="453">
        <v>-75151.62</v>
      </c>
      <c r="U327" s="453">
        <v>-75151.62</v>
      </c>
      <c r="V327" s="453">
        <v>-111810.32</v>
      </c>
      <c r="W327" s="453">
        <v>0</v>
      </c>
      <c r="X327" s="453">
        <v>0</v>
      </c>
      <c r="Y327" s="453">
        <v>0</v>
      </c>
      <c r="Z327" s="453">
        <v>0</v>
      </c>
      <c r="AA327" s="453">
        <v>0</v>
      </c>
      <c r="AB327" s="453">
        <v>-46548.9</v>
      </c>
      <c r="AC327" s="453">
        <v>-46548.9</v>
      </c>
      <c r="AD327" s="453">
        <v>-46548.9</v>
      </c>
      <c r="AE327" s="453">
        <v>-46548.9</v>
      </c>
      <c r="AF327" s="453">
        <v>-46548.9</v>
      </c>
      <c r="AG327" s="453">
        <v>-46548.9</v>
      </c>
      <c r="AH327" s="453">
        <v>106972.6</v>
      </c>
      <c r="AI327" s="453">
        <v>0</v>
      </c>
      <c r="AJ327" s="453">
        <v>0</v>
      </c>
      <c r="AK327" s="453">
        <v>0</v>
      </c>
      <c r="AL327" s="453">
        <v>0</v>
      </c>
      <c r="AM327" s="453">
        <v>0</v>
      </c>
      <c r="AN327" s="453">
        <v>0</v>
      </c>
      <c r="AO327" s="453">
        <v>0</v>
      </c>
      <c r="AP327" s="453">
        <v>0</v>
      </c>
      <c r="AQ327" s="453">
        <v>0</v>
      </c>
      <c r="AR327" s="453">
        <f>IFERROR(INDEX('SuSa Okt25'!$N:$N,MATCH($A327,'SuSa Okt25'!A:A,0)),"")</f>
        <v>0</v>
      </c>
      <c r="AS327" s="453">
        <f>IFERROR(INDEX('SuSa Nov25'!$N:$N,MATCH($A327,'SuSa Nov25'!$A:$A,0)),"")</f>
        <v>0</v>
      </c>
      <c r="AT327" s="453">
        <f>IFERROR(INDEX('SuSa Dez25'!$N:$N,MATCH($A327,'SuSa Dez25'!$A:$A,0)),"")</f>
        <v>-32844.9</v>
      </c>
    </row>
    <row r="328" spans="1:46" hidden="1" outlineLevel="1" collapsed="1" x14ac:dyDescent="0.25">
      <c r="A328" s="452">
        <v>8980</v>
      </c>
      <c r="B328" t="s">
        <v>1125</v>
      </c>
      <c r="C328" t="s">
        <v>1126</v>
      </c>
      <c r="D328" t="s">
        <v>684</v>
      </c>
      <c r="G328" s="453">
        <f t="shared" si="12"/>
        <v>-87766.81</v>
      </c>
      <c r="H328" s="453">
        <f t="shared" si="16"/>
        <v>-457767.74</v>
      </c>
      <c r="I328" s="453">
        <f t="shared" si="17"/>
        <v>-193345.26</v>
      </c>
      <c r="K328" s="453">
        <v>0</v>
      </c>
      <c r="L328" s="453">
        <v>0</v>
      </c>
      <c r="M328" s="453">
        <v>0</v>
      </c>
      <c r="N328" s="453">
        <v>0</v>
      </c>
      <c r="O328" s="453">
        <v>0</v>
      </c>
      <c r="P328" s="453">
        <v>-104062.85</v>
      </c>
      <c r="Q328" s="453">
        <v>-104062.85</v>
      </c>
      <c r="R328" s="453">
        <v>-104062.85</v>
      </c>
      <c r="S328" s="453">
        <v>-85888.7</v>
      </c>
      <c r="T328" s="453">
        <v>-85888.7</v>
      </c>
      <c r="U328" s="453">
        <v>-85888.7</v>
      </c>
      <c r="V328" s="453">
        <v>-87766.81</v>
      </c>
      <c r="W328" s="453">
        <v>0</v>
      </c>
      <c r="X328" s="453">
        <v>0</v>
      </c>
      <c r="Y328" s="453">
        <v>0</v>
      </c>
      <c r="Z328" s="453">
        <v>0</v>
      </c>
      <c r="AA328" s="453">
        <v>0</v>
      </c>
      <c r="AB328" s="453">
        <v>-63359.82</v>
      </c>
      <c r="AC328" s="453">
        <v>-63359.82</v>
      </c>
      <c r="AD328" s="453">
        <v>-63359.82</v>
      </c>
      <c r="AE328" s="453">
        <v>-63359.82</v>
      </c>
      <c r="AF328" s="453">
        <v>-63359.82</v>
      </c>
      <c r="AG328" s="453">
        <v>-63359.82</v>
      </c>
      <c r="AH328" s="453">
        <v>-457767.74</v>
      </c>
      <c r="AI328" s="453">
        <v>0</v>
      </c>
      <c r="AJ328" s="453">
        <v>0</v>
      </c>
      <c r="AK328" s="453">
        <v>0</v>
      </c>
      <c r="AL328" s="453">
        <v>0</v>
      </c>
      <c r="AM328" s="453">
        <v>0</v>
      </c>
      <c r="AN328" s="453">
        <v>0</v>
      </c>
      <c r="AO328" s="453">
        <v>0</v>
      </c>
      <c r="AP328" s="453">
        <v>0</v>
      </c>
      <c r="AQ328" s="453">
        <v>0</v>
      </c>
      <c r="AR328" s="453">
        <f>IFERROR(INDEX('SuSa Okt25'!$N:$N,MATCH($A328,'SuSa Okt25'!A:A,0)),"")</f>
        <v>0</v>
      </c>
      <c r="AS328" s="453">
        <f>IFERROR(INDEX('SuSa Nov25'!$N:$N,MATCH($A328,'SuSa Nov25'!$A:$A,0)),"")</f>
        <v>0</v>
      </c>
      <c r="AT328" s="453">
        <f>IFERROR(INDEX('SuSa Dez25'!$N:$N,MATCH($A328,'SuSa Dez25'!$A:$A,0)),"")</f>
        <v>-193345.26</v>
      </c>
    </row>
    <row r="329" spans="1:46" hidden="1" x14ac:dyDescent="0.25">
      <c r="B329" t="s">
        <v>2030</v>
      </c>
      <c r="C329" t="s">
        <v>2030</v>
      </c>
      <c r="D329" t="s">
        <v>1674</v>
      </c>
      <c r="G329" s="453">
        <f t="shared" si="12"/>
        <v>2.9103830456733704E-9</v>
      </c>
      <c r="H329" s="453">
        <f t="shared" si="16"/>
        <v>-2.3283064365386963E-9</v>
      </c>
      <c r="I329" s="453">
        <f>AI329</f>
        <v>1.8044374883174896E-9</v>
      </c>
      <c r="K329" s="453">
        <f t="shared" ref="K329:AT329" si="18">SUM(K2:K328)</f>
        <v>2.9103830456733704E-10</v>
      </c>
      <c r="L329" s="453">
        <f t="shared" si="18"/>
        <v>5.0931703299283981E-11</v>
      </c>
      <c r="M329" s="453">
        <f t="shared" si="18"/>
        <v>-3.2741809263825417E-10</v>
      </c>
      <c r="N329" s="453">
        <f t="shared" si="18"/>
        <v>2.255546860396862E-10</v>
      </c>
      <c r="O329" s="453">
        <f t="shared" si="18"/>
        <v>2.7066562324762344E-9</v>
      </c>
      <c r="P329" s="453">
        <f t="shared" si="18"/>
        <v>-3.434251993894577E-9</v>
      </c>
      <c r="Q329" s="453">
        <f t="shared" si="18"/>
        <v>-1.8917489796876907E-9</v>
      </c>
      <c r="R329" s="453">
        <f t="shared" si="18"/>
        <v>-6.6647771745920181E-9</v>
      </c>
      <c r="S329" s="453">
        <f t="shared" si="18"/>
        <v>1.1830707080662251E-8</v>
      </c>
      <c r="T329" s="453">
        <f t="shared" si="18"/>
        <v>-5.0931703299283981E-10</v>
      </c>
      <c r="U329" s="453">
        <f t="shared" si="18"/>
        <v>-5.0495145842432976E-9</v>
      </c>
      <c r="V329" s="453">
        <f t="shared" si="18"/>
        <v>2.9103830456733704E-9</v>
      </c>
      <c r="W329" s="453">
        <f t="shared" si="18"/>
        <v>-6.0390448197722435E-10</v>
      </c>
      <c r="X329" s="453">
        <f t="shared" si="18"/>
        <v>-4.220055416226387E-10</v>
      </c>
      <c r="Y329" s="453">
        <f t="shared" si="18"/>
        <v>1.2223608791828156E-9</v>
      </c>
      <c r="Z329" s="453">
        <f t="shared" si="18"/>
        <v>1.8771970644593239E-9</v>
      </c>
      <c r="AA329" s="453">
        <f t="shared" si="18"/>
        <v>-1.9790604710578918E-9</v>
      </c>
      <c r="AB329" s="453">
        <f t="shared" si="18"/>
        <v>1.4842953532934189E-9</v>
      </c>
      <c r="AC329" s="453">
        <f t="shared" si="18"/>
        <v>-5.9371814131736755E-9</v>
      </c>
      <c r="AD329" s="453">
        <f t="shared" si="18"/>
        <v>1.5133991837501526E-9</v>
      </c>
      <c r="AE329" s="453">
        <f t="shared" si="18"/>
        <v>2.6193447411060333E-10</v>
      </c>
      <c r="AF329" s="453">
        <f t="shared" si="18"/>
        <v>3.1141098588705063E-9</v>
      </c>
      <c r="AG329" s="453">
        <f t="shared" si="18"/>
        <v>1.2514647096395493E-9</v>
      </c>
      <c r="AH329" s="453">
        <f t="shared" si="18"/>
        <v>-2.3283064365386963E-9</v>
      </c>
      <c r="AI329" s="453">
        <f t="shared" si="18"/>
        <v>1.8044374883174896E-9</v>
      </c>
      <c r="AJ329" s="453">
        <f t="shared" si="18"/>
        <v>-1.2114469427615404E-9</v>
      </c>
      <c r="AK329" s="453">
        <f t="shared" si="18"/>
        <v>-1.2150849215686321E-9</v>
      </c>
      <c r="AL329" s="453">
        <f t="shared" si="18"/>
        <v>9.4587448984384537E-11</v>
      </c>
      <c r="AM329" s="453">
        <f t="shared" si="18"/>
        <v>-4.562025424093008E-9</v>
      </c>
      <c r="AN329" s="453">
        <f t="shared" si="18"/>
        <v>-3.3978722058236599E-9</v>
      </c>
      <c r="AO329" s="453">
        <f t="shared" si="18"/>
        <v>1.913576852530241E-9</v>
      </c>
      <c r="AP329" s="453">
        <f t="shared" si="18"/>
        <v>-2.2773747332394123E-9</v>
      </c>
      <c r="AQ329" s="453">
        <f t="shared" si="18"/>
        <v>3.7325662560760975E-9</v>
      </c>
      <c r="AR329" s="453">
        <f t="shared" si="18"/>
        <v>5.8716977946460247E-9</v>
      </c>
      <c r="AS329" s="453">
        <f t="shared" si="18"/>
        <v>1.7389538697898388E-9</v>
      </c>
      <c r="AT329" s="453">
        <f t="shared" si="18"/>
        <v>-2.0372681319713593E-9</v>
      </c>
    </row>
    <row r="331" spans="1:46" x14ac:dyDescent="0.25">
      <c r="H331" s="453">
        <f>G114-H113</f>
        <v>1243325.5</v>
      </c>
      <c r="I331" s="453">
        <f>G115-H112</f>
        <v>1474080.57</v>
      </c>
    </row>
    <row r="332" spans="1:46" x14ac:dyDescent="0.25">
      <c r="H332" s="453">
        <f>H328-G297</f>
        <v>-1051716.8999999999</v>
      </c>
    </row>
    <row r="333" spans="1:46" s="473" customFormat="1" ht="15.75" thickBot="1" x14ac:dyDescent="0.3">
      <c r="A333" s="472"/>
      <c r="G333" s="474"/>
      <c r="H333" s="474">
        <f>H327-G296</f>
        <v>-36760.669999999984</v>
      </c>
      <c r="I333" s="474"/>
      <c r="J333" s="474"/>
      <c r="K333" s="474"/>
      <c r="L333" s="474"/>
      <c r="M333" s="474"/>
      <c r="N333" s="474"/>
      <c r="O333" s="474"/>
      <c r="P333" s="474"/>
      <c r="Q333" s="474"/>
      <c r="R333" s="474"/>
      <c r="S333" s="474"/>
      <c r="T333" s="474"/>
      <c r="U333" s="474"/>
      <c r="V333" s="474"/>
      <c r="W333" s="474"/>
      <c r="X333" s="474"/>
      <c r="Y333" s="474"/>
      <c r="Z333" s="474"/>
      <c r="AA333" s="474"/>
      <c r="AB333" s="474"/>
      <c r="AC333" s="474"/>
      <c r="AD333" s="474"/>
      <c r="AE333" s="474"/>
      <c r="AF333" s="474"/>
      <c r="AG333" s="474"/>
      <c r="AH333" s="474"/>
      <c r="AI333" s="474"/>
      <c r="AJ333" s="474"/>
      <c r="AK333" s="474"/>
      <c r="AL333" s="474"/>
      <c r="AM333" s="474"/>
      <c r="AN333" s="474"/>
      <c r="AO333" s="474"/>
      <c r="AP333" s="474"/>
      <c r="AQ333" s="474"/>
      <c r="AR333" s="474"/>
      <c r="AS333" s="474"/>
      <c r="AT333" s="474"/>
    </row>
    <row r="334" spans="1:46" outlineLevel="1" x14ac:dyDescent="0.25">
      <c r="B334" s="480" t="s">
        <v>2395</v>
      </c>
      <c r="G334" s="453">
        <f>'Lead PL'!G9*1000</f>
        <v>15316243.58</v>
      </c>
      <c r="H334" s="453">
        <f>'Lead PL'!H9*1000</f>
        <v>16659963.460000003</v>
      </c>
      <c r="I334" s="453">
        <f>'Lead PL'!I9*1000</f>
        <v>15009728.290000003</v>
      </c>
      <c r="J334" s="453">
        <f>'Lead PL'!J9*1000</f>
        <v>0</v>
      </c>
    </row>
    <row r="335" spans="1:46" outlineLevel="1" x14ac:dyDescent="0.25">
      <c r="B335" t="s">
        <v>2397</v>
      </c>
      <c r="H335" s="453">
        <f>H334-G334</f>
        <v>1343719.8800000027</v>
      </c>
      <c r="I335" s="453">
        <f>I334-H334</f>
        <v>-1650235.17</v>
      </c>
      <c r="L335" s="453">
        <f>SUM(I2,I3,I4,I5,I6,I7,I8,I9,I10)</f>
        <v>1388353.8900000001</v>
      </c>
      <c r="M335" s="453" t="s">
        <v>5450</v>
      </c>
      <c r="AI335" s="453">
        <f>AI17-AH17</f>
        <v>-14400</v>
      </c>
      <c r="AJ335" s="453">
        <f t="shared" ref="AJ335:AO335" si="19">AJ17-AI17</f>
        <v>-14400</v>
      </c>
      <c r="AK335" s="453">
        <f t="shared" si="19"/>
        <v>-14400</v>
      </c>
      <c r="AL335" s="453">
        <f t="shared" si="19"/>
        <v>-14400</v>
      </c>
      <c r="AM335" s="453">
        <f t="shared" si="19"/>
        <v>-14400</v>
      </c>
      <c r="AN335" s="453">
        <f t="shared" si="19"/>
        <v>36018.089999999997</v>
      </c>
      <c r="AO335" s="453">
        <f t="shared" si="19"/>
        <v>-72233</v>
      </c>
    </row>
    <row r="336" spans="1:46" outlineLevel="1" x14ac:dyDescent="0.25">
      <c r="B336" t="s">
        <v>265</v>
      </c>
      <c r="D336" s="453">
        <f>'Lead PL'!F24*1000</f>
        <v>16416744.779999997</v>
      </c>
      <c r="E336" s="453">
        <f>'P&amp;L (Annual Report)'!E46</f>
        <v>16659850.379999999</v>
      </c>
      <c r="F336" s="453"/>
      <c r="G336" s="453">
        <f>'Lead PL'!G24*1000</f>
        <v>15515820.710000001</v>
      </c>
      <c r="H336" s="453">
        <f>'Lead PL'!H24*1000</f>
        <v>17010758.600000001</v>
      </c>
      <c r="I336" s="453">
        <f>'Lead PL'!I24*1000</f>
        <v>15235918.450000003</v>
      </c>
      <c r="J336" s="453">
        <f>'Lead PL'!J24*1000</f>
        <v>0</v>
      </c>
      <c r="L336" s="453">
        <f>'[5]2025'!$P$9</f>
        <v>270149</v>
      </c>
      <c r="M336" s="453" t="s">
        <v>5449</v>
      </c>
    </row>
    <row r="337" spans="2:12" outlineLevel="1" x14ac:dyDescent="0.25">
      <c r="L337" s="453">
        <f>L336/L335</f>
        <v>0.19458223292045515</v>
      </c>
    </row>
    <row r="338" spans="2:12" outlineLevel="1" x14ac:dyDescent="0.25">
      <c r="B338" s="480" t="s">
        <v>2406</v>
      </c>
    </row>
    <row r="339" spans="2:12" outlineLevel="1" x14ac:dyDescent="0.25">
      <c r="B339" t="s">
        <v>1099</v>
      </c>
      <c r="H339" s="453">
        <f>-H305+G305</f>
        <v>469134.75</v>
      </c>
      <c r="I339" s="453">
        <f>-I305+H305</f>
        <v>-833945.24000000022</v>
      </c>
    </row>
    <row r="340" spans="2:12" outlineLevel="1" x14ac:dyDescent="0.25">
      <c r="B340" t="s">
        <v>2394</v>
      </c>
      <c r="H340" s="453">
        <f>-SUM(H298:H299)+SUM(G298:G299)</f>
        <v>1671308.3599999999</v>
      </c>
      <c r="I340" s="453">
        <f>-SUM(I298:I299)+SUM(H298:H299)</f>
        <v>229578.24000000022</v>
      </c>
      <c r="K340" s="470"/>
    </row>
    <row r="341" spans="2:12" outlineLevel="1" x14ac:dyDescent="0.25">
      <c r="B341" t="s">
        <v>1101</v>
      </c>
      <c r="H341" s="453">
        <f t="shared" ref="H341:I345" si="20">-H306+G306</f>
        <v>-917613.80999999959</v>
      </c>
      <c r="I341" s="453">
        <f t="shared" si="20"/>
        <v>-1054645.5</v>
      </c>
    </row>
    <row r="342" spans="2:12" outlineLevel="1" x14ac:dyDescent="0.25">
      <c r="B342" t="s">
        <v>1102</v>
      </c>
      <c r="H342" s="453">
        <f t="shared" si="20"/>
        <v>4112.5699999999924</v>
      </c>
      <c r="I342" s="453">
        <f t="shared" si="20"/>
        <v>15011.820000000007</v>
      </c>
    </row>
    <row r="343" spans="2:12" outlineLevel="1" x14ac:dyDescent="0.25">
      <c r="B343" t="s">
        <v>1104</v>
      </c>
      <c r="H343" s="453">
        <f t="shared" si="20"/>
        <v>23998.300000000003</v>
      </c>
      <c r="I343" s="453">
        <f t="shared" si="20"/>
        <v>-25117</v>
      </c>
    </row>
    <row r="344" spans="2:12" outlineLevel="1" x14ac:dyDescent="0.25">
      <c r="B344" t="s">
        <v>1106</v>
      </c>
      <c r="H344" s="453">
        <f t="shared" si="20"/>
        <v>-6621</v>
      </c>
      <c r="I344" s="453">
        <f t="shared" si="20"/>
        <v>-12855.7</v>
      </c>
    </row>
    <row r="345" spans="2:12" outlineLevel="1" x14ac:dyDescent="0.25">
      <c r="B345" t="s">
        <v>1108</v>
      </c>
      <c r="H345" s="453">
        <f t="shared" si="20"/>
        <v>2062</v>
      </c>
      <c r="I345" s="453">
        <f t="shared" si="20"/>
        <v>-377.80000000000018</v>
      </c>
    </row>
    <row r="346" spans="2:12" outlineLevel="1" x14ac:dyDescent="0.25">
      <c r="B346" t="s">
        <v>2396</v>
      </c>
      <c r="H346" s="453">
        <f>H335-SUM(H340:H345)</f>
        <v>566473.46000000241</v>
      </c>
      <c r="I346" s="453">
        <f>I335-SUM(I340:I345)</f>
        <v>-801829.23000000021</v>
      </c>
    </row>
    <row r="347" spans="2:12" outlineLevel="1" x14ac:dyDescent="0.25"/>
    <row r="348" spans="2:12" outlineLevel="1" x14ac:dyDescent="0.25">
      <c r="B348" s="480" t="s">
        <v>2405</v>
      </c>
    </row>
    <row r="349" spans="2:12" outlineLevel="1" x14ac:dyDescent="0.25">
      <c r="B349" t="str">
        <f>B339</f>
        <v xml:space="preserve">    Erlöse Produktion</v>
      </c>
      <c r="H349" s="470">
        <f t="shared" ref="H349:H356" si="21">H339/$H$335</f>
        <v>0.34913136062257194</v>
      </c>
      <c r="I349" s="470">
        <f t="shared" ref="I349:I356" si="22">I339/-$I$335</f>
        <v>-0.50534933151376249</v>
      </c>
    </row>
    <row r="350" spans="2:12" outlineLevel="1" x14ac:dyDescent="0.25">
      <c r="B350" t="str">
        <f t="shared" ref="B350:B356" si="23">B340</f>
        <v>Steuerfreien Umsätze</v>
      </c>
      <c r="H350" s="470">
        <f t="shared" si="21"/>
        <v>1.2437922403886712</v>
      </c>
      <c r="I350" s="470">
        <f t="shared" si="22"/>
        <v>0.13911849909246585</v>
      </c>
    </row>
    <row r="351" spans="2:12" outlineLevel="1" x14ac:dyDescent="0.25">
      <c r="B351" t="str">
        <f t="shared" si="23"/>
        <v xml:space="preserve">    Erlöse Handel</v>
      </c>
      <c r="H351" s="470">
        <f t="shared" si="21"/>
        <v>-0.68289070040401412</v>
      </c>
      <c r="I351" s="470">
        <f t="shared" si="22"/>
        <v>-0.63908800343892802</v>
      </c>
    </row>
    <row r="352" spans="2:12" outlineLevel="1" x14ac:dyDescent="0.25">
      <c r="B352" t="str">
        <f t="shared" si="23"/>
        <v xml:space="preserve">    Erlöse Sterilisation</v>
      </c>
      <c r="H352" s="470">
        <f t="shared" si="21"/>
        <v>3.0605858119774074E-3</v>
      </c>
      <c r="I352" s="470">
        <f t="shared" si="22"/>
        <v>9.0967761885719645E-3</v>
      </c>
    </row>
    <row r="353" spans="1:46" outlineLevel="1" x14ac:dyDescent="0.25">
      <c r="B353" t="str">
        <f t="shared" si="23"/>
        <v xml:space="preserve">    Erlöse Wartung</v>
      </c>
      <c r="H353" s="470">
        <f t="shared" si="21"/>
        <v>1.785960032086446E-2</v>
      </c>
      <c r="I353" s="470">
        <f t="shared" si="22"/>
        <v>-1.522025494099729E-2</v>
      </c>
    </row>
    <row r="354" spans="1:46" outlineLevel="1" x14ac:dyDescent="0.25">
      <c r="B354" t="str">
        <f t="shared" si="23"/>
        <v xml:space="preserve">    Erlöse Miete</v>
      </c>
      <c r="H354" s="471">
        <f t="shared" si="21"/>
        <v>-4.9273662602952531E-3</v>
      </c>
      <c r="I354" s="470">
        <f t="shared" si="22"/>
        <v>-7.7902230140931986E-3</v>
      </c>
    </row>
    <row r="355" spans="1:46" outlineLevel="1" x14ac:dyDescent="0.25">
      <c r="B355" t="str">
        <f t="shared" si="23"/>
        <v xml:space="preserve">    Erlöse Abfallverwertung</v>
      </c>
      <c r="H355" s="470">
        <f t="shared" si="21"/>
        <v>1.534546024577679E-3</v>
      </c>
      <c r="I355" s="470">
        <f t="shared" si="22"/>
        <v>-2.2893706719388378E-4</v>
      </c>
    </row>
    <row r="356" spans="1:46" outlineLevel="1" x14ac:dyDescent="0.25">
      <c r="B356" t="str">
        <f t="shared" si="23"/>
        <v>Sonstige Umsätze</v>
      </c>
      <c r="H356" s="470">
        <f t="shared" si="21"/>
        <v>0.42157109411821853</v>
      </c>
      <c r="I356" s="470">
        <f t="shared" si="22"/>
        <v>-0.48588785681982544</v>
      </c>
    </row>
    <row r="357" spans="1:46" outlineLevel="1" x14ac:dyDescent="0.25">
      <c r="H357" s="470"/>
      <c r="I357" s="470"/>
    </row>
    <row r="358" spans="1:46" outlineLevel="1" x14ac:dyDescent="0.25">
      <c r="G358" s="516"/>
      <c r="H358" s="516"/>
      <c r="I358" s="516"/>
      <c r="J358" s="516" t="e">
        <f>J359-H359</f>
        <v>#DIV/0!</v>
      </c>
    </row>
    <row r="359" spans="1:46" outlineLevel="1" x14ac:dyDescent="0.25">
      <c r="B359" s="480" t="s">
        <v>2398</v>
      </c>
      <c r="E359" s="516"/>
      <c r="F359" s="516"/>
      <c r="G359" s="516"/>
      <c r="H359" s="516"/>
      <c r="I359" s="516"/>
      <c r="J359" s="516" t="e">
        <f>J360+SUM(J362:J366)</f>
        <v>#DIV/0!</v>
      </c>
    </row>
    <row r="360" spans="1:46" s="513" customFormat="1" outlineLevel="1" x14ac:dyDescent="0.25">
      <c r="A360" s="512"/>
      <c r="B360" s="513" t="str">
        <f>B99&amp;"-Quote"</f>
        <v xml:space="preserve">    Einkauf RHB 19 % Vorsteuer-Quote</v>
      </c>
      <c r="C360"/>
      <c r="E360" s="514">
        <f>E99/$G336</f>
        <v>3.1717149172961795E-3</v>
      </c>
      <c r="F360" s="514"/>
      <c r="G360" s="514">
        <f>G99/$G336</f>
        <v>1.9713272389314685E-3</v>
      </c>
      <c r="H360" s="514">
        <f>H99/$H336</f>
        <v>1.6458272472339944E-3</v>
      </c>
      <c r="I360" s="514">
        <f>I99/$I336</f>
        <v>1.8869259568660918E-3</v>
      </c>
      <c r="J360" s="514">
        <f>J99/$I336</f>
        <v>0</v>
      </c>
      <c r="K360" s="515"/>
      <c r="L360" s="515"/>
      <c r="M360" s="515"/>
      <c r="N360" s="515"/>
      <c r="O360" s="515"/>
      <c r="P360" s="515"/>
      <c r="Q360" s="515"/>
      <c r="R360" s="515"/>
      <c r="S360" s="515"/>
      <c r="T360" s="515"/>
      <c r="U360" s="515"/>
      <c r="V360" s="515"/>
      <c r="W360" s="515"/>
      <c r="X360" s="515"/>
      <c r="Y360" s="515"/>
      <c r="Z360" s="515"/>
      <c r="AA360" s="515"/>
      <c r="AB360" s="515"/>
      <c r="AC360" s="515"/>
      <c r="AD360" s="515"/>
      <c r="AE360" s="515"/>
      <c r="AF360" s="515"/>
      <c r="AG360" s="515"/>
      <c r="AH360" s="515"/>
      <c r="AI360" s="515"/>
      <c r="AJ360" s="515"/>
      <c r="AK360" s="515"/>
      <c r="AL360" s="515"/>
      <c r="AM360" s="515"/>
      <c r="AN360" s="515"/>
      <c r="AO360" s="515"/>
      <c r="AP360" s="515"/>
      <c r="AQ360" s="515"/>
      <c r="AR360" s="515"/>
      <c r="AS360" s="515"/>
      <c r="AT360" s="515"/>
    </row>
    <row r="361" spans="1:46" outlineLevel="1" x14ac:dyDescent="0.25">
      <c r="B361" t="s">
        <v>2399</v>
      </c>
      <c r="D361" s="471"/>
      <c r="E361" s="471">
        <f>SUM(E100:E103)/E336</f>
        <v>2.9063863657579861E-2</v>
      </c>
      <c r="F361" s="471"/>
      <c r="G361" s="471">
        <f>SUM(G100:G103)/G336</f>
        <v>4.1635819469326672E-2</v>
      </c>
      <c r="H361" s="471">
        <f>SUM(H100:H103)/H336</f>
        <v>3.8326982666134587E-2</v>
      </c>
      <c r="I361" s="471">
        <f>SUM(I100:I103)/I336</f>
        <v>3.3281655560449652E-2</v>
      </c>
      <c r="J361" s="471" t="e">
        <f>SUM(J100:J103)/J336</f>
        <v>#DIV/0!</v>
      </c>
    </row>
    <row r="362" spans="1:46" s="513" customFormat="1" outlineLevel="1" x14ac:dyDescent="0.25">
      <c r="A362" s="512"/>
      <c r="B362" s="513" t="s">
        <v>2400</v>
      </c>
      <c r="C362"/>
      <c r="E362" s="514">
        <f>E104/E$336</f>
        <v>4.008243080031791E-3</v>
      </c>
      <c r="F362" s="514"/>
      <c r="G362" s="514">
        <f t="shared" ref="G362:J365" si="24">G104/G$336</f>
        <v>1.1207599214389219E-3</v>
      </c>
      <c r="H362" s="514">
        <f t="shared" si="24"/>
        <v>1.7031562601799544E-2</v>
      </c>
      <c r="I362" s="514">
        <f t="shared" si="24"/>
        <v>1.3350189597529645E-3</v>
      </c>
      <c r="J362" s="514" t="e">
        <f t="shared" si="24"/>
        <v>#DIV/0!</v>
      </c>
      <c r="K362" s="515"/>
      <c r="L362" s="515"/>
      <c r="M362" s="515"/>
      <c r="N362" s="515"/>
      <c r="O362" s="515"/>
      <c r="P362" s="515"/>
      <c r="Q362" s="515"/>
      <c r="R362" s="515"/>
      <c r="S362" s="515"/>
      <c r="T362" s="515"/>
      <c r="U362" s="515"/>
      <c r="V362" s="515"/>
      <c r="W362" s="515"/>
      <c r="X362" s="515"/>
      <c r="Y362" s="515"/>
      <c r="Z362" s="515"/>
      <c r="AA362" s="515"/>
      <c r="AB362" s="515"/>
      <c r="AC362" s="515"/>
      <c r="AD362" s="515"/>
      <c r="AE362" s="515"/>
      <c r="AF362" s="515"/>
      <c r="AG362" s="515"/>
      <c r="AH362" s="515"/>
      <c r="AI362" s="515"/>
      <c r="AJ362" s="515"/>
      <c r="AK362" s="515"/>
      <c r="AL362" s="515"/>
      <c r="AM362" s="515"/>
      <c r="AN362" s="515"/>
      <c r="AO362" s="515"/>
      <c r="AP362" s="515"/>
      <c r="AQ362" s="515"/>
      <c r="AR362" s="515"/>
      <c r="AS362" s="515"/>
      <c r="AT362" s="515"/>
    </row>
    <row r="363" spans="1:46" s="513" customFormat="1" outlineLevel="1" x14ac:dyDescent="0.25">
      <c r="A363" s="512"/>
      <c r="B363" s="513" t="s">
        <v>2401</v>
      </c>
      <c r="C363"/>
      <c r="E363" s="514">
        <f>E105/E$336</f>
        <v>9.0349440461181388E-2</v>
      </c>
      <c r="F363" s="514"/>
      <c r="G363" s="514">
        <f t="shared" si="24"/>
        <v>0.13320687887737265</v>
      </c>
      <c r="H363" s="514">
        <f t="shared" si="24"/>
        <v>0.12206997987732304</v>
      </c>
      <c r="I363" s="514">
        <f t="shared" si="24"/>
        <v>0.11818784708709172</v>
      </c>
      <c r="J363" s="514" t="e">
        <f t="shared" si="24"/>
        <v>#DIV/0!</v>
      </c>
      <c r="K363" s="515"/>
      <c r="L363" s="515"/>
      <c r="M363" s="515"/>
      <c r="N363" s="515"/>
      <c r="O363" s="515"/>
      <c r="P363" s="515"/>
      <c r="Q363" s="515"/>
      <c r="R363" s="515"/>
      <c r="S363" s="515"/>
      <c r="T363" s="515"/>
      <c r="U363" s="515"/>
      <c r="V363" s="515"/>
      <c r="W363" s="515"/>
      <c r="X363" s="515"/>
      <c r="Y363" s="515"/>
      <c r="Z363" s="515"/>
      <c r="AA363" s="515"/>
      <c r="AB363" s="515"/>
      <c r="AC363" s="515"/>
      <c r="AD363" s="515"/>
      <c r="AE363" s="515"/>
      <c r="AF363" s="515"/>
      <c r="AG363" s="515"/>
      <c r="AH363" s="515"/>
      <c r="AI363" s="515"/>
      <c r="AJ363" s="515"/>
      <c r="AK363" s="515"/>
      <c r="AL363" s="515"/>
      <c r="AM363" s="515"/>
      <c r="AN363" s="515"/>
      <c r="AO363" s="515"/>
      <c r="AP363" s="515"/>
      <c r="AQ363" s="515"/>
      <c r="AR363" s="515"/>
      <c r="AS363" s="515"/>
      <c r="AT363" s="515"/>
    </row>
    <row r="364" spans="1:46" s="513" customFormat="1" outlineLevel="1" x14ac:dyDescent="0.25">
      <c r="A364" s="512"/>
      <c r="B364" s="513" t="s">
        <v>2402</v>
      </c>
      <c r="C364"/>
      <c r="E364" s="514">
        <f>E106/E$336</f>
        <v>2.1907552089312343E-2</v>
      </c>
      <c r="F364" s="514"/>
      <c r="G364" s="514">
        <f t="shared" si="24"/>
        <v>1.4333223756360355E-2</v>
      </c>
      <c r="H364" s="514">
        <f t="shared" si="24"/>
        <v>3.6541900018497699E-2</v>
      </c>
      <c r="I364" s="514">
        <f t="shared" si="24"/>
        <v>2.9801458408304879E-2</v>
      </c>
      <c r="J364" s="514" t="e">
        <f t="shared" si="24"/>
        <v>#DIV/0!</v>
      </c>
      <c r="K364" s="515"/>
      <c r="L364" s="515"/>
      <c r="M364" s="515"/>
      <c r="N364" s="515"/>
      <c r="O364" s="515"/>
      <c r="P364" s="515"/>
      <c r="Q364" s="515"/>
      <c r="R364" s="515"/>
      <c r="S364" s="515"/>
      <c r="T364" s="515"/>
      <c r="U364" s="515"/>
      <c r="V364" s="515"/>
      <c r="W364" s="515"/>
      <c r="X364" s="515"/>
      <c r="Y364" s="515"/>
      <c r="Z364" s="515"/>
      <c r="AA364" s="515"/>
      <c r="AB364" s="515"/>
      <c r="AC364" s="515"/>
      <c r="AD364" s="515"/>
      <c r="AE364" s="515"/>
      <c r="AF364" s="515"/>
      <c r="AG364" s="515"/>
      <c r="AH364" s="515"/>
      <c r="AI364" s="515"/>
      <c r="AJ364" s="515"/>
      <c r="AK364" s="515"/>
      <c r="AL364" s="515"/>
      <c r="AM364" s="515"/>
      <c r="AN364" s="515"/>
      <c r="AO364" s="515"/>
      <c r="AP364" s="515"/>
      <c r="AQ364" s="515"/>
      <c r="AR364" s="515"/>
      <c r="AS364" s="515"/>
      <c r="AT364" s="515"/>
    </row>
    <row r="365" spans="1:46" s="513" customFormat="1" outlineLevel="1" x14ac:dyDescent="0.25">
      <c r="A365" s="512"/>
      <c r="B365" s="513" t="str">
        <f>B107&amp;"-Quote"</f>
        <v xml:space="preserve">    EU-Erwerb 19% Vorst./USt-Quote</v>
      </c>
      <c r="C365"/>
      <c r="E365" s="514">
        <f>E107/E$336</f>
        <v>0.33051751932960638</v>
      </c>
      <c r="F365" s="514"/>
      <c r="G365" s="514">
        <f t="shared" si="24"/>
        <v>0.36278792177407154</v>
      </c>
      <c r="H365" s="514">
        <f t="shared" si="24"/>
        <v>0.32396194782283255</v>
      </c>
      <c r="I365" s="514">
        <f t="shared" si="24"/>
        <v>0.2228352534927095</v>
      </c>
      <c r="J365" s="514" t="e">
        <f t="shared" si="24"/>
        <v>#DIV/0!</v>
      </c>
      <c r="K365" s="515"/>
      <c r="L365" s="515"/>
      <c r="M365" s="515"/>
      <c r="N365" s="515"/>
      <c r="O365" s="515"/>
      <c r="P365" s="515"/>
      <c r="Q365" s="515"/>
      <c r="R365" s="515"/>
      <c r="S365" s="515"/>
      <c r="T365" s="515"/>
      <c r="U365" s="515"/>
      <c r="V365" s="515"/>
      <c r="W365" s="515"/>
      <c r="X365" s="515"/>
      <c r="Y365" s="515"/>
      <c r="Z365" s="515"/>
      <c r="AA365" s="515"/>
      <c r="AB365" s="515"/>
      <c r="AC365" s="515"/>
      <c r="AD365" s="515"/>
      <c r="AE365" s="515"/>
      <c r="AF365" s="515"/>
      <c r="AG365" s="515"/>
      <c r="AH365" s="515"/>
      <c r="AI365" s="515"/>
      <c r="AJ365" s="515"/>
      <c r="AK365" s="515"/>
      <c r="AL365" s="515"/>
      <c r="AM365" s="515"/>
      <c r="AN365" s="515"/>
      <c r="AO365" s="515"/>
      <c r="AP365" s="515"/>
      <c r="AQ365" s="515"/>
      <c r="AR365" s="515"/>
      <c r="AS365" s="515"/>
      <c r="AT365" s="515"/>
    </row>
    <row r="366" spans="1:46" s="513" customFormat="1" outlineLevel="1" x14ac:dyDescent="0.25">
      <c r="A366" s="512"/>
      <c r="B366" s="513" t="s">
        <v>2403</v>
      </c>
      <c r="C366"/>
      <c r="E366" s="514">
        <f>SUM(E108:E113)/E336</f>
        <v>-2.0625577791053368E-2</v>
      </c>
      <c r="F366" s="514"/>
      <c r="G366" s="514">
        <f>SUM(G108:G113)/G336</f>
        <v>-3.3878061613667618E-2</v>
      </c>
      <c r="H366" s="514">
        <f>SUM(H108:H113)/H336</f>
        <v>-4.5897254693861807E-2</v>
      </c>
      <c r="I366" s="514">
        <f>SUM(I108:I113)/I336</f>
        <v>7.5857984787257762E-2</v>
      </c>
      <c r="J366" s="514" t="e">
        <f>SUM(J108:J113)/J336</f>
        <v>#DIV/0!</v>
      </c>
      <c r="K366" s="515"/>
      <c r="L366" s="515"/>
      <c r="M366" s="515"/>
      <c r="N366" s="515"/>
      <c r="O366" s="515"/>
      <c r="P366" s="515"/>
      <c r="Q366" s="515"/>
      <c r="R366" s="515"/>
      <c r="S366" s="515"/>
      <c r="T366" s="515"/>
      <c r="U366" s="515"/>
      <c r="V366" s="515"/>
      <c r="W366" s="515"/>
      <c r="X366" s="515"/>
      <c r="Y366" s="515"/>
      <c r="Z366" s="515"/>
      <c r="AA366" s="515"/>
      <c r="AB366" s="515"/>
      <c r="AC366" s="515"/>
      <c r="AD366" s="515"/>
      <c r="AE366" s="515"/>
      <c r="AF366" s="515"/>
      <c r="AG366" s="515"/>
      <c r="AH366" s="515"/>
      <c r="AI366" s="515"/>
      <c r="AJ366" s="515"/>
      <c r="AK366" s="515"/>
      <c r="AL366" s="515"/>
      <c r="AM366" s="515"/>
      <c r="AN366" s="515"/>
      <c r="AO366" s="515"/>
      <c r="AP366" s="515"/>
      <c r="AQ366" s="515"/>
      <c r="AR366" s="515"/>
      <c r="AS366" s="515"/>
      <c r="AT366" s="515"/>
    </row>
    <row r="367" spans="1:46" outlineLevel="1" x14ac:dyDescent="0.25">
      <c r="G367" s="471"/>
      <c r="H367" s="471"/>
      <c r="I367" s="471"/>
      <c r="J367" s="471" t="e">
        <f>J361-H361</f>
        <v>#DIV/0!</v>
      </c>
    </row>
    <row r="368" spans="1:46" outlineLevel="1" x14ac:dyDescent="0.25">
      <c r="G368" s="471"/>
      <c r="H368" s="471"/>
      <c r="I368" s="471"/>
      <c r="J368" s="471"/>
    </row>
    <row r="369" spans="2:9" outlineLevel="1" x14ac:dyDescent="0.25">
      <c r="B369" s="480" t="s">
        <v>2404</v>
      </c>
      <c r="G369" s="470"/>
      <c r="H369" s="470"/>
      <c r="I369" s="470"/>
    </row>
    <row r="370" spans="2:9" outlineLevel="1" x14ac:dyDescent="0.25">
      <c r="B370" t="str">
        <f t="shared" ref="B370:B376" si="25">B360</f>
        <v xml:space="preserve">    Einkauf RHB 19 % Vorsteuer-Quote</v>
      </c>
      <c r="G370" s="470"/>
      <c r="H370" s="471">
        <f t="shared" ref="H370:I376" si="26">H360-G360</f>
        <v>-3.2549999169747407E-4</v>
      </c>
      <c r="I370" s="471">
        <f t="shared" si="26"/>
        <v>2.4109870963209736E-4</v>
      </c>
    </row>
    <row r="371" spans="2:9" outlineLevel="1" x14ac:dyDescent="0.25">
      <c r="B371" t="str">
        <f t="shared" si="25"/>
        <v>Fremdleistungsquote</v>
      </c>
      <c r="G371" s="470"/>
      <c r="H371" s="471">
        <f t="shared" si="26"/>
        <v>-3.3088368031920848E-3</v>
      </c>
      <c r="I371" s="471">
        <f t="shared" si="26"/>
        <v>-5.0453271056849353E-3</v>
      </c>
    </row>
    <row r="372" spans="2:9" outlineLevel="1" x14ac:dyDescent="0.25">
      <c r="B372" t="str">
        <f t="shared" si="25"/>
        <v>Waren DL Quote</v>
      </c>
      <c r="G372" s="470"/>
      <c r="H372" s="471">
        <f t="shared" si="26"/>
        <v>1.5910802680360624E-2</v>
      </c>
      <c r="I372" s="471">
        <f t="shared" si="26"/>
        <v>-1.5696543642046579E-2</v>
      </c>
    </row>
    <row r="373" spans="2:9" outlineLevel="1" x14ac:dyDescent="0.25">
      <c r="B373" t="str">
        <f t="shared" si="25"/>
        <v>Waren Produktion</v>
      </c>
      <c r="G373" s="470"/>
      <c r="H373" s="471">
        <f t="shared" si="26"/>
        <v>-1.1136899000049605E-2</v>
      </c>
      <c r="I373" s="471">
        <f t="shared" si="26"/>
        <v>-3.8821327902313213E-3</v>
      </c>
    </row>
    <row r="374" spans="2:9" outlineLevel="1" x14ac:dyDescent="0.25">
      <c r="B374" t="str">
        <f t="shared" si="25"/>
        <v>Waren Handel</v>
      </c>
      <c r="G374" s="470"/>
      <c r="H374" s="471">
        <f t="shared" si="26"/>
        <v>2.2208676262137343E-2</v>
      </c>
      <c r="I374" s="471">
        <f t="shared" si="26"/>
        <v>-6.7404416101928197E-3</v>
      </c>
    </row>
    <row r="375" spans="2:9" outlineLevel="1" x14ac:dyDescent="0.25">
      <c r="B375" t="str">
        <f t="shared" si="25"/>
        <v xml:space="preserve">    EU-Erwerb 19% Vorst./USt-Quote</v>
      </c>
      <c r="G375" s="470"/>
      <c r="H375" s="471">
        <f t="shared" si="26"/>
        <v>-3.882597395123899E-2</v>
      </c>
      <c r="I375" s="471">
        <f t="shared" si="26"/>
        <v>-0.10112669433012306</v>
      </c>
    </row>
    <row r="376" spans="2:9" outlineLevel="1" x14ac:dyDescent="0.25">
      <c r="B376" t="str">
        <f t="shared" si="25"/>
        <v>Sonstige kosten</v>
      </c>
      <c r="H376" s="471">
        <f t="shared" si="26"/>
        <v>-1.2019193080194189E-2</v>
      </c>
      <c r="I376" s="471">
        <f t="shared" si="26"/>
        <v>0.12175523948111958</v>
      </c>
    </row>
    <row r="377" spans="2:9" outlineLevel="1" x14ac:dyDescent="0.25"/>
    <row r="378" spans="2:9" outlineLevel="1" x14ac:dyDescent="0.25">
      <c r="B378" s="480" t="s">
        <v>2419</v>
      </c>
    </row>
    <row r="379" spans="2:9" outlineLevel="1" x14ac:dyDescent="0.25">
      <c r="B379" t="s">
        <v>315</v>
      </c>
      <c r="E379" s="453">
        <f>NA_TWC!F9*1000</f>
        <v>1953401.08</v>
      </c>
      <c r="F379" s="453"/>
      <c r="G379" s="453">
        <f>NA_TWC!G9*1000</f>
        <v>2652108.65</v>
      </c>
      <c r="H379" s="453">
        <f>NA_TWC!H9*1000</f>
        <v>3855883.64</v>
      </c>
      <c r="I379" s="453">
        <f>NA_TWC!I9*1000</f>
        <v>2912686.56</v>
      </c>
    </row>
    <row r="380" spans="2:9" outlineLevel="1" x14ac:dyDescent="0.25">
      <c r="B380" t="s">
        <v>2415</v>
      </c>
      <c r="E380" s="453">
        <f>NA_TWC!F10*1000</f>
        <v>1780656.07</v>
      </c>
      <c r="F380" s="453"/>
      <c r="G380" s="453">
        <f>NA_TWC!G10*1000</f>
        <v>1586367.79</v>
      </c>
      <c r="H380" s="453">
        <f>NA_TWC!H10*1000</f>
        <v>1988801.36</v>
      </c>
      <c r="I380" s="453">
        <f>NA_TWC!I10*1000</f>
        <v>1415654.21</v>
      </c>
    </row>
    <row r="381" spans="2:9" outlineLevel="1" x14ac:dyDescent="0.25">
      <c r="B381" t="s">
        <v>2416</v>
      </c>
      <c r="E381" s="453">
        <f>-NA_TWC!F11*1000</f>
        <v>752859.66</v>
      </c>
      <c r="F381" s="453"/>
      <c r="G381" s="453">
        <f>-NA_TWC!G11*1000</f>
        <v>848283.56</v>
      </c>
      <c r="H381" s="453">
        <f>-NA_TWC!H11*1000</f>
        <v>1220438.01</v>
      </c>
      <c r="I381" s="453">
        <f>-NA_TWC!I11*1000</f>
        <v>243489.74</v>
      </c>
    </row>
    <row r="382" spans="2:9" outlineLevel="1" x14ac:dyDescent="0.25">
      <c r="B382" t="s">
        <v>2417</v>
      </c>
      <c r="E382" s="453">
        <f>-NA_TWC!F12*1000</f>
        <v>50000</v>
      </c>
      <c r="F382" s="453"/>
      <c r="G382" s="453">
        <f>-NA_TWC!G12*1000</f>
        <v>50000</v>
      </c>
      <c r="H382" s="453">
        <f>-NA_TWC!H12*1000</f>
        <v>50000</v>
      </c>
      <c r="I382" s="453">
        <f>-NA_TWC!I12*1000</f>
        <v>0</v>
      </c>
    </row>
    <row r="383" spans="2:9" outlineLevel="1" x14ac:dyDescent="0.25">
      <c r="B383" s="480" t="s">
        <v>75</v>
      </c>
      <c r="E383" s="488">
        <f>E379+E380-E381-E382</f>
        <v>2931197.49</v>
      </c>
      <c r="F383" s="488"/>
      <c r="G383" s="488">
        <f>G379+G380-G381-G382</f>
        <v>3340192.8799999994</v>
      </c>
      <c r="H383" s="488">
        <f>H379+H380-H381-H382</f>
        <v>4574246.99</v>
      </c>
      <c r="I383" s="488">
        <f>I379+I380-I381-I382</f>
        <v>4084851.0299999993</v>
      </c>
    </row>
    <row r="384" spans="2:9" outlineLevel="1" x14ac:dyDescent="0.25">
      <c r="H384" s="453">
        <f>H383-E383</f>
        <v>1643049.5</v>
      </c>
    </row>
    <row r="385" spans="2:10" outlineLevel="1" x14ac:dyDescent="0.25">
      <c r="B385" s="480" t="s">
        <v>2418</v>
      </c>
    </row>
    <row r="386" spans="2:10" outlineLevel="1" x14ac:dyDescent="0.25">
      <c r="B386" t="str">
        <f>B379</f>
        <v>Vorräte</v>
      </c>
      <c r="G386" s="453">
        <f>G379-E379</f>
        <v>698707.56999999983</v>
      </c>
      <c r="H386" s="453">
        <f>H379-G379</f>
        <v>1203774.9900000002</v>
      </c>
      <c r="I386" s="453">
        <f>I379-H379</f>
        <v>-943197.08000000007</v>
      </c>
    </row>
    <row r="387" spans="2:10" outlineLevel="1" x14ac:dyDescent="0.25">
      <c r="B387" t="str">
        <f>B380</f>
        <v>Forderungen</v>
      </c>
      <c r="G387" s="453">
        <f>G380-E380</f>
        <v>-194288.28000000003</v>
      </c>
      <c r="H387" s="453">
        <f>H380-G380</f>
        <v>402433.57000000007</v>
      </c>
      <c r="I387" s="453">
        <f>I380-H380</f>
        <v>-573147.15000000014</v>
      </c>
    </row>
    <row r="388" spans="2:10" outlineLevel="1" x14ac:dyDescent="0.25">
      <c r="B388" t="str">
        <f>B381</f>
        <v>Verbindlichkeiten</v>
      </c>
      <c r="G388" s="453">
        <f>-(G381-E381)</f>
        <v>-95423.900000000023</v>
      </c>
      <c r="H388" s="453">
        <f>-(H381-G381)</f>
        <v>-372154.44999999995</v>
      </c>
      <c r="I388" s="453">
        <f>-(I381-H381)</f>
        <v>976948.27</v>
      </c>
    </row>
    <row r="389" spans="2:10" outlineLevel="1" x14ac:dyDescent="0.25">
      <c r="B389" t="str">
        <f>B382</f>
        <v>Erhaltene Anzahlung</v>
      </c>
      <c r="G389" s="453">
        <f>-(G382-E382)</f>
        <v>0</v>
      </c>
      <c r="H389" s="453">
        <f>-(H382-G382)</f>
        <v>0</v>
      </c>
      <c r="I389" s="453">
        <f>-(I382-H382)</f>
        <v>50000</v>
      </c>
    </row>
    <row r="390" spans="2:10" outlineLevel="1" x14ac:dyDescent="0.25">
      <c r="G390" s="453">
        <f>SUBTOTAL(9,G386:G389)</f>
        <v>408995.38999999978</v>
      </c>
      <c r="H390" s="453">
        <f>SUBTOTAL(9,H386:H389)</f>
        <v>1234054.1100000003</v>
      </c>
    </row>
    <row r="391" spans="2:10" outlineLevel="1" x14ac:dyDescent="0.25">
      <c r="B391" s="480" t="s">
        <v>2420</v>
      </c>
    </row>
    <row r="392" spans="2:10" outlineLevel="1" x14ac:dyDescent="0.25">
      <c r="B392" t="s">
        <v>2420</v>
      </c>
      <c r="E392" s="453">
        <f>'Balance Sheet (Annual Report)'!E39</f>
        <v>22943.43</v>
      </c>
      <c r="F392" s="453"/>
      <c r="G392" s="453">
        <f>G34</f>
        <v>94129.08</v>
      </c>
      <c r="H392" s="453">
        <f>H34</f>
        <v>0</v>
      </c>
      <c r="I392" s="453">
        <f>I34</f>
        <v>0</v>
      </c>
      <c r="J392" s="453">
        <f>J34</f>
        <v>0</v>
      </c>
    </row>
    <row r="393" spans="2:10" outlineLevel="1" x14ac:dyDescent="0.25">
      <c r="B393" t="s">
        <v>2421</v>
      </c>
      <c r="E393" s="453">
        <f>'Balance Sheet (Annual Report)'!E40+'Balance Sheet (Annual Report)'!E43+'Balance Sheet (Annual Report)'!E44</f>
        <v>8686.27</v>
      </c>
      <c r="F393" s="453"/>
      <c r="G393" s="453">
        <f>G39+G40+G41+G42</f>
        <v>200135.78</v>
      </c>
      <c r="H393" s="453">
        <f>H39+H40+H41+H42</f>
        <v>308301.09999999998</v>
      </c>
      <c r="I393" s="453">
        <f>I39+I40+I41+I42</f>
        <v>305841.84000000003</v>
      </c>
      <c r="J393" s="453">
        <f>J39+J40+J41+J42</f>
        <v>0</v>
      </c>
    </row>
    <row r="394" spans="2:10" outlineLevel="1" x14ac:dyDescent="0.25"/>
    <row r="395" spans="2:10" outlineLevel="1" x14ac:dyDescent="0.25">
      <c r="B395" s="480" t="s">
        <v>2422</v>
      </c>
    </row>
    <row r="396" spans="2:10" outlineLevel="1" x14ac:dyDescent="0.25">
      <c r="B396" t="s">
        <v>1880</v>
      </c>
      <c r="E396" s="453">
        <f>'Balance Sheet (Annual Report)'!E74</f>
        <v>275934.76</v>
      </c>
      <c r="F396" s="453"/>
      <c r="G396" s="453">
        <f>'Balance Sheet (Annual Report)'!F74</f>
        <v>195556.22</v>
      </c>
      <c r="H396" s="453">
        <f>'Balance Sheet (Annual Report)'!G74</f>
        <v>139441.74</v>
      </c>
      <c r="I396"/>
      <c r="J396" s="453">
        <f>-J17</f>
        <v>0</v>
      </c>
    </row>
    <row r="397" spans="2:10" outlineLevel="1" x14ac:dyDescent="0.25">
      <c r="B397" t="s">
        <v>1882</v>
      </c>
      <c r="E397" s="453">
        <f>'Balance Sheet (Annual Report)'!E75</f>
        <v>8000</v>
      </c>
      <c r="F397" s="453"/>
      <c r="G397" s="453">
        <f>'Balance Sheet (Annual Report)'!F75</f>
        <v>8000</v>
      </c>
      <c r="H397" s="453">
        <f>'Balance Sheet (Annual Report)'!G75</f>
        <v>8000</v>
      </c>
      <c r="J397" s="453">
        <f>-J18</f>
        <v>0</v>
      </c>
    </row>
    <row r="398" spans="2:10" outlineLevel="1" x14ac:dyDescent="0.25">
      <c r="B398" t="s">
        <v>1884</v>
      </c>
      <c r="E398" s="453">
        <f>'Balance Sheet (Annual Report)'!E76</f>
        <v>186290.02</v>
      </c>
      <c r="F398" s="453"/>
      <c r="G398" s="453">
        <f>'Balance Sheet (Annual Report)'!F76</f>
        <v>156334.18</v>
      </c>
      <c r="H398" s="453">
        <f>'Balance Sheet (Annual Report)'!G76</f>
        <v>10021.209999999999</v>
      </c>
      <c r="J398" s="453">
        <f>-J19</f>
        <v>0</v>
      </c>
    </row>
    <row r="399" spans="2:10" outlineLevel="1" x14ac:dyDescent="0.25">
      <c r="B399" t="s">
        <v>1886</v>
      </c>
      <c r="E399" s="453">
        <f>'Balance Sheet (Annual Report)'!E77</f>
        <v>27419</v>
      </c>
      <c r="F399" s="453"/>
      <c r="G399" s="453">
        <f>'Balance Sheet (Annual Report)'!F77</f>
        <v>27517</v>
      </c>
      <c r="H399" s="453">
        <f>'Balance Sheet (Annual Report)'!G77</f>
        <v>33940</v>
      </c>
      <c r="J399" s="453">
        <f>-J20</f>
        <v>0</v>
      </c>
    </row>
    <row r="400" spans="2:10" outlineLevel="1" x14ac:dyDescent="0.25">
      <c r="B400" t="s">
        <v>1888</v>
      </c>
      <c r="E400" s="453">
        <f>'Balance Sheet (Annual Report)'!E78</f>
        <v>30000</v>
      </c>
      <c r="F400" s="453"/>
      <c r="G400" s="453">
        <f>'Balance Sheet (Annual Report)'!F78</f>
        <v>37500</v>
      </c>
      <c r="H400" s="453">
        <f>'Balance Sheet (Annual Report)'!G78</f>
        <v>37000</v>
      </c>
      <c r="J400" s="453">
        <f>-J21</f>
        <v>0</v>
      </c>
    </row>
    <row r="402" spans="2:10" outlineLevel="1" x14ac:dyDescent="0.25">
      <c r="B402" s="480" t="s">
        <v>2423</v>
      </c>
    </row>
    <row r="403" spans="2:10" outlineLevel="1" x14ac:dyDescent="0.25">
      <c r="B403" t="str">
        <f>B396</f>
        <v xml:space="preserve">    Rückstellungen für Personalkosten</v>
      </c>
      <c r="G403" s="453">
        <f>G396-E396</f>
        <v>-80378.540000000008</v>
      </c>
      <c r="H403" s="453">
        <f>H396-G396</f>
        <v>-56114.48000000001</v>
      </c>
      <c r="J403" s="453">
        <f>J396-H396</f>
        <v>-139441.74</v>
      </c>
    </row>
    <row r="404" spans="2:10" outlineLevel="1" x14ac:dyDescent="0.25">
      <c r="B404" t="str">
        <f>B397</f>
        <v xml:space="preserve">    Rückstellungen für Aufbewahrungspflicht</v>
      </c>
      <c r="G404" s="453">
        <f>G397-E397</f>
        <v>0</v>
      </c>
      <c r="H404" s="453">
        <f>H397-G397</f>
        <v>0</v>
      </c>
      <c r="J404" s="453">
        <f>J397-H397</f>
        <v>-8000</v>
      </c>
    </row>
    <row r="405" spans="2:10" outlineLevel="1" x14ac:dyDescent="0.25">
      <c r="B405" t="str">
        <f>B398</f>
        <v xml:space="preserve">    Sonstige Rückstellungen</v>
      </c>
      <c r="G405" s="453">
        <f>G398-E398</f>
        <v>-29955.839999999997</v>
      </c>
      <c r="H405" s="453">
        <f>H398-G398</f>
        <v>-146312.97</v>
      </c>
      <c r="J405" s="453">
        <f>J398-H398</f>
        <v>-10021.209999999999</v>
      </c>
    </row>
    <row r="406" spans="2:10" outlineLevel="1" x14ac:dyDescent="0.25">
      <c r="B406" t="str">
        <f>B399</f>
        <v xml:space="preserve">    Rückstellungen f. Gewährleistungen</v>
      </c>
      <c r="G406" s="453">
        <f>G399-E399</f>
        <v>98</v>
      </c>
      <c r="H406" s="453">
        <f>H399-G399</f>
        <v>6423</v>
      </c>
      <c r="J406" s="453">
        <f>J399-H399</f>
        <v>-33940</v>
      </c>
    </row>
    <row r="407" spans="2:10" outlineLevel="1" x14ac:dyDescent="0.25">
      <c r="B407" t="str">
        <f>B400</f>
        <v xml:space="preserve">    Rückstellungen für Abschluss u. Prüfung</v>
      </c>
      <c r="G407" s="453">
        <f>G400-E400</f>
        <v>7500</v>
      </c>
      <c r="H407" s="453">
        <f>H400-G400</f>
        <v>-500</v>
      </c>
      <c r="J407" s="453">
        <f>J400-H400</f>
        <v>-37000</v>
      </c>
    </row>
    <row r="408" spans="2:10" outlineLevel="1" x14ac:dyDescent="0.25"/>
    <row r="409" spans="2:10" outlineLevel="1" x14ac:dyDescent="0.25">
      <c r="B409" s="480" t="s">
        <v>2424</v>
      </c>
    </row>
    <row r="410" spans="2:10" outlineLevel="1" x14ac:dyDescent="0.25">
      <c r="B410" t="s">
        <v>69</v>
      </c>
      <c r="E410" s="453">
        <f>SUM('Balance Sheet (Annual Report)'!E85:E101)</f>
        <v>241699.45999999976</v>
      </c>
      <c r="F410" s="453"/>
      <c r="G410" s="453">
        <f>-SUM(G43:G47,G58:G66)</f>
        <v>6991.5199999997767</v>
      </c>
      <c r="H410" s="453">
        <f>-SUM(H43:H47,H58:H66)</f>
        <v>64165.300000000316</v>
      </c>
      <c r="J410" s="453">
        <f>-SUM(J43:J47,J58:J66)</f>
        <v>0</v>
      </c>
    </row>
    <row r="411" spans="2:10" outlineLevel="1" x14ac:dyDescent="0.25">
      <c r="B411" t="s">
        <v>2425</v>
      </c>
      <c r="E411" s="453">
        <f>'Balance Sheet (Annual Report)'!E103</f>
        <v>18773.05</v>
      </c>
      <c r="F411" s="453"/>
      <c r="G411" s="453">
        <f>-G50</f>
        <v>14237.6</v>
      </c>
      <c r="H411" s="453">
        <f>-H50</f>
        <v>21211.07</v>
      </c>
      <c r="J411" s="453">
        <f>-J50</f>
        <v>0</v>
      </c>
    </row>
    <row r="412" spans="2:10" outlineLevel="1" x14ac:dyDescent="0.25">
      <c r="B412" t="s">
        <v>2426</v>
      </c>
      <c r="E412" s="453">
        <f>SUM('Balance Sheet (Annual Report)'!E104:E108)</f>
        <v>183382.87</v>
      </c>
      <c r="F412" s="453"/>
      <c r="G412" s="453">
        <f>-SUM(G53:G57)</f>
        <v>269065.29000000004</v>
      </c>
      <c r="H412" s="453">
        <f>-SUM(H53:H57)</f>
        <v>343759.96</v>
      </c>
      <c r="J412" s="453">
        <f>-SUM(J53:J57)</f>
        <v>0</v>
      </c>
    </row>
    <row r="413" spans="2:10" outlineLevel="1" x14ac:dyDescent="0.25"/>
    <row r="414" spans="2:10" outlineLevel="1" x14ac:dyDescent="0.25">
      <c r="B414" s="480" t="s">
        <v>2427</v>
      </c>
    </row>
    <row r="415" spans="2:10" outlineLevel="1" x14ac:dyDescent="0.25">
      <c r="B415" t="str">
        <f>B410</f>
        <v>Umsatzsteuer</v>
      </c>
      <c r="G415" s="453">
        <f>G410-E410</f>
        <v>-234707.93999999997</v>
      </c>
      <c r="H415" s="453">
        <f>H410-G410</f>
        <v>57173.780000000537</v>
      </c>
      <c r="J415" s="453">
        <f>J410-H410</f>
        <v>-64165.300000000316</v>
      </c>
    </row>
    <row r="416" spans="2:10" outlineLevel="1" x14ac:dyDescent="0.25">
      <c r="B416" t="str">
        <f>B411</f>
        <v>Sonstige Verb.</v>
      </c>
      <c r="G416" s="453">
        <f>G411-E411</f>
        <v>-4535.4499999999989</v>
      </c>
      <c r="H416" s="453">
        <f>H411-G411</f>
        <v>6973.4699999999993</v>
      </c>
      <c r="J416" s="453">
        <f>J411-H411</f>
        <v>-21211.07</v>
      </c>
    </row>
    <row r="417" spans="1:46" outlineLevel="1" x14ac:dyDescent="0.25">
      <c r="B417" t="str">
        <f>B412</f>
        <v>Verbindlichkeiten aus Personalaufwendungen</v>
      </c>
      <c r="G417" s="453">
        <f>G412-E412</f>
        <v>85682.420000000042</v>
      </c>
      <c r="H417" s="453">
        <f>H412-G412</f>
        <v>74694.669999999984</v>
      </c>
      <c r="J417" s="453">
        <f>J412-H412</f>
        <v>-343759.96</v>
      </c>
    </row>
    <row r="418" spans="1:46" outlineLevel="1" x14ac:dyDescent="0.25"/>
    <row r="419" spans="1:46" outlineLevel="1" x14ac:dyDescent="0.25"/>
    <row r="420" spans="1:46" outlineLevel="1" x14ac:dyDescent="0.25">
      <c r="B420" s="480" t="s">
        <v>2479</v>
      </c>
    </row>
    <row r="421" spans="1:46" outlineLevel="1" x14ac:dyDescent="0.25">
      <c r="B421" t="s">
        <v>2472</v>
      </c>
      <c r="E421" s="453">
        <f>SUM('P&amp;L (Annual Report)'!E113:E122)</f>
        <v>19488.82</v>
      </c>
      <c r="F421" s="453"/>
      <c r="G421" s="453">
        <f>SUM(G164:G180)</f>
        <v>16464.950000000004</v>
      </c>
      <c r="H421" s="453">
        <f>SUM(H164:H180)</f>
        <v>20267.22</v>
      </c>
      <c r="I421" s="453">
        <f>SUM(I164:I180)</f>
        <v>24161.390000000003</v>
      </c>
      <c r="J421" s="453">
        <f>SUM(J164:J180)</f>
        <v>0</v>
      </c>
    </row>
    <row r="422" spans="1:46" outlineLevel="1" x14ac:dyDescent="0.25">
      <c r="B422" t="s">
        <v>2473</v>
      </c>
      <c r="E422" s="453">
        <f>SUM('P&amp;L (Annual Report)'!E123:E132)</f>
        <v>47238.579999999994</v>
      </c>
      <c r="F422" s="453"/>
      <c r="G422" s="453">
        <f>SUM(G181:G199)</f>
        <v>38454.26</v>
      </c>
      <c r="H422" s="453">
        <f>SUM(H181:H199)</f>
        <v>43605.639999999992</v>
      </c>
      <c r="I422" s="453">
        <f>SUM(I181:I199)</f>
        <v>27188.18</v>
      </c>
      <c r="J422" s="453">
        <f>SUM(J181:J199)</f>
        <v>0</v>
      </c>
    </row>
    <row r="423" spans="1:46" outlineLevel="1" x14ac:dyDescent="0.25">
      <c r="B423" t="s">
        <v>2474</v>
      </c>
      <c r="E423" s="453">
        <f>SUM('P&amp;L (Annual Report)'!E133:E142)</f>
        <v>21616.55</v>
      </c>
      <c r="F423" s="453"/>
      <c r="G423" s="453">
        <f>SUM(G200:G216)</f>
        <v>28645.600000000002</v>
      </c>
      <c r="H423" s="453">
        <f>SUM(H200:H216)</f>
        <v>32563.399999999998</v>
      </c>
      <c r="I423" s="453">
        <f>SUM(I200:I216)</f>
        <v>29315.37</v>
      </c>
      <c r="J423" s="453">
        <f>SUM(J200:J216)</f>
        <v>0</v>
      </c>
    </row>
    <row r="424" spans="1:46" outlineLevel="1" x14ac:dyDescent="0.25">
      <c r="B424" t="s">
        <v>2475</v>
      </c>
      <c r="E424" s="453">
        <f>SUM('P&amp;L (Annual Report)'!E143:E152)</f>
        <v>91012.44</v>
      </c>
      <c r="F424" s="453"/>
      <c r="G424" s="453">
        <f>SUM(G217:G235)</f>
        <v>100210.71999999999</v>
      </c>
      <c r="H424" s="453">
        <f>SUM(H217:H235)</f>
        <v>137839.16999999998</v>
      </c>
      <c r="I424" s="453">
        <f>SUM(I217:I235)</f>
        <v>152337.97</v>
      </c>
      <c r="J424" s="453">
        <f>SUM(J217:J235)</f>
        <v>0</v>
      </c>
    </row>
    <row r="425" spans="1:46" outlineLevel="1" x14ac:dyDescent="0.25">
      <c r="B425" t="s">
        <v>2476</v>
      </c>
      <c r="E425" s="453">
        <f>SUM('P&amp;L (Annual Report)'!E153:E162)</f>
        <v>4800.8</v>
      </c>
      <c r="F425" s="453"/>
      <c r="G425" s="453">
        <f>SUM(G236:G250)</f>
        <v>9445.6299999999992</v>
      </c>
      <c r="H425" s="453">
        <f>SUM(H236:H250)</f>
        <v>10420.349999999999</v>
      </c>
      <c r="I425" s="453">
        <f>SUM(I236:I250)</f>
        <v>5010.59</v>
      </c>
      <c r="J425" s="453">
        <f>SUM(J236:J250)</f>
        <v>0</v>
      </c>
    </row>
    <row r="426" spans="1:46" outlineLevel="1" x14ac:dyDescent="0.25">
      <c r="B426" t="s">
        <v>2477</v>
      </c>
      <c r="E426" s="453">
        <f>'P&amp;L (Annual Report)'!E163</f>
        <v>510.34</v>
      </c>
      <c r="F426" s="453"/>
      <c r="G426" s="453">
        <f>G252</f>
        <v>1446.92</v>
      </c>
      <c r="H426" s="453">
        <f>H252</f>
        <v>1366.03</v>
      </c>
      <c r="I426" s="453">
        <f>I252</f>
        <v>1935.53</v>
      </c>
      <c r="J426" s="453">
        <f>J252</f>
        <v>0</v>
      </c>
    </row>
    <row r="427" spans="1:46" s="480" customFormat="1" outlineLevel="1" x14ac:dyDescent="0.25">
      <c r="A427" s="520"/>
      <c r="B427" s="480" t="s">
        <v>577</v>
      </c>
      <c r="C427"/>
      <c r="E427" s="488">
        <f>SUM(E421:E426)</f>
        <v>184667.53</v>
      </c>
      <c r="F427" s="488"/>
      <c r="G427" s="488">
        <f>SUM(G421:G426)</f>
        <v>194668.08000000002</v>
      </c>
      <c r="H427" s="488">
        <f>SUM(H421:H426)</f>
        <v>246061.81</v>
      </c>
      <c r="I427" s="488">
        <f>SUM(I421:I426)</f>
        <v>239949.03</v>
      </c>
      <c r="J427" s="453"/>
      <c r="K427" s="488"/>
      <c r="L427" s="488"/>
      <c r="M427" s="488"/>
      <c r="N427" s="488"/>
      <c r="O427" s="488"/>
      <c r="P427" s="453"/>
      <c r="Q427" s="488"/>
      <c r="R427" s="488"/>
      <c r="S427" s="488"/>
      <c r="T427" s="488"/>
      <c r="U427" s="488"/>
      <c r="V427" s="488"/>
      <c r="W427" s="488"/>
      <c r="X427" s="488"/>
      <c r="Y427" s="488"/>
      <c r="Z427" s="488"/>
      <c r="AA427" s="488"/>
      <c r="AB427" s="488"/>
      <c r="AC427" s="488"/>
      <c r="AD427" s="488"/>
      <c r="AE427" s="488"/>
      <c r="AF427" s="488"/>
      <c r="AG427" s="488"/>
      <c r="AH427" s="488"/>
      <c r="AI427" s="488"/>
      <c r="AJ427" s="488"/>
      <c r="AK427" s="488"/>
      <c r="AL427" s="488"/>
      <c r="AM427" s="488"/>
      <c r="AN427" s="488"/>
      <c r="AO427" s="488"/>
      <c r="AP427" s="488"/>
      <c r="AQ427" s="488"/>
      <c r="AR427" s="488"/>
      <c r="AS427" s="488"/>
      <c r="AT427" s="488"/>
    </row>
    <row r="428" spans="1:46" s="480" customFormat="1" outlineLevel="1" x14ac:dyDescent="0.25">
      <c r="A428" s="520"/>
      <c r="C428"/>
      <c r="E428" s="488"/>
      <c r="F428" s="488"/>
      <c r="G428" s="488"/>
      <c r="H428" s="488"/>
      <c r="I428" s="488"/>
      <c r="J428" s="453"/>
      <c r="K428" s="488"/>
      <c r="L428" s="488"/>
      <c r="M428" s="488"/>
      <c r="N428" s="488"/>
      <c r="O428" s="488"/>
      <c r="P428" s="453"/>
      <c r="Q428" s="488"/>
      <c r="R428" s="488"/>
      <c r="S428" s="488"/>
      <c r="T428" s="488"/>
      <c r="U428" s="488"/>
      <c r="V428" s="488"/>
      <c r="W428" s="488"/>
      <c r="X428" s="488"/>
      <c r="Y428" s="488"/>
      <c r="Z428" s="488"/>
      <c r="AA428" s="488"/>
      <c r="AB428" s="488"/>
      <c r="AC428" s="488"/>
      <c r="AD428" s="488"/>
      <c r="AE428" s="488"/>
      <c r="AF428" s="488"/>
      <c r="AG428" s="488"/>
      <c r="AH428" s="488"/>
      <c r="AI428" s="488"/>
      <c r="AJ428" s="488"/>
      <c r="AK428" s="488"/>
      <c r="AL428" s="488"/>
      <c r="AM428" s="488"/>
      <c r="AN428" s="488"/>
      <c r="AO428" s="488"/>
      <c r="AP428" s="488"/>
      <c r="AQ428" s="488"/>
      <c r="AR428" s="488"/>
      <c r="AS428" s="488"/>
      <c r="AT428" s="488"/>
    </row>
    <row r="429" spans="1:46" outlineLevel="1" x14ac:dyDescent="0.25">
      <c r="B429" s="480" t="s">
        <v>2478</v>
      </c>
      <c r="E429" s="453"/>
      <c r="F429" s="453"/>
    </row>
    <row r="430" spans="1:46" outlineLevel="1" x14ac:dyDescent="0.25">
      <c r="B430" t="str">
        <f t="shared" ref="B430:B435" si="27">B421</f>
        <v>Versicherung</v>
      </c>
      <c r="G430" s="453">
        <f t="shared" ref="G430:G435" si="28">G421-E421</f>
        <v>-3023.8699999999953</v>
      </c>
      <c r="H430" s="453">
        <f t="shared" ref="H430:I435" si="29">H421-G421</f>
        <v>3802.2699999999968</v>
      </c>
      <c r="I430" s="453">
        <f t="shared" si="29"/>
        <v>3894.1700000000019</v>
      </c>
      <c r="J430" s="453">
        <f t="shared" ref="J430:J435" si="30">J421-H421</f>
        <v>-20267.22</v>
      </c>
    </row>
    <row r="431" spans="1:46" outlineLevel="1" x14ac:dyDescent="0.25">
      <c r="B431" t="str">
        <f t="shared" si="27"/>
        <v>Betriebskosten</v>
      </c>
      <c r="G431" s="453">
        <f t="shared" si="28"/>
        <v>-8784.3199999999924</v>
      </c>
      <c r="H431" s="453">
        <f t="shared" si="29"/>
        <v>5151.3799999999901</v>
      </c>
      <c r="I431" s="453">
        <f t="shared" si="29"/>
        <v>-16417.459999999992</v>
      </c>
      <c r="J431" s="453">
        <f t="shared" si="30"/>
        <v>-43605.639999999992</v>
      </c>
    </row>
    <row r="432" spans="1:46" outlineLevel="1" x14ac:dyDescent="0.25">
      <c r="B432" t="str">
        <f t="shared" si="27"/>
        <v>Reparatur</v>
      </c>
      <c r="G432" s="453">
        <f t="shared" si="28"/>
        <v>7029.0500000000029</v>
      </c>
      <c r="H432" s="453">
        <f t="shared" si="29"/>
        <v>3917.7999999999956</v>
      </c>
      <c r="I432" s="453">
        <f t="shared" si="29"/>
        <v>-3248.0299999999988</v>
      </c>
      <c r="J432" s="453">
        <f t="shared" si="30"/>
        <v>-32563.399999999998</v>
      </c>
    </row>
    <row r="433" spans="1:46" outlineLevel="1" x14ac:dyDescent="0.25">
      <c r="B433" t="str">
        <f t="shared" si="27"/>
        <v>Leasing</v>
      </c>
      <c r="G433" s="453">
        <f t="shared" si="28"/>
        <v>9198.2799999999843</v>
      </c>
      <c r="H433" s="453">
        <f t="shared" si="29"/>
        <v>37628.449999999997</v>
      </c>
      <c r="I433" s="453">
        <f t="shared" si="29"/>
        <v>14498.800000000017</v>
      </c>
      <c r="J433" s="453">
        <f t="shared" si="30"/>
        <v>-137839.16999999998</v>
      </c>
    </row>
    <row r="434" spans="1:46" outlineLevel="1" x14ac:dyDescent="0.25">
      <c r="B434" t="str">
        <f t="shared" si="27"/>
        <v>Sonstige Kosten</v>
      </c>
      <c r="G434" s="453">
        <f t="shared" si="28"/>
        <v>4644.829999999999</v>
      </c>
      <c r="H434" s="453">
        <f t="shared" si="29"/>
        <v>974.71999999999935</v>
      </c>
      <c r="I434" s="453">
        <f t="shared" si="29"/>
        <v>-5409.7599999999984</v>
      </c>
      <c r="J434" s="453">
        <f t="shared" si="30"/>
        <v>-10420.349999999999</v>
      </c>
    </row>
    <row r="435" spans="1:46" outlineLevel="1" x14ac:dyDescent="0.25">
      <c r="B435" t="str">
        <f t="shared" si="27"/>
        <v>Fremdfahrzeugkosten</v>
      </c>
      <c r="G435" s="453">
        <f t="shared" si="28"/>
        <v>936.58000000000015</v>
      </c>
      <c r="H435" s="453">
        <f t="shared" si="29"/>
        <v>-80.8900000000001</v>
      </c>
      <c r="I435" s="453">
        <f t="shared" si="29"/>
        <v>569.5</v>
      </c>
      <c r="J435" s="453">
        <f t="shared" si="30"/>
        <v>-1366.03</v>
      </c>
    </row>
    <row r="436" spans="1:46" s="480" customFormat="1" outlineLevel="1" x14ac:dyDescent="0.25">
      <c r="A436" s="520"/>
      <c r="B436" s="480" t="s">
        <v>577</v>
      </c>
      <c r="C436"/>
      <c r="G436" s="488">
        <f>SUBTOTAL(9,G430:G435)</f>
        <v>10000.549999999997</v>
      </c>
      <c r="H436" s="488">
        <f>SUBTOTAL(9,H430:H435)</f>
        <v>51393.729999999981</v>
      </c>
      <c r="I436" s="488">
        <f>SUBTOTAL(9,I430:I435)</f>
        <v>-6112.7799999999697</v>
      </c>
      <c r="J436" s="488">
        <f>SUBTOTAL(9,J430:J435)</f>
        <v>-246061.81</v>
      </c>
      <c r="K436" s="488"/>
      <c r="L436" s="488"/>
      <c r="M436" s="488"/>
      <c r="N436" s="488"/>
      <c r="O436" s="488"/>
      <c r="P436" s="488"/>
      <c r="Q436" s="488"/>
      <c r="R436" s="488"/>
      <c r="S436" s="488"/>
      <c r="T436" s="488"/>
      <c r="U436" s="488"/>
      <c r="V436" s="488"/>
      <c r="W436" s="488"/>
      <c r="X436" s="488"/>
      <c r="Y436" s="488"/>
      <c r="Z436" s="488"/>
      <c r="AA436" s="488"/>
      <c r="AB436" s="488"/>
      <c r="AC436" s="488"/>
      <c r="AD436" s="488"/>
      <c r="AE436" s="488"/>
      <c r="AF436" s="488"/>
      <c r="AG436" s="488"/>
      <c r="AH436" s="488"/>
      <c r="AI436" s="488"/>
      <c r="AJ436" s="488"/>
      <c r="AK436" s="488"/>
      <c r="AL436" s="488"/>
      <c r="AM436" s="488"/>
      <c r="AN436" s="488"/>
      <c r="AO436" s="488"/>
      <c r="AP436" s="488"/>
      <c r="AQ436" s="488"/>
      <c r="AR436" s="488"/>
      <c r="AS436" s="488"/>
      <c r="AT436" s="488"/>
    </row>
    <row r="437" spans="1:46" outlineLevel="1" x14ac:dyDescent="0.25"/>
    <row r="438" spans="1:46" outlineLevel="1" x14ac:dyDescent="0.25">
      <c r="B438" s="480" t="s">
        <v>2480</v>
      </c>
      <c r="H438" s="470"/>
    </row>
    <row r="439" spans="1:46" outlineLevel="1" x14ac:dyDescent="0.25">
      <c r="B439" t="str">
        <f t="shared" ref="B439:B444" si="31">B430</f>
        <v>Versicherung</v>
      </c>
      <c r="G439" s="470">
        <f t="shared" ref="G439:G444" si="32">G430/$G$436</f>
        <v>-0.30237036962966996</v>
      </c>
      <c r="H439" s="470">
        <f t="shared" ref="H439:H444" si="33">H430/$H$436</f>
        <v>7.3983149306345308E-2</v>
      </c>
    </row>
    <row r="440" spans="1:46" outlineLevel="1" x14ac:dyDescent="0.25">
      <c r="B440" t="str">
        <f t="shared" si="31"/>
        <v>Betriebskosten</v>
      </c>
      <c r="G440" s="470">
        <f t="shared" si="32"/>
        <v>-0.87838368889711016</v>
      </c>
      <c r="H440" s="470">
        <f t="shared" si="33"/>
        <v>0.10023362772073542</v>
      </c>
    </row>
    <row r="441" spans="1:46" outlineLevel="1" x14ac:dyDescent="0.25">
      <c r="B441" t="str">
        <f t="shared" si="31"/>
        <v>Reparatur</v>
      </c>
      <c r="G441" s="470">
        <f t="shared" si="32"/>
        <v>0.70286634235117118</v>
      </c>
      <c r="H441" s="470">
        <f t="shared" si="33"/>
        <v>7.6231088889636867E-2</v>
      </c>
    </row>
    <row r="442" spans="1:46" outlineLevel="1" x14ac:dyDescent="0.25">
      <c r="B442" t="str">
        <f t="shared" si="31"/>
        <v>Leasing</v>
      </c>
      <c r="G442" s="470">
        <f t="shared" si="32"/>
        <v>0.91977741224232534</v>
      </c>
      <c r="H442" s="470">
        <f t="shared" si="33"/>
        <v>0.73216032383716867</v>
      </c>
    </row>
    <row r="443" spans="1:46" outlineLevel="1" x14ac:dyDescent="0.25">
      <c r="B443" t="str">
        <f t="shared" si="31"/>
        <v>Sonstige Kosten</v>
      </c>
      <c r="G443" s="470">
        <f t="shared" si="32"/>
        <v>0.4644574548399838</v>
      </c>
      <c r="H443" s="470">
        <f t="shared" si="33"/>
        <v>1.896573764932025E-2</v>
      </c>
    </row>
    <row r="444" spans="1:46" outlineLevel="1" x14ac:dyDescent="0.25">
      <c r="B444" t="str">
        <f t="shared" si="31"/>
        <v>Fremdfahrzeugkosten</v>
      </c>
      <c r="G444" s="470">
        <f t="shared" si="32"/>
        <v>9.3652849093299906E-2</v>
      </c>
      <c r="H444" s="470">
        <f t="shared" si="33"/>
        <v>-1.5739274032065805E-3</v>
      </c>
    </row>
    <row r="445" spans="1:46" x14ac:dyDescent="0.25">
      <c r="G445" s="453">
        <f>SUBTOTAL(9,G439:G444)</f>
        <v>1</v>
      </c>
      <c r="H445" s="453">
        <f>SUBTOTAL(9,H439:H444)</f>
        <v>0.99999999999999989</v>
      </c>
      <c r="V445" s="453">
        <f>U9-V278-V92</f>
        <v>181978.91</v>
      </c>
      <c r="AF445" s="453">
        <f>AE9-AF80</f>
        <v>79298.91</v>
      </c>
    </row>
    <row r="446" spans="1:46" outlineLevel="1" x14ac:dyDescent="0.25">
      <c r="AH446" s="453">
        <f>AF445-AH278</f>
        <v>75225.62000000001</v>
      </c>
      <c r="AK446" s="453">
        <f>AH446-AK82</f>
        <v>43825.62000000001</v>
      </c>
    </row>
    <row r="447" spans="1:46" outlineLevel="1" x14ac:dyDescent="0.25">
      <c r="B447" s="468" t="s">
        <v>2493</v>
      </c>
    </row>
    <row r="448" spans="1:46" outlineLevel="1" x14ac:dyDescent="0.25">
      <c r="B448" s="521" t="s">
        <v>2494</v>
      </c>
    </row>
    <row r="449" spans="2:8" outlineLevel="1" x14ac:dyDescent="0.25">
      <c r="B449" s="522" t="s">
        <v>2497</v>
      </c>
    </row>
    <row r="450" spans="2:8" outlineLevel="1" x14ac:dyDescent="0.25">
      <c r="B450" s="523" t="s">
        <v>2496</v>
      </c>
    </row>
    <row r="451" spans="2:8" outlineLevel="1" x14ac:dyDescent="0.25">
      <c r="B451" s="524" t="s">
        <v>2495</v>
      </c>
      <c r="D451" t="s">
        <v>2501</v>
      </c>
    </row>
    <row r="452" spans="2:8" outlineLevel="1" x14ac:dyDescent="0.25">
      <c r="B452" s="525" t="s">
        <v>2498</v>
      </c>
    </row>
    <row r="453" spans="2:8" outlineLevel="1" x14ac:dyDescent="0.25">
      <c r="B453" s="526" t="s">
        <v>2499</v>
      </c>
      <c r="D453" t="s">
        <v>2500</v>
      </c>
    </row>
    <row r="456" spans="2:8" x14ac:dyDescent="0.25">
      <c r="B456" s="480" t="s">
        <v>4474</v>
      </c>
    </row>
    <row r="457" spans="2:8" x14ac:dyDescent="0.25">
      <c r="B457" s="468" t="s">
        <v>4475</v>
      </c>
      <c r="D457" s="453">
        <f>-('P&amp;L (Annual Report)'!E29+'P&amp;L (Annual Report)'!E30+'P&amp;L (Annual Report)'!E31+'P&amp;L (Annual Report)'!E32)</f>
        <v>-67348.920000000013</v>
      </c>
      <c r="G457" s="453">
        <f>G81+G82+G323+G324+G325</f>
        <v>-72545</v>
      </c>
      <c r="H457" s="453">
        <f>H81+H82+H323+H324+H325</f>
        <v>-118943</v>
      </c>
    </row>
    <row r="458" spans="2:8" x14ac:dyDescent="0.25">
      <c r="B458" s="575" t="s">
        <v>4473</v>
      </c>
      <c r="D458" s="453">
        <f>-('P&amp;L (Annual Report)'!E36+'P&amp;L (Annual Report)'!E39+'P&amp;L (Annual Report)'!E42+'P&amp;L (Annual Report)'!E43+'P&amp;L (Annual Report)'!E38)</f>
        <v>-101011.36000000002</v>
      </c>
      <c r="G458" s="453">
        <f>G91+G97+G98+G313+G314</f>
        <v>-28214.090000000004</v>
      </c>
      <c r="H458" s="453">
        <f>H91+H97+H98+H313+H314</f>
        <v>-23685.25</v>
      </c>
    </row>
    <row r="459" spans="2:8" x14ac:dyDescent="0.25">
      <c r="B459" s="576" t="s">
        <v>4476</v>
      </c>
      <c r="D459" s="453">
        <f>-('P&amp;L (Annual Report)'!E37+'P&amp;L (Annual Report)'!E34)</f>
        <v>-4784</v>
      </c>
      <c r="G459" s="453">
        <f>G94+G95</f>
        <v>-7992</v>
      </c>
      <c r="H459" s="453">
        <f>H94+H95</f>
        <v>-27177</v>
      </c>
    </row>
    <row r="460" spans="2:8" x14ac:dyDescent="0.25">
      <c r="B460" s="577" t="s">
        <v>4477</v>
      </c>
      <c r="D460" s="453">
        <f>-('P&amp;L (Annual Report)'!E40+'P&amp;L (Annual Report)'!E41)</f>
        <v>-69961.320000000007</v>
      </c>
      <c r="G460" s="453">
        <f>G311+G312</f>
        <v>-66650.069999999992</v>
      </c>
      <c r="H460" s="453">
        <f>H311+H312</f>
        <v>-91308.950000000012</v>
      </c>
    </row>
    <row r="461" spans="2:8" x14ac:dyDescent="0.25">
      <c r="B461" s="578" t="s">
        <v>4478</v>
      </c>
      <c r="D461" s="453">
        <f>-'P&amp;L (Annual Report)'!E30</f>
        <v>0</v>
      </c>
      <c r="G461" s="453">
        <f>G92+G93</f>
        <v>-10163.290000000001</v>
      </c>
      <c r="H461" s="453">
        <f>H92+H93</f>
        <v>0</v>
      </c>
    </row>
    <row r="463" spans="2:8" x14ac:dyDescent="0.25">
      <c r="B463" s="480" t="s">
        <v>4479</v>
      </c>
    </row>
    <row r="464" spans="2:8" x14ac:dyDescent="0.25">
      <c r="B464" s="468" t="s">
        <v>4475</v>
      </c>
      <c r="G464" s="453">
        <f>G457-D457</f>
        <v>-5196.0799999999872</v>
      </c>
      <c r="H464" s="453">
        <f>H457-G457</f>
        <v>-46398</v>
      </c>
    </row>
    <row r="465" spans="2:9" x14ac:dyDescent="0.25">
      <c r="B465" s="575" t="s">
        <v>4473</v>
      </c>
      <c r="G465" s="453">
        <f>G458-D458</f>
        <v>72797.270000000019</v>
      </c>
      <c r="H465" s="453">
        <f>H458-G458</f>
        <v>4528.8400000000038</v>
      </c>
    </row>
    <row r="466" spans="2:9" x14ac:dyDescent="0.25">
      <c r="B466" s="576" t="s">
        <v>4476</v>
      </c>
      <c r="G466" s="453">
        <f>G459-D459</f>
        <v>-3208</v>
      </c>
      <c r="H466" s="453">
        <f>H459-G459</f>
        <v>-19185</v>
      </c>
    </row>
    <row r="467" spans="2:9" x14ac:dyDescent="0.25">
      <c r="B467" s="577" t="s">
        <v>4477</v>
      </c>
      <c r="G467" s="453">
        <f>G460-D460</f>
        <v>3311.2500000000146</v>
      </c>
      <c r="H467" s="453">
        <f>H460-G460</f>
        <v>-24658.880000000019</v>
      </c>
    </row>
    <row r="468" spans="2:9" x14ac:dyDescent="0.25">
      <c r="B468" s="578" t="s">
        <v>4478</v>
      </c>
      <c r="G468" s="453">
        <f>G461-D461</f>
        <v>-10163.290000000001</v>
      </c>
      <c r="H468" s="453">
        <f>H461-G461</f>
        <v>10163.290000000001</v>
      </c>
    </row>
    <row r="472" spans="2:9" x14ac:dyDescent="0.25">
      <c r="B472" t="s">
        <v>315</v>
      </c>
      <c r="D472" s="453">
        <f>SUM(D473:D476)</f>
        <v>1903401.08</v>
      </c>
      <c r="G472" s="453">
        <f>SUM(G473:G476)</f>
        <v>2602108.65</v>
      </c>
      <c r="H472" s="453">
        <f>SUM(H473:H476)</f>
        <v>3805883.64</v>
      </c>
      <c r="I472" s="453">
        <f>SUM(I473:I476)</f>
        <v>2912686.56</v>
      </c>
    </row>
    <row r="473" spans="2:9" x14ac:dyDescent="0.25">
      <c r="B473" t="s">
        <v>4791</v>
      </c>
      <c r="D473" s="627">
        <f>'Balance Sheet (Annual Report)'!E25</f>
        <v>874954.12</v>
      </c>
      <c r="G473" s="627">
        <f t="shared" ref="G473:I474" si="34">G114</f>
        <v>1132347.71</v>
      </c>
      <c r="H473" s="627">
        <f t="shared" si="34"/>
        <v>1243325.5</v>
      </c>
      <c r="I473" s="627">
        <f t="shared" si="34"/>
        <v>955213.3</v>
      </c>
    </row>
    <row r="474" spans="2:9" x14ac:dyDescent="0.25">
      <c r="B474" s="525" t="s">
        <v>4792</v>
      </c>
      <c r="D474" s="627">
        <f>'Balance Sheet (Annual Report)'!E28</f>
        <v>490341.66</v>
      </c>
      <c r="G474" s="627">
        <f t="shared" si="34"/>
        <v>732078.51</v>
      </c>
      <c r="H474" s="627">
        <f t="shared" si="34"/>
        <v>1474080.57</v>
      </c>
      <c r="I474" s="627">
        <f t="shared" si="34"/>
        <v>642805.53</v>
      </c>
    </row>
    <row r="475" spans="2:9" x14ac:dyDescent="0.25">
      <c r="B475" t="s">
        <v>4702</v>
      </c>
      <c r="D475" s="627">
        <f>'Balance Sheet (Annual Report)'!E27</f>
        <v>31922.95</v>
      </c>
      <c r="G475" s="627">
        <f t="shared" ref="G475:I476" si="35">G296</f>
        <v>143733.26999999999</v>
      </c>
      <c r="H475" s="627">
        <f t="shared" si="35"/>
        <v>36760.67</v>
      </c>
      <c r="I475" s="627">
        <f t="shared" si="35"/>
        <v>69605.570000000007</v>
      </c>
    </row>
    <row r="476" spans="2:9" x14ac:dyDescent="0.25">
      <c r="B476" t="s">
        <v>4703</v>
      </c>
      <c r="D476" s="627">
        <f>'Balance Sheet (Annual Report)'!E29</f>
        <v>506182.35</v>
      </c>
      <c r="G476" s="627">
        <f t="shared" si="35"/>
        <v>593949.16</v>
      </c>
      <c r="H476" s="627">
        <f t="shared" si="35"/>
        <v>1051716.8999999999</v>
      </c>
      <c r="I476" s="627">
        <f t="shared" si="35"/>
        <v>1245062.1599999999</v>
      </c>
    </row>
  </sheetData>
  <autoFilter ref="A1:AT329" xr:uid="{CAFF6C1A-202F-461B-A834-3A903603E194}">
    <filterColumn colId="3">
      <filters>
        <filter val="/profit and loss/expense/other expense/other operating expense"/>
      </filters>
    </filterColumn>
  </autoFilter>
  <conditionalFormatting sqref="E80">
    <cfRule type="duplicateValues" dxfId="29" priority="13"/>
  </conditionalFormatting>
  <conditionalFormatting sqref="E85">
    <cfRule type="duplicateValues" dxfId="28" priority="9"/>
  </conditionalFormatting>
  <conditionalFormatting sqref="E87">
    <cfRule type="duplicateValues" dxfId="27" priority="11"/>
  </conditionalFormatting>
  <conditionalFormatting sqref="E88">
    <cfRule type="duplicateValues" dxfId="26" priority="10"/>
  </conditionalFormatting>
  <conditionalFormatting sqref="E322">
    <cfRule type="duplicateValues" dxfId="25" priority="12"/>
  </conditionalFormatting>
  <conditionalFormatting sqref="E81:F82">
    <cfRule type="duplicateValues" dxfId="24" priority="19"/>
  </conditionalFormatting>
  <conditionalFormatting sqref="E91:F96">
    <cfRule type="duplicateValues" dxfId="23" priority="18"/>
  </conditionalFormatting>
  <conditionalFormatting sqref="E97:F97">
    <cfRule type="duplicateValues" dxfId="22" priority="17"/>
  </conditionalFormatting>
  <conditionalFormatting sqref="E323:F323">
    <cfRule type="duplicateValues" dxfId="21" priority="16"/>
  </conditionalFormatting>
  <conditionalFormatting sqref="E324:F324">
    <cfRule type="duplicateValues" dxfId="20" priority="15"/>
  </conditionalFormatting>
  <conditionalFormatting sqref="E325:F325">
    <cfRule type="duplicateValues" dxfId="19" priority="14"/>
  </conditionalFormatting>
  <conditionalFormatting sqref="F281:F285">
    <cfRule type="containsText" dxfId="18" priority="8" operator="containsText" text="Dummy">
      <formula>NOT(ISERROR(SEARCH("Dummy",F281)))</formula>
    </cfRule>
  </conditionalFormatting>
  <conditionalFormatting sqref="F292">
    <cfRule type="containsText" dxfId="17" priority="7" operator="containsText" text="Dummy">
      <formula>NOT(ISERROR(SEARCH("Dummy",F292)))</formula>
    </cfRule>
  </conditionalFormatting>
  <conditionalFormatting sqref="F295">
    <cfRule type="containsText" dxfId="16" priority="6" operator="containsText" text="Dummy">
      <formula>NOT(ISERROR(SEARCH("Dummy",F295)))</formula>
    </cfRule>
  </conditionalFormatting>
  <conditionalFormatting sqref="H370:H376">
    <cfRule type="colorScale" priority="21">
      <colorScale>
        <cfvo type="min"/>
        <cfvo type="percentile" val="50"/>
        <cfvo type="max"/>
        <color rgb="FFF8696B"/>
        <color rgb="FFFFEB84"/>
        <color rgb="FF63BE7B"/>
      </colorScale>
    </cfRule>
  </conditionalFormatting>
  <conditionalFormatting sqref="I370:I376">
    <cfRule type="colorScale" priority="20">
      <colorScale>
        <cfvo type="min"/>
        <cfvo type="percentile" val="50"/>
        <cfvo type="max"/>
        <color rgb="FFF8696B"/>
        <color rgb="FFFFEB84"/>
        <color rgb="FF63BE7B"/>
      </colorScale>
    </cfRule>
  </conditionalFormatting>
  <pageMargins left="0.7" right="0.7" top="0.75" bottom="0.75" header="0.3" footer="0.3"/>
  <pageSetup orientation="portrait" horizontalDpi="4294967295" verticalDpi="4294967295"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47D298F-7F30-4ABD-A5E1-862213A2ABF0}">
          <x14:formula1>
            <xm:f>'Trial Balance Dropdown'!$A$2:$A$305</xm:f>
          </x14:formula1>
          <xm:sqref>D84</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9920-C801-4DEF-8396-E5358DABA146}">
  <sheetPr>
    <outlinePr summaryBelow="0"/>
  </sheetPr>
  <dimension ref="A1:K265"/>
  <sheetViews>
    <sheetView workbookViewId="0">
      <selection sqref="A1:K1"/>
    </sheetView>
  </sheetViews>
  <sheetFormatPr defaultColWidth="11.42578125" defaultRowHeight="15" outlineLevelRow="1" x14ac:dyDescent="0.25"/>
  <cols>
    <col min="1" max="1" width="8.85546875" customWidth="1"/>
    <col min="2" max="2" width="9.5703125" customWidth="1"/>
    <col min="3" max="3" width="46" customWidth="1"/>
    <col min="4" max="5" width="15.42578125" customWidth="1"/>
    <col min="6" max="6" width="16" customWidth="1"/>
    <col min="7" max="7" width="12.42578125" customWidth="1"/>
    <col min="8" max="9" width="16.42578125" customWidth="1"/>
    <col min="10" max="10" width="16" customWidth="1"/>
    <col min="11" max="11" width="14.42578125" customWidth="1"/>
  </cols>
  <sheetData>
    <row r="1" spans="1:11" x14ac:dyDescent="0.25">
      <c r="A1" s="1021" t="s">
        <v>4747</v>
      </c>
      <c r="B1" s="1022"/>
      <c r="C1" s="1022"/>
      <c r="D1" s="1022"/>
      <c r="E1" s="1022"/>
      <c r="F1" s="1022"/>
      <c r="G1" s="1022"/>
      <c r="H1" s="1022"/>
      <c r="I1" s="1022"/>
      <c r="J1" s="1022"/>
      <c r="K1" s="1022"/>
    </row>
    <row r="2" spans="1:11" ht="30" outlineLevel="1" x14ac:dyDescent="0.25">
      <c r="A2" s="609" t="s">
        <v>4748</v>
      </c>
      <c r="B2" s="609" t="s">
        <v>2542</v>
      </c>
      <c r="C2" s="609" t="s">
        <v>4749</v>
      </c>
      <c r="D2" s="609" t="s">
        <v>4750</v>
      </c>
      <c r="E2" s="609" t="s">
        <v>4751</v>
      </c>
      <c r="F2" s="610" t="s">
        <v>4752</v>
      </c>
      <c r="G2" s="610" t="s">
        <v>4753</v>
      </c>
      <c r="H2" s="610" t="s">
        <v>4754</v>
      </c>
      <c r="I2" s="610" t="s">
        <v>4755</v>
      </c>
      <c r="J2" s="610" t="s">
        <v>4752</v>
      </c>
      <c r="K2" s="610" t="s">
        <v>4753</v>
      </c>
    </row>
    <row r="3" spans="1:11" outlineLevel="1" x14ac:dyDescent="0.25">
      <c r="A3" s="614">
        <v>1020</v>
      </c>
      <c r="B3" s="614"/>
      <c r="C3" s="612" t="s">
        <v>267</v>
      </c>
      <c r="D3" s="623">
        <v>1110797.1399999999</v>
      </c>
      <c r="E3" s="623">
        <v>1275428.54</v>
      </c>
      <c r="F3" s="623">
        <v>-164631.4</v>
      </c>
      <c r="G3" s="623">
        <v>-12.91</v>
      </c>
      <c r="H3" s="623">
        <v>15009728.289999999</v>
      </c>
      <c r="I3" s="623">
        <v>16659963.460000001</v>
      </c>
      <c r="J3" s="623">
        <v>-1650235.17</v>
      </c>
      <c r="K3" s="623">
        <v>-9.91</v>
      </c>
    </row>
    <row r="4" spans="1:11" outlineLevel="1" x14ac:dyDescent="0.25">
      <c r="A4" s="614"/>
      <c r="B4" s="614">
        <v>8120</v>
      </c>
      <c r="C4" s="612" t="s">
        <v>1083</v>
      </c>
      <c r="D4" s="623">
        <v>133276.5</v>
      </c>
      <c r="E4" s="623">
        <v>324373.84999999998</v>
      </c>
      <c r="F4" s="623">
        <v>-191097.35</v>
      </c>
      <c r="G4" s="623">
        <v>-58.91</v>
      </c>
      <c r="H4" s="623">
        <v>3014157</v>
      </c>
      <c r="I4" s="623">
        <v>3023763.09</v>
      </c>
      <c r="J4" s="623">
        <v>-9606.09</v>
      </c>
      <c r="K4" s="623">
        <v>-0.32</v>
      </c>
    </row>
    <row r="5" spans="1:11" outlineLevel="1" x14ac:dyDescent="0.25">
      <c r="A5" s="614"/>
      <c r="B5" s="614">
        <v>8125</v>
      </c>
      <c r="C5" s="612" t="s">
        <v>1085</v>
      </c>
      <c r="D5" s="623">
        <v>135358.18</v>
      </c>
      <c r="E5" s="623">
        <v>138406.45000000001</v>
      </c>
      <c r="F5" s="623">
        <v>-3048.27</v>
      </c>
      <c r="G5" s="623">
        <v>-2.2000000000000002</v>
      </c>
      <c r="H5" s="623">
        <v>1569931.5</v>
      </c>
      <c r="I5" s="623">
        <v>1330747.17</v>
      </c>
      <c r="J5" s="623">
        <v>239184.33</v>
      </c>
      <c r="K5" s="623">
        <v>17.97</v>
      </c>
    </row>
    <row r="6" spans="1:11" outlineLevel="1" x14ac:dyDescent="0.25">
      <c r="A6" s="614"/>
      <c r="B6" s="614">
        <v>8140</v>
      </c>
      <c r="C6" s="612" t="s">
        <v>1087</v>
      </c>
      <c r="D6" s="623">
        <v>0</v>
      </c>
      <c r="E6" s="623">
        <v>0</v>
      </c>
      <c r="F6" s="623">
        <v>0</v>
      </c>
      <c r="G6" s="623"/>
      <c r="H6" s="623">
        <v>1050.5</v>
      </c>
      <c r="I6" s="623">
        <v>0</v>
      </c>
      <c r="J6" s="623">
        <v>1050.5</v>
      </c>
      <c r="K6" s="623"/>
    </row>
    <row r="7" spans="1:11" outlineLevel="1" x14ac:dyDescent="0.25">
      <c r="A7" s="614"/>
      <c r="B7" s="614">
        <v>8336</v>
      </c>
      <c r="C7" s="612" t="s">
        <v>1089</v>
      </c>
      <c r="D7" s="623">
        <v>35700</v>
      </c>
      <c r="E7" s="623">
        <v>2025</v>
      </c>
      <c r="F7" s="623">
        <v>33675</v>
      </c>
      <c r="G7" s="623">
        <v>1662.96</v>
      </c>
      <c r="H7" s="623">
        <v>230610</v>
      </c>
      <c r="I7" s="623">
        <v>161171.35</v>
      </c>
      <c r="J7" s="623">
        <v>69438.649999999994</v>
      </c>
      <c r="K7" s="623">
        <v>43.08</v>
      </c>
    </row>
    <row r="8" spans="1:11" outlineLevel="1" x14ac:dyDescent="0.25">
      <c r="A8" s="614"/>
      <c r="B8" s="614">
        <v>8337</v>
      </c>
      <c r="C8" s="612" t="s">
        <v>1091</v>
      </c>
      <c r="D8" s="623">
        <v>15</v>
      </c>
      <c r="E8" s="623">
        <v>61.25</v>
      </c>
      <c r="F8" s="623">
        <v>-46.25</v>
      </c>
      <c r="G8" s="623">
        <v>-75.510000000000005</v>
      </c>
      <c r="H8" s="623">
        <v>390.75</v>
      </c>
      <c r="I8" s="623">
        <v>600</v>
      </c>
      <c r="J8" s="623">
        <v>-209.25</v>
      </c>
      <c r="K8" s="623">
        <v>-34.880000000000003</v>
      </c>
    </row>
    <row r="9" spans="1:11" outlineLevel="1" x14ac:dyDescent="0.25">
      <c r="A9" s="614"/>
      <c r="B9" s="614">
        <v>8338</v>
      </c>
      <c r="C9" s="612" t="s">
        <v>1093</v>
      </c>
      <c r="D9" s="623">
        <v>4504.3900000000003</v>
      </c>
      <c r="E9" s="623">
        <v>21438.85</v>
      </c>
      <c r="F9" s="623">
        <v>-16934.46</v>
      </c>
      <c r="G9" s="623">
        <v>-78.989999999999995</v>
      </c>
      <c r="H9" s="623">
        <v>29821.58</v>
      </c>
      <c r="I9" s="623">
        <v>75638.34</v>
      </c>
      <c r="J9" s="623">
        <v>-45816.76</v>
      </c>
      <c r="K9" s="623">
        <v>-60.57</v>
      </c>
    </row>
    <row r="10" spans="1:11" outlineLevel="1" x14ac:dyDescent="0.25">
      <c r="A10" s="614"/>
      <c r="B10" s="614">
        <v>8339</v>
      </c>
      <c r="C10" s="612" t="s">
        <v>1095</v>
      </c>
      <c r="D10" s="623">
        <v>1950</v>
      </c>
      <c r="E10" s="623">
        <v>0</v>
      </c>
      <c r="F10" s="623">
        <v>1950</v>
      </c>
      <c r="G10" s="623"/>
      <c r="H10" s="623">
        <v>1950</v>
      </c>
      <c r="I10" s="623">
        <v>0</v>
      </c>
      <c r="J10" s="623">
        <v>1950</v>
      </c>
      <c r="K10" s="623"/>
    </row>
    <row r="11" spans="1:11" outlineLevel="1" x14ac:dyDescent="0.25">
      <c r="A11" s="614"/>
      <c r="B11" s="614">
        <v>8400</v>
      </c>
      <c r="C11" s="612" t="s">
        <v>1099</v>
      </c>
      <c r="D11" s="623">
        <v>454089.74</v>
      </c>
      <c r="E11" s="623">
        <v>528910.59</v>
      </c>
      <c r="F11" s="623">
        <v>-74820.850000000006</v>
      </c>
      <c r="G11" s="623">
        <v>-14.15</v>
      </c>
      <c r="H11" s="623">
        <v>6124283.04</v>
      </c>
      <c r="I11" s="623">
        <v>6958228.2800000003</v>
      </c>
      <c r="J11" s="623">
        <v>-833945.24</v>
      </c>
      <c r="K11" s="623">
        <v>-11.99</v>
      </c>
    </row>
    <row r="12" spans="1:11" outlineLevel="1" x14ac:dyDescent="0.25">
      <c r="A12" s="614"/>
      <c r="B12" s="614">
        <v>8401</v>
      </c>
      <c r="C12" s="612" t="s">
        <v>1101</v>
      </c>
      <c r="D12" s="623">
        <v>343808.68</v>
      </c>
      <c r="E12" s="623">
        <v>260283.51999999999</v>
      </c>
      <c r="F12" s="623">
        <v>83525.16</v>
      </c>
      <c r="G12" s="623">
        <v>32.090000000000003</v>
      </c>
      <c r="H12" s="623">
        <v>4016101.71</v>
      </c>
      <c r="I12" s="623">
        <v>5070747.21</v>
      </c>
      <c r="J12" s="623">
        <v>-1054645.5</v>
      </c>
      <c r="K12" s="623">
        <v>-20.8</v>
      </c>
    </row>
    <row r="13" spans="1:11" outlineLevel="1" x14ac:dyDescent="0.25">
      <c r="A13" s="614"/>
      <c r="B13" s="614">
        <v>8402</v>
      </c>
      <c r="C13" s="612" t="s">
        <v>1102</v>
      </c>
      <c r="D13" s="623">
        <v>10738.5</v>
      </c>
      <c r="E13" s="623">
        <v>5188.67</v>
      </c>
      <c r="F13" s="623">
        <v>5549.83</v>
      </c>
      <c r="G13" s="623">
        <v>106.96</v>
      </c>
      <c r="H13" s="623">
        <v>96273.19</v>
      </c>
      <c r="I13" s="623">
        <v>81261.37</v>
      </c>
      <c r="J13" s="623">
        <v>15011.82</v>
      </c>
      <c r="K13" s="623">
        <v>18.47</v>
      </c>
    </row>
    <row r="14" spans="1:11" outlineLevel="1" x14ac:dyDescent="0.25">
      <c r="A14" s="614"/>
      <c r="B14" s="614">
        <v>8403</v>
      </c>
      <c r="C14" s="612" t="s">
        <v>1104</v>
      </c>
      <c r="D14" s="623">
        <v>6736</v>
      </c>
      <c r="E14" s="623">
        <v>5150</v>
      </c>
      <c r="F14" s="623">
        <v>1586</v>
      </c>
      <c r="G14" s="623">
        <v>30.8</v>
      </c>
      <c r="H14" s="623">
        <v>63396.800000000003</v>
      </c>
      <c r="I14" s="623">
        <v>88513.8</v>
      </c>
      <c r="J14" s="623">
        <v>-25117</v>
      </c>
      <c r="K14" s="623">
        <v>-28.38</v>
      </c>
    </row>
    <row r="15" spans="1:11" outlineLevel="1" x14ac:dyDescent="0.25">
      <c r="A15" s="614"/>
      <c r="B15" s="614">
        <v>8404</v>
      </c>
      <c r="C15" s="612" t="s">
        <v>1106</v>
      </c>
      <c r="D15" s="623">
        <v>330</v>
      </c>
      <c r="E15" s="623">
        <v>2360</v>
      </c>
      <c r="F15" s="623">
        <v>-2030</v>
      </c>
      <c r="G15" s="623">
        <v>-86.02</v>
      </c>
      <c r="H15" s="623">
        <v>28843.3</v>
      </c>
      <c r="I15" s="623">
        <v>41699</v>
      </c>
      <c r="J15" s="623">
        <v>-12855.7</v>
      </c>
      <c r="K15" s="623">
        <v>-30.83</v>
      </c>
    </row>
    <row r="16" spans="1:11" outlineLevel="1" x14ac:dyDescent="0.25">
      <c r="A16" s="614"/>
      <c r="B16" s="614">
        <v>8730</v>
      </c>
      <c r="C16" s="612" t="s">
        <v>1110</v>
      </c>
      <c r="D16" s="623">
        <v>0</v>
      </c>
      <c r="E16" s="623">
        <v>-12.15</v>
      </c>
      <c r="F16" s="623">
        <v>12.15</v>
      </c>
      <c r="G16" s="623">
        <v>100</v>
      </c>
      <c r="H16" s="623">
        <v>-104.17</v>
      </c>
      <c r="I16" s="623">
        <v>-655.09</v>
      </c>
      <c r="J16" s="623">
        <v>550.91999999999996</v>
      </c>
      <c r="K16" s="623">
        <v>84.1</v>
      </c>
    </row>
    <row r="17" spans="1:11" outlineLevel="1" x14ac:dyDescent="0.25">
      <c r="A17" s="614"/>
      <c r="B17" s="614">
        <v>8736</v>
      </c>
      <c r="C17" s="612" t="s">
        <v>1113</v>
      </c>
      <c r="D17" s="623">
        <v>-13649.43</v>
      </c>
      <c r="E17" s="623">
        <v>-10881.87</v>
      </c>
      <c r="F17" s="623">
        <v>-2767.56</v>
      </c>
      <c r="G17" s="623">
        <v>-25.43</v>
      </c>
      <c r="H17" s="623">
        <v>-156650.35999999999</v>
      </c>
      <c r="I17" s="623">
        <v>-159415.34</v>
      </c>
      <c r="J17" s="623">
        <v>2764.98</v>
      </c>
      <c r="K17" s="623">
        <v>1.73</v>
      </c>
    </row>
    <row r="18" spans="1:11" outlineLevel="1" x14ac:dyDescent="0.25">
      <c r="A18" s="614"/>
      <c r="B18" s="614">
        <v>8743</v>
      </c>
      <c r="C18" s="612" t="s">
        <v>1115</v>
      </c>
      <c r="D18" s="623">
        <v>-726.33</v>
      </c>
      <c r="E18" s="623">
        <v>-164.5</v>
      </c>
      <c r="F18" s="623">
        <v>-561.83000000000004</v>
      </c>
      <c r="G18" s="623">
        <v>-341.54</v>
      </c>
      <c r="H18" s="623">
        <v>-8992.4599999999991</v>
      </c>
      <c r="I18" s="623">
        <v>-11224.6</v>
      </c>
      <c r="J18" s="623">
        <v>2232.14</v>
      </c>
      <c r="K18" s="623">
        <v>19.89</v>
      </c>
    </row>
    <row r="19" spans="1:11" outlineLevel="1" x14ac:dyDescent="0.25">
      <c r="A19" s="614"/>
      <c r="B19" s="614">
        <v>8760</v>
      </c>
      <c r="C19" s="612" t="s">
        <v>1117</v>
      </c>
      <c r="D19" s="623">
        <v>0</v>
      </c>
      <c r="E19" s="623">
        <v>0</v>
      </c>
      <c r="F19" s="623">
        <v>0</v>
      </c>
      <c r="G19" s="623"/>
      <c r="H19" s="623">
        <v>-1111.1199999999999</v>
      </c>
      <c r="I19" s="623">
        <v>-2195.94</v>
      </c>
      <c r="J19" s="623">
        <v>1084.82</v>
      </c>
      <c r="K19" s="623">
        <v>49.4</v>
      </c>
    </row>
    <row r="20" spans="1:11" outlineLevel="1" x14ac:dyDescent="0.25">
      <c r="A20" s="614"/>
      <c r="B20" s="614">
        <v>8769</v>
      </c>
      <c r="C20" s="612" t="s">
        <v>1119</v>
      </c>
      <c r="D20" s="623">
        <v>-1334.09</v>
      </c>
      <c r="E20" s="623">
        <v>-1111.1199999999999</v>
      </c>
      <c r="F20" s="623">
        <v>-222.97</v>
      </c>
      <c r="G20" s="623">
        <v>-20.07</v>
      </c>
      <c r="H20" s="623">
        <v>-222.97</v>
      </c>
      <c r="I20" s="623">
        <v>1084.82</v>
      </c>
      <c r="J20" s="623">
        <v>-1307.79</v>
      </c>
      <c r="K20" s="623">
        <v>-120.55</v>
      </c>
    </row>
    <row r="21" spans="1:11" outlineLevel="1" x14ac:dyDescent="0.25">
      <c r="A21" s="614"/>
      <c r="B21" s="614">
        <v>8950</v>
      </c>
      <c r="C21" s="612" t="s">
        <v>1237</v>
      </c>
      <c r="D21" s="623">
        <v>0</v>
      </c>
      <c r="E21" s="623">
        <v>-600</v>
      </c>
      <c r="F21" s="623">
        <v>600</v>
      </c>
      <c r="G21" s="623">
        <v>100</v>
      </c>
      <c r="H21" s="623">
        <v>0</v>
      </c>
      <c r="I21" s="623">
        <v>0</v>
      </c>
      <c r="J21" s="623">
        <v>0</v>
      </c>
      <c r="K21" s="623"/>
    </row>
    <row r="22" spans="1:11" outlineLevel="1" x14ac:dyDescent="0.25">
      <c r="A22" s="614"/>
      <c r="B22" s="614"/>
      <c r="C22" s="612" t="s">
        <v>1674</v>
      </c>
      <c r="D22" s="623"/>
      <c r="E22" s="623"/>
      <c r="F22" s="623"/>
      <c r="G22" s="623"/>
      <c r="H22" s="623"/>
      <c r="I22" s="623"/>
      <c r="J22" s="623"/>
      <c r="K22" s="623"/>
    </row>
    <row r="23" spans="1:11" outlineLevel="1" x14ac:dyDescent="0.25">
      <c r="A23" s="614">
        <v>1040</v>
      </c>
      <c r="B23" s="614"/>
      <c r="C23" s="612" t="s">
        <v>4756</v>
      </c>
      <c r="D23" s="623">
        <v>226190.16</v>
      </c>
      <c r="E23" s="623">
        <v>240886.42</v>
      </c>
      <c r="F23" s="623">
        <v>-14696.26</v>
      </c>
      <c r="G23" s="623">
        <v>-6.1</v>
      </c>
      <c r="H23" s="623">
        <v>226190.16</v>
      </c>
      <c r="I23" s="623">
        <v>350795.14</v>
      </c>
      <c r="J23" s="623">
        <v>-124604.98</v>
      </c>
      <c r="K23" s="623">
        <v>-35.520000000000003</v>
      </c>
    </row>
    <row r="24" spans="1:11" outlineLevel="1" x14ac:dyDescent="0.25">
      <c r="A24" s="614"/>
      <c r="B24" s="614">
        <v>8960</v>
      </c>
      <c r="C24" s="612" t="s">
        <v>1123</v>
      </c>
      <c r="D24" s="623">
        <v>32844.9</v>
      </c>
      <c r="E24" s="623">
        <v>-153521.5</v>
      </c>
      <c r="F24" s="623">
        <v>186366.4</v>
      </c>
      <c r="G24" s="623">
        <v>121.39</v>
      </c>
      <c r="H24" s="623">
        <v>32844.9</v>
      </c>
      <c r="I24" s="623">
        <v>-106972.6</v>
      </c>
      <c r="J24" s="623">
        <v>139817.5</v>
      </c>
      <c r="K24" s="623">
        <v>130.69999999999999</v>
      </c>
    </row>
    <row r="25" spans="1:11" outlineLevel="1" x14ac:dyDescent="0.25">
      <c r="A25" s="614"/>
      <c r="B25" s="614">
        <v>8980</v>
      </c>
      <c r="C25" s="612" t="s">
        <v>1125</v>
      </c>
      <c r="D25" s="623">
        <v>193345.26</v>
      </c>
      <c r="E25" s="623">
        <v>394407.92</v>
      </c>
      <c r="F25" s="623">
        <v>-201062.66</v>
      </c>
      <c r="G25" s="623">
        <v>-50.98</v>
      </c>
      <c r="H25" s="623">
        <v>193345.26</v>
      </c>
      <c r="I25" s="623">
        <v>457767.74</v>
      </c>
      <c r="J25" s="623">
        <v>-264422.48</v>
      </c>
      <c r="K25" s="623">
        <v>-57.76</v>
      </c>
    </row>
    <row r="26" spans="1:11" outlineLevel="1" x14ac:dyDescent="0.25">
      <c r="A26" s="614"/>
      <c r="B26" s="614"/>
      <c r="C26" s="612" t="s">
        <v>1674</v>
      </c>
      <c r="D26" s="623"/>
      <c r="E26" s="623"/>
      <c r="F26" s="623"/>
      <c r="G26" s="623"/>
      <c r="H26" s="623"/>
      <c r="I26" s="623"/>
      <c r="J26" s="623"/>
      <c r="K26" s="623"/>
    </row>
    <row r="27" spans="1:11" outlineLevel="1" x14ac:dyDescent="0.25">
      <c r="A27" s="614">
        <v>1045</v>
      </c>
      <c r="B27" s="614"/>
      <c r="C27" s="612" t="s">
        <v>679</v>
      </c>
      <c r="D27" s="623"/>
      <c r="E27" s="623"/>
      <c r="F27" s="623"/>
      <c r="G27" s="623"/>
      <c r="H27" s="623"/>
      <c r="I27" s="623"/>
      <c r="J27" s="623"/>
      <c r="K27" s="623"/>
    </row>
    <row r="28" spans="1:11" outlineLevel="1" x14ac:dyDescent="0.25">
      <c r="A28" s="614"/>
      <c r="B28" s="614"/>
      <c r="C28" s="612" t="s">
        <v>1674</v>
      </c>
      <c r="D28" s="623"/>
      <c r="E28" s="623"/>
      <c r="F28" s="623"/>
      <c r="G28" s="623"/>
      <c r="H28" s="623"/>
      <c r="I28" s="623"/>
      <c r="J28" s="623"/>
      <c r="K28" s="623"/>
    </row>
    <row r="29" spans="1:11" outlineLevel="1" x14ac:dyDescent="0.25">
      <c r="A29" s="614">
        <v>1051</v>
      </c>
      <c r="B29" s="614"/>
      <c r="C29" s="612" t="s">
        <v>265</v>
      </c>
      <c r="D29" s="623">
        <v>1336987.3</v>
      </c>
      <c r="E29" s="623">
        <v>1516314.96</v>
      </c>
      <c r="F29" s="623">
        <v>-179327.66</v>
      </c>
      <c r="G29" s="623">
        <v>-11.83</v>
      </c>
      <c r="H29" s="623">
        <v>15235918.449999999</v>
      </c>
      <c r="I29" s="623">
        <v>17010758.600000001</v>
      </c>
      <c r="J29" s="623">
        <v>-1774840.15</v>
      </c>
      <c r="K29" s="623">
        <v>-10.43</v>
      </c>
    </row>
    <row r="30" spans="1:11" outlineLevel="1" x14ac:dyDescent="0.25">
      <c r="A30" s="614"/>
      <c r="B30" s="614"/>
      <c r="C30" s="612" t="s">
        <v>1674</v>
      </c>
      <c r="D30" s="623"/>
      <c r="E30" s="623"/>
      <c r="F30" s="623"/>
      <c r="G30" s="623"/>
      <c r="H30" s="623"/>
      <c r="I30" s="623"/>
      <c r="J30" s="623"/>
      <c r="K30" s="623"/>
    </row>
    <row r="31" spans="1:11" outlineLevel="1" x14ac:dyDescent="0.25">
      <c r="A31" s="614">
        <v>1060</v>
      </c>
      <c r="B31" s="614"/>
      <c r="C31" s="612" t="s">
        <v>4757</v>
      </c>
      <c r="D31" s="623">
        <v>990600.17</v>
      </c>
      <c r="E31" s="623">
        <v>-261564.51</v>
      </c>
      <c r="F31" s="623">
        <v>1252164.68</v>
      </c>
      <c r="G31" s="623">
        <v>478.72</v>
      </c>
      <c r="H31" s="623">
        <v>7361784.6900000004</v>
      </c>
      <c r="I31" s="623">
        <v>8397887.3900000006</v>
      </c>
      <c r="J31" s="623">
        <v>-1036102.7</v>
      </c>
      <c r="K31" s="623">
        <v>-12.34</v>
      </c>
    </row>
    <row r="32" spans="1:11" outlineLevel="1" x14ac:dyDescent="0.25">
      <c r="A32" s="614"/>
      <c r="B32" s="614">
        <v>3030</v>
      </c>
      <c r="C32" s="612" t="s">
        <v>1273</v>
      </c>
      <c r="D32" s="623">
        <v>0</v>
      </c>
      <c r="E32" s="623">
        <v>235</v>
      </c>
      <c r="F32" s="623">
        <v>-235</v>
      </c>
      <c r="G32" s="623">
        <v>-100</v>
      </c>
      <c r="H32" s="623">
        <v>28749.05</v>
      </c>
      <c r="I32" s="623">
        <v>27996.77</v>
      </c>
      <c r="J32" s="623">
        <v>752.28</v>
      </c>
      <c r="K32" s="623">
        <v>2.69</v>
      </c>
    </row>
    <row r="33" spans="1:11" outlineLevel="1" x14ac:dyDescent="0.25">
      <c r="A33" s="614"/>
      <c r="B33" s="614">
        <v>3101</v>
      </c>
      <c r="C33" s="612" t="s">
        <v>1275</v>
      </c>
      <c r="D33" s="623">
        <v>1015.5</v>
      </c>
      <c r="E33" s="623">
        <v>0</v>
      </c>
      <c r="F33" s="623">
        <v>1015.5</v>
      </c>
      <c r="G33" s="623"/>
      <c r="H33" s="623">
        <v>11711.5</v>
      </c>
      <c r="I33" s="623">
        <v>20003.43</v>
      </c>
      <c r="J33" s="623">
        <v>-8291.93</v>
      </c>
      <c r="K33" s="623">
        <v>-41.45</v>
      </c>
    </row>
    <row r="34" spans="1:11" outlineLevel="1" x14ac:dyDescent="0.25">
      <c r="A34" s="614"/>
      <c r="B34" s="614">
        <v>3102</v>
      </c>
      <c r="C34" s="612" t="s">
        <v>1277</v>
      </c>
      <c r="D34" s="623">
        <v>473</v>
      </c>
      <c r="E34" s="623">
        <v>559</v>
      </c>
      <c r="F34" s="623">
        <v>-86</v>
      </c>
      <c r="G34" s="623">
        <v>-15.38</v>
      </c>
      <c r="H34" s="623">
        <v>676</v>
      </c>
      <c r="I34" s="623">
        <v>3544.9</v>
      </c>
      <c r="J34" s="623">
        <v>-2868.9</v>
      </c>
      <c r="K34" s="623">
        <v>-80.930000000000007</v>
      </c>
    </row>
    <row r="35" spans="1:11" outlineLevel="1" x14ac:dyDescent="0.25">
      <c r="A35" s="614"/>
      <c r="B35" s="614">
        <v>3106</v>
      </c>
      <c r="C35" s="612" t="s">
        <v>1279</v>
      </c>
      <c r="D35" s="623">
        <v>-23634.04</v>
      </c>
      <c r="E35" s="623">
        <v>52407.7</v>
      </c>
      <c r="F35" s="623">
        <v>-76041.740000000005</v>
      </c>
      <c r="G35" s="623">
        <v>-145.1</v>
      </c>
      <c r="H35" s="623">
        <v>493822.5</v>
      </c>
      <c r="I35" s="623">
        <v>605922.72</v>
      </c>
      <c r="J35" s="623">
        <v>-112100.22</v>
      </c>
      <c r="K35" s="623">
        <v>-18.5</v>
      </c>
    </row>
    <row r="36" spans="1:11" outlineLevel="1" x14ac:dyDescent="0.25">
      <c r="A36" s="614"/>
      <c r="B36" s="614">
        <v>3125</v>
      </c>
      <c r="C36" s="612" t="s">
        <v>1281</v>
      </c>
      <c r="D36" s="623">
        <v>-50000</v>
      </c>
      <c r="E36" s="623">
        <v>0</v>
      </c>
      <c r="F36" s="623">
        <v>-50000</v>
      </c>
      <c r="G36" s="623"/>
      <c r="H36" s="623">
        <v>866.59</v>
      </c>
      <c r="I36" s="623">
        <v>22500</v>
      </c>
      <c r="J36" s="623">
        <v>-21633.41</v>
      </c>
      <c r="K36" s="623">
        <v>-96.15</v>
      </c>
    </row>
    <row r="37" spans="1:11" outlineLevel="1" x14ac:dyDescent="0.25">
      <c r="A37" s="614"/>
      <c r="B37" s="614">
        <v>3200</v>
      </c>
      <c r="C37" s="612" t="s">
        <v>1283</v>
      </c>
      <c r="D37" s="623">
        <v>0</v>
      </c>
      <c r="E37" s="623">
        <v>7424.64</v>
      </c>
      <c r="F37" s="623">
        <v>-7424.64</v>
      </c>
      <c r="G37" s="623">
        <v>-100</v>
      </c>
      <c r="H37" s="623">
        <v>20340.240000000002</v>
      </c>
      <c r="I37" s="623">
        <v>289719.8</v>
      </c>
      <c r="J37" s="623">
        <v>-269379.56</v>
      </c>
      <c r="K37" s="623">
        <v>-92.98</v>
      </c>
    </row>
    <row r="38" spans="1:11" outlineLevel="1" x14ac:dyDescent="0.25">
      <c r="A38" s="614"/>
      <c r="B38" s="614">
        <v>3400</v>
      </c>
      <c r="C38" s="612" t="s">
        <v>1285</v>
      </c>
      <c r="D38" s="623">
        <v>39746.11</v>
      </c>
      <c r="E38" s="623">
        <v>99194.92</v>
      </c>
      <c r="F38" s="623">
        <v>-59448.81</v>
      </c>
      <c r="G38" s="623">
        <v>-59.93</v>
      </c>
      <c r="H38" s="623">
        <v>1800700.4</v>
      </c>
      <c r="I38" s="623">
        <v>2076502.96</v>
      </c>
      <c r="J38" s="623">
        <v>-275802.56</v>
      </c>
      <c r="K38" s="623">
        <v>-13.28</v>
      </c>
    </row>
    <row r="39" spans="1:11" outlineLevel="1" x14ac:dyDescent="0.25">
      <c r="A39" s="614"/>
      <c r="B39" s="614">
        <v>3401</v>
      </c>
      <c r="C39" s="612" t="s">
        <v>1287</v>
      </c>
      <c r="D39" s="623">
        <v>21817.1</v>
      </c>
      <c r="E39" s="623">
        <v>14525</v>
      </c>
      <c r="F39" s="623">
        <v>7292.1</v>
      </c>
      <c r="G39" s="623">
        <v>50.2</v>
      </c>
      <c r="H39" s="623">
        <v>454052.59</v>
      </c>
      <c r="I39" s="623">
        <v>621605.43999999994</v>
      </c>
      <c r="J39" s="623">
        <v>-167552.85</v>
      </c>
      <c r="K39" s="623">
        <v>-26.95</v>
      </c>
    </row>
    <row r="40" spans="1:11" outlineLevel="1" x14ac:dyDescent="0.25">
      <c r="A40" s="614"/>
      <c r="B40" s="614">
        <v>3425</v>
      </c>
      <c r="C40" s="612" t="s">
        <v>1289</v>
      </c>
      <c r="D40" s="623">
        <v>-122723</v>
      </c>
      <c r="E40" s="623">
        <v>574464.49</v>
      </c>
      <c r="F40" s="623">
        <v>-697187.49</v>
      </c>
      <c r="G40" s="623">
        <v>-121.36</v>
      </c>
      <c r="H40" s="623">
        <v>3395099.75</v>
      </c>
      <c r="I40" s="623">
        <v>5510838.4900000002</v>
      </c>
      <c r="J40" s="623">
        <v>-2115738.7400000002</v>
      </c>
      <c r="K40" s="623">
        <v>-38.39</v>
      </c>
    </row>
    <row r="41" spans="1:11" outlineLevel="1" x14ac:dyDescent="0.25">
      <c r="A41" s="614"/>
      <c r="B41" s="614">
        <v>3736</v>
      </c>
      <c r="C41" s="612" t="s">
        <v>1291</v>
      </c>
      <c r="D41" s="623">
        <v>-2061.36</v>
      </c>
      <c r="E41" s="623">
        <v>-3941.44</v>
      </c>
      <c r="F41" s="623">
        <v>1880.08</v>
      </c>
      <c r="G41" s="623">
        <v>47.7</v>
      </c>
      <c r="H41" s="623">
        <v>-38589.83</v>
      </c>
      <c r="I41" s="623">
        <v>-50431.7</v>
      </c>
      <c r="J41" s="623">
        <v>11841.87</v>
      </c>
      <c r="K41" s="623">
        <v>23.48</v>
      </c>
    </row>
    <row r="42" spans="1:11" outlineLevel="1" x14ac:dyDescent="0.25">
      <c r="A42" s="614"/>
      <c r="B42" s="614">
        <v>3738</v>
      </c>
      <c r="C42" s="612" t="s">
        <v>1293</v>
      </c>
      <c r="D42" s="623">
        <v>0</v>
      </c>
      <c r="E42" s="623">
        <v>53.89</v>
      </c>
      <c r="F42" s="623">
        <v>-53.89</v>
      </c>
      <c r="G42" s="623">
        <v>-100</v>
      </c>
      <c r="H42" s="623">
        <v>0</v>
      </c>
      <c r="I42" s="623">
        <v>0</v>
      </c>
      <c r="J42" s="623">
        <v>0</v>
      </c>
      <c r="K42" s="623"/>
    </row>
    <row r="43" spans="1:11" outlineLevel="1" x14ac:dyDescent="0.25">
      <c r="A43" s="614"/>
      <c r="B43" s="614">
        <v>3748</v>
      </c>
      <c r="C43" s="612" t="s">
        <v>1295</v>
      </c>
      <c r="D43" s="623">
        <v>-1246.1099999999999</v>
      </c>
      <c r="E43" s="623">
        <v>0</v>
      </c>
      <c r="F43" s="623">
        <v>-1246.1099999999999</v>
      </c>
      <c r="G43" s="623"/>
      <c r="H43" s="623">
        <v>-1246.1099999999999</v>
      </c>
      <c r="I43" s="623">
        <v>-6721.22</v>
      </c>
      <c r="J43" s="623">
        <v>5475.11</v>
      </c>
      <c r="K43" s="623">
        <v>81.459999999999994</v>
      </c>
    </row>
    <row r="44" spans="1:11" outlineLevel="1" x14ac:dyDescent="0.25">
      <c r="A44" s="614"/>
      <c r="B44" s="614">
        <v>3800</v>
      </c>
      <c r="C44" s="612" t="s">
        <v>1297</v>
      </c>
      <c r="D44" s="623">
        <v>7825.73</v>
      </c>
      <c r="E44" s="623">
        <v>8808.9699999999993</v>
      </c>
      <c r="F44" s="623">
        <v>-983.24</v>
      </c>
      <c r="G44" s="623">
        <v>-11.16</v>
      </c>
      <c r="H44" s="623">
        <v>76214.77</v>
      </c>
      <c r="I44" s="623">
        <v>129385.65</v>
      </c>
      <c r="J44" s="623">
        <v>-53170.879999999997</v>
      </c>
      <c r="K44" s="623">
        <v>-41.09</v>
      </c>
    </row>
    <row r="45" spans="1:11" outlineLevel="1" x14ac:dyDescent="0.25">
      <c r="A45" s="614"/>
      <c r="B45" s="614">
        <v>3950</v>
      </c>
      <c r="C45" s="612" t="s">
        <v>1299</v>
      </c>
      <c r="D45" s="623">
        <v>831275.04</v>
      </c>
      <c r="E45" s="623">
        <v>-956922.37</v>
      </c>
      <c r="F45" s="623">
        <v>1788197.41</v>
      </c>
      <c r="G45" s="623">
        <v>186.87</v>
      </c>
      <c r="H45" s="623">
        <v>831275.04</v>
      </c>
      <c r="I45" s="623">
        <v>-742002.06</v>
      </c>
      <c r="J45" s="623">
        <v>1573277.1</v>
      </c>
      <c r="K45" s="623">
        <v>212.03</v>
      </c>
    </row>
    <row r="46" spans="1:11" outlineLevel="1" x14ac:dyDescent="0.25">
      <c r="A46" s="614"/>
      <c r="B46" s="614">
        <v>3960</v>
      </c>
      <c r="C46" s="612" t="s">
        <v>1301</v>
      </c>
      <c r="D46" s="623">
        <v>288112.2</v>
      </c>
      <c r="E46" s="623">
        <v>-58374.31</v>
      </c>
      <c r="F46" s="623">
        <v>346486.51</v>
      </c>
      <c r="G46" s="623">
        <v>593.55999999999995</v>
      </c>
      <c r="H46" s="623">
        <v>288112.2</v>
      </c>
      <c r="I46" s="623">
        <v>-110977.79</v>
      </c>
      <c r="J46" s="623">
        <v>399089.99</v>
      </c>
      <c r="K46" s="623">
        <v>359.61</v>
      </c>
    </row>
    <row r="47" spans="1:11" outlineLevel="1" x14ac:dyDescent="0.25">
      <c r="A47" s="614"/>
      <c r="B47" s="614"/>
      <c r="C47" s="612" t="s">
        <v>1674</v>
      </c>
      <c r="D47" s="623"/>
      <c r="E47" s="623"/>
      <c r="F47" s="623"/>
      <c r="G47" s="623"/>
      <c r="H47" s="623"/>
      <c r="I47" s="623"/>
      <c r="J47" s="623"/>
      <c r="K47" s="623"/>
    </row>
    <row r="48" spans="1:11" outlineLevel="1" x14ac:dyDescent="0.25">
      <c r="A48" s="614">
        <v>1080</v>
      </c>
      <c r="B48" s="614"/>
      <c r="C48" s="612" t="s">
        <v>1303</v>
      </c>
      <c r="D48" s="623">
        <v>346387.13</v>
      </c>
      <c r="E48" s="623">
        <v>1777879.47</v>
      </c>
      <c r="F48" s="623">
        <v>-1431492.34</v>
      </c>
      <c r="G48" s="623">
        <v>-80.52</v>
      </c>
      <c r="H48" s="623">
        <v>7874133.7599999998</v>
      </c>
      <c r="I48" s="623">
        <v>8612871.2100000009</v>
      </c>
      <c r="J48" s="623">
        <v>-738737.45</v>
      </c>
      <c r="K48" s="623">
        <v>-8.58</v>
      </c>
    </row>
    <row r="49" spans="1:11" outlineLevel="1" x14ac:dyDescent="0.25">
      <c r="A49" s="614"/>
      <c r="B49" s="614"/>
      <c r="C49" s="612" t="s">
        <v>1674</v>
      </c>
      <c r="D49" s="623"/>
      <c r="E49" s="623"/>
      <c r="F49" s="623"/>
      <c r="G49" s="623"/>
      <c r="H49" s="623"/>
      <c r="I49" s="623"/>
      <c r="J49" s="623"/>
      <c r="K49" s="623"/>
    </row>
    <row r="50" spans="1:11" outlineLevel="1" x14ac:dyDescent="0.25">
      <c r="A50" s="614">
        <v>1090</v>
      </c>
      <c r="B50" s="614"/>
      <c r="C50" s="612" t="s">
        <v>4758</v>
      </c>
      <c r="D50" s="623">
        <v>30726.84</v>
      </c>
      <c r="E50" s="623">
        <v>6344.37</v>
      </c>
      <c r="F50" s="623">
        <v>24382.47</v>
      </c>
      <c r="G50" s="623">
        <v>384.32</v>
      </c>
      <c r="H50" s="623">
        <v>123767.67999999999</v>
      </c>
      <c r="I50" s="623">
        <v>97143.67</v>
      </c>
      <c r="J50" s="623">
        <v>26624.01</v>
      </c>
      <c r="K50" s="623">
        <v>27.41</v>
      </c>
    </row>
    <row r="51" spans="1:11" outlineLevel="1" x14ac:dyDescent="0.25">
      <c r="A51" s="614"/>
      <c r="B51" s="614">
        <v>8520</v>
      </c>
      <c r="C51" s="612" t="s">
        <v>1108</v>
      </c>
      <c r="D51" s="623">
        <v>-15</v>
      </c>
      <c r="E51" s="623">
        <v>150.80000000000001</v>
      </c>
      <c r="F51" s="623">
        <v>-165.8</v>
      </c>
      <c r="G51" s="623">
        <v>-109.95</v>
      </c>
      <c r="H51" s="623">
        <v>3079.6</v>
      </c>
      <c r="I51" s="623">
        <v>3457.4</v>
      </c>
      <c r="J51" s="623">
        <v>-377.8</v>
      </c>
      <c r="K51" s="623">
        <v>-10.93</v>
      </c>
    </row>
    <row r="52" spans="1:11" outlineLevel="1" x14ac:dyDescent="0.25">
      <c r="A52" s="614"/>
      <c r="B52" s="614">
        <v>8610</v>
      </c>
      <c r="C52" s="612" t="s">
        <v>1259</v>
      </c>
      <c r="D52" s="623">
        <v>-2140.14</v>
      </c>
      <c r="E52" s="623">
        <v>-1618.8</v>
      </c>
      <c r="F52" s="623">
        <v>-521.34</v>
      </c>
      <c r="G52" s="623">
        <v>-32.21</v>
      </c>
      <c r="H52" s="623">
        <v>-19733.96</v>
      </c>
      <c r="I52" s="623">
        <v>-21702.85</v>
      </c>
      <c r="J52" s="623">
        <v>1968.89</v>
      </c>
      <c r="K52" s="623">
        <v>9.07</v>
      </c>
    </row>
    <row r="53" spans="1:11" outlineLevel="1" x14ac:dyDescent="0.25">
      <c r="A53" s="614"/>
      <c r="B53" s="614">
        <v>8611</v>
      </c>
      <c r="C53" s="612" t="s">
        <v>1261</v>
      </c>
      <c r="D53" s="623">
        <v>9814.7000000000007</v>
      </c>
      <c r="E53" s="623">
        <v>9487.4699999999993</v>
      </c>
      <c r="F53" s="623">
        <v>327.23</v>
      </c>
      <c r="G53" s="623">
        <v>3.45</v>
      </c>
      <c r="H53" s="623">
        <v>113605.49</v>
      </c>
      <c r="I53" s="623">
        <v>113011.8</v>
      </c>
      <c r="J53" s="623">
        <v>593.69000000000005</v>
      </c>
      <c r="K53" s="623">
        <v>0.53</v>
      </c>
    </row>
    <row r="54" spans="1:11" outlineLevel="1" x14ac:dyDescent="0.25">
      <c r="A54" s="614"/>
      <c r="B54" s="614">
        <v>8625</v>
      </c>
      <c r="C54" s="612" t="s">
        <v>1263</v>
      </c>
      <c r="D54" s="623">
        <v>0</v>
      </c>
      <c r="E54" s="623">
        <v>-1675.1</v>
      </c>
      <c r="F54" s="623">
        <v>1675.1</v>
      </c>
      <c r="G54" s="623">
        <v>100</v>
      </c>
      <c r="H54" s="623">
        <v>0</v>
      </c>
      <c r="I54" s="623">
        <v>0</v>
      </c>
      <c r="J54" s="623">
        <v>0</v>
      </c>
      <c r="K54" s="623"/>
    </row>
    <row r="55" spans="1:11" outlineLevel="1" x14ac:dyDescent="0.25">
      <c r="A55" s="614"/>
      <c r="B55" s="614">
        <v>8640</v>
      </c>
      <c r="C55" s="612" t="s">
        <v>1265</v>
      </c>
      <c r="D55" s="623">
        <v>23067.279999999999</v>
      </c>
      <c r="E55" s="623">
        <v>0</v>
      </c>
      <c r="F55" s="623">
        <v>23067.279999999999</v>
      </c>
      <c r="G55" s="623"/>
      <c r="H55" s="623">
        <v>26816.55</v>
      </c>
      <c r="I55" s="623">
        <v>2377.3200000000002</v>
      </c>
      <c r="J55" s="623">
        <v>24439.23</v>
      </c>
      <c r="K55" s="623">
        <v>1028.02</v>
      </c>
    </row>
    <row r="56" spans="1:11" outlineLevel="1" x14ac:dyDescent="0.25">
      <c r="A56" s="614"/>
      <c r="B56" s="614"/>
      <c r="C56" s="612" t="s">
        <v>1674</v>
      </c>
      <c r="D56" s="623"/>
      <c r="E56" s="623"/>
      <c r="F56" s="623"/>
      <c r="G56" s="623"/>
      <c r="H56" s="623"/>
      <c r="I56" s="623"/>
      <c r="J56" s="623"/>
      <c r="K56" s="623"/>
    </row>
    <row r="57" spans="1:11" outlineLevel="1" x14ac:dyDescent="0.25">
      <c r="A57" s="614">
        <v>1092</v>
      </c>
      <c r="B57" s="614"/>
      <c r="C57" s="612" t="s">
        <v>4759</v>
      </c>
      <c r="D57" s="623">
        <v>377113.97</v>
      </c>
      <c r="E57" s="623">
        <v>1784223.84</v>
      </c>
      <c r="F57" s="623">
        <v>-1407109.87</v>
      </c>
      <c r="G57" s="623">
        <v>-78.86</v>
      </c>
      <c r="H57" s="623">
        <v>7997901.4400000004</v>
      </c>
      <c r="I57" s="623">
        <v>8710014.8800000008</v>
      </c>
      <c r="J57" s="623">
        <v>-712113.44</v>
      </c>
      <c r="K57" s="623">
        <v>-8.18</v>
      </c>
    </row>
    <row r="58" spans="1:11" outlineLevel="1" x14ac:dyDescent="0.25">
      <c r="A58" s="614"/>
      <c r="B58" s="614"/>
      <c r="C58" s="612" t="s">
        <v>1674</v>
      </c>
      <c r="D58" s="623"/>
      <c r="E58" s="623"/>
      <c r="F58" s="623"/>
      <c r="G58" s="623"/>
      <c r="H58" s="623"/>
      <c r="I58" s="623"/>
      <c r="J58" s="623"/>
      <c r="K58" s="623"/>
    </row>
    <row r="59" spans="1:11" outlineLevel="1" x14ac:dyDescent="0.25">
      <c r="A59" s="614">
        <v>1094</v>
      </c>
      <c r="B59" s="614"/>
      <c r="C59" s="612" t="s">
        <v>4760</v>
      </c>
      <c r="D59" s="623"/>
      <c r="E59" s="623"/>
      <c r="F59" s="623"/>
      <c r="G59" s="623"/>
      <c r="H59" s="623"/>
      <c r="I59" s="623"/>
      <c r="J59" s="623"/>
      <c r="K59" s="623"/>
    </row>
    <row r="60" spans="1:11" outlineLevel="1" x14ac:dyDescent="0.25">
      <c r="A60" s="614"/>
      <c r="B60" s="614"/>
      <c r="C60" s="612" t="s">
        <v>1674</v>
      </c>
      <c r="D60" s="623"/>
      <c r="E60" s="623"/>
      <c r="F60" s="623"/>
      <c r="G60" s="623"/>
      <c r="H60" s="623"/>
      <c r="I60" s="623"/>
      <c r="J60" s="623"/>
      <c r="K60" s="623"/>
    </row>
    <row r="61" spans="1:11" outlineLevel="1" x14ac:dyDescent="0.25">
      <c r="A61" s="614">
        <v>1100</v>
      </c>
      <c r="B61" s="614"/>
      <c r="C61" s="612" t="s">
        <v>4761</v>
      </c>
      <c r="D61" s="623">
        <v>337712.61</v>
      </c>
      <c r="E61" s="623">
        <v>394142.66</v>
      </c>
      <c r="F61" s="623">
        <v>-56430.05</v>
      </c>
      <c r="G61" s="623">
        <v>-14.32</v>
      </c>
      <c r="H61" s="623">
        <v>4225827.03</v>
      </c>
      <c r="I61" s="623">
        <v>4522351.05</v>
      </c>
      <c r="J61" s="623">
        <v>-296524.02</v>
      </c>
      <c r="K61" s="623">
        <v>-6.56</v>
      </c>
    </row>
    <row r="62" spans="1:11" outlineLevel="1" x14ac:dyDescent="0.25">
      <c r="A62" s="614"/>
      <c r="B62" s="614">
        <v>4110</v>
      </c>
      <c r="C62" s="612" t="s">
        <v>1304</v>
      </c>
      <c r="D62" s="623">
        <v>120496.68</v>
      </c>
      <c r="E62" s="623">
        <v>161456.9</v>
      </c>
      <c r="F62" s="623">
        <v>-40960.22</v>
      </c>
      <c r="G62" s="623">
        <v>-25.37</v>
      </c>
      <c r="H62" s="623">
        <v>1668731.26</v>
      </c>
      <c r="I62" s="623">
        <v>1931116.65</v>
      </c>
      <c r="J62" s="623">
        <v>-262385.39</v>
      </c>
      <c r="K62" s="623">
        <v>-13.59</v>
      </c>
    </row>
    <row r="63" spans="1:11" outlineLevel="1" x14ac:dyDescent="0.25">
      <c r="A63" s="614"/>
      <c r="B63" s="614">
        <v>4120</v>
      </c>
      <c r="C63" s="612" t="s">
        <v>1306</v>
      </c>
      <c r="D63" s="623">
        <v>95812.38</v>
      </c>
      <c r="E63" s="623">
        <v>92064.19</v>
      </c>
      <c r="F63" s="623">
        <v>3748.19</v>
      </c>
      <c r="G63" s="623">
        <v>4.07</v>
      </c>
      <c r="H63" s="623">
        <v>1264434.8600000001</v>
      </c>
      <c r="I63" s="623">
        <v>1320516.1000000001</v>
      </c>
      <c r="J63" s="623">
        <v>-56081.24</v>
      </c>
      <c r="K63" s="623">
        <v>-4.25</v>
      </c>
    </row>
    <row r="64" spans="1:11" outlineLevel="1" x14ac:dyDescent="0.25">
      <c r="A64" s="614"/>
      <c r="B64" s="614">
        <v>4124</v>
      </c>
      <c r="C64" s="612" t="s">
        <v>1308</v>
      </c>
      <c r="D64" s="623">
        <v>19000</v>
      </c>
      <c r="E64" s="623">
        <v>19000</v>
      </c>
      <c r="F64" s="623">
        <v>0</v>
      </c>
      <c r="G64" s="623"/>
      <c r="H64" s="623">
        <v>228000</v>
      </c>
      <c r="I64" s="623">
        <v>228000</v>
      </c>
      <c r="J64" s="623">
        <v>0</v>
      </c>
      <c r="K64" s="623"/>
    </row>
    <row r="65" spans="1:11" outlineLevel="1" x14ac:dyDescent="0.25">
      <c r="A65" s="614"/>
      <c r="B65" s="614">
        <v>4126</v>
      </c>
      <c r="C65" s="612" t="s">
        <v>1310</v>
      </c>
      <c r="D65" s="623">
        <v>31667</v>
      </c>
      <c r="E65" s="623">
        <v>38000</v>
      </c>
      <c r="F65" s="623">
        <v>-6333</v>
      </c>
      <c r="G65" s="623">
        <v>-16.670000000000002</v>
      </c>
      <c r="H65" s="623">
        <v>76000</v>
      </c>
      <c r="I65" s="623">
        <v>76000</v>
      </c>
      <c r="J65" s="623">
        <v>0</v>
      </c>
      <c r="K65" s="623"/>
    </row>
    <row r="66" spans="1:11" outlineLevel="1" x14ac:dyDescent="0.25">
      <c r="A66" s="614"/>
      <c r="B66" s="614">
        <v>4127</v>
      </c>
      <c r="C66" s="612" t="s">
        <v>1312</v>
      </c>
      <c r="D66" s="623">
        <v>10416.67</v>
      </c>
      <c r="E66" s="623">
        <v>10416.67</v>
      </c>
      <c r="F66" s="623">
        <v>0</v>
      </c>
      <c r="G66" s="623"/>
      <c r="H66" s="623">
        <v>125000.04</v>
      </c>
      <c r="I66" s="623">
        <v>62500.02</v>
      </c>
      <c r="J66" s="623">
        <v>62500.02</v>
      </c>
      <c r="K66" s="623">
        <v>100</v>
      </c>
    </row>
    <row r="67" spans="1:11" outlineLevel="1" x14ac:dyDescent="0.25">
      <c r="A67" s="614"/>
      <c r="B67" s="614">
        <v>4129</v>
      </c>
      <c r="C67" s="612" t="s">
        <v>1314</v>
      </c>
      <c r="D67" s="623">
        <v>2530</v>
      </c>
      <c r="E67" s="623">
        <v>-562</v>
      </c>
      <c r="F67" s="623">
        <v>3092</v>
      </c>
      <c r="G67" s="623">
        <v>550.17999999999995</v>
      </c>
      <c r="H67" s="623">
        <v>12530</v>
      </c>
      <c r="I67" s="623">
        <v>16757</v>
      </c>
      <c r="J67" s="623">
        <v>-4227</v>
      </c>
      <c r="K67" s="623">
        <v>-25.23</v>
      </c>
    </row>
    <row r="68" spans="1:11" outlineLevel="1" x14ac:dyDescent="0.25">
      <c r="A68" s="614"/>
      <c r="B68" s="614">
        <v>4130</v>
      </c>
      <c r="C68" s="612" t="s">
        <v>1316</v>
      </c>
      <c r="D68" s="623">
        <v>48573.69</v>
      </c>
      <c r="E68" s="623">
        <v>55317.96</v>
      </c>
      <c r="F68" s="623">
        <v>-6744.27</v>
      </c>
      <c r="G68" s="623">
        <v>-12.19</v>
      </c>
      <c r="H68" s="623">
        <v>631662.88</v>
      </c>
      <c r="I68" s="623">
        <v>652100.81000000006</v>
      </c>
      <c r="J68" s="623">
        <v>-20437.93</v>
      </c>
      <c r="K68" s="623">
        <v>-3.13</v>
      </c>
    </row>
    <row r="69" spans="1:11" outlineLevel="1" x14ac:dyDescent="0.25">
      <c r="A69" s="614"/>
      <c r="B69" s="614">
        <v>4138</v>
      </c>
      <c r="C69" s="612" t="s">
        <v>1318</v>
      </c>
      <c r="D69" s="623">
        <v>-700</v>
      </c>
      <c r="E69" s="623">
        <v>6899.95</v>
      </c>
      <c r="F69" s="623">
        <v>-7599.95</v>
      </c>
      <c r="G69" s="623">
        <v>-110.15</v>
      </c>
      <c r="H69" s="623">
        <v>18000</v>
      </c>
      <c r="I69" s="623">
        <v>20099.95</v>
      </c>
      <c r="J69" s="623">
        <v>-2099.9499999999998</v>
      </c>
      <c r="K69" s="623">
        <v>-10.45</v>
      </c>
    </row>
    <row r="70" spans="1:11" outlineLevel="1" x14ac:dyDescent="0.25">
      <c r="A70" s="614"/>
      <c r="B70" s="614">
        <v>4140</v>
      </c>
      <c r="C70" s="612" t="s">
        <v>1320</v>
      </c>
      <c r="D70" s="623">
        <v>8971.8700000000008</v>
      </c>
      <c r="E70" s="623">
        <v>11012.75</v>
      </c>
      <c r="F70" s="623">
        <v>-2040.88</v>
      </c>
      <c r="G70" s="623">
        <v>-18.53</v>
      </c>
      <c r="H70" s="623">
        <v>27474.17</v>
      </c>
      <c r="I70" s="623">
        <v>42670.74</v>
      </c>
      <c r="J70" s="623">
        <v>-15196.57</v>
      </c>
      <c r="K70" s="623">
        <v>-35.61</v>
      </c>
    </row>
    <row r="71" spans="1:11" outlineLevel="1" x14ac:dyDescent="0.25">
      <c r="A71" s="614"/>
      <c r="B71" s="614">
        <v>4144</v>
      </c>
      <c r="C71" s="612" t="s">
        <v>1322</v>
      </c>
      <c r="D71" s="623">
        <v>247.06</v>
      </c>
      <c r="E71" s="623">
        <v>328.71</v>
      </c>
      <c r="F71" s="623">
        <v>-81.650000000000006</v>
      </c>
      <c r="G71" s="623">
        <v>-24.84</v>
      </c>
      <c r="H71" s="623">
        <v>4512.32</v>
      </c>
      <c r="I71" s="623">
        <v>3915.04</v>
      </c>
      <c r="J71" s="623">
        <v>597.28</v>
      </c>
      <c r="K71" s="623">
        <v>15.26</v>
      </c>
    </row>
    <row r="72" spans="1:11" outlineLevel="1" x14ac:dyDescent="0.25">
      <c r="A72" s="614"/>
      <c r="B72" s="614">
        <v>4145</v>
      </c>
      <c r="C72" s="612" t="s">
        <v>1324</v>
      </c>
      <c r="D72" s="623">
        <v>6085</v>
      </c>
      <c r="E72" s="623">
        <v>6708</v>
      </c>
      <c r="F72" s="623">
        <v>-623</v>
      </c>
      <c r="G72" s="623">
        <v>-9.2899999999999991</v>
      </c>
      <c r="H72" s="623">
        <v>76858</v>
      </c>
      <c r="I72" s="623">
        <v>76119</v>
      </c>
      <c r="J72" s="623">
        <v>739</v>
      </c>
      <c r="K72" s="623">
        <v>0.97</v>
      </c>
    </row>
    <row r="73" spans="1:11" outlineLevel="1" x14ac:dyDescent="0.25">
      <c r="A73" s="614"/>
      <c r="B73" s="614">
        <v>4149</v>
      </c>
      <c r="C73" s="612" t="s">
        <v>1326</v>
      </c>
      <c r="D73" s="623">
        <v>249.67</v>
      </c>
      <c r="E73" s="623">
        <v>265.39999999999998</v>
      </c>
      <c r="F73" s="623">
        <v>-15.73</v>
      </c>
      <c r="G73" s="623">
        <v>-5.93</v>
      </c>
      <c r="H73" s="623">
        <v>3066.06</v>
      </c>
      <c r="I73" s="623">
        <v>3345.05</v>
      </c>
      <c r="J73" s="623">
        <v>-278.99</v>
      </c>
      <c r="K73" s="623">
        <v>-8.34</v>
      </c>
    </row>
    <row r="74" spans="1:11" outlineLevel="1" x14ac:dyDescent="0.25">
      <c r="A74" s="614"/>
      <c r="B74" s="614">
        <v>4150</v>
      </c>
      <c r="C74" s="612" t="s">
        <v>1328</v>
      </c>
      <c r="D74" s="623">
        <v>987.92</v>
      </c>
      <c r="E74" s="623">
        <v>1122.72</v>
      </c>
      <c r="F74" s="623">
        <v>-134.80000000000001</v>
      </c>
      <c r="G74" s="623">
        <v>-12.01</v>
      </c>
      <c r="H74" s="623">
        <v>11851.73</v>
      </c>
      <c r="I74" s="623">
        <v>13770.19</v>
      </c>
      <c r="J74" s="623">
        <v>-1918.46</v>
      </c>
      <c r="K74" s="623">
        <v>-13.93</v>
      </c>
    </row>
    <row r="75" spans="1:11" outlineLevel="1" x14ac:dyDescent="0.25">
      <c r="A75" s="614"/>
      <c r="B75" s="614">
        <v>4152</v>
      </c>
      <c r="C75" s="612" t="s">
        <v>1330</v>
      </c>
      <c r="D75" s="623">
        <v>80</v>
      </c>
      <c r="E75" s="623">
        <v>53</v>
      </c>
      <c r="F75" s="623">
        <v>27</v>
      </c>
      <c r="G75" s="623">
        <v>50.94</v>
      </c>
      <c r="H75" s="623">
        <v>771</v>
      </c>
      <c r="I75" s="623">
        <v>497</v>
      </c>
      <c r="J75" s="623">
        <v>274</v>
      </c>
      <c r="K75" s="623">
        <v>55.13</v>
      </c>
    </row>
    <row r="76" spans="1:11" outlineLevel="1" x14ac:dyDescent="0.25">
      <c r="A76" s="614"/>
      <c r="B76" s="614">
        <v>4156</v>
      </c>
      <c r="C76" s="612" t="s">
        <v>1334</v>
      </c>
      <c r="D76" s="623">
        <v>597.03</v>
      </c>
      <c r="E76" s="623">
        <v>-1405.64</v>
      </c>
      <c r="F76" s="623">
        <v>2002.67</v>
      </c>
      <c r="G76" s="623">
        <v>142.47</v>
      </c>
      <c r="H76" s="623">
        <v>597.03</v>
      </c>
      <c r="I76" s="623">
        <v>-1405.64</v>
      </c>
      <c r="J76" s="623">
        <v>2002.67</v>
      </c>
      <c r="K76" s="623">
        <v>142.47</v>
      </c>
    </row>
    <row r="77" spans="1:11" outlineLevel="1" x14ac:dyDescent="0.25">
      <c r="A77" s="614"/>
      <c r="B77" s="614">
        <v>4165</v>
      </c>
      <c r="C77" s="612" t="s">
        <v>1336</v>
      </c>
      <c r="D77" s="623">
        <v>-11024.39</v>
      </c>
      <c r="E77" s="623">
        <v>-10084.41</v>
      </c>
      <c r="F77" s="623">
        <v>-939.98</v>
      </c>
      <c r="G77" s="623">
        <v>-9.32</v>
      </c>
      <c r="H77" s="623">
        <v>24521.71</v>
      </c>
      <c r="I77" s="623">
        <v>26846.36</v>
      </c>
      <c r="J77" s="623">
        <v>-2324.65</v>
      </c>
      <c r="K77" s="623">
        <v>-8.66</v>
      </c>
    </row>
    <row r="78" spans="1:11" outlineLevel="1" x14ac:dyDescent="0.25">
      <c r="A78" s="614"/>
      <c r="B78" s="614">
        <v>4170</v>
      </c>
      <c r="C78" s="612" t="s">
        <v>1338</v>
      </c>
      <c r="D78" s="623">
        <v>226.13</v>
      </c>
      <c r="E78" s="623">
        <v>252.13</v>
      </c>
      <c r="F78" s="623">
        <v>-26</v>
      </c>
      <c r="G78" s="623">
        <v>-10.31</v>
      </c>
      <c r="H78" s="623">
        <v>2899.74</v>
      </c>
      <c r="I78" s="623">
        <v>2985.79</v>
      </c>
      <c r="J78" s="623">
        <v>-86.05</v>
      </c>
      <c r="K78" s="623">
        <v>-2.88</v>
      </c>
    </row>
    <row r="79" spans="1:11" outlineLevel="1" x14ac:dyDescent="0.25">
      <c r="A79" s="614"/>
      <c r="B79" s="614">
        <v>4175</v>
      </c>
      <c r="C79" s="612" t="s">
        <v>1340</v>
      </c>
      <c r="D79" s="623">
        <v>2613.12</v>
      </c>
      <c r="E79" s="623">
        <v>2633.3</v>
      </c>
      <c r="F79" s="623">
        <v>-20.18</v>
      </c>
      <c r="G79" s="623">
        <v>-0.77</v>
      </c>
      <c r="H79" s="623">
        <v>31658.51</v>
      </c>
      <c r="I79" s="623">
        <v>33929</v>
      </c>
      <c r="J79" s="623">
        <v>-2270.4899999999998</v>
      </c>
      <c r="K79" s="623">
        <v>-6.69</v>
      </c>
    </row>
    <row r="80" spans="1:11" outlineLevel="1" x14ac:dyDescent="0.25">
      <c r="A80" s="614"/>
      <c r="B80" s="614">
        <v>4190</v>
      </c>
      <c r="C80" s="612" t="s">
        <v>1342</v>
      </c>
      <c r="D80" s="623">
        <v>0</v>
      </c>
      <c r="E80" s="623">
        <v>0</v>
      </c>
      <c r="F80" s="623">
        <v>0</v>
      </c>
      <c r="G80" s="623"/>
      <c r="H80" s="623">
        <v>2973.75</v>
      </c>
      <c r="I80" s="623">
        <v>0</v>
      </c>
      <c r="J80" s="623">
        <v>2973.75</v>
      </c>
      <c r="K80" s="623"/>
    </row>
    <row r="81" spans="1:11" outlineLevel="1" x14ac:dyDescent="0.25">
      <c r="A81" s="614"/>
      <c r="B81" s="614">
        <v>4194</v>
      </c>
      <c r="C81" s="612" t="s">
        <v>1344</v>
      </c>
      <c r="D81" s="623">
        <v>0</v>
      </c>
      <c r="E81" s="623">
        <v>0</v>
      </c>
      <c r="F81" s="623">
        <v>0</v>
      </c>
      <c r="G81" s="623"/>
      <c r="H81" s="623">
        <v>19.579999999999998</v>
      </c>
      <c r="I81" s="623">
        <v>0</v>
      </c>
      <c r="J81" s="623">
        <v>19.579999999999998</v>
      </c>
      <c r="K81" s="623"/>
    </row>
    <row r="82" spans="1:11" outlineLevel="1" x14ac:dyDescent="0.25">
      <c r="A82" s="614"/>
      <c r="B82" s="614">
        <v>4195</v>
      </c>
      <c r="C82" s="612" t="s">
        <v>1346</v>
      </c>
      <c r="D82" s="623">
        <v>874.08</v>
      </c>
      <c r="E82" s="623">
        <v>654.58000000000004</v>
      </c>
      <c r="F82" s="623">
        <v>219.5</v>
      </c>
      <c r="G82" s="623">
        <v>33.53</v>
      </c>
      <c r="H82" s="623">
        <v>14138.93</v>
      </c>
      <c r="I82" s="623">
        <v>12472.93</v>
      </c>
      <c r="J82" s="623">
        <v>1666</v>
      </c>
      <c r="K82" s="623">
        <v>13.36</v>
      </c>
    </row>
    <row r="83" spans="1:11" outlineLevel="1" x14ac:dyDescent="0.25">
      <c r="A83" s="614"/>
      <c r="B83" s="614">
        <v>4198</v>
      </c>
      <c r="C83" s="612" t="s">
        <v>1348</v>
      </c>
      <c r="D83" s="623">
        <v>8.6999999999999993</v>
      </c>
      <c r="E83" s="623">
        <v>8.4499999999999993</v>
      </c>
      <c r="F83" s="623">
        <v>0.25</v>
      </c>
      <c r="G83" s="623">
        <v>2.96</v>
      </c>
      <c r="H83" s="623">
        <v>125.46</v>
      </c>
      <c r="I83" s="623">
        <v>115.06</v>
      </c>
      <c r="J83" s="623">
        <v>10.4</v>
      </c>
      <c r="K83" s="623">
        <v>9.0399999999999991</v>
      </c>
    </row>
    <row r="84" spans="1:11" outlineLevel="1" x14ac:dyDescent="0.25">
      <c r="A84" s="614"/>
      <c r="B84" s="614"/>
      <c r="C84" s="612" t="s">
        <v>1674</v>
      </c>
      <c r="D84" s="623"/>
      <c r="E84" s="623"/>
      <c r="F84" s="623"/>
      <c r="G84" s="623"/>
      <c r="H84" s="623"/>
      <c r="I84" s="623"/>
      <c r="J84" s="623"/>
      <c r="K84" s="623"/>
    </row>
    <row r="85" spans="1:11" outlineLevel="1" x14ac:dyDescent="0.25">
      <c r="A85" s="614">
        <v>1120</v>
      </c>
      <c r="B85" s="614"/>
      <c r="C85" s="612" t="s">
        <v>4762</v>
      </c>
      <c r="D85" s="623">
        <v>26767.05</v>
      </c>
      <c r="E85" s="623">
        <v>41459.440000000002</v>
      </c>
      <c r="F85" s="623">
        <v>-14692.39</v>
      </c>
      <c r="G85" s="623">
        <v>-35.44</v>
      </c>
      <c r="H85" s="623">
        <v>344876.68</v>
      </c>
      <c r="I85" s="623">
        <v>402595.02</v>
      </c>
      <c r="J85" s="623">
        <v>-57718.34</v>
      </c>
      <c r="K85" s="623">
        <v>-14.34</v>
      </c>
    </row>
    <row r="86" spans="1:11" outlineLevel="1" x14ac:dyDescent="0.25">
      <c r="A86" s="614"/>
      <c r="B86" s="614">
        <v>4210</v>
      </c>
      <c r="C86" s="612" t="s">
        <v>1371</v>
      </c>
      <c r="D86" s="623">
        <v>16500</v>
      </c>
      <c r="E86" s="623">
        <v>16500</v>
      </c>
      <c r="F86" s="623">
        <v>0</v>
      </c>
      <c r="G86" s="623"/>
      <c r="H86" s="623">
        <v>198000</v>
      </c>
      <c r="I86" s="623">
        <v>198000</v>
      </c>
      <c r="J86" s="623">
        <v>0</v>
      </c>
      <c r="K86" s="623"/>
    </row>
    <row r="87" spans="1:11" outlineLevel="1" x14ac:dyDescent="0.25">
      <c r="A87" s="614"/>
      <c r="B87" s="614">
        <v>4228</v>
      </c>
      <c r="C87" s="612" t="s">
        <v>1374</v>
      </c>
      <c r="D87" s="623">
        <v>-982.75</v>
      </c>
      <c r="E87" s="623">
        <v>468.21</v>
      </c>
      <c r="F87" s="623">
        <v>-1450.96</v>
      </c>
      <c r="G87" s="623">
        <v>-309.89999999999998</v>
      </c>
      <c r="H87" s="623">
        <v>10017.25</v>
      </c>
      <c r="I87" s="623">
        <v>11468.21</v>
      </c>
      <c r="J87" s="623">
        <v>-1450.96</v>
      </c>
      <c r="K87" s="623">
        <v>-12.65</v>
      </c>
    </row>
    <row r="88" spans="1:11" outlineLevel="1" x14ac:dyDescent="0.25">
      <c r="A88" s="614"/>
      <c r="B88" s="614">
        <v>4240</v>
      </c>
      <c r="C88" s="612" t="s">
        <v>1376</v>
      </c>
      <c r="D88" s="623">
        <v>6717.46</v>
      </c>
      <c r="E88" s="623">
        <v>10087.620000000001</v>
      </c>
      <c r="F88" s="623">
        <v>-3370.16</v>
      </c>
      <c r="G88" s="623">
        <v>-33.409999999999997</v>
      </c>
      <c r="H88" s="623">
        <v>89799.93</v>
      </c>
      <c r="I88" s="623">
        <v>137747.99</v>
      </c>
      <c r="J88" s="623">
        <v>-47948.06</v>
      </c>
      <c r="K88" s="623">
        <v>-34.81</v>
      </c>
    </row>
    <row r="89" spans="1:11" outlineLevel="1" x14ac:dyDescent="0.25">
      <c r="A89" s="614"/>
      <c r="B89" s="614">
        <v>4250</v>
      </c>
      <c r="C89" s="612" t="s">
        <v>1378</v>
      </c>
      <c r="D89" s="623">
        <v>2918.99</v>
      </c>
      <c r="E89" s="623">
        <v>6230.71</v>
      </c>
      <c r="F89" s="623">
        <v>-3311.72</v>
      </c>
      <c r="G89" s="623">
        <v>-53.15</v>
      </c>
      <c r="H89" s="623">
        <v>37819.800000000003</v>
      </c>
      <c r="I89" s="623">
        <v>39420.82</v>
      </c>
      <c r="J89" s="623">
        <v>-1601.02</v>
      </c>
      <c r="K89" s="623">
        <v>-4.0599999999999996</v>
      </c>
    </row>
    <row r="90" spans="1:11" outlineLevel="1" x14ac:dyDescent="0.25">
      <c r="A90" s="614"/>
      <c r="B90" s="614">
        <v>4260</v>
      </c>
      <c r="C90" s="612" t="s">
        <v>1380</v>
      </c>
      <c r="D90" s="623">
        <v>1613.35</v>
      </c>
      <c r="E90" s="623">
        <v>8172.9</v>
      </c>
      <c r="F90" s="623">
        <v>-6559.55</v>
      </c>
      <c r="G90" s="623">
        <v>-80.260000000000005</v>
      </c>
      <c r="H90" s="623">
        <v>9239.7000000000007</v>
      </c>
      <c r="I90" s="623">
        <v>15958</v>
      </c>
      <c r="J90" s="623">
        <v>-6718.3</v>
      </c>
      <c r="K90" s="623">
        <v>-42.1</v>
      </c>
    </row>
    <row r="91" spans="1:11" outlineLevel="1" x14ac:dyDescent="0.25">
      <c r="A91" s="614"/>
      <c r="B91" s="614"/>
      <c r="C91" s="612" t="s">
        <v>1674</v>
      </c>
      <c r="D91" s="623"/>
      <c r="E91" s="623"/>
      <c r="F91" s="623"/>
      <c r="G91" s="623"/>
      <c r="H91" s="623"/>
      <c r="I91" s="623"/>
      <c r="J91" s="623"/>
      <c r="K91" s="623"/>
    </row>
    <row r="92" spans="1:11" outlineLevel="1" x14ac:dyDescent="0.25">
      <c r="A92" s="614">
        <v>1140</v>
      </c>
      <c r="B92" s="614"/>
      <c r="C92" s="612" t="s">
        <v>4763</v>
      </c>
      <c r="D92" s="623">
        <v>30</v>
      </c>
      <c r="E92" s="623">
        <v>0</v>
      </c>
      <c r="F92" s="623">
        <v>30</v>
      </c>
      <c r="G92" s="623"/>
      <c r="H92" s="623">
        <v>2254</v>
      </c>
      <c r="I92" s="623">
        <v>3002</v>
      </c>
      <c r="J92" s="623">
        <v>-748</v>
      </c>
      <c r="K92" s="623">
        <v>-24.92</v>
      </c>
    </row>
    <row r="93" spans="1:11" outlineLevel="1" x14ac:dyDescent="0.25">
      <c r="A93" s="614"/>
      <c r="B93" s="614">
        <v>4510</v>
      </c>
      <c r="C93" s="612" t="s">
        <v>1175</v>
      </c>
      <c r="D93" s="623">
        <v>0</v>
      </c>
      <c r="E93" s="623">
        <v>0</v>
      </c>
      <c r="F93" s="623">
        <v>0</v>
      </c>
      <c r="G93" s="623"/>
      <c r="H93" s="623">
        <v>0</v>
      </c>
      <c r="I93" s="623">
        <v>9</v>
      </c>
      <c r="J93" s="623">
        <v>-9</v>
      </c>
      <c r="K93" s="623">
        <v>-100</v>
      </c>
    </row>
    <row r="94" spans="1:11" outlineLevel="1" x14ac:dyDescent="0.25">
      <c r="A94" s="614"/>
      <c r="B94" s="614">
        <v>4513</v>
      </c>
      <c r="C94" s="612" t="s">
        <v>1181</v>
      </c>
      <c r="D94" s="623">
        <v>0</v>
      </c>
      <c r="E94" s="623">
        <v>0</v>
      </c>
      <c r="F94" s="623">
        <v>0</v>
      </c>
      <c r="G94" s="623"/>
      <c r="H94" s="623">
        <v>456</v>
      </c>
      <c r="I94" s="623">
        <v>456</v>
      </c>
      <c r="J94" s="623">
        <v>0</v>
      </c>
      <c r="K94" s="623"/>
    </row>
    <row r="95" spans="1:11" outlineLevel="1" x14ac:dyDescent="0.25">
      <c r="A95" s="614"/>
      <c r="B95" s="614">
        <v>4514</v>
      </c>
      <c r="C95" s="612" t="s">
        <v>1183</v>
      </c>
      <c r="D95" s="623">
        <v>30</v>
      </c>
      <c r="E95" s="623">
        <v>0</v>
      </c>
      <c r="F95" s="623">
        <v>30</v>
      </c>
      <c r="G95" s="623"/>
      <c r="H95" s="623">
        <v>392</v>
      </c>
      <c r="I95" s="623">
        <v>622</v>
      </c>
      <c r="J95" s="623">
        <v>-230</v>
      </c>
      <c r="K95" s="623">
        <v>-36.979999999999997</v>
      </c>
    </row>
    <row r="96" spans="1:11" outlineLevel="1" x14ac:dyDescent="0.25">
      <c r="A96" s="614"/>
      <c r="B96" s="614">
        <v>4515</v>
      </c>
      <c r="C96" s="612" t="s">
        <v>4764</v>
      </c>
      <c r="D96" s="623">
        <v>0</v>
      </c>
      <c r="E96" s="623">
        <v>0</v>
      </c>
      <c r="F96" s="623">
        <v>0</v>
      </c>
      <c r="G96" s="623"/>
      <c r="H96" s="623">
        <v>432</v>
      </c>
      <c r="I96" s="623">
        <v>504</v>
      </c>
      <c r="J96" s="623">
        <v>-72</v>
      </c>
      <c r="K96" s="623">
        <v>-14.29</v>
      </c>
    </row>
    <row r="97" spans="1:11" outlineLevel="1" x14ac:dyDescent="0.25">
      <c r="A97" s="614"/>
      <c r="B97" s="614">
        <v>4516</v>
      </c>
      <c r="C97" s="612" t="s">
        <v>1187</v>
      </c>
      <c r="D97" s="623">
        <v>0</v>
      </c>
      <c r="E97" s="623">
        <v>0</v>
      </c>
      <c r="F97" s="623">
        <v>0</v>
      </c>
      <c r="G97" s="623"/>
      <c r="H97" s="623">
        <v>186</v>
      </c>
      <c r="I97" s="623">
        <v>379</v>
      </c>
      <c r="J97" s="623">
        <v>-193</v>
      </c>
      <c r="K97" s="623">
        <v>-50.92</v>
      </c>
    </row>
    <row r="98" spans="1:11" outlineLevel="1" x14ac:dyDescent="0.25">
      <c r="A98" s="614"/>
      <c r="B98" s="614">
        <v>4517</v>
      </c>
      <c r="C98" s="612" t="s">
        <v>1189</v>
      </c>
      <c r="D98" s="623">
        <v>0</v>
      </c>
      <c r="E98" s="623">
        <v>0</v>
      </c>
      <c r="F98" s="623">
        <v>0</v>
      </c>
      <c r="G98" s="623"/>
      <c r="H98" s="623">
        <v>557</v>
      </c>
      <c r="I98" s="623">
        <v>801</v>
      </c>
      <c r="J98" s="623">
        <v>-244</v>
      </c>
      <c r="K98" s="623">
        <v>-30.46</v>
      </c>
    </row>
    <row r="99" spans="1:11" outlineLevel="1" x14ac:dyDescent="0.25">
      <c r="A99" s="614"/>
      <c r="B99" s="614">
        <v>4518</v>
      </c>
      <c r="C99" s="612" t="s">
        <v>1191</v>
      </c>
      <c r="D99" s="623">
        <v>0</v>
      </c>
      <c r="E99" s="623">
        <v>0</v>
      </c>
      <c r="F99" s="623">
        <v>0</v>
      </c>
      <c r="G99" s="623"/>
      <c r="H99" s="623">
        <v>231</v>
      </c>
      <c r="I99" s="623">
        <v>231</v>
      </c>
      <c r="J99" s="623">
        <v>0</v>
      </c>
      <c r="K99" s="623"/>
    </row>
    <row r="100" spans="1:11" outlineLevel="1" x14ac:dyDescent="0.25">
      <c r="A100" s="614"/>
      <c r="B100" s="614"/>
      <c r="C100" s="612" t="s">
        <v>1674</v>
      </c>
      <c r="D100" s="623"/>
      <c r="E100" s="623"/>
      <c r="F100" s="623"/>
      <c r="G100" s="623"/>
      <c r="H100" s="623"/>
      <c r="I100" s="623"/>
      <c r="J100" s="623"/>
      <c r="K100" s="623"/>
    </row>
    <row r="101" spans="1:11" outlineLevel="1" x14ac:dyDescent="0.25">
      <c r="A101" s="614">
        <v>1150</v>
      </c>
      <c r="B101" s="614"/>
      <c r="C101" s="612" t="s">
        <v>4765</v>
      </c>
      <c r="D101" s="623">
        <v>-1137.46</v>
      </c>
      <c r="E101" s="623">
        <v>4931.54</v>
      </c>
      <c r="F101" s="623">
        <v>-6069</v>
      </c>
      <c r="G101" s="623">
        <v>-123.07</v>
      </c>
      <c r="H101" s="623">
        <v>69770.789999999994</v>
      </c>
      <c r="I101" s="623">
        <v>69683.399999999994</v>
      </c>
      <c r="J101" s="623">
        <v>87.39</v>
      </c>
      <c r="K101" s="623">
        <v>0.13</v>
      </c>
    </row>
    <row r="102" spans="1:11" outlineLevel="1" x14ac:dyDescent="0.25">
      <c r="A102" s="614"/>
      <c r="B102" s="614">
        <v>4360</v>
      </c>
      <c r="C102" s="612" t="s">
        <v>1382</v>
      </c>
      <c r="D102" s="623">
        <v>5012.6000000000004</v>
      </c>
      <c r="E102" s="623">
        <v>2939.8</v>
      </c>
      <c r="F102" s="623">
        <v>2072.8000000000002</v>
      </c>
      <c r="G102" s="623">
        <v>70.510000000000005</v>
      </c>
      <c r="H102" s="623">
        <v>37504</v>
      </c>
      <c r="I102" s="623">
        <v>35259.68</v>
      </c>
      <c r="J102" s="623">
        <v>2244.3200000000002</v>
      </c>
      <c r="K102" s="623">
        <v>6.37</v>
      </c>
    </row>
    <row r="103" spans="1:11" outlineLevel="1" x14ac:dyDescent="0.25">
      <c r="A103" s="614"/>
      <c r="B103" s="614">
        <v>4380</v>
      </c>
      <c r="C103" s="612" t="s">
        <v>1385</v>
      </c>
      <c r="D103" s="623">
        <v>-6150.06</v>
      </c>
      <c r="E103" s="623">
        <v>1991.74</v>
      </c>
      <c r="F103" s="623">
        <v>-8141.8</v>
      </c>
      <c r="G103" s="623">
        <v>-408.78</v>
      </c>
      <c r="H103" s="623">
        <v>32266.79</v>
      </c>
      <c r="I103" s="623">
        <v>34423.72</v>
      </c>
      <c r="J103" s="623">
        <v>-2156.9299999999998</v>
      </c>
      <c r="K103" s="623">
        <v>-6.27</v>
      </c>
    </row>
    <row r="104" spans="1:11" outlineLevel="1" x14ac:dyDescent="0.25">
      <c r="A104" s="614"/>
      <c r="B104" s="614"/>
      <c r="C104" s="612" t="s">
        <v>1674</v>
      </c>
      <c r="D104" s="623"/>
      <c r="E104" s="623"/>
      <c r="F104" s="623"/>
      <c r="G104" s="623"/>
      <c r="H104" s="623"/>
      <c r="I104" s="623"/>
      <c r="J104" s="623"/>
      <c r="K104" s="623"/>
    </row>
    <row r="105" spans="1:11" outlineLevel="1" x14ac:dyDescent="0.25">
      <c r="A105" s="614">
        <v>1160</v>
      </c>
      <c r="B105" s="614"/>
      <c r="C105" s="612" t="s">
        <v>4766</v>
      </c>
      <c r="D105" s="623">
        <v>433.8</v>
      </c>
      <c r="E105" s="623">
        <v>4874.92</v>
      </c>
      <c r="F105" s="623">
        <v>-4441.12</v>
      </c>
      <c r="G105" s="623">
        <v>-91.1</v>
      </c>
      <c r="H105" s="623">
        <v>55897.24</v>
      </c>
      <c r="I105" s="623">
        <v>136980.34</v>
      </c>
      <c r="J105" s="623">
        <v>-81083.100000000006</v>
      </c>
      <c r="K105" s="623">
        <v>-59.19</v>
      </c>
    </row>
    <row r="106" spans="1:11" outlineLevel="1" x14ac:dyDescent="0.25">
      <c r="A106" s="614"/>
      <c r="B106" s="614">
        <v>4400</v>
      </c>
      <c r="C106" s="612" t="s">
        <v>1387</v>
      </c>
      <c r="D106" s="623">
        <v>433.8</v>
      </c>
      <c r="E106" s="623">
        <v>4874.92</v>
      </c>
      <c r="F106" s="623">
        <v>-4441.12</v>
      </c>
      <c r="G106" s="623">
        <v>-91.1</v>
      </c>
      <c r="H106" s="623">
        <v>55897.24</v>
      </c>
      <c r="I106" s="623">
        <v>136980.34</v>
      </c>
      <c r="J106" s="623">
        <v>-81083.100000000006</v>
      </c>
      <c r="K106" s="623">
        <v>-59.19</v>
      </c>
    </row>
    <row r="107" spans="1:11" outlineLevel="1" x14ac:dyDescent="0.25">
      <c r="A107" s="614"/>
      <c r="B107" s="614"/>
      <c r="C107" s="612" t="s">
        <v>1674</v>
      </c>
      <c r="D107" s="623"/>
      <c r="E107" s="623"/>
      <c r="F107" s="623"/>
      <c r="G107" s="623"/>
      <c r="H107" s="623"/>
      <c r="I107" s="623"/>
      <c r="J107" s="623"/>
      <c r="K107" s="623"/>
    </row>
    <row r="108" spans="1:11" outlineLevel="1" x14ac:dyDescent="0.25">
      <c r="A108" s="614">
        <v>1180</v>
      </c>
      <c r="B108" s="614"/>
      <c r="C108" s="612" t="s">
        <v>4767</v>
      </c>
      <c r="D108" s="623">
        <v>18764.71</v>
      </c>
      <c r="E108" s="623">
        <v>21480.77</v>
      </c>
      <c r="F108" s="623">
        <v>-2716.06</v>
      </c>
      <c r="G108" s="623">
        <v>-12.64</v>
      </c>
      <c r="H108" s="623">
        <v>239949.03</v>
      </c>
      <c r="I108" s="623">
        <v>246061.81</v>
      </c>
      <c r="J108" s="623">
        <v>-6112.78</v>
      </c>
      <c r="K108" s="623">
        <v>-2.48</v>
      </c>
    </row>
    <row r="109" spans="1:11" outlineLevel="1" x14ac:dyDescent="0.25">
      <c r="A109" s="614"/>
      <c r="B109" s="614">
        <v>4520</v>
      </c>
      <c r="C109" s="612" t="s">
        <v>1392</v>
      </c>
      <c r="D109" s="623">
        <v>119.9</v>
      </c>
      <c r="E109" s="623">
        <v>89.34</v>
      </c>
      <c r="F109" s="623">
        <v>30.56</v>
      </c>
      <c r="G109" s="623">
        <v>34.21</v>
      </c>
      <c r="H109" s="623">
        <v>1438.69</v>
      </c>
      <c r="I109" s="623">
        <v>1236.47</v>
      </c>
      <c r="J109" s="623">
        <v>202.22</v>
      </c>
      <c r="K109" s="623">
        <v>16.350000000000001</v>
      </c>
    </row>
    <row r="110" spans="1:11" outlineLevel="1" x14ac:dyDescent="0.25">
      <c r="A110" s="614"/>
      <c r="B110" s="614">
        <v>4522</v>
      </c>
      <c r="C110" s="612" t="s">
        <v>1398</v>
      </c>
      <c r="D110" s="623">
        <v>239.8</v>
      </c>
      <c r="E110" s="623">
        <v>198.55</v>
      </c>
      <c r="F110" s="623">
        <v>41.25</v>
      </c>
      <c r="G110" s="623">
        <v>20.78</v>
      </c>
      <c r="H110" s="623">
        <v>2877.38</v>
      </c>
      <c r="I110" s="623">
        <v>3534.81</v>
      </c>
      <c r="J110" s="623">
        <v>-657.43</v>
      </c>
      <c r="K110" s="623">
        <v>-18.600000000000001</v>
      </c>
    </row>
    <row r="111" spans="1:11" outlineLevel="1" x14ac:dyDescent="0.25">
      <c r="A111" s="614"/>
      <c r="B111" s="614">
        <v>4523</v>
      </c>
      <c r="C111" s="612" t="s">
        <v>1402</v>
      </c>
      <c r="D111" s="623">
        <v>239.8</v>
      </c>
      <c r="E111" s="623">
        <v>205.89</v>
      </c>
      <c r="F111" s="623">
        <v>33.909999999999997</v>
      </c>
      <c r="G111" s="623">
        <v>16.47</v>
      </c>
      <c r="H111" s="623">
        <v>2877.38</v>
      </c>
      <c r="I111" s="623">
        <v>2157.6999999999998</v>
      </c>
      <c r="J111" s="623">
        <v>719.68</v>
      </c>
      <c r="K111" s="623">
        <v>33.35</v>
      </c>
    </row>
    <row r="112" spans="1:11" outlineLevel="1" x14ac:dyDescent="0.25">
      <c r="A112" s="614"/>
      <c r="B112" s="614">
        <v>4524</v>
      </c>
      <c r="C112" s="612" t="s">
        <v>1404</v>
      </c>
      <c r="D112" s="623">
        <v>0</v>
      </c>
      <c r="E112" s="623">
        <v>169.6</v>
      </c>
      <c r="F112" s="623">
        <v>-169.6</v>
      </c>
      <c r="G112" s="623">
        <v>-100</v>
      </c>
      <c r="H112" s="623">
        <v>2862.7</v>
      </c>
      <c r="I112" s="623">
        <v>2666.76</v>
      </c>
      <c r="J112" s="623">
        <v>195.94</v>
      </c>
      <c r="K112" s="623">
        <v>7.35</v>
      </c>
    </row>
    <row r="113" spans="1:11" outlineLevel="1" x14ac:dyDescent="0.25">
      <c r="A113" s="614"/>
      <c r="B113" s="614">
        <v>4525</v>
      </c>
      <c r="C113" s="612" t="s">
        <v>1408</v>
      </c>
      <c r="D113" s="623">
        <v>239.8</v>
      </c>
      <c r="E113" s="623">
        <v>186.59</v>
      </c>
      <c r="F113" s="623">
        <v>53.21</v>
      </c>
      <c r="G113" s="623">
        <v>28.52</v>
      </c>
      <c r="H113" s="623">
        <v>2877.38</v>
      </c>
      <c r="I113" s="623">
        <v>1575.71</v>
      </c>
      <c r="J113" s="623">
        <v>1301.67</v>
      </c>
      <c r="K113" s="623">
        <v>82.61</v>
      </c>
    </row>
    <row r="114" spans="1:11" outlineLevel="1" x14ac:dyDescent="0.25">
      <c r="A114" s="614"/>
      <c r="B114" s="614">
        <v>4526</v>
      </c>
      <c r="C114" s="612" t="s">
        <v>1414</v>
      </c>
      <c r="D114" s="623">
        <v>350.38</v>
      </c>
      <c r="E114" s="623">
        <v>336.57</v>
      </c>
      <c r="F114" s="623">
        <v>13.81</v>
      </c>
      <c r="G114" s="623">
        <v>4.0999999999999996</v>
      </c>
      <c r="H114" s="623">
        <v>4379.8999999999996</v>
      </c>
      <c r="I114" s="623">
        <v>4041.56</v>
      </c>
      <c r="J114" s="623">
        <v>338.34</v>
      </c>
      <c r="K114" s="623">
        <v>8.3699999999999992</v>
      </c>
    </row>
    <row r="115" spans="1:11" outlineLevel="1" x14ac:dyDescent="0.25">
      <c r="A115" s="614"/>
      <c r="B115" s="614">
        <v>4527</v>
      </c>
      <c r="C115" s="612" t="s">
        <v>1417</v>
      </c>
      <c r="D115" s="623">
        <v>239.8</v>
      </c>
      <c r="E115" s="623">
        <v>165.84</v>
      </c>
      <c r="F115" s="623">
        <v>73.959999999999994</v>
      </c>
      <c r="G115" s="623">
        <v>44.6</v>
      </c>
      <c r="H115" s="623">
        <v>2877.38</v>
      </c>
      <c r="I115" s="623">
        <v>2424.81</v>
      </c>
      <c r="J115" s="623">
        <v>452.57</v>
      </c>
      <c r="K115" s="623">
        <v>18.66</v>
      </c>
    </row>
    <row r="116" spans="1:11" outlineLevel="1" x14ac:dyDescent="0.25">
      <c r="A116" s="614"/>
      <c r="B116" s="614">
        <v>4528</v>
      </c>
      <c r="C116" s="612" t="s">
        <v>1419</v>
      </c>
      <c r="D116" s="623">
        <v>239.8</v>
      </c>
      <c r="E116" s="623">
        <v>126.2</v>
      </c>
      <c r="F116" s="623">
        <v>113.6</v>
      </c>
      <c r="G116" s="623">
        <v>90.02</v>
      </c>
      <c r="H116" s="623">
        <v>2877.38</v>
      </c>
      <c r="I116" s="623">
        <v>1968</v>
      </c>
      <c r="J116" s="623">
        <v>909.38</v>
      </c>
      <c r="K116" s="623">
        <v>46.21</v>
      </c>
    </row>
    <row r="117" spans="1:11" outlineLevel="1" x14ac:dyDescent="0.25">
      <c r="A117" s="614"/>
      <c r="B117" s="614">
        <v>4529</v>
      </c>
      <c r="C117" s="612" t="s">
        <v>4768</v>
      </c>
      <c r="D117" s="623">
        <v>121.1</v>
      </c>
      <c r="E117" s="623">
        <v>72.5</v>
      </c>
      <c r="F117" s="623">
        <v>48.6</v>
      </c>
      <c r="G117" s="623">
        <v>67.03</v>
      </c>
      <c r="H117" s="623">
        <v>1093.2</v>
      </c>
      <c r="I117" s="623">
        <v>661.4</v>
      </c>
      <c r="J117" s="623">
        <v>431.8</v>
      </c>
      <c r="K117" s="623">
        <v>65.290000000000006</v>
      </c>
    </row>
    <row r="118" spans="1:11" outlineLevel="1" x14ac:dyDescent="0.25">
      <c r="A118" s="614"/>
      <c r="B118" s="614">
        <v>4530</v>
      </c>
      <c r="C118" s="612" t="s">
        <v>1427</v>
      </c>
      <c r="D118" s="623">
        <v>240.75</v>
      </c>
      <c r="E118" s="623">
        <v>0</v>
      </c>
      <c r="F118" s="623">
        <v>240.75</v>
      </c>
      <c r="G118" s="623"/>
      <c r="H118" s="623">
        <v>539.08000000000004</v>
      </c>
      <c r="I118" s="623">
        <v>663.18</v>
      </c>
      <c r="J118" s="623">
        <v>-124.1</v>
      </c>
      <c r="K118" s="623">
        <v>-18.71</v>
      </c>
    </row>
    <row r="119" spans="1:11" outlineLevel="1" x14ac:dyDescent="0.25">
      <c r="A119" s="614"/>
      <c r="B119" s="614">
        <v>4532</v>
      </c>
      <c r="C119" s="612" t="s">
        <v>1434</v>
      </c>
      <c r="D119" s="623">
        <v>103.56</v>
      </c>
      <c r="E119" s="623">
        <v>336.46</v>
      </c>
      <c r="F119" s="623">
        <v>-232.9</v>
      </c>
      <c r="G119" s="623">
        <v>-69.22</v>
      </c>
      <c r="H119" s="623">
        <v>1341.83</v>
      </c>
      <c r="I119" s="623">
        <v>2032.09</v>
      </c>
      <c r="J119" s="623">
        <v>-690.26</v>
      </c>
      <c r="K119" s="623">
        <v>-33.97</v>
      </c>
    </row>
    <row r="120" spans="1:11" outlineLevel="1" x14ac:dyDescent="0.25">
      <c r="A120" s="614"/>
      <c r="B120" s="614">
        <v>4533</v>
      </c>
      <c r="C120" s="612" t="s">
        <v>1437</v>
      </c>
      <c r="D120" s="623">
        <v>730.44</v>
      </c>
      <c r="E120" s="623">
        <v>1351.12</v>
      </c>
      <c r="F120" s="623">
        <v>-620.67999999999995</v>
      </c>
      <c r="G120" s="623">
        <v>-45.94</v>
      </c>
      <c r="H120" s="623">
        <v>7665.29</v>
      </c>
      <c r="I120" s="623">
        <v>7361.81</v>
      </c>
      <c r="J120" s="623">
        <v>303.48</v>
      </c>
      <c r="K120" s="623">
        <v>4.12</v>
      </c>
    </row>
    <row r="121" spans="1:11" outlineLevel="1" x14ac:dyDescent="0.25">
      <c r="A121" s="614"/>
      <c r="B121" s="614">
        <v>4534</v>
      </c>
      <c r="C121" s="612" t="s">
        <v>1439</v>
      </c>
      <c r="D121" s="623">
        <v>317.27</v>
      </c>
      <c r="E121" s="623">
        <v>6751.29</v>
      </c>
      <c r="F121" s="623">
        <v>-6434.02</v>
      </c>
      <c r="G121" s="623">
        <v>-95.3</v>
      </c>
      <c r="H121" s="623">
        <v>4733.12</v>
      </c>
      <c r="I121" s="623">
        <v>10298.84</v>
      </c>
      <c r="J121" s="623">
        <v>-5565.72</v>
      </c>
      <c r="K121" s="623">
        <v>-54.04</v>
      </c>
    </row>
    <row r="122" spans="1:11" outlineLevel="1" x14ac:dyDescent="0.25">
      <c r="A122" s="614"/>
      <c r="B122" s="614">
        <v>4535</v>
      </c>
      <c r="C122" s="612" t="s">
        <v>1444</v>
      </c>
      <c r="D122" s="623">
        <v>0</v>
      </c>
      <c r="E122" s="623">
        <v>754.09</v>
      </c>
      <c r="F122" s="623">
        <v>-754.09</v>
      </c>
      <c r="G122" s="623">
        <v>-100</v>
      </c>
      <c r="H122" s="623">
        <v>2348.25</v>
      </c>
      <c r="I122" s="623">
        <v>3859.3</v>
      </c>
      <c r="J122" s="623">
        <v>-1511.05</v>
      </c>
      <c r="K122" s="623">
        <v>-39.15</v>
      </c>
    </row>
    <row r="123" spans="1:11" outlineLevel="1" x14ac:dyDescent="0.25">
      <c r="A123" s="614"/>
      <c r="B123" s="614">
        <v>4536</v>
      </c>
      <c r="C123" s="612" t="s">
        <v>1448</v>
      </c>
      <c r="D123" s="623">
        <v>362.09</v>
      </c>
      <c r="E123" s="623">
        <v>846.71</v>
      </c>
      <c r="F123" s="623">
        <v>-484.62</v>
      </c>
      <c r="G123" s="623">
        <v>-57.24</v>
      </c>
      <c r="H123" s="623">
        <v>2373.5300000000002</v>
      </c>
      <c r="I123" s="623">
        <v>4354.3</v>
      </c>
      <c r="J123" s="623">
        <v>-1980.77</v>
      </c>
      <c r="K123" s="623">
        <v>-45.49</v>
      </c>
    </row>
    <row r="124" spans="1:11" outlineLevel="1" x14ac:dyDescent="0.25">
      <c r="A124" s="614"/>
      <c r="B124" s="614">
        <v>4537</v>
      </c>
      <c r="C124" s="612" t="s">
        <v>1452</v>
      </c>
      <c r="D124" s="623">
        <v>115.35</v>
      </c>
      <c r="E124" s="623">
        <v>-6062.42</v>
      </c>
      <c r="F124" s="623">
        <v>6177.77</v>
      </c>
      <c r="G124" s="623">
        <v>101.9</v>
      </c>
      <c r="H124" s="623">
        <v>1771.02</v>
      </c>
      <c r="I124" s="623">
        <v>7956.52</v>
      </c>
      <c r="J124" s="623">
        <v>-6185.5</v>
      </c>
      <c r="K124" s="623">
        <v>-77.739999999999995</v>
      </c>
    </row>
    <row r="125" spans="1:11" outlineLevel="1" x14ac:dyDescent="0.25">
      <c r="A125" s="614"/>
      <c r="B125" s="614">
        <v>4538</v>
      </c>
      <c r="C125" s="612" t="s">
        <v>1454</v>
      </c>
      <c r="D125" s="623">
        <v>503.95</v>
      </c>
      <c r="E125" s="623">
        <v>1267.3699999999999</v>
      </c>
      <c r="F125" s="623">
        <v>-763.42</v>
      </c>
      <c r="G125" s="623">
        <v>-60.24</v>
      </c>
      <c r="H125" s="623">
        <v>6416.06</v>
      </c>
      <c r="I125" s="623">
        <v>7079.6</v>
      </c>
      <c r="J125" s="623">
        <v>-663.54</v>
      </c>
      <c r="K125" s="623">
        <v>-9.3699999999999992</v>
      </c>
    </row>
    <row r="126" spans="1:11" outlineLevel="1" x14ac:dyDescent="0.25">
      <c r="A126" s="614"/>
      <c r="B126" s="614">
        <v>4540</v>
      </c>
      <c r="C126" s="612" t="s">
        <v>1460</v>
      </c>
      <c r="D126" s="623">
        <v>855.4</v>
      </c>
      <c r="E126" s="623">
        <v>0</v>
      </c>
      <c r="F126" s="623">
        <v>855.4</v>
      </c>
      <c r="G126" s="623"/>
      <c r="H126" s="623">
        <v>4132.87</v>
      </c>
      <c r="I126" s="623">
        <v>3345.83</v>
      </c>
      <c r="J126" s="623">
        <v>787.04</v>
      </c>
      <c r="K126" s="623">
        <v>23.52</v>
      </c>
    </row>
    <row r="127" spans="1:11" outlineLevel="1" x14ac:dyDescent="0.25">
      <c r="A127" s="614"/>
      <c r="B127" s="614">
        <v>4542</v>
      </c>
      <c r="C127" s="612" t="s">
        <v>1466</v>
      </c>
      <c r="D127" s="623">
        <v>0</v>
      </c>
      <c r="E127" s="623">
        <v>300</v>
      </c>
      <c r="F127" s="623">
        <v>-300</v>
      </c>
      <c r="G127" s="623">
        <v>-100</v>
      </c>
      <c r="H127" s="623">
        <v>2956.24</v>
      </c>
      <c r="I127" s="623">
        <v>3369.76</v>
      </c>
      <c r="J127" s="623">
        <v>-413.52</v>
      </c>
      <c r="K127" s="623">
        <v>-12.27</v>
      </c>
    </row>
    <row r="128" spans="1:11" outlineLevel="1" x14ac:dyDescent="0.25">
      <c r="A128" s="614"/>
      <c r="B128" s="614">
        <v>4543</v>
      </c>
      <c r="C128" s="612" t="s">
        <v>1470</v>
      </c>
      <c r="D128" s="623">
        <v>31.84</v>
      </c>
      <c r="E128" s="623">
        <v>132.16999999999999</v>
      </c>
      <c r="F128" s="623">
        <v>-100.33</v>
      </c>
      <c r="G128" s="623">
        <v>-75.91</v>
      </c>
      <c r="H128" s="623">
        <v>4533.32</v>
      </c>
      <c r="I128" s="623">
        <v>3942.67</v>
      </c>
      <c r="J128" s="623">
        <v>590.65</v>
      </c>
      <c r="K128" s="623">
        <v>14.98</v>
      </c>
    </row>
    <row r="129" spans="1:11" outlineLevel="1" x14ac:dyDescent="0.25">
      <c r="A129" s="614"/>
      <c r="B129" s="614">
        <v>4544</v>
      </c>
      <c r="C129" s="612" t="s">
        <v>1472</v>
      </c>
      <c r="D129" s="623">
        <v>0</v>
      </c>
      <c r="E129" s="623">
        <v>543.1</v>
      </c>
      <c r="F129" s="623">
        <v>-543.1</v>
      </c>
      <c r="G129" s="623">
        <v>-100</v>
      </c>
      <c r="H129" s="623">
        <v>6782.12</v>
      </c>
      <c r="I129" s="623">
        <v>4879.63</v>
      </c>
      <c r="J129" s="623">
        <v>1902.49</v>
      </c>
      <c r="K129" s="623">
        <v>38.99</v>
      </c>
    </row>
    <row r="130" spans="1:11" outlineLevel="1" x14ac:dyDescent="0.25">
      <c r="A130" s="614"/>
      <c r="B130" s="614">
        <v>4545</v>
      </c>
      <c r="C130" s="612" t="s">
        <v>1476</v>
      </c>
      <c r="D130" s="623">
        <v>170.42</v>
      </c>
      <c r="E130" s="623">
        <v>44.37</v>
      </c>
      <c r="F130" s="623">
        <v>126.05</v>
      </c>
      <c r="G130" s="623">
        <v>284.08999999999997</v>
      </c>
      <c r="H130" s="623">
        <v>1347.09</v>
      </c>
      <c r="I130" s="623">
        <v>3714.45</v>
      </c>
      <c r="J130" s="623">
        <v>-2367.36</v>
      </c>
      <c r="K130" s="623">
        <v>-63.73</v>
      </c>
    </row>
    <row r="131" spans="1:11" outlineLevel="1" x14ac:dyDescent="0.25">
      <c r="A131" s="614"/>
      <c r="B131" s="614">
        <v>4546</v>
      </c>
      <c r="C131" s="612" t="s">
        <v>1482</v>
      </c>
      <c r="D131" s="623">
        <v>0</v>
      </c>
      <c r="E131" s="623">
        <v>0</v>
      </c>
      <c r="F131" s="623">
        <v>0</v>
      </c>
      <c r="G131" s="623"/>
      <c r="H131" s="623">
        <v>1817.07</v>
      </c>
      <c r="I131" s="623">
        <v>5684.87</v>
      </c>
      <c r="J131" s="623">
        <v>-3867.8</v>
      </c>
      <c r="K131" s="623">
        <v>-68.040000000000006</v>
      </c>
    </row>
    <row r="132" spans="1:11" outlineLevel="1" x14ac:dyDescent="0.25">
      <c r="A132" s="614"/>
      <c r="B132" s="614">
        <v>4547</v>
      </c>
      <c r="C132" s="612" t="s">
        <v>1486</v>
      </c>
      <c r="D132" s="623">
        <v>0</v>
      </c>
      <c r="E132" s="623">
        <v>231.31</v>
      </c>
      <c r="F132" s="623">
        <v>-231.31</v>
      </c>
      <c r="G132" s="623">
        <v>-100</v>
      </c>
      <c r="H132" s="623">
        <v>2490.8000000000002</v>
      </c>
      <c r="I132" s="623">
        <v>2653.69</v>
      </c>
      <c r="J132" s="623">
        <v>-162.88999999999999</v>
      </c>
      <c r="K132" s="623">
        <v>-6.14</v>
      </c>
    </row>
    <row r="133" spans="1:11" outlineLevel="1" x14ac:dyDescent="0.25">
      <c r="A133" s="614"/>
      <c r="B133" s="614">
        <v>4548</v>
      </c>
      <c r="C133" s="612" t="s">
        <v>1488</v>
      </c>
      <c r="D133" s="623">
        <v>315.02999999999997</v>
      </c>
      <c r="E133" s="623">
        <v>285.61</v>
      </c>
      <c r="F133" s="623">
        <v>29.42</v>
      </c>
      <c r="G133" s="623">
        <v>10.3</v>
      </c>
      <c r="H133" s="623">
        <v>4955.8599999999997</v>
      </c>
      <c r="I133" s="623">
        <v>4788.5</v>
      </c>
      <c r="J133" s="623">
        <v>167.36</v>
      </c>
      <c r="K133" s="623">
        <v>3.5</v>
      </c>
    </row>
    <row r="134" spans="1:11" outlineLevel="1" x14ac:dyDescent="0.25">
      <c r="A134" s="614"/>
      <c r="B134" s="614">
        <v>4549</v>
      </c>
      <c r="C134" s="612" t="s">
        <v>4769</v>
      </c>
      <c r="D134" s="623">
        <v>32</v>
      </c>
      <c r="E134" s="623">
        <v>20</v>
      </c>
      <c r="F134" s="623">
        <v>12</v>
      </c>
      <c r="G134" s="623">
        <v>60</v>
      </c>
      <c r="H134" s="623">
        <v>300</v>
      </c>
      <c r="I134" s="623">
        <v>184</v>
      </c>
      <c r="J134" s="623">
        <v>116</v>
      </c>
      <c r="K134" s="623">
        <v>63.04</v>
      </c>
    </row>
    <row r="135" spans="1:11" outlineLevel="1" x14ac:dyDescent="0.25">
      <c r="A135" s="614"/>
      <c r="B135" s="614">
        <v>4570</v>
      </c>
      <c r="C135" s="612" t="s">
        <v>1496</v>
      </c>
      <c r="D135" s="623">
        <v>925.08</v>
      </c>
      <c r="E135" s="623">
        <v>925.08</v>
      </c>
      <c r="F135" s="623">
        <v>0</v>
      </c>
      <c r="G135" s="623"/>
      <c r="H135" s="623">
        <v>11100.96</v>
      </c>
      <c r="I135" s="623">
        <v>11643.09</v>
      </c>
      <c r="J135" s="623">
        <v>-542.13</v>
      </c>
      <c r="K135" s="623">
        <v>-4.66</v>
      </c>
    </row>
    <row r="136" spans="1:11" outlineLevel="1" x14ac:dyDescent="0.25">
      <c r="A136" s="614"/>
      <c r="B136" s="614">
        <v>4572</v>
      </c>
      <c r="C136" s="612" t="s">
        <v>1504</v>
      </c>
      <c r="D136" s="623">
        <v>1692.81</v>
      </c>
      <c r="E136" s="623">
        <v>1692.81</v>
      </c>
      <c r="F136" s="623">
        <v>0</v>
      </c>
      <c r="G136" s="623"/>
      <c r="H136" s="623">
        <v>20313.72</v>
      </c>
      <c r="I136" s="623">
        <v>23535.91</v>
      </c>
      <c r="J136" s="623">
        <v>-3222.19</v>
      </c>
      <c r="K136" s="623">
        <v>-13.69</v>
      </c>
    </row>
    <row r="137" spans="1:11" outlineLevel="1" x14ac:dyDescent="0.25">
      <c r="A137" s="614"/>
      <c r="B137" s="614">
        <v>4573</v>
      </c>
      <c r="C137" s="612" t="s">
        <v>1508</v>
      </c>
      <c r="D137" s="623">
        <v>1317.71</v>
      </c>
      <c r="E137" s="623">
        <v>1317.71</v>
      </c>
      <c r="F137" s="623">
        <v>0</v>
      </c>
      <c r="G137" s="623"/>
      <c r="H137" s="623">
        <v>15812.52</v>
      </c>
      <c r="I137" s="623">
        <v>14346.92</v>
      </c>
      <c r="J137" s="623">
        <v>1465.6</v>
      </c>
      <c r="K137" s="623">
        <v>10.220000000000001</v>
      </c>
    </row>
    <row r="138" spans="1:11" outlineLevel="1" x14ac:dyDescent="0.25">
      <c r="A138" s="614"/>
      <c r="B138" s="614">
        <v>4574</v>
      </c>
      <c r="C138" s="612" t="s">
        <v>1510</v>
      </c>
      <c r="D138" s="623">
        <v>1203</v>
      </c>
      <c r="E138" s="623">
        <v>1173.99</v>
      </c>
      <c r="F138" s="623">
        <v>29.01</v>
      </c>
      <c r="G138" s="623">
        <v>2.4700000000000002</v>
      </c>
      <c r="H138" s="623">
        <v>14092.12</v>
      </c>
      <c r="I138" s="623">
        <v>14087.88</v>
      </c>
      <c r="J138" s="623">
        <v>4.24</v>
      </c>
      <c r="K138" s="623">
        <v>0.03</v>
      </c>
    </row>
    <row r="139" spans="1:11" outlineLevel="1" x14ac:dyDescent="0.25">
      <c r="A139" s="614"/>
      <c r="B139" s="614">
        <v>4575</v>
      </c>
      <c r="C139" s="612" t="s">
        <v>1516</v>
      </c>
      <c r="D139" s="623">
        <v>1584.59</v>
      </c>
      <c r="E139" s="623">
        <v>1584.59</v>
      </c>
      <c r="F139" s="623">
        <v>0</v>
      </c>
      <c r="G139" s="623"/>
      <c r="H139" s="623">
        <v>19059.45</v>
      </c>
      <c r="I139" s="623">
        <v>13325.3</v>
      </c>
      <c r="J139" s="623">
        <v>5734.15</v>
      </c>
      <c r="K139" s="623">
        <v>43.03</v>
      </c>
    </row>
    <row r="140" spans="1:11" outlineLevel="1" x14ac:dyDescent="0.25">
      <c r="A140" s="614"/>
      <c r="B140" s="614">
        <v>4576</v>
      </c>
      <c r="C140" s="612" t="s">
        <v>1520</v>
      </c>
      <c r="D140" s="623">
        <v>2693.8</v>
      </c>
      <c r="E140" s="623">
        <v>2693.8</v>
      </c>
      <c r="F140" s="623">
        <v>0</v>
      </c>
      <c r="G140" s="623"/>
      <c r="H140" s="623">
        <v>32325.599999999999</v>
      </c>
      <c r="I140" s="623">
        <v>23024.68</v>
      </c>
      <c r="J140" s="623">
        <v>9300.92</v>
      </c>
      <c r="K140" s="623">
        <v>40.4</v>
      </c>
    </row>
    <row r="141" spans="1:11" outlineLevel="1" x14ac:dyDescent="0.25">
      <c r="A141" s="614"/>
      <c r="B141" s="614">
        <v>4577</v>
      </c>
      <c r="C141" s="612" t="s">
        <v>1524</v>
      </c>
      <c r="D141" s="623">
        <v>1401</v>
      </c>
      <c r="E141" s="623">
        <v>1401</v>
      </c>
      <c r="F141" s="623">
        <v>0</v>
      </c>
      <c r="G141" s="623"/>
      <c r="H141" s="623">
        <v>16812</v>
      </c>
      <c r="I141" s="623">
        <v>18297.189999999999</v>
      </c>
      <c r="J141" s="623">
        <v>-1485.19</v>
      </c>
      <c r="K141" s="623">
        <v>-8.1199999999999992</v>
      </c>
    </row>
    <row r="142" spans="1:11" outlineLevel="1" x14ac:dyDescent="0.25">
      <c r="A142" s="614"/>
      <c r="B142" s="614">
        <v>4578</v>
      </c>
      <c r="C142" s="612" t="s">
        <v>1526</v>
      </c>
      <c r="D142" s="623">
        <v>1197.32</v>
      </c>
      <c r="E142" s="623">
        <v>1197.32</v>
      </c>
      <c r="F142" s="623">
        <v>0</v>
      </c>
      <c r="G142" s="623"/>
      <c r="H142" s="623">
        <v>14367.84</v>
      </c>
      <c r="I142" s="623">
        <v>14367.84</v>
      </c>
      <c r="J142" s="623">
        <v>0</v>
      </c>
      <c r="K142" s="623"/>
    </row>
    <row r="143" spans="1:11" outlineLevel="1" x14ac:dyDescent="0.25">
      <c r="A143" s="614"/>
      <c r="B143" s="614">
        <v>4579</v>
      </c>
      <c r="C143" s="612" t="s">
        <v>1528</v>
      </c>
      <c r="D143" s="623">
        <v>885.8</v>
      </c>
      <c r="E143" s="623">
        <v>573.29999999999995</v>
      </c>
      <c r="F143" s="623">
        <v>312.5</v>
      </c>
      <c r="G143" s="623">
        <v>54.51</v>
      </c>
      <c r="H143" s="623">
        <v>8453.76</v>
      </c>
      <c r="I143" s="623">
        <v>5210.3599999999997</v>
      </c>
      <c r="J143" s="623">
        <v>3243.4</v>
      </c>
      <c r="K143" s="623">
        <v>62.25</v>
      </c>
    </row>
    <row r="144" spans="1:11" outlineLevel="1" x14ac:dyDescent="0.25">
      <c r="A144" s="614"/>
      <c r="B144" s="614">
        <v>4580</v>
      </c>
      <c r="C144" s="612" t="s">
        <v>1532</v>
      </c>
      <c r="D144" s="623">
        <v>22.06</v>
      </c>
      <c r="E144" s="623">
        <v>4.2</v>
      </c>
      <c r="F144" s="623">
        <v>17.86</v>
      </c>
      <c r="G144" s="623">
        <v>425.24</v>
      </c>
      <c r="H144" s="623">
        <v>448.96</v>
      </c>
      <c r="I144" s="623">
        <v>2656.31</v>
      </c>
      <c r="J144" s="623">
        <v>-2207.35</v>
      </c>
      <c r="K144" s="623">
        <v>-83.1</v>
      </c>
    </row>
    <row r="145" spans="1:11" outlineLevel="1" x14ac:dyDescent="0.25">
      <c r="A145" s="614"/>
      <c r="B145" s="614">
        <v>4582</v>
      </c>
      <c r="C145" s="612" t="s">
        <v>1538</v>
      </c>
      <c r="D145" s="623">
        <v>25.22</v>
      </c>
      <c r="E145" s="623">
        <v>139.71</v>
      </c>
      <c r="F145" s="623">
        <v>-114.49</v>
      </c>
      <c r="G145" s="623">
        <v>-81.95</v>
      </c>
      <c r="H145" s="623">
        <v>203.47</v>
      </c>
      <c r="I145" s="623">
        <v>428.13</v>
      </c>
      <c r="J145" s="623">
        <v>-224.66</v>
      </c>
      <c r="K145" s="623">
        <v>-52.47</v>
      </c>
    </row>
    <row r="146" spans="1:11" outlineLevel="1" x14ac:dyDescent="0.25">
      <c r="A146" s="614"/>
      <c r="B146" s="614">
        <v>4583</v>
      </c>
      <c r="C146" s="612" t="s">
        <v>1542</v>
      </c>
      <c r="D146" s="623">
        <v>31.93</v>
      </c>
      <c r="E146" s="623">
        <v>212.01</v>
      </c>
      <c r="F146" s="623">
        <v>-180.08</v>
      </c>
      <c r="G146" s="623">
        <v>-84.94</v>
      </c>
      <c r="H146" s="623">
        <v>598.22</v>
      </c>
      <c r="I146" s="623">
        <v>709.9</v>
      </c>
      <c r="J146" s="623">
        <v>-111.68</v>
      </c>
      <c r="K146" s="623">
        <v>-15.73</v>
      </c>
    </row>
    <row r="147" spans="1:11" outlineLevel="1" x14ac:dyDescent="0.25">
      <c r="A147" s="614"/>
      <c r="B147" s="614">
        <v>4584</v>
      </c>
      <c r="C147" s="612" t="s">
        <v>1544</v>
      </c>
      <c r="D147" s="623">
        <v>48.15</v>
      </c>
      <c r="E147" s="623">
        <v>194.25</v>
      </c>
      <c r="F147" s="623">
        <v>-146.1</v>
      </c>
      <c r="G147" s="623">
        <v>-75.209999999999994</v>
      </c>
      <c r="H147" s="623">
        <v>2415.56</v>
      </c>
      <c r="I147" s="623">
        <v>427.44</v>
      </c>
      <c r="J147" s="623">
        <v>1988.12</v>
      </c>
      <c r="K147" s="623">
        <v>465.12</v>
      </c>
    </row>
    <row r="148" spans="1:11" outlineLevel="1" x14ac:dyDescent="0.25">
      <c r="A148" s="614"/>
      <c r="B148" s="614">
        <v>4585</v>
      </c>
      <c r="C148" s="612" t="s">
        <v>1548</v>
      </c>
      <c r="D148" s="623">
        <v>0</v>
      </c>
      <c r="E148" s="623">
        <v>56.31</v>
      </c>
      <c r="F148" s="623">
        <v>-56.31</v>
      </c>
      <c r="G148" s="623">
        <v>-100</v>
      </c>
      <c r="H148" s="623">
        <v>173.72</v>
      </c>
      <c r="I148" s="623">
        <v>1436.42</v>
      </c>
      <c r="J148" s="623">
        <v>-1262.7</v>
      </c>
      <c r="K148" s="623">
        <v>-87.91</v>
      </c>
    </row>
    <row r="149" spans="1:11" outlineLevel="1" x14ac:dyDescent="0.25">
      <c r="A149" s="614"/>
      <c r="B149" s="614">
        <v>4586</v>
      </c>
      <c r="C149" s="612" t="s">
        <v>1552</v>
      </c>
      <c r="D149" s="623">
        <v>0</v>
      </c>
      <c r="E149" s="623">
        <v>14.79</v>
      </c>
      <c r="F149" s="623">
        <v>-14.79</v>
      </c>
      <c r="G149" s="623">
        <v>-100</v>
      </c>
      <c r="H149" s="623">
        <v>122.86</v>
      </c>
      <c r="I149" s="623">
        <v>1496.04</v>
      </c>
      <c r="J149" s="623">
        <v>-1373.18</v>
      </c>
      <c r="K149" s="623">
        <v>-91.79</v>
      </c>
    </row>
    <row r="150" spans="1:11" outlineLevel="1" x14ac:dyDescent="0.25">
      <c r="A150" s="614"/>
      <c r="B150" s="614">
        <v>4587</v>
      </c>
      <c r="C150" s="612" t="s">
        <v>1556</v>
      </c>
      <c r="D150" s="623">
        <v>34.450000000000003</v>
      </c>
      <c r="E150" s="623">
        <v>-518.39</v>
      </c>
      <c r="F150" s="623">
        <v>552.84</v>
      </c>
      <c r="G150" s="623">
        <v>106.65</v>
      </c>
      <c r="H150" s="623">
        <v>263.62</v>
      </c>
      <c r="I150" s="623">
        <v>2597.73</v>
      </c>
      <c r="J150" s="623">
        <v>-2334.11</v>
      </c>
      <c r="K150" s="623">
        <v>-89.85</v>
      </c>
    </row>
    <row r="151" spans="1:11" outlineLevel="1" x14ac:dyDescent="0.25">
      <c r="A151" s="614"/>
      <c r="B151" s="614">
        <v>4588</v>
      </c>
      <c r="C151" s="612" t="s">
        <v>1558</v>
      </c>
      <c r="D151" s="623">
        <v>133.31</v>
      </c>
      <c r="E151" s="623">
        <v>118.23</v>
      </c>
      <c r="F151" s="623">
        <v>15.08</v>
      </c>
      <c r="G151" s="623">
        <v>12.75</v>
      </c>
      <c r="H151" s="623">
        <v>784.18</v>
      </c>
      <c r="I151" s="623">
        <v>668.38</v>
      </c>
      <c r="J151" s="623">
        <v>115.8</v>
      </c>
      <c r="K151" s="623">
        <v>17.329999999999998</v>
      </c>
    </row>
    <row r="152" spans="1:11" outlineLevel="1" x14ac:dyDescent="0.25">
      <c r="A152" s="614"/>
      <c r="B152" s="614">
        <v>4595</v>
      </c>
      <c r="C152" s="612" t="s">
        <v>1562</v>
      </c>
      <c r="D152" s="623">
        <v>0</v>
      </c>
      <c r="E152" s="623">
        <v>347.8</v>
      </c>
      <c r="F152" s="623">
        <v>-347.8</v>
      </c>
      <c r="G152" s="623">
        <v>-100</v>
      </c>
      <c r="H152" s="623">
        <v>1935.53</v>
      </c>
      <c r="I152" s="623">
        <v>1366.03</v>
      </c>
      <c r="J152" s="623">
        <v>569.5</v>
      </c>
      <c r="K152" s="623">
        <v>41.69</v>
      </c>
    </row>
    <row r="153" spans="1:11" outlineLevel="1" x14ac:dyDescent="0.25">
      <c r="A153" s="614"/>
      <c r="B153" s="614"/>
      <c r="C153" s="612" t="s">
        <v>1674</v>
      </c>
      <c r="D153" s="623"/>
      <c r="E153" s="623"/>
      <c r="F153" s="623"/>
      <c r="G153" s="623"/>
      <c r="H153" s="623"/>
      <c r="I153" s="623"/>
      <c r="J153" s="623"/>
      <c r="K153" s="623"/>
    </row>
    <row r="154" spans="1:11" outlineLevel="1" x14ac:dyDescent="0.25">
      <c r="A154" s="614">
        <v>1200</v>
      </c>
      <c r="B154" s="614"/>
      <c r="C154" s="612" t="s">
        <v>4770</v>
      </c>
      <c r="D154" s="623">
        <v>46278.99</v>
      </c>
      <c r="E154" s="623">
        <v>11399.25</v>
      </c>
      <c r="F154" s="623">
        <v>34879.74</v>
      </c>
      <c r="G154" s="623">
        <v>305.98</v>
      </c>
      <c r="H154" s="623">
        <v>163615.66</v>
      </c>
      <c r="I154" s="623">
        <v>154106.63</v>
      </c>
      <c r="J154" s="623">
        <v>9509.0300000000007</v>
      </c>
      <c r="K154" s="623">
        <v>6.17</v>
      </c>
    </row>
    <row r="155" spans="1:11" outlineLevel="1" x14ac:dyDescent="0.25">
      <c r="A155" s="614"/>
      <c r="B155" s="614">
        <v>4600</v>
      </c>
      <c r="C155" s="612" t="s">
        <v>1564</v>
      </c>
      <c r="D155" s="623">
        <v>209.45</v>
      </c>
      <c r="E155" s="623">
        <v>146.29</v>
      </c>
      <c r="F155" s="623">
        <v>63.16</v>
      </c>
      <c r="G155" s="623">
        <v>43.17</v>
      </c>
      <c r="H155" s="623">
        <v>10639.48</v>
      </c>
      <c r="I155" s="623">
        <v>14088.81</v>
      </c>
      <c r="J155" s="623">
        <v>-3449.33</v>
      </c>
      <c r="K155" s="623">
        <v>-24.48</v>
      </c>
    </row>
    <row r="156" spans="1:11" outlineLevel="1" x14ac:dyDescent="0.25">
      <c r="A156" s="614"/>
      <c r="B156" s="614">
        <v>4605</v>
      </c>
      <c r="C156" s="612" t="s">
        <v>1567</v>
      </c>
      <c r="D156" s="623">
        <v>397.95</v>
      </c>
      <c r="E156" s="623">
        <v>45.21</v>
      </c>
      <c r="F156" s="623">
        <v>352.74</v>
      </c>
      <c r="G156" s="623">
        <v>780.23</v>
      </c>
      <c r="H156" s="623">
        <v>3473.14</v>
      </c>
      <c r="I156" s="623">
        <v>3645.53</v>
      </c>
      <c r="J156" s="623">
        <v>-172.39</v>
      </c>
      <c r="K156" s="623">
        <v>-4.7300000000000004</v>
      </c>
    </row>
    <row r="157" spans="1:11" outlineLevel="1" x14ac:dyDescent="0.25">
      <c r="A157" s="614"/>
      <c r="B157" s="614">
        <v>4620</v>
      </c>
      <c r="C157" s="612" t="s">
        <v>1569</v>
      </c>
      <c r="D157" s="623">
        <v>0</v>
      </c>
      <c r="E157" s="623">
        <v>711.27</v>
      </c>
      <c r="F157" s="623">
        <v>-711.27</v>
      </c>
      <c r="G157" s="623">
        <v>-100</v>
      </c>
      <c r="H157" s="623">
        <v>38372.14</v>
      </c>
      <c r="I157" s="623">
        <v>46948.17</v>
      </c>
      <c r="J157" s="623">
        <v>-8576.0300000000007</v>
      </c>
      <c r="K157" s="623">
        <v>-18.27</v>
      </c>
    </row>
    <row r="158" spans="1:11" outlineLevel="1" x14ac:dyDescent="0.25">
      <c r="A158" s="614"/>
      <c r="B158" s="614">
        <v>4631</v>
      </c>
      <c r="C158" s="612" t="s">
        <v>1571</v>
      </c>
      <c r="D158" s="623">
        <v>18090.900000000001</v>
      </c>
      <c r="E158" s="623">
        <v>16627.61</v>
      </c>
      <c r="F158" s="623">
        <v>1463.29</v>
      </c>
      <c r="G158" s="623">
        <v>8.8000000000000007</v>
      </c>
      <c r="H158" s="623">
        <v>18090.900000000001</v>
      </c>
      <c r="I158" s="623">
        <v>16627.61</v>
      </c>
      <c r="J158" s="623">
        <v>1463.29</v>
      </c>
      <c r="K158" s="623">
        <v>8.8000000000000007</v>
      </c>
    </row>
    <row r="159" spans="1:11" outlineLevel="1" x14ac:dyDescent="0.25">
      <c r="A159" s="614"/>
      <c r="B159" s="614">
        <v>4632</v>
      </c>
      <c r="C159" s="612" t="s">
        <v>1573</v>
      </c>
      <c r="D159" s="623">
        <v>6569.62</v>
      </c>
      <c r="E159" s="623">
        <v>6250.84</v>
      </c>
      <c r="F159" s="623">
        <v>318.77999999999997</v>
      </c>
      <c r="G159" s="623">
        <v>5.0999999999999996</v>
      </c>
      <c r="H159" s="623">
        <v>6569.62</v>
      </c>
      <c r="I159" s="623">
        <v>6250.84</v>
      </c>
      <c r="J159" s="623">
        <v>318.77999999999997</v>
      </c>
      <c r="K159" s="623">
        <v>5.0999999999999996</v>
      </c>
    </row>
    <row r="160" spans="1:11" outlineLevel="1" x14ac:dyDescent="0.25">
      <c r="A160" s="614"/>
      <c r="B160" s="614">
        <v>4640</v>
      </c>
      <c r="C160" s="612" t="s">
        <v>1575</v>
      </c>
      <c r="D160" s="623">
        <v>-12729.75</v>
      </c>
      <c r="E160" s="623">
        <v>-10005.780000000001</v>
      </c>
      <c r="F160" s="623">
        <v>-2723.97</v>
      </c>
      <c r="G160" s="623">
        <v>-27.22</v>
      </c>
      <c r="H160" s="623">
        <v>12944.08</v>
      </c>
      <c r="I160" s="623">
        <v>13928.72</v>
      </c>
      <c r="J160" s="623">
        <v>-984.64</v>
      </c>
      <c r="K160" s="623">
        <v>-7.07</v>
      </c>
    </row>
    <row r="161" spans="1:11" outlineLevel="1" x14ac:dyDescent="0.25">
      <c r="A161" s="614"/>
      <c r="B161" s="614">
        <v>4650</v>
      </c>
      <c r="C161" s="612" t="s">
        <v>1579</v>
      </c>
      <c r="D161" s="623">
        <v>214.18</v>
      </c>
      <c r="E161" s="623">
        <v>554.41999999999996</v>
      </c>
      <c r="F161" s="623">
        <v>-340.24</v>
      </c>
      <c r="G161" s="623">
        <v>-61.37</v>
      </c>
      <c r="H161" s="623">
        <v>2521.04</v>
      </c>
      <c r="I161" s="623">
        <v>2737.35</v>
      </c>
      <c r="J161" s="623">
        <v>-216.31</v>
      </c>
      <c r="K161" s="623">
        <v>-7.9</v>
      </c>
    </row>
    <row r="162" spans="1:11" outlineLevel="1" x14ac:dyDescent="0.25">
      <c r="A162" s="614"/>
      <c r="B162" s="614">
        <v>4654</v>
      </c>
      <c r="C162" s="612" t="s">
        <v>1581</v>
      </c>
      <c r="D162" s="623">
        <v>91.8</v>
      </c>
      <c r="E162" s="623">
        <v>237.62</v>
      </c>
      <c r="F162" s="623">
        <v>-145.82</v>
      </c>
      <c r="G162" s="623">
        <v>-61.37</v>
      </c>
      <c r="H162" s="623">
        <v>1080.48</v>
      </c>
      <c r="I162" s="623">
        <v>1173.1600000000001</v>
      </c>
      <c r="J162" s="623">
        <v>-92.68</v>
      </c>
      <c r="K162" s="623">
        <v>-7.9</v>
      </c>
    </row>
    <row r="163" spans="1:11" outlineLevel="1" x14ac:dyDescent="0.25">
      <c r="A163" s="614"/>
      <c r="B163" s="614">
        <v>4660</v>
      </c>
      <c r="C163" s="612" t="s">
        <v>4771</v>
      </c>
      <c r="D163" s="623">
        <v>30799.119999999999</v>
      </c>
      <c r="E163" s="623">
        <v>0</v>
      </c>
      <c r="F163" s="623">
        <v>30799.119999999999</v>
      </c>
      <c r="G163" s="623"/>
      <c r="H163" s="623">
        <v>30799.119999999999</v>
      </c>
      <c r="I163" s="623">
        <v>0</v>
      </c>
      <c r="J163" s="623">
        <v>30799.119999999999</v>
      </c>
      <c r="K163" s="623"/>
    </row>
    <row r="164" spans="1:11" outlineLevel="1" x14ac:dyDescent="0.25">
      <c r="A164" s="614"/>
      <c r="B164" s="614">
        <v>4663</v>
      </c>
      <c r="C164" s="612" t="s">
        <v>1583</v>
      </c>
      <c r="D164" s="623">
        <v>525.83000000000004</v>
      </c>
      <c r="E164" s="623">
        <v>703.03</v>
      </c>
      <c r="F164" s="623">
        <v>-177.2</v>
      </c>
      <c r="G164" s="623">
        <v>-25.21</v>
      </c>
      <c r="H164" s="623">
        <v>6417.46</v>
      </c>
      <c r="I164" s="623">
        <v>7620.74</v>
      </c>
      <c r="J164" s="623">
        <v>-1203.28</v>
      </c>
      <c r="K164" s="623">
        <v>-15.79</v>
      </c>
    </row>
    <row r="165" spans="1:11" outlineLevel="1" x14ac:dyDescent="0.25">
      <c r="A165" s="614"/>
      <c r="B165" s="614">
        <v>4664</v>
      </c>
      <c r="C165" s="612" t="s">
        <v>1585</v>
      </c>
      <c r="D165" s="623">
        <v>748.4</v>
      </c>
      <c r="E165" s="623">
        <v>3914.4</v>
      </c>
      <c r="F165" s="623">
        <v>-3166</v>
      </c>
      <c r="G165" s="623">
        <v>-80.88</v>
      </c>
      <c r="H165" s="623">
        <v>7137.6</v>
      </c>
      <c r="I165" s="623">
        <v>13134.6</v>
      </c>
      <c r="J165" s="623">
        <v>-5997</v>
      </c>
      <c r="K165" s="623">
        <v>-45.66</v>
      </c>
    </row>
    <row r="166" spans="1:11" outlineLevel="1" x14ac:dyDescent="0.25">
      <c r="A166" s="614"/>
      <c r="B166" s="614">
        <v>4666</v>
      </c>
      <c r="C166" s="612" t="s">
        <v>1587</v>
      </c>
      <c r="D166" s="623">
        <v>1356.39</v>
      </c>
      <c r="E166" s="623">
        <v>-7805.76</v>
      </c>
      <c r="F166" s="623">
        <v>9162.15</v>
      </c>
      <c r="G166" s="623">
        <v>117.38</v>
      </c>
      <c r="H166" s="623">
        <v>24976.45</v>
      </c>
      <c r="I166" s="623">
        <v>27341.48</v>
      </c>
      <c r="J166" s="623">
        <v>-2365.0300000000002</v>
      </c>
      <c r="K166" s="623">
        <v>-8.65</v>
      </c>
    </row>
    <row r="167" spans="1:11" outlineLevel="1" x14ac:dyDescent="0.25">
      <c r="A167" s="614"/>
      <c r="B167" s="614">
        <v>4668</v>
      </c>
      <c r="C167" s="612" t="s">
        <v>1589</v>
      </c>
      <c r="D167" s="623">
        <v>5.0999999999999996</v>
      </c>
      <c r="E167" s="623">
        <v>20.100000000000001</v>
      </c>
      <c r="F167" s="623">
        <v>-15</v>
      </c>
      <c r="G167" s="623">
        <v>-74.63</v>
      </c>
      <c r="H167" s="623">
        <v>594.15</v>
      </c>
      <c r="I167" s="623">
        <v>609.62</v>
      </c>
      <c r="J167" s="623">
        <v>-15.47</v>
      </c>
      <c r="K167" s="623">
        <v>-2.54</v>
      </c>
    </row>
    <row r="168" spans="1:11" outlineLevel="1" x14ac:dyDescent="0.25">
      <c r="A168" s="614"/>
      <c r="B168" s="614"/>
      <c r="C168" s="612" t="s">
        <v>1674</v>
      </c>
      <c r="D168" s="623"/>
      <c r="E168" s="623"/>
      <c r="F168" s="623"/>
      <c r="G168" s="623"/>
      <c r="H168" s="623"/>
      <c r="I168" s="623"/>
      <c r="J168" s="623"/>
      <c r="K168" s="623"/>
    </row>
    <row r="169" spans="1:11" outlineLevel="1" x14ac:dyDescent="0.25">
      <c r="A169" s="614">
        <v>1220</v>
      </c>
      <c r="B169" s="614"/>
      <c r="C169" s="612" t="s">
        <v>4772</v>
      </c>
      <c r="D169" s="623">
        <v>29199.15</v>
      </c>
      <c r="E169" s="623">
        <v>25229.03</v>
      </c>
      <c r="F169" s="623">
        <v>3970.12</v>
      </c>
      <c r="G169" s="623">
        <v>15.74</v>
      </c>
      <c r="H169" s="623">
        <v>355587.84000000003</v>
      </c>
      <c r="I169" s="623">
        <v>301383.43</v>
      </c>
      <c r="J169" s="623">
        <v>54204.41</v>
      </c>
      <c r="K169" s="623">
        <v>17.989999999999998</v>
      </c>
    </row>
    <row r="170" spans="1:11" outlineLevel="1" x14ac:dyDescent="0.25">
      <c r="A170" s="614"/>
      <c r="B170" s="614">
        <v>4730</v>
      </c>
      <c r="C170" s="612" t="s">
        <v>1591</v>
      </c>
      <c r="D170" s="623">
        <v>29199.15</v>
      </c>
      <c r="E170" s="623">
        <v>18806.03</v>
      </c>
      <c r="F170" s="623">
        <v>10393.120000000001</v>
      </c>
      <c r="G170" s="623">
        <v>55.26</v>
      </c>
      <c r="H170" s="623">
        <v>354655.7</v>
      </c>
      <c r="I170" s="623">
        <v>294960.43</v>
      </c>
      <c r="J170" s="623">
        <v>59695.27</v>
      </c>
      <c r="K170" s="623">
        <v>20.239999999999998</v>
      </c>
    </row>
    <row r="171" spans="1:11" outlineLevel="1" x14ac:dyDescent="0.25">
      <c r="A171" s="614"/>
      <c r="B171" s="614">
        <v>4780</v>
      </c>
      <c r="C171" s="612" t="s">
        <v>1594</v>
      </c>
      <c r="D171" s="623">
        <v>0</v>
      </c>
      <c r="E171" s="623">
        <v>0</v>
      </c>
      <c r="F171" s="623">
        <v>0</v>
      </c>
      <c r="G171" s="623"/>
      <c r="H171" s="623">
        <v>932.14</v>
      </c>
      <c r="I171" s="623">
        <v>0</v>
      </c>
      <c r="J171" s="623">
        <v>932.14</v>
      </c>
      <c r="K171" s="623"/>
    </row>
    <row r="172" spans="1:11" outlineLevel="1" x14ac:dyDescent="0.25">
      <c r="A172" s="614"/>
      <c r="B172" s="614">
        <v>4790</v>
      </c>
      <c r="C172" s="612" t="s">
        <v>1597</v>
      </c>
      <c r="D172" s="623">
        <v>0</v>
      </c>
      <c r="E172" s="623">
        <v>6423</v>
      </c>
      <c r="F172" s="623">
        <v>-6423</v>
      </c>
      <c r="G172" s="623">
        <v>-100</v>
      </c>
      <c r="H172" s="623">
        <v>0</v>
      </c>
      <c r="I172" s="623">
        <v>6423</v>
      </c>
      <c r="J172" s="623">
        <v>-6423</v>
      </c>
      <c r="K172" s="623">
        <v>-100</v>
      </c>
    </row>
    <row r="173" spans="1:11" outlineLevel="1" x14ac:dyDescent="0.25">
      <c r="A173" s="614"/>
      <c r="B173" s="614"/>
      <c r="C173" s="612" t="s">
        <v>1674</v>
      </c>
      <c r="D173" s="623"/>
      <c r="E173" s="623"/>
      <c r="F173" s="623"/>
      <c r="G173" s="623"/>
      <c r="H173" s="623"/>
      <c r="I173" s="623"/>
      <c r="J173" s="623"/>
      <c r="K173" s="623"/>
    </row>
    <row r="174" spans="1:11" outlineLevel="1" x14ac:dyDescent="0.25">
      <c r="A174" s="614">
        <v>1240</v>
      </c>
      <c r="B174" s="614"/>
      <c r="C174" s="612" t="s">
        <v>255</v>
      </c>
      <c r="D174" s="623">
        <v>21024.13</v>
      </c>
      <c r="E174" s="623">
        <v>30202.46</v>
      </c>
      <c r="F174" s="623">
        <v>-9178.33</v>
      </c>
      <c r="G174" s="623">
        <v>-30.39</v>
      </c>
      <c r="H174" s="623">
        <v>269583.28000000003</v>
      </c>
      <c r="I174" s="623">
        <v>319793</v>
      </c>
      <c r="J174" s="623">
        <v>-50209.72</v>
      </c>
      <c r="K174" s="623">
        <v>-15.7</v>
      </c>
    </row>
    <row r="175" spans="1:11" outlineLevel="1" x14ac:dyDescent="0.25">
      <c r="A175" s="614"/>
      <c r="B175" s="614">
        <v>2406</v>
      </c>
      <c r="C175" s="612" t="s">
        <v>1365</v>
      </c>
      <c r="D175" s="623">
        <v>0</v>
      </c>
      <c r="E175" s="623">
        <v>0</v>
      </c>
      <c r="F175" s="623">
        <v>0</v>
      </c>
      <c r="G175" s="623"/>
      <c r="H175" s="623">
        <v>90.78</v>
      </c>
      <c r="I175" s="623">
        <v>0</v>
      </c>
      <c r="J175" s="623">
        <v>90.78</v>
      </c>
      <c r="K175" s="623"/>
    </row>
    <row r="176" spans="1:11" outlineLevel="1" x14ac:dyDescent="0.25">
      <c r="A176" s="614"/>
      <c r="B176" s="614">
        <v>4822</v>
      </c>
      <c r="C176" s="612" t="s">
        <v>1130</v>
      </c>
      <c r="D176" s="623">
        <v>0</v>
      </c>
      <c r="E176" s="623">
        <v>162.93</v>
      </c>
      <c r="F176" s="623">
        <v>-162.93</v>
      </c>
      <c r="G176" s="623">
        <v>-100</v>
      </c>
      <c r="H176" s="623">
        <v>1102</v>
      </c>
      <c r="I176" s="623">
        <v>2497</v>
      </c>
      <c r="J176" s="623">
        <v>-1395</v>
      </c>
      <c r="K176" s="623">
        <v>-55.87</v>
      </c>
    </row>
    <row r="177" spans="1:11" outlineLevel="1" x14ac:dyDescent="0.25">
      <c r="A177" s="614"/>
      <c r="B177" s="614">
        <v>4830</v>
      </c>
      <c r="C177" s="612" t="s">
        <v>1132</v>
      </c>
      <c r="D177" s="623">
        <v>19041.2</v>
      </c>
      <c r="E177" s="623">
        <v>25606.240000000002</v>
      </c>
      <c r="F177" s="623">
        <v>-6565.04</v>
      </c>
      <c r="G177" s="623">
        <v>-25.64</v>
      </c>
      <c r="H177" s="623">
        <v>260316.01</v>
      </c>
      <c r="I177" s="623">
        <v>297729.64</v>
      </c>
      <c r="J177" s="623">
        <v>-37413.629999999997</v>
      </c>
      <c r="K177" s="623">
        <v>-12.57</v>
      </c>
    </row>
    <row r="178" spans="1:11" outlineLevel="1" x14ac:dyDescent="0.25">
      <c r="A178" s="614"/>
      <c r="B178" s="614">
        <v>4855</v>
      </c>
      <c r="C178" s="612" t="s">
        <v>1134</v>
      </c>
      <c r="D178" s="623">
        <v>1272.93</v>
      </c>
      <c r="E178" s="623">
        <v>360</v>
      </c>
      <c r="F178" s="623">
        <v>912.93</v>
      </c>
      <c r="G178" s="623">
        <v>253.59</v>
      </c>
      <c r="H178" s="623">
        <v>7364.49</v>
      </c>
      <c r="I178" s="623">
        <v>15493.07</v>
      </c>
      <c r="J178" s="623">
        <v>-8128.58</v>
      </c>
      <c r="K178" s="623">
        <v>-52.47</v>
      </c>
    </row>
    <row r="179" spans="1:11" outlineLevel="1" x14ac:dyDescent="0.25">
      <c r="A179" s="614"/>
      <c r="B179" s="614">
        <v>4870</v>
      </c>
      <c r="C179" s="612" t="s">
        <v>1137</v>
      </c>
      <c r="D179" s="623">
        <v>710</v>
      </c>
      <c r="E179" s="623">
        <v>4073.29</v>
      </c>
      <c r="F179" s="623">
        <v>-3363.29</v>
      </c>
      <c r="G179" s="623">
        <v>-82.57</v>
      </c>
      <c r="H179" s="623">
        <v>710</v>
      </c>
      <c r="I179" s="623">
        <v>4073.29</v>
      </c>
      <c r="J179" s="623">
        <v>-3363.29</v>
      </c>
      <c r="K179" s="623">
        <v>-82.57</v>
      </c>
    </row>
    <row r="180" spans="1:11" outlineLevel="1" x14ac:dyDescent="0.25">
      <c r="A180" s="614"/>
      <c r="B180" s="614"/>
      <c r="C180" s="612" t="s">
        <v>1674</v>
      </c>
      <c r="D180" s="623"/>
      <c r="E180" s="623"/>
      <c r="F180" s="623"/>
      <c r="G180" s="623"/>
      <c r="H180" s="623"/>
      <c r="I180" s="623"/>
      <c r="J180" s="623"/>
      <c r="K180" s="623"/>
    </row>
    <row r="181" spans="1:11" outlineLevel="1" x14ac:dyDescent="0.25">
      <c r="A181" s="614">
        <v>1250</v>
      </c>
      <c r="B181" s="614"/>
      <c r="C181" s="612" t="s">
        <v>4773</v>
      </c>
      <c r="D181" s="623">
        <v>2365.4899999999998</v>
      </c>
      <c r="E181" s="623">
        <v>14031.72</v>
      </c>
      <c r="F181" s="623">
        <v>-11666.23</v>
      </c>
      <c r="G181" s="623">
        <v>-83.14</v>
      </c>
      <c r="H181" s="623">
        <v>112533.49</v>
      </c>
      <c r="I181" s="623">
        <v>133312.81</v>
      </c>
      <c r="J181" s="623">
        <v>-20779.32</v>
      </c>
      <c r="K181" s="623">
        <v>-15.59</v>
      </c>
    </row>
    <row r="182" spans="1:11" outlineLevel="1" x14ac:dyDescent="0.25">
      <c r="A182" s="614"/>
      <c r="B182" s="614">
        <v>4800</v>
      </c>
      <c r="C182" s="612" t="s">
        <v>1599</v>
      </c>
      <c r="D182" s="623">
        <v>842.29</v>
      </c>
      <c r="E182" s="623">
        <v>12366.15</v>
      </c>
      <c r="F182" s="623">
        <v>-11523.86</v>
      </c>
      <c r="G182" s="623">
        <v>-93.19</v>
      </c>
      <c r="H182" s="623">
        <v>61969.7</v>
      </c>
      <c r="I182" s="623">
        <v>59746.21</v>
      </c>
      <c r="J182" s="623">
        <v>2223.4899999999998</v>
      </c>
      <c r="K182" s="623">
        <v>3.72</v>
      </c>
    </row>
    <row r="183" spans="1:11" outlineLevel="1" x14ac:dyDescent="0.25">
      <c r="A183" s="614"/>
      <c r="B183" s="614">
        <v>4805</v>
      </c>
      <c r="C183" s="612" t="s">
        <v>1602</v>
      </c>
      <c r="D183" s="623">
        <v>0</v>
      </c>
      <c r="E183" s="623">
        <v>637.95000000000005</v>
      </c>
      <c r="F183" s="623">
        <v>-637.95000000000005</v>
      </c>
      <c r="G183" s="623">
        <v>-100</v>
      </c>
      <c r="H183" s="623">
        <v>11286.46</v>
      </c>
      <c r="I183" s="623">
        <v>36669.120000000003</v>
      </c>
      <c r="J183" s="623">
        <v>-25382.66</v>
      </c>
      <c r="K183" s="623">
        <v>-69.22</v>
      </c>
    </row>
    <row r="184" spans="1:11" outlineLevel="1" x14ac:dyDescent="0.25">
      <c r="A184" s="614"/>
      <c r="B184" s="614">
        <v>4806</v>
      </c>
      <c r="C184" s="612" t="s">
        <v>1604</v>
      </c>
      <c r="D184" s="623">
        <v>1523.2</v>
      </c>
      <c r="E184" s="623">
        <v>1027.6199999999999</v>
      </c>
      <c r="F184" s="623">
        <v>495.58</v>
      </c>
      <c r="G184" s="623">
        <v>48.23</v>
      </c>
      <c r="H184" s="623">
        <v>39277.33</v>
      </c>
      <c r="I184" s="623">
        <v>36897.480000000003</v>
      </c>
      <c r="J184" s="623">
        <v>2379.85</v>
      </c>
      <c r="K184" s="623">
        <v>6.45</v>
      </c>
    </row>
    <row r="185" spans="1:11" outlineLevel="1" x14ac:dyDescent="0.25">
      <c r="A185" s="614"/>
      <c r="B185" s="614"/>
      <c r="C185" s="612" t="s">
        <v>1674</v>
      </c>
      <c r="D185" s="623"/>
      <c r="E185" s="623"/>
      <c r="F185" s="623"/>
      <c r="G185" s="623"/>
      <c r="H185" s="623"/>
      <c r="I185" s="623"/>
      <c r="J185" s="623"/>
      <c r="K185" s="623"/>
    </row>
    <row r="186" spans="1:11" outlineLevel="1" x14ac:dyDescent="0.25">
      <c r="A186" s="614">
        <v>1260</v>
      </c>
      <c r="B186" s="614"/>
      <c r="C186" s="612" t="s">
        <v>2476</v>
      </c>
      <c r="D186" s="623">
        <v>78075.61</v>
      </c>
      <c r="E186" s="623">
        <v>65789.240000000005</v>
      </c>
      <c r="F186" s="623">
        <v>12286.37</v>
      </c>
      <c r="G186" s="623">
        <v>18.68</v>
      </c>
      <c r="H186" s="623">
        <v>1092343.1200000001</v>
      </c>
      <c r="I186" s="623">
        <v>1063437.8500000001</v>
      </c>
      <c r="J186" s="623">
        <v>28905.27</v>
      </c>
      <c r="K186" s="623">
        <v>2.72</v>
      </c>
    </row>
    <row r="187" spans="1:11" outlineLevel="1" x14ac:dyDescent="0.25">
      <c r="A187" s="614"/>
      <c r="B187" s="614">
        <v>2150</v>
      </c>
      <c r="C187" s="612" t="s">
        <v>1350</v>
      </c>
      <c r="D187" s="623">
        <v>0</v>
      </c>
      <c r="E187" s="623">
        <v>0</v>
      </c>
      <c r="F187" s="623">
        <v>0</v>
      </c>
      <c r="G187" s="623"/>
      <c r="H187" s="623">
        <v>51.15</v>
      </c>
      <c r="I187" s="623">
        <v>0</v>
      </c>
      <c r="J187" s="623">
        <v>51.15</v>
      </c>
      <c r="K187" s="623"/>
    </row>
    <row r="188" spans="1:11" outlineLevel="1" x14ac:dyDescent="0.25">
      <c r="A188" s="614"/>
      <c r="B188" s="614">
        <v>4810</v>
      </c>
      <c r="C188" s="612" t="s">
        <v>1606</v>
      </c>
      <c r="D188" s="623">
        <v>8236.19</v>
      </c>
      <c r="E188" s="623">
        <v>2098.91</v>
      </c>
      <c r="F188" s="623">
        <v>6137.28</v>
      </c>
      <c r="G188" s="623">
        <v>292.39999999999998</v>
      </c>
      <c r="H188" s="623">
        <v>97515.86</v>
      </c>
      <c r="I188" s="623">
        <v>43768.480000000003</v>
      </c>
      <c r="J188" s="623">
        <v>53747.38</v>
      </c>
      <c r="K188" s="623">
        <v>122.8</v>
      </c>
    </row>
    <row r="189" spans="1:11" outlineLevel="1" x14ac:dyDescent="0.25">
      <c r="A189" s="614"/>
      <c r="B189" s="614">
        <v>4900</v>
      </c>
      <c r="C189" s="612" t="s">
        <v>1608</v>
      </c>
      <c r="D189" s="623">
        <v>654.64</v>
      </c>
      <c r="E189" s="623">
        <v>-426.37</v>
      </c>
      <c r="F189" s="623">
        <v>1081.01</v>
      </c>
      <c r="G189" s="623">
        <v>253.54</v>
      </c>
      <c r="H189" s="623">
        <v>25264.87</v>
      </c>
      <c r="I189" s="623">
        <v>44158.12</v>
      </c>
      <c r="J189" s="623">
        <v>-18893.25</v>
      </c>
      <c r="K189" s="623">
        <v>-42.79</v>
      </c>
    </row>
    <row r="190" spans="1:11" outlineLevel="1" x14ac:dyDescent="0.25">
      <c r="A190" s="614"/>
      <c r="B190" s="614">
        <v>4905</v>
      </c>
      <c r="C190" s="612" t="s">
        <v>1610</v>
      </c>
      <c r="D190" s="623">
        <v>1.42</v>
      </c>
      <c r="E190" s="623">
        <v>0</v>
      </c>
      <c r="F190" s="623">
        <v>1.42</v>
      </c>
      <c r="G190" s="623"/>
      <c r="H190" s="623">
        <v>1.42</v>
      </c>
      <c r="I190" s="623">
        <v>0</v>
      </c>
      <c r="J190" s="623">
        <v>1.42</v>
      </c>
      <c r="K190" s="623"/>
    </row>
    <row r="191" spans="1:11" outlineLevel="1" x14ac:dyDescent="0.25">
      <c r="A191" s="614"/>
      <c r="B191" s="614">
        <v>4910</v>
      </c>
      <c r="C191" s="612" t="s">
        <v>1612</v>
      </c>
      <c r="D191" s="623">
        <v>199</v>
      </c>
      <c r="E191" s="623">
        <v>146.9</v>
      </c>
      <c r="F191" s="623">
        <v>52.1</v>
      </c>
      <c r="G191" s="623">
        <v>35.47</v>
      </c>
      <c r="H191" s="623">
        <v>1064.45</v>
      </c>
      <c r="I191" s="623">
        <v>2038.37</v>
      </c>
      <c r="J191" s="623">
        <v>-973.92</v>
      </c>
      <c r="K191" s="623">
        <v>-47.78</v>
      </c>
    </row>
    <row r="192" spans="1:11" outlineLevel="1" x14ac:dyDescent="0.25">
      <c r="A192" s="614"/>
      <c r="B192" s="614">
        <v>4920</v>
      </c>
      <c r="C192" s="612" t="s">
        <v>1614</v>
      </c>
      <c r="D192" s="623">
        <v>716.19</v>
      </c>
      <c r="E192" s="623">
        <v>770.09</v>
      </c>
      <c r="F192" s="623">
        <v>-53.9</v>
      </c>
      <c r="G192" s="623">
        <v>-7</v>
      </c>
      <c r="H192" s="623">
        <v>8885.7900000000009</v>
      </c>
      <c r="I192" s="623">
        <v>7431.7</v>
      </c>
      <c r="J192" s="623">
        <v>1454.09</v>
      </c>
      <c r="K192" s="623">
        <v>19.57</v>
      </c>
    </row>
    <row r="193" spans="1:11" outlineLevel="1" x14ac:dyDescent="0.25">
      <c r="A193" s="614"/>
      <c r="B193" s="614">
        <v>4930</v>
      </c>
      <c r="C193" s="612" t="s">
        <v>1616</v>
      </c>
      <c r="D193" s="623">
        <v>90.04</v>
      </c>
      <c r="E193" s="623">
        <v>1050.25</v>
      </c>
      <c r="F193" s="623">
        <v>-960.21</v>
      </c>
      <c r="G193" s="623">
        <v>-91.43</v>
      </c>
      <c r="H193" s="623">
        <v>4601.3599999999997</v>
      </c>
      <c r="I193" s="623">
        <v>6461.66</v>
      </c>
      <c r="J193" s="623">
        <v>-1860.3</v>
      </c>
      <c r="K193" s="623">
        <v>-28.79</v>
      </c>
    </row>
    <row r="194" spans="1:11" outlineLevel="1" x14ac:dyDescent="0.25">
      <c r="A194" s="614"/>
      <c r="B194" s="614">
        <v>4940</v>
      </c>
      <c r="C194" s="612" t="s">
        <v>1620</v>
      </c>
      <c r="D194" s="623">
        <v>22.34</v>
      </c>
      <c r="E194" s="623">
        <v>204.77</v>
      </c>
      <c r="F194" s="623">
        <v>-182.43</v>
      </c>
      <c r="G194" s="623">
        <v>-89.09</v>
      </c>
      <c r="H194" s="623">
        <v>3761.87</v>
      </c>
      <c r="I194" s="623">
        <v>4925.66</v>
      </c>
      <c r="J194" s="623">
        <v>-1163.79</v>
      </c>
      <c r="K194" s="623">
        <v>-23.63</v>
      </c>
    </row>
    <row r="195" spans="1:11" outlineLevel="1" x14ac:dyDescent="0.25">
      <c r="A195" s="614"/>
      <c r="B195" s="614">
        <v>4945</v>
      </c>
      <c r="C195" s="612" t="s">
        <v>1622</v>
      </c>
      <c r="D195" s="623">
        <v>340</v>
      </c>
      <c r="E195" s="623">
        <v>85</v>
      </c>
      <c r="F195" s="623">
        <v>255</v>
      </c>
      <c r="G195" s="623">
        <v>300</v>
      </c>
      <c r="H195" s="623">
        <v>13698</v>
      </c>
      <c r="I195" s="623">
        <v>14579.43</v>
      </c>
      <c r="J195" s="623">
        <v>-881.43</v>
      </c>
      <c r="K195" s="623">
        <v>-6.05</v>
      </c>
    </row>
    <row r="196" spans="1:11" outlineLevel="1" x14ac:dyDescent="0.25">
      <c r="A196" s="614"/>
      <c r="B196" s="614">
        <v>4950</v>
      </c>
      <c r="C196" s="612" t="s">
        <v>1624</v>
      </c>
      <c r="D196" s="623">
        <v>50924.89</v>
      </c>
      <c r="E196" s="623">
        <v>84872.67</v>
      </c>
      <c r="F196" s="623">
        <v>-33947.78</v>
      </c>
      <c r="G196" s="623">
        <v>-40</v>
      </c>
      <c r="H196" s="623">
        <v>303745.34000000003</v>
      </c>
      <c r="I196" s="623">
        <v>323410.84999999998</v>
      </c>
      <c r="J196" s="623">
        <v>-19665.509999999998</v>
      </c>
      <c r="K196" s="623">
        <v>-6.08</v>
      </c>
    </row>
    <row r="197" spans="1:11" outlineLevel="1" x14ac:dyDescent="0.25">
      <c r="A197" s="614"/>
      <c r="B197" s="614">
        <v>4951</v>
      </c>
      <c r="C197" s="612" t="s">
        <v>1626</v>
      </c>
      <c r="D197" s="623">
        <v>-119600</v>
      </c>
      <c r="E197" s="623">
        <v>-171597.81</v>
      </c>
      <c r="F197" s="623">
        <v>51997.81</v>
      </c>
      <c r="G197" s="623">
        <v>30.3</v>
      </c>
      <c r="H197" s="623">
        <v>0</v>
      </c>
      <c r="I197" s="623">
        <v>0</v>
      </c>
      <c r="J197" s="623">
        <v>0</v>
      </c>
      <c r="K197" s="623"/>
    </row>
    <row r="198" spans="1:11" outlineLevel="1" x14ac:dyDescent="0.25">
      <c r="A198" s="614"/>
      <c r="B198" s="614">
        <v>4952</v>
      </c>
      <c r="C198" s="612" t="s">
        <v>1628</v>
      </c>
      <c r="D198" s="623">
        <v>-17932.2</v>
      </c>
      <c r="E198" s="623">
        <v>0</v>
      </c>
      <c r="F198" s="623">
        <v>-17932.2</v>
      </c>
      <c r="G198" s="623"/>
      <c r="H198" s="623">
        <v>0</v>
      </c>
      <c r="I198" s="623">
        <v>0</v>
      </c>
      <c r="J198" s="623">
        <v>0</v>
      </c>
      <c r="K198" s="623"/>
    </row>
    <row r="199" spans="1:11" outlineLevel="1" x14ac:dyDescent="0.25">
      <c r="A199" s="614"/>
      <c r="B199" s="614">
        <v>4960</v>
      </c>
      <c r="C199" s="612" t="s">
        <v>1630</v>
      </c>
      <c r="D199" s="623">
        <v>2590</v>
      </c>
      <c r="E199" s="623">
        <v>3294.5</v>
      </c>
      <c r="F199" s="623">
        <v>-704.5</v>
      </c>
      <c r="G199" s="623">
        <v>-21.38</v>
      </c>
      <c r="H199" s="623">
        <v>9502.98</v>
      </c>
      <c r="I199" s="623">
        <v>6681.97</v>
      </c>
      <c r="J199" s="623">
        <v>2821.01</v>
      </c>
      <c r="K199" s="623">
        <v>42.22</v>
      </c>
    </row>
    <row r="200" spans="1:11" outlineLevel="1" x14ac:dyDescent="0.25">
      <c r="A200" s="614"/>
      <c r="B200" s="614">
        <v>4964</v>
      </c>
      <c r="C200" s="612" t="s">
        <v>1632</v>
      </c>
      <c r="D200" s="623">
        <v>140418.35999999999</v>
      </c>
      <c r="E200" s="623">
        <v>141106.10999999999</v>
      </c>
      <c r="F200" s="623">
        <v>-687.75</v>
      </c>
      <c r="G200" s="623">
        <v>-0.49</v>
      </c>
      <c r="H200" s="623">
        <v>537965.76</v>
      </c>
      <c r="I200" s="623">
        <v>527074.59</v>
      </c>
      <c r="J200" s="623">
        <v>10891.17</v>
      </c>
      <c r="K200" s="623">
        <v>2.0699999999999998</v>
      </c>
    </row>
    <row r="201" spans="1:11" outlineLevel="1" x14ac:dyDescent="0.25">
      <c r="A201" s="614"/>
      <c r="B201" s="614">
        <v>4969</v>
      </c>
      <c r="C201" s="612" t="s">
        <v>1634</v>
      </c>
      <c r="D201" s="623">
        <v>8139.84</v>
      </c>
      <c r="E201" s="623">
        <v>542.51</v>
      </c>
      <c r="F201" s="623">
        <v>7597.33</v>
      </c>
      <c r="G201" s="623">
        <v>1400.4</v>
      </c>
      <c r="H201" s="623">
        <v>25818.58</v>
      </c>
      <c r="I201" s="623">
        <v>12407.2</v>
      </c>
      <c r="J201" s="623">
        <v>13411.38</v>
      </c>
      <c r="K201" s="623">
        <v>108.09</v>
      </c>
    </row>
    <row r="202" spans="1:11" outlineLevel="1" x14ac:dyDescent="0.25">
      <c r="A202" s="614"/>
      <c r="B202" s="614">
        <v>4970</v>
      </c>
      <c r="C202" s="612" t="s">
        <v>1636</v>
      </c>
      <c r="D202" s="623">
        <v>820.82</v>
      </c>
      <c r="E202" s="623">
        <v>473.78</v>
      </c>
      <c r="F202" s="623">
        <v>347.04</v>
      </c>
      <c r="G202" s="623">
        <v>73.25</v>
      </c>
      <c r="H202" s="623">
        <v>8447.81</v>
      </c>
      <c r="I202" s="623">
        <v>6829.47</v>
      </c>
      <c r="J202" s="623">
        <v>1618.34</v>
      </c>
      <c r="K202" s="623">
        <v>23.7</v>
      </c>
    </row>
    <row r="203" spans="1:11" outlineLevel="1" x14ac:dyDescent="0.25">
      <c r="A203" s="614"/>
      <c r="B203" s="614">
        <v>4980</v>
      </c>
      <c r="C203" s="612" t="s">
        <v>1640</v>
      </c>
      <c r="D203" s="623">
        <v>2454.08</v>
      </c>
      <c r="E203" s="623">
        <v>3167.93</v>
      </c>
      <c r="F203" s="623">
        <v>-713.85</v>
      </c>
      <c r="G203" s="623">
        <v>-22.53</v>
      </c>
      <c r="H203" s="623">
        <v>52017.88</v>
      </c>
      <c r="I203" s="623">
        <v>63670.35</v>
      </c>
      <c r="J203" s="623">
        <v>-11652.47</v>
      </c>
      <c r="K203" s="623">
        <v>-18.3</v>
      </c>
    </row>
    <row r="204" spans="1:11" outlineLevel="1" x14ac:dyDescent="0.25">
      <c r="A204" s="614"/>
      <c r="B204" s="614"/>
      <c r="C204" s="612" t="s">
        <v>1674</v>
      </c>
      <c r="D204" s="623"/>
      <c r="E204" s="623"/>
      <c r="F204" s="623"/>
      <c r="G204" s="623"/>
      <c r="H204" s="623"/>
      <c r="I204" s="623"/>
      <c r="J204" s="623"/>
      <c r="K204" s="623"/>
    </row>
    <row r="205" spans="1:11" outlineLevel="1" x14ac:dyDescent="0.25">
      <c r="A205" s="614">
        <v>1280</v>
      </c>
      <c r="B205" s="614"/>
      <c r="C205" s="612" t="s">
        <v>4774</v>
      </c>
      <c r="D205" s="623">
        <v>559514.07999999996</v>
      </c>
      <c r="E205" s="623">
        <v>613541.03</v>
      </c>
      <c r="F205" s="623">
        <v>-54026.95</v>
      </c>
      <c r="G205" s="623">
        <v>-8.81</v>
      </c>
      <c r="H205" s="623">
        <v>6932238.1600000001</v>
      </c>
      <c r="I205" s="623">
        <v>7352707.3399999999</v>
      </c>
      <c r="J205" s="623">
        <v>-420469.18</v>
      </c>
      <c r="K205" s="623">
        <v>-5.72</v>
      </c>
    </row>
    <row r="206" spans="1:11" outlineLevel="1" x14ac:dyDescent="0.25">
      <c r="A206" s="614"/>
      <c r="B206" s="614"/>
      <c r="C206" s="612" t="s">
        <v>1674</v>
      </c>
      <c r="D206" s="623"/>
      <c r="E206" s="623"/>
      <c r="F206" s="623"/>
      <c r="G206" s="623"/>
      <c r="H206" s="623"/>
      <c r="I206" s="623"/>
      <c r="J206" s="623"/>
      <c r="K206" s="623"/>
    </row>
    <row r="207" spans="1:11" outlineLevel="1" x14ac:dyDescent="0.25">
      <c r="A207" s="614">
        <v>1300</v>
      </c>
      <c r="B207" s="614"/>
      <c r="C207" s="612" t="s">
        <v>4775</v>
      </c>
      <c r="D207" s="623">
        <v>-182400.11</v>
      </c>
      <c r="E207" s="623">
        <v>1170682.81</v>
      </c>
      <c r="F207" s="623">
        <v>-1353082.92</v>
      </c>
      <c r="G207" s="623">
        <v>-115.58</v>
      </c>
      <c r="H207" s="623">
        <v>1065663.28</v>
      </c>
      <c r="I207" s="623">
        <v>1357307.54</v>
      </c>
      <c r="J207" s="623">
        <v>-291644.26</v>
      </c>
      <c r="K207" s="623">
        <v>-21.49</v>
      </c>
    </row>
    <row r="208" spans="1:11" outlineLevel="1" x14ac:dyDescent="0.25">
      <c r="A208" s="614"/>
      <c r="B208" s="614"/>
      <c r="C208" s="612" t="s">
        <v>1674</v>
      </c>
      <c r="D208" s="623"/>
      <c r="E208" s="623"/>
      <c r="F208" s="623"/>
      <c r="G208" s="623"/>
      <c r="H208" s="623"/>
      <c r="I208" s="623"/>
      <c r="J208" s="623"/>
      <c r="K208" s="623"/>
    </row>
    <row r="209" spans="1:11" outlineLevel="1" x14ac:dyDescent="0.25">
      <c r="A209" s="614">
        <v>1310</v>
      </c>
      <c r="B209" s="614"/>
      <c r="C209" s="612" t="s">
        <v>4776</v>
      </c>
      <c r="D209" s="623">
        <v>3622.44</v>
      </c>
      <c r="E209" s="623">
        <v>3506.52</v>
      </c>
      <c r="F209" s="623">
        <v>115.92</v>
      </c>
      <c r="G209" s="623">
        <v>3.31</v>
      </c>
      <c r="H209" s="623">
        <v>3847.48</v>
      </c>
      <c r="I209" s="623">
        <v>3506.52</v>
      </c>
      <c r="J209" s="623">
        <v>340.96</v>
      </c>
      <c r="K209" s="623">
        <v>9.7200000000000006</v>
      </c>
    </row>
    <row r="210" spans="1:11" outlineLevel="1" x14ac:dyDescent="0.25">
      <c r="A210" s="614"/>
      <c r="B210" s="614">
        <v>2110</v>
      </c>
      <c r="C210" s="612" t="s">
        <v>1147</v>
      </c>
      <c r="D210" s="623">
        <v>0</v>
      </c>
      <c r="E210" s="623">
        <v>15.52</v>
      </c>
      <c r="F210" s="623">
        <v>-15.52</v>
      </c>
      <c r="G210" s="623">
        <v>-100</v>
      </c>
      <c r="H210" s="623">
        <v>176.21</v>
      </c>
      <c r="I210" s="623">
        <v>15.52</v>
      </c>
      <c r="J210" s="623">
        <v>160.69</v>
      </c>
      <c r="K210" s="623">
        <v>1035.3699999999999</v>
      </c>
    </row>
    <row r="211" spans="1:11" outlineLevel="1" x14ac:dyDescent="0.25">
      <c r="A211" s="614"/>
      <c r="B211" s="614">
        <v>2120</v>
      </c>
      <c r="C211" s="612" t="s">
        <v>1650</v>
      </c>
      <c r="D211" s="623">
        <v>120.44</v>
      </c>
      <c r="E211" s="623">
        <v>0</v>
      </c>
      <c r="F211" s="623">
        <v>120.44</v>
      </c>
      <c r="G211" s="623"/>
      <c r="H211" s="623">
        <v>169.27</v>
      </c>
      <c r="I211" s="623">
        <v>0</v>
      </c>
      <c r="J211" s="623">
        <v>169.27</v>
      </c>
      <c r="K211" s="623"/>
    </row>
    <row r="212" spans="1:11" outlineLevel="1" x14ac:dyDescent="0.25">
      <c r="A212" s="614"/>
      <c r="B212" s="614">
        <v>2146</v>
      </c>
      <c r="C212" s="612" t="s">
        <v>1149</v>
      </c>
      <c r="D212" s="623">
        <v>3502</v>
      </c>
      <c r="E212" s="623">
        <v>3491</v>
      </c>
      <c r="F212" s="623">
        <v>11</v>
      </c>
      <c r="G212" s="623">
        <v>0.32</v>
      </c>
      <c r="H212" s="623">
        <v>3502</v>
      </c>
      <c r="I212" s="623">
        <v>3491</v>
      </c>
      <c r="J212" s="623">
        <v>11</v>
      </c>
      <c r="K212" s="623">
        <v>0.32</v>
      </c>
    </row>
    <row r="213" spans="1:11" outlineLevel="1" x14ac:dyDescent="0.25">
      <c r="A213" s="614"/>
      <c r="B213" s="614"/>
      <c r="C213" s="612" t="s">
        <v>1674</v>
      </c>
      <c r="D213" s="623"/>
      <c r="E213" s="623"/>
      <c r="F213" s="623"/>
      <c r="G213" s="623"/>
      <c r="H213" s="623"/>
      <c r="I213" s="623"/>
      <c r="J213" s="623"/>
      <c r="K213" s="623"/>
    </row>
    <row r="214" spans="1:11" outlineLevel="1" x14ac:dyDescent="0.25">
      <c r="A214" s="614">
        <v>1312</v>
      </c>
      <c r="B214" s="614"/>
      <c r="C214" s="612" t="s">
        <v>4777</v>
      </c>
      <c r="D214" s="623">
        <v>59607.18</v>
      </c>
      <c r="E214" s="623">
        <v>14866.06</v>
      </c>
      <c r="F214" s="623">
        <v>44741.120000000003</v>
      </c>
      <c r="G214" s="623">
        <v>300.95999999999998</v>
      </c>
      <c r="H214" s="623">
        <v>82543.37</v>
      </c>
      <c r="I214" s="623">
        <v>87189.7</v>
      </c>
      <c r="J214" s="623">
        <v>-4646.33</v>
      </c>
      <c r="K214" s="623">
        <v>-5.33</v>
      </c>
    </row>
    <row r="215" spans="1:11" outlineLevel="1" x14ac:dyDescent="0.25">
      <c r="A215" s="614"/>
      <c r="B215" s="614">
        <v>2300</v>
      </c>
      <c r="C215" s="612" t="s">
        <v>1353</v>
      </c>
      <c r="D215" s="623">
        <v>58178.68</v>
      </c>
      <c r="E215" s="623">
        <v>8273.56</v>
      </c>
      <c r="F215" s="623">
        <v>49905.120000000003</v>
      </c>
      <c r="G215" s="623">
        <v>603.19000000000005</v>
      </c>
      <c r="H215" s="623">
        <v>67997.820000000007</v>
      </c>
      <c r="I215" s="623">
        <v>23561.79</v>
      </c>
      <c r="J215" s="623">
        <v>44436.03</v>
      </c>
      <c r="K215" s="623">
        <v>188.59</v>
      </c>
    </row>
    <row r="216" spans="1:11" outlineLevel="1" x14ac:dyDescent="0.25">
      <c r="A216" s="614"/>
      <c r="B216" s="614">
        <v>2310</v>
      </c>
      <c r="C216" s="612" t="s">
        <v>1355</v>
      </c>
      <c r="D216" s="623">
        <v>0</v>
      </c>
      <c r="E216" s="623">
        <v>4</v>
      </c>
      <c r="F216" s="623">
        <v>-4</v>
      </c>
      <c r="G216" s="623">
        <v>-100</v>
      </c>
      <c r="H216" s="623">
        <v>11563</v>
      </c>
      <c r="I216" s="623">
        <v>16825</v>
      </c>
      <c r="J216" s="623">
        <v>-5262</v>
      </c>
      <c r="K216" s="623">
        <v>-31.27</v>
      </c>
    </row>
    <row r="217" spans="1:11" outlineLevel="1" x14ac:dyDescent="0.25">
      <c r="A217" s="614"/>
      <c r="B217" s="614">
        <v>2312</v>
      </c>
      <c r="C217" s="612" t="s">
        <v>1357</v>
      </c>
      <c r="D217" s="623">
        <v>0</v>
      </c>
      <c r="E217" s="623">
        <v>0</v>
      </c>
      <c r="F217" s="623">
        <v>0</v>
      </c>
      <c r="G217" s="623"/>
      <c r="H217" s="623">
        <v>0</v>
      </c>
      <c r="I217" s="623">
        <v>102680</v>
      </c>
      <c r="J217" s="623">
        <v>-102680</v>
      </c>
      <c r="K217" s="623">
        <v>-100</v>
      </c>
    </row>
    <row r="218" spans="1:11" outlineLevel="1" x14ac:dyDescent="0.25">
      <c r="A218" s="614"/>
      <c r="B218" s="614">
        <v>2325</v>
      </c>
      <c r="C218" s="612" t="s">
        <v>1359</v>
      </c>
      <c r="D218" s="623">
        <v>0</v>
      </c>
      <c r="E218" s="623">
        <v>0</v>
      </c>
      <c r="F218" s="623">
        <v>0</v>
      </c>
      <c r="G218" s="623"/>
      <c r="H218" s="623">
        <v>2774.9</v>
      </c>
      <c r="I218" s="623">
        <v>0</v>
      </c>
      <c r="J218" s="623">
        <v>2774.9</v>
      </c>
      <c r="K218" s="623"/>
    </row>
    <row r="219" spans="1:11" outlineLevel="1" x14ac:dyDescent="0.25">
      <c r="A219" s="614"/>
      <c r="B219" s="614">
        <v>2350</v>
      </c>
      <c r="C219" s="612" t="s">
        <v>1361</v>
      </c>
      <c r="D219" s="623">
        <v>1428.5</v>
      </c>
      <c r="E219" s="623">
        <v>2707.5</v>
      </c>
      <c r="F219" s="623">
        <v>-1279</v>
      </c>
      <c r="G219" s="623">
        <v>-47.24</v>
      </c>
      <c r="H219" s="623">
        <v>4452.6499999999996</v>
      </c>
      <c r="I219" s="623">
        <v>20387.509999999998</v>
      </c>
      <c r="J219" s="623">
        <v>-15934.86</v>
      </c>
      <c r="K219" s="623">
        <v>-78.16</v>
      </c>
    </row>
    <row r="220" spans="1:11" outlineLevel="1" x14ac:dyDescent="0.25">
      <c r="A220" s="614"/>
      <c r="B220" s="614">
        <v>2383</v>
      </c>
      <c r="C220" s="612" t="s">
        <v>1363</v>
      </c>
      <c r="D220" s="623">
        <v>0</v>
      </c>
      <c r="E220" s="623">
        <v>0</v>
      </c>
      <c r="F220" s="623">
        <v>0</v>
      </c>
      <c r="G220" s="623"/>
      <c r="H220" s="623">
        <v>406</v>
      </c>
      <c r="I220" s="623">
        <v>706</v>
      </c>
      <c r="J220" s="623">
        <v>-300</v>
      </c>
      <c r="K220" s="623">
        <v>-42.49</v>
      </c>
    </row>
    <row r="221" spans="1:11" outlineLevel="1" x14ac:dyDescent="0.25">
      <c r="A221" s="614"/>
      <c r="B221" s="614">
        <v>2450</v>
      </c>
      <c r="C221" s="612" t="s">
        <v>1367</v>
      </c>
      <c r="D221" s="623">
        <v>0</v>
      </c>
      <c r="E221" s="623">
        <v>3881</v>
      </c>
      <c r="F221" s="623">
        <v>-3881</v>
      </c>
      <c r="G221" s="623">
        <v>-100</v>
      </c>
      <c r="H221" s="623">
        <v>0</v>
      </c>
      <c r="I221" s="623">
        <v>3881</v>
      </c>
      <c r="J221" s="623">
        <v>-3881</v>
      </c>
      <c r="K221" s="623">
        <v>-100</v>
      </c>
    </row>
    <row r="222" spans="1:11" outlineLevel="1" x14ac:dyDescent="0.25">
      <c r="A222" s="614"/>
      <c r="B222" s="614">
        <v>8801</v>
      </c>
      <c r="C222" s="612" t="s">
        <v>1641</v>
      </c>
      <c r="D222" s="623">
        <v>0</v>
      </c>
      <c r="E222" s="623">
        <v>0</v>
      </c>
      <c r="F222" s="623">
        <v>0</v>
      </c>
      <c r="G222" s="623"/>
      <c r="H222" s="623">
        <v>-4651</v>
      </c>
      <c r="I222" s="623">
        <v>-1</v>
      </c>
      <c r="J222" s="623">
        <v>-4650</v>
      </c>
      <c r="K222" s="623">
        <v>-465000</v>
      </c>
    </row>
    <row r="223" spans="1:11" outlineLevel="1" x14ac:dyDescent="0.25">
      <c r="A223" s="614"/>
      <c r="B223" s="614">
        <v>8807</v>
      </c>
      <c r="C223" s="612" t="s">
        <v>1643</v>
      </c>
      <c r="D223" s="623">
        <v>0</v>
      </c>
      <c r="E223" s="623">
        <v>0</v>
      </c>
      <c r="F223" s="623">
        <v>0</v>
      </c>
      <c r="G223" s="623"/>
      <c r="H223" s="623">
        <v>0</v>
      </c>
      <c r="I223" s="623">
        <v>-1</v>
      </c>
      <c r="J223" s="623">
        <v>1</v>
      </c>
      <c r="K223" s="623">
        <v>100</v>
      </c>
    </row>
    <row r="224" spans="1:11" outlineLevel="1" x14ac:dyDescent="0.25">
      <c r="A224" s="614"/>
      <c r="B224" s="614">
        <v>8818</v>
      </c>
      <c r="C224" s="612" t="s">
        <v>1645</v>
      </c>
      <c r="D224" s="623">
        <v>0</v>
      </c>
      <c r="E224" s="623">
        <v>0</v>
      </c>
      <c r="F224" s="623">
        <v>0</v>
      </c>
      <c r="G224" s="623"/>
      <c r="H224" s="623">
        <v>0</v>
      </c>
      <c r="I224" s="623">
        <v>-80849.600000000006</v>
      </c>
      <c r="J224" s="623">
        <v>80849.600000000006</v>
      </c>
      <c r="K224" s="623">
        <v>100</v>
      </c>
    </row>
    <row r="225" spans="1:11" outlineLevel="1" x14ac:dyDescent="0.25">
      <c r="A225" s="614"/>
      <c r="B225" s="614"/>
      <c r="C225" s="612" t="s">
        <v>1674</v>
      </c>
      <c r="D225" s="623"/>
      <c r="E225" s="623"/>
      <c r="F225" s="623"/>
      <c r="G225" s="623"/>
      <c r="H225" s="623"/>
      <c r="I225" s="623"/>
      <c r="J225" s="623"/>
      <c r="K225" s="623"/>
    </row>
    <row r="226" spans="1:11" outlineLevel="1" x14ac:dyDescent="0.25">
      <c r="A226" s="614">
        <v>1320</v>
      </c>
      <c r="B226" s="614"/>
      <c r="C226" s="612" t="s">
        <v>4778</v>
      </c>
      <c r="D226" s="623">
        <v>63229.62</v>
      </c>
      <c r="E226" s="623">
        <v>18372.580000000002</v>
      </c>
      <c r="F226" s="623">
        <v>44857.04</v>
      </c>
      <c r="G226" s="623">
        <v>244.15</v>
      </c>
      <c r="H226" s="623">
        <v>86390.85</v>
      </c>
      <c r="I226" s="623">
        <v>90696.22</v>
      </c>
      <c r="J226" s="623">
        <v>-4305.37</v>
      </c>
      <c r="K226" s="623">
        <v>-4.75</v>
      </c>
    </row>
    <row r="227" spans="1:11" outlineLevel="1" x14ac:dyDescent="0.25">
      <c r="A227" s="614"/>
      <c r="B227" s="614"/>
      <c r="C227" s="612" t="s">
        <v>1674</v>
      </c>
      <c r="D227" s="623"/>
      <c r="E227" s="623"/>
      <c r="F227" s="623"/>
      <c r="G227" s="623"/>
      <c r="H227" s="623"/>
      <c r="I227" s="623"/>
      <c r="J227" s="623"/>
      <c r="K227" s="623"/>
    </row>
    <row r="228" spans="1:11" outlineLevel="1" x14ac:dyDescent="0.25">
      <c r="A228" s="614">
        <v>1322</v>
      </c>
      <c r="B228" s="614"/>
      <c r="C228" s="612" t="s">
        <v>251</v>
      </c>
      <c r="D228" s="623">
        <v>2.2400000000000002</v>
      </c>
      <c r="E228" s="623">
        <v>2.2400000000000002</v>
      </c>
      <c r="F228" s="623">
        <v>0</v>
      </c>
      <c r="G228" s="623"/>
      <c r="H228" s="623">
        <v>2208.5</v>
      </c>
      <c r="I228" s="623">
        <v>3134.66</v>
      </c>
      <c r="J228" s="623">
        <v>-926.16</v>
      </c>
      <c r="K228" s="623">
        <v>-29.55</v>
      </c>
    </row>
    <row r="229" spans="1:11" outlineLevel="1" x14ac:dyDescent="0.25">
      <c r="A229" s="614"/>
      <c r="B229" s="614">
        <v>2650</v>
      </c>
      <c r="C229" s="612" t="s">
        <v>1141</v>
      </c>
      <c r="D229" s="623">
        <v>2.2400000000000002</v>
      </c>
      <c r="E229" s="623">
        <v>2.2400000000000002</v>
      </c>
      <c r="F229" s="623">
        <v>0</v>
      </c>
      <c r="G229" s="623"/>
      <c r="H229" s="623">
        <v>2208.5</v>
      </c>
      <c r="I229" s="623">
        <v>3037.66</v>
      </c>
      <c r="J229" s="623">
        <v>-829.16</v>
      </c>
      <c r="K229" s="623">
        <v>-27.3</v>
      </c>
    </row>
    <row r="230" spans="1:11" outlineLevel="1" x14ac:dyDescent="0.25">
      <c r="A230" s="614"/>
      <c r="B230" s="614">
        <v>2658</v>
      </c>
      <c r="C230" s="612" t="s">
        <v>1143</v>
      </c>
      <c r="D230" s="623">
        <v>0</v>
      </c>
      <c r="E230" s="623">
        <v>0</v>
      </c>
      <c r="F230" s="623">
        <v>0</v>
      </c>
      <c r="G230" s="623"/>
      <c r="H230" s="623">
        <v>0</v>
      </c>
      <c r="I230" s="623">
        <v>97</v>
      </c>
      <c r="J230" s="623">
        <v>-97</v>
      </c>
      <c r="K230" s="623">
        <v>-100</v>
      </c>
    </row>
    <row r="231" spans="1:11" outlineLevel="1" x14ac:dyDescent="0.25">
      <c r="A231" s="614"/>
      <c r="B231" s="614"/>
      <c r="C231" s="612" t="s">
        <v>1674</v>
      </c>
      <c r="D231" s="623"/>
      <c r="E231" s="623"/>
      <c r="F231" s="623"/>
      <c r="G231" s="623"/>
      <c r="H231" s="623"/>
      <c r="I231" s="623"/>
      <c r="J231" s="623"/>
      <c r="K231" s="623"/>
    </row>
    <row r="232" spans="1:11" outlineLevel="1" x14ac:dyDescent="0.25">
      <c r="A232" s="614">
        <v>1323</v>
      </c>
      <c r="B232" s="614"/>
      <c r="C232" s="612" t="s">
        <v>4779</v>
      </c>
      <c r="D232" s="623">
        <v>7358</v>
      </c>
      <c r="E232" s="623">
        <v>6944.25</v>
      </c>
      <c r="F232" s="623">
        <v>413.75</v>
      </c>
      <c r="G232" s="623">
        <v>5.96</v>
      </c>
      <c r="H232" s="623">
        <v>61617.65</v>
      </c>
      <c r="I232" s="623">
        <v>167427.93</v>
      </c>
      <c r="J232" s="623">
        <v>-105810.28</v>
      </c>
      <c r="K232" s="623">
        <v>-63.2</v>
      </c>
    </row>
    <row r="233" spans="1:11" outlineLevel="1" x14ac:dyDescent="0.25">
      <c r="A233" s="614"/>
      <c r="B233" s="614">
        <v>2315</v>
      </c>
      <c r="C233" s="612" t="s">
        <v>1241</v>
      </c>
      <c r="D233" s="623">
        <v>0</v>
      </c>
      <c r="E233" s="623">
        <v>-231190</v>
      </c>
      <c r="F233" s="623">
        <v>231190</v>
      </c>
      <c r="G233" s="623">
        <v>100</v>
      </c>
      <c r="H233" s="623">
        <v>-19289</v>
      </c>
      <c r="I233" s="623">
        <v>-276857</v>
      </c>
      <c r="J233" s="623">
        <v>257568</v>
      </c>
      <c r="K233" s="623">
        <v>93.03</v>
      </c>
    </row>
    <row r="234" spans="1:11" outlineLevel="1" x14ac:dyDescent="0.25">
      <c r="A234" s="614"/>
      <c r="B234" s="614">
        <v>2317</v>
      </c>
      <c r="C234" s="612" t="s">
        <v>1243</v>
      </c>
      <c r="D234" s="623">
        <v>0</v>
      </c>
      <c r="E234" s="623">
        <v>0</v>
      </c>
      <c r="F234" s="623">
        <v>0</v>
      </c>
      <c r="G234" s="623"/>
      <c r="H234" s="623">
        <v>-31400</v>
      </c>
      <c r="I234" s="623">
        <v>0</v>
      </c>
      <c r="J234" s="623">
        <v>-31400</v>
      </c>
      <c r="K234" s="623"/>
    </row>
    <row r="235" spans="1:11" outlineLevel="1" x14ac:dyDescent="0.25">
      <c r="A235" s="614"/>
      <c r="B235" s="614">
        <v>2700</v>
      </c>
      <c r="C235" s="612" t="s">
        <v>1245</v>
      </c>
      <c r="D235" s="623">
        <v>0</v>
      </c>
      <c r="E235" s="623">
        <v>0.09</v>
      </c>
      <c r="F235" s="623">
        <v>-0.09</v>
      </c>
      <c r="G235" s="623">
        <v>-100</v>
      </c>
      <c r="H235" s="623">
        <v>2442.88</v>
      </c>
      <c r="I235" s="623">
        <v>306.11</v>
      </c>
      <c r="J235" s="623">
        <v>2136.77</v>
      </c>
      <c r="K235" s="623">
        <v>698.04</v>
      </c>
    </row>
    <row r="236" spans="1:11" outlineLevel="1" x14ac:dyDescent="0.25">
      <c r="A236" s="614"/>
      <c r="B236" s="614">
        <v>2715</v>
      </c>
      <c r="C236" s="612" t="s">
        <v>1249</v>
      </c>
      <c r="D236" s="623">
        <v>0</v>
      </c>
      <c r="E236" s="623">
        <v>0</v>
      </c>
      <c r="F236" s="623">
        <v>0</v>
      </c>
      <c r="G236" s="623"/>
      <c r="H236" s="623">
        <v>5190</v>
      </c>
      <c r="I236" s="623">
        <v>0</v>
      </c>
      <c r="J236" s="623">
        <v>5190</v>
      </c>
      <c r="K236" s="623"/>
    </row>
    <row r="237" spans="1:11" outlineLevel="1" x14ac:dyDescent="0.25">
      <c r="A237" s="614"/>
      <c r="B237" s="614">
        <v>2730</v>
      </c>
      <c r="C237" s="612" t="s">
        <v>1251</v>
      </c>
      <c r="D237" s="623">
        <v>5543</v>
      </c>
      <c r="E237" s="623">
        <v>0</v>
      </c>
      <c r="F237" s="623">
        <v>5543</v>
      </c>
      <c r="G237" s="623"/>
      <c r="H237" s="623">
        <v>5543</v>
      </c>
      <c r="I237" s="623">
        <v>0</v>
      </c>
      <c r="J237" s="623">
        <v>5543</v>
      </c>
      <c r="K237" s="623"/>
    </row>
    <row r="238" spans="1:11" outlineLevel="1" x14ac:dyDescent="0.25">
      <c r="A238" s="614"/>
      <c r="B238" s="614">
        <v>2731</v>
      </c>
      <c r="C238" s="612" t="s">
        <v>1253</v>
      </c>
      <c r="D238" s="623">
        <v>0</v>
      </c>
      <c r="E238" s="623">
        <v>0</v>
      </c>
      <c r="F238" s="623">
        <v>0</v>
      </c>
      <c r="G238" s="623"/>
      <c r="H238" s="623">
        <v>0</v>
      </c>
      <c r="I238" s="623">
        <v>27177</v>
      </c>
      <c r="J238" s="623">
        <v>-27177</v>
      </c>
      <c r="K238" s="623">
        <v>-100</v>
      </c>
    </row>
    <row r="239" spans="1:11" outlineLevel="1" x14ac:dyDescent="0.25">
      <c r="A239" s="614"/>
      <c r="B239" s="614">
        <v>2735</v>
      </c>
      <c r="C239" s="612" t="s">
        <v>4780</v>
      </c>
      <c r="D239" s="623">
        <v>1815</v>
      </c>
      <c r="E239" s="623">
        <v>0</v>
      </c>
      <c r="F239" s="623">
        <v>1815</v>
      </c>
      <c r="G239" s="623"/>
      <c r="H239" s="623">
        <v>1815</v>
      </c>
      <c r="I239" s="623">
        <v>0</v>
      </c>
      <c r="J239" s="623">
        <v>1815</v>
      </c>
      <c r="K239" s="623"/>
    </row>
    <row r="240" spans="1:11" outlineLevel="1" x14ac:dyDescent="0.25">
      <c r="A240" s="614"/>
      <c r="B240" s="614">
        <v>2742</v>
      </c>
      <c r="C240" s="612" t="s">
        <v>1255</v>
      </c>
      <c r="D240" s="623">
        <v>0</v>
      </c>
      <c r="E240" s="623">
        <v>0</v>
      </c>
      <c r="F240" s="623">
        <v>0</v>
      </c>
      <c r="G240" s="623"/>
      <c r="H240" s="623">
        <v>2937.27</v>
      </c>
      <c r="I240" s="623">
        <v>4363.42</v>
      </c>
      <c r="J240" s="623">
        <v>-1426.15</v>
      </c>
      <c r="K240" s="623">
        <v>-32.68</v>
      </c>
    </row>
    <row r="241" spans="1:11" outlineLevel="1" x14ac:dyDescent="0.25">
      <c r="A241" s="614"/>
      <c r="B241" s="614">
        <v>2749</v>
      </c>
      <c r="C241" s="612" t="s">
        <v>1257</v>
      </c>
      <c r="D241" s="623">
        <v>0</v>
      </c>
      <c r="E241" s="623">
        <v>1734.16</v>
      </c>
      <c r="F241" s="623">
        <v>-1734.16</v>
      </c>
      <c r="G241" s="623">
        <v>-100</v>
      </c>
      <c r="H241" s="623">
        <v>5823.04</v>
      </c>
      <c r="I241" s="623">
        <v>16638.400000000001</v>
      </c>
      <c r="J241" s="623">
        <v>-10815.36</v>
      </c>
      <c r="K241" s="623">
        <v>-65</v>
      </c>
    </row>
    <row r="242" spans="1:11" outlineLevel="1" x14ac:dyDescent="0.25">
      <c r="A242" s="614"/>
      <c r="B242" s="614">
        <v>8820</v>
      </c>
      <c r="C242" s="612" t="s">
        <v>1267</v>
      </c>
      <c r="D242" s="623">
        <v>0</v>
      </c>
      <c r="E242" s="623">
        <v>236400</v>
      </c>
      <c r="F242" s="623">
        <v>-236400</v>
      </c>
      <c r="G242" s="623">
        <v>-100</v>
      </c>
      <c r="H242" s="623">
        <v>53650</v>
      </c>
      <c r="I242" s="623">
        <v>379850</v>
      </c>
      <c r="J242" s="623">
        <v>-326200</v>
      </c>
      <c r="K242" s="623">
        <v>-85.88</v>
      </c>
    </row>
    <row r="243" spans="1:11" outlineLevel="1" x14ac:dyDescent="0.25">
      <c r="A243" s="614"/>
      <c r="B243" s="614">
        <v>8827</v>
      </c>
      <c r="C243" s="612" t="s">
        <v>1269</v>
      </c>
      <c r="D243" s="623">
        <v>0</v>
      </c>
      <c r="E243" s="623">
        <v>0</v>
      </c>
      <c r="F243" s="623">
        <v>0</v>
      </c>
      <c r="G243" s="623"/>
      <c r="H243" s="623">
        <v>0</v>
      </c>
      <c r="I243" s="623">
        <v>15950</v>
      </c>
      <c r="J243" s="623">
        <v>-15950</v>
      </c>
      <c r="K243" s="623">
        <v>-100</v>
      </c>
    </row>
    <row r="244" spans="1:11" outlineLevel="1" x14ac:dyDescent="0.25">
      <c r="A244" s="614"/>
      <c r="B244" s="614">
        <v>8838</v>
      </c>
      <c r="C244" s="612" t="s">
        <v>1271</v>
      </c>
      <c r="D244" s="623">
        <v>0</v>
      </c>
      <c r="E244" s="623">
        <v>0</v>
      </c>
      <c r="F244" s="623">
        <v>0</v>
      </c>
      <c r="G244" s="623"/>
      <c r="H244" s="623">
        <v>34905.46</v>
      </c>
      <c r="I244" s="623">
        <v>0</v>
      </c>
      <c r="J244" s="623">
        <v>34905.46</v>
      </c>
      <c r="K244" s="623"/>
    </row>
    <row r="245" spans="1:11" outlineLevel="1" x14ac:dyDescent="0.25">
      <c r="A245" s="614"/>
      <c r="B245" s="614"/>
      <c r="C245" s="612" t="s">
        <v>1674</v>
      </c>
      <c r="D245" s="623"/>
      <c r="E245" s="623"/>
      <c r="F245" s="623"/>
      <c r="G245" s="623"/>
      <c r="H245" s="623"/>
      <c r="I245" s="623"/>
      <c r="J245" s="623"/>
      <c r="K245" s="623"/>
    </row>
    <row r="246" spans="1:11" outlineLevel="1" x14ac:dyDescent="0.25">
      <c r="A246" s="614">
        <v>1324</v>
      </c>
      <c r="B246" s="614"/>
      <c r="C246" s="612" t="s">
        <v>4781</v>
      </c>
      <c r="D246" s="623"/>
      <c r="E246" s="623"/>
      <c r="F246" s="623"/>
      <c r="G246" s="623"/>
      <c r="H246" s="623"/>
      <c r="I246" s="623"/>
      <c r="J246" s="623"/>
      <c r="K246" s="623"/>
    </row>
    <row r="247" spans="1:11" outlineLevel="1" x14ac:dyDescent="0.25">
      <c r="A247" s="614"/>
      <c r="B247" s="614"/>
      <c r="C247" s="612" t="s">
        <v>1674</v>
      </c>
      <c r="D247" s="623"/>
      <c r="E247" s="623"/>
      <c r="F247" s="623"/>
      <c r="G247" s="623"/>
      <c r="H247" s="623"/>
      <c r="I247" s="623"/>
      <c r="J247" s="623"/>
      <c r="K247" s="623"/>
    </row>
    <row r="248" spans="1:11" outlineLevel="1" x14ac:dyDescent="0.25">
      <c r="A248" s="614">
        <v>1330</v>
      </c>
      <c r="B248" s="614"/>
      <c r="C248" s="612" t="s">
        <v>4782</v>
      </c>
      <c r="D248" s="623">
        <v>7360.24</v>
      </c>
      <c r="E248" s="623">
        <v>6946.49</v>
      </c>
      <c r="F248" s="623">
        <v>413.75</v>
      </c>
      <c r="G248" s="623">
        <v>5.96</v>
      </c>
      <c r="H248" s="623">
        <v>63826.15</v>
      </c>
      <c r="I248" s="623">
        <v>170562.59</v>
      </c>
      <c r="J248" s="623">
        <v>-106736.44</v>
      </c>
      <c r="K248" s="623">
        <v>-62.58</v>
      </c>
    </row>
    <row r="249" spans="1:11" outlineLevel="1" x14ac:dyDescent="0.25">
      <c r="A249" s="614"/>
      <c r="B249" s="614"/>
      <c r="C249" s="612" t="s">
        <v>1674</v>
      </c>
      <c r="D249" s="623"/>
      <c r="E249" s="623"/>
      <c r="F249" s="623"/>
      <c r="G249" s="623"/>
      <c r="H249" s="623"/>
      <c r="I249" s="623"/>
      <c r="J249" s="623"/>
      <c r="K249" s="623"/>
    </row>
    <row r="250" spans="1:11" outlineLevel="1" x14ac:dyDescent="0.25">
      <c r="A250" s="614">
        <v>1340</v>
      </c>
      <c r="B250" s="614"/>
      <c r="C250" s="612" t="s">
        <v>4783</v>
      </c>
      <c r="D250" s="623"/>
      <c r="E250" s="623"/>
      <c r="F250" s="623"/>
      <c r="G250" s="623"/>
      <c r="H250" s="623"/>
      <c r="I250" s="623"/>
      <c r="J250" s="623"/>
      <c r="K250" s="623"/>
    </row>
    <row r="251" spans="1:11" outlineLevel="1" x14ac:dyDescent="0.25">
      <c r="A251" s="614"/>
      <c r="B251" s="614"/>
      <c r="C251" s="612" t="s">
        <v>1674</v>
      </c>
      <c r="D251" s="623"/>
      <c r="E251" s="623"/>
      <c r="F251" s="623"/>
      <c r="G251" s="623"/>
      <c r="H251" s="623"/>
      <c r="I251" s="623"/>
      <c r="J251" s="623"/>
      <c r="K251" s="623"/>
    </row>
    <row r="252" spans="1:11" outlineLevel="1" x14ac:dyDescent="0.25">
      <c r="A252" s="614">
        <v>1345</v>
      </c>
      <c r="B252" s="614"/>
      <c r="C252" s="612" t="s">
        <v>4784</v>
      </c>
      <c r="D252" s="623">
        <v>-238269.49</v>
      </c>
      <c r="E252" s="623">
        <v>1159256.72</v>
      </c>
      <c r="F252" s="623">
        <v>-1397526.21</v>
      </c>
      <c r="G252" s="623">
        <v>-120.55</v>
      </c>
      <c r="H252" s="623">
        <v>1043098.58</v>
      </c>
      <c r="I252" s="623">
        <v>1437173.91</v>
      </c>
      <c r="J252" s="623">
        <v>-394075.33</v>
      </c>
      <c r="K252" s="623">
        <v>-27.42</v>
      </c>
    </row>
    <row r="253" spans="1:11" outlineLevel="1" x14ac:dyDescent="0.25">
      <c r="A253" s="614"/>
      <c r="B253" s="614"/>
      <c r="C253" s="612" t="s">
        <v>1674</v>
      </c>
      <c r="D253" s="623"/>
      <c r="E253" s="623"/>
      <c r="F253" s="623"/>
      <c r="G253" s="623"/>
      <c r="H253" s="623"/>
      <c r="I253" s="623"/>
      <c r="J253" s="623"/>
      <c r="K253" s="623"/>
    </row>
    <row r="254" spans="1:11" outlineLevel="1" x14ac:dyDescent="0.25">
      <c r="A254" s="614">
        <v>1355</v>
      </c>
      <c r="B254" s="614"/>
      <c r="C254" s="612" t="s">
        <v>4785</v>
      </c>
      <c r="D254" s="623">
        <v>-61458.03</v>
      </c>
      <c r="E254" s="623">
        <v>5787.51</v>
      </c>
      <c r="F254" s="623">
        <v>-67245.539999999994</v>
      </c>
      <c r="G254" s="623">
        <v>-1161.9100000000001</v>
      </c>
      <c r="H254" s="623">
        <v>333753.68</v>
      </c>
      <c r="I254" s="623">
        <v>442121.61</v>
      </c>
      <c r="J254" s="623">
        <v>-108367.93</v>
      </c>
      <c r="K254" s="623">
        <v>-24.51</v>
      </c>
    </row>
    <row r="255" spans="1:11" outlineLevel="1" x14ac:dyDescent="0.25">
      <c r="A255" s="614"/>
      <c r="B255" s="614">
        <v>2200</v>
      </c>
      <c r="C255" s="612" t="s">
        <v>1153</v>
      </c>
      <c r="D255" s="623">
        <v>-55093</v>
      </c>
      <c r="E255" s="623">
        <v>-648</v>
      </c>
      <c r="F255" s="623">
        <v>-54445</v>
      </c>
      <c r="G255" s="623">
        <v>-8402.01</v>
      </c>
      <c r="H255" s="623">
        <v>85286</v>
      </c>
      <c r="I255" s="623">
        <v>187879</v>
      </c>
      <c r="J255" s="623">
        <v>-102593</v>
      </c>
      <c r="K255" s="623">
        <v>-54.61</v>
      </c>
    </row>
    <row r="256" spans="1:11" outlineLevel="1" x14ac:dyDescent="0.25">
      <c r="A256" s="614"/>
      <c r="B256" s="614">
        <v>2204</v>
      </c>
      <c r="C256" s="612" t="s">
        <v>1155</v>
      </c>
      <c r="D256" s="623">
        <v>-1</v>
      </c>
      <c r="E256" s="623">
        <v>0</v>
      </c>
      <c r="F256" s="623">
        <v>-1</v>
      </c>
      <c r="G256" s="623"/>
      <c r="H256" s="623">
        <v>-2</v>
      </c>
      <c r="I256" s="623">
        <v>0</v>
      </c>
      <c r="J256" s="623">
        <v>-2</v>
      </c>
      <c r="K256" s="623"/>
    </row>
    <row r="257" spans="1:11" outlineLevel="1" x14ac:dyDescent="0.25">
      <c r="A257" s="614"/>
      <c r="B257" s="614">
        <v>2208</v>
      </c>
      <c r="C257" s="612" t="s">
        <v>1157</v>
      </c>
      <c r="D257" s="623">
        <v>-3028.27</v>
      </c>
      <c r="E257" s="623">
        <v>-35.729999999999997</v>
      </c>
      <c r="F257" s="623">
        <v>-2992.54</v>
      </c>
      <c r="G257" s="623">
        <v>-8375.43</v>
      </c>
      <c r="H257" s="623">
        <v>4690.7299999999996</v>
      </c>
      <c r="I257" s="623">
        <v>10333.35</v>
      </c>
      <c r="J257" s="623">
        <v>-5642.62</v>
      </c>
      <c r="K257" s="623">
        <v>-54.61</v>
      </c>
    </row>
    <row r="258" spans="1:11" outlineLevel="1" x14ac:dyDescent="0.25">
      <c r="A258" s="614"/>
      <c r="B258" s="614">
        <v>2213</v>
      </c>
      <c r="C258" s="612" t="s">
        <v>1161</v>
      </c>
      <c r="D258" s="623">
        <v>2.13</v>
      </c>
      <c r="E258" s="623">
        <v>2.13</v>
      </c>
      <c r="F258" s="623">
        <v>0</v>
      </c>
      <c r="G258" s="623"/>
      <c r="H258" s="623">
        <v>327.13</v>
      </c>
      <c r="I258" s="623">
        <v>542.13</v>
      </c>
      <c r="J258" s="623">
        <v>-215</v>
      </c>
      <c r="K258" s="623">
        <v>-39.659999999999997</v>
      </c>
    </row>
    <row r="259" spans="1:11" outlineLevel="1" x14ac:dyDescent="0.25">
      <c r="A259" s="614"/>
      <c r="B259" s="614">
        <v>2216</v>
      </c>
      <c r="C259" s="612" t="s">
        <v>1163</v>
      </c>
      <c r="D259" s="623">
        <v>0.11</v>
      </c>
      <c r="E259" s="623">
        <v>0.11</v>
      </c>
      <c r="F259" s="623">
        <v>0</v>
      </c>
      <c r="G259" s="623"/>
      <c r="H259" s="623">
        <v>17.98</v>
      </c>
      <c r="I259" s="623">
        <v>29.8</v>
      </c>
      <c r="J259" s="623">
        <v>-11.82</v>
      </c>
      <c r="K259" s="623">
        <v>-39.659999999999997</v>
      </c>
    </row>
    <row r="260" spans="1:11" outlineLevel="1" x14ac:dyDescent="0.25">
      <c r="A260" s="614"/>
      <c r="B260" s="614">
        <v>2250</v>
      </c>
      <c r="C260" s="612" t="s">
        <v>1652</v>
      </c>
      <c r="D260" s="623">
        <v>149460</v>
      </c>
      <c r="E260" s="623">
        <v>48876</v>
      </c>
      <c r="F260" s="623">
        <v>100584</v>
      </c>
      <c r="G260" s="623">
        <v>205.79</v>
      </c>
      <c r="H260" s="623">
        <v>149460</v>
      </c>
      <c r="I260" s="623">
        <v>48876</v>
      </c>
      <c r="J260" s="623">
        <v>100584</v>
      </c>
      <c r="K260" s="623">
        <v>205.79</v>
      </c>
    </row>
    <row r="261" spans="1:11" outlineLevel="1" x14ac:dyDescent="0.25">
      <c r="A261" s="614"/>
      <c r="B261" s="614">
        <v>2281</v>
      </c>
      <c r="C261" s="612" t="s">
        <v>1167</v>
      </c>
      <c r="D261" s="623">
        <v>0</v>
      </c>
      <c r="E261" s="623">
        <v>0</v>
      </c>
      <c r="F261" s="623">
        <v>0</v>
      </c>
      <c r="G261" s="623"/>
      <c r="H261" s="623">
        <v>0.84</v>
      </c>
      <c r="I261" s="623">
        <v>0.33</v>
      </c>
      <c r="J261" s="623">
        <v>0.51</v>
      </c>
      <c r="K261" s="623">
        <v>154.55000000000001</v>
      </c>
    </row>
    <row r="262" spans="1:11" outlineLevel="1" x14ac:dyDescent="0.25">
      <c r="A262" s="614"/>
      <c r="B262" s="614">
        <v>4320</v>
      </c>
      <c r="C262" s="612" t="s">
        <v>1169</v>
      </c>
      <c r="D262" s="623">
        <v>-152798</v>
      </c>
      <c r="E262" s="623">
        <v>-42407</v>
      </c>
      <c r="F262" s="623">
        <v>-110391</v>
      </c>
      <c r="G262" s="623">
        <v>-260.31</v>
      </c>
      <c r="H262" s="623">
        <v>93973</v>
      </c>
      <c r="I262" s="623">
        <v>194461</v>
      </c>
      <c r="J262" s="623">
        <v>-100488</v>
      </c>
      <c r="K262" s="623">
        <v>-51.68</v>
      </c>
    </row>
    <row r="263" spans="1:11" outlineLevel="1" x14ac:dyDescent="0.25">
      <c r="A263" s="614"/>
      <c r="B263" s="614"/>
      <c r="C263" s="612" t="s">
        <v>1674</v>
      </c>
      <c r="D263" s="623"/>
      <c r="E263" s="623"/>
      <c r="F263" s="623"/>
      <c r="G263" s="623"/>
      <c r="H263" s="623"/>
      <c r="I263" s="623"/>
      <c r="J263" s="623"/>
      <c r="K263" s="623"/>
    </row>
    <row r="264" spans="1:11" outlineLevel="1" x14ac:dyDescent="0.25">
      <c r="A264" s="614">
        <v>1380</v>
      </c>
      <c r="B264" s="614"/>
      <c r="C264" s="612" t="s">
        <v>4786</v>
      </c>
      <c r="D264" s="623">
        <v>-176811.46</v>
      </c>
      <c r="E264" s="623">
        <v>1153469.21</v>
      </c>
      <c r="F264" s="623">
        <v>-1330280.67</v>
      </c>
      <c r="G264" s="623">
        <v>-115.33</v>
      </c>
      <c r="H264" s="623">
        <v>709344.9</v>
      </c>
      <c r="I264" s="623">
        <v>995052.3</v>
      </c>
      <c r="J264" s="623">
        <v>-285707.40000000002</v>
      </c>
      <c r="K264" s="623">
        <v>-28.71</v>
      </c>
    </row>
    <row r="265" spans="1:11" outlineLevel="1" x14ac:dyDescent="0.25">
      <c r="A265" s="614"/>
      <c r="B265" s="614"/>
      <c r="C265" s="612" t="s">
        <v>1674</v>
      </c>
      <c r="D265" s="623"/>
      <c r="E265" s="623"/>
      <c r="F265" s="623"/>
      <c r="G265" s="623"/>
      <c r="H265" s="623"/>
      <c r="I265" s="623"/>
      <c r="J265" s="623"/>
      <c r="K265" s="623"/>
    </row>
  </sheetData>
  <mergeCells count="1">
    <mergeCell ref="A1:K1"/>
  </mergeCells>
  <pageMargins left="0.7" right="0.7" top="0.78740157499999996" bottom="0.78740157499999996"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D64C6-5A5D-4C1C-A7DC-CF951ABAF1FC}">
  <sheetPr>
    <outlinePr summaryBelow="0"/>
  </sheetPr>
  <dimension ref="A1:N264"/>
  <sheetViews>
    <sheetView workbookViewId="0">
      <selection sqref="A1:L1"/>
    </sheetView>
  </sheetViews>
  <sheetFormatPr defaultColWidth="11.42578125" defaultRowHeight="15" outlineLevelRow="1" x14ac:dyDescent="0.25"/>
  <cols>
    <col min="1" max="1" width="9.5703125" customWidth="1"/>
    <col min="2" max="2" width="43.85546875" customWidth="1"/>
    <col min="3" max="3" width="15.42578125" customWidth="1"/>
    <col min="4" max="5" width="6.140625" customWidth="1"/>
    <col min="6" max="6" width="15.42578125" customWidth="1"/>
    <col min="7" max="8" width="6.140625" customWidth="1"/>
    <col min="9" max="10" width="15.42578125" customWidth="1"/>
    <col min="11" max="12" width="16.42578125" customWidth="1"/>
    <col min="14" max="14" width="13.85546875" bestFit="1" customWidth="1"/>
  </cols>
  <sheetData>
    <row r="1" spans="1:14" x14ac:dyDescent="0.25">
      <c r="A1" s="1021" t="s">
        <v>4485</v>
      </c>
      <c r="B1" s="1022"/>
      <c r="C1" s="1022"/>
      <c r="D1" s="1022"/>
      <c r="E1" s="1022"/>
      <c r="F1" s="1022"/>
      <c r="G1" s="1022"/>
      <c r="H1" s="1022"/>
      <c r="I1" s="1022"/>
      <c r="J1" s="1022"/>
      <c r="K1" s="1022"/>
      <c r="L1" s="1022"/>
    </row>
    <row r="2" spans="1:14" ht="30" outlineLevel="1" x14ac:dyDescent="0.25">
      <c r="A2" s="609" t="s">
        <v>2542</v>
      </c>
      <c r="B2" s="609" t="s">
        <v>2543</v>
      </c>
      <c r="C2" s="609" t="s">
        <v>4486</v>
      </c>
      <c r="D2" s="609" t="s">
        <v>2701</v>
      </c>
      <c r="E2" s="609" t="s">
        <v>2584</v>
      </c>
      <c r="F2" s="609" t="s">
        <v>2549</v>
      </c>
      <c r="G2" s="609" t="s">
        <v>2701</v>
      </c>
      <c r="H2" s="609" t="s">
        <v>2584</v>
      </c>
      <c r="I2" s="610" t="s">
        <v>4487</v>
      </c>
      <c r="J2" s="610" t="s">
        <v>4488</v>
      </c>
      <c r="K2" s="610" t="s">
        <v>4489</v>
      </c>
      <c r="L2" s="610" t="s">
        <v>4488</v>
      </c>
    </row>
    <row r="3" spans="1:14" outlineLevel="1" x14ac:dyDescent="0.25">
      <c r="A3" s="611">
        <v>27</v>
      </c>
      <c r="B3" s="612" t="s">
        <v>4490</v>
      </c>
      <c r="C3" s="613">
        <v>1109</v>
      </c>
      <c r="D3" s="614" t="s">
        <v>2701</v>
      </c>
      <c r="E3" s="614"/>
      <c r="F3" s="613">
        <v>7</v>
      </c>
      <c r="G3" s="614" t="s">
        <v>2701</v>
      </c>
      <c r="H3" s="614"/>
      <c r="I3" s="613"/>
      <c r="J3" s="613"/>
      <c r="K3" s="613">
        <v>0</v>
      </c>
      <c r="L3" s="613">
        <v>1102</v>
      </c>
      <c r="N3" s="620">
        <f>IF(G3="S",F3,-F3)</f>
        <v>7</v>
      </c>
    </row>
    <row r="4" spans="1:14" outlineLevel="1" x14ac:dyDescent="0.25">
      <c r="A4" s="611">
        <v>48</v>
      </c>
      <c r="B4" s="612" t="s">
        <v>4491</v>
      </c>
      <c r="C4" s="613">
        <v>203167.17</v>
      </c>
      <c r="D4" s="614" t="s">
        <v>2701</v>
      </c>
      <c r="E4" s="614"/>
      <c r="F4" s="613">
        <v>344694.47</v>
      </c>
      <c r="G4" s="614" t="s">
        <v>2701</v>
      </c>
      <c r="H4" s="614"/>
      <c r="I4" s="613"/>
      <c r="J4" s="613"/>
      <c r="K4" s="613">
        <v>141527.29999999999</v>
      </c>
      <c r="L4" s="613">
        <v>0</v>
      </c>
      <c r="N4" s="620">
        <f t="shared" ref="N4:N68" si="0">IF(G4="S",F4,-F4)</f>
        <v>344694.47</v>
      </c>
    </row>
    <row r="5" spans="1:14" outlineLevel="1" x14ac:dyDescent="0.25">
      <c r="A5" s="611">
        <v>210</v>
      </c>
      <c r="B5" s="612" t="s">
        <v>4492</v>
      </c>
      <c r="C5" s="613">
        <v>1</v>
      </c>
      <c r="D5" s="614" t="s">
        <v>2701</v>
      </c>
      <c r="E5" s="614"/>
      <c r="F5" s="613">
        <v>1</v>
      </c>
      <c r="G5" s="614" t="s">
        <v>2701</v>
      </c>
      <c r="H5" s="614"/>
      <c r="I5" s="613"/>
      <c r="J5" s="613"/>
      <c r="K5" s="613"/>
      <c r="L5" s="613"/>
      <c r="N5" s="620">
        <f t="shared" si="0"/>
        <v>1</v>
      </c>
    </row>
    <row r="6" spans="1:14" outlineLevel="1" x14ac:dyDescent="0.25">
      <c r="A6" s="611">
        <v>400</v>
      </c>
      <c r="B6" s="612" t="s">
        <v>4493</v>
      </c>
      <c r="C6" s="613">
        <v>303552</v>
      </c>
      <c r="D6" s="614" t="s">
        <v>2701</v>
      </c>
      <c r="E6" s="614"/>
      <c r="F6" s="613">
        <v>263758.71000000002</v>
      </c>
      <c r="G6" s="614" t="s">
        <v>2701</v>
      </c>
      <c r="H6" s="614"/>
      <c r="I6" s="613">
        <v>5014.3599999999997</v>
      </c>
      <c r="J6" s="613">
        <v>5841</v>
      </c>
      <c r="K6" s="613">
        <v>20935.740000000002</v>
      </c>
      <c r="L6" s="613">
        <v>60729.03</v>
      </c>
      <c r="N6" s="620">
        <f t="shared" si="0"/>
        <v>263758.71000000002</v>
      </c>
    </row>
    <row r="7" spans="1:14" outlineLevel="1" x14ac:dyDescent="0.25">
      <c r="A7" s="611">
        <v>440</v>
      </c>
      <c r="B7" s="612" t="s">
        <v>4494</v>
      </c>
      <c r="C7" s="613">
        <v>36265</v>
      </c>
      <c r="D7" s="614" t="s">
        <v>2701</v>
      </c>
      <c r="E7" s="614"/>
      <c r="F7" s="613">
        <v>27061.39</v>
      </c>
      <c r="G7" s="614" t="s">
        <v>2701</v>
      </c>
      <c r="H7" s="614"/>
      <c r="I7" s="613">
        <v>0</v>
      </c>
      <c r="J7" s="613">
        <v>865.92</v>
      </c>
      <c r="K7" s="613">
        <v>0</v>
      </c>
      <c r="L7" s="613">
        <v>9203.61</v>
      </c>
      <c r="N7" s="620">
        <f t="shared" si="0"/>
        <v>27061.39</v>
      </c>
    </row>
    <row r="8" spans="1:14" outlineLevel="1" x14ac:dyDescent="0.25">
      <c r="A8" s="611">
        <v>480</v>
      </c>
      <c r="B8" s="612" t="s">
        <v>4495</v>
      </c>
      <c r="C8" s="613"/>
      <c r="D8" s="614"/>
      <c r="E8" s="614"/>
      <c r="F8" s="613">
        <v>0</v>
      </c>
      <c r="G8" s="614"/>
      <c r="H8" s="614"/>
      <c r="I8" s="613"/>
      <c r="J8" s="613"/>
      <c r="K8" s="613">
        <v>6091.56</v>
      </c>
      <c r="L8" s="613">
        <v>6091.56</v>
      </c>
      <c r="N8" s="620">
        <f t="shared" si="0"/>
        <v>0</v>
      </c>
    </row>
    <row r="9" spans="1:14" outlineLevel="1" x14ac:dyDescent="0.25">
      <c r="A9" s="611">
        <v>490</v>
      </c>
      <c r="B9" s="612" t="s">
        <v>4496</v>
      </c>
      <c r="C9" s="613">
        <v>486646</v>
      </c>
      <c r="D9" s="614" t="s">
        <v>2701</v>
      </c>
      <c r="E9" s="614"/>
      <c r="F9" s="613">
        <v>309098.40999999997</v>
      </c>
      <c r="G9" s="614" t="s">
        <v>2701</v>
      </c>
      <c r="H9" s="614"/>
      <c r="I9" s="613">
        <v>0</v>
      </c>
      <c r="J9" s="613">
        <v>13452.51</v>
      </c>
      <c r="K9" s="613">
        <v>4755.6000000000004</v>
      </c>
      <c r="L9" s="613">
        <v>182303.19</v>
      </c>
      <c r="N9" s="620">
        <f t="shared" si="0"/>
        <v>309098.40999999997</v>
      </c>
    </row>
    <row r="10" spans="1:14" outlineLevel="1" x14ac:dyDescent="0.25">
      <c r="A10" s="611">
        <v>525</v>
      </c>
      <c r="B10" s="612" t="s">
        <v>4497</v>
      </c>
      <c r="C10" s="613">
        <v>75225.62</v>
      </c>
      <c r="D10" s="614" t="s">
        <v>2701</v>
      </c>
      <c r="E10" s="614"/>
      <c r="F10" s="613">
        <v>43825.62</v>
      </c>
      <c r="G10" s="614" t="s">
        <v>2701</v>
      </c>
      <c r="H10" s="614"/>
      <c r="I10" s="613"/>
      <c r="J10" s="613"/>
      <c r="K10" s="613">
        <v>0</v>
      </c>
      <c r="L10" s="613">
        <v>31400</v>
      </c>
      <c r="N10" s="620">
        <f t="shared" si="0"/>
        <v>43825.62</v>
      </c>
    </row>
    <row r="11" spans="1:14" outlineLevel="1" x14ac:dyDescent="0.25">
      <c r="A11" s="611">
        <v>570</v>
      </c>
      <c r="B11" s="612" t="s">
        <v>4498</v>
      </c>
      <c r="C11" s="613">
        <v>200</v>
      </c>
      <c r="D11" s="614" t="s">
        <v>2701</v>
      </c>
      <c r="E11" s="614"/>
      <c r="F11" s="613">
        <v>200</v>
      </c>
      <c r="G11" s="614" t="s">
        <v>2701</v>
      </c>
      <c r="H11" s="614"/>
      <c r="I11" s="613"/>
      <c r="J11" s="613"/>
      <c r="K11" s="613"/>
      <c r="L11" s="613"/>
      <c r="N11" s="620">
        <f t="shared" si="0"/>
        <v>200</v>
      </c>
    </row>
    <row r="12" spans="1:14" outlineLevel="1" x14ac:dyDescent="0.25">
      <c r="A12" s="611">
        <v>650</v>
      </c>
      <c r="B12" s="612" t="s">
        <v>4499</v>
      </c>
      <c r="C12" s="613"/>
      <c r="D12" s="614"/>
      <c r="E12" s="614"/>
      <c r="F12" s="613">
        <v>19425</v>
      </c>
      <c r="G12" s="614"/>
      <c r="H12" s="614" t="s">
        <v>2584</v>
      </c>
      <c r="I12" s="613"/>
      <c r="J12" s="613"/>
      <c r="K12" s="613">
        <v>0</v>
      </c>
      <c r="L12" s="613">
        <v>19425</v>
      </c>
      <c r="N12" s="620">
        <f t="shared" si="0"/>
        <v>-19425</v>
      </c>
    </row>
    <row r="13" spans="1:14" outlineLevel="1" x14ac:dyDescent="0.25">
      <c r="A13" s="611">
        <v>800</v>
      </c>
      <c r="B13" s="612" t="s">
        <v>4500</v>
      </c>
      <c r="C13" s="613">
        <v>51129.19</v>
      </c>
      <c r="D13" s="614"/>
      <c r="E13" s="614" t="s">
        <v>2584</v>
      </c>
      <c r="F13" s="613">
        <v>51129.19</v>
      </c>
      <c r="G13" s="614"/>
      <c r="H13" s="614" t="s">
        <v>2584</v>
      </c>
      <c r="I13" s="613"/>
      <c r="J13" s="613"/>
      <c r="K13" s="613"/>
      <c r="L13" s="613"/>
      <c r="N13" s="620">
        <f t="shared" si="0"/>
        <v>-51129.19</v>
      </c>
    </row>
    <row r="14" spans="1:14" outlineLevel="1" x14ac:dyDescent="0.25">
      <c r="A14" s="611">
        <v>860</v>
      </c>
      <c r="B14" s="612" t="s">
        <v>4501</v>
      </c>
      <c r="C14" s="613">
        <v>6230831.0199999996</v>
      </c>
      <c r="D14" s="614"/>
      <c r="E14" s="614" t="s">
        <v>2584</v>
      </c>
      <c r="F14" s="613">
        <v>6230831.0199999996</v>
      </c>
      <c r="G14" s="614"/>
      <c r="H14" s="614" t="s">
        <v>2584</v>
      </c>
      <c r="I14" s="613"/>
      <c r="J14" s="613"/>
      <c r="K14" s="613"/>
      <c r="L14" s="613"/>
      <c r="N14" s="620">
        <f t="shared" si="0"/>
        <v>-6230831.0199999996</v>
      </c>
    </row>
    <row r="15" spans="1:14" outlineLevel="1" x14ac:dyDescent="0.25">
      <c r="A15" s="611">
        <v>951</v>
      </c>
      <c r="B15" s="612" t="s">
        <v>4502</v>
      </c>
      <c r="C15" s="613">
        <v>182403</v>
      </c>
      <c r="D15" s="614"/>
      <c r="E15" s="614" t="s">
        <v>2584</v>
      </c>
      <c r="F15" s="613">
        <v>182403</v>
      </c>
      <c r="G15" s="614"/>
      <c r="H15" s="614" t="s">
        <v>2584</v>
      </c>
      <c r="I15" s="613"/>
      <c r="J15" s="613"/>
      <c r="K15" s="613"/>
      <c r="L15" s="613"/>
      <c r="N15" s="620">
        <f t="shared" si="0"/>
        <v>-182403</v>
      </c>
    </row>
    <row r="16" spans="1:14" outlineLevel="1" x14ac:dyDescent="0.25">
      <c r="A16" s="611">
        <v>956</v>
      </c>
      <c r="B16" s="612" t="s">
        <v>4503</v>
      </c>
      <c r="C16" s="613"/>
      <c r="D16" s="614"/>
      <c r="E16" s="614"/>
      <c r="F16" s="613">
        <v>0</v>
      </c>
      <c r="G16" s="614"/>
      <c r="H16" s="614"/>
      <c r="I16" s="613"/>
      <c r="J16" s="613"/>
      <c r="K16" s="613">
        <v>0</v>
      </c>
      <c r="L16" s="613">
        <v>0</v>
      </c>
      <c r="N16" s="620">
        <f t="shared" si="0"/>
        <v>0</v>
      </c>
    </row>
    <row r="17" spans="1:14" outlineLevel="1" x14ac:dyDescent="0.25">
      <c r="A17" s="611">
        <v>963</v>
      </c>
      <c r="B17" s="612" t="s">
        <v>4504</v>
      </c>
      <c r="C17" s="613"/>
      <c r="D17" s="614"/>
      <c r="E17" s="614"/>
      <c r="F17" s="613">
        <v>0</v>
      </c>
      <c r="G17" s="614"/>
      <c r="H17" s="614"/>
      <c r="I17" s="613"/>
      <c r="J17" s="613"/>
      <c r="K17" s="613">
        <v>0</v>
      </c>
      <c r="L17" s="613">
        <v>0</v>
      </c>
      <c r="N17" s="620">
        <f t="shared" si="0"/>
        <v>0</v>
      </c>
    </row>
    <row r="18" spans="1:14" outlineLevel="1" x14ac:dyDescent="0.25">
      <c r="A18" s="611">
        <v>965</v>
      </c>
      <c r="B18" s="612" t="s">
        <v>4505</v>
      </c>
      <c r="C18" s="613">
        <v>139441.74</v>
      </c>
      <c r="D18" s="614"/>
      <c r="E18" s="614" t="s">
        <v>2584</v>
      </c>
      <c r="F18" s="613">
        <v>213599.39</v>
      </c>
      <c r="G18" s="614"/>
      <c r="H18" s="614" t="s">
        <v>2584</v>
      </c>
      <c r="I18" s="613">
        <v>78757.259999999995</v>
      </c>
      <c r="J18" s="613">
        <v>14900</v>
      </c>
      <c r="K18" s="613">
        <v>129175.35</v>
      </c>
      <c r="L18" s="613">
        <v>203333</v>
      </c>
      <c r="N18" s="620">
        <f t="shared" si="0"/>
        <v>-213599.39</v>
      </c>
    </row>
    <row r="19" spans="1:14" outlineLevel="1" x14ac:dyDescent="0.25">
      <c r="A19" s="611">
        <v>966</v>
      </c>
      <c r="B19" s="612" t="s">
        <v>4506</v>
      </c>
      <c r="C19" s="613">
        <v>8000</v>
      </c>
      <c r="D19" s="614"/>
      <c r="E19" s="614" t="s">
        <v>2584</v>
      </c>
      <c r="F19" s="613">
        <v>8000</v>
      </c>
      <c r="G19" s="614"/>
      <c r="H19" s="614" t="s">
        <v>2584</v>
      </c>
      <c r="I19" s="613"/>
      <c r="J19" s="613"/>
      <c r="K19" s="613"/>
      <c r="L19" s="613"/>
      <c r="N19" s="620">
        <f t="shared" si="0"/>
        <v>-8000</v>
      </c>
    </row>
    <row r="20" spans="1:14" outlineLevel="1" x14ac:dyDescent="0.25">
      <c r="A20" s="611">
        <v>968</v>
      </c>
      <c r="B20" s="612" t="s">
        <v>286</v>
      </c>
      <c r="C20" s="613">
        <v>48876</v>
      </c>
      <c r="D20" s="614"/>
      <c r="E20" s="614" t="s">
        <v>2584</v>
      </c>
      <c r="F20" s="613">
        <v>48876</v>
      </c>
      <c r="G20" s="614"/>
      <c r="H20" s="614" t="s">
        <v>2584</v>
      </c>
      <c r="I20" s="613"/>
      <c r="J20" s="613"/>
      <c r="K20" s="613"/>
      <c r="L20" s="613"/>
      <c r="N20" s="620">
        <f t="shared" si="0"/>
        <v>-48876</v>
      </c>
    </row>
    <row r="21" spans="1:14" outlineLevel="1" x14ac:dyDescent="0.25">
      <c r="A21" s="611">
        <v>970</v>
      </c>
      <c r="B21" s="612" t="s">
        <v>303</v>
      </c>
      <c r="C21" s="613">
        <v>10021.209999999999</v>
      </c>
      <c r="D21" s="614"/>
      <c r="E21" s="614" t="s">
        <v>2584</v>
      </c>
      <c r="F21" s="613">
        <v>35905.39</v>
      </c>
      <c r="G21" s="614"/>
      <c r="H21" s="614" t="s">
        <v>2584</v>
      </c>
      <c r="I21" s="613"/>
      <c r="J21" s="613"/>
      <c r="K21" s="613">
        <v>155714.29</v>
      </c>
      <c r="L21" s="613">
        <v>181598.47</v>
      </c>
      <c r="N21" s="620">
        <f t="shared" si="0"/>
        <v>-35905.39</v>
      </c>
    </row>
    <row r="22" spans="1:14" outlineLevel="1" x14ac:dyDescent="0.25">
      <c r="A22" s="611">
        <v>974</v>
      </c>
      <c r="B22" s="612" t="s">
        <v>4507</v>
      </c>
      <c r="C22" s="613">
        <v>33940</v>
      </c>
      <c r="D22" s="614"/>
      <c r="E22" s="614" t="s">
        <v>2584</v>
      </c>
      <c r="F22" s="613">
        <v>33940</v>
      </c>
      <c r="G22" s="614"/>
      <c r="H22" s="614" t="s">
        <v>2584</v>
      </c>
      <c r="I22" s="613"/>
      <c r="J22" s="613"/>
      <c r="K22" s="613"/>
      <c r="L22" s="613"/>
      <c r="N22" s="620">
        <f t="shared" si="0"/>
        <v>-33940</v>
      </c>
    </row>
    <row r="23" spans="1:14" outlineLevel="1" x14ac:dyDescent="0.25">
      <c r="A23" s="611">
        <v>977</v>
      </c>
      <c r="B23" s="612" t="s">
        <v>4508</v>
      </c>
      <c r="C23" s="613">
        <v>37000</v>
      </c>
      <c r="D23" s="614"/>
      <c r="E23" s="614" t="s">
        <v>2584</v>
      </c>
      <c r="F23" s="613">
        <v>30000</v>
      </c>
      <c r="G23" s="614"/>
      <c r="H23" s="614" t="s">
        <v>2584</v>
      </c>
      <c r="I23" s="613">
        <v>38520.9</v>
      </c>
      <c r="J23" s="613">
        <v>4520.8999999999996</v>
      </c>
      <c r="K23" s="613">
        <v>38520.9</v>
      </c>
      <c r="L23" s="613">
        <v>31520.9</v>
      </c>
      <c r="N23" s="620">
        <f t="shared" si="0"/>
        <v>-30000</v>
      </c>
    </row>
    <row r="24" spans="1:14" outlineLevel="1" x14ac:dyDescent="0.25">
      <c r="A24" s="611">
        <v>980</v>
      </c>
      <c r="B24" s="612" t="s">
        <v>4509</v>
      </c>
      <c r="C24" s="613">
        <v>62927.86</v>
      </c>
      <c r="D24" s="614" t="s">
        <v>2701</v>
      </c>
      <c r="E24" s="614"/>
      <c r="F24" s="613">
        <v>65284.93</v>
      </c>
      <c r="G24" s="614" t="s">
        <v>2701</v>
      </c>
      <c r="H24" s="614"/>
      <c r="I24" s="613">
        <v>9570.56</v>
      </c>
      <c r="J24" s="613">
        <v>11194.23</v>
      </c>
      <c r="K24" s="613">
        <v>114379.55</v>
      </c>
      <c r="L24" s="613">
        <v>112022.48</v>
      </c>
      <c r="N24" s="620">
        <f t="shared" si="0"/>
        <v>65284.93</v>
      </c>
    </row>
    <row r="25" spans="1:14" outlineLevel="1" x14ac:dyDescent="0.25">
      <c r="A25" s="611">
        <v>996</v>
      </c>
      <c r="B25" s="612" t="s">
        <v>4510</v>
      </c>
      <c r="C25" s="613">
        <v>18893</v>
      </c>
      <c r="D25" s="614"/>
      <c r="E25" s="614" t="s">
        <v>2584</v>
      </c>
      <c r="F25" s="613">
        <v>18893</v>
      </c>
      <c r="G25" s="614"/>
      <c r="H25" s="614" t="s">
        <v>2584</v>
      </c>
      <c r="I25" s="613"/>
      <c r="J25" s="613"/>
      <c r="K25" s="613"/>
      <c r="L25" s="613"/>
      <c r="N25" s="620">
        <f t="shared" si="0"/>
        <v>-18893</v>
      </c>
    </row>
    <row r="26" spans="1:14" outlineLevel="1" x14ac:dyDescent="0.25">
      <c r="A26" s="611">
        <v>998</v>
      </c>
      <c r="B26" s="612" t="s">
        <v>4511</v>
      </c>
      <c r="C26" s="613"/>
      <c r="D26" s="614"/>
      <c r="E26" s="614"/>
      <c r="F26" s="613">
        <v>0</v>
      </c>
      <c r="G26" s="614"/>
      <c r="H26" s="614"/>
      <c r="I26" s="613"/>
      <c r="J26" s="613"/>
      <c r="K26" s="613">
        <v>0</v>
      </c>
      <c r="L26" s="613">
        <v>0</v>
      </c>
      <c r="N26" s="620">
        <f t="shared" si="0"/>
        <v>0</v>
      </c>
    </row>
    <row r="27" spans="1:14" outlineLevel="1" x14ac:dyDescent="0.25">
      <c r="A27" s="611">
        <v>1000</v>
      </c>
      <c r="B27" s="612" t="s">
        <v>4512</v>
      </c>
      <c r="C27" s="613">
        <v>86.17</v>
      </c>
      <c r="D27" s="614" t="s">
        <v>2701</v>
      </c>
      <c r="E27" s="614"/>
      <c r="F27" s="613">
        <v>40.94</v>
      </c>
      <c r="G27" s="614" t="s">
        <v>2701</v>
      </c>
      <c r="H27" s="614"/>
      <c r="I27" s="613">
        <v>0</v>
      </c>
      <c r="J27" s="613">
        <v>7.65</v>
      </c>
      <c r="K27" s="613">
        <v>25</v>
      </c>
      <c r="L27" s="613">
        <v>70.23</v>
      </c>
      <c r="N27" s="620">
        <f t="shared" si="0"/>
        <v>40.94</v>
      </c>
    </row>
    <row r="28" spans="1:14" outlineLevel="1" x14ac:dyDescent="0.25">
      <c r="A28" s="611">
        <v>1100</v>
      </c>
      <c r="B28" s="612" t="s">
        <v>4513</v>
      </c>
      <c r="C28" s="613">
        <v>187954.81</v>
      </c>
      <c r="D28" s="614" t="s">
        <v>2701</v>
      </c>
      <c r="E28" s="614"/>
      <c r="F28" s="613">
        <v>172563.4</v>
      </c>
      <c r="G28" s="614" t="s">
        <v>2701</v>
      </c>
      <c r="H28" s="614"/>
      <c r="I28" s="613">
        <v>2714.04</v>
      </c>
      <c r="J28" s="613">
        <v>32.590000000000003</v>
      </c>
      <c r="K28" s="613">
        <v>162148.10999999999</v>
      </c>
      <c r="L28" s="613">
        <v>177539.52</v>
      </c>
      <c r="N28" s="620">
        <f t="shared" si="0"/>
        <v>172563.4</v>
      </c>
    </row>
    <row r="29" spans="1:14" outlineLevel="1" x14ac:dyDescent="0.25">
      <c r="A29" s="611">
        <v>1200</v>
      </c>
      <c r="B29" s="612" t="s">
        <v>4514</v>
      </c>
      <c r="C29" s="613">
        <v>626775.54</v>
      </c>
      <c r="D29" s="614" t="s">
        <v>2701</v>
      </c>
      <c r="E29" s="614"/>
      <c r="F29" s="613">
        <v>1151533.8500000001</v>
      </c>
      <c r="G29" s="614" t="s">
        <v>2701</v>
      </c>
      <c r="H29" s="614"/>
      <c r="I29" s="613">
        <v>1245989.6599999999</v>
      </c>
      <c r="J29" s="613">
        <v>1364786.54</v>
      </c>
      <c r="K29" s="613">
        <v>13865783.66</v>
      </c>
      <c r="L29" s="613">
        <v>13341025.35</v>
      </c>
      <c r="N29" s="620">
        <f t="shared" si="0"/>
        <v>1151533.8500000001</v>
      </c>
    </row>
    <row r="30" spans="1:14" outlineLevel="1" x14ac:dyDescent="0.25">
      <c r="A30" s="611">
        <v>1210</v>
      </c>
      <c r="B30" s="612" t="s">
        <v>4515</v>
      </c>
      <c r="C30" s="613">
        <v>113807.93</v>
      </c>
      <c r="D30" s="614" t="s">
        <v>2701</v>
      </c>
      <c r="E30" s="614"/>
      <c r="F30" s="613">
        <v>100665.59</v>
      </c>
      <c r="G30" s="614" t="s">
        <v>2701</v>
      </c>
      <c r="H30" s="614"/>
      <c r="I30" s="613">
        <v>396278.68</v>
      </c>
      <c r="J30" s="613">
        <v>358152.14</v>
      </c>
      <c r="K30" s="613">
        <v>4038579.32</v>
      </c>
      <c r="L30" s="613">
        <v>4051721.66</v>
      </c>
      <c r="N30" s="620">
        <f t="shared" si="0"/>
        <v>100665.59</v>
      </c>
    </row>
    <row r="31" spans="1:14" outlineLevel="1" x14ac:dyDescent="0.25">
      <c r="A31" s="611">
        <v>1220</v>
      </c>
      <c r="B31" s="612" t="s">
        <v>4516</v>
      </c>
      <c r="C31" s="613">
        <v>75436.39</v>
      </c>
      <c r="D31" s="614" t="s">
        <v>2701</v>
      </c>
      <c r="E31" s="614"/>
      <c r="F31" s="613">
        <v>281732.14</v>
      </c>
      <c r="G31" s="614" t="s">
        <v>2701</v>
      </c>
      <c r="H31" s="614"/>
      <c r="I31" s="613">
        <v>75742.710000000006</v>
      </c>
      <c r="J31" s="613">
        <v>125.84</v>
      </c>
      <c r="K31" s="613">
        <v>586139.47</v>
      </c>
      <c r="L31" s="613">
        <v>379843.72</v>
      </c>
      <c r="N31" s="620">
        <f t="shared" si="0"/>
        <v>281732.14</v>
      </c>
    </row>
    <row r="32" spans="1:14" outlineLevel="1" x14ac:dyDescent="0.25">
      <c r="A32" s="611">
        <v>1348</v>
      </c>
      <c r="B32" s="612" t="s">
        <v>2387</v>
      </c>
      <c r="C32" s="613">
        <v>109791.75</v>
      </c>
      <c r="D32" s="614" t="s">
        <v>2701</v>
      </c>
      <c r="E32" s="614"/>
      <c r="F32" s="613">
        <v>78650</v>
      </c>
      <c r="G32" s="614" t="s">
        <v>2701</v>
      </c>
      <c r="H32" s="614"/>
      <c r="I32" s="613"/>
      <c r="J32" s="613"/>
      <c r="K32" s="613">
        <v>91824</v>
      </c>
      <c r="L32" s="613">
        <v>122965.75</v>
      </c>
      <c r="N32" s="620">
        <f t="shared" si="0"/>
        <v>78650</v>
      </c>
    </row>
    <row r="33" spans="1:14" outlineLevel="1" x14ac:dyDescent="0.25">
      <c r="A33" s="611">
        <v>1360</v>
      </c>
      <c r="B33" s="612" t="s">
        <v>4517</v>
      </c>
      <c r="C33" s="613"/>
      <c r="D33" s="614"/>
      <c r="E33" s="614"/>
      <c r="F33" s="613">
        <v>100000</v>
      </c>
      <c r="G33" s="614" t="s">
        <v>2701</v>
      </c>
      <c r="H33" s="614"/>
      <c r="I33" s="613">
        <v>400000</v>
      </c>
      <c r="J33" s="613">
        <v>300000</v>
      </c>
      <c r="K33" s="613">
        <v>3269999.88</v>
      </c>
      <c r="L33" s="613">
        <v>3169999.88</v>
      </c>
      <c r="N33" s="620">
        <f t="shared" si="0"/>
        <v>100000</v>
      </c>
    </row>
    <row r="34" spans="1:14" outlineLevel="1" x14ac:dyDescent="0.25">
      <c r="A34" s="611">
        <v>1400</v>
      </c>
      <c r="B34" s="612" t="s">
        <v>4518</v>
      </c>
      <c r="C34" s="613">
        <v>2007694.36</v>
      </c>
      <c r="D34" s="614" t="s">
        <v>2701</v>
      </c>
      <c r="E34" s="614"/>
      <c r="F34" s="613">
        <v>1628222.99</v>
      </c>
      <c r="G34" s="614" t="s">
        <v>2701</v>
      </c>
      <c r="H34" s="614"/>
      <c r="I34" s="613">
        <v>1393532.34</v>
      </c>
      <c r="J34" s="613">
        <v>1443542.98</v>
      </c>
      <c r="K34" s="613">
        <v>14919190.779999999</v>
      </c>
      <c r="L34" s="613">
        <v>15298662.15</v>
      </c>
      <c r="N34" s="620">
        <f t="shared" si="0"/>
        <v>1628222.99</v>
      </c>
    </row>
    <row r="35" spans="1:14" outlineLevel="1" x14ac:dyDescent="0.25">
      <c r="A35" s="611">
        <v>1500</v>
      </c>
      <c r="B35" s="612" t="s">
        <v>308</v>
      </c>
      <c r="C35" s="613"/>
      <c r="D35" s="614"/>
      <c r="E35" s="614"/>
      <c r="F35" s="613">
        <v>0</v>
      </c>
      <c r="G35" s="614"/>
      <c r="H35" s="614"/>
      <c r="I35" s="613"/>
      <c r="J35" s="613"/>
      <c r="K35" s="613">
        <v>59500</v>
      </c>
      <c r="L35" s="613">
        <v>59500</v>
      </c>
      <c r="N35" s="620">
        <f t="shared" si="0"/>
        <v>0</v>
      </c>
    </row>
    <row r="36" spans="1:14" outlineLevel="1" x14ac:dyDescent="0.25">
      <c r="A36" s="611">
        <v>1510</v>
      </c>
      <c r="B36" s="612" t="s">
        <v>4519</v>
      </c>
      <c r="C36" s="613"/>
      <c r="D36" s="614"/>
      <c r="E36" s="614"/>
      <c r="F36" s="613">
        <v>0</v>
      </c>
      <c r="G36" s="614"/>
      <c r="H36" s="614"/>
      <c r="I36" s="613"/>
      <c r="J36" s="613"/>
      <c r="K36" s="613">
        <v>0</v>
      </c>
      <c r="L36" s="613">
        <v>0</v>
      </c>
      <c r="N36" s="620">
        <f t="shared" si="0"/>
        <v>0</v>
      </c>
    </row>
    <row r="37" spans="1:14" outlineLevel="1" x14ac:dyDescent="0.25">
      <c r="A37" s="611">
        <v>1518</v>
      </c>
      <c r="B37" s="612" t="s">
        <v>4520</v>
      </c>
      <c r="C37" s="613">
        <v>50000</v>
      </c>
      <c r="D37" s="614" t="s">
        <v>2701</v>
      </c>
      <c r="E37" s="614"/>
      <c r="F37" s="613">
        <v>50000</v>
      </c>
      <c r="G37" s="614" t="s">
        <v>2701</v>
      </c>
      <c r="H37" s="614"/>
      <c r="I37" s="613"/>
      <c r="J37" s="613"/>
      <c r="K37" s="613"/>
      <c r="L37" s="613"/>
      <c r="N37" s="620">
        <f t="shared" si="0"/>
        <v>50000</v>
      </c>
    </row>
    <row r="38" spans="1:14" outlineLevel="1" x14ac:dyDescent="0.25">
      <c r="A38" s="611">
        <v>1520</v>
      </c>
      <c r="B38" s="612" t="s">
        <v>4521</v>
      </c>
      <c r="C38" s="613">
        <v>1734.16</v>
      </c>
      <c r="D38" s="614" t="s">
        <v>2701</v>
      </c>
      <c r="E38" s="614"/>
      <c r="F38" s="613">
        <v>0</v>
      </c>
      <c r="G38" s="614"/>
      <c r="H38" s="614"/>
      <c r="I38" s="613"/>
      <c r="J38" s="613"/>
      <c r="K38" s="613">
        <v>5823.04</v>
      </c>
      <c r="L38" s="613">
        <v>7557.2</v>
      </c>
      <c r="N38" s="620">
        <f t="shared" si="0"/>
        <v>0</v>
      </c>
    </row>
    <row r="39" spans="1:14" outlineLevel="1" x14ac:dyDescent="0.25">
      <c r="A39" s="611">
        <v>1525</v>
      </c>
      <c r="B39" s="612" t="s">
        <v>4522</v>
      </c>
      <c r="C39" s="613">
        <v>3550</v>
      </c>
      <c r="D39" s="614" t="s">
        <v>2701</v>
      </c>
      <c r="E39" s="614"/>
      <c r="F39" s="613">
        <v>3250</v>
      </c>
      <c r="G39" s="614" t="s">
        <v>2701</v>
      </c>
      <c r="H39" s="614"/>
      <c r="I39" s="613"/>
      <c r="J39" s="613"/>
      <c r="K39" s="613">
        <v>2000</v>
      </c>
      <c r="L39" s="613">
        <v>2300</v>
      </c>
      <c r="N39" s="620">
        <f t="shared" si="0"/>
        <v>3250</v>
      </c>
    </row>
    <row r="40" spans="1:14" outlineLevel="1" x14ac:dyDescent="0.25">
      <c r="A40" s="611">
        <v>1540</v>
      </c>
      <c r="B40" s="612" t="s">
        <v>4523</v>
      </c>
      <c r="C40" s="613">
        <v>88619</v>
      </c>
      <c r="D40" s="614" t="s">
        <v>2701</v>
      </c>
      <c r="E40" s="614"/>
      <c r="F40" s="613">
        <v>43070</v>
      </c>
      <c r="G40" s="614" t="s">
        <v>2701</v>
      </c>
      <c r="H40" s="614"/>
      <c r="I40" s="613"/>
      <c r="J40" s="613"/>
      <c r="K40" s="613">
        <v>0</v>
      </c>
      <c r="L40" s="613">
        <v>45549</v>
      </c>
      <c r="N40" s="620">
        <f t="shared" si="0"/>
        <v>43070</v>
      </c>
    </row>
    <row r="41" spans="1:14" outlineLevel="1" x14ac:dyDescent="0.25">
      <c r="A41" s="611">
        <v>1544</v>
      </c>
      <c r="B41" s="612" t="s">
        <v>4524</v>
      </c>
      <c r="C41" s="613"/>
      <c r="D41" s="614"/>
      <c r="E41" s="614"/>
      <c r="F41" s="613">
        <v>0</v>
      </c>
      <c r="G41" s="614"/>
      <c r="H41" s="614"/>
      <c r="I41" s="613"/>
      <c r="J41" s="613"/>
      <c r="K41" s="613">
        <v>0</v>
      </c>
      <c r="L41" s="613">
        <v>0</v>
      </c>
      <c r="N41" s="620">
        <f t="shared" si="0"/>
        <v>0</v>
      </c>
    </row>
    <row r="42" spans="1:14" outlineLevel="1" x14ac:dyDescent="0.25">
      <c r="A42" s="611">
        <v>1548</v>
      </c>
      <c r="B42" s="612" t="s">
        <v>4525</v>
      </c>
      <c r="C42" s="613">
        <v>29241.96</v>
      </c>
      <c r="D42" s="614" t="s">
        <v>2701</v>
      </c>
      <c r="E42" s="614"/>
      <c r="F42" s="613">
        <v>0</v>
      </c>
      <c r="G42" s="614"/>
      <c r="H42" s="614"/>
      <c r="I42" s="613"/>
      <c r="J42" s="613"/>
      <c r="K42" s="613">
        <v>0</v>
      </c>
      <c r="L42" s="613">
        <v>29241.96</v>
      </c>
      <c r="N42" s="620">
        <f t="shared" si="0"/>
        <v>0</v>
      </c>
    </row>
    <row r="43" spans="1:14" outlineLevel="1" x14ac:dyDescent="0.25">
      <c r="A43" s="611">
        <v>1549</v>
      </c>
      <c r="B43" s="612" t="s">
        <v>4526</v>
      </c>
      <c r="C43" s="613">
        <v>190440.14</v>
      </c>
      <c r="D43" s="614" t="s">
        <v>2701</v>
      </c>
      <c r="E43" s="614"/>
      <c r="F43" s="613">
        <v>46387.65</v>
      </c>
      <c r="G43" s="614" t="s">
        <v>2701</v>
      </c>
      <c r="H43" s="614"/>
      <c r="I43" s="613"/>
      <c r="J43" s="613"/>
      <c r="K43" s="613">
        <v>1</v>
      </c>
      <c r="L43" s="613">
        <v>144053.49</v>
      </c>
      <c r="N43" s="620">
        <f t="shared" si="0"/>
        <v>46387.65</v>
      </c>
    </row>
    <row r="44" spans="1:14" outlineLevel="1" x14ac:dyDescent="0.25">
      <c r="A44" s="611">
        <v>1571</v>
      </c>
      <c r="B44" s="612" t="s">
        <v>4527</v>
      </c>
      <c r="C44" s="613"/>
      <c r="D44" s="614"/>
      <c r="E44" s="614"/>
      <c r="F44" s="613">
        <v>2818.95</v>
      </c>
      <c r="G44" s="614" t="s">
        <v>2701</v>
      </c>
      <c r="H44" s="614"/>
      <c r="I44" s="613">
        <v>170.42</v>
      </c>
      <c r="J44" s="613">
        <v>0</v>
      </c>
      <c r="K44" s="613">
        <v>2820.21</v>
      </c>
      <c r="L44" s="613">
        <v>1.26</v>
      </c>
      <c r="N44" s="620">
        <f t="shared" si="0"/>
        <v>2818.95</v>
      </c>
    </row>
    <row r="45" spans="1:14" outlineLevel="1" x14ac:dyDescent="0.25">
      <c r="A45" s="611">
        <v>1574</v>
      </c>
      <c r="B45" s="612" t="s">
        <v>4528</v>
      </c>
      <c r="C45" s="613"/>
      <c r="D45" s="614"/>
      <c r="E45" s="614"/>
      <c r="F45" s="613">
        <v>568298.1</v>
      </c>
      <c r="G45" s="614" t="s">
        <v>2701</v>
      </c>
      <c r="H45" s="614"/>
      <c r="I45" s="613">
        <v>23111.360000000001</v>
      </c>
      <c r="J45" s="613">
        <v>17.16</v>
      </c>
      <c r="K45" s="613">
        <v>571903.76</v>
      </c>
      <c r="L45" s="613">
        <v>3605.66</v>
      </c>
      <c r="N45" s="620">
        <f t="shared" si="0"/>
        <v>568298.1</v>
      </c>
    </row>
    <row r="46" spans="1:14" outlineLevel="1" x14ac:dyDescent="0.25">
      <c r="A46" s="611">
        <v>1576</v>
      </c>
      <c r="B46" s="612" t="s">
        <v>4529</v>
      </c>
      <c r="C46" s="613"/>
      <c r="D46" s="614"/>
      <c r="E46" s="614"/>
      <c r="F46" s="613">
        <v>840672.71</v>
      </c>
      <c r="G46" s="614" t="s">
        <v>2701</v>
      </c>
      <c r="H46" s="614"/>
      <c r="I46" s="613">
        <v>81796.37</v>
      </c>
      <c r="J46" s="613">
        <v>466.88</v>
      </c>
      <c r="K46" s="613">
        <v>849339.69</v>
      </c>
      <c r="L46" s="613">
        <v>8666.98</v>
      </c>
      <c r="N46" s="620">
        <f t="shared" si="0"/>
        <v>840672.71</v>
      </c>
    </row>
    <row r="47" spans="1:14" outlineLevel="1" x14ac:dyDescent="0.25">
      <c r="A47" s="611">
        <v>1577</v>
      </c>
      <c r="B47" s="612" t="s">
        <v>4530</v>
      </c>
      <c r="C47" s="613"/>
      <c r="D47" s="614"/>
      <c r="E47" s="614"/>
      <c r="F47" s="613">
        <v>35357.69</v>
      </c>
      <c r="G47" s="614" t="s">
        <v>2701</v>
      </c>
      <c r="H47" s="614"/>
      <c r="I47" s="613">
        <v>773.3</v>
      </c>
      <c r="J47" s="613">
        <v>0</v>
      </c>
      <c r="K47" s="613">
        <v>35357.69</v>
      </c>
      <c r="L47" s="613">
        <v>0</v>
      </c>
      <c r="N47" s="620">
        <f t="shared" si="0"/>
        <v>35357.69</v>
      </c>
    </row>
    <row r="48" spans="1:14" outlineLevel="1" x14ac:dyDescent="0.25">
      <c r="A48" s="611">
        <v>1588</v>
      </c>
      <c r="B48" s="612" t="s">
        <v>4531</v>
      </c>
      <c r="C48" s="613"/>
      <c r="D48" s="614"/>
      <c r="E48" s="614"/>
      <c r="F48" s="613">
        <v>5640.03</v>
      </c>
      <c r="G48" s="614" t="s">
        <v>2701</v>
      </c>
      <c r="H48" s="614"/>
      <c r="I48" s="613">
        <v>155.97</v>
      </c>
      <c r="J48" s="613">
        <v>0</v>
      </c>
      <c r="K48" s="613">
        <v>5640.03</v>
      </c>
      <c r="L48" s="613">
        <v>0</v>
      </c>
      <c r="N48" s="620">
        <f t="shared" si="0"/>
        <v>5640.03</v>
      </c>
    </row>
    <row r="49" spans="1:14" outlineLevel="1" x14ac:dyDescent="0.25">
      <c r="A49" s="611">
        <v>1590</v>
      </c>
      <c r="B49" s="612" t="s">
        <v>4532</v>
      </c>
      <c r="C49" s="613"/>
      <c r="D49" s="614"/>
      <c r="E49" s="614"/>
      <c r="F49" s="613">
        <v>0</v>
      </c>
      <c r="G49" s="614"/>
      <c r="H49" s="614"/>
      <c r="I49" s="613"/>
      <c r="J49" s="613"/>
      <c r="K49" s="613">
        <v>0</v>
      </c>
      <c r="L49" s="613">
        <v>0</v>
      </c>
      <c r="N49" s="620">
        <f t="shared" si="0"/>
        <v>0</v>
      </c>
    </row>
    <row r="50" spans="1:14" outlineLevel="1" x14ac:dyDescent="0.25">
      <c r="A50" s="611">
        <v>1600</v>
      </c>
      <c r="B50" s="612" t="s">
        <v>4533</v>
      </c>
      <c r="C50" s="613">
        <v>1220438.01</v>
      </c>
      <c r="D50" s="614"/>
      <c r="E50" s="614" t="s">
        <v>2584</v>
      </c>
      <c r="F50" s="613">
        <v>261236.5</v>
      </c>
      <c r="G50" s="614"/>
      <c r="H50" s="614" t="s">
        <v>2584</v>
      </c>
      <c r="I50" s="613">
        <v>830494.35</v>
      </c>
      <c r="J50" s="613">
        <v>709807.96</v>
      </c>
      <c r="K50" s="613">
        <v>9026206.0500000007</v>
      </c>
      <c r="L50" s="613">
        <v>8067004.54</v>
      </c>
      <c r="N50" s="620">
        <f t="shared" si="0"/>
        <v>-261236.5</v>
      </c>
    </row>
    <row r="51" spans="1:14" outlineLevel="1" x14ac:dyDescent="0.25">
      <c r="A51" s="611">
        <v>1700</v>
      </c>
      <c r="B51" s="612" t="s">
        <v>301</v>
      </c>
      <c r="C51" s="613">
        <v>21211.07</v>
      </c>
      <c r="D51" s="614"/>
      <c r="E51" s="614" t="s">
        <v>2584</v>
      </c>
      <c r="F51" s="613">
        <v>0</v>
      </c>
      <c r="G51" s="614"/>
      <c r="H51" s="614"/>
      <c r="I51" s="613"/>
      <c r="J51" s="613"/>
      <c r="K51" s="613">
        <v>21211.07</v>
      </c>
      <c r="L51" s="613">
        <v>0</v>
      </c>
      <c r="N51" s="620">
        <f t="shared" si="0"/>
        <v>0</v>
      </c>
    </row>
    <row r="52" spans="1:14" outlineLevel="1" x14ac:dyDescent="0.25">
      <c r="A52" s="611">
        <v>1718</v>
      </c>
      <c r="B52" s="612" t="s">
        <v>4534</v>
      </c>
      <c r="C52" s="613">
        <v>50000</v>
      </c>
      <c r="D52" s="614"/>
      <c r="E52" s="614" t="s">
        <v>2584</v>
      </c>
      <c r="F52" s="613">
        <v>0</v>
      </c>
      <c r="G52" s="614"/>
      <c r="H52" s="614"/>
      <c r="I52" s="613"/>
      <c r="J52" s="613"/>
      <c r="K52" s="613">
        <v>50000</v>
      </c>
      <c r="L52" s="613">
        <v>0</v>
      </c>
      <c r="N52" s="620">
        <f t="shared" si="0"/>
        <v>0</v>
      </c>
    </row>
    <row r="53" spans="1:14" outlineLevel="1" x14ac:dyDescent="0.25">
      <c r="A53" s="611">
        <v>1740</v>
      </c>
      <c r="B53" s="612" t="s">
        <v>4535</v>
      </c>
      <c r="C53" s="613">
        <v>249856.51</v>
      </c>
      <c r="D53" s="614"/>
      <c r="E53" s="614" t="s">
        <v>2584</v>
      </c>
      <c r="F53" s="613">
        <v>196397.59</v>
      </c>
      <c r="G53" s="614"/>
      <c r="H53" s="614" t="s">
        <v>2584</v>
      </c>
      <c r="I53" s="613">
        <v>185205.75</v>
      </c>
      <c r="J53" s="613">
        <v>226277.9</v>
      </c>
      <c r="K53" s="613">
        <v>1976569.69</v>
      </c>
      <c r="L53" s="613">
        <v>1923110.77</v>
      </c>
      <c r="N53" s="620">
        <f t="shared" si="0"/>
        <v>-196397.59</v>
      </c>
    </row>
    <row r="54" spans="1:14" outlineLevel="1" x14ac:dyDescent="0.25">
      <c r="A54" s="611">
        <v>1741</v>
      </c>
      <c r="B54" s="612" t="s">
        <v>4536</v>
      </c>
      <c r="C54" s="613">
        <v>89659.33</v>
      </c>
      <c r="D54" s="614"/>
      <c r="E54" s="614" t="s">
        <v>2584</v>
      </c>
      <c r="F54" s="613">
        <v>74110.97</v>
      </c>
      <c r="G54" s="614"/>
      <c r="H54" s="614" t="s">
        <v>2584</v>
      </c>
      <c r="I54" s="613">
        <v>40128.080000000002</v>
      </c>
      <c r="J54" s="613">
        <v>74110.97</v>
      </c>
      <c r="K54" s="613">
        <v>461784.27</v>
      </c>
      <c r="L54" s="613">
        <v>446235.91</v>
      </c>
      <c r="N54" s="620">
        <f t="shared" si="0"/>
        <v>-74110.97</v>
      </c>
    </row>
    <row r="55" spans="1:14" outlineLevel="1" x14ac:dyDescent="0.25">
      <c r="A55" s="611">
        <v>1742</v>
      </c>
      <c r="B55" s="612" t="s">
        <v>4537</v>
      </c>
      <c r="C55" s="613">
        <v>2494.25</v>
      </c>
      <c r="D55" s="614"/>
      <c r="E55" s="614" t="s">
        <v>2584</v>
      </c>
      <c r="F55" s="613">
        <v>3109.97</v>
      </c>
      <c r="G55" s="614"/>
      <c r="H55" s="614" t="s">
        <v>2584</v>
      </c>
      <c r="I55" s="613">
        <v>105726.14</v>
      </c>
      <c r="J55" s="613">
        <v>103230.05</v>
      </c>
      <c r="K55" s="613">
        <v>1053801.29</v>
      </c>
      <c r="L55" s="613">
        <v>1054417.01</v>
      </c>
      <c r="N55" s="620">
        <f t="shared" si="0"/>
        <v>-3109.97</v>
      </c>
    </row>
    <row r="56" spans="1:14" outlineLevel="1" x14ac:dyDescent="0.25">
      <c r="A56" s="611">
        <v>1755</v>
      </c>
      <c r="B56" s="612" t="s">
        <v>4538</v>
      </c>
      <c r="C56" s="613"/>
      <c r="D56" s="614"/>
      <c r="E56" s="614"/>
      <c r="F56" s="613">
        <v>0</v>
      </c>
      <c r="G56" s="614"/>
      <c r="H56" s="614"/>
      <c r="I56" s="613">
        <v>417574.55</v>
      </c>
      <c r="J56" s="613">
        <v>417574.55</v>
      </c>
      <c r="K56" s="613">
        <v>3560884.97</v>
      </c>
      <c r="L56" s="613">
        <v>3560884.97</v>
      </c>
      <c r="N56" s="620">
        <f t="shared" si="0"/>
        <v>0</v>
      </c>
    </row>
    <row r="57" spans="1:14" outlineLevel="1" x14ac:dyDescent="0.25">
      <c r="A57" s="611">
        <v>1759</v>
      </c>
      <c r="B57" s="612" t="s">
        <v>4539</v>
      </c>
      <c r="C57" s="613">
        <v>1749.87</v>
      </c>
      <c r="D57" s="614"/>
      <c r="E57" s="614" t="s">
        <v>2584</v>
      </c>
      <c r="F57" s="613">
        <v>1171.42</v>
      </c>
      <c r="G57" s="614"/>
      <c r="H57" s="614" t="s">
        <v>2584</v>
      </c>
      <c r="I57" s="613">
        <v>105726.14</v>
      </c>
      <c r="J57" s="613">
        <v>105726.14</v>
      </c>
      <c r="K57" s="613">
        <v>1058312.03</v>
      </c>
      <c r="L57" s="613">
        <v>1057733.58</v>
      </c>
      <c r="N57" s="620">
        <f t="shared" si="0"/>
        <v>-1171.42</v>
      </c>
    </row>
    <row r="58" spans="1:14" outlineLevel="1" x14ac:dyDescent="0.25">
      <c r="A58" s="611">
        <v>1774</v>
      </c>
      <c r="B58" s="612" t="s">
        <v>4540</v>
      </c>
      <c r="C58" s="613"/>
      <c r="D58" s="614"/>
      <c r="E58" s="614"/>
      <c r="F58" s="613">
        <v>568298.1</v>
      </c>
      <c r="G58" s="614"/>
      <c r="H58" s="614" t="s">
        <v>2584</v>
      </c>
      <c r="I58" s="613">
        <v>17.16</v>
      </c>
      <c r="J58" s="613">
        <v>23111.360000000001</v>
      </c>
      <c r="K58" s="613">
        <v>3605.66</v>
      </c>
      <c r="L58" s="613">
        <v>571903.76</v>
      </c>
      <c r="N58" s="620">
        <f t="shared" si="0"/>
        <v>-568298.1</v>
      </c>
    </row>
    <row r="59" spans="1:14" outlineLevel="1" x14ac:dyDescent="0.25">
      <c r="A59" s="611">
        <v>1776</v>
      </c>
      <c r="B59" s="612" t="s">
        <v>4541</v>
      </c>
      <c r="C59" s="613"/>
      <c r="D59" s="614"/>
      <c r="E59" s="614"/>
      <c r="F59" s="613">
        <v>1656683.89</v>
      </c>
      <c r="G59" s="614"/>
      <c r="H59" s="614" t="s">
        <v>2584</v>
      </c>
      <c r="I59" s="613">
        <v>4059.83</v>
      </c>
      <c r="J59" s="613">
        <v>138384.62</v>
      </c>
      <c r="K59" s="613">
        <v>49986.38</v>
      </c>
      <c r="L59" s="613">
        <v>1706670.27</v>
      </c>
      <c r="N59" s="620">
        <f t="shared" si="0"/>
        <v>-1656683.89</v>
      </c>
    </row>
    <row r="60" spans="1:14" outlineLevel="1" x14ac:dyDescent="0.25">
      <c r="A60" s="611">
        <v>1780</v>
      </c>
      <c r="B60" s="612" t="s">
        <v>4542</v>
      </c>
      <c r="C60" s="613"/>
      <c r="D60" s="614"/>
      <c r="E60" s="614"/>
      <c r="F60" s="613">
        <v>685107.37</v>
      </c>
      <c r="G60" s="614" t="s">
        <v>2701</v>
      </c>
      <c r="H60" s="614"/>
      <c r="I60" s="613">
        <v>76901.05</v>
      </c>
      <c r="J60" s="613">
        <v>0</v>
      </c>
      <c r="K60" s="613">
        <v>685107.37</v>
      </c>
      <c r="L60" s="613">
        <v>0</v>
      </c>
      <c r="N60" s="620">
        <f t="shared" si="0"/>
        <v>685107.37</v>
      </c>
    </row>
    <row r="61" spans="1:14" outlineLevel="1" x14ac:dyDescent="0.25">
      <c r="A61" s="611">
        <v>1781</v>
      </c>
      <c r="B61" s="612" t="s">
        <v>4543</v>
      </c>
      <c r="C61" s="613"/>
      <c r="D61" s="614"/>
      <c r="E61" s="614"/>
      <c r="F61" s="613">
        <v>110118</v>
      </c>
      <c r="G61" s="614" t="s">
        <v>2701</v>
      </c>
      <c r="H61" s="614"/>
      <c r="I61" s="613"/>
      <c r="J61" s="613"/>
      <c r="K61" s="613">
        <v>110213</v>
      </c>
      <c r="L61" s="613">
        <v>95</v>
      </c>
      <c r="N61" s="620">
        <f t="shared" si="0"/>
        <v>110118</v>
      </c>
    </row>
    <row r="62" spans="1:14" outlineLevel="1" x14ac:dyDescent="0.25">
      <c r="A62" s="611">
        <v>1787</v>
      </c>
      <c r="B62" s="612" t="s">
        <v>4544</v>
      </c>
      <c r="C62" s="613"/>
      <c r="D62" s="614"/>
      <c r="E62" s="614"/>
      <c r="F62" s="613">
        <v>35357.69</v>
      </c>
      <c r="G62" s="614"/>
      <c r="H62" s="614" t="s">
        <v>2584</v>
      </c>
      <c r="I62" s="613">
        <v>0</v>
      </c>
      <c r="J62" s="613">
        <v>773.3</v>
      </c>
      <c r="K62" s="613">
        <v>0</v>
      </c>
      <c r="L62" s="613">
        <v>35357.69</v>
      </c>
      <c r="N62" s="620">
        <f t="shared" si="0"/>
        <v>-35357.69</v>
      </c>
    </row>
    <row r="63" spans="1:14" outlineLevel="1" x14ac:dyDescent="0.25">
      <c r="A63" s="611">
        <v>1789</v>
      </c>
      <c r="B63" s="612" t="s">
        <v>4545</v>
      </c>
      <c r="C63" s="613"/>
      <c r="D63" s="614"/>
      <c r="E63" s="614"/>
      <c r="F63" s="613">
        <v>0</v>
      </c>
      <c r="G63" s="614"/>
      <c r="H63" s="614"/>
      <c r="I63" s="613"/>
      <c r="J63" s="613"/>
      <c r="K63" s="613">
        <v>0</v>
      </c>
      <c r="L63" s="613">
        <v>0</v>
      </c>
      <c r="N63" s="620">
        <f t="shared" si="0"/>
        <v>0</v>
      </c>
    </row>
    <row r="64" spans="1:14" outlineLevel="1" x14ac:dyDescent="0.25">
      <c r="A64" s="611">
        <v>1790</v>
      </c>
      <c r="B64" s="612" t="s">
        <v>4546</v>
      </c>
      <c r="C64" s="613">
        <v>65679.12</v>
      </c>
      <c r="D64" s="614"/>
      <c r="E64" s="614" t="s">
        <v>2584</v>
      </c>
      <c r="F64" s="613">
        <v>0</v>
      </c>
      <c r="G64" s="614"/>
      <c r="H64" s="614"/>
      <c r="I64" s="613"/>
      <c r="J64" s="613"/>
      <c r="K64" s="613">
        <v>73269.27</v>
      </c>
      <c r="L64" s="613">
        <v>7590.15</v>
      </c>
      <c r="N64" s="620">
        <f t="shared" si="0"/>
        <v>0</v>
      </c>
    </row>
    <row r="65" spans="1:14" ht="15.75" outlineLevel="1" thickBot="1" x14ac:dyDescent="0.3">
      <c r="A65" s="611">
        <v>1791</v>
      </c>
      <c r="B65" s="612" t="s">
        <v>4547</v>
      </c>
      <c r="C65" s="613">
        <v>1513.82</v>
      </c>
      <c r="D65" s="614" t="s">
        <v>2701</v>
      </c>
      <c r="E65" s="614"/>
      <c r="F65" s="613">
        <v>0</v>
      </c>
      <c r="G65" s="614"/>
      <c r="H65" s="614"/>
      <c r="I65" s="613"/>
      <c r="J65" s="613"/>
      <c r="K65" s="613">
        <v>0</v>
      </c>
      <c r="L65" s="613">
        <v>1513.82</v>
      </c>
      <c r="N65" s="621">
        <f t="shared" si="0"/>
        <v>0</v>
      </c>
    </row>
    <row r="66" spans="1:14" s="619" customFormat="1" ht="15.75" outlineLevel="1" thickTop="1" x14ac:dyDescent="0.25">
      <c r="A66" s="615">
        <v>2102</v>
      </c>
      <c r="B66" s="616" t="s">
        <v>4548</v>
      </c>
      <c r="C66" s="617"/>
      <c r="D66" s="618"/>
      <c r="E66" s="618"/>
      <c r="F66" s="617">
        <v>0</v>
      </c>
      <c r="G66" s="618"/>
      <c r="H66" s="618"/>
      <c r="I66" s="617"/>
      <c r="J66" s="617"/>
      <c r="K66" s="617">
        <v>0</v>
      </c>
      <c r="L66" s="617">
        <v>0</v>
      </c>
      <c r="N66" s="620">
        <f t="shared" si="0"/>
        <v>0</v>
      </c>
    </row>
    <row r="67" spans="1:14" outlineLevel="1" x14ac:dyDescent="0.25">
      <c r="A67" s="611">
        <v>2110</v>
      </c>
      <c r="B67" s="612" t="s">
        <v>4549</v>
      </c>
      <c r="C67" s="613"/>
      <c r="D67" s="614"/>
      <c r="E67" s="614"/>
      <c r="F67" s="613">
        <v>176.21</v>
      </c>
      <c r="G67" s="614" t="s">
        <v>2701</v>
      </c>
      <c r="H67" s="614"/>
      <c r="I67" s="613">
        <v>13.59</v>
      </c>
      <c r="J67" s="613">
        <v>0</v>
      </c>
      <c r="K67" s="613">
        <v>176.21</v>
      </c>
      <c r="L67" s="613">
        <v>0</v>
      </c>
      <c r="N67" s="620">
        <f t="shared" si="0"/>
        <v>176.21</v>
      </c>
    </row>
    <row r="68" spans="1:14" outlineLevel="1" x14ac:dyDescent="0.25">
      <c r="A68" s="611">
        <v>2120</v>
      </c>
      <c r="B68" s="612" t="s">
        <v>4550</v>
      </c>
      <c r="C68" s="613"/>
      <c r="D68" s="614"/>
      <c r="E68" s="614"/>
      <c r="F68" s="613">
        <v>48.83</v>
      </c>
      <c r="G68" s="614" t="s">
        <v>2701</v>
      </c>
      <c r="H68" s="614"/>
      <c r="I68" s="613"/>
      <c r="J68" s="613"/>
      <c r="K68" s="613">
        <v>48.83</v>
      </c>
      <c r="L68" s="613">
        <v>0</v>
      </c>
      <c r="N68" s="620">
        <f t="shared" si="0"/>
        <v>48.83</v>
      </c>
    </row>
    <row r="69" spans="1:14" outlineLevel="1" x14ac:dyDescent="0.25">
      <c r="A69" s="611">
        <v>2146</v>
      </c>
      <c r="B69" s="612" t="s">
        <v>4551</v>
      </c>
      <c r="C69" s="613"/>
      <c r="D69" s="614"/>
      <c r="E69" s="614"/>
      <c r="F69" s="613">
        <v>0</v>
      </c>
      <c r="G69" s="614"/>
      <c r="H69" s="614"/>
      <c r="I69" s="613"/>
      <c r="J69" s="613"/>
      <c r="K69" s="613">
        <v>0</v>
      </c>
      <c r="L69" s="613">
        <v>0</v>
      </c>
      <c r="N69" s="620">
        <f t="shared" ref="N69:N132" si="1">IF(G69="S",F69,-F69)</f>
        <v>0</v>
      </c>
    </row>
    <row r="70" spans="1:14" outlineLevel="1" x14ac:dyDescent="0.25">
      <c r="A70" s="611">
        <v>2150</v>
      </c>
      <c r="B70" s="612" t="s">
        <v>4552</v>
      </c>
      <c r="C70" s="613"/>
      <c r="D70" s="614"/>
      <c r="E70" s="614"/>
      <c r="F70" s="613">
        <v>51.15</v>
      </c>
      <c r="G70" s="614" t="s">
        <v>2701</v>
      </c>
      <c r="H70" s="614"/>
      <c r="I70" s="613"/>
      <c r="J70" s="613"/>
      <c r="K70" s="613">
        <v>51.15</v>
      </c>
      <c r="L70" s="613">
        <v>0</v>
      </c>
      <c r="N70" s="620">
        <f t="shared" si="1"/>
        <v>51.15</v>
      </c>
    </row>
    <row r="71" spans="1:14" outlineLevel="1" x14ac:dyDescent="0.25">
      <c r="A71" s="611">
        <v>2200</v>
      </c>
      <c r="B71" s="612" t="s">
        <v>122</v>
      </c>
      <c r="C71" s="613"/>
      <c r="D71" s="614"/>
      <c r="E71" s="614"/>
      <c r="F71" s="613">
        <v>140379</v>
      </c>
      <c r="G71" s="614" t="s">
        <v>2701</v>
      </c>
      <c r="H71" s="614"/>
      <c r="I71" s="613"/>
      <c r="J71" s="613"/>
      <c r="K71" s="613">
        <v>140379</v>
      </c>
      <c r="L71" s="613">
        <v>0</v>
      </c>
      <c r="N71" s="620">
        <f t="shared" si="1"/>
        <v>140379</v>
      </c>
    </row>
    <row r="72" spans="1:14" outlineLevel="1" x14ac:dyDescent="0.25">
      <c r="A72" s="611">
        <v>2204</v>
      </c>
      <c r="B72" s="612" t="s">
        <v>4553</v>
      </c>
      <c r="C72" s="613"/>
      <c r="D72" s="614"/>
      <c r="E72" s="614"/>
      <c r="F72" s="613">
        <v>1</v>
      </c>
      <c r="G72" s="614"/>
      <c r="H72" s="614" t="s">
        <v>2584</v>
      </c>
      <c r="I72" s="613"/>
      <c r="J72" s="613"/>
      <c r="K72" s="613">
        <v>0</v>
      </c>
      <c r="L72" s="613">
        <v>1</v>
      </c>
      <c r="N72" s="620">
        <f t="shared" si="1"/>
        <v>-1</v>
      </c>
    </row>
    <row r="73" spans="1:14" outlineLevel="1" x14ac:dyDescent="0.25">
      <c r="A73" s="611">
        <v>2208</v>
      </c>
      <c r="B73" s="612" t="s">
        <v>86</v>
      </c>
      <c r="C73" s="613"/>
      <c r="D73" s="614"/>
      <c r="E73" s="614"/>
      <c r="F73" s="613">
        <v>7719</v>
      </c>
      <c r="G73" s="614" t="s">
        <v>2701</v>
      </c>
      <c r="H73" s="614"/>
      <c r="I73" s="613"/>
      <c r="J73" s="613"/>
      <c r="K73" s="613">
        <v>7719</v>
      </c>
      <c r="L73" s="613">
        <v>0</v>
      </c>
      <c r="N73" s="620">
        <f t="shared" si="1"/>
        <v>7719</v>
      </c>
    </row>
    <row r="74" spans="1:14" outlineLevel="1" x14ac:dyDescent="0.25">
      <c r="A74" s="611">
        <v>2213</v>
      </c>
      <c r="B74" s="612" t="s">
        <v>4554</v>
      </c>
      <c r="C74" s="613"/>
      <c r="D74" s="614"/>
      <c r="E74" s="614"/>
      <c r="F74" s="613">
        <v>325</v>
      </c>
      <c r="G74" s="614" t="s">
        <v>2701</v>
      </c>
      <c r="H74" s="614"/>
      <c r="I74" s="613"/>
      <c r="J74" s="613"/>
      <c r="K74" s="613">
        <v>325</v>
      </c>
      <c r="L74" s="613">
        <v>0</v>
      </c>
      <c r="N74" s="620">
        <f t="shared" si="1"/>
        <v>325</v>
      </c>
    </row>
    <row r="75" spans="1:14" outlineLevel="1" x14ac:dyDescent="0.25">
      <c r="A75" s="611">
        <v>2216</v>
      </c>
      <c r="B75" s="612" t="s">
        <v>4555</v>
      </c>
      <c r="C75" s="613"/>
      <c r="D75" s="614"/>
      <c r="E75" s="614"/>
      <c r="F75" s="613">
        <v>17.87</v>
      </c>
      <c r="G75" s="614" t="s">
        <v>2701</v>
      </c>
      <c r="H75" s="614"/>
      <c r="I75" s="613"/>
      <c r="J75" s="613"/>
      <c r="K75" s="613">
        <v>17.87</v>
      </c>
      <c r="L75" s="613">
        <v>0</v>
      </c>
      <c r="N75" s="620">
        <f t="shared" si="1"/>
        <v>17.87</v>
      </c>
    </row>
    <row r="76" spans="1:14" outlineLevel="1" x14ac:dyDescent="0.25">
      <c r="A76" s="611">
        <v>2250</v>
      </c>
      <c r="B76" s="612" t="s">
        <v>4556</v>
      </c>
      <c r="C76" s="613"/>
      <c r="D76" s="614"/>
      <c r="E76" s="614"/>
      <c r="F76" s="613">
        <v>0</v>
      </c>
      <c r="G76" s="614"/>
      <c r="H76" s="614"/>
      <c r="I76" s="613"/>
      <c r="J76" s="613"/>
      <c r="K76" s="613">
        <v>0</v>
      </c>
      <c r="L76" s="613">
        <v>0</v>
      </c>
      <c r="N76" s="620">
        <f t="shared" si="1"/>
        <v>0</v>
      </c>
    </row>
    <row r="77" spans="1:14" outlineLevel="1" x14ac:dyDescent="0.25">
      <c r="A77" s="611">
        <v>2281</v>
      </c>
      <c r="B77" s="612" t="s">
        <v>4557</v>
      </c>
      <c r="C77" s="613"/>
      <c r="D77" s="614"/>
      <c r="E77" s="614"/>
      <c r="F77" s="613">
        <v>0.84</v>
      </c>
      <c r="G77" s="614" t="s">
        <v>2701</v>
      </c>
      <c r="H77" s="614"/>
      <c r="I77" s="613"/>
      <c r="J77" s="613"/>
      <c r="K77" s="613">
        <v>0.84</v>
      </c>
      <c r="L77" s="613">
        <v>0</v>
      </c>
      <c r="N77" s="620">
        <f t="shared" si="1"/>
        <v>0.84</v>
      </c>
    </row>
    <row r="78" spans="1:14" outlineLevel="1" x14ac:dyDescent="0.25">
      <c r="A78" s="611">
        <v>2300</v>
      </c>
      <c r="B78" s="612" t="s">
        <v>2495</v>
      </c>
      <c r="C78" s="613"/>
      <c r="D78" s="614"/>
      <c r="E78" s="614"/>
      <c r="F78" s="613">
        <v>4581.6099999999997</v>
      </c>
      <c r="G78" s="614" t="s">
        <v>2701</v>
      </c>
      <c r="H78" s="614"/>
      <c r="I78" s="613">
        <v>1520.9</v>
      </c>
      <c r="J78" s="613">
        <v>0</v>
      </c>
      <c r="K78" s="613">
        <v>4581.6099999999997</v>
      </c>
      <c r="L78" s="613">
        <v>0</v>
      </c>
      <c r="N78" s="620">
        <f t="shared" si="1"/>
        <v>4581.6099999999997</v>
      </c>
    </row>
    <row r="79" spans="1:14" outlineLevel="1" x14ac:dyDescent="0.25">
      <c r="A79" s="611">
        <v>2310</v>
      </c>
      <c r="B79" s="612" t="s">
        <v>4558</v>
      </c>
      <c r="C79" s="613"/>
      <c r="D79" s="614"/>
      <c r="E79" s="614"/>
      <c r="F79" s="613">
        <v>11563</v>
      </c>
      <c r="G79" s="614" t="s">
        <v>2701</v>
      </c>
      <c r="H79" s="614"/>
      <c r="I79" s="613"/>
      <c r="J79" s="613"/>
      <c r="K79" s="613">
        <v>11563</v>
      </c>
      <c r="L79" s="613">
        <v>0</v>
      </c>
      <c r="N79" s="620">
        <f t="shared" si="1"/>
        <v>11563</v>
      </c>
    </row>
    <row r="80" spans="1:14" outlineLevel="1" x14ac:dyDescent="0.25">
      <c r="A80" s="611">
        <v>2312</v>
      </c>
      <c r="B80" s="612" t="s">
        <v>4559</v>
      </c>
      <c r="C80" s="613"/>
      <c r="D80" s="614"/>
      <c r="E80" s="614"/>
      <c r="F80" s="613">
        <v>0</v>
      </c>
      <c r="G80" s="614"/>
      <c r="H80" s="614"/>
      <c r="I80" s="613"/>
      <c r="J80" s="613"/>
      <c r="K80" s="613">
        <v>0</v>
      </c>
      <c r="L80" s="613">
        <v>0</v>
      </c>
      <c r="N80" s="620">
        <f t="shared" si="1"/>
        <v>0</v>
      </c>
    </row>
    <row r="81" spans="1:14" outlineLevel="1" x14ac:dyDescent="0.25">
      <c r="A81" s="611">
        <v>2315</v>
      </c>
      <c r="B81" s="612" t="s">
        <v>4560</v>
      </c>
      <c r="C81" s="613"/>
      <c r="D81" s="614"/>
      <c r="E81" s="614"/>
      <c r="F81" s="613">
        <v>19289</v>
      </c>
      <c r="G81" s="614" t="s">
        <v>2701</v>
      </c>
      <c r="H81" s="614"/>
      <c r="I81" s="613"/>
      <c r="J81" s="613"/>
      <c r="K81" s="613">
        <v>19289</v>
      </c>
      <c r="L81" s="613">
        <v>0</v>
      </c>
      <c r="N81" s="620">
        <f t="shared" si="1"/>
        <v>19289</v>
      </c>
    </row>
    <row r="82" spans="1:14" outlineLevel="1" x14ac:dyDescent="0.25">
      <c r="A82" s="611">
        <v>2317</v>
      </c>
      <c r="B82" s="612" t="s">
        <v>4561</v>
      </c>
      <c r="C82" s="613"/>
      <c r="D82" s="614"/>
      <c r="E82" s="614"/>
      <c r="F82" s="613">
        <v>31400</v>
      </c>
      <c r="G82" s="614" t="s">
        <v>2701</v>
      </c>
      <c r="H82" s="614"/>
      <c r="I82" s="613"/>
      <c r="J82" s="613"/>
      <c r="K82" s="613">
        <v>31400</v>
      </c>
      <c r="L82" s="613">
        <v>0</v>
      </c>
      <c r="N82" s="620">
        <f t="shared" si="1"/>
        <v>31400</v>
      </c>
    </row>
    <row r="83" spans="1:14" outlineLevel="1" x14ac:dyDescent="0.25">
      <c r="A83" s="611">
        <v>2325</v>
      </c>
      <c r="B83" s="612" t="s">
        <v>4562</v>
      </c>
      <c r="C83" s="613"/>
      <c r="D83" s="614"/>
      <c r="E83" s="614"/>
      <c r="F83" s="613">
        <v>2774.9</v>
      </c>
      <c r="G83" s="614" t="s">
        <v>2701</v>
      </c>
      <c r="H83" s="614"/>
      <c r="I83" s="613"/>
      <c r="J83" s="613"/>
      <c r="K83" s="613">
        <v>2774.9</v>
      </c>
      <c r="L83" s="613">
        <v>0</v>
      </c>
      <c r="N83" s="620">
        <f t="shared" si="1"/>
        <v>2774.9</v>
      </c>
    </row>
    <row r="84" spans="1:14" outlineLevel="1" x14ac:dyDescent="0.25">
      <c r="A84" s="611">
        <v>2350</v>
      </c>
      <c r="B84" s="612" t="s">
        <v>4563</v>
      </c>
      <c r="C84" s="613"/>
      <c r="D84" s="614"/>
      <c r="E84" s="614"/>
      <c r="F84" s="613">
        <v>2501.21</v>
      </c>
      <c r="G84" s="614" t="s">
        <v>2701</v>
      </c>
      <c r="H84" s="614"/>
      <c r="I84" s="613">
        <v>56.59</v>
      </c>
      <c r="J84" s="613">
        <v>0</v>
      </c>
      <c r="K84" s="613">
        <v>2501.21</v>
      </c>
      <c r="L84" s="613">
        <v>0</v>
      </c>
      <c r="N84" s="620">
        <f t="shared" si="1"/>
        <v>2501.21</v>
      </c>
    </row>
    <row r="85" spans="1:14" outlineLevel="1" x14ac:dyDescent="0.25">
      <c r="A85" s="611">
        <v>2383</v>
      </c>
      <c r="B85" s="612" t="s">
        <v>4564</v>
      </c>
      <c r="C85" s="613"/>
      <c r="D85" s="614"/>
      <c r="E85" s="614"/>
      <c r="F85" s="613">
        <v>406</v>
      </c>
      <c r="G85" s="614" t="s">
        <v>2701</v>
      </c>
      <c r="H85" s="614"/>
      <c r="I85" s="613"/>
      <c r="J85" s="613"/>
      <c r="K85" s="613">
        <v>406</v>
      </c>
      <c r="L85" s="613">
        <v>0</v>
      </c>
      <c r="N85" s="620">
        <f t="shared" si="1"/>
        <v>406</v>
      </c>
    </row>
    <row r="86" spans="1:14" outlineLevel="1" x14ac:dyDescent="0.25">
      <c r="A86" s="611">
        <v>2406</v>
      </c>
      <c r="B86" s="612" t="s">
        <v>4565</v>
      </c>
      <c r="C86" s="613"/>
      <c r="D86" s="614"/>
      <c r="E86" s="614"/>
      <c r="F86" s="613">
        <v>90.78</v>
      </c>
      <c r="G86" s="614" t="s">
        <v>2701</v>
      </c>
      <c r="H86" s="614"/>
      <c r="I86" s="613"/>
      <c r="J86" s="613"/>
      <c r="K86" s="613">
        <v>90.78</v>
      </c>
      <c r="L86" s="613">
        <v>0</v>
      </c>
      <c r="N86" s="620">
        <f t="shared" si="1"/>
        <v>90.78</v>
      </c>
    </row>
    <row r="87" spans="1:14" outlineLevel="1" x14ac:dyDescent="0.25">
      <c r="A87" s="611">
        <v>2450</v>
      </c>
      <c r="B87" s="612" t="s">
        <v>4566</v>
      </c>
      <c r="C87" s="613"/>
      <c r="D87" s="614"/>
      <c r="E87" s="614"/>
      <c r="F87" s="613">
        <v>0</v>
      </c>
      <c r="G87" s="614"/>
      <c r="H87" s="614"/>
      <c r="I87" s="613"/>
      <c r="J87" s="613"/>
      <c r="K87" s="613">
        <v>0</v>
      </c>
      <c r="L87" s="613">
        <v>0</v>
      </c>
      <c r="N87" s="620">
        <f t="shared" si="1"/>
        <v>0</v>
      </c>
    </row>
    <row r="88" spans="1:14" outlineLevel="1" x14ac:dyDescent="0.25">
      <c r="A88" s="611">
        <v>2650</v>
      </c>
      <c r="B88" s="612" t="s">
        <v>1145</v>
      </c>
      <c r="C88" s="613"/>
      <c r="D88" s="614"/>
      <c r="E88" s="614"/>
      <c r="F88" s="613">
        <v>2206.2600000000002</v>
      </c>
      <c r="G88" s="614"/>
      <c r="H88" s="614" t="s">
        <v>2584</v>
      </c>
      <c r="I88" s="613"/>
      <c r="J88" s="613"/>
      <c r="K88" s="613">
        <v>0</v>
      </c>
      <c r="L88" s="613">
        <v>2206.2600000000002</v>
      </c>
      <c r="N88" s="620">
        <f t="shared" si="1"/>
        <v>-2206.2600000000002</v>
      </c>
    </row>
    <row r="89" spans="1:14" outlineLevel="1" x14ac:dyDescent="0.25">
      <c r="A89" s="611">
        <v>2658</v>
      </c>
      <c r="B89" s="612" t="s">
        <v>4567</v>
      </c>
      <c r="C89" s="613"/>
      <c r="D89" s="614"/>
      <c r="E89" s="614"/>
      <c r="F89" s="613">
        <v>0</v>
      </c>
      <c r="G89" s="614"/>
      <c r="H89" s="614"/>
      <c r="I89" s="613"/>
      <c r="J89" s="613"/>
      <c r="K89" s="613">
        <v>0</v>
      </c>
      <c r="L89" s="613">
        <v>0</v>
      </c>
      <c r="N89" s="620">
        <f t="shared" si="1"/>
        <v>0</v>
      </c>
    </row>
    <row r="90" spans="1:14" outlineLevel="1" x14ac:dyDescent="0.25">
      <c r="A90" s="611">
        <v>2700</v>
      </c>
      <c r="B90" s="612" t="s">
        <v>4568</v>
      </c>
      <c r="C90" s="613"/>
      <c r="D90" s="614"/>
      <c r="E90" s="614"/>
      <c r="F90" s="613">
        <v>2442.88</v>
      </c>
      <c r="G90" s="614"/>
      <c r="H90" s="614" t="s">
        <v>2584</v>
      </c>
      <c r="I90" s="613"/>
      <c r="J90" s="613"/>
      <c r="K90" s="613">
        <v>10</v>
      </c>
      <c r="L90" s="613">
        <v>2452.88</v>
      </c>
      <c r="N90" s="620">
        <f t="shared" si="1"/>
        <v>-2442.88</v>
      </c>
    </row>
    <row r="91" spans="1:14" outlineLevel="1" x14ac:dyDescent="0.25">
      <c r="A91" s="611">
        <v>2715</v>
      </c>
      <c r="B91" s="612" t="s">
        <v>4569</v>
      </c>
      <c r="C91" s="613"/>
      <c r="D91" s="614"/>
      <c r="E91" s="614"/>
      <c r="F91" s="613">
        <v>5190</v>
      </c>
      <c r="G91" s="614"/>
      <c r="H91" s="614" t="s">
        <v>2584</v>
      </c>
      <c r="I91" s="613"/>
      <c r="J91" s="613"/>
      <c r="K91" s="613">
        <v>0</v>
      </c>
      <c r="L91" s="613">
        <v>5190</v>
      </c>
      <c r="N91" s="620">
        <f t="shared" si="1"/>
        <v>-5190</v>
      </c>
    </row>
    <row r="92" spans="1:14" outlineLevel="1" x14ac:dyDescent="0.25">
      <c r="A92" s="611">
        <v>2731</v>
      </c>
      <c r="B92" s="612" t="s">
        <v>4570</v>
      </c>
      <c r="C92" s="613"/>
      <c r="D92" s="614"/>
      <c r="E92" s="614"/>
      <c r="F92" s="613">
        <v>0</v>
      </c>
      <c r="G92" s="614"/>
      <c r="H92" s="614"/>
      <c r="I92" s="613"/>
      <c r="J92" s="613"/>
      <c r="K92" s="613">
        <v>0</v>
      </c>
      <c r="L92" s="613">
        <v>0</v>
      </c>
      <c r="N92" s="620">
        <f t="shared" si="1"/>
        <v>0</v>
      </c>
    </row>
    <row r="93" spans="1:14" outlineLevel="1" x14ac:dyDescent="0.25">
      <c r="A93" s="611">
        <v>2742</v>
      </c>
      <c r="B93" s="612" t="s">
        <v>4571</v>
      </c>
      <c r="C93" s="613"/>
      <c r="D93" s="614"/>
      <c r="E93" s="614"/>
      <c r="F93" s="613">
        <v>2937.27</v>
      </c>
      <c r="G93" s="614"/>
      <c r="H93" s="614" t="s">
        <v>2584</v>
      </c>
      <c r="I93" s="613"/>
      <c r="J93" s="613"/>
      <c r="K93" s="613">
        <v>0</v>
      </c>
      <c r="L93" s="613">
        <v>2937.27</v>
      </c>
      <c r="N93" s="620">
        <f t="shared" si="1"/>
        <v>-2937.27</v>
      </c>
    </row>
    <row r="94" spans="1:14" outlineLevel="1" x14ac:dyDescent="0.25">
      <c r="A94" s="611">
        <v>2749</v>
      </c>
      <c r="B94" s="612" t="s">
        <v>4572</v>
      </c>
      <c r="C94" s="613"/>
      <c r="D94" s="614"/>
      <c r="E94" s="614"/>
      <c r="F94" s="613">
        <v>5823.04</v>
      </c>
      <c r="G94" s="614"/>
      <c r="H94" s="614" t="s">
        <v>2584</v>
      </c>
      <c r="I94" s="613"/>
      <c r="J94" s="613"/>
      <c r="K94" s="613">
        <v>0</v>
      </c>
      <c r="L94" s="613">
        <v>5823.04</v>
      </c>
      <c r="N94" s="620">
        <f t="shared" si="1"/>
        <v>-5823.04</v>
      </c>
    </row>
    <row r="95" spans="1:14" outlineLevel="1" x14ac:dyDescent="0.25">
      <c r="A95" s="611">
        <v>3030</v>
      </c>
      <c r="B95" s="612" t="s">
        <v>4573</v>
      </c>
      <c r="C95" s="613"/>
      <c r="D95" s="614"/>
      <c r="E95" s="614"/>
      <c r="F95" s="613">
        <v>26213.5</v>
      </c>
      <c r="G95" s="614" t="s">
        <v>2701</v>
      </c>
      <c r="H95" s="614"/>
      <c r="I95" s="613">
        <v>1642.37</v>
      </c>
      <c r="J95" s="613">
        <v>0</v>
      </c>
      <c r="K95" s="613">
        <v>26213.5</v>
      </c>
      <c r="L95" s="613">
        <v>0</v>
      </c>
      <c r="N95" s="620">
        <f t="shared" si="1"/>
        <v>26213.5</v>
      </c>
    </row>
    <row r="96" spans="1:14" outlineLevel="1" x14ac:dyDescent="0.25">
      <c r="A96" s="611">
        <v>3101</v>
      </c>
      <c r="B96" s="612" t="s">
        <v>4574</v>
      </c>
      <c r="C96" s="613"/>
      <c r="D96" s="614"/>
      <c r="E96" s="614"/>
      <c r="F96" s="613">
        <v>9817.42</v>
      </c>
      <c r="G96" s="614" t="s">
        <v>2701</v>
      </c>
      <c r="H96" s="614"/>
      <c r="I96" s="613">
        <v>6770.42</v>
      </c>
      <c r="J96" s="613">
        <v>0</v>
      </c>
      <c r="K96" s="613">
        <v>9817.42</v>
      </c>
      <c r="L96" s="613">
        <v>0</v>
      </c>
      <c r="N96" s="620">
        <f t="shared" si="1"/>
        <v>9817.42</v>
      </c>
    </row>
    <row r="97" spans="1:14" outlineLevel="1" x14ac:dyDescent="0.25">
      <c r="A97" s="611">
        <v>3102</v>
      </c>
      <c r="B97" s="612" t="s">
        <v>4575</v>
      </c>
      <c r="C97" s="613"/>
      <c r="D97" s="614"/>
      <c r="E97" s="614"/>
      <c r="F97" s="613">
        <v>203</v>
      </c>
      <c r="G97" s="614" t="s">
        <v>2701</v>
      </c>
      <c r="H97" s="614"/>
      <c r="I97" s="613"/>
      <c r="J97" s="613"/>
      <c r="K97" s="613">
        <v>203</v>
      </c>
      <c r="L97" s="613">
        <v>0</v>
      </c>
      <c r="N97" s="620">
        <f t="shared" si="1"/>
        <v>203</v>
      </c>
    </row>
    <row r="98" spans="1:14" outlineLevel="1" x14ac:dyDescent="0.25">
      <c r="A98" s="611">
        <v>3106</v>
      </c>
      <c r="B98" s="612" t="s">
        <v>4576</v>
      </c>
      <c r="C98" s="613"/>
      <c r="D98" s="614"/>
      <c r="E98" s="614"/>
      <c r="F98" s="613">
        <v>473537.84</v>
      </c>
      <c r="G98" s="614" t="s">
        <v>2701</v>
      </c>
      <c r="H98" s="614"/>
      <c r="I98" s="613">
        <v>30397.56</v>
      </c>
      <c r="J98" s="613">
        <v>0</v>
      </c>
      <c r="K98" s="613">
        <v>473537.84</v>
      </c>
      <c r="L98" s="613">
        <v>0</v>
      </c>
      <c r="N98" s="620">
        <f t="shared" si="1"/>
        <v>473537.84</v>
      </c>
    </row>
    <row r="99" spans="1:14" outlineLevel="1" x14ac:dyDescent="0.25">
      <c r="A99" s="611">
        <v>3125</v>
      </c>
      <c r="B99" s="612" t="s">
        <v>4577</v>
      </c>
      <c r="C99" s="613"/>
      <c r="D99" s="614"/>
      <c r="E99" s="614"/>
      <c r="F99" s="613">
        <v>20866.59</v>
      </c>
      <c r="G99" s="614" t="s">
        <v>2701</v>
      </c>
      <c r="H99" s="614"/>
      <c r="I99" s="613"/>
      <c r="J99" s="613"/>
      <c r="K99" s="613">
        <v>20866.59</v>
      </c>
      <c r="L99" s="613">
        <v>0</v>
      </c>
      <c r="N99" s="620">
        <f t="shared" si="1"/>
        <v>20866.59</v>
      </c>
    </row>
    <row r="100" spans="1:14" outlineLevel="1" x14ac:dyDescent="0.25">
      <c r="A100" s="611">
        <v>3200</v>
      </c>
      <c r="B100" s="612" t="s">
        <v>4578</v>
      </c>
      <c r="C100" s="613"/>
      <c r="D100" s="614"/>
      <c r="E100" s="614"/>
      <c r="F100" s="613">
        <v>122543.71</v>
      </c>
      <c r="G100" s="614" t="s">
        <v>2701</v>
      </c>
      <c r="H100" s="614"/>
      <c r="I100" s="613">
        <v>120317.52</v>
      </c>
      <c r="J100" s="613">
        <v>0</v>
      </c>
      <c r="K100" s="613">
        <v>122543.71</v>
      </c>
      <c r="L100" s="613">
        <v>0</v>
      </c>
      <c r="N100" s="620">
        <f t="shared" si="1"/>
        <v>122543.71</v>
      </c>
    </row>
    <row r="101" spans="1:14" outlineLevel="1" x14ac:dyDescent="0.25">
      <c r="A101" s="611">
        <v>3400</v>
      </c>
      <c r="B101" s="612" t="s">
        <v>4579</v>
      </c>
      <c r="C101" s="613"/>
      <c r="D101" s="614"/>
      <c r="E101" s="614"/>
      <c r="F101" s="613">
        <v>1556206.19</v>
      </c>
      <c r="G101" s="614" t="s">
        <v>2701</v>
      </c>
      <c r="H101" s="614"/>
      <c r="I101" s="613">
        <v>84980.72</v>
      </c>
      <c r="J101" s="613">
        <v>0</v>
      </c>
      <c r="K101" s="613">
        <v>1559009.98</v>
      </c>
      <c r="L101" s="613">
        <v>2803.79</v>
      </c>
      <c r="N101" s="620">
        <f t="shared" si="1"/>
        <v>1556206.19</v>
      </c>
    </row>
    <row r="102" spans="1:14" outlineLevel="1" x14ac:dyDescent="0.25">
      <c r="A102" s="611">
        <v>3401</v>
      </c>
      <c r="B102" s="612" t="s">
        <v>4580</v>
      </c>
      <c r="C102" s="613"/>
      <c r="D102" s="614"/>
      <c r="E102" s="614"/>
      <c r="F102" s="613">
        <v>420972.29</v>
      </c>
      <c r="G102" s="614" t="s">
        <v>2701</v>
      </c>
      <c r="H102" s="614"/>
      <c r="I102" s="613">
        <v>10034.799999999999</v>
      </c>
      <c r="J102" s="613">
        <v>0</v>
      </c>
      <c r="K102" s="613">
        <v>420972.29</v>
      </c>
      <c r="L102" s="613">
        <v>0</v>
      </c>
      <c r="N102" s="620">
        <f t="shared" si="1"/>
        <v>420972.29</v>
      </c>
    </row>
    <row r="103" spans="1:14" outlineLevel="1" x14ac:dyDescent="0.25">
      <c r="A103" s="611">
        <v>3425</v>
      </c>
      <c r="B103" s="612" t="s">
        <v>4581</v>
      </c>
      <c r="C103" s="613"/>
      <c r="D103" s="614"/>
      <c r="E103" s="614"/>
      <c r="F103" s="613">
        <v>2976283.46</v>
      </c>
      <c r="G103" s="614" t="s">
        <v>2701</v>
      </c>
      <c r="H103" s="614"/>
      <c r="I103" s="613">
        <v>121014.78</v>
      </c>
      <c r="J103" s="613">
        <v>90.33</v>
      </c>
      <c r="K103" s="613">
        <v>2995260.62</v>
      </c>
      <c r="L103" s="613">
        <v>18977.16</v>
      </c>
      <c r="N103" s="620">
        <f t="shared" si="1"/>
        <v>2976283.46</v>
      </c>
    </row>
    <row r="104" spans="1:14" outlineLevel="1" x14ac:dyDescent="0.25">
      <c r="A104" s="611">
        <v>3736</v>
      </c>
      <c r="B104" s="612" t="s">
        <v>4582</v>
      </c>
      <c r="C104" s="613"/>
      <c r="D104" s="614"/>
      <c r="E104" s="614"/>
      <c r="F104" s="613">
        <v>33604.81</v>
      </c>
      <c r="G104" s="614"/>
      <c r="H104" s="614" t="s">
        <v>2584</v>
      </c>
      <c r="I104" s="613">
        <v>4.1900000000000004</v>
      </c>
      <c r="J104" s="613">
        <v>2457.25</v>
      </c>
      <c r="K104" s="613">
        <v>54.39</v>
      </c>
      <c r="L104" s="613">
        <v>33659.199999999997</v>
      </c>
      <c r="N104" s="620">
        <f t="shared" si="1"/>
        <v>-33604.81</v>
      </c>
    </row>
    <row r="105" spans="1:14" outlineLevel="1" x14ac:dyDescent="0.25">
      <c r="A105" s="611">
        <v>3738</v>
      </c>
      <c r="B105" s="612" t="s">
        <v>4583</v>
      </c>
      <c r="C105" s="613"/>
      <c r="D105" s="614"/>
      <c r="E105" s="614"/>
      <c r="F105" s="613">
        <v>0</v>
      </c>
      <c r="G105" s="614"/>
      <c r="H105" s="614"/>
      <c r="I105" s="613"/>
      <c r="J105" s="613"/>
      <c r="K105" s="613">
        <v>0</v>
      </c>
      <c r="L105" s="613">
        <v>0</v>
      </c>
      <c r="N105" s="620">
        <f t="shared" si="1"/>
        <v>0</v>
      </c>
    </row>
    <row r="106" spans="1:14" outlineLevel="1" x14ac:dyDescent="0.25">
      <c r="A106" s="611">
        <v>3748</v>
      </c>
      <c r="B106" s="612" t="s">
        <v>4584</v>
      </c>
      <c r="C106" s="613"/>
      <c r="D106" s="614"/>
      <c r="E106" s="614"/>
      <c r="F106" s="613">
        <v>0</v>
      </c>
      <c r="G106" s="614"/>
      <c r="H106" s="614"/>
      <c r="I106" s="613"/>
      <c r="J106" s="613"/>
      <c r="K106" s="613">
        <v>0</v>
      </c>
      <c r="L106" s="613">
        <v>0</v>
      </c>
      <c r="N106" s="620">
        <f t="shared" si="1"/>
        <v>0</v>
      </c>
    </row>
    <row r="107" spans="1:14" outlineLevel="1" x14ac:dyDescent="0.25">
      <c r="A107" s="611">
        <v>3800</v>
      </c>
      <c r="B107" s="612" t="s">
        <v>4585</v>
      </c>
      <c r="C107" s="613"/>
      <c r="D107" s="614"/>
      <c r="E107" s="614"/>
      <c r="F107" s="613">
        <v>61934.14</v>
      </c>
      <c r="G107" s="614" t="s">
        <v>2701</v>
      </c>
      <c r="H107" s="614"/>
      <c r="I107" s="613">
        <v>5890.76</v>
      </c>
      <c r="J107" s="613">
        <v>0</v>
      </c>
      <c r="K107" s="613">
        <v>61934.14</v>
      </c>
      <c r="L107" s="613">
        <v>0</v>
      </c>
      <c r="N107" s="620">
        <f t="shared" si="1"/>
        <v>61934.14</v>
      </c>
    </row>
    <row r="108" spans="1:14" outlineLevel="1" x14ac:dyDescent="0.25">
      <c r="A108" s="611">
        <v>3950</v>
      </c>
      <c r="B108" s="612" t="s">
        <v>4586</v>
      </c>
      <c r="C108" s="613"/>
      <c r="D108" s="614"/>
      <c r="E108" s="614"/>
      <c r="F108" s="613">
        <v>0</v>
      </c>
      <c r="G108" s="614"/>
      <c r="H108" s="614"/>
      <c r="I108" s="613"/>
      <c r="J108" s="613"/>
      <c r="K108" s="613">
        <v>0</v>
      </c>
      <c r="L108" s="613">
        <v>0</v>
      </c>
      <c r="N108" s="620">
        <f t="shared" si="1"/>
        <v>0</v>
      </c>
    </row>
    <row r="109" spans="1:14" outlineLevel="1" x14ac:dyDescent="0.25">
      <c r="A109" s="611">
        <v>3960</v>
      </c>
      <c r="B109" s="612" t="s">
        <v>4587</v>
      </c>
      <c r="C109" s="613"/>
      <c r="D109" s="614"/>
      <c r="E109" s="614"/>
      <c r="F109" s="613">
        <v>0</v>
      </c>
      <c r="G109" s="614"/>
      <c r="H109" s="614"/>
      <c r="I109" s="613"/>
      <c r="J109" s="613"/>
      <c r="K109" s="613">
        <v>0</v>
      </c>
      <c r="L109" s="613">
        <v>0</v>
      </c>
      <c r="N109" s="620">
        <f t="shared" si="1"/>
        <v>0</v>
      </c>
    </row>
    <row r="110" spans="1:14" outlineLevel="1" x14ac:dyDescent="0.25">
      <c r="A110" s="611">
        <v>3970</v>
      </c>
      <c r="B110" s="612" t="s">
        <v>4588</v>
      </c>
      <c r="C110" s="613">
        <v>1243325.5</v>
      </c>
      <c r="D110" s="614" t="s">
        <v>2701</v>
      </c>
      <c r="E110" s="614"/>
      <c r="F110" s="613">
        <v>1243325.5</v>
      </c>
      <c r="G110" s="614" t="s">
        <v>2701</v>
      </c>
      <c r="H110" s="614"/>
      <c r="I110" s="613"/>
      <c r="J110" s="613"/>
      <c r="K110" s="613"/>
      <c r="L110" s="613"/>
      <c r="N110" s="620">
        <f t="shared" si="1"/>
        <v>1243325.5</v>
      </c>
    </row>
    <row r="111" spans="1:14" outlineLevel="1" x14ac:dyDescent="0.25">
      <c r="A111" s="611">
        <v>3980</v>
      </c>
      <c r="B111" s="612" t="s">
        <v>4589</v>
      </c>
      <c r="C111" s="613">
        <v>1474080.57</v>
      </c>
      <c r="D111" s="614" t="s">
        <v>2701</v>
      </c>
      <c r="E111" s="614"/>
      <c r="F111" s="613">
        <v>1474080.57</v>
      </c>
      <c r="G111" s="614" t="s">
        <v>2701</v>
      </c>
      <c r="H111" s="614"/>
      <c r="I111" s="613"/>
      <c r="J111" s="613"/>
      <c r="K111" s="613"/>
      <c r="L111" s="613"/>
      <c r="N111" s="620">
        <f t="shared" si="1"/>
        <v>1474080.57</v>
      </c>
    </row>
    <row r="112" spans="1:14" outlineLevel="1" x14ac:dyDescent="0.25">
      <c r="A112" s="611">
        <v>4110</v>
      </c>
      <c r="B112" s="612" t="s">
        <v>4590</v>
      </c>
      <c r="C112" s="613"/>
      <c r="D112" s="614"/>
      <c r="E112" s="614"/>
      <c r="F112" s="613">
        <v>1432228.09</v>
      </c>
      <c r="G112" s="614" t="s">
        <v>2701</v>
      </c>
      <c r="H112" s="614"/>
      <c r="I112" s="613">
        <v>139305.75</v>
      </c>
      <c r="J112" s="613">
        <v>0</v>
      </c>
      <c r="K112" s="613">
        <v>1432228.09</v>
      </c>
      <c r="L112" s="613">
        <v>0</v>
      </c>
      <c r="N112" s="620">
        <f t="shared" si="1"/>
        <v>1432228.09</v>
      </c>
    </row>
    <row r="113" spans="1:14" outlineLevel="1" x14ac:dyDescent="0.25">
      <c r="A113" s="611">
        <v>4120</v>
      </c>
      <c r="B113" s="612" t="s">
        <v>4591</v>
      </c>
      <c r="C113" s="613"/>
      <c r="D113" s="614"/>
      <c r="E113" s="614"/>
      <c r="F113" s="613">
        <v>1059124.01</v>
      </c>
      <c r="G113" s="614" t="s">
        <v>2701</v>
      </c>
      <c r="H113" s="614"/>
      <c r="I113" s="613">
        <v>109209.43</v>
      </c>
      <c r="J113" s="613">
        <v>2057.17</v>
      </c>
      <c r="K113" s="613">
        <v>1095233.3999999999</v>
      </c>
      <c r="L113" s="613">
        <v>36109.39</v>
      </c>
      <c r="N113" s="620">
        <f t="shared" si="1"/>
        <v>1059124.01</v>
      </c>
    </row>
    <row r="114" spans="1:14" outlineLevel="1" x14ac:dyDescent="0.25">
      <c r="A114" s="611">
        <v>4124</v>
      </c>
      <c r="B114" s="612" t="s">
        <v>4592</v>
      </c>
      <c r="C114" s="613"/>
      <c r="D114" s="614"/>
      <c r="E114" s="614"/>
      <c r="F114" s="613">
        <v>190000</v>
      </c>
      <c r="G114" s="614" t="s">
        <v>2701</v>
      </c>
      <c r="H114" s="614"/>
      <c r="I114" s="613">
        <v>19000</v>
      </c>
      <c r="J114" s="613">
        <v>0</v>
      </c>
      <c r="K114" s="613">
        <v>190000</v>
      </c>
      <c r="L114" s="613">
        <v>0</v>
      </c>
      <c r="N114" s="620">
        <f t="shared" si="1"/>
        <v>190000</v>
      </c>
    </row>
    <row r="115" spans="1:14" outlineLevel="1" x14ac:dyDescent="0.25">
      <c r="A115" s="611">
        <v>4126</v>
      </c>
      <c r="B115" s="612" t="s">
        <v>4593</v>
      </c>
      <c r="C115" s="613"/>
      <c r="D115" s="614"/>
      <c r="E115" s="614"/>
      <c r="F115" s="613">
        <v>44333</v>
      </c>
      <c r="G115" s="614" t="s">
        <v>2701</v>
      </c>
      <c r="H115" s="614"/>
      <c r="I115" s="613"/>
      <c r="J115" s="613"/>
      <c r="K115" s="613">
        <v>44333</v>
      </c>
      <c r="L115" s="613">
        <v>0</v>
      </c>
      <c r="N115" s="620">
        <f t="shared" si="1"/>
        <v>44333</v>
      </c>
    </row>
    <row r="116" spans="1:14" outlineLevel="1" x14ac:dyDescent="0.25">
      <c r="A116" s="611">
        <v>4127</v>
      </c>
      <c r="B116" s="612" t="s">
        <v>4594</v>
      </c>
      <c r="C116" s="613"/>
      <c r="D116" s="614"/>
      <c r="E116" s="614"/>
      <c r="F116" s="613">
        <v>104166.7</v>
      </c>
      <c r="G116" s="614" t="s">
        <v>2701</v>
      </c>
      <c r="H116" s="614"/>
      <c r="I116" s="613">
        <v>10416.67</v>
      </c>
      <c r="J116" s="613">
        <v>0</v>
      </c>
      <c r="K116" s="613">
        <v>104166.7</v>
      </c>
      <c r="L116" s="613">
        <v>0</v>
      </c>
      <c r="N116" s="620">
        <f t="shared" si="1"/>
        <v>104166.7</v>
      </c>
    </row>
    <row r="117" spans="1:14" outlineLevel="1" x14ac:dyDescent="0.25">
      <c r="A117" s="611">
        <v>4129</v>
      </c>
      <c r="B117" s="612" t="s">
        <v>4595</v>
      </c>
      <c r="C117" s="613"/>
      <c r="D117" s="614"/>
      <c r="E117" s="614"/>
      <c r="F117" s="613">
        <v>10000</v>
      </c>
      <c r="G117" s="614" t="s">
        <v>2701</v>
      </c>
      <c r="H117" s="614"/>
      <c r="I117" s="613"/>
      <c r="J117" s="613"/>
      <c r="K117" s="613">
        <v>10000</v>
      </c>
      <c r="L117" s="613">
        <v>0</v>
      </c>
      <c r="N117" s="620">
        <f t="shared" si="1"/>
        <v>10000</v>
      </c>
    </row>
    <row r="118" spans="1:14" outlineLevel="1" x14ac:dyDescent="0.25">
      <c r="A118" s="611">
        <v>4130</v>
      </c>
      <c r="B118" s="612" t="s">
        <v>4596</v>
      </c>
      <c r="C118" s="613"/>
      <c r="D118" s="614"/>
      <c r="E118" s="614"/>
      <c r="F118" s="613">
        <v>535321.26</v>
      </c>
      <c r="G118" s="614" t="s">
        <v>2701</v>
      </c>
      <c r="H118" s="614"/>
      <c r="I118" s="613">
        <v>53822.400000000001</v>
      </c>
      <c r="J118" s="613">
        <v>0</v>
      </c>
      <c r="K118" s="613">
        <v>547239.66</v>
      </c>
      <c r="L118" s="613">
        <v>11918.4</v>
      </c>
      <c r="N118" s="620">
        <f t="shared" si="1"/>
        <v>535321.26</v>
      </c>
    </row>
    <row r="119" spans="1:14" outlineLevel="1" x14ac:dyDescent="0.25">
      <c r="A119" s="611">
        <v>4138</v>
      </c>
      <c r="B119" s="612" t="s">
        <v>4597</v>
      </c>
      <c r="C119" s="613"/>
      <c r="D119" s="614"/>
      <c r="E119" s="614"/>
      <c r="F119" s="613">
        <v>17000</v>
      </c>
      <c r="G119" s="614" t="s">
        <v>2701</v>
      </c>
      <c r="H119" s="614"/>
      <c r="I119" s="613">
        <v>1700</v>
      </c>
      <c r="J119" s="613">
        <v>0</v>
      </c>
      <c r="K119" s="613">
        <v>17000</v>
      </c>
      <c r="L119" s="613">
        <v>0</v>
      </c>
      <c r="N119" s="620">
        <f t="shared" si="1"/>
        <v>17000</v>
      </c>
    </row>
    <row r="120" spans="1:14" outlineLevel="1" x14ac:dyDescent="0.25">
      <c r="A120" s="611">
        <v>4140</v>
      </c>
      <c r="B120" s="612" t="s">
        <v>4598</v>
      </c>
      <c r="C120" s="613"/>
      <c r="D120" s="614"/>
      <c r="E120" s="614"/>
      <c r="F120" s="613">
        <v>17417.3</v>
      </c>
      <c r="G120" s="614" t="s">
        <v>2701</v>
      </c>
      <c r="H120" s="614"/>
      <c r="I120" s="613">
        <v>1050</v>
      </c>
      <c r="J120" s="613">
        <v>0</v>
      </c>
      <c r="K120" s="613">
        <v>17417.3</v>
      </c>
      <c r="L120" s="613">
        <v>0</v>
      </c>
      <c r="N120" s="620">
        <f t="shared" si="1"/>
        <v>17417.3</v>
      </c>
    </row>
    <row r="121" spans="1:14" outlineLevel="1" x14ac:dyDescent="0.25">
      <c r="A121" s="611">
        <v>4144</v>
      </c>
      <c r="B121" s="612" t="s">
        <v>4599</v>
      </c>
      <c r="C121" s="613"/>
      <c r="D121" s="614"/>
      <c r="E121" s="614"/>
      <c r="F121" s="613">
        <v>3924.5</v>
      </c>
      <c r="G121" s="614" t="s">
        <v>2701</v>
      </c>
      <c r="H121" s="614"/>
      <c r="I121" s="613">
        <v>312.64999999999998</v>
      </c>
      <c r="J121" s="613">
        <v>0</v>
      </c>
      <c r="K121" s="613">
        <v>3924.5</v>
      </c>
      <c r="L121" s="613">
        <v>0</v>
      </c>
      <c r="N121" s="620">
        <f t="shared" si="1"/>
        <v>3924.5</v>
      </c>
    </row>
    <row r="122" spans="1:14" outlineLevel="1" x14ac:dyDescent="0.25">
      <c r="A122" s="611">
        <v>4145</v>
      </c>
      <c r="B122" s="612" t="s">
        <v>4600</v>
      </c>
      <c r="C122" s="613"/>
      <c r="D122" s="614"/>
      <c r="E122" s="614"/>
      <c r="F122" s="613">
        <v>64688</v>
      </c>
      <c r="G122" s="614" t="s">
        <v>2701</v>
      </c>
      <c r="H122" s="614"/>
      <c r="I122" s="613">
        <v>6708</v>
      </c>
      <c r="J122" s="613">
        <v>0</v>
      </c>
      <c r="K122" s="613">
        <v>64688</v>
      </c>
      <c r="L122" s="613">
        <v>0</v>
      </c>
      <c r="N122" s="620">
        <f t="shared" si="1"/>
        <v>64688</v>
      </c>
    </row>
    <row r="123" spans="1:14" outlineLevel="1" x14ac:dyDescent="0.25">
      <c r="A123" s="611">
        <v>4149</v>
      </c>
      <c r="B123" s="612" t="s">
        <v>4601</v>
      </c>
      <c r="C123" s="613"/>
      <c r="D123" s="614"/>
      <c r="E123" s="614"/>
      <c r="F123" s="613">
        <v>2573.0300000000002</v>
      </c>
      <c r="G123" s="614" t="s">
        <v>2701</v>
      </c>
      <c r="H123" s="614"/>
      <c r="I123" s="613">
        <v>248.66</v>
      </c>
      <c r="J123" s="613">
        <v>0</v>
      </c>
      <c r="K123" s="613">
        <v>2573.0300000000002</v>
      </c>
      <c r="L123" s="613">
        <v>0</v>
      </c>
      <c r="N123" s="620">
        <f t="shared" si="1"/>
        <v>2573.0300000000002</v>
      </c>
    </row>
    <row r="124" spans="1:14" outlineLevel="1" x14ac:dyDescent="0.25">
      <c r="A124" s="611">
        <v>4150</v>
      </c>
      <c r="B124" s="612" t="s">
        <v>4602</v>
      </c>
      <c r="C124" s="613"/>
      <c r="D124" s="614"/>
      <c r="E124" s="614"/>
      <c r="F124" s="613">
        <v>9932.75</v>
      </c>
      <c r="G124" s="614" t="s">
        <v>2701</v>
      </c>
      <c r="H124" s="614"/>
      <c r="I124" s="613">
        <v>1003.46</v>
      </c>
      <c r="J124" s="613">
        <v>0</v>
      </c>
      <c r="K124" s="613">
        <v>9932.75</v>
      </c>
      <c r="L124" s="613">
        <v>0</v>
      </c>
      <c r="N124" s="620">
        <f t="shared" si="1"/>
        <v>9932.75</v>
      </c>
    </row>
    <row r="125" spans="1:14" outlineLevel="1" x14ac:dyDescent="0.25">
      <c r="A125" s="611">
        <v>4152</v>
      </c>
      <c r="B125" s="612" t="s">
        <v>4603</v>
      </c>
      <c r="C125" s="613"/>
      <c r="D125" s="614"/>
      <c r="E125" s="614"/>
      <c r="F125" s="613">
        <v>611</v>
      </c>
      <c r="G125" s="614" t="s">
        <v>2701</v>
      </c>
      <c r="H125" s="614"/>
      <c r="I125" s="613">
        <v>80</v>
      </c>
      <c r="J125" s="613">
        <v>0</v>
      </c>
      <c r="K125" s="613">
        <v>611</v>
      </c>
      <c r="L125" s="613">
        <v>0</v>
      </c>
      <c r="N125" s="620">
        <f t="shared" si="1"/>
        <v>611</v>
      </c>
    </row>
    <row r="126" spans="1:14" outlineLevel="1" x14ac:dyDescent="0.25">
      <c r="A126" s="611">
        <v>4156</v>
      </c>
      <c r="B126" s="612" t="s">
        <v>4604</v>
      </c>
      <c r="C126" s="613"/>
      <c r="D126" s="614"/>
      <c r="E126" s="614"/>
      <c r="F126" s="613">
        <v>0</v>
      </c>
      <c r="G126" s="614"/>
      <c r="H126" s="614"/>
      <c r="I126" s="613"/>
      <c r="J126" s="613"/>
      <c r="K126" s="613">
        <v>0</v>
      </c>
      <c r="L126" s="613">
        <v>0</v>
      </c>
      <c r="N126" s="620">
        <f t="shared" si="1"/>
        <v>0</v>
      </c>
    </row>
    <row r="127" spans="1:14" outlineLevel="1" x14ac:dyDescent="0.25">
      <c r="A127" s="611">
        <v>4165</v>
      </c>
      <c r="B127" s="612" t="s">
        <v>4605</v>
      </c>
      <c r="C127" s="613"/>
      <c r="D127" s="614"/>
      <c r="E127" s="614"/>
      <c r="F127" s="613">
        <v>32408.49</v>
      </c>
      <c r="G127" s="614" t="s">
        <v>2701</v>
      </c>
      <c r="H127" s="614"/>
      <c r="I127" s="613">
        <v>3459.61</v>
      </c>
      <c r="J127" s="613">
        <v>0</v>
      </c>
      <c r="K127" s="613">
        <v>32408.49</v>
      </c>
      <c r="L127" s="613">
        <v>0</v>
      </c>
      <c r="N127" s="620">
        <f t="shared" si="1"/>
        <v>32408.49</v>
      </c>
    </row>
    <row r="128" spans="1:14" outlineLevel="1" x14ac:dyDescent="0.25">
      <c r="A128" s="611">
        <v>4170</v>
      </c>
      <c r="B128" s="612" t="s">
        <v>4606</v>
      </c>
      <c r="C128" s="613"/>
      <c r="D128" s="614"/>
      <c r="E128" s="614"/>
      <c r="F128" s="613">
        <v>2447.48</v>
      </c>
      <c r="G128" s="614" t="s">
        <v>2701</v>
      </c>
      <c r="H128" s="614"/>
      <c r="I128" s="613">
        <v>226.13</v>
      </c>
      <c r="J128" s="613">
        <v>0</v>
      </c>
      <c r="K128" s="613">
        <v>2447.48</v>
      </c>
      <c r="L128" s="613">
        <v>0</v>
      </c>
      <c r="N128" s="620">
        <f t="shared" si="1"/>
        <v>2447.48</v>
      </c>
    </row>
    <row r="129" spans="1:14" outlineLevel="1" x14ac:dyDescent="0.25">
      <c r="A129" s="611">
        <v>4175</v>
      </c>
      <c r="B129" s="612" t="s">
        <v>4607</v>
      </c>
      <c r="C129" s="613"/>
      <c r="D129" s="614"/>
      <c r="E129" s="614"/>
      <c r="F129" s="613">
        <v>26474.43</v>
      </c>
      <c r="G129" s="614" t="s">
        <v>2701</v>
      </c>
      <c r="H129" s="614"/>
      <c r="I129" s="613">
        <v>2687.2</v>
      </c>
      <c r="J129" s="613">
        <v>75.47</v>
      </c>
      <c r="K129" s="613">
        <v>27124.59</v>
      </c>
      <c r="L129" s="613">
        <v>650.16</v>
      </c>
      <c r="N129" s="620">
        <f t="shared" si="1"/>
        <v>26474.43</v>
      </c>
    </row>
    <row r="130" spans="1:14" outlineLevel="1" x14ac:dyDescent="0.25">
      <c r="A130" s="611">
        <v>4190</v>
      </c>
      <c r="B130" s="612" t="s">
        <v>4608</v>
      </c>
      <c r="C130" s="613"/>
      <c r="D130" s="614"/>
      <c r="E130" s="614"/>
      <c r="F130" s="613">
        <v>2973.75</v>
      </c>
      <c r="G130" s="614" t="s">
        <v>2701</v>
      </c>
      <c r="H130" s="614"/>
      <c r="I130" s="613">
        <v>684.19</v>
      </c>
      <c r="J130" s="613">
        <v>0</v>
      </c>
      <c r="K130" s="613">
        <v>2973.75</v>
      </c>
      <c r="L130" s="613">
        <v>0</v>
      </c>
      <c r="N130" s="620">
        <f t="shared" si="1"/>
        <v>2973.75</v>
      </c>
    </row>
    <row r="131" spans="1:14" outlineLevel="1" x14ac:dyDescent="0.25">
      <c r="A131" s="611">
        <v>4194</v>
      </c>
      <c r="B131" s="612" t="s">
        <v>4609</v>
      </c>
      <c r="C131" s="613"/>
      <c r="D131" s="614"/>
      <c r="E131" s="614"/>
      <c r="F131" s="613">
        <v>18.72</v>
      </c>
      <c r="G131" s="614" t="s">
        <v>2701</v>
      </c>
      <c r="H131" s="614"/>
      <c r="I131" s="613">
        <v>9.34</v>
      </c>
      <c r="J131" s="613">
        <v>9.34</v>
      </c>
      <c r="K131" s="613">
        <v>168.59</v>
      </c>
      <c r="L131" s="613">
        <v>149.87</v>
      </c>
      <c r="N131" s="620">
        <f t="shared" si="1"/>
        <v>18.72</v>
      </c>
    </row>
    <row r="132" spans="1:14" outlineLevel="1" x14ac:dyDescent="0.25">
      <c r="A132" s="611">
        <v>4195</v>
      </c>
      <c r="B132" s="612" t="s">
        <v>4610</v>
      </c>
      <c r="C132" s="613"/>
      <c r="D132" s="614"/>
      <c r="E132" s="614"/>
      <c r="F132" s="613">
        <v>12061.16</v>
      </c>
      <c r="G132" s="614" t="s">
        <v>2701</v>
      </c>
      <c r="H132" s="614"/>
      <c r="I132" s="613">
        <v>1101.98</v>
      </c>
      <c r="J132" s="613">
        <v>0</v>
      </c>
      <c r="K132" s="613">
        <v>12061.16</v>
      </c>
      <c r="L132" s="613">
        <v>0</v>
      </c>
      <c r="N132" s="620">
        <f t="shared" si="1"/>
        <v>12061.16</v>
      </c>
    </row>
    <row r="133" spans="1:14" outlineLevel="1" x14ac:dyDescent="0.25">
      <c r="A133" s="611">
        <v>4198</v>
      </c>
      <c r="B133" s="612" t="s">
        <v>4611</v>
      </c>
      <c r="C133" s="613"/>
      <c r="D133" s="614"/>
      <c r="E133" s="614"/>
      <c r="F133" s="613">
        <v>109.11</v>
      </c>
      <c r="G133" s="614" t="s">
        <v>2701</v>
      </c>
      <c r="H133" s="614"/>
      <c r="I133" s="613">
        <v>11.52</v>
      </c>
      <c r="J133" s="613">
        <v>0</v>
      </c>
      <c r="K133" s="613">
        <v>109.11</v>
      </c>
      <c r="L133" s="613">
        <v>0</v>
      </c>
      <c r="N133" s="620">
        <f t="shared" ref="N133:N196" si="2">IF(G133="S",F133,-F133)</f>
        <v>109.11</v>
      </c>
    </row>
    <row r="134" spans="1:14" outlineLevel="1" x14ac:dyDescent="0.25">
      <c r="A134" s="611">
        <v>4210</v>
      </c>
      <c r="B134" s="612" t="s">
        <v>4612</v>
      </c>
      <c r="C134" s="613"/>
      <c r="D134" s="614"/>
      <c r="E134" s="614"/>
      <c r="F134" s="613">
        <v>165000</v>
      </c>
      <c r="G134" s="614" t="s">
        <v>2701</v>
      </c>
      <c r="H134" s="614"/>
      <c r="I134" s="613">
        <v>16500</v>
      </c>
      <c r="J134" s="613">
        <v>0</v>
      </c>
      <c r="K134" s="613">
        <v>165000</v>
      </c>
      <c r="L134" s="613">
        <v>0</v>
      </c>
      <c r="N134" s="620">
        <f t="shared" si="2"/>
        <v>165000</v>
      </c>
    </row>
    <row r="135" spans="1:14" outlineLevel="1" x14ac:dyDescent="0.25">
      <c r="A135" s="611">
        <v>4228</v>
      </c>
      <c r="B135" s="612" t="s">
        <v>4613</v>
      </c>
      <c r="C135" s="613"/>
      <c r="D135" s="614"/>
      <c r="E135" s="614"/>
      <c r="F135" s="613">
        <v>10000</v>
      </c>
      <c r="G135" s="614" t="s">
        <v>2701</v>
      </c>
      <c r="H135" s="614"/>
      <c r="I135" s="613">
        <v>1000</v>
      </c>
      <c r="J135" s="613">
        <v>0</v>
      </c>
      <c r="K135" s="613">
        <v>10000</v>
      </c>
      <c r="L135" s="613">
        <v>0</v>
      </c>
      <c r="N135" s="620">
        <f t="shared" si="2"/>
        <v>10000</v>
      </c>
    </row>
    <row r="136" spans="1:14" outlineLevel="1" x14ac:dyDescent="0.25">
      <c r="A136" s="611">
        <v>4240</v>
      </c>
      <c r="B136" s="612" t="s">
        <v>4614</v>
      </c>
      <c r="C136" s="613"/>
      <c r="D136" s="614"/>
      <c r="E136" s="614"/>
      <c r="F136" s="613">
        <v>75082.559999999998</v>
      </c>
      <c r="G136" s="614" t="s">
        <v>2701</v>
      </c>
      <c r="H136" s="614"/>
      <c r="I136" s="613">
        <v>7977.95</v>
      </c>
      <c r="J136" s="613">
        <v>0</v>
      </c>
      <c r="K136" s="613">
        <v>78632.59</v>
      </c>
      <c r="L136" s="613">
        <v>3550.03</v>
      </c>
      <c r="N136" s="620">
        <f t="shared" si="2"/>
        <v>75082.559999999998</v>
      </c>
    </row>
    <row r="137" spans="1:14" outlineLevel="1" x14ac:dyDescent="0.25">
      <c r="A137" s="611">
        <v>4250</v>
      </c>
      <c r="B137" s="612" t="s">
        <v>4615</v>
      </c>
      <c r="C137" s="613"/>
      <c r="D137" s="614"/>
      <c r="E137" s="614"/>
      <c r="F137" s="613">
        <v>31981.82</v>
      </c>
      <c r="G137" s="614" t="s">
        <v>2701</v>
      </c>
      <c r="H137" s="614"/>
      <c r="I137" s="613">
        <v>2918.99</v>
      </c>
      <c r="J137" s="613">
        <v>0</v>
      </c>
      <c r="K137" s="613">
        <v>31981.82</v>
      </c>
      <c r="L137" s="613">
        <v>0</v>
      </c>
      <c r="N137" s="620">
        <f t="shared" si="2"/>
        <v>31981.82</v>
      </c>
    </row>
    <row r="138" spans="1:14" outlineLevel="1" x14ac:dyDescent="0.25">
      <c r="A138" s="611">
        <v>4260</v>
      </c>
      <c r="B138" s="612" t="s">
        <v>4616</v>
      </c>
      <c r="C138" s="613"/>
      <c r="D138" s="614"/>
      <c r="E138" s="614"/>
      <c r="F138" s="613">
        <v>7468.45</v>
      </c>
      <c r="G138" s="614" t="s">
        <v>2701</v>
      </c>
      <c r="H138" s="614"/>
      <c r="I138" s="613">
        <v>50.77</v>
      </c>
      <c r="J138" s="613">
        <v>0</v>
      </c>
      <c r="K138" s="613">
        <v>7468.45</v>
      </c>
      <c r="L138" s="613">
        <v>0</v>
      </c>
      <c r="N138" s="620">
        <f t="shared" si="2"/>
        <v>7468.45</v>
      </c>
    </row>
    <row r="139" spans="1:14" outlineLevel="1" x14ac:dyDescent="0.25">
      <c r="A139" s="611">
        <v>4320</v>
      </c>
      <c r="B139" s="612" t="s">
        <v>147</v>
      </c>
      <c r="C139" s="613"/>
      <c r="D139" s="614"/>
      <c r="E139" s="614"/>
      <c r="F139" s="613">
        <v>185079</v>
      </c>
      <c r="G139" s="614" t="s">
        <v>2701</v>
      </c>
      <c r="H139" s="614"/>
      <c r="I139" s="613"/>
      <c r="J139" s="613"/>
      <c r="K139" s="613">
        <v>185079</v>
      </c>
      <c r="L139" s="613">
        <v>0</v>
      </c>
      <c r="N139" s="620">
        <f t="shared" si="2"/>
        <v>185079</v>
      </c>
    </row>
    <row r="140" spans="1:14" outlineLevel="1" x14ac:dyDescent="0.25">
      <c r="A140" s="611">
        <v>4360</v>
      </c>
      <c r="B140" s="612" t="s">
        <v>4617</v>
      </c>
      <c r="C140" s="613"/>
      <c r="D140" s="614"/>
      <c r="E140" s="614"/>
      <c r="F140" s="613">
        <v>29567.18</v>
      </c>
      <c r="G140" s="614" t="s">
        <v>2701</v>
      </c>
      <c r="H140" s="614"/>
      <c r="I140" s="613">
        <v>2924.22</v>
      </c>
      <c r="J140" s="613">
        <v>0</v>
      </c>
      <c r="K140" s="613">
        <v>29567.18</v>
      </c>
      <c r="L140" s="613">
        <v>0</v>
      </c>
      <c r="N140" s="620">
        <f t="shared" si="2"/>
        <v>29567.18</v>
      </c>
    </row>
    <row r="141" spans="1:14" outlineLevel="1" x14ac:dyDescent="0.25">
      <c r="A141" s="611">
        <v>4380</v>
      </c>
      <c r="B141" s="612" t="s">
        <v>4618</v>
      </c>
      <c r="C141" s="613"/>
      <c r="D141" s="614"/>
      <c r="E141" s="614"/>
      <c r="F141" s="613">
        <v>38416.85</v>
      </c>
      <c r="G141" s="614" t="s">
        <v>2701</v>
      </c>
      <c r="H141" s="614"/>
      <c r="I141" s="613">
        <v>2029.64</v>
      </c>
      <c r="J141" s="613">
        <v>0</v>
      </c>
      <c r="K141" s="613">
        <v>38416.85</v>
      </c>
      <c r="L141" s="613">
        <v>0</v>
      </c>
      <c r="N141" s="620">
        <f t="shared" si="2"/>
        <v>38416.85</v>
      </c>
    </row>
    <row r="142" spans="1:14" outlineLevel="1" x14ac:dyDescent="0.25">
      <c r="A142" s="611">
        <v>4400</v>
      </c>
      <c r="B142" s="612" t="s">
        <v>2494</v>
      </c>
      <c r="C142" s="613"/>
      <c r="D142" s="614"/>
      <c r="E142" s="614"/>
      <c r="F142" s="613">
        <v>52176.639999999999</v>
      </c>
      <c r="G142" s="614" t="s">
        <v>2701</v>
      </c>
      <c r="H142" s="614"/>
      <c r="I142" s="613"/>
      <c r="J142" s="613"/>
      <c r="K142" s="613">
        <v>52176.639999999999</v>
      </c>
      <c r="L142" s="613">
        <v>0</v>
      </c>
      <c r="N142" s="620">
        <f t="shared" si="2"/>
        <v>52176.639999999999</v>
      </c>
    </row>
    <row r="143" spans="1:14" outlineLevel="1" x14ac:dyDescent="0.25">
      <c r="A143" s="611">
        <v>4510</v>
      </c>
      <c r="B143" s="612" t="s">
        <v>4619</v>
      </c>
      <c r="C143" s="613"/>
      <c r="D143" s="614"/>
      <c r="E143" s="614"/>
      <c r="F143" s="613">
        <v>0</v>
      </c>
      <c r="G143" s="614"/>
      <c r="H143" s="614"/>
      <c r="I143" s="613"/>
      <c r="J143" s="613"/>
      <c r="K143" s="613">
        <v>0</v>
      </c>
      <c r="L143" s="613">
        <v>0</v>
      </c>
      <c r="N143" s="620">
        <f t="shared" si="2"/>
        <v>0</v>
      </c>
    </row>
    <row r="144" spans="1:14" outlineLevel="1" x14ac:dyDescent="0.25">
      <c r="A144" s="611">
        <v>4513</v>
      </c>
      <c r="B144" s="612" t="s">
        <v>4620</v>
      </c>
      <c r="C144" s="613"/>
      <c r="D144" s="614"/>
      <c r="E144" s="614"/>
      <c r="F144" s="613">
        <v>456</v>
      </c>
      <c r="G144" s="614" t="s">
        <v>2701</v>
      </c>
      <c r="H144" s="614"/>
      <c r="I144" s="613"/>
      <c r="J144" s="613"/>
      <c r="K144" s="613">
        <v>456</v>
      </c>
      <c r="L144" s="613">
        <v>0</v>
      </c>
      <c r="N144" s="620">
        <f t="shared" si="2"/>
        <v>456</v>
      </c>
    </row>
    <row r="145" spans="1:14" outlineLevel="1" x14ac:dyDescent="0.25">
      <c r="A145" s="611">
        <v>4514</v>
      </c>
      <c r="B145" s="612" t="s">
        <v>4621</v>
      </c>
      <c r="C145" s="613"/>
      <c r="D145" s="614"/>
      <c r="E145" s="614"/>
      <c r="F145" s="613">
        <v>622</v>
      </c>
      <c r="G145" s="614" t="s">
        <v>2701</v>
      </c>
      <c r="H145" s="614"/>
      <c r="I145" s="613"/>
      <c r="J145" s="613"/>
      <c r="K145" s="613">
        <v>622</v>
      </c>
      <c r="L145" s="613">
        <v>0</v>
      </c>
      <c r="N145" s="620">
        <f t="shared" si="2"/>
        <v>622</v>
      </c>
    </row>
    <row r="146" spans="1:14" outlineLevel="1" x14ac:dyDescent="0.25">
      <c r="A146" s="611">
        <v>4515</v>
      </c>
      <c r="B146" s="612" t="s">
        <v>4622</v>
      </c>
      <c r="C146" s="613"/>
      <c r="D146" s="614"/>
      <c r="E146" s="614"/>
      <c r="F146" s="613">
        <v>432</v>
      </c>
      <c r="G146" s="614" t="s">
        <v>2701</v>
      </c>
      <c r="H146" s="614"/>
      <c r="I146" s="613"/>
      <c r="J146" s="613"/>
      <c r="K146" s="613">
        <v>432</v>
      </c>
      <c r="L146" s="613">
        <v>0</v>
      </c>
      <c r="N146" s="620">
        <f t="shared" si="2"/>
        <v>432</v>
      </c>
    </row>
    <row r="147" spans="1:14" outlineLevel="1" x14ac:dyDescent="0.25">
      <c r="A147" s="611">
        <v>4516</v>
      </c>
      <c r="B147" s="612" t="s">
        <v>4623</v>
      </c>
      <c r="C147" s="613"/>
      <c r="D147" s="614"/>
      <c r="E147" s="614"/>
      <c r="F147" s="613">
        <v>186</v>
      </c>
      <c r="G147" s="614" t="s">
        <v>2701</v>
      </c>
      <c r="H147" s="614"/>
      <c r="I147" s="613"/>
      <c r="J147" s="613"/>
      <c r="K147" s="613">
        <v>186</v>
      </c>
      <c r="L147" s="613">
        <v>0</v>
      </c>
      <c r="N147" s="620">
        <f t="shared" si="2"/>
        <v>186</v>
      </c>
    </row>
    <row r="148" spans="1:14" outlineLevel="1" x14ac:dyDescent="0.25">
      <c r="A148" s="611">
        <v>4517</v>
      </c>
      <c r="B148" s="612" t="s">
        <v>4624</v>
      </c>
      <c r="C148" s="613"/>
      <c r="D148" s="614"/>
      <c r="E148" s="614"/>
      <c r="F148" s="613">
        <v>557</v>
      </c>
      <c r="G148" s="614" t="s">
        <v>2701</v>
      </c>
      <c r="H148" s="614"/>
      <c r="I148" s="613"/>
      <c r="J148" s="613"/>
      <c r="K148" s="613">
        <v>557</v>
      </c>
      <c r="L148" s="613">
        <v>0</v>
      </c>
      <c r="N148" s="620">
        <f t="shared" si="2"/>
        <v>557</v>
      </c>
    </row>
    <row r="149" spans="1:14" outlineLevel="1" x14ac:dyDescent="0.25">
      <c r="A149" s="611">
        <v>4518</v>
      </c>
      <c r="B149" s="612" t="s">
        <v>4625</v>
      </c>
      <c r="C149" s="613"/>
      <c r="D149" s="614"/>
      <c r="E149" s="614"/>
      <c r="F149" s="613">
        <v>231</v>
      </c>
      <c r="G149" s="614" t="s">
        <v>2701</v>
      </c>
      <c r="H149" s="614"/>
      <c r="I149" s="613"/>
      <c r="J149" s="613"/>
      <c r="K149" s="613">
        <v>231</v>
      </c>
      <c r="L149" s="613">
        <v>0</v>
      </c>
      <c r="N149" s="620">
        <f t="shared" si="2"/>
        <v>231</v>
      </c>
    </row>
    <row r="150" spans="1:14" outlineLevel="1" x14ac:dyDescent="0.25">
      <c r="A150" s="611">
        <v>4520</v>
      </c>
      <c r="B150" s="612" t="s">
        <v>4626</v>
      </c>
      <c r="C150" s="613"/>
      <c r="D150" s="614"/>
      <c r="E150" s="614"/>
      <c r="F150" s="613">
        <v>1198.9000000000001</v>
      </c>
      <c r="G150" s="614" t="s">
        <v>2701</v>
      </c>
      <c r="H150" s="614"/>
      <c r="I150" s="613">
        <v>119.89</v>
      </c>
      <c r="J150" s="613">
        <v>0</v>
      </c>
      <c r="K150" s="613">
        <v>1198.9000000000001</v>
      </c>
      <c r="L150" s="613">
        <v>0</v>
      </c>
      <c r="N150" s="620">
        <f t="shared" si="2"/>
        <v>1198.9000000000001</v>
      </c>
    </row>
    <row r="151" spans="1:14" outlineLevel="1" x14ac:dyDescent="0.25">
      <c r="A151" s="611">
        <v>4522</v>
      </c>
      <c r="B151" s="612" t="s">
        <v>4627</v>
      </c>
      <c r="C151" s="613"/>
      <c r="D151" s="614"/>
      <c r="E151" s="614"/>
      <c r="F151" s="613">
        <v>2397.8000000000002</v>
      </c>
      <c r="G151" s="614" t="s">
        <v>2701</v>
      </c>
      <c r="H151" s="614"/>
      <c r="I151" s="613">
        <v>239.78</v>
      </c>
      <c r="J151" s="613">
        <v>0</v>
      </c>
      <c r="K151" s="613">
        <v>2397.8000000000002</v>
      </c>
      <c r="L151" s="613">
        <v>0</v>
      </c>
      <c r="N151" s="620">
        <f t="shared" si="2"/>
        <v>2397.8000000000002</v>
      </c>
    </row>
    <row r="152" spans="1:14" outlineLevel="1" x14ac:dyDescent="0.25">
      <c r="A152" s="611">
        <v>4523</v>
      </c>
      <c r="B152" s="612" t="s">
        <v>4628</v>
      </c>
      <c r="C152" s="613"/>
      <c r="D152" s="614"/>
      <c r="E152" s="614"/>
      <c r="F152" s="613">
        <v>2397.8000000000002</v>
      </c>
      <c r="G152" s="614" t="s">
        <v>2701</v>
      </c>
      <c r="H152" s="614"/>
      <c r="I152" s="613">
        <v>239.78</v>
      </c>
      <c r="J152" s="613">
        <v>0</v>
      </c>
      <c r="K152" s="613">
        <v>2397.8000000000002</v>
      </c>
      <c r="L152" s="613">
        <v>0</v>
      </c>
      <c r="N152" s="620">
        <f t="shared" si="2"/>
        <v>2397.8000000000002</v>
      </c>
    </row>
    <row r="153" spans="1:14" outlineLevel="1" x14ac:dyDescent="0.25">
      <c r="A153" s="611">
        <v>4524</v>
      </c>
      <c r="B153" s="612" t="s">
        <v>4629</v>
      </c>
      <c r="C153" s="613"/>
      <c r="D153" s="614"/>
      <c r="E153" s="614"/>
      <c r="F153" s="613">
        <v>2397.8000000000002</v>
      </c>
      <c r="G153" s="614" t="s">
        <v>2701</v>
      </c>
      <c r="H153" s="614"/>
      <c r="I153" s="613">
        <v>239.78</v>
      </c>
      <c r="J153" s="613">
        <v>0</v>
      </c>
      <c r="K153" s="613">
        <v>2397.8000000000002</v>
      </c>
      <c r="L153" s="613">
        <v>0</v>
      </c>
      <c r="N153" s="620">
        <f t="shared" si="2"/>
        <v>2397.8000000000002</v>
      </c>
    </row>
    <row r="154" spans="1:14" outlineLevel="1" x14ac:dyDescent="0.25">
      <c r="A154" s="611">
        <v>4525</v>
      </c>
      <c r="B154" s="612" t="s">
        <v>4630</v>
      </c>
      <c r="C154" s="613"/>
      <c r="D154" s="614"/>
      <c r="E154" s="614"/>
      <c r="F154" s="613">
        <v>2397.8000000000002</v>
      </c>
      <c r="G154" s="614" t="s">
        <v>2701</v>
      </c>
      <c r="H154" s="614"/>
      <c r="I154" s="613">
        <v>239.78</v>
      </c>
      <c r="J154" s="613">
        <v>0</v>
      </c>
      <c r="K154" s="613">
        <v>2397.8000000000002</v>
      </c>
      <c r="L154" s="613">
        <v>0</v>
      </c>
      <c r="N154" s="620">
        <f t="shared" si="2"/>
        <v>2397.8000000000002</v>
      </c>
    </row>
    <row r="155" spans="1:14" outlineLevel="1" x14ac:dyDescent="0.25">
      <c r="A155" s="611">
        <v>4526</v>
      </c>
      <c r="B155" s="612" t="s">
        <v>4631</v>
      </c>
      <c r="C155" s="613"/>
      <c r="D155" s="614"/>
      <c r="E155" s="614"/>
      <c r="F155" s="613">
        <v>3503.2</v>
      </c>
      <c r="G155" s="614" t="s">
        <v>2701</v>
      </c>
      <c r="H155" s="614"/>
      <c r="I155" s="613">
        <v>350.32</v>
      </c>
      <c r="J155" s="613">
        <v>0</v>
      </c>
      <c r="K155" s="613">
        <v>3503.2</v>
      </c>
      <c r="L155" s="613">
        <v>0</v>
      </c>
      <c r="N155" s="620">
        <f t="shared" si="2"/>
        <v>3503.2</v>
      </c>
    </row>
    <row r="156" spans="1:14" outlineLevel="1" x14ac:dyDescent="0.25">
      <c r="A156" s="611">
        <v>4527</v>
      </c>
      <c r="B156" s="612" t="s">
        <v>4632</v>
      </c>
      <c r="C156" s="613"/>
      <c r="D156" s="614"/>
      <c r="E156" s="614"/>
      <c r="F156" s="613">
        <v>2397.8000000000002</v>
      </c>
      <c r="G156" s="614" t="s">
        <v>2701</v>
      </c>
      <c r="H156" s="614"/>
      <c r="I156" s="613">
        <v>239.78</v>
      </c>
      <c r="J156" s="613">
        <v>0</v>
      </c>
      <c r="K156" s="613">
        <v>2397.8000000000002</v>
      </c>
      <c r="L156" s="613">
        <v>0</v>
      </c>
      <c r="N156" s="620">
        <f t="shared" si="2"/>
        <v>2397.8000000000002</v>
      </c>
    </row>
    <row r="157" spans="1:14" outlineLevel="1" x14ac:dyDescent="0.25">
      <c r="A157" s="611">
        <v>4528</v>
      </c>
      <c r="B157" s="612" t="s">
        <v>4633</v>
      </c>
      <c r="C157" s="613"/>
      <c r="D157" s="614"/>
      <c r="E157" s="614"/>
      <c r="F157" s="613">
        <v>2397.8000000000002</v>
      </c>
      <c r="G157" s="614" t="s">
        <v>2701</v>
      </c>
      <c r="H157" s="614"/>
      <c r="I157" s="613">
        <v>239.78</v>
      </c>
      <c r="J157" s="613">
        <v>0</v>
      </c>
      <c r="K157" s="613">
        <v>2397.8000000000002</v>
      </c>
      <c r="L157" s="613">
        <v>0</v>
      </c>
      <c r="N157" s="620">
        <f t="shared" si="2"/>
        <v>2397.8000000000002</v>
      </c>
    </row>
    <row r="158" spans="1:14" outlineLevel="1" x14ac:dyDescent="0.25">
      <c r="A158" s="611">
        <v>4529</v>
      </c>
      <c r="B158" s="612" t="s">
        <v>4634</v>
      </c>
      <c r="C158" s="613"/>
      <c r="D158" s="614"/>
      <c r="E158" s="614"/>
      <c r="F158" s="613">
        <v>838.1</v>
      </c>
      <c r="G158" s="614" t="s">
        <v>2701</v>
      </c>
      <c r="H158" s="614"/>
      <c r="I158" s="613">
        <v>108.2</v>
      </c>
      <c r="J158" s="613">
        <v>0</v>
      </c>
      <c r="K158" s="613">
        <v>838.1</v>
      </c>
      <c r="L158" s="613">
        <v>0</v>
      </c>
      <c r="N158" s="620">
        <f t="shared" si="2"/>
        <v>838.1</v>
      </c>
    </row>
    <row r="159" spans="1:14" outlineLevel="1" x14ac:dyDescent="0.25">
      <c r="A159" s="611">
        <v>4530</v>
      </c>
      <c r="B159" s="612" t="s">
        <v>4635</v>
      </c>
      <c r="C159" s="613"/>
      <c r="D159" s="614"/>
      <c r="E159" s="614"/>
      <c r="F159" s="613">
        <v>266.72000000000003</v>
      </c>
      <c r="G159" s="614" t="s">
        <v>2701</v>
      </c>
      <c r="H159" s="614"/>
      <c r="I159" s="613">
        <v>35.57</v>
      </c>
      <c r="J159" s="613">
        <v>0</v>
      </c>
      <c r="K159" s="613">
        <v>266.72000000000003</v>
      </c>
      <c r="L159" s="613">
        <v>0</v>
      </c>
      <c r="N159" s="620">
        <f t="shared" si="2"/>
        <v>266.72000000000003</v>
      </c>
    </row>
    <row r="160" spans="1:14" outlineLevel="1" x14ac:dyDescent="0.25">
      <c r="A160" s="611">
        <v>4532</v>
      </c>
      <c r="B160" s="612" t="s">
        <v>4636</v>
      </c>
      <c r="C160" s="613"/>
      <c r="D160" s="614"/>
      <c r="E160" s="614"/>
      <c r="F160" s="613">
        <v>1164.04</v>
      </c>
      <c r="G160" s="614" t="s">
        <v>2701</v>
      </c>
      <c r="H160" s="614"/>
      <c r="I160" s="613">
        <v>44.45</v>
      </c>
      <c r="J160" s="613">
        <v>0</v>
      </c>
      <c r="K160" s="613">
        <v>1164.04</v>
      </c>
      <c r="L160" s="613">
        <v>0</v>
      </c>
      <c r="N160" s="620">
        <f t="shared" si="2"/>
        <v>1164.04</v>
      </c>
    </row>
    <row r="161" spans="1:14" outlineLevel="1" x14ac:dyDescent="0.25">
      <c r="A161" s="611">
        <v>4533</v>
      </c>
      <c r="B161" s="612" t="s">
        <v>4637</v>
      </c>
      <c r="C161" s="613"/>
      <c r="D161" s="614"/>
      <c r="E161" s="614"/>
      <c r="F161" s="613">
        <v>5861.75</v>
      </c>
      <c r="G161" s="614" t="s">
        <v>2701</v>
      </c>
      <c r="H161" s="614"/>
      <c r="I161" s="613">
        <v>217.79</v>
      </c>
      <c r="J161" s="613">
        <v>0</v>
      </c>
      <c r="K161" s="613">
        <v>5861.75</v>
      </c>
      <c r="L161" s="613">
        <v>0</v>
      </c>
      <c r="N161" s="620">
        <f t="shared" si="2"/>
        <v>5861.75</v>
      </c>
    </row>
    <row r="162" spans="1:14" outlineLevel="1" x14ac:dyDescent="0.25">
      <c r="A162" s="611">
        <v>4534</v>
      </c>
      <c r="B162" s="612" t="s">
        <v>4638</v>
      </c>
      <c r="C162" s="613"/>
      <c r="D162" s="614"/>
      <c r="E162" s="614"/>
      <c r="F162" s="613">
        <v>3637.67</v>
      </c>
      <c r="G162" s="614" t="s">
        <v>2701</v>
      </c>
      <c r="H162" s="614"/>
      <c r="I162" s="613">
        <v>436.29</v>
      </c>
      <c r="J162" s="613">
        <v>0</v>
      </c>
      <c r="K162" s="613">
        <v>3637.67</v>
      </c>
      <c r="L162" s="613">
        <v>0</v>
      </c>
      <c r="N162" s="620">
        <f t="shared" si="2"/>
        <v>3637.67</v>
      </c>
    </row>
    <row r="163" spans="1:14" outlineLevel="1" x14ac:dyDescent="0.25">
      <c r="A163" s="611">
        <v>4535</v>
      </c>
      <c r="B163" s="612" t="s">
        <v>4639</v>
      </c>
      <c r="C163" s="613"/>
      <c r="D163" s="614"/>
      <c r="E163" s="614"/>
      <c r="F163" s="613">
        <v>2348.25</v>
      </c>
      <c r="G163" s="614" t="s">
        <v>2701</v>
      </c>
      <c r="H163" s="614"/>
      <c r="I163" s="613"/>
      <c r="J163" s="613"/>
      <c r="K163" s="613">
        <v>2348.25</v>
      </c>
      <c r="L163" s="613">
        <v>0</v>
      </c>
      <c r="N163" s="620">
        <f t="shared" si="2"/>
        <v>2348.25</v>
      </c>
    </row>
    <row r="164" spans="1:14" outlineLevel="1" x14ac:dyDescent="0.25">
      <c r="A164" s="611">
        <v>4536</v>
      </c>
      <c r="B164" s="612" t="s">
        <v>4640</v>
      </c>
      <c r="C164" s="613"/>
      <c r="D164" s="614"/>
      <c r="E164" s="614"/>
      <c r="F164" s="613">
        <v>1847.64</v>
      </c>
      <c r="G164" s="614" t="s">
        <v>2701</v>
      </c>
      <c r="H164" s="614"/>
      <c r="I164" s="613">
        <v>182.23</v>
      </c>
      <c r="J164" s="613">
        <v>0</v>
      </c>
      <c r="K164" s="613">
        <v>1847.64</v>
      </c>
      <c r="L164" s="613">
        <v>0</v>
      </c>
      <c r="N164" s="620">
        <f t="shared" si="2"/>
        <v>1847.64</v>
      </c>
    </row>
    <row r="165" spans="1:14" outlineLevel="1" x14ac:dyDescent="0.25">
      <c r="A165" s="611">
        <v>4537</v>
      </c>
      <c r="B165" s="612" t="s">
        <v>4641</v>
      </c>
      <c r="C165" s="613"/>
      <c r="D165" s="614"/>
      <c r="E165" s="614"/>
      <c r="F165" s="613">
        <v>1367.99</v>
      </c>
      <c r="G165" s="614" t="s">
        <v>2701</v>
      </c>
      <c r="H165" s="614"/>
      <c r="I165" s="613">
        <v>497.05</v>
      </c>
      <c r="J165" s="613">
        <v>0</v>
      </c>
      <c r="K165" s="613">
        <v>1367.99</v>
      </c>
      <c r="L165" s="613">
        <v>0</v>
      </c>
      <c r="N165" s="620">
        <f t="shared" si="2"/>
        <v>1367.99</v>
      </c>
    </row>
    <row r="166" spans="1:14" outlineLevel="1" x14ac:dyDescent="0.25">
      <c r="A166" s="611">
        <v>4538</v>
      </c>
      <c r="B166" s="612" t="s">
        <v>4642</v>
      </c>
      <c r="C166" s="613"/>
      <c r="D166" s="614"/>
      <c r="E166" s="614"/>
      <c r="F166" s="613">
        <v>5183.41</v>
      </c>
      <c r="G166" s="614" t="s">
        <v>2701</v>
      </c>
      <c r="H166" s="614"/>
      <c r="I166" s="613">
        <v>571.80999999999995</v>
      </c>
      <c r="J166" s="613">
        <v>0</v>
      </c>
      <c r="K166" s="613">
        <v>5183.41</v>
      </c>
      <c r="L166" s="613">
        <v>0</v>
      </c>
      <c r="N166" s="620">
        <f t="shared" si="2"/>
        <v>5183.41</v>
      </c>
    </row>
    <row r="167" spans="1:14" outlineLevel="1" x14ac:dyDescent="0.25">
      <c r="A167" s="611">
        <v>4540</v>
      </c>
      <c r="B167" s="612" t="s">
        <v>4643</v>
      </c>
      <c r="C167" s="613"/>
      <c r="D167" s="614"/>
      <c r="E167" s="614"/>
      <c r="F167" s="613">
        <v>2935.48</v>
      </c>
      <c r="G167" s="614" t="s">
        <v>2701</v>
      </c>
      <c r="H167" s="614"/>
      <c r="I167" s="613"/>
      <c r="J167" s="613"/>
      <c r="K167" s="613">
        <v>2935.48</v>
      </c>
      <c r="L167" s="613">
        <v>0</v>
      </c>
      <c r="N167" s="620">
        <f t="shared" si="2"/>
        <v>2935.48</v>
      </c>
    </row>
    <row r="168" spans="1:14" outlineLevel="1" x14ac:dyDescent="0.25">
      <c r="A168" s="611">
        <v>4542</v>
      </c>
      <c r="B168" s="612" t="s">
        <v>4644</v>
      </c>
      <c r="C168" s="613"/>
      <c r="D168" s="614"/>
      <c r="E168" s="614"/>
      <c r="F168" s="613">
        <v>2525.06</v>
      </c>
      <c r="G168" s="614" t="s">
        <v>2701</v>
      </c>
      <c r="H168" s="614"/>
      <c r="I168" s="613">
        <v>675.72</v>
      </c>
      <c r="J168" s="613">
        <v>0</v>
      </c>
      <c r="K168" s="613">
        <v>2525.06</v>
      </c>
      <c r="L168" s="613">
        <v>0</v>
      </c>
      <c r="N168" s="620">
        <f t="shared" si="2"/>
        <v>2525.06</v>
      </c>
    </row>
    <row r="169" spans="1:14" outlineLevel="1" x14ac:dyDescent="0.25">
      <c r="A169" s="611">
        <v>4543</v>
      </c>
      <c r="B169" s="612" t="s">
        <v>4645</v>
      </c>
      <c r="C169" s="613"/>
      <c r="D169" s="614"/>
      <c r="E169" s="614"/>
      <c r="F169" s="613">
        <v>3280.5</v>
      </c>
      <c r="G169" s="614" t="s">
        <v>2701</v>
      </c>
      <c r="H169" s="614"/>
      <c r="I169" s="613">
        <v>31.84</v>
      </c>
      <c r="J169" s="613">
        <v>0</v>
      </c>
      <c r="K169" s="613">
        <v>3280.5</v>
      </c>
      <c r="L169" s="613">
        <v>0</v>
      </c>
      <c r="N169" s="620">
        <f t="shared" si="2"/>
        <v>3280.5</v>
      </c>
    </row>
    <row r="170" spans="1:14" outlineLevel="1" x14ac:dyDescent="0.25">
      <c r="A170" s="611">
        <v>4544</v>
      </c>
      <c r="B170" s="612" t="s">
        <v>4646</v>
      </c>
      <c r="C170" s="613"/>
      <c r="D170" s="614"/>
      <c r="E170" s="614"/>
      <c r="F170" s="613">
        <v>6782.12</v>
      </c>
      <c r="G170" s="614" t="s">
        <v>2701</v>
      </c>
      <c r="H170" s="614"/>
      <c r="I170" s="613">
        <v>2749.6</v>
      </c>
      <c r="J170" s="613">
        <v>0</v>
      </c>
      <c r="K170" s="613">
        <v>6782.12</v>
      </c>
      <c r="L170" s="613">
        <v>0</v>
      </c>
      <c r="N170" s="620">
        <f t="shared" si="2"/>
        <v>6782.12</v>
      </c>
    </row>
    <row r="171" spans="1:14" outlineLevel="1" x14ac:dyDescent="0.25">
      <c r="A171" s="611">
        <v>4545</v>
      </c>
      <c r="B171" s="612" t="s">
        <v>4647</v>
      </c>
      <c r="C171" s="613"/>
      <c r="D171" s="614"/>
      <c r="E171" s="614"/>
      <c r="F171" s="613">
        <v>1132.3</v>
      </c>
      <c r="G171" s="614" t="s">
        <v>2701</v>
      </c>
      <c r="H171" s="614"/>
      <c r="I171" s="613"/>
      <c r="J171" s="613"/>
      <c r="K171" s="613">
        <v>1132.3</v>
      </c>
      <c r="L171" s="613">
        <v>0</v>
      </c>
      <c r="N171" s="620">
        <f t="shared" si="2"/>
        <v>1132.3</v>
      </c>
    </row>
    <row r="172" spans="1:14" outlineLevel="1" x14ac:dyDescent="0.25">
      <c r="A172" s="611">
        <v>4546</v>
      </c>
      <c r="B172" s="612" t="s">
        <v>4648</v>
      </c>
      <c r="C172" s="613"/>
      <c r="D172" s="614"/>
      <c r="E172" s="614"/>
      <c r="F172" s="613">
        <v>1579.26</v>
      </c>
      <c r="G172" s="614" t="s">
        <v>2701</v>
      </c>
      <c r="H172" s="614"/>
      <c r="I172" s="613"/>
      <c r="J172" s="613"/>
      <c r="K172" s="613">
        <v>1579.26</v>
      </c>
      <c r="L172" s="613">
        <v>0</v>
      </c>
      <c r="N172" s="620">
        <f t="shared" si="2"/>
        <v>1579.26</v>
      </c>
    </row>
    <row r="173" spans="1:14" outlineLevel="1" x14ac:dyDescent="0.25">
      <c r="A173" s="611">
        <v>4547</v>
      </c>
      <c r="B173" s="612" t="s">
        <v>4649</v>
      </c>
      <c r="C173" s="613"/>
      <c r="D173" s="614"/>
      <c r="E173" s="614"/>
      <c r="F173" s="613">
        <v>2413.06</v>
      </c>
      <c r="G173" s="614" t="s">
        <v>2701</v>
      </c>
      <c r="H173" s="614"/>
      <c r="I173" s="613">
        <v>137.34</v>
      </c>
      <c r="J173" s="613">
        <v>0</v>
      </c>
      <c r="K173" s="613">
        <v>2413.06</v>
      </c>
      <c r="L173" s="613">
        <v>0</v>
      </c>
      <c r="N173" s="620">
        <f t="shared" si="2"/>
        <v>2413.06</v>
      </c>
    </row>
    <row r="174" spans="1:14" outlineLevel="1" x14ac:dyDescent="0.25">
      <c r="A174" s="611">
        <v>4548</v>
      </c>
      <c r="B174" s="612" t="s">
        <v>4650</v>
      </c>
      <c r="C174" s="613"/>
      <c r="D174" s="614"/>
      <c r="E174" s="614"/>
      <c r="F174" s="613">
        <v>4489.67</v>
      </c>
      <c r="G174" s="614" t="s">
        <v>2701</v>
      </c>
      <c r="H174" s="614"/>
      <c r="I174" s="613">
        <v>512.34</v>
      </c>
      <c r="J174" s="613">
        <v>0</v>
      </c>
      <c r="K174" s="613">
        <v>4489.67</v>
      </c>
      <c r="L174" s="613">
        <v>0</v>
      </c>
      <c r="N174" s="620">
        <f t="shared" si="2"/>
        <v>4489.67</v>
      </c>
    </row>
    <row r="175" spans="1:14" outlineLevel="1" x14ac:dyDescent="0.25">
      <c r="A175" s="611">
        <v>4549</v>
      </c>
      <c r="B175" s="612" t="s">
        <v>4651</v>
      </c>
      <c r="C175" s="613"/>
      <c r="D175" s="614"/>
      <c r="E175" s="614"/>
      <c r="F175" s="613">
        <v>232</v>
      </c>
      <c r="G175" s="614" t="s">
        <v>2701</v>
      </c>
      <c r="H175" s="614"/>
      <c r="I175" s="613">
        <v>28</v>
      </c>
      <c r="J175" s="613">
        <v>0</v>
      </c>
      <c r="K175" s="613">
        <v>232</v>
      </c>
      <c r="L175" s="613">
        <v>0</v>
      </c>
      <c r="N175" s="620">
        <f t="shared" si="2"/>
        <v>232</v>
      </c>
    </row>
    <row r="176" spans="1:14" outlineLevel="1" x14ac:dyDescent="0.25">
      <c r="A176" s="611">
        <v>4570</v>
      </c>
      <c r="B176" s="612" t="s">
        <v>4652</v>
      </c>
      <c r="C176" s="613"/>
      <c r="D176" s="614"/>
      <c r="E176" s="614"/>
      <c r="F176" s="613">
        <v>9250.7999999999993</v>
      </c>
      <c r="G176" s="614" t="s">
        <v>2701</v>
      </c>
      <c r="H176" s="614"/>
      <c r="I176" s="613">
        <v>925.08</v>
      </c>
      <c r="J176" s="613">
        <v>0</v>
      </c>
      <c r="K176" s="613">
        <v>9250.7999999999993</v>
      </c>
      <c r="L176" s="613">
        <v>0</v>
      </c>
      <c r="N176" s="620">
        <f t="shared" si="2"/>
        <v>9250.7999999999993</v>
      </c>
    </row>
    <row r="177" spans="1:14" outlineLevel="1" x14ac:dyDescent="0.25">
      <c r="A177" s="611">
        <v>4572</v>
      </c>
      <c r="B177" s="612" t="s">
        <v>4653</v>
      </c>
      <c r="C177" s="613"/>
      <c r="D177" s="614"/>
      <c r="E177" s="614"/>
      <c r="F177" s="613">
        <v>16928.099999999999</v>
      </c>
      <c r="G177" s="614" t="s">
        <v>2701</v>
      </c>
      <c r="H177" s="614"/>
      <c r="I177" s="613">
        <v>1692.81</v>
      </c>
      <c r="J177" s="613">
        <v>0</v>
      </c>
      <c r="K177" s="613">
        <v>16928.099999999999</v>
      </c>
      <c r="L177" s="613">
        <v>0</v>
      </c>
      <c r="N177" s="620">
        <f t="shared" si="2"/>
        <v>16928.099999999999</v>
      </c>
    </row>
    <row r="178" spans="1:14" outlineLevel="1" x14ac:dyDescent="0.25">
      <c r="A178" s="611">
        <v>4573</v>
      </c>
      <c r="B178" s="612" t="s">
        <v>4654</v>
      </c>
      <c r="C178" s="613"/>
      <c r="D178" s="614"/>
      <c r="E178" s="614"/>
      <c r="F178" s="613">
        <v>13177.1</v>
      </c>
      <c r="G178" s="614" t="s">
        <v>2701</v>
      </c>
      <c r="H178" s="614"/>
      <c r="I178" s="613">
        <v>1317.71</v>
      </c>
      <c r="J178" s="613">
        <v>0</v>
      </c>
      <c r="K178" s="613">
        <v>13177.1</v>
      </c>
      <c r="L178" s="613">
        <v>0</v>
      </c>
      <c r="N178" s="620">
        <f t="shared" si="2"/>
        <v>13177.1</v>
      </c>
    </row>
    <row r="179" spans="1:14" outlineLevel="1" x14ac:dyDescent="0.25">
      <c r="A179" s="611">
        <v>4574</v>
      </c>
      <c r="B179" s="612" t="s">
        <v>4655</v>
      </c>
      <c r="C179" s="613"/>
      <c r="D179" s="614"/>
      <c r="E179" s="614"/>
      <c r="F179" s="613">
        <v>8423.9599999999991</v>
      </c>
      <c r="G179" s="614" t="s">
        <v>2701</v>
      </c>
      <c r="H179" s="614"/>
      <c r="I179" s="613">
        <v>734</v>
      </c>
      <c r="J179" s="613">
        <v>0</v>
      </c>
      <c r="K179" s="613">
        <v>8423.9599999999991</v>
      </c>
      <c r="L179" s="613">
        <v>0</v>
      </c>
      <c r="N179" s="620">
        <f t="shared" si="2"/>
        <v>8423.9599999999991</v>
      </c>
    </row>
    <row r="180" spans="1:14" outlineLevel="1" x14ac:dyDescent="0.25">
      <c r="A180" s="611">
        <v>4575</v>
      </c>
      <c r="B180" s="612" t="s">
        <v>4656</v>
      </c>
      <c r="C180" s="613"/>
      <c r="D180" s="614"/>
      <c r="E180" s="614"/>
      <c r="F180" s="613">
        <v>15890.27</v>
      </c>
      <c r="G180" s="614" t="s">
        <v>2701</v>
      </c>
      <c r="H180" s="614"/>
      <c r="I180" s="613">
        <v>1628.96</v>
      </c>
      <c r="J180" s="613">
        <v>0</v>
      </c>
      <c r="K180" s="613">
        <v>15890.27</v>
      </c>
      <c r="L180" s="613">
        <v>0</v>
      </c>
      <c r="N180" s="620">
        <f t="shared" si="2"/>
        <v>15890.27</v>
      </c>
    </row>
    <row r="181" spans="1:14" outlineLevel="1" x14ac:dyDescent="0.25">
      <c r="A181" s="611">
        <v>4576</v>
      </c>
      <c r="B181" s="612" t="s">
        <v>4657</v>
      </c>
      <c r="C181" s="613"/>
      <c r="D181" s="614"/>
      <c r="E181" s="614"/>
      <c r="F181" s="613">
        <v>26938</v>
      </c>
      <c r="G181" s="614" t="s">
        <v>2701</v>
      </c>
      <c r="H181" s="614"/>
      <c r="I181" s="613">
        <v>2693.8</v>
      </c>
      <c r="J181" s="613">
        <v>0</v>
      </c>
      <c r="K181" s="613">
        <v>26938</v>
      </c>
      <c r="L181" s="613">
        <v>0</v>
      </c>
      <c r="N181" s="620">
        <f t="shared" si="2"/>
        <v>26938</v>
      </c>
    </row>
    <row r="182" spans="1:14" outlineLevel="1" x14ac:dyDescent="0.25">
      <c r="A182" s="611">
        <v>4577</v>
      </c>
      <c r="B182" s="612" t="s">
        <v>4658</v>
      </c>
      <c r="C182" s="613"/>
      <c r="D182" s="614"/>
      <c r="E182" s="614"/>
      <c r="F182" s="613">
        <v>14010</v>
      </c>
      <c r="G182" s="614" t="s">
        <v>2701</v>
      </c>
      <c r="H182" s="614"/>
      <c r="I182" s="613">
        <v>1401</v>
      </c>
      <c r="J182" s="613">
        <v>0</v>
      </c>
      <c r="K182" s="613">
        <v>14010</v>
      </c>
      <c r="L182" s="613">
        <v>0</v>
      </c>
      <c r="N182" s="620">
        <f t="shared" si="2"/>
        <v>14010</v>
      </c>
    </row>
    <row r="183" spans="1:14" outlineLevel="1" x14ac:dyDescent="0.25">
      <c r="A183" s="611">
        <v>4578</v>
      </c>
      <c r="B183" s="612" t="s">
        <v>4659</v>
      </c>
      <c r="C183" s="613"/>
      <c r="D183" s="614"/>
      <c r="E183" s="614"/>
      <c r="F183" s="613">
        <v>11973.2</v>
      </c>
      <c r="G183" s="614" t="s">
        <v>2701</v>
      </c>
      <c r="H183" s="614"/>
      <c r="I183" s="613">
        <v>1197.32</v>
      </c>
      <c r="J183" s="613">
        <v>0</v>
      </c>
      <c r="K183" s="613">
        <v>11973.2</v>
      </c>
      <c r="L183" s="613">
        <v>0</v>
      </c>
      <c r="N183" s="620">
        <f t="shared" si="2"/>
        <v>11973.2</v>
      </c>
    </row>
    <row r="184" spans="1:14" outlineLevel="1" x14ac:dyDescent="0.25">
      <c r="A184" s="611">
        <v>4579</v>
      </c>
      <c r="B184" s="612" t="s">
        <v>4660</v>
      </c>
      <c r="C184" s="613"/>
      <c r="D184" s="614"/>
      <c r="E184" s="614"/>
      <c r="F184" s="613">
        <v>6584.33</v>
      </c>
      <c r="G184" s="614" t="s">
        <v>2701</v>
      </c>
      <c r="H184" s="614"/>
      <c r="I184" s="613">
        <v>787.97</v>
      </c>
      <c r="J184" s="613">
        <v>0</v>
      </c>
      <c r="K184" s="613">
        <v>6584.33</v>
      </c>
      <c r="L184" s="613">
        <v>0</v>
      </c>
      <c r="N184" s="620">
        <f t="shared" si="2"/>
        <v>6584.33</v>
      </c>
    </row>
    <row r="185" spans="1:14" outlineLevel="1" x14ac:dyDescent="0.25">
      <c r="A185" s="611">
        <v>4580</v>
      </c>
      <c r="B185" s="612" t="s">
        <v>4661</v>
      </c>
      <c r="C185" s="613"/>
      <c r="D185" s="614"/>
      <c r="E185" s="614"/>
      <c r="F185" s="613">
        <v>336.14</v>
      </c>
      <c r="G185" s="614" t="s">
        <v>2701</v>
      </c>
      <c r="H185" s="614"/>
      <c r="I185" s="613"/>
      <c r="J185" s="613"/>
      <c r="K185" s="613">
        <v>336.14</v>
      </c>
      <c r="L185" s="613">
        <v>0</v>
      </c>
      <c r="N185" s="620">
        <f t="shared" si="2"/>
        <v>336.14</v>
      </c>
    </row>
    <row r="186" spans="1:14" outlineLevel="1" x14ac:dyDescent="0.25">
      <c r="A186" s="611">
        <v>4582</v>
      </c>
      <c r="B186" s="612" t="s">
        <v>4662</v>
      </c>
      <c r="C186" s="613"/>
      <c r="D186" s="614"/>
      <c r="E186" s="614"/>
      <c r="F186" s="613">
        <v>178.25</v>
      </c>
      <c r="G186" s="614" t="s">
        <v>2701</v>
      </c>
      <c r="H186" s="614"/>
      <c r="I186" s="613">
        <v>57.81</v>
      </c>
      <c r="J186" s="613">
        <v>0</v>
      </c>
      <c r="K186" s="613">
        <v>178.25</v>
      </c>
      <c r="L186" s="613">
        <v>0</v>
      </c>
      <c r="N186" s="620">
        <f t="shared" si="2"/>
        <v>178.25</v>
      </c>
    </row>
    <row r="187" spans="1:14" outlineLevel="1" x14ac:dyDescent="0.25">
      <c r="A187" s="611">
        <v>4583</v>
      </c>
      <c r="B187" s="612" t="s">
        <v>4663</v>
      </c>
      <c r="C187" s="613"/>
      <c r="D187" s="614"/>
      <c r="E187" s="614"/>
      <c r="F187" s="613">
        <v>289.94</v>
      </c>
      <c r="G187" s="614" t="s">
        <v>2701</v>
      </c>
      <c r="H187" s="614"/>
      <c r="I187" s="613">
        <v>82.35</v>
      </c>
      <c r="J187" s="613">
        <v>0</v>
      </c>
      <c r="K187" s="613">
        <v>289.94</v>
      </c>
      <c r="L187" s="613">
        <v>0</v>
      </c>
      <c r="N187" s="620">
        <f t="shared" si="2"/>
        <v>289.94</v>
      </c>
    </row>
    <row r="188" spans="1:14" outlineLevel="1" x14ac:dyDescent="0.25">
      <c r="A188" s="611">
        <v>4584</v>
      </c>
      <c r="B188" s="612" t="s">
        <v>4664</v>
      </c>
      <c r="C188" s="613"/>
      <c r="D188" s="614"/>
      <c r="E188" s="614"/>
      <c r="F188" s="613">
        <v>2259.6999999999998</v>
      </c>
      <c r="G188" s="614" t="s">
        <v>2701</v>
      </c>
      <c r="H188" s="614"/>
      <c r="I188" s="613">
        <v>2086.85</v>
      </c>
      <c r="J188" s="613">
        <v>0</v>
      </c>
      <c r="K188" s="613">
        <v>2259.6999999999998</v>
      </c>
      <c r="L188" s="613">
        <v>0</v>
      </c>
      <c r="N188" s="620">
        <f t="shared" si="2"/>
        <v>2259.6999999999998</v>
      </c>
    </row>
    <row r="189" spans="1:14" outlineLevel="1" x14ac:dyDescent="0.25">
      <c r="A189" s="611">
        <v>4585</v>
      </c>
      <c r="B189" s="612" t="s">
        <v>4665</v>
      </c>
      <c r="C189" s="613"/>
      <c r="D189" s="614"/>
      <c r="E189" s="614"/>
      <c r="F189" s="613">
        <v>173.72</v>
      </c>
      <c r="G189" s="614" t="s">
        <v>2701</v>
      </c>
      <c r="H189" s="614"/>
      <c r="I189" s="613"/>
      <c r="J189" s="613"/>
      <c r="K189" s="613">
        <v>173.72</v>
      </c>
      <c r="L189" s="613">
        <v>0</v>
      </c>
      <c r="N189" s="620">
        <f t="shared" si="2"/>
        <v>173.72</v>
      </c>
    </row>
    <row r="190" spans="1:14" outlineLevel="1" x14ac:dyDescent="0.25">
      <c r="A190" s="611">
        <v>4586</v>
      </c>
      <c r="B190" s="612" t="s">
        <v>4666</v>
      </c>
      <c r="C190" s="613"/>
      <c r="D190" s="614"/>
      <c r="E190" s="614"/>
      <c r="F190" s="613">
        <v>122.86</v>
      </c>
      <c r="G190" s="614" t="s">
        <v>2701</v>
      </c>
      <c r="H190" s="614"/>
      <c r="I190" s="613">
        <v>117.65</v>
      </c>
      <c r="J190" s="613">
        <v>0</v>
      </c>
      <c r="K190" s="613">
        <v>122.86</v>
      </c>
      <c r="L190" s="613">
        <v>0</v>
      </c>
      <c r="N190" s="620">
        <f t="shared" si="2"/>
        <v>122.86</v>
      </c>
    </row>
    <row r="191" spans="1:14" outlineLevel="1" x14ac:dyDescent="0.25">
      <c r="A191" s="611">
        <v>4587</v>
      </c>
      <c r="B191" s="612" t="s">
        <v>4667</v>
      </c>
      <c r="C191" s="613"/>
      <c r="D191" s="614"/>
      <c r="E191" s="614"/>
      <c r="F191" s="613">
        <v>136.46</v>
      </c>
      <c r="G191" s="614" t="s">
        <v>2701</v>
      </c>
      <c r="H191" s="614"/>
      <c r="I191" s="613">
        <v>100.27</v>
      </c>
      <c r="J191" s="613">
        <v>0</v>
      </c>
      <c r="K191" s="613">
        <v>136.46</v>
      </c>
      <c r="L191" s="613">
        <v>0</v>
      </c>
      <c r="N191" s="620">
        <f t="shared" si="2"/>
        <v>136.46</v>
      </c>
    </row>
    <row r="192" spans="1:14" outlineLevel="1" x14ac:dyDescent="0.25">
      <c r="A192" s="611">
        <v>4588</v>
      </c>
      <c r="B192" s="612" t="s">
        <v>4668</v>
      </c>
      <c r="C192" s="613"/>
      <c r="D192" s="614"/>
      <c r="E192" s="614"/>
      <c r="F192" s="613">
        <v>559.28</v>
      </c>
      <c r="G192" s="614" t="s">
        <v>2701</v>
      </c>
      <c r="H192" s="614"/>
      <c r="I192" s="613">
        <v>154.83000000000001</v>
      </c>
      <c r="J192" s="613">
        <v>0</v>
      </c>
      <c r="K192" s="613">
        <v>559.28</v>
      </c>
      <c r="L192" s="613">
        <v>0</v>
      </c>
      <c r="N192" s="620">
        <f t="shared" si="2"/>
        <v>559.28</v>
      </c>
    </row>
    <row r="193" spans="1:14" outlineLevel="1" x14ac:dyDescent="0.25">
      <c r="A193" s="611">
        <v>4595</v>
      </c>
      <c r="B193" s="612" t="s">
        <v>2477</v>
      </c>
      <c r="C193" s="613"/>
      <c r="D193" s="614"/>
      <c r="E193" s="614"/>
      <c r="F193" s="613">
        <v>1935.53</v>
      </c>
      <c r="G193" s="614" t="s">
        <v>2701</v>
      </c>
      <c r="H193" s="614"/>
      <c r="I193" s="613">
        <v>1187.01</v>
      </c>
      <c r="J193" s="613">
        <v>0</v>
      </c>
      <c r="K193" s="613">
        <v>1935.53</v>
      </c>
      <c r="L193" s="613">
        <v>0</v>
      </c>
      <c r="N193" s="620">
        <f t="shared" si="2"/>
        <v>1935.53</v>
      </c>
    </row>
    <row r="194" spans="1:14" outlineLevel="1" x14ac:dyDescent="0.25">
      <c r="A194" s="611">
        <v>4600</v>
      </c>
      <c r="B194" s="612" t="s">
        <v>4669</v>
      </c>
      <c r="C194" s="613"/>
      <c r="D194" s="614"/>
      <c r="E194" s="614"/>
      <c r="F194" s="613">
        <v>10199.049999999999</v>
      </c>
      <c r="G194" s="614" t="s">
        <v>2701</v>
      </c>
      <c r="H194" s="614"/>
      <c r="I194" s="613">
        <v>1336.77</v>
      </c>
      <c r="J194" s="613">
        <v>0</v>
      </c>
      <c r="K194" s="613">
        <v>10199.049999999999</v>
      </c>
      <c r="L194" s="613">
        <v>0</v>
      </c>
      <c r="N194" s="620">
        <f t="shared" si="2"/>
        <v>10199.049999999999</v>
      </c>
    </row>
    <row r="195" spans="1:14" outlineLevel="1" x14ac:dyDescent="0.25">
      <c r="A195" s="611">
        <v>4605</v>
      </c>
      <c r="B195" s="612" t="s">
        <v>4670</v>
      </c>
      <c r="C195" s="613"/>
      <c r="D195" s="614"/>
      <c r="E195" s="614"/>
      <c r="F195" s="613">
        <v>2655.74</v>
      </c>
      <c r="G195" s="614" t="s">
        <v>2701</v>
      </c>
      <c r="H195" s="614"/>
      <c r="I195" s="613">
        <v>1079.9000000000001</v>
      </c>
      <c r="J195" s="613">
        <v>0</v>
      </c>
      <c r="K195" s="613">
        <v>2655.74</v>
      </c>
      <c r="L195" s="613">
        <v>0</v>
      </c>
      <c r="N195" s="620">
        <f t="shared" si="2"/>
        <v>2655.74</v>
      </c>
    </row>
    <row r="196" spans="1:14" outlineLevel="1" x14ac:dyDescent="0.25">
      <c r="A196" s="611">
        <v>4620</v>
      </c>
      <c r="B196" s="612" t="s">
        <v>4671</v>
      </c>
      <c r="C196" s="613"/>
      <c r="D196" s="614"/>
      <c r="E196" s="614"/>
      <c r="F196" s="613">
        <v>38230.230000000003</v>
      </c>
      <c r="G196" s="614" t="s">
        <v>2701</v>
      </c>
      <c r="H196" s="614"/>
      <c r="I196" s="613">
        <v>4853</v>
      </c>
      <c r="J196" s="613">
        <v>0</v>
      </c>
      <c r="K196" s="613">
        <v>38286.81</v>
      </c>
      <c r="L196" s="613">
        <v>56.58</v>
      </c>
      <c r="N196" s="620">
        <f t="shared" si="2"/>
        <v>38230.230000000003</v>
      </c>
    </row>
    <row r="197" spans="1:14" outlineLevel="1" x14ac:dyDescent="0.25">
      <c r="A197" s="611">
        <v>4631</v>
      </c>
      <c r="B197" s="612" t="s">
        <v>4672</v>
      </c>
      <c r="C197" s="613"/>
      <c r="D197" s="614"/>
      <c r="E197" s="614"/>
      <c r="F197" s="613">
        <v>0</v>
      </c>
      <c r="G197" s="614"/>
      <c r="H197" s="614"/>
      <c r="I197" s="613"/>
      <c r="J197" s="613"/>
      <c r="K197" s="613">
        <v>0</v>
      </c>
      <c r="L197" s="613">
        <v>0</v>
      </c>
      <c r="N197" s="620">
        <f t="shared" ref="N197:N260" si="3">IF(G197="S",F197,-F197)</f>
        <v>0</v>
      </c>
    </row>
    <row r="198" spans="1:14" outlineLevel="1" x14ac:dyDescent="0.25">
      <c r="A198" s="611">
        <v>4632</v>
      </c>
      <c r="B198" s="612" t="s">
        <v>4673</v>
      </c>
      <c r="C198" s="613"/>
      <c r="D198" s="614"/>
      <c r="E198" s="614"/>
      <c r="F198" s="613">
        <v>0</v>
      </c>
      <c r="G198" s="614"/>
      <c r="H198" s="614"/>
      <c r="I198" s="613"/>
      <c r="J198" s="613"/>
      <c r="K198" s="613">
        <v>0</v>
      </c>
      <c r="L198" s="613">
        <v>0</v>
      </c>
      <c r="N198" s="620">
        <f t="shared" si="3"/>
        <v>0</v>
      </c>
    </row>
    <row r="199" spans="1:14" outlineLevel="1" x14ac:dyDescent="0.25">
      <c r="A199" s="611">
        <v>4640</v>
      </c>
      <c r="B199" s="612" t="s">
        <v>4674</v>
      </c>
      <c r="C199" s="613"/>
      <c r="D199" s="614"/>
      <c r="E199" s="614"/>
      <c r="F199" s="613">
        <v>18016.02</v>
      </c>
      <c r="G199" s="614" t="s">
        <v>2701</v>
      </c>
      <c r="H199" s="614"/>
      <c r="I199" s="613">
        <v>1741.17</v>
      </c>
      <c r="J199" s="613">
        <v>0</v>
      </c>
      <c r="K199" s="613">
        <v>18016.02</v>
      </c>
      <c r="L199" s="613">
        <v>0</v>
      </c>
      <c r="N199" s="620">
        <f t="shared" si="3"/>
        <v>18016.02</v>
      </c>
    </row>
    <row r="200" spans="1:14" outlineLevel="1" x14ac:dyDescent="0.25">
      <c r="A200" s="611">
        <v>4650</v>
      </c>
      <c r="B200" s="612" t="s">
        <v>4675</v>
      </c>
      <c r="C200" s="613"/>
      <c r="D200" s="614"/>
      <c r="E200" s="614"/>
      <c r="F200" s="613">
        <v>1647.94</v>
      </c>
      <c r="G200" s="614" t="s">
        <v>2701</v>
      </c>
      <c r="H200" s="614"/>
      <c r="I200" s="613">
        <v>120.75</v>
      </c>
      <c r="J200" s="613">
        <v>36.229999999999997</v>
      </c>
      <c r="K200" s="613">
        <v>2354.2199999999998</v>
      </c>
      <c r="L200" s="613">
        <v>706.28</v>
      </c>
      <c r="N200" s="620">
        <f t="shared" si="3"/>
        <v>1647.94</v>
      </c>
    </row>
    <row r="201" spans="1:14" outlineLevel="1" x14ac:dyDescent="0.25">
      <c r="A201" s="611">
        <v>4654</v>
      </c>
      <c r="B201" s="612" t="s">
        <v>4676</v>
      </c>
      <c r="C201" s="613"/>
      <c r="D201" s="614"/>
      <c r="E201" s="614"/>
      <c r="F201" s="613">
        <v>706.28</v>
      </c>
      <c r="G201" s="614" t="s">
        <v>2701</v>
      </c>
      <c r="H201" s="614"/>
      <c r="I201" s="613">
        <v>36.229999999999997</v>
      </c>
      <c r="J201" s="613">
        <v>0</v>
      </c>
      <c r="K201" s="613">
        <v>706.28</v>
      </c>
      <c r="L201" s="613">
        <v>0</v>
      </c>
      <c r="N201" s="620">
        <f t="shared" si="3"/>
        <v>706.28</v>
      </c>
    </row>
    <row r="202" spans="1:14" outlineLevel="1" x14ac:dyDescent="0.25">
      <c r="A202" s="611">
        <v>4663</v>
      </c>
      <c r="B202" s="612" t="s">
        <v>4677</v>
      </c>
      <c r="C202" s="613"/>
      <c r="D202" s="614"/>
      <c r="E202" s="614"/>
      <c r="F202" s="613">
        <v>5050.82</v>
      </c>
      <c r="G202" s="614" t="s">
        <v>2701</v>
      </c>
      <c r="H202" s="614"/>
      <c r="I202" s="613"/>
      <c r="J202" s="613"/>
      <c r="K202" s="613">
        <v>5050.82</v>
      </c>
      <c r="L202" s="613">
        <v>0</v>
      </c>
      <c r="N202" s="620">
        <f t="shared" si="3"/>
        <v>5050.82</v>
      </c>
    </row>
    <row r="203" spans="1:14" outlineLevel="1" x14ac:dyDescent="0.25">
      <c r="A203" s="611">
        <v>4664</v>
      </c>
      <c r="B203" s="612" t="s">
        <v>4678</v>
      </c>
      <c r="C203" s="613"/>
      <c r="D203" s="614"/>
      <c r="E203" s="614"/>
      <c r="F203" s="613">
        <v>5505.4</v>
      </c>
      <c r="G203" s="614" t="s">
        <v>2701</v>
      </c>
      <c r="H203" s="614"/>
      <c r="I203" s="613">
        <v>1493.4</v>
      </c>
      <c r="J203" s="613">
        <v>0</v>
      </c>
      <c r="K203" s="613">
        <v>5505.4</v>
      </c>
      <c r="L203" s="613">
        <v>0</v>
      </c>
      <c r="N203" s="620">
        <f t="shared" si="3"/>
        <v>5505.4</v>
      </c>
    </row>
    <row r="204" spans="1:14" outlineLevel="1" x14ac:dyDescent="0.25">
      <c r="A204" s="611">
        <v>4666</v>
      </c>
      <c r="B204" s="612" t="s">
        <v>4679</v>
      </c>
      <c r="C204" s="613"/>
      <c r="D204" s="614"/>
      <c r="E204" s="614"/>
      <c r="F204" s="613">
        <v>17034.099999999999</v>
      </c>
      <c r="G204" s="614" t="s">
        <v>2701</v>
      </c>
      <c r="H204" s="614"/>
      <c r="I204" s="613">
        <v>3740</v>
      </c>
      <c r="J204" s="613">
        <v>0</v>
      </c>
      <c r="K204" s="613">
        <v>17292.099999999999</v>
      </c>
      <c r="L204" s="613">
        <v>258</v>
      </c>
      <c r="N204" s="620">
        <f t="shared" si="3"/>
        <v>17034.099999999999</v>
      </c>
    </row>
    <row r="205" spans="1:14" outlineLevel="1" x14ac:dyDescent="0.25">
      <c r="A205" s="611">
        <v>4668</v>
      </c>
      <c r="B205" s="612" t="s">
        <v>4680</v>
      </c>
      <c r="C205" s="613"/>
      <c r="D205" s="614"/>
      <c r="E205" s="614"/>
      <c r="F205" s="613">
        <v>445.05</v>
      </c>
      <c r="G205" s="614" t="s">
        <v>2701</v>
      </c>
      <c r="H205" s="614"/>
      <c r="I205" s="613">
        <v>38.25</v>
      </c>
      <c r="J205" s="613">
        <v>0</v>
      </c>
      <c r="K205" s="613">
        <v>445.05</v>
      </c>
      <c r="L205" s="613">
        <v>0</v>
      </c>
      <c r="N205" s="620">
        <f t="shared" si="3"/>
        <v>445.05</v>
      </c>
    </row>
    <row r="206" spans="1:14" outlineLevel="1" x14ac:dyDescent="0.25">
      <c r="A206" s="611">
        <v>4730</v>
      </c>
      <c r="B206" s="612" t="s">
        <v>4681</v>
      </c>
      <c r="C206" s="613"/>
      <c r="D206" s="614"/>
      <c r="E206" s="614"/>
      <c r="F206" s="613">
        <v>301185.03000000003</v>
      </c>
      <c r="G206" s="614" t="s">
        <v>2701</v>
      </c>
      <c r="H206" s="614"/>
      <c r="I206" s="613">
        <v>29760.69</v>
      </c>
      <c r="J206" s="613">
        <v>0</v>
      </c>
      <c r="K206" s="613">
        <v>305572.90000000002</v>
      </c>
      <c r="L206" s="613">
        <v>4387.87</v>
      </c>
      <c r="N206" s="620">
        <f t="shared" si="3"/>
        <v>301185.03000000003</v>
      </c>
    </row>
    <row r="207" spans="1:14" outlineLevel="1" x14ac:dyDescent="0.25">
      <c r="A207" s="611">
        <v>4790</v>
      </c>
      <c r="B207" s="612" t="s">
        <v>4682</v>
      </c>
      <c r="C207" s="613"/>
      <c r="D207" s="614"/>
      <c r="E207" s="614"/>
      <c r="F207" s="613">
        <v>0</v>
      </c>
      <c r="G207" s="614"/>
      <c r="H207" s="614"/>
      <c r="I207" s="613"/>
      <c r="J207" s="613"/>
      <c r="K207" s="613">
        <v>0</v>
      </c>
      <c r="L207" s="613">
        <v>0</v>
      </c>
      <c r="N207" s="620">
        <f t="shared" si="3"/>
        <v>0</v>
      </c>
    </row>
    <row r="208" spans="1:14" outlineLevel="1" x14ac:dyDescent="0.25">
      <c r="A208" s="611">
        <v>4800</v>
      </c>
      <c r="B208" s="612" t="s">
        <v>4683</v>
      </c>
      <c r="C208" s="613"/>
      <c r="D208" s="614"/>
      <c r="E208" s="614"/>
      <c r="F208" s="613">
        <v>59120.99</v>
      </c>
      <c r="G208" s="614" t="s">
        <v>2701</v>
      </c>
      <c r="H208" s="614"/>
      <c r="I208" s="613">
        <v>19143.5</v>
      </c>
      <c r="J208" s="613">
        <v>0</v>
      </c>
      <c r="K208" s="613">
        <v>59288.99</v>
      </c>
      <c r="L208" s="613">
        <v>168</v>
      </c>
      <c r="N208" s="620">
        <f t="shared" si="3"/>
        <v>59120.99</v>
      </c>
    </row>
    <row r="209" spans="1:14" outlineLevel="1" x14ac:dyDescent="0.25">
      <c r="A209" s="611">
        <v>4805</v>
      </c>
      <c r="B209" s="612" t="s">
        <v>4684</v>
      </c>
      <c r="C209" s="613"/>
      <c r="D209" s="614"/>
      <c r="E209" s="614"/>
      <c r="F209" s="613">
        <v>9547.1</v>
      </c>
      <c r="G209" s="614" t="s">
        <v>2701</v>
      </c>
      <c r="H209" s="614"/>
      <c r="I209" s="613">
        <v>210.08</v>
      </c>
      <c r="J209" s="613">
        <v>0</v>
      </c>
      <c r="K209" s="613">
        <v>9565.91</v>
      </c>
      <c r="L209" s="613">
        <v>18.809999999999999</v>
      </c>
      <c r="N209" s="620">
        <f t="shared" si="3"/>
        <v>9547.1</v>
      </c>
    </row>
    <row r="210" spans="1:14" outlineLevel="1" x14ac:dyDescent="0.25">
      <c r="A210" s="611">
        <v>4806</v>
      </c>
      <c r="B210" s="612" t="s">
        <v>4685</v>
      </c>
      <c r="C210" s="613"/>
      <c r="D210" s="614"/>
      <c r="E210" s="614"/>
      <c r="F210" s="613">
        <v>34149.589999999997</v>
      </c>
      <c r="G210" s="614" t="s">
        <v>2701</v>
      </c>
      <c r="H210" s="614"/>
      <c r="I210" s="613">
        <v>2965.32</v>
      </c>
      <c r="J210" s="613">
        <v>0</v>
      </c>
      <c r="K210" s="613">
        <v>34149.589999999997</v>
      </c>
      <c r="L210" s="613">
        <v>0</v>
      </c>
      <c r="N210" s="620">
        <f t="shared" si="3"/>
        <v>34149.589999999997</v>
      </c>
    </row>
    <row r="211" spans="1:14" outlineLevel="1" x14ac:dyDescent="0.25">
      <c r="A211" s="611">
        <v>4810</v>
      </c>
      <c r="B211" s="612" t="s">
        <v>4686</v>
      </c>
      <c r="C211" s="613"/>
      <c r="D211" s="614"/>
      <c r="E211" s="614"/>
      <c r="F211" s="613">
        <v>81161.509999999995</v>
      </c>
      <c r="G211" s="614" t="s">
        <v>2701</v>
      </c>
      <c r="H211" s="614"/>
      <c r="I211" s="613">
        <v>8118.16</v>
      </c>
      <c r="J211" s="613">
        <v>0</v>
      </c>
      <c r="K211" s="613">
        <v>81161.509999999995</v>
      </c>
      <c r="L211" s="613">
        <v>0</v>
      </c>
      <c r="N211" s="620">
        <f t="shared" si="3"/>
        <v>81161.509999999995</v>
      </c>
    </row>
    <row r="212" spans="1:14" outlineLevel="1" x14ac:dyDescent="0.25">
      <c r="A212" s="611">
        <v>4822</v>
      </c>
      <c r="B212" s="612" t="s">
        <v>4687</v>
      </c>
      <c r="C212" s="613"/>
      <c r="D212" s="614"/>
      <c r="E212" s="614"/>
      <c r="F212" s="613">
        <v>1102</v>
      </c>
      <c r="G212" s="614" t="s">
        <v>2701</v>
      </c>
      <c r="H212" s="614"/>
      <c r="I212" s="613"/>
      <c r="J212" s="613"/>
      <c r="K212" s="613">
        <v>1102</v>
      </c>
      <c r="L212" s="613">
        <v>0</v>
      </c>
      <c r="N212" s="620">
        <f t="shared" si="3"/>
        <v>1102</v>
      </c>
    </row>
    <row r="213" spans="1:14" outlineLevel="1" x14ac:dyDescent="0.25">
      <c r="A213" s="611">
        <v>4830</v>
      </c>
      <c r="B213" s="612" t="s">
        <v>4688</v>
      </c>
      <c r="C213" s="613"/>
      <c r="D213" s="614"/>
      <c r="E213" s="614"/>
      <c r="F213" s="613">
        <v>221383.83</v>
      </c>
      <c r="G213" s="614" t="s">
        <v>2701</v>
      </c>
      <c r="H213" s="614"/>
      <c r="I213" s="613">
        <v>20159.43</v>
      </c>
      <c r="J213" s="613">
        <v>0</v>
      </c>
      <c r="K213" s="613">
        <v>221383.83</v>
      </c>
      <c r="L213" s="613">
        <v>0</v>
      </c>
      <c r="N213" s="620">
        <f t="shared" si="3"/>
        <v>221383.83</v>
      </c>
    </row>
    <row r="214" spans="1:14" outlineLevel="1" x14ac:dyDescent="0.25">
      <c r="A214" s="611">
        <v>4855</v>
      </c>
      <c r="B214" s="612" t="s">
        <v>4689</v>
      </c>
      <c r="C214" s="613"/>
      <c r="D214" s="614"/>
      <c r="E214" s="614"/>
      <c r="F214" s="613">
        <v>6091.56</v>
      </c>
      <c r="G214" s="614" t="s">
        <v>2701</v>
      </c>
      <c r="H214" s="614"/>
      <c r="I214" s="613"/>
      <c r="J214" s="613"/>
      <c r="K214" s="613">
        <v>6091.56</v>
      </c>
      <c r="L214" s="613">
        <v>0</v>
      </c>
      <c r="N214" s="620">
        <f t="shared" si="3"/>
        <v>6091.56</v>
      </c>
    </row>
    <row r="215" spans="1:14" outlineLevel="1" x14ac:dyDescent="0.25">
      <c r="A215" s="611">
        <v>4870</v>
      </c>
      <c r="B215" s="612" t="s">
        <v>4690</v>
      </c>
      <c r="C215" s="613"/>
      <c r="D215" s="614"/>
      <c r="E215" s="614"/>
      <c r="F215" s="613">
        <v>0</v>
      </c>
      <c r="G215" s="614"/>
      <c r="H215" s="614"/>
      <c r="I215" s="613"/>
      <c r="J215" s="613"/>
      <c r="K215" s="613">
        <v>0</v>
      </c>
      <c r="L215" s="613">
        <v>0</v>
      </c>
      <c r="N215" s="620">
        <f t="shared" si="3"/>
        <v>0</v>
      </c>
    </row>
    <row r="216" spans="1:14" outlineLevel="1" x14ac:dyDescent="0.25">
      <c r="A216" s="611">
        <v>4900</v>
      </c>
      <c r="B216" s="612" t="s">
        <v>257</v>
      </c>
      <c r="C216" s="613"/>
      <c r="D216" s="614"/>
      <c r="E216" s="614"/>
      <c r="F216" s="613">
        <v>21784.35</v>
      </c>
      <c r="G216" s="614" t="s">
        <v>2701</v>
      </c>
      <c r="H216" s="614"/>
      <c r="I216" s="613">
        <v>811.61</v>
      </c>
      <c r="J216" s="613">
        <v>0</v>
      </c>
      <c r="K216" s="613">
        <v>21852.34</v>
      </c>
      <c r="L216" s="613">
        <v>67.989999999999995</v>
      </c>
      <c r="N216" s="620">
        <f t="shared" si="3"/>
        <v>21784.35</v>
      </c>
    </row>
    <row r="217" spans="1:14" outlineLevel="1" x14ac:dyDescent="0.25">
      <c r="A217" s="611">
        <v>4910</v>
      </c>
      <c r="B217" s="612" t="s">
        <v>4691</v>
      </c>
      <c r="C217" s="613"/>
      <c r="D217" s="614"/>
      <c r="E217" s="614"/>
      <c r="F217" s="613">
        <v>790.8</v>
      </c>
      <c r="G217" s="614" t="s">
        <v>2701</v>
      </c>
      <c r="H217" s="614"/>
      <c r="I217" s="613"/>
      <c r="J217" s="613"/>
      <c r="K217" s="613">
        <v>790.8</v>
      </c>
      <c r="L217" s="613">
        <v>0</v>
      </c>
      <c r="N217" s="620">
        <f t="shared" si="3"/>
        <v>790.8</v>
      </c>
    </row>
    <row r="218" spans="1:14" outlineLevel="1" x14ac:dyDescent="0.25">
      <c r="A218" s="611">
        <v>4920</v>
      </c>
      <c r="B218" s="612" t="s">
        <v>2580</v>
      </c>
      <c r="C218" s="613"/>
      <c r="D218" s="614"/>
      <c r="E218" s="614"/>
      <c r="F218" s="613">
        <v>7446.01</v>
      </c>
      <c r="G218" s="614" t="s">
        <v>2701</v>
      </c>
      <c r="H218" s="614"/>
      <c r="I218" s="613">
        <v>729.12</v>
      </c>
      <c r="J218" s="613">
        <v>0</v>
      </c>
      <c r="K218" s="613">
        <v>7446.01</v>
      </c>
      <c r="L218" s="613">
        <v>0</v>
      </c>
      <c r="N218" s="620">
        <f t="shared" si="3"/>
        <v>7446.01</v>
      </c>
    </row>
    <row r="219" spans="1:14" outlineLevel="1" x14ac:dyDescent="0.25">
      <c r="A219" s="611">
        <v>4930</v>
      </c>
      <c r="B219" s="612" t="s">
        <v>4692</v>
      </c>
      <c r="C219" s="613"/>
      <c r="D219" s="614"/>
      <c r="E219" s="614"/>
      <c r="F219" s="613">
        <v>4413.2</v>
      </c>
      <c r="G219" s="614" t="s">
        <v>2701</v>
      </c>
      <c r="H219" s="614"/>
      <c r="I219" s="613">
        <v>586.85</v>
      </c>
      <c r="J219" s="613">
        <v>0</v>
      </c>
      <c r="K219" s="613">
        <v>4413.2</v>
      </c>
      <c r="L219" s="613">
        <v>0</v>
      </c>
      <c r="N219" s="620">
        <f t="shared" si="3"/>
        <v>4413.2</v>
      </c>
    </row>
    <row r="220" spans="1:14" outlineLevel="1" x14ac:dyDescent="0.25">
      <c r="A220" s="611">
        <v>4940</v>
      </c>
      <c r="B220" s="612" t="s">
        <v>4693</v>
      </c>
      <c r="C220" s="613"/>
      <c r="D220" s="614"/>
      <c r="E220" s="614"/>
      <c r="F220" s="613">
        <v>3023.86</v>
      </c>
      <c r="G220" s="614" t="s">
        <v>2701</v>
      </c>
      <c r="H220" s="614"/>
      <c r="I220" s="613">
        <v>110.13</v>
      </c>
      <c r="J220" s="613">
        <v>0</v>
      </c>
      <c r="K220" s="613">
        <v>3023.86</v>
      </c>
      <c r="L220" s="613">
        <v>0</v>
      </c>
      <c r="N220" s="620">
        <f t="shared" si="3"/>
        <v>3023.86</v>
      </c>
    </row>
    <row r="221" spans="1:14" outlineLevel="1" x14ac:dyDescent="0.25">
      <c r="A221" s="611">
        <v>4945</v>
      </c>
      <c r="B221" s="612" t="s">
        <v>4694</v>
      </c>
      <c r="C221" s="613"/>
      <c r="D221" s="614"/>
      <c r="E221" s="614"/>
      <c r="F221" s="613">
        <v>10245</v>
      </c>
      <c r="G221" s="614" t="s">
        <v>2701</v>
      </c>
      <c r="H221" s="614"/>
      <c r="I221" s="613">
        <v>1837</v>
      </c>
      <c r="J221" s="613">
        <v>0</v>
      </c>
      <c r="K221" s="613">
        <v>10325</v>
      </c>
      <c r="L221" s="613">
        <v>80</v>
      </c>
      <c r="N221" s="620">
        <f t="shared" si="3"/>
        <v>10245</v>
      </c>
    </row>
    <row r="222" spans="1:14" outlineLevel="1" x14ac:dyDescent="0.25">
      <c r="A222" s="611">
        <v>4950</v>
      </c>
      <c r="B222" s="612" t="s">
        <v>2496</v>
      </c>
      <c r="C222" s="613"/>
      <c r="D222" s="614"/>
      <c r="E222" s="614"/>
      <c r="F222" s="613">
        <v>225009.11</v>
      </c>
      <c r="G222" s="614" t="s">
        <v>2701</v>
      </c>
      <c r="H222" s="614"/>
      <c r="I222" s="613">
        <v>30510.19</v>
      </c>
      <c r="J222" s="613">
        <v>0</v>
      </c>
      <c r="K222" s="613">
        <v>225009.11</v>
      </c>
      <c r="L222" s="613">
        <v>0</v>
      </c>
      <c r="N222" s="620">
        <f t="shared" si="3"/>
        <v>225009.11</v>
      </c>
    </row>
    <row r="223" spans="1:14" outlineLevel="1" x14ac:dyDescent="0.25">
      <c r="A223" s="611">
        <v>4951</v>
      </c>
      <c r="B223" s="612" t="s">
        <v>4695</v>
      </c>
      <c r="C223" s="613"/>
      <c r="D223" s="614"/>
      <c r="E223" s="614"/>
      <c r="F223" s="613">
        <v>116400</v>
      </c>
      <c r="G223" s="614" t="s">
        <v>2701</v>
      </c>
      <c r="H223" s="614"/>
      <c r="I223" s="613">
        <v>98975</v>
      </c>
      <c r="J223" s="613">
        <v>0</v>
      </c>
      <c r="K223" s="613">
        <v>234167.9</v>
      </c>
      <c r="L223" s="613">
        <v>117767.9</v>
      </c>
      <c r="N223" s="620">
        <f t="shared" si="3"/>
        <v>116400</v>
      </c>
    </row>
    <row r="224" spans="1:14" outlineLevel="1" x14ac:dyDescent="0.25">
      <c r="A224" s="611">
        <v>4952</v>
      </c>
      <c r="B224" s="612" t="s">
        <v>4696</v>
      </c>
      <c r="C224" s="613"/>
      <c r="D224" s="614"/>
      <c r="E224" s="614"/>
      <c r="F224" s="613">
        <v>16343.2</v>
      </c>
      <c r="G224" s="614" t="s">
        <v>2701</v>
      </c>
      <c r="H224" s="614"/>
      <c r="I224" s="613">
        <v>858.24</v>
      </c>
      <c r="J224" s="613">
        <v>0</v>
      </c>
      <c r="K224" s="613">
        <v>19787.2</v>
      </c>
      <c r="L224" s="613">
        <v>3444</v>
      </c>
      <c r="N224" s="620">
        <f t="shared" si="3"/>
        <v>16343.2</v>
      </c>
    </row>
    <row r="225" spans="1:14" outlineLevel="1" x14ac:dyDescent="0.25">
      <c r="A225" s="611">
        <v>4960</v>
      </c>
      <c r="B225" s="612" t="s">
        <v>4697</v>
      </c>
      <c r="C225" s="613"/>
      <c r="D225" s="614"/>
      <c r="E225" s="614"/>
      <c r="F225" s="613">
        <v>6912.98</v>
      </c>
      <c r="G225" s="614" t="s">
        <v>2701</v>
      </c>
      <c r="H225" s="614"/>
      <c r="I225" s="613"/>
      <c r="J225" s="613"/>
      <c r="K225" s="613">
        <v>6912.98</v>
      </c>
      <c r="L225" s="613">
        <v>0</v>
      </c>
      <c r="N225" s="620">
        <f t="shared" si="3"/>
        <v>6912.98</v>
      </c>
    </row>
    <row r="226" spans="1:14" outlineLevel="1" x14ac:dyDescent="0.25">
      <c r="A226" s="611">
        <v>4964</v>
      </c>
      <c r="B226" s="612" t="s">
        <v>4698</v>
      </c>
      <c r="C226" s="613"/>
      <c r="D226" s="614"/>
      <c r="E226" s="614"/>
      <c r="F226" s="613">
        <v>303933.34999999998</v>
      </c>
      <c r="G226" s="614" t="s">
        <v>2701</v>
      </c>
      <c r="H226" s="614"/>
      <c r="I226" s="613"/>
      <c r="J226" s="613"/>
      <c r="K226" s="613">
        <v>451475</v>
      </c>
      <c r="L226" s="613">
        <v>147541.65</v>
      </c>
      <c r="N226" s="620">
        <f t="shared" si="3"/>
        <v>303933.34999999998</v>
      </c>
    </row>
    <row r="227" spans="1:14" outlineLevel="1" x14ac:dyDescent="0.25">
      <c r="A227" s="611">
        <v>4969</v>
      </c>
      <c r="B227" s="612" t="s">
        <v>4699</v>
      </c>
      <c r="C227" s="613"/>
      <c r="D227" s="614"/>
      <c r="E227" s="614"/>
      <c r="F227" s="613">
        <v>12248.91</v>
      </c>
      <c r="G227" s="614" t="s">
        <v>2701</v>
      </c>
      <c r="H227" s="614"/>
      <c r="I227" s="613">
        <v>345.83</v>
      </c>
      <c r="J227" s="613">
        <v>0</v>
      </c>
      <c r="K227" s="613">
        <v>12248.91</v>
      </c>
      <c r="L227" s="613">
        <v>0</v>
      </c>
      <c r="N227" s="620">
        <f t="shared" si="3"/>
        <v>12248.91</v>
      </c>
    </row>
    <row r="228" spans="1:14" outlineLevel="1" x14ac:dyDescent="0.25">
      <c r="A228" s="611">
        <v>4970</v>
      </c>
      <c r="B228" s="612" t="s">
        <v>4700</v>
      </c>
      <c r="C228" s="613"/>
      <c r="D228" s="614"/>
      <c r="E228" s="614"/>
      <c r="F228" s="613">
        <v>7024.79</v>
      </c>
      <c r="G228" s="614" t="s">
        <v>2701</v>
      </c>
      <c r="H228" s="614"/>
      <c r="I228" s="613">
        <v>440.38</v>
      </c>
      <c r="J228" s="613">
        <v>9.5</v>
      </c>
      <c r="K228" s="613">
        <v>7085.29</v>
      </c>
      <c r="L228" s="613">
        <v>60.5</v>
      </c>
      <c r="N228" s="620">
        <f t="shared" si="3"/>
        <v>7024.79</v>
      </c>
    </row>
    <row r="229" spans="1:14" outlineLevel="1" x14ac:dyDescent="0.25">
      <c r="A229" s="611">
        <v>4980</v>
      </c>
      <c r="B229" s="612" t="s">
        <v>4701</v>
      </c>
      <c r="C229" s="613"/>
      <c r="D229" s="614"/>
      <c r="E229" s="614"/>
      <c r="F229" s="613">
        <v>41527.57</v>
      </c>
      <c r="G229" s="614" t="s">
        <v>2701</v>
      </c>
      <c r="H229" s="614"/>
      <c r="I229" s="613">
        <v>3216.92</v>
      </c>
      <c r="J229" s="613">
        <v>0</v>
      </c>
      <c r="K229" s="613">
        <v>42052.480000000003</v>
      </c>
      <c r="L229" s="613">
        <v>524.91</v>
      </c>
      <c r="N229" s="620">
        <f t="shared" si="3"/>
        <v>41527.57</v>
      </c>
    </row>
    <row r="230" spans="1:14" outlineLevel="1" x14ac:dyDescent="0.25">
      <c r="A230" s="611">
        <v>7050</v>
      </c>
      <c r="B230" s="612" t="s">
        <v>4702</v>
      </c>
      <c r="C230" s="613">
        <v>36760.67</v>
      </c>
      <c r="D230" s="614" t="s">
        <v>2701</v>
      </c>
      <c r="E230" s="614"/>
      <c r="F230" s="613">
        <v>36760.67</v>
      </c>
      <c r="G230" s="614" t="s">
        <v>2701</v>
      </c>
      <c r="H230" s="614"/>
      <c r="I230" s="613"/>
      <c r="J230" s="613"/>
      <c r="K230" s="613"/>
      <c r="L230" s="613"/>
      <c r="N230" s="620">
        <f t="shared" si="3"/>
        <v>36760.67</v>
      </c>
    </row>
    <row r="231" spans="1:14" outlineLevel="1" x14ac:dyDescent="0.25">
      <c r="A231" s="611">
        <v>7100</v>
      </c>
      <c r="B231" s="612" t="s">
        <v>4703</v>
      </c>
      <c r="C231" s="613">
        <v>1051716.8999999999</v>
      </c>
      <c r="D231" s="614" t="s">
        <v>2701</v>
      </c>
      <c r="E231" s="614"/>
      <c r="F231" s="613">
        <v>1051716.8999999999</v>
      </c>
      <c r="G231" s="614" t="s">
        <v>2701</v>
      </c>
      <c r="H231" s="614"/>
      <c r="I231" s="613"/>
      <c r="J231" s="613"/>
      <c r="K231" s="613"/>
      <c r="L231" s="613"/>
      <c r="N231" s="620">
        <f t="shared" si="3"/>
        <v>1051716.8999999999</v>
      </c>
    </row>
    <row r="232" spans="1:14" outlineLevel="1" x14ac:dyDescent="0.25">
      <c r="A232" s="611">
        <v>8120</v>
      </c>
      <c r="B232" s="612" t="s">
        <v>4704</v>
      </c>
      <c r="C232" s="613"/>
      <c r="D232" s="614"/>
      <c r="E232" s="614"/>
      <c r="F232" s="613">
        <v>2530491.5</v>
      </c>
      <c r="G232" s="614"/>
      <c r="H232" s="614" t="s">
        <v>2584</v>
      </c>
      <c r="I232" s="613">
        <v>0</v>
      </c>
      <c r="J232" s="613">
        <v>255969</v>
      </c>
      <c r="K232" s="613">
        <v>73</v>
      </c>
      <c r="L232" s="613">
        <v>2530564.5</v>
      </c>
      <c r="N232" s="620">
        <f t="shared" si="3"/>
        <v>-2530491.5</v>
      </c>
    </row>
    <row r="233" spans="1:14" outlineLevel="1" x14ac:dyDescent="0.25">
      <c r="A233" s="611">
        <v>8125</v>
      </c>
      <c r="B233" s="612" t="s">
        <v>4705</v>
      </c>
      <c r="C233" s="613"/>
      <c r="D233" s="614"/>
      <c r="E233" s="614"/>
      <c r="F233" s="613">
        <v>1373218.77</v>
      </c>
      <c r="G233" s="614"/>
      <c r="H233" s="614" t="s">
        <v>2584</v>
      </c>
      <c r="I233" s="613">
        <v>0</v>
      </c>
      <c r="J233" s="613">
        <v>231631</v>
      </c>
      <c r="K233" s="613">
        <v>42888.38</v>
      </c>
      <c r="L233" s="613">
        <v>1416107.15</v>
      </c>
      <c r="N233" s="620">
        <f t="shared" si="3"/>
        <v>-1373218.77</v>
      </c>
    </row>
    <row r="234" spans="1:14" outlineLevel="1" x14ac:dyDescent="0.25">
      <c r="A234" s="611">
        <v>8140</v>
      </c>
      <c r="B234" s="612" t="s">
        <v>4706</v>
      </c>
      <c r="C234" s="613"/>
      <c r="D234" s="614"/>
      <c r="E234" s="614"/>
      <c r="F234" s="613">
        <v>1050.5</v>
      </c>
      <c r="G234" s="614"/>
      <c r="H234" s="614" t="s">
        <v>2584</v>
      </c>
      <c r="I234" s="613"/>
      <c r="J234" s="613"/>
      <c r="K234" s="613">
        <v>0</v>
      </c>
      <c r="L234" s="613">
        <v>1050.5</v>
      </c>
      <c r="N234" s="620">
        <f t="shared" si="3"/>
        <v>-1050.5</v>
      </c>
    </row>
    <row r="235" spans="1:14" outlineLevel="1" x14ac:dyDescent="0.25">
      <c r="A235" s="611">
        <v>8336</v>
      </c>
      <c r="B235" s="612" t="s">
        <v>4707</v>
      </c>
      <c r="C235" s="613"/>
      <c r="D235" s="614"/>
      <c r="E235" s="614"/>
      <c r="F235" s="613">
        <v>171070</v>
      </c>
      <c r="G235" s="614"/>
      <c r="H235" s="614" t="s">
        <v>2584</v>
      </c>
      <c r="I235" s="613">
        <v>0</v>
      </c>
      <c r="J235" s="613">
        <v>25180</v>
      </c>
      <c r="K235" s="613">
        <v>0</v>
      </c>
      <c r="L235" s="613">
        <v>171070</v>
      </c>
      <c r="N235" s="620">
        <f t="shared" si="3"/>
        <v>-171070</v>
      </c>
    </row>
    <row r="236" spans="1:14" outlineLevel="1" x14ac:dyDescent="0.25">
      <c r="A236" s="611">
        <v>8337</v>
      </c>
      <c r="B236" s="612" t="s">
        <v>4708</v>
      </c>
      <c r="C236" s="613"/>
      <c r="D236" s="614"/>
      <c r="E236" s="614"/>
      <c r="F236" s="613">
        <v>352.25</v>
      </c>
      <c r="G236" s="614"/>
      <c r="H236" s="614" t="s">
        <v>2584</v>
      </c>
      <c r="I236" s="613">
        <v>0</v>
      </c>
      <c r="J236" s="613">
        <v>39</v>
      </c>
      <c r="K236" s="613">
        <v>0</v>
      </c>
      <c r="L236" s="613">
        <v>352.25</v>
      </c>
      <c r="N236" s="620">
        <f t="shared" si="3"/>
        <v>-352.25</v>
      </c>
    </row>
    <row r="237" spans="1:14" outlineLevel="1" x14ac:dyDescent="0.25">
      <c r="A237" s="611">
        <v>8338</v>
      </c>
      <c r="B237" s="612" t="s">
        <v>4709</v>
      </c>
      <c r="C237" s="613"/>
      <c r="D237" s="614"/>
      <c r="E237" s="614"/>
      <c r="F237" s="613">
        <v>25317.19</v>
      </c>
      <c r="G237" s="614"/>
      <c r="H237" s="614" t="s">
        <v>2584</v>
      </c>
      <c r="I237" s="613">
        <v>0</v>
      </c>
      <c r="J237" s="613">
        <v>3150</v>
      </c>
      <c r="K237" s="613">
        <v>0.21</v>
      </c>
      <c r="L237" s="613">
        <v>25317.4</v>
      </c>
      <c r="N237" s="620">
        <f t="shared" si="3"/>
        <v>-25317.19</v>
      </c>
    </row>
    <row r="238" spans="1:14" outlineLevel="1" x14ac:dyDescent="0.25">
      <c r="A238" s="611">
        <v>8400</v>
      </c>
      <c r="B238" s="612" t="s">
        <v>2449</v>
      </c>
      <c r="C238" s="613"/>
      <c r="D238" s="614"/>
      <c r="E238" s="614"/>
      <c r="F238" s="613">
        <v>5249739.09</v>
      </c>
      <c r="G238" s="614"/>
      <c r="H238" s="614" t="s">
        <v>2584</v>
      </c>
      <c r="I238" s="613">
        <v>8273.15</v>
      </c>
      <c r="J238" s="613">
        <v>409180.01</v>
      </c>
      <c r="K238" s="613">
        <v>70181.070000000007</v>
      </c>
      <c r="L238" s="613">
        <v>5319920.16</v>
      </c>
      <c r="N238" s="620">
        <f t="shared" si="3"/>
        <v>-5249739.09</v>
      </c>
    </row>
    <row r="239" spans="1:14" outlineLevel="1" x14ac:dyDescent="0.25">
      <c r="A239" s="611">
        <v>8401</v>
      </c>
      <c r="B239" s="612" t="s">
        <v>2450</v>
      </c>
      <c r="C239" s="613"/>
      <c r="D239" s="614"/>
      <c r="E239" s="614"/>
      <c r="F239" s="613">
        <v>3330893.33</v>
      </c>
      <c r="G239" s="614"/>
      <c r="H239" s="614" t="s">
        <v>2584</v>
      </c>
      <c r="I239" s="613">
        <v>0</v>
      </c>
      <c r="J239" s="613">
        <v>296971.03999999998</v>
      </c>
      <c r="K239" s="613">
        <v>10083.49</v>
      </c>
      <c r="L239" s="613">
        <v>3340976.82</v>
      </c>
      <c r="N239" s="620">
        <f t="shared" si="3"/>
        <v>-3330893.33</v>
      </c>
    </row>
    <row r="240" spans="1:14" outlineLevel="1" x14ac:dyDescent="0.25">
      <c r="A240" s="611">
        <v>8402</v>
      </c>
      <c r="B240" s="612" t="s">
        <v>2451</v>
      </c>
      <c r="C240" s="613"/>
      <c r="D240" s="614"/>
      <c r="E240" s="614"/>
      <c r="F240" s="613">
        <v>80636.63</v>
      </c>
      <c r="G240" s="614"/>
      <c r="H240" s="614" t="s">
        <v>2584</v>
      </c>
      <c r="I240" s="613">
        <v>0</v>
      </c>
      <c r="J240" s="613">
        <v>7317.12</v>
      </c>
      <c r="K240" s="613">
        <v>0</v>
      </c>
      <c r="L240" s="613">
        <v>80636.63</v>
      </c>
      <c r="N240" s="620">
        <f t="shared" si="3"/>
        <v>-80636.63</v>
      </c>
    </row>
    <row r="241" spans="1:14" outlineLevel="1" x14ac:dyDescent="0.25">
      <c r="A241" s="611">
        <v>8403</v>
      </c>
      <c r="B241" s="612" t="s">
        <v>2452</v>
      </c>
      <c r="C241" s="613"/>
      <c r="D241" s="614"/>
      <c r="E241" s="614"/>
      <c r="F241" s="613">
        <v>56660.800000000003</v>
      </c>
      <c r="G241" s="614"/>
      <c r="H241" s="614" t="s">
        <v>2584</v>
      </c>
      <c r="I241" s="613"/>
      <c r="J241" s="613"/>
      <c r="K241" s="613">
        <v>250</v>
      </c>
      <c r="L241" s="613">
        <v>56910.8</v>
      </c>
      <c r="N241" s="620">
        <f t="shared" si="3"/>
        <v>-56660.800000000003</v>
      </c>
    </row>
    <row r="242" spans="1:14" outlineLevel="1" x14ac:dyDescent="0.25">
      <c r="A242" s="611">
        <v>8404</v>
      </c>
      <c r="B242" s="612" t="s">
        <v>2453</v>
      </c>
      <c r="C242" s="613"/>
      <c r="D242" s="614"/>
      <c r="E242" s="614"/>
      <c r="F242" s="613">
        <v>24683.3</v>
      </c>
      <c r="G242" s="614"/>
      <c r="H242" s="614" t="s">
        <v>2584</v>
      </c>
      <c r="I242" s="613">
        <v>0</v>
      </c>
      <c r="J242" s="613">
        <v>4913.3</v>
      </c>
      <c r="K242" s="613">
        <v>0</v>
      </c>
      <c r="L242" s="613">
        <v>24683.3</v>
      </c>
      <c r="N242" s="620">
        <f t="shared" si="3"/>
        <v>-24683.3</v>
      </c>
    </row>
    <row r="243" spans="1:14" outlineLevel="1" x14ac:dyDescent="0.25">
      <c r="A243" s="611">
        <v>8520</v>
      </c>
      <c r="B243" s="612" t="s">
        <v>2454</v>
      </c>
      <c r="C243" s="613"/>
      <c r="D243" s="614"/>
      <c r="E243" s="614"/>
      <c r="F243" s="613">
        <v>2896.5</v>
      </c>
      <c r="G243" s="614"/>
      <c r="H243" s="614" t="s">
        <v>2584</v>
      </c>
      <c r="I243" s="613">
        <v>0</v>
      </c>
      <c r="J243" s="613">
        <v>269.39999999999998</v>
      </c>
      <c r="K243" s="613">
        <v>0</v>
      </c>
      <c r="L243" s="613">
        <v>2896.5</v>
      </c>
      <c r="N243" s="620">
        <f t="shared" si="3"/>
        <v>-2896.5</v>
      </c>
    </row>
    <row r="244" spans="1:14" outlineLevel="1" x14ac:dyDescent="0.25">
      <c r="A244" s="611">
        <v>8610</v>
      </c>
      <c r="B244" s="612" t="s">
        <v>4710</v>
      </c>
      <c r="C244" s="613"/>
      <c r="D244" s="614"/>
      <c r="E244" s="614"/>
      <c r="F244" s="613">
        <v>15463.94</v>
      </c>
      <c r="G244" s="614" t="s">
        <v>2701</v>
      </c>
      <c r="H244" s="614"/>
      <c r="I244" s="613">
        <v>2289.1</v>
      </c>
      <c r="J244" s="613">
        <v>913.7</v>
      </c>
      <c r="K244" s="613">
        <v>22273</v>
      </c>
      <c r="L244" s="613">
        <v>6809.06</v>
      </c>
      <c r="N244" s="620">
        <f t="shared" si="3"/>
        <v>15463.94</v>
      </c>
    </row>
    <row r="245" spans="1:14" outlineLevel="1" x14ac:dyDescent="0.25">
      <c r="A245" s="611">
        <v>8611</v>
      </c>
      <c r="B245" s="612" t="s">
        <v>4711</v>
      </c>
      <c r="C245" s="613"/>
      <c r="D245" s="614"/>
      <c r="E245" s="614"/>
      <c r="F245" s="613">
        <v>93993.32</v>
      </c>
      <c r="G245" s="614"/>
      <c r="H245" s="614" t="s">
        <v>2584</v>
      </c>
      <c r="I245" s="613">
        <v>0</v>
      </c>
      <c r="J245" s="613">
        <v>9704.18</v>
      </c>
      <c r="K245" s="613">
        <v>0</v>
      </c>
      <c r="L245" s="613">
        <v>93993.32</v>
      </c>
      <c r="N245" s="620">
        <f t="shared" si="3"/>
        <v>-93993.32</v>
      </c>
    </row>
    <row r="246" spans="1:14" outlineLevel="1" x14ac:dyDescent="0.25">
      <c r="A246" s="611">
        <v>8625</v>
      </c>
      <c r="B246" s="612" t="s">
        <v>4712</v>
      </c>
      <c r="C246" s="613"/>
      <c r="D246" s="614"/>
      <c r="E246" s="614"/>
      <c r="F246" s="613">
        <v>0</v>
      </c>
      <c r="G246" s="614"/>
      <c r="H246" s="614"/>
      <c r="I246" s="613"/>
      <c r="J246" s="613"/>
      <c r="K246" s="613">
        <v>0</v>
      </c>
      <c r="L246" s="613">
        <v>0</v>
      </c>
      <c r="N246" s="620">
        <f t="shared" si="3"/>
        <v>0</v>
      </c>
    </row>
    <row r="247" spans="1:14" outlineLevel="1" x14ac:dyDescent="0.25">
      <c r="A247" s="611">
        <v>8640</v>
      </c>
      <c r="B247" s="612" t="s">
        <v>4713</v>
      </c>
      <c r="C247" s="613"/>
      <c r="D247" s="614"/>
      <c r="E247" s="614"/>
      <c r="F247" s="613">
        <v>3749.27</v>
      </c>
      <c r="G247" s="614"/>
      <c r="H247" s="614" t="s">
        <v>2584</v>
      </c>
      <c r="I247" s="613"/>
      <c r="J247" s="613"/>
      <c r="K247" s="613">
        <v>0</v>
      </c>
      <c r="L247" s="613">
        <v>3749.27</v>
      </c>
      <c r="N247" s="620">
        <f t="shared" si="3"/>
        <v>-3749.27</v>
      </c>
    </row>
    <row r="248" spans="1:14" outlineLevel="1" x14ac:dyDescent="0.25">
      <c r="A248" s="611">
        <v>8730</v>
      </c>
      <c r="B248" s="612" t="s">
        <v>4714</v>
      </c>
      <c r="C248" s="613"/>
      <c r="D248" s="614"/>
      <c r="E248" s="614"/>
      <c r="F248" s="613">
        <v>96.67</v>
      </c>
      <c r="G248" s="614" t="s">
        <v>2701</v>
      </c>
      <c r="H248" s="614"/>
      <c r="I248" s="613">
        <v>39</v>
      </c>
      <c r="J248" s="613">
        <v>0</v>
      </c>
      <c r="K248" s="613">
        <v>96.67</v>
      </c>
      <c r="L248" s="613">
        <v>0</v>
      </c>
      <c r="N248" s="620">
        <f t="shared" si="3"/>
        <v>96.67</v>
      </c>
    </row>
    <row r="249" spans="1:14" outlineLevel="1" x14ac:dyDescent="0.25">
      <c r="A249" s="611">
        <v>8736</v>
      </c>
      <c r="B249" s="612" t="s">
        <v>4715</v>
      </c>
      <c r="C249" s="613"/>
      <c r="D249" s="614"/>
      <c r="E249" s="614"/>
      <c r="F249" s="613">
        <v>130939.75</v>
      </c>
      <c r="G249" s="614" t="s">
        <v>2701</v>
      </c>
      <c r="H249" s="614"/>
      <c r="I249" s="613">
        <v>13093.84</v>
      </c>
      <c r="J249" s="613">
        <v>0</v>
      </c>
      <c r="K249" s="613">
        <v>131361.70000000001</v>
      </c>
      <c r="L249" s="613">
        <v>421.95</v>
      </c>
      <c r="N249" s="620">
        <f t="shared" si="3"/>
        <v>130939.75</v>
      </c>
    </row>
    <row r="250" spans="1:14" outlineLevel="1" x14ac:dyDescent="0.25">
      <c r="A250" s="611">
        <v>8743</v>
      </c>
      <c r="B250" s="612" t="s">
        <v>4716</v>
      </c>
      <c r="C250" s="613"/>
      <c r="D250" s="614"/>
      <c r="E250" s="614"/>
      <c r="F250" s="613">
        <v>7638.6</v>
      </c>
      <c r="G250" s="614" t="s">
        <v>2701</v>
      </c>
      <c r="H250" s="614"/>
      <c r="I250" s="613">
        <v>616.94000000000005</v>
      </c>
      <c r="J250" s="613">
        <v>0</v>
      </c>
      <c r="K250" s="613">
        <v>7638.6</v>
      </c>
      <c r="L250" s="613">
        <v>0</v>
      </c>
      <c r="N250" s="620">
        <f t="shared" si="3"/>
        <v>7638.6</v>
      </c>
    </row>
    <row r="251" spans="1:14" outlineLevel="1" x14ac:dyDescent="0.25">
      <c r="A251" s="611">
        <v>8760</v>
      </c>
      <c r="B251" s="612" t="s">
        <v>4717</v>
      </c>
      <c r="C251" s="613"/>
      <c r="D251" s="614"/>
      <c r="E251" s="614"/>
      <c r="F251" s="613">
        <v>1111.1199999999999</v>
      </c>
      <c r="G251" s="614" t="s">
        <v>2701</v>
      </c>
      <c r="H251" s="614"/>
      <c r="I251" s="613"/>
      <c r="J251" s="613"/>
      <c r="K251" s="613">
        <v>1111.1199999999999</v>
      </c>
      <c r="L251" s="613">
        <v>0</v>
      </c>
      <c r="N251" s="620">
        <f t="shared" si="3"/>
        <v>1111.1199999999999</v>
      </c>
    </row>
    <row r="252" spans="1:14" outlineLevel="1" x14ac:dyDescent="0.25">
      <c r="A252" s="611">
        <v>8769</v>
      </c>
      <c r="B252" s="612" t="s">
        <v>4718</v>
      </c>
      <c r="C252" s="613"/>
      <c r="D252" s="614"/>
      <c r="E252" s="614"/>
      <c r="F252" s="613">
        <v>1111.1199999999999</v>
      </c>
      <c r="G252" s="614"/>
      <c r="H252" s="614" t="s">
        <v>2584</v>
      </c>
      <c r="I252" s="613"/>
      <c r="J252" s="613"/>
      <c r="K252" s="613">
        <v>0</v>
      </c>
      <c r="L252" s="613">
        <v>1111.1199999999999</v>
      </c>
      <c r="N252" s="620">
        <f t="shared" si="3"/>
        <v>-1111.1199999999999</v>
      </c>
    </row>
    <row r="253" spans="1:14" outlineLevel="1" x14ac:dyDescent="0.25">
      <c r="A253" s="611">
        <v>8801</v>
      </c>
      <c r="B253" s="612" t="s">
        <v>4719</v>
      </c>
      <c r="C253" s="613"/>
      <c r="D253" s="614"/>
      <c r="E253" s="614"/>
      <c r="F253" s="613">
        <v>4651</v>
      </c>
      <c r="G253" s="614"/>
      <c r="H253" s="614" t="s">
        <v>2584</v>
      </c>
      <c r="I253" s="613"/>
      <c r="J253" s="613"/>
      <c r="K253" s="613">
        <v>0</v>
      </c>
      <c r="L253" s="613">
        <v>4651</v>
      </c>
      <c r="N253" s="620">
        <f t="shared" si="3"/>
        <v>-4651</v>
      </c>
    </row>
    <row r="254" spans="1:14" outlineLevel="1" x14ac:dyDescent="0.25">
      <c r="A254" s="611">
        <v>8807</v>
      </c>
      <c r="B254" s="612" t="s">
        <v>4720</v>
      </c>
      <c r="C254" s="613"/>
      <c r="D254" s="614"/>
      <c r="E254" s="614"/>
      <c r="F254" s="613">
        <v>0</v>
      </c>
      <c r="G254" s="614"/>
      <c r="H254" s="614"/>
      <c r="I254" s="613"/>
      <c r="J254" s="613"/>
      <c r="K254" s="613">
        <v>0</v>
      </c>
      <c r="L254" s="613">
        <v>0</v>
      </c>
      <c r="N254" s="620">
        <f t="shared" si="3"/>
        <v>0</v>
      </c>
    </row>
    <row r="255" spans="1:14" outlineLevel="1" x14ac:dyDescent="0.25">
      <c r="A255" s="611">
        <v>8818</v>
      </c>
      <c r="B255" s="612" t="s">
        <v>4721</v>
      </c>
      <c r="C255" s="613"/>
      <c r="D255" s="614"/>
      <c r="E255" s="614"/>
      <c r="F255" s="613">
        <v>0</v>
      </c>
      <c r="G255" s="614"/>
      <c r="H255" s="614"/>
      <c r="I255" s="613"/>
      <c r="J255" s="613"/>
      <c r="K255" s="613">
        <v>0</v>
      </c>
      <c r="L255" s="613">
        <v>0</v>
      </c>
      <c r="N255" s="620">
        <f t="shared" si="3"/>
        <v>0</v>
      </c>
    </row>
    <row r="256" spans="1:14" outlineLevel="1" x14ac:dyDescent="0.25">
      <c r="A256" s="611">
        <v>8820</v>
      </c>
      <c r="B256" s="612" t="s">
        <v>4722</v>
      </c>
      <c r="C256" s="613"/>
      <c r="D256" s="614"/>
      <c r="E256" s="614"/>
      <c r="F256" s="613">
        <v>53650</v>
      </c>
      <c r="G256" s="614"/>
      <c r="H256" s="614" t="s">
        <v>2584</v>
      </c>
      <c r="I256" s="613"/>
      <c r="J256" s="613"/>
      <c r="K256" s="613">
        <v>0</v>
      </c>
      <c r="L256" s="613">
        <v>53650</v>
      </c>
      <c r="N256" s="620">
        <f t="shared" si="3"/>
        <v>-53650</v>
      </c>
    </row>
    <row r="257" spans="1:14" outlineLevel="1" x14ac:dyDescent="0.25">
      <c r="A257" s="611">
        <v>8827</v>
      </c>
      <c r="B257" s="612" t="s">
        <v>4723</v>
      </c>
      <c r="C257" s="613"/>
      <c r="D257" s="614"/>
      <c r="E257" s="614"/>
      <c r="F257" s="613">
        <v>0</v>
      </c>
      <c r="G257" s="614"/>
      <c r="H257" s="614"/>
      <c r="I257" s="613"/>
      <c r="J257" s="613"/>
      <c r="K257" s="613">
        <v>0</v>
      </c>
      <c r="L257" s="613">
        <v>0</v>
      </c>
      <c r="N257" s="620">
        <f t="shared" si="3"/>
        <v>0</v>
      </c>
    </row>
    <row r="258" spans="1:14" outlineLevel="1" x14ac:dyDescent="0.25">
      <c r="A258" s="611">
        <v>8838</v>
      </c>
      <c r="B258" s="612" t="s">
        <v>4724</v>
      </c>
      <c r="C258" s="613"/>
      <c r="D258" s="614"/>
      <c r="E258" s="614"/>
      <c r="F258" s="613">
        <v>34905.46</v>
      </c>
      <c r="G258" s="614"/>
      <c r="H258" s="614" t="s">
        <v>2584</v>
      </c>
      <c r="I258" s="613"/>
      <c r="J258" s="613"/>
      <c r="K258" s="613">
        <v>0</v>
      </c>
      <c r="L258" s="613">
        <v>34905.46</v>
      </c>
      <c r="N258" s="620">
        <f t="shared" si="3"/>
        <v>-34905.46</v>
      </c>
    </row>
    <row r="259" spans="1:14" outlineLevel="1" x14ac:dyDescent="0.25">
      <c r="A259" s="611">
        <v>8950</v>
      </c>
      <c r="B259" s="612" t="s">
        <v>4725</v>
      </c>
      <c r="C259" s="613"/>
      <c r="D259" s="614"/>
      <c r="E259" s="614"/>
      <c r="F259" s="613">
        <v>0</v>
      </c>
      <c r="G259" s="614"/>
      <c r="H259" s="614"/>
      <c r="I259" s="613"/>
      <c r="J259" s="613"/>
      <c r="K259" s="613">
        <v>0</v>
      </c>
      <c r="L259" s="613">
        <v>0</v>
      </c>
      <c r="N259" s="620">
        <f t="shared" si="3"/>
        <v>0</v>
      </c>
    </row>
    <row r="260" spans="1:14" outlineLevel="1" x14ac:dyDescent="0.25">
      <c r="A260" s="611">
        <v>8960</v>
      </c>
      <c r="B260" s="612" t="s">
        <v>4726</v>
      </c>
      <c r="C260" s="613"/>
      <c r="D260" s="614"/>
      <c r="E260" s="614"/>
      <c r="F260" s="613">
        <v>0</v>
      </c>
      <c r="G260" s="614"/>
      <c r="H260" s="614"/>
      <c r="I260" s="613"/>
      <c r="J260" s="613"/>
      <c r="K260" s="613">
        <v>0</v>
      </c>
      <c r="L260" s="613">
        <v>0</v>
      </c>
      <c r="N260" s="620">
        <f t="shared" si="3"/>
        <v>0</v>
      </c>
    </row>
    <row r="261" spans="1:14" outlineLevel="1" x14ac:dyDescent="0.25">
      <c r="A261" s="611">
        <v>8980</v>
      </c>
      <c r="B261" s="612" t="s">
        <v>4727</v>
      </c>
      <c r="C261" s="613"/>
      <c r="D261" s="614"/>
      <c r="E261" s="614"/>
      <c r="F261" s="613">
        <v>0</v>
      </c>
      <c r="G261" s="614"/>
      <c r="H261" s="614"/>
      <c r="I261" s="613"/>
      <c r="J261" s="613"/>
      <c r="K261" s="613">
        <v>0</v>
      </c>
      <c r="L261" s="613">
        <v>0</v>
      </c>
      <c r="N261" s="620">
        <f>IF(G261="S",F261,-F261)</f>
        <v>0</v>
      </c>
    </row>
    <row r="262" spans="1:14" outlineLevel="1" x14ac:dyDescent="0.25">
      <c r="A262" s="611">
        <v>9000</v>
      </c>
      <c r="B262" s="612" t="s">
        <v>4728</v>
      </c>
      <c r="C262" s="613">
        <v>0</v>
      </c>
      <c r="D262" s="614"/>
      <c r="E262" s="614"/>
      <c r="F262" s="613">
        <v>0</v>
      </c>
      <c r="G262" s="614"/>
      <c r="H262" s="614"/>
      <c r="I262" s="613"/>
      <c r="J262" s="613"/>
      <c r="K262" s="613"/>
      <c r="L262" s="613"/>
    </row>
    <row r="263" spans="1:14" outlineLevel="1" x14ac:dyDescent="0.25">
      <c r="A263" s="611">
        <v>9008</v>
      </c>
      <c r="B263" s="612" t="s">
        <v>4729</v>
      </c>
      <c r="C263" s="613">
        <v>0</v>
      </c>
      <c r="D263" s="614"/>
      <c r="E263" s="614"/>
      <c r="F263" s="613">
        <v>0</v>
      </c>
      <c r="G263" s="614"/>
      <c r="H263" s="614"/>
      <c r="I263" s="613"/>
      <c r="J263" s="613"/>
      <c r="K263" s="613"/>
      <c r="L263" s="613"/>
    </row>
    <row r="264" spans="1:14" outlineLevel="1" x14ac:dyDescent="0.25">
      <c r="A264" s="611">
        <v>9009</v>
      </c>
      <c r="B264" s="612" t="s">
        <v>4730</v>
      </c>
      <c r="C264" s="613">
        <v>0</v>
      </c>
      <c r="D264" s="614"/>
      <c r="E264" s="614"/>
      <c r="F264" s="613">
        <v>0</v>
      </c>
      <c r="G264" s="614"/>
      <c r="H264" s="614"/>
      <c r="I264" s="613"/>
      <c r="J264" s="613"/>
      <c r="K264" s="613"/>
      <c r="L264" s="613"/>
    </row>
  </sheetData>
  <mergeCells count="1">
    <mergeCell ref="A1:L1"/>
  </mergeCells>
  <pageMargins left="0.7" right="0.7" top="0.78740157499999996" bottom="0.78740157499999996"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A790E-D422-4E2C-86FF-2DFB2B76E6E1}">
  <sheetPr>
    <outlinePr summaryBelow="0"/>
  </sheetPr>
  <dimension ref="A1:N265"/>
  <sheetViews>
    <sheetView workbookViewId="0">
      <selection sqref="A1:L1"/>
    </sheetView>
  </sheetViews>
  <sheetFormatPr defaultColWidth="11.42578125" defaultRowHeight="15" outlineLevelRow="1" x14ac:dyDescent="0.25"/>
  <cols>
    <col min="1" max="1" width="9.5703125" customWidth="1"/>
    <col min="2" max="2" width="43.85546875" customWidth="1"/>
    <col min="3" max="3" width="15.42578125" customWidth="1"/>
    <col min="4" max="5" width="6.140625" customWidth="1"/>
    <col min="6" max="6" width="15.42578125" customWidth="1"/>
    <col min="7" max="8" width="6.140625" customWidth="1"/>
    <col min="9" max="10" width="15.42578125" customWidth="1"/>
    <col min="11" max="12" width="16.42578125" customWidth="1"/>
  </cols>
  <sheetData>
    <row r="1" spans="1:14" x14ac:dyDescent="0.25">
      <c r="A1" s="1023" t="s">
        <v>4734</v>
      </c>
      <c r="B1" s="1022"/>
      <c r="C1" s="1022"/>
      <c r="D1" s="1022"/>
      <c r="E1" s="1022"/>
      <c r="F1" s="1022"/>
      <c r="G1" s="1022"/>
      <c r="H1" s="1022"/>
      <c r="I1" s="1022"/>
      <c r="J1" s="1022"/>
      <c r="K1" s="1022"/>
      <c r="L1" s="1022"/>
    </row>
    <row r="2" spans="1:14" ht="30" outlineLevel="1" x14ac:dyDescent="0.25">
      <c r="A2" s="609" t="s">
        <v>2542</v>
      </c>
      <c r="B2" s="609" t="s">
        <v>2543</v>
      </c>
      <c r="C2" s="609" t="s">
        <v>4486</v>
      </c>
      <c r="D2" s="609" t="s">
        <v>2701</v>
      </c>
      <c r="E2" s="609" t="s">
        <v>2584</v>
      </c>
      <c r="F2" s="609" t="s">
        <v>2549</v>
      </c>
      <c r="G2" s="609" t="s">
        <v>2701</v>
      </c>
      <c r="H2" s="609" t="s">
        <v>2584</v>
      </c>
      <c r="I2" s="610" t="s">
        <v>4735</v>
      </c>
      <c r="J2" s="610" t="s">
        <v>4488</v>
      </c>
      <c r="K2" s="610" t="s">
        <v>4489</v>
      </c>
      <c r="L2" s="610" t="s">
        <v>4488</v>
      </c>
    </row>
    <row r="3" spans="1:14" outlineLevel="1" x14ac:dyDescent="0.25">
      <c r="A3" s="611">
        <v>27</v>
      </c>
      <c r="B3" s="612" t="s">
        <v>4490</v>
      </c>
      <c r="C3" s="613">
        <v>1109</v>
      </c>
      <c r="D3" s="614" t="s">
        <v>2701</v>
      </c>
      <c r="E3" s="614"/>
      <c r="F3" s="613">
        <v>7</v>
      </c>
      <c r="G3" s="614" t="s">
        <v>2701</v>
      </c>
      <c r="H3" s="614"/>
      <c r="I3" s="613"/>
      <c r="J3" s="613"/>
      <c r="K3" s="613">
        <v>0</v>
      </c>
      <c r="L3" s="613">
        <v>1102</v>
      </c>
      <c r="N3" s="620">
        <f>IF(G3="S",F3,-F3)</f>
        <v>7</v>
      </c>
    </row>
    <row r="4" spans="1:14" outlineLevel="1" x14ac:dyDescent="0.25">
      <c r="A4" s="611">
        <v>48</v>
      </c>
      <c r="B4" s="612" t="s">
        <v>4491</v>
      </c>
      <c r="C4" s="613">
        <v>203167.17</v>
      </c>
      <c r="D4" s="614" t="s">
        <v>2701</v>
      </c>
      <c r="E4" s="614"/>
      <c r="F4" s="613">
        <v>344694.47</v>
      </c>
      <c r="G4" s="614" t="s">
        <v>2701</v>
      </c>
      <c r="H4" s="614"/>
      <c r="I4" s="613"/>
      <c r="J4" s="613"/>
      <c r="K4" s="613">
        <v>141527.29999999999</v>
      </c>
      <c r="L4" s="613">
        <v>0</v>
      </c>
      <c r="N4" s="620">
        <f t="shared" ref="N4:N67" si="0">IF(G4="S",F4,-F4)</f>
        <v>344694.47</v>
      </c>
    </row>
    <row r="5" spans="1:14" outlineLevel="1" x14ac:dyDescent="0.25">
      <c r="A5" s="611">
        <v>210</v>
      </c>
      <c r="B5" s="612" t="s">
        <v>4492</v>
      </c>
      <c r="C5" s="613">
        <v>1</v>
      </c>
      <c r="D5" s="614" t="s">
        <v>2701</v>
      </c>
      <c r="E5" s="614"/>
      <c r="F5" s="613">
        <v>1</v>
      </c>
      <c r="G5" s="614" t="s">
        <v>2701</v>
      </c>
      <c r="H5" s="614"/>
      <c r="I5" s="613"/>
      <c r="J5" s="613"/>
      <c r="K5" s="613"/>
      <c r="L5" s="613"/>
      <c r="N5" s="620">
        <f t="shared" si="0"/>
        <v>1</v>
      </c>
    </row>
    <row r="6" spans="1:14" outlineLevel="1" x14ac:dyDescent="0.25">
      <c r="A6" s="611">
        <v>400</v>
      </c>
      <c r="B6" s="612" t="s">
        <v>4493</v>
      </c>
      <c r="C6" s="613">
        <v>303552</v>
      </c>
      <c r="D6" s="614" t="s">
        <v>2701</v>
      </c>
      <c r="E6" s="614"/>
      <c r="F6" s="613">
        <v>277399.51</v>
      </c>
      <c r="G6" s="614" t="s">
        <v>2701</v>
      </c>
      <c r="H6" s="614"/>
      <c r="I6" s="613">
        <v>19687</v>
      </c>
      <c r="J6" s="613">
        <v>6046.2</v>
      </c>
      <c r="K6" s="613">
        <v>40622.74</v>
      </c>
      <c r="L6" s="613">
        <v>66775.23</v>
      </c>
      <c r="N6" s="620">
        <f t="shared" si="0"/>
        <v>277399.51</v>
      </c>
    </row>
    <row r="7" spans="1:14" outlineLevel="1" x14ac:dyDescent="0.25">
      <c r="A7" s="611">
        <v>440</v>
      </c>
      <c r="B7" s="612" t="s">
        <v>4494</v>
      </c>
      <c r="C7" s="613">
        <v>36265</v>
      </c>
      <c r="D7" s="614" t="s">
        <v>2701</v>
      </c>
      <c r="E7" s="614"/>
      <c r="F7" s="613">
        <v>28184.21</v>
      </c>
      <c r="G7" s="614" t="s">
        <v>2701</v>
      </c>
      <c r="H7" s="614"/>
      <c r="I7" s="613">
        <v>1980</v>
      </c>
      <c r="J7" s="613">
        <v>857.18</v>
      </c>
      <c r="K7" s="613">
        <v>1980</v>
      </c>
      <c r="L7" s="613">
        <v>10060.790000000001</v>
      </c>
      <c r="N7" s="620">
        <f t="shared" si="0"/>
        <v>28184.21</v>
      </c>
    </row>
    <row r="8" spans="1:14" outlineLevel="1" x14ac:dyDescent="0.25">
      <c r="A8" s="611">
        <v>480</v>
      </c>
      <c r="B8" s="612" t="s">
        <v>4495</v>
      </c>
      <c r="C8" s="613"/>
      <c r="D8" s="614"/>
      <c r="E8" s="614"/>
      <c r="F8" s="613">
        <v>0</v>
      </c>
      <c r="G8" s="614"/>
      <c r="H8" s="614"/>
      <c r="I8" s="613"/>
      <c r="J8" s="613"/>
      <c r="K8" s="613">
        <v>6091.56</v>
      </c>
      <c r="L8" s="613">
        <v>6091.56</v>
      </c>
      <c r="N8" s="620">
        <f t="shared" si="0"/>
        <v>0</v>
      </c>
    </row>
    <row r="9" spans="1:14" outlineLevel="1" x14ac:dyDescent="0.25">
      <c r="A9" s="611">
        <v>490</v>
      </c>
      <c r="B9" s="612" t="s">
        <v>4496</v>
      </c>
      <c r="C9" s="613">
        <v>486646</v>
      </c>
      <c r="D9" s="614" t="s">
        <v>2701</v>
      </c>
      <c r="E9" s="614"/>
      <c r="F9" s="613">
        <v>296110.81</v>
      </c>
      <c r="G9" s="614" t="s">
        <v>2701</v>
      </c>
      <c r="H9" s="614"/>
      <c r="I9" s="613">
        <v>0</v>
      </c>
      <c r="J9" s="613">
        <v>12987.6</v>
      </c>
      <c r="K9" s="613">
        <v>4755.6000000000004</v>
      </c>
      <c r="L9" s="613">
        <v>195290.79</v>
      </c>
      <c r="N9" s="620">
        <f t="shared" si="0"/>
        <v>296110.81</v>
      </c>
    </row>
    <row r="10" spans="1:14" outlineLevel="1" x14ac:dyDescent="0.25">
      <c r="A10" s="611">
        <v>525</v>
      </c>
      <c r="B10" s="612" t="s">
        <v>4497</v>
      </c>
      <c r="C10" s="613">
        <v>75225.62</v>
      </c>
      <c r="D10" s="614" t="s">
        <v>2701</v>
      </c>
      <c r="E10" s="614"/>
      <c r="F10" s="613">
        <v>43825.62</v>
      </c>
      <c r="G10" s="614" t="s">
        <v>2701</v>
      </c>
      <c r="H10" s="614"/>
      <c r="I10" s="613"/>
      <c r="J10" s="613"/>
      <c r="K10" s="613">
        <v>0</v>
      </c>
      <c r="L10" s="613">
        <v>31400</v>
      </c>
      <c r="N10" s="620">
        <f t="shared" si="0"/>
        <v>43825.62</v>
      </c>
    </row>
    <row r="11" spans="1:14" outlineLevel="1" x14ac:dyDescent="0.25">
      <c r="A11" s="611">
        <v>570</v>
      </c>
      <c r="B11" s="612" t="s">
        <v>4498</v>
      </c>
      <c r="C11" s="613">
        <v>200</v>
      </c>
      <c r="D11" s="614" t="s">
        <v>2701</v>
      </c>
      <c r="E11" s="614"/>
      <c r="F11" s="613">
        <v>200</v>
      </c>
      <c r="G11" s="614" t="s">
        <v>2701</v>
      </c>
      <c r="H11" s="614"/>
      <c r="I11" s="613"/>
      <c r="J11" s="613"/>
      <c r="K11" s="613"/>
      <c r="L11" s="613"/>
      <c r="N11" s="620">
        <f t="shared" si="0"/>
        <v>200</v>
      </c>
    </row>
    <row r="12" spans="1:14" outlineLevel="1" x14ac:dyDescent="0.25">
      <c r="A12" s="611">
        <v>650</v>
      </c>
      <c r="B12" s="612" t="s">
        <v>4499</v>
      </c>
      <c r="C12" s="613"/>
      <c r="D12" s="614"/>
      <c r="E12" s="614"/>
      <c r="F12" s="613">
        <v>19425</v>
      </c>
      <c r="G12" s="614"/>
      <c r="H12" s="614" t="s">
        <v>2584</v>
      </c>
      <c r="I12" s="613"/>
      <c r="J12" s="613"/>
      <c r="K12" s="613">
        <v>0</v>
      </c>
      <c r="L12" s="613">
        <v>19425</v>
      </c>
      <c r="N12" s="620">
        <f t="shared" si="0"/>
        <v>-19425</v>
      </c>
    </row>
    <row r="13" spans="1:14" outlineLevel="1" x14ac:dyDescent="0.25">
      <c r="A13" s="611">
        <v>800</v>
      </c>
      <c r="B13" s="612" t="s">
        <v>4500</v>
      </c>
      <c r="C13" s="613">
        <v>51129.19</v>
      </c>
      <c r="D13" s="614"/>
      <c r="E13" s="614" t="s">
        <v>2584</v>
      </c>
      <c r="F13" s="613">
        <v>51129.19</v>
      </c>
      <c r="G13" s="614"/>
      <c r="H13" s="614" t="s">
        <v>2584</v>
      </c>
      <c r="I13" s="613"/>
      <c r="J13" s="613"/>
      <c r="K13" s="613"/>
      <c r="L13" s="613"/>
      <c r="N13" s="620">
        <f t="shared" si="0"/>
        <v>-51129.19</v>
      </c>
    </row>
    <row r="14" spans="1:14" outlineLevel="1" x14ac:dyDescent="0.25">
      <c r="A14" s="611">
        <v>860</v>
      </c>
      <c r="B14" s="612" t="s">
        <v>4501</v>
      </c>
      <c r="C14" s="613">
        <v>6230831.0199999996</v>
      </c>
      <c r="D14" s="614"/>
      <c r="E14" s="614" t="s">
        <v>2584</v>
      </c>
      <c r="F14" s="613">
        <v>6230831.0199999996</v>
      </c>
      <c r="G14" s="614"/>
      <c r="H14" s="614" t="s">
        <v>2584</v>
      </c>
      <c r="I14" s="613"/>
      <c r="J14" s="613"/>
      <c r="K14" s="613"/>
      <c r="L14" s="613"/>
      <c r="N14" s="620">
        <f t="shared" si="0"/>
        <v>-6230831.0199999996</v>
      </c>
    </row>
    <row r="15" spans="1:14" outlineLevel="1" x14ac:dyDescent="0.25">
      <c r="A15" s="611">
        <v>951</v>
      </c>
      <c r="B15" s="612" t="s">
        <v>4502</v>
      </c>
      <c r="C15" s="613">
        <v>182403</v>
      </c>
      <c r="D15" s="614"/>
      <c r="E15" s="614" t="s">
        <v>2584</v>
      </c>
      <c r="F15" s="613">
        <v>182403</v>
      </c>
      <c r="G15" s="614"/>
      <c r="H15" s="614" t="s">
        <v>2584</v>
      </c>
      <c r="I15" s="613"/>
      <c r="J15" s="613"/>
      <c r="K15" s="613"/>
      <c r="L15" s="613"/>
      <c r="N15" s="620">
        <f t="shared" si="0"/>
        <v>-182403</v>
      </c>
    </row>
    <row r="16" spans="1:14" outlineLevel="1" x14ac:dyDescent="0.25">
      <c r="A16" s="611">
        <v>956</v>
      </c>
      <c r="B16" s="612" t="s">
        <v>4503</v>
      </c>
      <c r="C16" s="613"/>
      <c r="D16" s="614"/>
      <c r="E16" s="614"/>
      <c r="F16" s="613">
        <v>0</v>
      </c>
      <c r="G16" s="614"/>
      <c r="H16" s="614"/>
      <c r="I16" s="613"/>
      <c r="J16" s="613"/>
      <c r="K16" s="613">
        <v>0</v>
      </c>
      <c r="L16" s="613">
        <v>0</v>
      </c>
      <c r="N16" s="620">
        <f t="shared" si="0"/>
        <v>0</v>
      </c>
    </row>
    <row r="17" spans="1:14" outlineLevel="1" x14ac:dyDescent="0.25">
      <c r="A17" s="611">
        <v>963</v>
      </c>
      <c r="B17" s="612" t="s">
        <v>4504</v>
      </c>
      <c r="C17" s="613"/>
      <c r="D17" s="614"/>
      <c r="E17" s="614"/>
      <c r="F17" s="613">
        <v>0</v>
      </c>
      <c r="G17" s="614"/>
      <c r="H17" s="614"/>
      <c r="I17" s="613"/>
      <c r="J17" s="613"/>
      <c r="K17" s="613">
        <v>0</v>
      </c>
      <c r="L17" s="613">
        <v>0</v>
      </c>
      <c r="N17" s="620">
        <f t="shared" si="0"/>
        <v>0</v>
      </c>
    </row>
    <row r="18" spans="1:14" outlineLevel="1" x14ac:dyDescent="0.25">
      <c r="A18" s="611">
        <v>965</v>
      </c>
      <c r="B18" s="612" t="s">
        <v>4505</v>
      </c>
      <c r="C18" s="613">
        <v>139441.74</v>
      </c>
      <c r="D18" s="614"/>
      <c r="E18" s="614" t="s">
        <v>2584</v>
      </c>
      <c r="F18" s="613">
        <v>139853.47</v>
      </c>
      <c r="G18" s="614"/>
      <c r="H18" s="614" t="s">
        <v>2584</v>
      </c>
      <c r="I18" s="613">
        <v>80245.919999999998</v>
      </c>
      <c r="J18" s="613">
        <v>6500</v>
      </c>
      <c r="K18" s="613">
        <v>209421.27</v>
      </c>
      <c r="L18" s="613">
        <v>209833</v>
      </c>
      <c r="N18" s="620">
        <f t="shared" si="0"/>
        <v>-139853.47</v>
      </c>
    </row>
    <row r="19" spans="1:14" outlineLevel="1" x14ac:dyDescent="0.25">
      <c r="A19" s="611">
        <v>966</v>
      </c>
      <c r="B19" s="612" t="s">
        <v>4506</v>
      </c>
      <c r="C19" s="613">
        <v>8000</v>
      </c>
      <c r="D19" s="614"/>
      <c r="E19" s="614" t="s">
        <v>2584</v>
      </c>
      <c r="F19" s="613">
        <v>8000</v>
      </c>
      <c r="G19" s="614"/>
      <c r="H19" s="614" t="s">
        <v>2584</v>
      </c>
      <c r="I19" s="613"/>
      <c r="J19" s="613"/>
      <c r="K19" s="613"/>
      <c r="L19" s="613"/>
      <c r="N19" s="620">
        <f t="shared" si="0"/>
        <v>-8000</v>
      </c>
    </row>
    <row r="20" spans="1:14" outlineLevel="1" x14ac:dyDescent="0.25">
      <c r="A20" s="611">
        <v>968</v>
      </c>
      <c r="B20" s="612" t="s">
        <v>286</v>
      </c>
      <c r="C20" s="613">
        <v>48876</v>
      </c>
      <c r="D20" s="614"/>
      <c r="E20" s="614" t="s">
        <v>2584</v>
      </c>
      <c r="F20" s="613">
        <v>48876</v>
      </c>
      <c r="G20" s="614"/>
      <c r="H20" s="614" t="s">
        <v>2584</v>
      </c>
      <c r="I20" s="613"/>
      <c r="J20" s="613"/>
      <c r="K20" s="613"/>
      <c r="L20" s="613"/>
      <c r="N20" s="620">
        <f t="shared" si="0"/>
        <v>-48876</v>
      </c>
    </row>
    <row r="21" spans="1:14" outlineLevel="1" x14ac:dyDescent="0.25">
      <c r="A21" s="611">
        <v>970</v>
      </c>
      <c r="B21" s="612" t="s">
        <v>303</v>
      </c>
      <c r="C21" s="613">
        <v>10021.209999999999</v>
      </c>
      <c r="D21" s="614"/>
      <c r="E21" s="614" t="s">
        <v>2584</v>
      </c>
      <c r="F21" s="613">
        <v>8000</v>
      </c>
      <c r="G21" s="614"/>
      <c r="H21" s="614" t="s">
        <v>2584</v>
      </c>
      <c r="I21" s="613">
        <v>27905.39</v>
      </c>
      <c r="J21" s="613">
        <v>0</v>
      </c>
      <c r="K21" s="613">
        <v>183619.68</v>
      </c>
      <c r="L21" s="613">
        <v>181598.47</v>
      </c>
      <c r="N21" s="620">
        <f t="shared" si="0"/>
        <v>-8000</v>
      </c>
    </row>
    <row r="22" spans="1:14" outlineLevel="1" x14ac:dyDescent="0.25">
      <c r="A22" s="611">
        <v>974</v>
      </c>
      <c r="B22" s="612" t="s">
        <v>4507</v>
      </c>
      <c r="C22" s="613">
        <v>33940</v>
      </c>
      <c r="D22" s="614"/>
      <c r="E22" s="614" t="s">
        <v>2584</v>
      </c>
      <c r="F22" s="613">
        <v>33940</v>
      </c>
      <c r="G22" s="614"/>
      <c r="H22" s="614" t="s">
        <v>2584</v>
      </c>
      <c r="I22" s="613"/>
      <c r="J22" s="613"/>
      <c r="K22" s="613"/>
      <c r="L22" s="613"/>
      <c r="N22" s="620">
        <f t="shared" si="0"/>
        <v>-33940</v>
      </c>
    </row>
    <row r="23" spans="1:14" outlineLevel="1" x14ac:dyDescent="0.25">
      <c r="A23" s="611">
        <v>977</v>
      </c>
      <c r="B23" s="612" t="s">
        <v>4508</v>
      </c>
      <c r="C23" s="613">
        <v>37000</v>
      </c>
      <c r="D23" s="614"/>
      <c r="E23" s="614" t="s">
        <v>2584</v>
      </c>
      <c r="F23" s="613">
        <v>33000</v>
      </c>
      <c r="G23" s="614"/>
      <c r="H23" s="614" t="s">
        <v>2584</v>
      </c>
      <c r="I23" s="613">
        <v>0</v>
      </c>
      <c r="J23" s="613">
        <v>3000</v>
      </c>
      <c r="K23" s="613">
        <v>38520.9</v>
      </c>
      <c r="L23" s="613">
        <v>34520.9</v>
      </c>
      <c r="N23" s="620">
        <f t="shared" si="0"/>
        <v>-33000</v>
      </c>
    </row>
    <row r="24" spans="1:14" outlineLevel="1" x14ac:dyDescent="0.25">
      <c r="A24" s="611">
        <v>980</v>
      </c>
      <c r="B24" s="612" t="s">
        <v>4509</v>
      </c>
      <c r="C24" s="613">
        <v>62927.86</v>
      </c>
      <c r="D24" s="614" t="s">
        <v>2701</v>
      </c>
      <c r="E24" s="614"/>
      <c r="F24" s="613">
        <v>57412.24</v>
      </c>
      <c r="G24" s="614" t="s">
        <v>2701</v>
      </c>
      <c r="H24" s="614"/>
      <c r="I24" s="613">
        <v>1589.7</v>
      </c>
      <c r="J24" s="613">
        <v>9462.39</v>
      </c>
      <c r="K24" s="613">
        <v>115969.25</v>
      </c>
      <c r="L24" s="613">
        <v>121484.87</v>
      </c>
      <c r="N24" s="620">
        <f t="shared" si="0"/>
        <v>57412.24</v>
      </c>
    </row>
    <row r="25" spans="1:14" outlineLevel="1" x14ac:dyDescent="0.25">
      <c r="A25" s="611">
        <v>996</v>
      </c>
      <c r="B25" s="612" t="s">
        <v>4510</v>
      </c>
      <c r="C25" s="613">
        <v>18893</v>
      </c>
      <c r="D25" s="614"/>
      <c r="E25" s="614" t="s">
        <v>2584</v>
      </c>
      <c r="F25" s="613">
        <v>18893</v>
      </c>
      <c r="G25" s="614"/>
      <c r="H25" s="614" t="s">
        <v>2584</v>
      </c>
      <c r="I25" s="613"/>
      <c r="J25" s="613"/>
      <c r="K25" s="613"/>
      <c r="L25" s="613"/>
      <c r="N25" s="620">
        <f t="shared" si="0"/>
        <v>-18893</v>
      </c>
    </row>
    <row r="26" spans="1:14" outlineLevel="1" x14ac:dyDescent="0.25">
      <c r="A26" s="611">
        <v>998</v>
      </c>
      <c r="B26" s="612" t="s">
        <v>4511</v>
      </c>
      <c r="C26" s="613"/>
      <c r="D26" s="614"/>
      <c r="E26" s="614"/>
      <c r="F26" s="613">
        <v>0</v>
      </c>
      <c r="G26" s="614"/>
      <c r="H26" s="614"/>
      <c r="I26" s="613"/>
      <c r="J26" s="613"/>
      <c r="K26" s="613">
        <v>0</v>
      </c>
      <c r="L26" s="613">
        <v>0</v>
      </c>
      <c r="N26" s="620">
        <f t="shared" si="0"/>
        <v>0</v>
      </c>
    </row>
    <row r="27" spans="1:14" outlineLevel="1" x14ac:dyDescent="0.25">
      <c r="A27" s="611">
        <v>1000</v>
      </c>
      <c r="B27" s="612" t="s">
        <v>4512</v>
      </c>
      <c r="C27" s="613">
        <v>86.17</v>
      </c>
      <c r="D27" s="614" t="s">
        <v>2701</v>
      </c>
      <c r="E27" s="614"/>
      <c r="F27" s="613">
        <v>40.94</v>
      </c>
      <c r="G27" s="614" t="s">
        <v>2701</v>
      </c>
      <c r="H27" s="614"/>
      <c r="I27" s="613"/>
      <c r="J27" s="613"/>
      <c r="K27" s="613">
        <v>25</v>
      </c>
      <c r="L27" s="613">
        <v>70.23</v>
      </c>
      <c r="N27" s="620">
        <f t="shared" si="0"/>
        <v>40.94</v>
      </c>
    </row>
    <row r="28" spans="1:14" outlineLevel="1" x14ac:dyDescent="0.25">
      <c r="A28" s="611">
        <v>1100</v>
      </c>
      <c r="B28" s="612" t="s">
        <v>4513</v>
      </c>
      <c r="C28" s="613">
        <v>187954.81</v>
      </c>
      <c r="D28" s="614" t="s">
        <v>2701</v>
      </c>
      <c r="E28" s="614"/>
      <c r="F28" s="613">
        <v>76272.41</v>
      </c>
      <c r="G28" s="614" t="s">
        <v>2701</v>
      </c>
      <c r="H28" s="614"/>
      <c r="I28" s="613">
        <v>3741.88</v>
      </c>
      <c r="J28" s="613">
        <v>100032.87</v>
      </c>
      <c r="K28" s="613">
        <v>165889.99</v>
      </c>
      <c r="L28" s="613">
        <v>277572.39</v>
      </c>
      <c r="N28" s="620">
        <f t="shared" si="0"/>
        <v>76272.41</v>
      </c>
    </row>
    <row r="29" spans="1:14" outlineLevel="1" x14ac:dyDescent="0.25">
      <c r="A29" s="611">
        <v>1200</v>
      </c>
      <c r="B29" s="612" t="s">
        <v>4514</v>
      </c>
      <c r="C29" s="613">
        <v>626775.54</v>
      </c>
      <c r="D29" s="614" t="s">
        <v>2701</v>
      </c>
      <c r="E29" s="614"/>
      <c r="F29" s="613">
        <v>1418806.72</v>
      </c>
      <c r="G29" s="614" t="s">
        <v>2701</v>
      </c>
      <c r="H29" s="614"/>
      <c r="I29" s="613">
        <v>1205935.3600000001</v>
      </c>
      <c r="J29" s="613">
        <v>938662.49</v>
      </c>
      <c r="K29" s="613">
        <v>15071719.02</v>
      </c>
      <c r="L29" s="613">
        <v>14279687.84</v>
      </c>
      <c r="N29" s="620">
        <f t="shared" si="0"/>
        <v>1418806.72</v>
      </c>
    </row>
    <row r="30" spans="1:14" outlineLevel="1" x14ac:dyDescent="0.25">
      <c r="A30" s="611">
        <v>1210</v>
      </c>
      <c r="B30" s="612" t="s">
        <v>4515</v>
      </c>
      <c r="C30" s="613">
        <v>113807.93</v>
      </c>
      <c r="D30" s="614" t="s">
        <v>2701</v>
      </c>
      <c r="E30" s="614"/>
      <c r="F30" s="613">
        <v>85525.64</v>
      </c>
      <c r="G30" s="614" t="s">
        <v>2701</v>
      </c>
      <c r="H30" s="614"/>
      <c r="I30" s="613">
        <v>435445.98</v>
      </c>
      <c r="J30" s="613">
        <v>450585.93</v>
      </c>
      <c r="K30" s="613">
        <v>4474025.3</v>
      </c>
      <c r="L30" s="613">
        <v>4502307.59</v>
      </c>
      <c r="N30" s="620">
        <f t="shared" si="0"/>
        <v>85525.64</v>
      </c>
    </row>
    <row r="31" spans="1:14" outlineLevel="1" x14ac:dyDescent="0.25">
      <c r="A31" s="611">
        <v>1220</v>
      </c>
      <c r="B31" s="612" t="s">
        <v>4516</v>
      </c>
      <c r="C31" s="613">
        <v>75436.39</v>
      </c>
      <c r="D31" s="614" t="s">
        <v>2701</v>
      </c>
      <c r="E31" s="614"/>
      <c r="F31" s="613">
        <v>303521.43</v>
      </c>
      <c r="G31" s="614" t="s">
        <v>2701</v>
      </c>
      <c r="H31" s="614"/>
      <c r="I31" s="613">
        <v>121918.06</v>
      </c>
      <c r="J31" s="613">
        <v>100128.77</v>
      </c>
      <c r="K31" s="613">
        <v>708057.53</v>
      </c>
      <c r="L31" s="613">
        <v>479972.49</v>
      </c>
      <c r="N31" s="620">
        <f t="shared" si="0"/>
        <v>303521.43</v>
      </c>
    </row>
    <row r="32" spans="1:14" outlineLevel="1" x14ac:dyDescent="0.25">
      <c r="A32" s="611">
        <v>1348</v>
      </c>
      <c r="B32" s="612" t="s">
        <v>2387</v>
      </c>
      <c r="C32" s="613">
        <v>109791.75</v>
      </c>
      <c r="D32" s="614" t="s">
        <v>2701</v>
      </c>
      <c r="E32" s="614"/>
      <c r="F32" s="613">
        <v>78650</v>
      </c>
      <c r="G32" s="614" t="s">
        <v>2701</v>
      </c>
      <c r="H32" s="614"/>
      <c r="I32" s="613"/>
      <c r="J32" s="613"/>
      <c r="K32" s="613">
        <v>91824</v>
      </c>
      <c r="L32" s="613">
        <v>122965.75</v>
      </c>
      <c r="N32" s="620">
        <f t="shared" si="0"/>
        <v>78650</v>
      </c>
    </row>
    <row r="33" spans="1:14" outlineLevel="1" x14ac:dyDescent="0.25">
      <c r="A33" s="611">
        <v>1360</v>
      </c>
      <c r="B33" s="612" t="s">
        <v>4517</v>
      </c>
      <c r="C33" s="613"/>
      <c r="D33" s="614"/>
      <c r="E33" s="614"/>
      <c r="F33" s="613">
        <v>29732.86</v>
      </c>
      <c r="G33" s="614"/>
      <c r="H33" s="614" t="s">
        <v>2584</v>
      </c>
      <c r="I33" s="613">
        <v>252621.92</v>
      </c>
      <c r="J33" s="613">
        <v>382354.78</v>
      </c>
      <c r="K33" s="613">
        <v>3522621.8</v>
      </c>
      <c r="L33" s="613">
        <v>3552354.66</v>
      </c>
      <c r="N33" s="620">
        <f t="shared" si="0"/>
        <v>-29732.86</v>
      </c>
    </row>
    <row r="34" spans="1:14" outlineLevel="1" x14ac:dyDescent="0.25">
      <c r="A34" s="611">
        <v>1400</v>
      </c>
      <c r="B34" s="612" t="s">
        <v>4518</v>
      </c>
      <c r="C34" s="613">
        <v>2007694.36</v>
      </c>
      <c r="D34" s="614" t="s">
        <v>2701</v>
      </c>
      <c r="E34" s="614"/>
      <c r="F34" s="613">
        <v>1601867.83</v>
      </c>
      <c r="G34" s="614" t="s">
        <v>2701</v>
      </c>
      <c r="H34" s="614"/>
      <c r="I34" s="613">
        <v>1433704.09</v>
      </c>
      <c r="J34" s="613">
        <v>1460059.25</v>
      </c>
      <c r="K34" s="613">
        <v>16352894.869999999</v>
      </c>
      <c r="L34" s="613">
        <v>16758721.4</v>
      </c>
      <c r="N34" s="620">
        <f t="shared" si="0"/>
        <v>1601867.83</v>
      </c>
    </row>
    <row r="35" spans="1:14" outlineLevel="1" x14ac:dyDescent="0.25">
      <c r="A35" s="611">
        <v>1500</v>
      </c>
      <c r="B35" s="612" t="s">
        <v>308</v>
      </c>
      <c r="C35" s="613"/>
      <c r="D35" s="614"/>
      <c r="E35" s="614"/>
      <c r="F35" s="613">
        <v>0</v>
      </c>
      <c r="G35" s="614"/>
      <c r="H35" s="614"/>
      <c r="I35" s="613"/>
      <c r="J35" s="613"/>
      <c r="K35" s="613">
        <v>59500</v>
      </c>
      <c r="L35" s="613">
        <v>59500</v>
      </c>
      <c r="N35" s="620">
        <f t="shared" si="0"/>
        <v>0</v>
      </c>
    </row>
    <row r="36" spans="1:14" outlineLevel="1" x14ac:dyDescent="0.25">
      <c r="A36" s="611">
        <v>1510</v>
      </c>
      <c r="B36" s="612" t="s">
        <v>4519</v>
      </c>
      <c r="C36" s="613"/>
      <c r="D36" s="614"/>
      <c r="E36" s="614"/>
      <c r="F36" s="613">
        <v>0</v>
      </c>
      <c r="G36" s="614"/>
      <c r="H36" s="614"/>
      <c r="I36" s="613"/>
      <c r="J36" s="613"/>
      <c r="K36" s="613">
        <v>0</v>
      </c>
      <c r="L36" s="613">
        <v>0</v>
      </c>
      <c r="N36" s="620">
        <f t="shared" si="0"/>
        <v>0</v>
      </c>
    </row>
    <row r="37" spans="1:14" outlineLevel="1" x14ac:dyDescent="0.25">
      <c r="A37" s="611">
        <v>1518</v>
      </c>
      <c r="B37" s="612" t="s">
        <v>4520</v>
      </c>
      <c r="C37" s="613">
        <v>50000</v>
      </c>
      <c r="D37" s="614" t="s">
        <v>2701</v>
      </c>
      <c r="E37" s="614"/>
      <c r="F37" s="613">
        <v>50000</v>
      </c>
      <c r="G37" s="614" t="s">
        <v>2701</v>
      </c>
      <c r="H37" s="614"/>
      <c r="I37" s="613"/>
      <c r="J37" s="613"/>
      <c r="K37" s="613"/>
      <c r="L37" s="613"/>
      <c r="N37" s="620">
        <f t="shared" si="0"/>
        <v>50000</v>
      </c>
    </row>
    <row r="38" spans="1:14" outlineLevel="1" x14ac:dyDescent="0.25">
      <c r="A38" s="611">
        <v>1520</v>
      </c>
      <c r="B38" s="612" t="s">
        <v>4521</v>
      </c>
      <c r="C38" s="613">
        <v>1734.16</v>
      </c>
      <c r="D38" s="614" t="s">
        <v>2701</v>
      </c>
      <c r="E38" s="614"/>
      <c r="F38" s="613">
        <v>0</v>
      </c>
      <c r="G38" s="614"/>
      <c r="H38" s="614"/>
      <c r="I38" s="613"/>
      <c r="J38" s="613"/>
      <c r="K38" s="613">
        <v>5823.04</v>
      </c>
      <c r="L38" s="613">
        <v>7557.2</v>
      </c>
      <c r="N38" s="620">
        <f t="shared" si="0"/>
        <v>0</v>
      </c>
    </row>
    <row r="39" spans="1:14" outlineLevel="1" x14ac:dyDescent="0.25">
      <c r="A39" s="611">
        <v>1525</v>
      </c>
      <c r="B39" s="612" t="s">
        <v>4522</v>
      </c>
      <c r="C39" s="613">
        <v>3550</v>
      </c>
      <c r="D39" s="614" t="s">
        <v>2701</v>
      </c>
      <c r="E39" s="614"/>
      <c r="F39" s="613">
        <v>3250</v>
      </c>
      <c r="G39" s="614" t="s">
        <v>2701</v>
      </c>
      <c r="H39" s="614"/>
      <c r="I39" s="613"/>
      <c r="J39" s="613"/>
      <c r="K39" s="613">
        <v>2000</v>
      </c>
      <c r="L39" s="613">
        <v>2300</v>
      </c>
      <c r="N39" s="620">
        <f t="shared" si="0"/>
        <v>3250</v>
      </c>
    </row>
    <row r="40" spans="1:14" outlineLevel="1" x14ac:dyDescent="0.25">
      <c r="A40" s="611">
        <v>1540</v>
      </c>
      <c r="B40" s="612" t="s">
        <v>4523</v>
      </c>
      <c r="C40" s="613">
        <v>88619</v>
      </c>
      <c r="D40" s="614" t="s">
        <v>2701</v>
      </c>
      <c r="E40" s="614"/>
      <c r="F40" s="613">
        <v>43070</v>
      </c>
      <c r="G40" s="614" t="s">
        <v>2701</v>
      </c>
      <c r="H40" s="614"/>
      <c r="I40" s="613"/>
      <c r="J40" s="613"/>
      <c r="K40" s="613">
        <v>0</v>
      </c>
      <c r="L40" s="613">
        <v>45549</v>
      </c>
      <c r="N40" s="620">
        <f t="shared" si="0"/>
        <v>43070</v>
      </c>
    </row>
    <row r="41" spans="1:14" outlineLevel="1" x14ac:dyDescent="0.25">
      <c r="A41" s="611">
        <v>1544</v>
      </c>
      <c r="B41" s="612" t="s">
        <v>4524</v>
      </c>
      <c r="C41" s="613"/>
      <c r="D41" s="614"/>
      <c r="E41" s="614"/>
      <c r="F41" s="613">
        <v>0</v>
      </c>
      <c r="G41" s="614"/>
      <c r="H41" s="614"/>
      <c r="I41" s="613"/>
      <c r="J41" s="613"/>
      <c r="K41" s="613">
        <v>0</v>
      </c>
      <c r="L41" s="613">
        <v>0</v>
      </c>
      <c r="N41" s="620">
        <f t="shared" si="0"/>
        <v>0</v>
      </c>
    </row>
    <row r="42" spans="1:14" outlineLevel="1" x14ac:dyDescent="0.25">
      <c r="A42" s="611">
        <v>1548</v>
      </c>
      <c r="B42" s="612" t="s">
        <v>4525</v>
      </c>
      <c r="C42" s="613">
        <v>29241.96</v>
      </c>
      <c r="D42" s="614" t="s">
        <v>2701</v>
      </c>
      <c r="E42" s="614"/>
      <c r="F42" s="613">
        <v>0</v>
      </c>
      <c r="G42" s="614"/>
      <c r="H42" s="614"/>
      <c r="I42" s="613"/>
      <c r="J42" s="613"/>
      <c r="K42" s="613">
        <v>0</v>
      </c>
      <c r="L42" s="613">
        <v>29241.96</v>
      </c>
      <c r="N42" s="620">
        <f t="shared" si="0"/>
        <v>0</v>
      </c>
    </row>
    <row r="43" spans="1:14" outlineLevel="1" x14ac:dyDescent="0.25">
      <c r="A43" s="611">
        <v>1549</v>
      </c>
      <c r="B43" s="612" t="s">
        <v>4526</v>
      </c>
      <c r="C43" s="613">
        <v>190440.14</v>
      </c>
      <c r="D43" s="614" t="s">
        <v>2701</v>
      </c>
      <c r="E43" s="614"/>
      <c r="F43" s="613">
        <v>46387.65</v>
      </c>
      <c r="G43" s="614" t="s">
        <v>2701</v>
      </c>
      <c r="H43" s="614"/>
      <c r="I43" s="613"/>
      <c r="J43" s="613"/>
      <c r="K43" s="613">
        <v>1</v>
      </c>
      <c r="L43" s="613">
        <v>144053.49</v>
      </c>
      <c r="N43" s="620">
        <f t="shared" si="0"/>
        <v>46387.65</v>
      </c>
    </row>
    <row r="44" spans="1:14" outlineLevel="1" x14ac:dyDescent="0.25">
      <c r="A44" s="611">
        <v>1571</v>
      </c>
      <c r="B44" s="612" t="s">
        <v>4527</v>
      </c>
      <c r="C44" s="613"/>
      <c r="D44" s="614"/>
      <c r="E44" s="614"/>
      <c r="F44" s="613">
        <v>3851.97</v>
      </c>
      <c r="G44" s="614" t="s">
        <v>2701</v>
      </c>
      <c r="H44" s="614"/>
      <c r="I44" s="613">
        <v>1058.8499999999999</v>
      </c>
      <c r="J44" s="613">
        <v>25.83</v>
      </c>
      <c r="K44" s="613">
        <v>3879.06</v>
      </c>
      <c r="L44" s="613">
        <v>27.09</v>
      </c>
      <c r="N44" s="620">
        <f t="shared" si="0"/>
        <v>3851.97</v>
      </c>
    </row>
    <row r="45" spans="1:14" outlineLevel="1" x14ac:dyDescent="0.25">
      <c r="A45" s="611">
        <v>1574</v>
      </c>
      <c r="B45" s="612" t="s">
        <v>4528</v>
      </c>
      <c r="C45" s="613"/>
      <c r="D45" s="614"/>
      <c r="E45" s="614"/>
      <c r="F45" s="613">
        <v>671305.7</v>
      </c>
      <c r="G45" s="614" t="s">
        <v>2701</v>
      </c>
      <c r="H45" s="614"/>
      <c r="I45" s="613">
        <v>103007.6</v>
      </c>
      <c r="J45" s="613">
        <v>0</v>
      </c>
      <c r="K45" s="613">
        <v>674911.36</v>
      </c>
      <c r="L45" s="613">
        <v>3605.66</v>
      </c>
      <c r="N45" s="620">
        <f t="shared" si="0"/>
        <v>671305.7</v>
      </c>
    </row>
    <row r="46" spans="1:14" outlineLevel="1" x14ac:dyDescent="0.25">
      <c r="A46" s="611">
        <v>1576</v>
      </c>
      <c r="B46" s="612" t="s">
        <v>4529</v>
      </c>
      <c r="C46" s="613"/>
      <c r="D46" s="614"/>
      <c r="E46" s="614"/>
      <c r="F46" s="613">
        <v>944449.47</v>
      </c>
      <c r="G46" s="614" t="s">
        <v>2701</v>
      </c>
      <c r="H46" s="614"/>
      <c r="I46" s="613">
        <v>104467.64</v>
      </c>
      <c r="J46" s="613">
        <v>690.88</v>
      </c>
      <c r="K46" s="613">
        <v>953807.33</v>
      </c>
      <c r="L46" s="613">
        <v>9357.86</v>
      </c>
      <c r="N46" s="620">
        <f t="shared" si="0"/>
        <v>944449.47</v>
      </c>
    </row>
    <row r="47" spans="1:14" outlineLevel="1" x14ac:dyDescent="0.25">
      <c r="A47" s="611">
        <v>1577</v>
      </c>
      <c r="B47" s="612" t="s">
        <v>4530</v>
      </c>
      <c r="C47" s="613"/>
      <c r="D47" s="614"/>
      <c r="E47" s="614"/>
      <c r="F47" s="613">
        <v>41665.69</v>
      </c>
      <c r="G47" s="614" t="s">
        <v>2701</v>
      </c>
      <c r="H47" s="614"/>
      <c r="I47" s="613">
        <v>6308</v>
      </c>
      <c r="J47" s="613">
        <v>0</v>
      </c>
      <c r="K47" s="613">
        <v>41665.69</v>
      </c>
      <c r="L47" s="613">
        <v>0</v>
      </c>
      <c r="N47" s="620">
        <f t="shared" si="0"/>
        <v>41665.69</v>
      </c>
    </row>
    <row r="48" spans="1:14" outlineLevel="1" x14ac:dyDescent="0.25">
      <c r="A48" s="611">
        <v>1588</v>
      </c>
      <c r="B48" s="612" t="s">
        <v>4531</v>
      </c>
      <c r="C48" s="613"/>
      <c r="D48" s="614"/>
      <c r="E48" s="614"/>
      <c r="F48" s="613">
        <v>6579.49</v>
      </c>
      <c r="G48" s="614" t="s">
        <v>2701</v>
      </c>
      <c r="H48" s="614"/>
      <c r="I48" s="613">
        <v>939.46</v>
      </c>
      <c r="J48" s="613">
        <v>0</v>
      </c>
      <c r="K48" s="613">
        <v>6579.49</v>
      </c>
      <c r="L48" s="613">
        <v>0</v>
      </c>
      <c r="N48" s="620">
        <f t="shared" si="0"/>
        <v>6579.49</v>
      </c>
    </row>
    <row r="49" spans="1:14" outlineLevel="1" x14ac:dyDescent="0.25">
      <c r="A49" s="611">
        <v>1590</v>
      </c>
      <c r="B49" s="612" t="s">
        <v>4532</v>
      </c>
      <c r="C49" s="613"/>
      <c r="D49" s="614"/>
      <c r="E49" s="614"/>
      <c r="F49" s="613">
        <v>0</v>
      </c>
      <c r="G49" s="614"/>
      <c r="H49" s="614"/>
      <c r="I49" s="613"/>
      <c r="J49" s="613"/>
      <c r="K49" s="613">
        <v>0</v>
      </c>
      <c r="L49" s="613">
        <v>0</v>
      </c>
      <c r="N49" s="620">
        <f t="shared" si="0"/>
        <v>0</v>
      </c>
    </row>
    <row r="50" spans="1:14" outlineLevel="1" x14ac:dyDescent="0.25">
      <c r="A50" s="611">
        <v>1600</v>
      </c>
      <c r="B50" s="612" t="s">
        <v>4533</v>
      </c>
      <c r="C50" s="613">
        <v>1220438.01</v>
      </c>
      <c r="D50" s="614"/>
      <c r="E50" s="614" t="s">
        <v>2584</v>
      </c>
      <c r="F50" s="613">
        <v>635671.31000000006</v>
      </c>
      <c r="G50" s="614"/>
      <c r="H50" s="614" t="s">
        <v>2584</v>
      </c>
      <c r="I50" s="613">
        <v>712519.81</v>
      </c>
      <c r="J50" s="613">
        <v>1086954.6200000001</v>
      </c>
      <c r="K50" s="613">
        <v>9738725.8599999994</v>
      </c>
      <c r="L50" s="613">
        <v>9153959.1600000001</v>
      </c>
      <c r="N50" s="620">
        <f t="shared" si="0"/>
        <v>-635671.31000000006</v>
      </c>
    </row>
    <row r="51" spans="1:14" outlineLevel="1" x14ac:dyDescent="0.25">
      <c r="A51" s="611">
        <v>1700</v>
      </c>
      <c r="B51" s="612" t="s">
        <v>301</v>
      </c>
      <c r="C51" s="613">
        <v>21211.07</v>
      </c>
      <c r="D51" s="614"/>
      <c r="E51" s="614" t="s">
        <v>2584</v>
      </c>
      <c r="F51" s="613">
        <v>0</v>
      </c>
      <c r="G51" s="614"/>
      <c r="H51" s="614"/>
      <c r="I51" s="613"/>
      <c r="J51" s="613"/>
      <c r="K51" s="613">
        <v>21211.07</v>
      </c>
      <c r="L51" s="613">
        <v>0</v>
      </c>
      <c r="N51" s="620">
        <f t="shared" si="0"/>
        <v>0</v>
      </c>
    </row>
    <row r="52" spans="1:14" outlineLevel="1" x14ac:dyDescent="0.25">
      <c r="A52" s="611">
        <v>1718</v>
      </c>
      <c r="B52" s="612" t="s">
        <v>4534</v>
      </c>
      <c r="C52" s="613">
        <v>50000</v>
      </c>
      <c r="D52" s="614"/>
      <c r="E52" s="614" t="s">
        <v>2584</v>
      </c>
      <c r="F52" s="613">
        <v>0</v>
      </c>
      <c r="G52" s="614"/>
      <c r="H52" s="614"/>
      <c r="I52" s="613"/>
      <c r="J52" s="613"/>
      <c r="K52" s="613">
        <v>50000</v>
      </c>
      <c r="L52" s="613">
        <v>0</v>
      </c>
      <c r="N52" s="620">
        <f t="shared" si="0"/>
        <v>0</v>
      </c>
    </row>
    <row r="53" spans="1:14" outlineLevel="1" x14ac:dyDescent="0.25">
      <c r="A53" s="611">
        <v>1740</v>
      </c>
      <c r="B53" s="612" t="s">
        <v>4535</v>
      </c>
      <c r="C53" s="613">
        <v>249856.51</v>
      </c>
      <c r="D53" s="614"/>
      <c r="E53" s="614" t="s">
        <v>2584</v>
      </c>
      <c r="F53" s="613">
        <v>177853.1</v>
      </c>
      <c r="G53" s="614"/>
      <c r="H53" s="614" t="s">
        <v>2584</v>
      </c>
      <c r="I53" s="613">
        <v>230100.86</v>
      </c>
      <c r="J53" s="613">
        <v>211556.37</v>
      </c>
      <c r="K53" s="613">
        <v>2206670.5499999998</v>
      </c>
      <c r="L53" s="613">
        <v>2134667.14</v>
      </c>
      <c r="N53" s="620">
        <f t="shared" si="0"/>
        <v>-177853.1</v>
      </c>
    </row>
    <row r="54" spans="1:14" outlineLevel="1" x14ac:dyDescent="0.25">
      <c r="A54" s="611">
        <v>1741</v>
      </c>
      <c r="B54" s="612" t="s">
        <v>4536</v>
      </c>
      <c r="C54" s="613">
        <v>89659.33</v>
      </c>
      <c r="D54" s="614"/>
      <c r="E54" s="614" t="s">
        <v>2584</v>
      </c>
      <c r="F54" s="613">
        <v>53593.83</v>
      </c>
      <c r="G54" s="614"/>
      <c r="H54" s="614" t="s">
        <v>2584</v>
      </c>
      <c r="I54" s="613">
        <v>74110.97</v>
      </c>
      <c r="J54" s="613">
        <v>53593.83</v>
      </c>
      <c r="K54" s="613">
        <v>535895.24</v>
      </c>
      <c r="L54" s="613">
        <v>499829.74</v>
      </c>
      <c r="N54" s="620">
        <f t="shared" si="0"/>
        <v>-53593.83</v>
      </c>
    </row>
    <row r="55" spans="1:14" outlineLevel="1" x14ac:dyDescent="0.25">
      <c r="A55" s="611">
        <v>1742</v>
      </c>
      <c r="B55" s="612" t="s">
        <v>4537</v>
      </c>
      <c r="C55" s="613">
        <v>2494.25</v>
      </c>
      <c r="D55" s="614"/>
      <c r="E55" s="614" t="s">
        <v>2584</v>
      </c>
      <c r="F55" s="613">
        <v>19761.810000000001</v>
      </c>
      <c r="G55" s="614"/>
      <c r="H55" s="614" t="s">
        <v>2584</v>
      </c>
      <c r="I55" s="613">
        <v>106224.7</v>
      </c>
      <c r="J55" s="613">
        <v>122876.54</v>
      </c>
      <c r="K55" s="613">
        <v>1160025.99</v>
      </c>
      <c r="L55" s="613">
        <v>1177293.55</v>
      </c>
      <c r="N55" s="620">
        <f t="shared" si="0"/>
        <v>-19761.810000000001</v>
      </c>
    </row>
    <row r="56" spans="1:14" outlineLevel="1" x14ac:dyDescent="0.25">
      <c r="A56" s="611">
        <v>1755</v>
      </c>
      <c r="B56" s="612" t="s">
        <v>4538</v>
      </c>
      <c r="C56" s="613"/>
      <c r="D56" s="614"/>
      <c r="E56" s="614"/>
      <c r="F56" s="613">
        <v>0</v>
      </c>
      <c r="G56" s="614"/>
      <c r="H56" s="614"/>
      <c r="I56" s="613">
        <v>398959.52</v>
      </c>
      <c r="J56" s="613">
        <v>398959.52</v>
      </c>
      <c r="K56" s="613">
        <v>3959844.49</v>
      </c>
      <c r="L56" s="613">
        <v>3959844.49</v>
      </c>
      <c r="N56" s="620">
        <f t="shared" si="0"/>
        <v>0</v>
      </c>
    </row>
    <row r="57" spans="1:14" outlineLevel="1" x14ac:dyDescent="0.25">
      <c r="A57" s="611">
        <v>1759</v>
      </c>
      <c r="B57" s="612" t="s">
        <v>4539</v>
      </c>
      <c r="C57" s="613">
        <v>1749.87</v>
      </c>
      <c r="D57" s="614"/>
      <c r="E57" s="614" t="s">
        <v>2584</v>
      </c>
      <c r="F57" s="613">
        <v>1171.42</v>
      </c>
      <c r="G57" s="614"/>
      <c r="H57" s="614" t="s">
        <v>2584</v>
      </c>
      <c r="I57" s="613">
        <v>106224.7</v>
      </c>
      <c r="J57" s="613">
        <v>106224.7</v>
      </c>
      <c r="K57" s="613">
        <v>1164536.73</v>
      </c>
      <c r="L57" s="613">
        <v>1163958.28</v>
      </c>
      <c r="N57" s="620">
        <f t="shared" si="0"/>
        <v>-1171.42</v>
      </c>
    </row>
    <row r="58" spans="1:14" outlineLevel="1" x14ac:dyDescent="0.25">
      <c r="A58" s="611">
        <v>1774</v>
      </c>
      <c r="B58" s="612" t="s">
        <v>4540</v>
      </c>
      <c r="C58" s="613"/>
      <c r="D58" s="614"/>
      <c r="E58" s="614"/>
      <c r="F58" s="613">
        <v>671305.7</v>
      </c>
      <c r="G58" s="614"/>
      <c r="H58" s="614" t="s">
        <v>2584</v>
      </c>
      <c r="I58" s="613">
        <v>0</v>
      </c>
      <c r="J58" s="613">
        <v>103007.6</v>
      </c>
      <c r="K58" s="613">
        <v>3605.66</v>
      </c>
      <c r="L58" s="613">
        <v>674911.36</v>
      </c>
      <c r="N58" s="620">
        <f t="shared" si="0"/>
        <v>-671305.7</v>
      </c>
    </row>
    <row r="59" spans="1:14" outlineLevel="1" x14ac:dyDescent="0.25">
      <c r="A59" s="611">
        <v>1776</v>
      </c>
      <c r="B59" s="612" t="s">
        <v>4541</v>
      </c>
      <c r="C59" s="613"/>
      <c r="D59" s="614"/>
      <c r="E59" s="614"/>
      <c r="F59" s="613">
        <v>1802701.97</v>
      </c>
      <c r="G59" s="614"/>
      <c r="H59" s="614" t="s">
        <v>2584</v>
      </c>
      <c r="I59" s="613">
        <v>2599.5</v>
      </c>
      <c r="J59" s="613">
        <v>148617.57999999999</v>
      </c>
      <c r="K59" s="613">
        <v>52585.88</v>
      </c>
      <c r="L59" s="613">
        <v>1855287.85</v>
      </c>
      <c r="N59" s="620">
        <f t="shared" si="0"/>
        <v>-1802701.97</v>
      </c>
    </row>
    <row r="60" spans="1:14" outlineLevel="1" x14ac:dyDescent="0.25">
      <c r="A60" s="611">
        <v>1780</v>
      </c>
      <c r="B60" s="612" t="s">
        <v>4542</v>
      </c>
      <c r="C60" s="613"/>
      <c r="D60" s="614"/>
      <c r="E60" s="614"/>
      <c r="F60" s="613">
        <v>754883.29</v>
      </c>
      <c r="G60" s="614" t="s">
        <v>2701</v>
      </c>
      <c r="H60" s="614"/>
      <c r="I60" s="613">
        <v>69775.92</v>
      </c>
      <c r="J60" s="613">
        <v>0</v>
      </c>
      <c r="K60" s="613">
        <v>754883.29</v>
      </c>
      <c r="L60" s="613">
        <v>0</v>
      </c>
      <c r="N60" s="620">
        <f t="shared" si="0"/>
        <v>754883.29</v>
      </c>
    </row>
    <row r="61" spans="1:14" outlineLevel="1" x14ac:dyDescent="0.25">
      <c r="A61" s="611">
        <v>1781</v>
      </c>
      <c r="B61" s="612" t="s">
        <v>4543</v>
      </c>
      <c r="C61" s="613"/>
      <c r="D61" s="614"/>
      <c r="E61" s="614"/>
      <c r="F61" s="613">
        <v>110118</v>
      </c>
      <c r="G61" s="614" t="s">
        <v>2701</v>
      </c>
      <c r="H61" s="614"/>
      <c r="I61" s="613"/>
      <c r="J61" s="613"/>
      <c r="K61" s="613">
        <v>110213</v>
      </c>
      <c r="L61" s="613">
        <v>95</v>
      </c>
      <c r="N61" s="620">
        <f t="shared" si="0"/>
        <v>110118</v>
      </c>
    </row>
    <row r="62" spans="1:14" outlineLevel="1" x14ac:dyDescent="0.25">
      <c r="A62" s="611">
        <v>1787</v>
      </c>
      <c r="B62" s="612" t="s">
        <v>4544</v>
      </c>
      <c r="C62" s="613"/>
      <c r="D62" s="614"/>
      <c r="E62" s="614"/>
      <c r="F62" s="613">
        <v>41665.69</v>
      </c>
      <c r="G62" s="614"/>
      <c r="H62" s="614" t="s">
        <v>2584</v>
      </c>
      <c r="I62" s="613">
        <v>0</v>
      </c>
      <c r="J62" s="613">
        <v>6308</v>
      </c>
      <c r="K62" s="613">
        <v>0</v>
      </c>
      <c r="L62" s="613">
        <v>41665.69</v>
      </c>
      <c r="N62" s="620">
        <f t="shared" si="0"/>
        <v>-41665.69</v>
      </c>
    </row>
    <row r="63" spans="1:14" outlineLevel="1" x14ac:dyDescent="0.25">
      <c r="A63" s="611">
        <v>1789</v>
      </c>
      <c r="B63" s="612" t="s">
        <v>4545</v>
      </c>
      <c r="C63" s="613"/>
      <c r="D63" s="614"/>
      <c r="E63" s="614"/>
      <c r="F63" s="613">
        <v>0</v>
      </c>
      <c r="G63" s="614"/>
      <c r="H63" s="614"/>
      <c r="I63" s="613"/>
      <c r="J63" s="613"/>
      <c r="K63" s="613">
        <v>0</v>
      </c>
      <c r="L63" s="613">
        <v>0</v>
      </c>
      <c r="N63" s="620">
        <f t="shared" si="0"/>
        <v>0</v>
      </c>
    </row>
    <row r="64" spans="1:14" outlineLevel="1" x14ac:dyDescent="0.25">
      <c r="A64" s="611">
        <v>1790</v>
      </c>
      <c r="B64" s="612" t="s">
        <v>4546</v>
      </c>
      <c r="C64" s="613">
        <v>65679.12</v>
      </c>
      <c r="D64" s="614"/>
      <c r="E64" s="614" t="s">
        <v>2584</v>
      </c>
      <c r="F64" s="613">
        <v>0</v>
      </c>
      <c r="G64" s="614"/>
      <c r="H64" s="614"/>
      <c r="I64" s="613"/>
      <c r="J64" s="613"/>
      <c r="K64" s="613">
        <v>73269.27</v>
      </c>
      <c r="L64" s="613">
        <v>7590.15</v>
      </c>
      <c r="N64" s="620">
        <f t="shared" si="0"/>
        <v>0</v>
      </c>
    </row>
    <row r="65" spans="1:14" outlineLevel="1" x14ac:dyDescent="0.25">
      <c r="A65" s="611">
        <v>1791</v>
      </c>
      <c r="B65" s="612" t="s">
        <v>4547</v>
      </c>
      <c r="C65" s="613">
        <v>1513.82</v>
      </c>
      <c r="D65" s="614" t="s">
        <v>2701</v>
      </c>
      <c r="E65" s="614"/>
      <c r="F65" s="613">
        <v>0</v>
      </c>
      <c r="G65" s="614"/>
      <c r="H65" s="614"/>
      <c r="I65" s="613"/>
      <c r="J65" s="613"/>
      <c r="K65" s="613">
        <v>0</v>
      </c>
      <c r="L65" s="613">
        <v>1513.82</v>
      </c>
      <c r="N65" s="620">
        <f t="shared" si="0"/>
        <v>0</v>
      </c>
    </row>
    <row r="66" spans="1:14" outlineLevel="1" x14ac:dyDescent="0.25">
      <c r="A66" s="611">
        <v>2102</v>
      </c>
      <c r="B66" s="612" t="s">
        <v>4548</v>
      </c>
      <c r="C66" s="613"/>
      <c r="D66" s="614"/>
      <c r="E66" s="614"/>
      <c r="F66" s="613">
        <v>0</v>
      </c>
      <c r="G66" s="614"/>
      <c r="H66" s="614"/>
      <c r="I66" s="613"/>
      <c r="J66" s="613"/>
      <c r="K66" s="613">
        <v>0</v>
      </c>
      <c r="L66" s="613">
        <v>0</v>
      </c>
      <c r="N66" s="620">
        <f t="shared" si="0"/>
        <v>0</v>
      </c>
    </row>
    <row r="67" spans="1:14" outlineLevel="1" x14ac:dyDescent="0.25">
      <c r="A67" s="611">
        <v>2110</v>
      </c>
      <c r="B67" s="612" t="s">
        <v>4549</v>
      </c>
      <c r="C67" s="613"/>
      <c r="D67" s="614"/>
      <c r="E67" s="614"/>
      <c r="F67" s="613">
        <v>176.21</v>
      </c>
      <c r="G67" s="614" t="s">
        <v>2701</v>
      </c>
      <c r="H67" s="614"/>
      <c r="I67" s="613"/>
      <c r="J67" s="613"/>
      <c r="K67" s="613">
        <v>176.21</v>
      </c>
      <c r="L67" s="613">
        <v>0</v>
      </c>
      <c r="N67" s="620">
        <f t="shared" si="0"/>
        <v>176.21</v>
      </c>
    </row>
    <row r="68" spans="1:14" outlineLevel="1" x14ac:dyDescent="0.25">
      <c r="A68" s="611">
        <v>2120</v>
      </c>
      <c r="B68" s="612" t="s">
        <v>4550</v>
      </c>
      <c r="C68" s="613"/>
      <c r="D68" s="614"/>
      <c r="E68" s="614"/>
      <c r="F68" s="613">
        <v>48.83</v>
      </c>
      <c r="G68" s="614" t="s">
        <v>2701</v>
      </c>
      <c r="H68" s="614"/>
      <c r="I68" s="613"/>
      <c r="J68" s="613"/>
      <c r="K68" s="613">
        <v>48.83</v>
      </c>
      <c r="L68" s="613">
        <v>0</v>
      </c>
      <c r="N68" s="620">
        <f t="shared" ref="N68:N131" si="1">IF(G68="S",F68,-F68)</f>
        <v>48.83</v>
      </c>
    </row>
    <row r="69" spans="1:14" outlineLevel="1" x14ac:dyDescent="0.25">
      <c r="A69" s="611">
        <v>2146</v>
      </c>
      <c r="B69" s="612" t="s">
        <v>4551</v>
      </c>
      <c r="C69" s="613"/>
      <c r="D69" s="614"/>
      <c r="E69" s="614"/>
      <c r="F69" s="613">
        <v>0</v>
      </c>
      <c r="G69" s="614"/>
      <c r="H69" s="614"/>
      <c r="I69" s="613"/>
      <c r="J69" s="613"/>
      <c r="K69" s="613">
        <v>0</v>
      </c>
      <c r="L69" s="613">
        <v>0</v>
      </c>
      <c r="N69" s="620">
        <f t="shared" si="1"/>
        <v>0</v>
      </c>
    </row>
    <row r="70" spans="1:14" outlineLevel="1" x14ac:dyDescent="0.25">
      <c r="A70" s="611">
        <v>2150</v>
      </c>
      <c r="B70" s="612" t="s">
        <v>4552</v>
      </c>
      <c r="C70" s="613"/>
      <c r="D70" s="614"/>
      <c r="E70" s="614"/>
      <c r="F70" s="613">
        <v>51.15</v>
      </c>
      <c r="G70" s="614" t="s">
        <v>2701</v>
      </c>
      <c r="H70" s="614"/>
      <c r="I70" s="613"/>
      <c r="J70" s="613"/>
      <c r="K70" s="613">
        <v>51.15</v>
      </c>
      <c r="L70" s="613">
        <v>0</v>
      </c>
      <c r="N70" s="620">
        <f t="shared" si="1"/>
        <v>51.15</v>
      </c>
    </row>
    <row r="71" spans="1:14" outlineLevel="1" x14ac:dyDescent="0.25">
      <c r="A71" s="611">
        <v>2200</v>
      </c>
      <c r="B71" s="612" t="s">
        <v>122</v>
      </c>
      <c r="C71" s="613"/>
      <c r="D71" s="614"/>
      <c r="E71" s="614"/>
      <c r="F71" s="613">
        <v>140379</v>
      </c>
      <c r="G71" s="614" t="s">
        <v>2701</v>
      </c>
      <c r="H71" s="614"/>
      <c r="I71" s="613"/>
      <c r="J71" s="613"/>
      <c r="K71" s="613">
        <v>140379</v>
      </c>
      <c r="L71" s="613">
        <v>0</v>
      </c>
      <c r="N71" s="620">
        <f t="shared" si="1"/>
        <v>140379</v>
      </c>
    </row>
    <row r="72" spans="1:14" outlineLevel="1" x14ac:dyDescent="0.25">
      <c r="A72" s="611">
        <v>2204</v>
      </c>
      <c r="B72" s="612" t="s">
        <v>4553</v>
      </c>
      <c r="C72" s="613"/>
      <c r="D72" s="614"/>
      <c r="E72" s="614"/>
      <c r="F72" s="613">
        <v>1</v>
      </c>
      <c r="G72" s="614"/>
      <c r="H72" s="614" t="s">
        <v>2584</v>
      </c>
      <c r="I72" s="613"/>
      <c r="J72" s="613"/>
      <c r="K72" s="613">
        <v>0</v>
      </c>
      <c r="L72" s="613">
        <v>1</v>
      </c>
      <c r="N72" s="620">
        <f t="shared" si="1"/>
        <v>-1</v>
      </c>
    </row>
    <row r="73" spans="1:14" outlineLevel="1" x14ac:dyDescent="0.25">
      <c r="A73" s="611">
        <v>2208</v>
      </c>
      <c r="B73" s="612" t="s">
        <v>86</v>
      </c>
      <c r="C73" s="613"/>
      <c r="D73" s="614"/>
      <c r="E73" s="614"/>
      <c r="F73" s="613">
        <v>7719</v>
      </c>
      <c r="G73" s="614" t="s">
        <v>2701</v>
      </c>
      <c r="H73" s="614"/>
      <c r="I73" s="613"/>
      <c r="J73" s="613"/>
      <c r="K73" s="613">
        <v>7719</v>
      </c>
      <c r="L73" s="613">
        <v>0</v>
      </c>
      <c r="N73" s="620">
        <f t="shared" si="1"/>
        <v>7719</v>
      </c>
    </row>
    <row r="74" spans="1:14" outlineLevel="1" x14ac:dyDescent="0.25">
      <c r="A74" s="611">
        <v>2213</v>
      </c>
      <c r="B74" s="612" t="s">
        <v>4554</v>
      </c>
      <c r="C74" s="613"/>
      <c r="D74" s="614"/>
      <c r="E74" s="614"/>
      <c r="F74" s="613">
        <v>325</v>
      </c>
      <c r="G74" s="614" t="s">
        <v>2701</v>
      </c>
      <c r="H74" s="614"/>
      <c r="I74" s="613"/>
      <c r="J74" s="613"/>
      <c r="K74" s="613">
        <v>325</v>
      </c>
      <c r="L74" s="613">
        <v>0</v>
      </c>
      <c r="N74" s="620">
        <f t="shared" si="1"/>
        <v>325</v>
      </c>
    </row>
    <row r="75" spans="1:14" outlineLevel="1" x14ac:dyDescent="0.25">
      <c r="A75" s="611">
        <v>2216</v>
      </c>
      <c r="B75" s="612" t="s">
        <v>4555</v>
      </c>
      <c r="C75" s="613"/>
      <c r="D75" s="614"/>
      <c r="E75" s="614"/>
      <c r="F75" s="613">
        <v>17.87</v>
      </c>
      <c r="G75" s="614" t="s">
        <v>2701</v>
      </c>
      <c r="H75" s="614"/>
      <c r="I75" s="613"/>
      <c r="J75" s="613"/>
      <c r="K75" s="613">
        <v>17.87</v>
      </c>
      <c r="L75" s="613">
        <v>0</v>
      </c>
      <c r="N75" s="620">
        <f t="shared" si="1"/>
        <v>17.87</v>
      </c>
    </row>
    <row r="76" spans="1:14" outlineLevel="1" x14ac:dyDescent="0.25">
      <c r="A76" s="611">
        <v>2250</v>
      </c>
      <c r="B76" s="612" t="s">
        <v>4556</v>
      </c>
      <c r="C76" s="613"/>
      <c r="D76" s="614"/>
      <c r="E76" s="614"/>
      <c r="F76" s="613">
        <v>0</v>
      </c>
      <c r="G76" s="614"/>
      <c r="H76" s="614"/>
      <c r="I76" s="613"/>
      <c r="J76" s="613"/>
      <c r="K76" s="613">
        <v>0</v>
      </c>
      <c r="L76" s="613">
        <v>0</v>
      </c>
      <c r="N76" s="620">
        <f t="shared" si="1"/>
        <v>0</v>
      </c>
    </row>
    <row r="77" spans="1:14" outlineLevel="1" x14ac:dyDescent="0.25">
      <c r="A77" s="611">
        <v>2281</v>
      </c>
      <c r="B77" s="612" t="s">
        <v>4557</v>
      </c>
      <c r="C77" s="613"/>
      <c r="D77" s="614"/>
      <c r="E77" s="614"/>
      <c r="F77" s="613">
        <v>0.84</v>
      </c>
      <c r="G77" s="614" t="s">
        <v>2701</v>
      </c>
      <c r="H77" s="614"/>
      <c r="I77" s="613"/>
      <c r="J77" s="613"/>
      <c r="K77" s="613">
        <v>0.84</v>
      </c>
      <c r="L77" s="613">
        <v>0</v>
      </c>
      <c r="N77" s="620">
        <f t="shared" si="1"/>
        <v>0.84</v>
      </c>
    </row>
    <row r="78" spans="1:14" outlineLevel="1" x14ac:dyDescent="0.25">
      <c r="A78" s="611">
        <v>2300</v>
      </c>
      <c r="B78" s="612" t="s">
        <v>2495</v>
      </c>
      <c r="C78" s="613"/>
      <c r="D78" s="614"/>
      <c r="E78" s="614"/>
      <c r="F78" s="613">
        <v>9819.14</v>
      </c>
      <c r="G78" s="614" t="s">
        <v>2701</v>
      </c>
      <c r="H78" s="614"/>
      <c r="I78" s="613">
        <v>5237.53</v>
      </c>
      <c r="J78" s="613">
        <v>0</v>
      </c>
      <c r="K78" s="613">
        <v>9819.14</v>
      </c>
      <c r="L78" s="613">
        <v>0</v>
      </c>
      <c r="N78" s="620">
        <f t="shared" si="1"/>
        <v>9819.14</v>
      </c>
    </row>
    <row r="79" spans="1:14" outlineLevel="1" x14ac:dyDescent="0.25">
      <c r="A79" s="611">
        <v>2310</v>
      </c>
      <c r="B79" s="612" t="s">
        <v>4558</v>
      </c>
      <c r="C79" s="613"/>
      <c r="D79" s="614"/>
      <c r="E79" s="614"/>
      <c r="F79" s="613">
        <v>11563</v>
      </c>
      <c r="G79" s="614" t="s">
        <v>2701</v>
      </c>
      <c r="H79" s="614"/>
      <c r="I79" s="613"/>
      <c r="J79" s="613"/>
      <c r="K79" s="613">
        <v>11563</v>
      </c>
      <c r="L79" s="613">
        <v>0</v>
      </c>
      <c r="N79" s="620">
        <f t="shared" si="1"/>
        <v>11563</v>
      </c>
    </row>
    <row r="80" spans="1:14" outlineLevel="1" x14ac:dyDescent="0.25">
      <c r="A80" s="611">
        <v>2312</v>
      </c>
      <c r="B80" s="612" t="s">
        <v>4559</v>
      </c>
      <c r="C80" s="613"/>
      <c r="D80" s="614"/>
      <c r="E80" s="614"/>
      <c r="F80" s="613">
        <v>0</v>
      </c>
      <c r="G80" s="614"/>
      <c r="H80" s="614"/>
      <c r="I80" s="613"/>
      <c r="J80" s="613"/>
      <c r="K80" s="613">
        <v>0</v>
      </c>
      <c r="L80" s="613">
        <v>0</v>
      </c>
      <c r="N80" s="620">
        <f t="shared" si="1"/>
        <v>0</v>
      </c>
    </row>
    <row r="81" spans="1:14" outlineLevel="1" x14ac:dyDescent="0.25">
      <c r="A81" s="611">
        <v>2315</v>
      </c>
      <c r="B81" s="612" t="s">
        <v>4560</v>
      </c>
      <c r="C81" s="613"/>
      <c r="D81" s="614"/>
      <c r="E81" s="614"/>
      <c r="F81" s="613">
        <v>19289</v>
      </c>
      <c r="G81" s="614" t="s">
        <v>2701</v>
      </c>
      <c r="H81" s="614"/>
      <c r="I81" s="613"/>
      <c r="J81" s="613"/>
      <c r="K81" s="613">
        <v>19289</v>
      </c>
      <c r="L81" s="613">
        <v>0</v>
      </c>
      <c r="N81" s="620">
        <f t="shared" si="1"/>
        <v>19289</v>
      </c>
    </row>
    <row r="82" spans="1:14" outlineLevel="1" x14ac:dyDescent="0.25">
      <c r="A82" s="611">
        <v>2317</v>
      </c>
      <c r="B82" s="612" t="s">
        <v>4561</v>
      </c>
      <c r="C82" s="613"/>
      <c r="D82" s="614"/>
      <c r="E82" s="614"/>
      <c r="F82" s="613">
        <v>31400</v>
      </c>
      <c r="G82" s="614" t="s">
        <v>2701</v>
      </c>
      <c r="H82" s="614"/>
      <c r="I82" s="613"/>
      <c r="J82" s="613"/>
      <c r="K82" s="613">
        <v>31400</v>
      </c>
      <c r="L82" s="613">
        <v>0</v>
      </c>
      <c r="N82" s="620">
        <f t="shared" si="1"/>
        <v>31400</v>
      </c>
    </row>
    <row r="83" spans="1:14" outlineLevel="1" x14ac:dyDescent="0.25">
      <c r="A83" s="611">
        <v>2325</v>
      </c>
      <c r="B83" s="612" t="s">
        <v>4562</v>
      </c>
      <c r="C83" s="613"/>
      <c r="D83" s="614"/>
      <c r="E83" s="614"/>
      <c r="F83" s="613">
        <v>2774.9</v>
      </c>
      <c r="G83" s="614" t="s">
        <v>2701</v>
      </c>
      <c r="H83" s="614"/>
      <c r="I83" s="613"/>
      <c r="J83" s="613"/>
      <c r="K83" s="613">
        <v>2774.9</v>
      </c>
      <c r="L83" s="613">
        <v>0</v>
      </c>
      <c r="N83" s="620">
        <f t="shared" si="1"/>
        <v>2774.9</v>
      </c>
    </row>
    <row r="84" spans="1:14" outlineLevel="1" x14ac:dyDescent="0.25">
      <c r="A84" s="611">
        <v>2350</v>
      </c>
      <c r="B84" s="612" t="s">
        <v>4563</v>
      </c>
      <c r="C84" s="613"/>
      <c r="D84" s="614"/>
      <c r="E84" s="614"/>
      <c r="F84" s="613">
        <v>3024.15</v>
      </c>
      <c r="G84" s="614" t="s">
        <v>2701</v>
      </c>
      <c r="H84" s="614"/>
      <c r="I84" s="613">
        <v>522.94000000000005</v>
      </c>
      <c r="J84" s="613">
        <v>0</v>
      </c>
      <c r="K84" s="613">
        <v>3024.15</v>
      </c>
      <c r="L84" s="613">
        <v>0</v>
      </c>
      <c r="N84" s="620">
        <f t="shared" si="1"/>
        <v>3024.15</v>
      </c>
    </row>
    <row r="85" spans="1:14" outlineLevel="1" x14ac:dyDescent="0.25">
      <c r="A85" s="611">
        <v>2383</v>
      </c>
      <c r="B85" s="612" t="s">
        <v>4564</v>
      </c>
      <c r="C85" s="613"/>
      <c r="D85" s="614"/>
      <c r="E85" s="614"/>
      <c r="F85" s="613">
        <v>406</v>
      </c>
      <c r="G85" s="614" t="s">
        <v>2701</v>
      </c>
      <c r="H85" s="614"/>
      <c r="I85" s="613"/>
      <c r="J85" s="613"/>
      <c r="K85" s="613">
        <v>406</v>
      </c>
      <c r="L85" s="613">
        <v>0</v>
      </c>
      <c r="N85" s="620">
        <f t="shared" si="1"/>
        <v>406</v>
      </c>
    </row>
    <row r="86" spans="1:14" outlineLevel="1" x14ac:dyDescent="0.25">
      <c r="A86" s="611">
        <v>2406</v>
      </c>
      <c r="B86" s="612" t="s">
        <v>4565</v>
      </c>
      <c r="C86" s="613"/>
      <c r="D86" s="614"/>
      <c r="E86" s="614"/>
      <c r="F86" s="613">
        <v>90.78</v>
      </c>
      <c r="G86" s="614" t="s">
        <v>2701</v>
      </c>
      <c r="H86" s="614"/>
      <c r="I86" s="613"/>
      <c r="J86" s="613"/>
      <c r="K86" s="613">
        <v>90.78</v>
      </c>
      <c r="L86" s="613">
        <v>0</v>
      </c>
      <c r="N86" s="620">
        <f t="shared" si="1"/>
        <v>90.78</v>
      </c>
    </row>
    <row r="87" spans="1:14" outlineLevel="1" x14ac:dyDescent="0.25">
      <c r="A87" s="611">
        <v>2450</v>
      </c>
      <c r="B87" s="612" t="s">
        <v>4566</v>
      </c>
      <c r="C87" s="613"/>
      <c r="D87" s="614"/>
      <c r="E87" s="614"/>
      <c r="F87" s="613">
        <v>0</v>
      </c>
      <c r="G87" s="614"/>
      <c r="H87" s="614"/>
      <c r="I87" s="613"/>
      <c r="J87" s="613"/>
      <c r="K87" s="613">
        <v>0</v>
      </c>
      <c r="L87" s="613">
        <v>0</v>
      </c>
      <c r="N87" s="620">
        <f t="shared" si="1"/>
        <v>0</v>
      </c>
    </row>
    <row r="88" spans="1:14" outlineLevel="1" x14ac:dyDescent="0.25">
      <c r="A88" s="611">
        <v>2650</v>
      </c>
      <c r="B88" s="612" t="s">
        <v>1145</v>
      </c>
      <c r="C88" s="613"/>
      <c r="D88" s="614"/>
      <c r="E88" s="614"/>
      <c r="F88" s="613">
        <v>2206.2600000000002</v>
      </c>
      <c r="G88" s="614"/>
      <c r="H88" s="614" t="s">
        <v>2584</v>
      </c>
      <c r="I88" s="613"/>
      <c r="J88" s="613"/>
      <c r="K88" s="613">
        <v>0</v>
      </c>
      <c r="L88" s="613">
        <v>2206.2600000000002</v>
      </c>
      <c r="N88" s="620">
        <f t="shared" si="1"/>
        <v>-2206.2600000000002</v>
      </c>
    </row>
    <row r="89" spans="1:14" outlineLevel="1" x14ac:dyDescent="0.25">
      <c r="A89" s="611">
        <v>2658</v>
      </c>
      <c r="B89" s="612" t="s">
        <v>4567</v>
      </c>
      <c r="C89" s="613"/>
      <c r="D89" s="614"/>
      <c r="E89" s="614"/>
      <c r="F89" s="613">
        <v>0</v>
      </c>
      <c r="G89" s="614"/>
      <c r="H89" s="614"/>
      <c r="I89" s="613"/>
      <c r="J89" s="613"/>
      <c r="K89" s="613">
        <v>0</v>
      </c>
      <c r="L89" s="613">
        <v>0</v>
      </c>
      <c r="N89" s="620">
        <f t="shared" si="1"/>
        <v>0</v>
      </c>
    </row>
    <row r="90" spans="1:14" outlineLevel="1" x14ac:dyDescent="0.25">
      <c r="A90" s="611">
        <v>2700</v>
      </c>
      <c r="B90" s="612" t="s">
        <v>4568</v>
      </c>
      <c r="C90" s="613"/>
      <c r="D90" s="614"/>
      <c r="E90" s="614"/>
      <c r="F90" s="613">
        <v>2442.88</v>
      </c>
      <c r="G90" s="614"/>
      <c r="H90" s="614" t="s">
        <v>2584</v>
      </c>
      <c r="I90" s="613"/>
      <c r="J90" s="613"/>
      <c r="K90" s="613">
        <v>10</v>
      </c>
      <c r="L90" s="613">
        <v>2452.88</v>
      </c>
      <c r="N90" s="620">
        <f t="shared" si="1"/>
        <v>-2442.88</v>
      </c>
    </row>
    <row r="91" spans="1:14" outlineLevel="1" x14ac:dyDescent="0.25">
      <c r="A91" s="611">
        <v>2715</v>
      </c>
      <c r="B91" s="612" t="s">
        <v>4569</v>
      </c>
      <c r="C91" s="613"/>
      <c r="D91" s="614"/>
      <c r="E91" s="614"/>
      <c r="F91" s="613">
        <v>5190</v>
      </c>
      <c r="G91" s="614"/>
      <c r="H91" s="614" t="s">
        <v>2584</v>
      </c>
      <c r="I91" s="613"/>
      <c r="J91" s="613"/>
      <c r="K91" s="613">
        <v>0</v>
      </c>
      <c r="L91" s="613">
        <v>5190</v>
      </c>
      <c r="N91" s="620">
        <f t="shared" si="1"/>
        <v>-5190</v>
      </c>
    </row>
    <row r="92" spans="1:14" outlineLevel="1" x14ac:dyDescent="0.25">
      <c r="A92" s="611">
        <v>2731</v>
      </c>
      <c r="B92" s="612" t="s">
        <v>4570</v>
      </c>
      <c r="C92" s="613"/>
      <c r="D92" s="614"/>
      <c r="E92" s="614"/>
      <c r="F92" s="613">
        <v>0</v>
      </c>
      <c r="G92" s="614"/>
      <c r="H92" s="614"/>
      <c r="I92" s="613"/>
      <c r="J92" s="613"/>
      <c r="K92" s="613">
        <v>0</v>
      </c>
      <c r="L92" s="613">
        <v>0</v>
      </c>
      <c r="N92" s="620">
        <f t="shared" si="1"/>
        <v>0</v>
      </c>
    </row>
    <row r="93" spans="1:14" outlineLevel="1" x14ac:dyDescent="0.25">
      <c r="A93" s="611">
        <v>2742</v>
      </c>
      <c r="B93" s="612" t="s">
        <v>4571</v>
      </c>
      <c r="C93" s="613"/>
      <c r="D93" s="614"/>
      <c r="E93" s="614"/>
      <c r="F93" s="613">
        <v>2937.27</v>
      </c>
      <c r="G93" s="614"/>
      <c r="H93" s="614" t="s">
        <v>2584</v>
      </c>
      <c r="I93" s="613"/>
      <c r="J93" s="613"/>
      <c r="K93" s="613">
        <v>0</v>
      </c>
      <c r="L93" s="613">
        <v>2937.27</v>
      </c>
      <c r="N93" s="620">
        <f t="shared" si="1"/>
        <v>-2937.27</v>
      </c>
    </row>
    <row r="94" spans="1:14" outlineLevel="1" x14ac:dyDescent="0.25">
      <c r="A94" s="611">
        <v>2749</v>
      </c>
      <c r="B94" s="612" t="s">
        <v>4572</v>
      </c>
      <c r="C94" s="613"/>
      <c r="D94" s="614"/>
      <c r="E94" s="614"/>
      <c r="F94" s="613">
        <v>5823.04</v>
      </c>
      <c r="G94" s="614"/>
      <c r="H94" s="614" t="s">
        <v>2584</v>
      </c>
      <c r="I94" s="613"/>
      <c r="J94" s="613"/>
      <c r="K94" s="613">
        <v>0</v>
      </c>
      <c r="L94" s="613">
        <v>5823.04</v>
      </c>
      <c r="N94" s="620">
        <f t="shared" si="1"/>
        <v>-5823.04</v>
      </c>
    </row>
    <row r="95" spans="1:14" outlineLevel="1" x14ac:dyDescent="0.25">
      <c r="A95" s="611">
        <v>3030</v>
      </c>
      <c r="B95" s="612" t="s">
        <v>4573</v>
      </c>
      <c r="C95" s="613"/>
      <c r="D95" s="614"/>
      <c r="E95" s="614"/>
      <c r="F95" s="613">
        <v>28749.05</v>
      </c>
      <c r="G95" s="614" t="s">
        <v>2701</v>
      </c>
      <c r="H95" s="614"/>
      <c r="I95" s="613">
        <v>2535.5500000000002</v>
      </c>
      <c r="J95" s="613">
        <v>0</v>
      </c>
      <c r="K95" s="613">
        <v>28749.05</v>
      </c>
      <c r="L95" s="613">
        <v>0</v>
      </c>
      <c r="N95" s="620">
        <f t="shared" si="1"/>
        <v>28749.05</v>
      </c>
    </row>
    <row r="96" spans="1:14" outlineLevel="1" x14ac:dyDescent="0.25">
      <c r="A96" s="611">
        <v>3101</v>
      </c>
      <c r="B96" s="612" t="s">
        <v>4574</v>
      </c>
      <c r="C96" s="613"/>
      <c r="D96" s="614"/>
      <c r="E96" s="614"/>
      <c r="F96" s="613">
        <v>10696</v>
      </c>
      <c r="G96" s="614" t="s">
        <v>2701</v>
      </c>
      <c r="H96" s="614"/>
      <c r="I96" s="613">
        <v>878.58</v>
      </c>
      <c r="J96" s="613">
        <v>0</v>
      </c>
      <c r="K96" s="613">
        <v>10696</v>
      </c>
      <c r="L96" s="613">
        <v>0</v>
      </c>
      <c r="N96" s="620">
        <f t="shared" si="1"/>
        <v>10696</v>
      </c>
    </row>
    <row r="97" spans="1:14" outlineLevel="1" x14ac:dyDescent="0.25">
      <c r="A97" s="611">
        <v>3102</v>
      </c>
      <c r="B97" s="612" t="s">
        <v>4575</v>
      </c>
      <c r="C97" s="613"/>
      <c r="D97" s="614"/>
      <c r="E97" s="614"/>
      <c r="F97" s="613">
        <v>203</v>
      </c>
      <c r="G97" s="614" t="s">
        <v>2701</v>
      </c>
      <c r="H97" s="614"/>
      <c r="I97" s="613"/>
      <c r="J97" s="613"/>
      <c r="K97" s="613">
        <v>203</v>
      </c>
      <c r="L97" s="613">
        <v>0</v>
      </c>
      <c r="N97" s="620">
        <f t="shared" si="1"/>
        <v>203</v>
      </c>
    </row>
    <row r="98" spans="1:14" outlineLevel="1" x14ac:dyDescent="0.25">
      <c r="A98" s="611">
        <v>3106</v>
      </c>
      <c r="B98" s="612" t="s">
        <v>4576</v>
      </c>
      <c r="C98" s="613"/>
      <c r="D98" s="614"/>
      <c r="E98" s="614"/>
      <c r="F98" s="613">
        <v>517456.54</v>
      </c>
      <c r="G98" s="614" t="s">
        <v>2701</v>
      </c>
      <c r="H98" s="614"/>
      <c r="I98" s="613">
        <v>43918.7</v>
      </c>
      <c r="J98" s="613">
        <v>0</v>
      </c>
      <c r="K98" s="613">
        <v>517456.54</v>
      </c>
      <c r="L98" s="613">
        <v>0</v>
      </c>
      <c r="N98" s="620">
        <f t="shared" si="1"/>
        <v>517456.54</v>
      </c>
    </row>
    <row r="99" spans="1:14" outlineLevel="1" x14ac:dyDescent="0.25">
      <c r="A99" s="611">
        <v>3125</v>
      </c>
      <c r="B99" s="612" t="s">
        <v>4577</v>
      </c>
      <c r="C99" s="613"/>
      <c r="D99" s="614"/>
      <c r="E99" s="614"/>
      <c r="F99" s="613">
        <v>50866.59</v>
      </c>
      <c r="G99" s="614" t="s">
        <v>2701</v>
      </c>
      <c r="H99" s="614"/>
      <c r="I99" s="613">
        <v>30000</v>
      </c>
      <c r="J99" s="613">
        <v>0</v>
      </c>
      <c r="K99" s="613">
        <v>50866.59</v>
      </c>
      <c r="L99" s="613">
        <v>0</v>
      </c>
      <c r="N99" s="620">
        <f t="shared" si="1"/>
        <v>50866.59</v>
      </c>
    </row>
    <row r="100" spans="1:14" outlineLevel="1" x14ac:dyDescent="0.25">
      <c r="A100" s="611">
        <v>3200</v>
      </c>
      <c r="B100" s="612" t="s">
        <v>4578</v>
      </c>
      <c r="C100" s="613"/>
      <c r="D100" s="614"/>
      <c r="E100" s="614"/>
      <c r="F100" s="613">
        <v>20340.240000000002</v>
      </c>
      <c r="G100" s="614" t="s">
        <v>2701</v>
      </c>
      <c r="H100" s="614"/>
      <c r="I100" s="613">
        <v>-102203.47</v>
      </c>
      <c r="J100" s="613">
        <v>0</v>
      </c>
      <c r="K100" s="613">
        <v>20340.240000000002</v>
      </c>
      <c r="L100" s="613">
        <v>0</v>
      </c>
      <c r="N100" s="620">
        <f t="shared" si="1"/>
        <v>20340.240000000002</v>
      </c>
    </row>
    <row r="101" spans="1:14" outlineLevel="1" x14ac:dyDescent="0.25">
      <c r="A101" s="611">
        <v>3400</v>
      </c>
      <c r="B101" s="612" t="s">
        <v>4579</v>
      </c>
      <c r="C101" s="613"/>
      <c r="D101" s="614"/>
      <c r="E101" s="614"/>
      <c r="F101" s="613">
        <v>1760954.29</v>
      </c>
      <c r="G101" s="614" t="s">
        <v>2701</v>
      </c>
      <c r="H101" s="614"/>
      <c r="I101" s="613">
        <v>205063.1</v>
      </c>
      <c r="J101" s="613">
        <v>315</v>
      </c>
      <c r="K101" s="613">
        <v>1764073.08</v>
      </c>
      <c r="L101" s="613">
        <v>3118.79</v>
      </c>
      <c r="N101" s="620">
        <f t="shared" si="1"/>
        <v>1760954.29</v>
      </c>
    </row>
    <row r="102" spans="1:14" outlineLevel="1" x14ac:dyDescent="0.25">
      <c r="A102" s="611">
        <v>3401</v>
      </c>
      <c r="B102" s="612" t="s">
        <v>4580</v>
      </c>
      <c r="C102" s="613"/>
      <c r="D102" s="614"/>
      <c r="E102" s="614"/>
      <c r="F102" s="613">
        <v>432235.49</v>
      </c>
      <c r="G102" s="614" t="s">
        <v>2701</v>
      </c>
      <c r="H102" s="614"/>
      <c r="I102" s="613">
        <v>11263.2</v>
      </c>
      <c r="J102" s="613">
        <v>0</v>
      </c>
      <c r="K102" s="613">
        <v>432235.49</v>
      </c>
      <c r="L102" s="613">
        <v>0</v>
      </c>
      <c r="N102" s="620">
        <f t="shared" si="1"/>
        <v>432235.49</v>
      </c>
    </row>
    <row r="103" spans="1:14" outlineLevel="1" x14ac:dyDescent="0.25">
      <c r="A103" s="611">
        <v>3425</v>
      </c>
      <c r="B103" s="612" t="s">
        <v>4581</v>
      </c>
      <c r="C103" s="613"/>
      <c r="D103" s="614"/>
      <c r="E103" s="614"/>
      <c r="F103" s="613">
        <v>3517822.75</v>
      </c>
      <c r="G103" s="614" t="s">
        <v>2701</v>
      </c>
      <c r="H103" s="614"/>
      <c r="I103" s="613">
        <v>541539.29</v>
      </c>
      <c r="J103" s="613">
        <v>0</v>
      </c>
      <c r="K103" s="613">
        <v>3536799.91</v>
      </c>
      <c r="L103" s="613">
        <v>18977.16</v>
      </c>
      <c r="N103" s="620">
        <f t="shared" si="1"/>
        <v>3517822.75</v>
      </c>
    </row>
    <row r="104" spans="1:14" outlineLevel="1" x14ac:dyDescent="0.25">
      <c r="A104" s="611">
        <v>3736</v>
      </c>
      <c r="B104" s="612" t="s">
        <v>4582</v>
      </c>
      <c r="C104" s="613"/>
      <c r="D104" s="614"/>
      <c r="E104" s="614"/>
      <c r="F104" s="613">
        <v>36528.47</v>
      </c>
      <c r="G104" s="614"/>
      <c r="H104" s="614" t="s">
        <v>2584</v>
      </c>
      <c r="I104" s="613">
        <v>6.3</v>
      </c>
      <c r="J104" s="613">
        <v>2929.96</v>
      </c>
      <c r="K104" s="613">
        <v>60.69</v>
      </c>
      <c r="L104" s="613">
        <v>36589.160000000003</v>
      </c>
      <c r="N104" s="620">
        <f t="shared" si="1"/>
        <v>-36528.47</v>
      </c>
    </row>
    <row r="105" spans="1:14" outlineLevel="1" x14ac:dyDescent="0.25">
      <c r="A105" s="611">
        <v>3738</v>
      </c>
      <c r="B105" s="612" t="s">
        <v>4583</v>
      </c>
      <c r="C105" s="613"/>
      <c r="D105" s="614"/>
      <c r="E105" s="614"/>
      <c r="F105" s="613">
        <v>0</v>
      </c>
      <c r="G105" s="614"/>
      <c r="H105" s="614"/>
      <c r="I105" s="613"/>
      <c r="J105" s="613"/>
      <c r="K105" s="613">
        <v>0</v>
      </c>
      <c r="L105" s="613">
        <v>0</v>
      </c>
      <c r="N105" s="620">
        <f t="shared" si="1"/>
        <v>0</v>
      </c>
    </row>
    <row r="106" spans="1:14" outlineLevel="1" x14ac:dyDescent="0.25">
      <c r="A106" s="611">
        <v>3748</v>
      </c>
      <c r="B106" s="612" t="s">
        <v>4584</v>
      </c>
      <c r="C106" s="613"/>
      <c r="D106" s="614"/>
      <c r="E106" s="614"/>
      <c r="F106" s="613">
        <v>0</v>
      </c>
      <c r="G106" s="614"/>
      <c r="H106" s="614"/>
      <c r="I106" s="613"/>
      <c r="J106" s="613"/>
      <c r="K106" s="613">
        <v>0</v>
      </c>
      <c r="L106" s="613">
        <v>0</v>
      </c>
      <c r="N106" s="620">
        <f t="shared" si="1"/>
        <v>0</v>
      </c>
    </row>
    <row r="107" spans="1:14" outlineLevel="1" x14ac:dyDescent="0.25">
      <c r="A107" s="611">
        <v>3800</v>
      </c>
      <c r="B107" s="612" t="s">
        <v>4585</v>
      </c>
      <c r="C107" s="613"/>
      <c r="D107" s="614"/>
      <c r="E107" s="614"/>
      <c r="F107" s="613">
        <v>68389.039999999994</v>
      </c>
      <c r="G107" s="614" t="s">
        <v>2701</v>
      </c>
      <c r="H107" s="614"/>
      <c r="I107" s="613">
        <v>6454.9</v>
      </c>
      <c r="J107" s="613">
        <v>0</v>
      </c>
      <c r="K107" s="613">
        <v>68389.039999999994</v>
      </c>
      <c r="L107" s="613">
        <v>0</v>
      </c>
      <c r="N107" s="620">
        <f t="shared" si="1"/>
        <v>68389.039999999994</v>
      </c>
    </row>
    <row r="108" spans="1:14" outlineLevel="1" x14ac:dyDescent="0.25">
      <c r="A108" s="611">
        <v>3950</v>
      </c>
      <c r="B108" s="612" t="s">
        <v>4586</v>
      </c>
      <c r="C108" s="613"/>
      <c r="D108" s="614"/>
      <c r="E108" s="614"/>
      <c r="F108" s="613">
        <v>0</v>
      </c>
      <c r="G108" s="614"/>
      <c r="H108" s="614"/>
      <c r="I108" s="613"/>
      <c r="J108" s="613"/>
      <c r="K108" s="613">
        <v>0</v>
      </c>
      <c r="L108" s="613">
        <v>0</v>
      </c>
      <c r="N108" s="620">
        <f t="shared" si="1"/>
        <v>0</v>
      </c>
    </row>
    <row r="109" spans="1:14" outlineLevel="1" x14ac:dyDescent="0.25">
      <c r="A109" s="611">
        <v>3960</v>
      </c>
      <c r="B109" s="612" t="s">
        <v>4587</v>
      </c>
      <c r="C109" s="613"/>
      <c r="D109" s="614"/>
      <c r="E109" s="614"/>
      <c r="F109" s="613">
        <v>0</v>
      </c>
      <c r="G109" s="614"/>
      <c r="H109" s="614"/>
      <c r="I109" s="613"/>
      <c r="J109" s="613"/>
      <c r="K109" s="613">
        <v>0</v>
      </c>
      <c r="L109" s="613">
        <v>0</v>
      </c>
      <c r="N109" s="620">
        <f t="shared" si="1"/>
        <v>0</v>
      </c>
    </row>
    <row r="110" spans="1:14" outlineLevel="1" x14ac:dyDescent="0.25">
      <c r="A110" s="611">
        <v>3970</v>
      </c>
      <c r="B110" s="612" t="s">
        <v>4588</v>
      </c>
      <c r="C110" s="613">
        <v>1243325.5</v>
      </c>
      <c r="D110" s="614" t="s">
        <v>2701</v>
      </c>
      <c r="E110" s="614"/>
      <c r="F110" s="613">
        <v>1243325.5</v>
      </c>
      <c r="G110" s="614" t="s">
        <v>2701</v>
      </c>
      <c r="H110" s="614"/>
      <c r="I110" s="613"/>
      <c r="J110" s="613"/>
      <c r="K110" s="613"/>
      <c r="L110" s="613"/>
      <c r="N110" s="620">
        <f t="shared" si="1"/>
        <v>1243325.5</v>
      </c>
    </row>
    <row r="111" spans="1:14" outlineLevel="1" x14ac:dyDescent="0.25">
      <c r="A111" s="611">
        <v>3980</v>
      </c>
      <c r="B111" s="612" t="s">
        <v>4589</v>
      </c>
      <c r="C111" s="613">
        <v>1474080.57</v>
      </c>
      <c r="D111" s="614" t="s">
        <v>2701</v>
      </c>
      <c r="E111" s="614"/>
      <c r="F111" s="613">
        <v>1474080.57</v>
      </c>
      <c r="G111" s="614" t="s">
        <v>2701</v>
      </c>
      <c r="H111" s="614"/>
      <c r="I111" s="613"/>
      <c r="J111" s="613"/>
      <c r="K111" s="613"/>
      <c r="L111" s="613"/>
      <c r="N111" s="620">
        <f t="shared" si="1"/>
        <v>1474080.57</v>
      </c>
    </row>
    <row r="112" spans="1:14" outlineLevel="1" x14ac:dyDescent="0.25">
      <c r="A112" s="611">
        <v>4110</v>
      </c>
      <c r="B112" s="612" t="s">
        <v>4590</v>
      </c>
      <c r="C112" s="613"/>
      <c r="D112" s="614"/>
      <c r="E112" s="614"/>
      <c r="F112" s="613">
        <v>1548234.58</v>
      </c>
      <c r="G112" s="614" t="s">
        <v>2701</v>
      </c>
      <c r="H112" s="614"/>
      <c r="I112" s="613">
        <v>116006.49</v>
      </c>
      <c r="J112" s="613">
        <v>0</v>
      </c>
      <c r="K112" s="613">
        <v>1548234.58</v>
      </c>
      <c r="L112" s="613">
        <v>0</v>
      </c>
      <c r="N112" s="620">
        <f t="shared" si="1"/>
        <v>1548234.58</v>
      </c>
    </row>
    <row r="113" spans="1:14" outlineLevel="1" x14ac:dyDescent="0.25">
      <c r="A113" s="611">
        <v>4120</v>
      </c>
      <c r="B113" s="612" t="s">
        <v>4591</v>
      </c>
      <c r="C113" s="613"/>
      <c r="D113" s="614"/>
      <c r="E113" s="614"/>
      <c r="F113" s="613">
        <v>1168622.48</v>
      </c>
      <c r="G113" s="614" t="s">
        <v>2701</v>
      </c>
      <c r="H113" s="614"/>
      <c r="I113" s="613">
        <v>111327.31</v>
      </c>
      <c r="J113" s="613">
        <v>1828.84</v>
      </c>
      <c r="K113" s="613">
        <v>1206560.71</v>
      </c>
      <c r="L113" s="613">
        <v>37938.230000000003</v>
      </c>
      <c r="N113" s="620">
        <f t="shared" si="1"/>
        <v>1168622.48</v>
      </c>
    </row>
    <row r="114" spans="1:14" outlineLevel="1" x14ac:dyDescent="0.25">
      <c r="A114" s="611">
        <v>4124</v>
      </c>
      <c r="B114" s="612" t="s">
        <v>4592</v>
      </c>
      <c r="C114" s="613"/>
      <c r="D114" s="614"/>
      <c r="E114" s="614"/>
      <c r="F114" s="613">
        <v>209000</v>
      </c>
      <c r="G114" s="614" t="s">
        <v>2701</v>
      </c>
      <c r="H114" s="614"/>
      <c r="I114" s="613">
        <v>19000</v>
      </c>
      <c r="J114" s="613">
        <v>0</v>
      </c>
      <c r="K114" s="613">
        <v>209000</v>
      </c>
      <c r="L114" s="613">
        <v>0</v>
      </c>
      <c r="N114" s="620">
        <f t="shared" si="1"/>
        <v>209000</v>
      </c>
    </row>
    <row r="115" spans="1:14" outlineLevel="1" x14ac:dyDescent="0.25">
      <c r="A115" s="611">
        <v>4126</v>
      </c>
      <c r="B115" s="612" t="s">
        <v>4593</v>
      </c>
      <c r="C115" s="613"/>
      <c r="D115" s="614"/>
      <c r="E115" s="614"/>
      <c r="F115" s="613">
        <v>44333</v>
      </c>
      <c r="G115" s="614" t="s">
        <v>2701</v>
      </c>
      <c r="H115" s="614"/>
      <c r="I115" s="613"/>
      <c r="J115" s="613"/>
      <c r="K115" s="613">
        <v>44333</v>
      </c>
      <c r="L115" s="613">
        <v>0</v>
      </c>
      <c r="N115" s="620">
        <f t="shared" si="1"/>
        <v>44333</v>
      </c>
    </row>
    <row r="116" spans="1:14" outlineLevel="1" x14ac:dyDescent="0.25">
      <c r="A116" s="611">
        <v>4127</v>
      </c>
      <c r="B116" s="612" t="s">
        <v>4594</v>
      </c>
      <c r="C116" s="613"/>
      <c r="D116" s="614"/>
      <c r="E116" s="614"/>
      <c r="F116" s="613">
        <v>114583.37</v>
      </c>
      <c r="G116" s="614" t="s">
        <v>2701</v>
      </c>
      <c r="H116" s="614"/>
      <c r="I116" s="613">
        <v>10416.67</v>
      </c>
      <c r="J116" s="613">
        <v>0</v>
      </c>
      <c r="K116" s="613">
        <v>114583.37</v>
      </c>
      <c r="L116" s="613">
        <v>0</v>
      </c>
      <c r="N116" s="620">
        <f t="shared" si="1"/>
        <v>114583.37</v>
      </c>
    </row>
    <row r="117" spans="1:14" outlineLevel="1" x14ac:dyDescent="0.25">
      <c r="A117" s="611">
        <v>4129</v>
      </c>
      <c r="B117" s="612" t="s">
        <v>4595</v>
      </c>
      <c r="C117" s="613"/>
      <c r="D117" s="614"/>
      <c r="E117" s="614"/>
      <c r="F117" s="613">
        <v>10000</v>
      </c>
      <c r="G117" s="614" t="s">
        <v>2701</v>
      </c>
      <c r="H117" s="614"/>
      <c r="I117" s="613"/>
      <c r="J117" s="613"/>
      <c r="K117" s="613">
        <v>10000</v>
      </c>
      <c r="L117" s="613">
        <v>0</v>
      </c>
      <c r="N117" s="620">
        <f t="shared" si="1"/>
        <v>10000</v>
      </c>
    </row>
    <row r="118" spans="1:14" outlineLevel="1" x14ac:dyDescent="0.25">
      <c r="A118" s="611">
        <v>4130</v>
      </c>
      <c r="B118" s="612" t="s">
        <v>4596</v>
      </c>
      <c r="C118" s="613"/>
      <c r="D118" s="614"/>
      <c r="E118" s="614"/>
      <c r="F118" s="613">
        <v>583089.18999999994</v>
      </c>
      <c r="G118" s="614" t="s">
        <v>2701</v>
      </c>
      <c r="H118" s="614"/>
      <c r="I118" s="613">
        <v>61364.93</v>
      </c>
      <c r="J118" s="613">
        <v>13597</v>
      </c>
      <c r="K118" s="613">
        <v>608604.59</v>
      </c>
      <c r="L118" s="613">
        <v>25515.4</v>
      </c>
      <c r="N118" s="620">
        <f t="shared" si="1"/>
        <v>583089.18999999994</v>
      </c>
    </row>
    <row r="119" spans="1:14" outlineLevel="1" x14ac:dyDescent="0.25">
      <c r="A119" s="611">
        <v>4138</v>
      </c>
      <c r="B119" s="612" t="s">
        <v>4597</v>
      </c>
      <c r="C119" s="613"/>
      <c r="D119" s="614"/>
      <c r="E119" s="614"/>
      <c r="F119" s="613">
        <v>18700</v>
      </c>
      <c r="G119" s="614" t="s">
        <v>2701</v>
      </c>
      <c r="H119" s="614"/>
      <c r="I119" s="613">
        <v>1700</v>
      </c>
      <c r="J119" s="613">
        <v>0</v>
      </c>
      <c r="K119" s="613">
        <v>18700</v>
      </c>
      <c r="L119" s="613">
        <v>0</v>
      </c>
      <c r="N119" s="620">
        <f t="shared" si="1"/>
        <v>18700</v>
      </c>
    </row>
    <row r="120" spans="1:14" outlineLevel="1" x14ac:dyDescent="0.25">
      <c r="A120" s="611">
        <v>4140</v>
      </c>
      <c r="B120" s="612" t="s">
        <v>4598</v>
      </c>
      <c r="C120" s="613"/>
      <c r="D120" s="614"/>
      <c r="E120" s="614"/>
      <c r="F120" s="613">
        <v>18502.3</v>
      </c>
      <c r="G120" s="614" t="s">
        <v>2701</v>
      </c>
      <c r="H120" s="614"/>
      <c r="I120" s="613">
        <v>1085</v>
      </c>
      <c r="J120" s="613">
        <v>0</v>
      </c>
      <c r="K120" s="613">
        <v>18502.3</v>
      </c>
      <c r="L120" s="613">
        <v>0</v>
      </c>
      <c r="N120" s="620">
        <f t="shared" si="1"/>
        <v>18502.3</v>
      </c>
    </row>
    <row r="121" spans="1:14" outlineLevel="1" x14ac:dyDescent="0.25">
      <c r="A121" s="611">
        <v>4144</v>
      </c>
      <c r="B121" s="612" t="s">
        <v>4599</v>
      </c>
      <c r="C121" s="613"/>
      <c r="D121" s="614"/>
      <c r="E121" s="614"/>
      <c r="F121" s="613">
        <v>4265.26</v>
      </c>
      <c r="G121" s="614" t="s">
        <v>2701</v>
      </c>
      <c r="H121" s="614"/>
      <c r="I121" s="613">
        <v>340.76</v>
      </c>
      <c r="J121" s="613">
        <v>0</v>
      </c>
      <c r="K121" s="613">
        <v>4265.26</v>
      </c>
      <c r="L121" s="613">
        <v>0</v>
      </c>
      <c r="N121" s="620">
        <f t="shared" si="1"/>
        <v>4265.26</v>
      </c>
    </row>
    <row r="122" spans="1:14" outlineLevel="1" x14ac:dyDescent="0.25">
      <c r="A122" s="611">
        <v>4145</v>
      </c>
      <c r="B122" s="612" t="s">
        <v>4600</v>
      </c>
      <c r="C122" s="613"/>
      <c r="D122" s="614"/>
      <c r="E122" s="614"/>
      <c r="F122" s="613">
        <v>70773</v>
      </c>
      <c r="G122" s="614" t="s">
        <v>2701</v>
      </c>
      <c r="H122" s="614"/>
      <c r="I122" s="613">
        <v>6085</v>
      </c>
      <c r="J122" s="613">
        <v>0</v>
      </c>
      <c r="K122" s="613">
        <v>70773</v>
      </c>
      <c r="L122" s="613">
        <v>0</v>
      </c>
      <c r="N122" s="620">
        <f t="shared" si="1"/>
        <v>70773</v>
      </c>
    </row>
    <row r="123" spans="1:14" outlineLevel="1" x14ac:dyDescent="0.25">
      <c r="A123" s="611">
        <v>4149</v>
      </c>
      <c r="B123" s="612" t="s">
        <v>4601</v>
      </c>
      <c r="C123" s="613"/>
      <c r="D123" s="614"/>
      <c r="E123" s="614"/>
      <c r="F123" s="613">
        <v>2816.39</v>
      </c>
      <c r="G123" s="614" t="s">
        <v>2701</v>
      </c>
      <c r="H123" s="614"/>
      <c r="I123" s="613">
        <v>243.36</v>
      </c>
      <c r="J123" s="613">
        <v>0</v>
      </c>
      <c r="K123" s="613">
        <v>2816.39</v>
      </c>
      <c r="L123" s="613">
        <v>0</v>
      </c>
      <c r="N123" s="620">
        <f t="shared" si="1"/>
        <v>2816.39</v>
      </c>
    </row>
    <row r="124" spans="1:14" outlineLevel="1" x14ac:dyDescent="0.25">
      <c r="A124" s="611">
        <v>4150</v>
      </c>
      <c r="B124" s="612" t="s">
        <v>4602</v>
      </c>
      <c r="C124" s="613"/>
      <c r="D124" s="614"/>
      <c r="E124" s="614"/>
      <c r="F124" s="613">
        <v>10863.81</v>
      </c>
      <c r="G124" s="614" t="s">
        <v>2701</v>
      </c>
      <c r="H124" s="614"/>
      <c r="I124" s="613">
        <v>931.06</v>
      </c>
      <c r="J124" s="613">
        <v>0</v>
      </c>
      <c r="K124" s="613">
        <v>10863.81</v>
      </c>
      <c r="L124" s="613">
        <v>0</v>
      </c>
      <c r="N124" s="620">
        <f t="shared" si="1"/>
        <v>10863.81</v>
      </c>
    </row>
    <row r="125" spans="1:14" outlineLevel="1" x14ac:dyDescent="0.25">
      <c r="A125" s="611">
        <v>4152</v>
      </c>
      <c r="B125" s="612" t="s">
        <v>4603</v>
      </c>
      <c r="C125" s="613"/>
      <c r="D125" s="614"/>
      <c r="E125" s="614"/>
      <c r="F125" s="613">
        <v>691</v>
      </c>
      <c r="G125" s="614" t="s">
        <v>2701</v>
      </c>
      <c r="H125" s="614"/>
      <c r="I125" s="613">
        <v>80</v>
      </c>
      <c r="J125" s="613">
        <v>0</v>
      </c>
      <c r="K125" s="613">
        <v>691</v>
      </c>
      <c r="L125" s="613">
        <v>0</v>
      </c>
      <c r="N125" s="620">
        <f t="shared" si="1"/>
        <v>691</v>
      </c>
    </row>
    <row r="126" spans="1:14" outlineLevel="1" x14ac:dyDescent="0.25">
      <c r="A126" s="611">
        <v>4156</v>
      </c>
      <c r="B126" s="612" t="s">
        <v>4604</v>
      </c>
      <c r="C126" s="613"/>
      <c r="D126" s="614"/>
      <c r="E126" s="614"/>
      <c r="F126" s="613">
        <v>0</v>
      </c>
      <c r="G126" s="614"/>
      <c r="H126" s="614"/>
      <c r="I126" s="613"/>
      <c r="J126" s="613"/>
      <c r="K126" s="613">
        <v>0</v>
      </c>
      <c r="L126" s="613">
        <v>0</v>
      </c>
      <c r="N126" s="620">
        <f t="shared" si="1"/>
        <v>0</v>
      </c>
    </row>
    <row r="127" spans="1:14" outlineLevel="1" x14ac:dyDescent="0.25">
      <c r="A127" s="611">
        <v>4165</v>
      </c>
      <c r="B127" s="612" t="s">
        <v>4605</v>
      </c>
      <c r="C127" s="613"/>
      <c r="D127" s="614"/>
      <c r="E127" s="614"/>
      <c r="F127" s="613">
        <v>35546.1</v>
      </c>
      <c r="G127" s="614" t="s">
        <v>2701</v>
      </c>
      <c r="H127" s="614"/>
      <c r="I127" s="613">
        <v>3137.61</v>
      </c>
      <c r="J127" s="613">
        <v>0</v>
      </c>
      <c r="K127" s="613">
        <v>35546.1</v>
      </c>
      <c r="L127" s="613">
        <v>0</v>
      </c>
      <c r="N127" s="620">
        <f t="shared" si="1"/>
        <v>35546.1</v>
      </c>
    </row>
    <row r="128" spans="1:14" outlineLevel="1" x14ac:dyDescent="0.25">
      <c r="A128" s="611">
        <v>4170</v>
      </c>
      <c r="B128" s="612" t="s">
        <v>4606</v>
      </c>
      <c r="C128" s="613"/>
      <c r="D128" s="614"/>
      <c r="E128" s="614"/>
      <c r="F128" s="613">
        <v>2673.61</v>
      </c>
      <c r="G128" s="614" t="s">
        <v>2701</v>
      </c>
      <c r="H128" s="614"/>
      <c r="I128" s="613">
        <v>226.13</v>
      </c>
      <c r="J128" s="613">
        <v>0</v>
      </c>
      <c r="K128" s="613">
        <v>2673.61</v>
      </c>
      <c r="L128" s="613">
        <v>0</v>
      </c>
      <c r="N128" s="620">
        <f t="shared" si="1"/>
        <v>2673.61</v>
      </c>
    </row>
    <row r="129" spans="1:14" outlineLevel="1" x14ac:dyDescent="0.25">
      <c r="A129" s="611">
        <v>4175</v>
      </c>
      <c r="B129" s="612" t="s">
        <v>4607</v>
      </c>
      <c r="C129" s="613"/>
      <c r="D129" s="614"/>
      <c r="E129" s="614"/>
      <c r="F129" s="613">
        <v>29045.39</v>
      </c>
      <c r="G129" s="614" t="s">
        <v>2701</v>
      </c>
      <c r="H129" s="614"/>
      <c r="I129" s="613">
        <v>2663.65</v>
      </c>
      <c r="J129" s="613">
        <v>92.69</v>
      </c>
      <c r="K129" s="613">
        <v>29788.240000000002</v>
      </c>
      <c r="L129" s="613">
        <v>742.85</v>
      </c>
      <c r="N129" s="620">
        <f t="shared" si="1"/>
        <v>29045.39</v>
      </c>
    </row>
    <row r="130" spans="1:14" outlineLevel="1" x14ac:dyDescent="0.25">
      <c r="A130" s="611">
        <v>4190</v>
      </c>
      <c r="B130" s="612" t="s">
        <v>4608</v>
      </c>
      <c r="C130" s="613"/>
      <c r="D130" s="614"/>
      <c r="E130" s="614"/>
      <c r="F130" s="613">
        <v>2973.75</v>
      </c>
      <c r="G130" s="614" t="s">
        <v>2701</v>
      </c>
      <c r="H130" s="614"/>
      <c r="I130" s="613"/>
      <c r="J130" s="613"/>
      <c r="K130" s="613">
        <v>2973.75</v>
      </c>
      <c r="L130" s="613">
        <v>0</v>
      </c>
      <c r="N130" s="620">
        <f t="shared" si="1"/>
        <v>2973.75</v>
      </c>
    </row>
    <row r="131" spans="1:14" outlineLevel="1" x14ac:dyDescent="0.25">
      <c r="A131" s="611">
        <v>4194</v>
      </c>
      <c r="B131" s="612" t="s">
        <v>4609</v>
      </c>
      <c r="C131" s="613"/>
      <c r="D131" s="614"/>
      <c r="E131" s="614"/>
      <c r="F131" s="613">
        <v>19.579999999999998</v>
      </c>
      <c r="G131" s="614" t="s">
        <v>2701</v>
      </c>
      <c r="H131" s="614"/>
      <c r="I131" s="613">
        <v>12.91</v>
      </c>
      <c r="J131" s="613">
        <v>12.05</v>
      </c>
      <c r="K131" s="613">
        <v>181.5</v>
      </c>
      <c r="L131" s="613">
        <v>161.91999999999999</v>
      </c>
      <c r="N131" s="620">
        <f t="shared" si="1"/>
        <v>19.579999999999998</v>
      </c>
    </row>
    <row r="132" spans="1:14" outlineLevel="1" x14ac:dyDescent="0.25">
      <c r="A132" s="611">
        <v>4195</v>
      </c>
      <c r="B132" s="612" t="s">
        <v>4610</v>
      </c>
      <c r="C132" s="613"/>
      <c r="D132" s="614"/>
      <c r="E132" s="614"/>
      <c r="F132" s="613">
        <v>13264.85</v>
      </c>
      <c r="G132" s="614" t="s">
        <v>2701</v>
      </c>
      <c r="H132" s="614"/>
      <c r="I132" s="613">
        <v>1203.69</v>
      </c>
      <c r="J132" s="613">
        <v>0</v>
      </c>
      <c r="K132" s="613">
        <v>13264.85</v>
      </c>
      <c r="L132" s="613">
        <v>0</v>
      </c>
      <c r="N132" s="620">
        <f t="shared" ref="N132:N195" si="2">IF(G132="S",F132,-F132)</f>
        <v>13264.85</v>
      </c>
    </row>
    <row r="133" spans="1:14" outlineLevel="1" x14ac:dyDescent="0.25">
      <c r="A133" s="611">
        <v>4198</v>
      </c>
      <c r="B133" s="612" t="s">
        <v>4611</v>
      </c>
      <c r="C133" s="613"/>
      <c r="D133" s="614"/>
      <c r="E133" s="614"/>
      <c r="F133" s="613">
        <v>116.76</v>
      </c>
      <c r="G133" s="614" t="s">
        <v>2701</v>
      </c>
      <c r="H133" s="614"/>
      <c r="I133" s="613">
        <v>7.65</v>
      </c>
      <c r="J133" s="613">
        <v>0</v>
      </c>
      <c r="K133" s="613">
        <v>116.76</v>
      </c>
      <c r="L133" s="613">
        <v>0</v>
      </c>
      <c r="N133" s="620">
        <f t="shared" si="2"/>
        <v>116.76</v>
      </c>
    </row>
    <row r="134" spans="1:14" outlineLevel="1" x14ac:dyDescent="0.25">
      <c r="A134" s="611">
        <v>4210</v>
      </c>
      <c r="B134" s="612" t="s">
        <v>4612</v>
      </c>
      <c r="C134" s="613"/>
      <c r="D134" s="614"/>
      <c r="E134" s="614"/>
      <c r="F134" s="613">
        <v>181500</v>
      </c>
      <c r="G134" s="614" t="s">
        <v>2701</v>
      </c>
      <c r="H134" s="614"/>
      <c r="I134" s="613">
        <v>16500</v>
      </c>
      <c r="J134" s="613">
        <v>0</v>
      </c>
      <c r="K134" s="613">
        <v>181500</v>
      </c>
      <c r="L134" s="613">
        <v>0</v>
      </c>
      <c r="N134" s="620">
        <f t="shared" si="2"/>
        <v>181500</v>
      </c>
    </row>
    <row r="135" spans="1:14" outlineLevel="1" x14ac:dyDescent="0.25">
      <c r="A135" s="611">
        <v>4228</v>
      </c>
      <c r="B135" s="612" t="s">
        <v>4613</v>
      </c>
      <c r="C135" s="613"/>
      <c r="D135" s="614"/>
      <c r="E135" s="614"/>
      <c r="F135" s="613">
        <v>11000</v>
      </c>
      <c r="G135" s="614" t="s">
        <v>2701</v>
      </c>
      <c r="H135" s="614"/>
      <c r="I135" s="613">
        <v>1000</v>
      </c>
      <c r="J135" s="613">
        <v>0</v>
      </c>
      <c r="K135" s="613">
        <v>11000</v>
      </c>
      <c r="L135" s="613">
        <v>0</v>
      </c>
      <c r="N135" s="620">
        <f t="shared" si="2"/>
        <v>11000</v>
      </c>
    </row>
    <row r="136" spans="1:14" outlineLevel="1" x14ac:dyDescent="0.25">
      <c r="A136" s="611">
        <v>4240</v>
      </c>
      <c r="B136" s="612" t="s">
        <v>4614</v>
      </c>
      <c r="C136" s="613"/>
      <c r="D136" s="614"/>
      <c r="E136" s="614"/>
      <c r="F136" s="613">
        <v>83082.47</v>
      </c>
      <c r="G136" s="614" t="s">
        <v>2701</v>
      </c>
      <c r="H136" s="614"/>
      <c r="I136" s="613">
        <v>7999.91</v>
      </c>
      <c r="J136" s="613">
        <v>0</v>
      </c>
      <c r="K136" s="613">
        <v>86632.5</v>
      </c>
      <c r="L136" s="613">
        <v>3550.03</v>
      </c>
      <c r="N136" s="620">
        <f t="shared" si="2"/>
        <v>83082.47</v>
      </c>
    </row>
    <row r="137" spans="1:14" outlineLevel="1" x14ac:dyDescent="0.25">
      <c r="A137" s="611">
        <v>4250</v>
      </c>
      <c r="B137" s="612" t="s">
        <v>4615</v>
      </c>
      <c r="C137" s="613"/>
      <c r="D137" s="614"/>
      <c r="E137" s="614"/>
      <c r="F137" s="613">
        <v>34900.81</v>
      </c>
      <c r="G137" s="614" t="s">
        <v>2701</v>
      </c>
      <c r="H137" s="614"/>
      <c r="I137" s="613">
        <v>2918.99</v>
      </c>
      <c r="J137" s="613">
        <v>0</v>
      </c>
      <c r="K137" s="613">
        <v>34900.81</v>
      </c>
      <c r="L137" s="613">
        <v>0</v>
      </c>
      <c r="N137" s="620">
        <f t="shared" si="2"/>
        <v>34900.81</v>
      </c>
    </row>
    <row r="138" spans="1:14" outlineLevel="1" x14ac:dyDescent="0.25">
      <c r="A138" s="611">
        <v>4260</v>
      </c>
      <c r="B138" s="612" t="s">
        <v>4616</v>
      </c>
      <c r="C138" s="613"/>
      <c r="D138" s="614"/>
      <c r="E138" s="614"/>
      <c r="F138" s="613">
        <v>7626.35</v>
      </c>
      <c r="G138" s="614" t="s">
        <v>2701</v>
      </c>
      <c r="H138" s="614"/>
      <c r="I138" s="613">
        <v>157.9</v>
      </c>
      <c r="J138" s="613">
        <v>0</v>
      </c>
      <c r="K138" s="613">
        <v>7626.35</v>
      </c>
      <c r="L138" s="613">
        <v>0</v>
      </c>
      <c r="N138" s="620">
        <f t="shared" si="2"/>
        <v>7626.35</v>
      </c>
    </row>
    <row r="139" spans="1:14" outlineLevel="1" x14ac:dyDescent="0.25">
      <c r="A139" s="611">
        <v>4320</v>
      </c>
      <c r="B139" s="612" t="s">
        <v>147</v>
      </c>
      <c r="C139" s="613"/>
      <c r="D139" s="614"/>
      <c r="E139" s="614"/>
      <c r="F139" s="613">
        <v>246771</v>
      </c>
      <c r="G139" s="614" t="s">
        <v>2701</v>
      </c>
      <c r="H139" s="614"/>
      <c r="I139" s="613">
        <v>61692</v>
      </c>
      <c r="J139" s="613">
        <v>0</v>
      </c>
      <c r="K139" s="613">
        <v>246771</v>
      </c>
      <c r="L139" s="613">
        <v>0</v>
      </c>
      <c r="N139" s="620">
        <f t="shared" si="2"/>
        <v>246771</v>
      </c>
    </row>
    <row r="140" spans="1:14" outlineLevel="1" x14ac:dyDescent="0.25">
      <c r="A140" s="611">
        <v>4360</v>
      </c>
      <c r="B140" s="612" t="s">
        <v>4617</v>
      </c>
      <c r="C140" s="613"/>
      <c r="D140" s="614"/>
      <c r="E140" s="614"/>
      <c r="F140" s="613">
        <v>32491.4</v>
      </c>
      <c r="G140" s="614" t="s">
        <v>2701</v>
      </c>
      <c r="H140" s="614"/>
      <c r="I140" s="613">
        <v>2924.22</v>
      </c>
      <c r="J140" s="613">
        <v>0</v>
      </c>
      <c r="K140" s="613">
        <v>32491.4</v>
      </c>
      <c r="L140" s="613">
        <v>0</v>
      </c>
      <c r="N140" s="620">
        <f t="shared" si="2"/>
        <v>32491.4</v>
      </c>
    </row>
    <row r="141" spans="1:14" outlineLevel="1" x14ac:dyDescent="0.25">
      <c r="A141" s="611">
        <v>4380</v>
      </c>
      <c r="B141" s="612" t="s">
        <v>4618</v>
      </c>
      <c r="C141" s="613"/>
      <c r="D141" s="614"/>
      <c r="E141" s="614"/>
      <c r="F141" s="613">
        <v>38416.85</v>
      </c>
      <c r="G141" s="614" t="s">
        <v>2701</v>
      </c>
      <c r="H141" s="614"/>
      <c r="I141" s="613"/>
      <c r="J141" s="613"/>
      <c r="K141" s="613">
        <v>38416.85</v>
      </c>
      <c r="L141" s="613">
        <v>0</v>
      </c>
      <c r="N141" s="620">
        <f t="shared" si="2"/>
        <v>38416.85</v>
      </c>
    </row>
    <row r="142" spans="1:14" outlineLevel="1" x14ac:dyDescent="0.25">
      <c r="A142" s="611">
        <v>4400</v>
      </c>
      <c r="B142" s="612" t="s">
        <v>2494</v>
      </c>
      <c r="C142" s="613"/>
      <c r="D142" s="614"/>
      <c r="E142" s="614"/>
      <c r="F142" s="613">
        <v>55463.44</v>
      </c>
      <c r="G142" s="614" t="s">
        <v>2701</v>
      </c>
      <c r="H142" s="614"/>
      <c r="I142" s="613">
        <v>3286.8</v>
      </c>
      <c r="J142" s="613">
        <v>0</v>
      </c>
      <c r="K142" s="613">
        <v>55463.44</v>
      </c>
      <c r="L142" s="613">
        <v>0</v>
      </c>
      <c r="N142" s="620">
        <f t="shared" si="2"/>
        <v>55463.44</v>
      </c>
    </row>
    <row r="143" spans="1:14" outlineLevel="1" x14ac:dyDescent="0.25">
      <c r="A143" s="611">
        <v>4510</v>
      </c>
      <c r="B143" s="612" t="s">
        <v>4619</v>
      </c>
      <c r="C143" s="613"/>
      <c r="D143" s="614"/>
      <c r="E143" s="614"/>
      <c r="F143" s="613">
        <v>0</v>
      </c>
      <c r="G143" s="614"/>
      <c r="H143" s="614"/>
      <c r="I143" s="613"/>
      <c r="J143" s="613"/>
      <c r="K143" s="613">
        <v>0</v>
      </c>
      <c r="L143" s="613">
        <v>0</v>
      </c>
      <c r="N143" s="620">
        <f t="shared" si="2"/>
        <v>0</v>
      </c>
    </row>
    <row r="144" spans="1:14" outlineLevel="1" x14ac:dyDescent="0.25">
      <c r="A144" s="611">
        <v>4513</v>
      </c>
      <c r="B144" s="612" t="s">
        <v>4620</v>
      </c>
      <c r="C144" s="613"/>
      <c r="D144" s="614"/>
      <c r="E144" s="614"/>
      <c r="F144" s="613">
        <v>456</v>
      </c>
      <c r="G144" s="614" t="s">
        <v>2701</v>
      </c>
      <c r="H144" s="614"/>
      <c r="I144" s="613"/>
      <c r="J144" s="613"/>
      <c r="K144" s="613">
        <v>456</v>
      </c>
      <c r="L144" s="613">
        <v>0</v>
      </c>
      <c r="N144" s="620">
        <f t="shared" si="2"/>
        <v>456</v>
      </c>
    </row>
    <row r="145" spans="1:14" outlineLevel="1" x14ac:dyDescent="0.25">
      <c r="A145" s="611">
        <v>4514</v>
      </c>
      <c r="B145" s="612" t="s">
        <v>4621</v>
      </c>
      <c r="C145" s="613"/>
      <c r="D145" s="614"/>
      <c r="E145" s="614"/>
      <c r="F145" s="613">
        <v>362</v>
      </c>
      <c r="G145" s="614" t="s">
        <v>2701</v>
      </c>
      <c r="H145" s="614"/>
      <c r="I145" s="613">
        <v>0</v>
      </c>
      <c r="J145" s="613">
        <v>260</v>
      </c>
      <c r="K145" s="613">
        <v>622</v>
      </c>
      <c r="L145" s="613">
        <v>260</v>
      </c>
      <c r="N145" s="620">
        <f t="shared" si="2"/>
        <v>362</v>
      </c>
    </row>
    <row r="146" spans="1:14" outlineLevel="1" x14ac:dyDescent="0.25">
      <c r="A146" s="611">
        <v>4515</v>
      </c>
      <c r="B146" s="612" t="s">
        <v>4622</v>
      </c>
      <c r="C146" s="613"/>
      <c r="D146" s="614"/>
      <c r="E146" s="614"/>
      <c r="F146" s="613">
        <v>432</v>
      </c>
      <c r="G146" s="614" t="s">
        <v>2701</v>
      </c>
      <c r="H146" s="614"/>
      <c r="I146" s="613"/>
      <c r="J146" s="613"/>
      <c r="K146" s="613">
        <v>432</v>
      </c>
      <c r="L146" s="613">
        <v>0</v>
      </c>
      <c r="N146" s="620">
        <f t="shared" si="2"/>
        <v>432</v>
      </c>
    </row>
    <row r="147" spans="1:14" outlineLevel="1" x14ac:dyDescent="0.25">
      <c r="A147" s="611">
        <v>4516</v>
      </c>
      <c r="B147" s="612" t="s">
        <v>4623</v>
      </c>
      <c r="C147" s="613"/>
      <c r="D147" s="614"/>
      <c r="E147" s="614"/>
      <c r="F147" s="613">
        <v>186</v>
      </c>
      <c r="G147" s="614" t="s">
        <v>2701</v>
      </c>
      <c r="H147" s="614"/>
      <c r="I147" s="613"/>
      <c r="J147" s="613"/>
      <c r="K147" s="613">
        <v>186</v>
      </c>
      <c r="L147" s="613">
        <v>0</v>
      </c>
      <c r="N147" s="620">
        <f t="shared" si="2"/>
        <v>186</v>
      </c>
    </row>
    <row r="148" spans="1:14" outlineLevel="1" x14ac:dyDescent="0.25">
      <c r="A148" s="611">
        <v>4517</v>
      </c>
      <c r="B148" s="612" t="s">
        <v>4624</v>
      </c>
      <c r="C148" s="613"/>
      <c r="D148" s="614"/>
      <c r="E148" s="614"/>
      <c r="F148" s="613">
        <v>557</v>
      </c>
      <c r="G148" s="614" t="s">
        <v>2701</v>
      </c>
      <c r="H148" s="614"/>
      <c r="I148" s="613"/>
      <c r="J148" s="613"/>
      <c r="K148" s="613">
        <v>557</v>
      </c>
      <c r="L148" s="613">
        <v>0</v>
      </c>
      <c r="N148" s="620">
        <f t="shared" si="2"/>
        <v>557</v>
      </c>
    </row>
    <row r="149" spans="1:14" outlineLevel="1" x14ac:dyDescent="0.25">
      <c r="A149" s="611">
        <v>4518</v>
      </c>
      <c r="B149" s="612" t="s">
        <v>4625</v>
      </c>
      <c r="C149" s="613"/>
      <c r="D149" s="614"/>
      <c r="E149" s="614"/>
      <c r="F149" s="613">
        <v>231</v>
      </c>
      <c r="G149" s="614" t="s">
        <v>2701</v>
      </c>
      <c r="H149" s="614"/>
      <c r="I149" s="613"/>
      <c r="J149" s="613"/>
      <c r="K149" s="613">
        <v>231</v>
      </c>
      <c r="L149" s="613">
        <v>0</v>
      </c>
      <c r="N149" s="620">
        <f t="shared" si="2"/>
        <v>231</v>
      </c>
    </row>
    <row r="150" spans="1:14" outlineLevel="1" x14ac:dyDescent="0.25">
      <c r="A150" s="611">
        <v>4520</v>
      </c>
      <c r="B150" s="612" t="s">
        <v>4626</v>
      </c>
      <c r="C150" s="613"/>
      <c r="D150" s="614"/>
      <c r="E150" s="614"/>
      <c r="F150" s="613">
        <v>1318.79</v>
      </c>
      <c r="G150" s="614" t="s">
        <v>2701</v>
      </c>
      <c r="H150" s="614"/>
      <c r="I150" s="613">
        <v>119.89</v>
      </c>
      <c r="J150" s="613">
        <v>0</v>
      </c>
      <c r="K150" s="613">
        <v>1318.79</v>
      </c>
      <c r="L150" s="613">
        <v>0</v>
      </c>
      <c r="N150" s="620">
        <f t="shared" si="2"/>
        <v>1318.79</v>
      </c>
    </row>
    <row r="151" spans="1:14" outlineLevel="1" x14ac:dyDescent="0.25">
      <c r="A151" s="611">
        <v>4522</v>
      </c>
      <c r="B151" s="612" t="s">
        <v>4627</v>
      </c>
      <c r="C151" s="613"/>
      <c r="D151" s="614"/>
      <c r="E151" s="614"/>
      <c r="F151" s="613">
        <v>2637.58</v>
      </c>
      <c r="G151" s="614" t="s">
        <v>2701</v>
      </c>
      <c r="H151" s="614"/>
      <c r="I151" s="613">
        <v>239.78</v>
      </c>
      <c r="J151" s="613">
        <v>0</v>
      </c>
      <c r="K151" s="613">
        <v>2637.58</v>
      </c>
      <c r="L151" s="613">
        <v>0</v>
      </c>
      <c r="N151" s="620">
        <f t="shared" si="2"/>
        <v>2637.58</v>
      </c>
    </row>
    <row r="152" spans="1:14" outlineLevel="1" x14ac:dyDescent="0.25">
      <c r="A152" s="611">
        <v>4523</v>
      </c>
      <c r="B152" s="612" t="s">
        <v>4628</v>
      </c>
      <c r="C152" s="613"/>
      <c r="D152" s="614"/>
      <c r="E152" s="614"/>
      <c r="F152" s="613">
        <v>2637.58</v>
      </c>
      <c r="G152" s="614" t="s">
        <v>2701</v>
      </c>
      <c r="H152" s="614"/>
      <c r="I152" s="613">
        <v>239.78</v>
      </c>
      <c r="J152" s="613">
        <v>0</v>
      </c>
      <c r="K152" s="613">
        <v>2637.58</v>
      </c>
      <c r="L152" s="613">
        <v>0</v>
      </c>
      <c r="N152" s="620">
        <f t="shared" si="2"/>
        <v>2637.58</v>
      </c>
    </row>
    <row r="153" spans="1:14" outlineLevel="1" x14ac:dyDescent="0.25">
      <c r="A153" s="611">
        <v>4524</v>
      </c>
      <c r="B153" s="612" t="s">
        <v>4629</v>
      </c>
      <c r="C153" s="613"/>
      <c r="D153" s="614"/>
      <c r="E153" s="614"/>
      <c r="F153" s="613">
        <v>2862.7</v>
      </c>
      <c r="G153" s="614" t="s">
        <v>2701</v>
      </c>
      <c r="H153" s="614"/>
      <c r="I153" s="613">
        <v>503.57</v>
      </c>
      <c r="J153" s="613">
        <v>38.67</v>
      </c>
      <c r="K153" s="613">
        <v>2901.37</v>
      </c>
      <c r="L153" s="613">
        <v>38.67</v>
      </c>
      <c r="N153" s="620">
        <f t="shared" si="2"/>
        <v>2862.7</v>
      </c>
    </row>
    <row r="154" spans="1:14" outlineLevel="1" x14ac:dyDescent="0.25">
      <c r="A154" s="611">
        <v>4525</v>
      </c>
      <c r="B154" s="612" t="s">
        <v>4630</v>
      </c>
      <c r="C154" s="613"/>
      <c r="D154" s="614"/>
      <c r="E154" s="614"/>
      <c r="F154" s="613">
        <v>2637.58</v>
      </c>
      <c r="G154" s="614" t="s">
        <v>2701</v>
      </c>
      <c r="H154" s="614"/>
      <c r="I154" s="613">
        <v>239.78</v>
      </c>
      <c r="J154" s="613">
        <v>0</v>
      </c>
      <c r="K154" s="613">
        <v>2637.58</v>
      </c>
      <c r="L154" s="613">
        <v>0</v>
      </c>
      <c r="N154" s="620">
        <f t="shared" si="2"/>
        <v>2637.58</v>
      </c>
    </row>
    <row r="155" spans="1:14" outlineLevel="1" x14ac:dyDescent="0.25">
      <c r="A155" s="611">
        <v>4526</v>
      </c>
      <c r="B155" s="612" t="s">
        <v>4631</v>
      </c>
      <c r="C155" s="613"/>
      <c r="D155" s="614"/>
      <c r="E155" s="614"/>
      <c r="F155" s="613">
        <v>4029.52</v>
      </c>
      <c r="G155" s="614" t="s">
        <v>2701</v>
      </c>
      <c r="H155" s="614"/>
      <c r="I155" s="613">
        <v>526.32000000000005</v>
      </c>
      <c r="J155" s="613">
        <v>0</v>
      </c>
      <c r="K155" s="613">
        <v>4029.52</v>
      </c>
      <c r="L155" s="613">
        <v>0</v>
      </c>
      <c r="N155" s="620">
        <f t="shared" si="2"/>
        <v>4029.52</v>
      </c>
    </row>
    <row r="156" spans="1:14" outlineLevel="1" x14ac:dyDescent="0.25">
      <c r="A156" s="611">
        <v>4527</v>
      </c>
      <c r="B156" s="612" t="s">
        <v>4632</v>
      </c>
      <c r="C156" s="613"/>
      <c r="D156" s="614"/>
      <c r="E156" s="614"/>
      <c r="F156" s="613">
        <v>2637.58</v>
      </c>
      <c r="G156" s="614" t="s">
        <v>2701</v>
      </c>
      <c r="H156" s="614"/>
      <c r="I156" s="613">
        <v>239.78</v>
      </c>
      <c r="J156" s="613">
        <v>0</v>
      </c>
      <c r="K156" s="613">
        <v>2637.58</v>
      </c>
      <c r="L156" s="613">
        <v>0</v>
      </c>
      <c r="N156" s="620">
        <f t="shared" si="2"/>
        <v>2637.58</v>
      </c>
    </row>
    <row r="157" spans="1:14" outlineLevel="1" x14ac:dyDescent="0.25">
      <c r="A157" s="611">
        <v>4528</v>
      </c>
      <c r="B157" s="612" t="s">
        <v>4633</v>
      </c>
      <c r="C157" s="613"/>
      <c r="D157" s="614"/>
      <c r="E157" s="614"/>
      <c r="F157" s="613">
        <v>2637.58</v>
      </c>
      <c r="G157" s="614" t="s">
        <v>2701</v>
      </c>
      <c r="H157" s="614"/>
      <c r="I157" s="613">
        <v>239.78</v>
      </c>
      <c r="J157" s="613">
        <v>0</v>
      </c>
      <c r="K157" s="613">
        <v>2637.58</v>
      </c>
      <c r="L157" s="613">
        <v>0</v>
      </c>
      <c r="N157" s="620">
        <f t="shared" si="2"/>
        <v>2637.58</v>
      </c>
    </row>
    <row r="158" spans="1:14" outlineLevel="1" x14ac:dyDescent="0.25">
      <c r="A158" s="611">
        <v>4529</v>
      </c>
      <c r="B158" s="612" t="s">
        <v>4634</v>
      </c>
      <c r="C158" s="613"/>
      <c r="D158" s="614"/>
      <c r="E158" s="614"/>
      <c r="F158" s="613">
        <v>972.1</v>
      </c>
      <c r="G158" s="614" t="s">
        <v>2701</v>
      </c>
      <c r="H158" s="614"/>
      <c r="I158" s="613">
        <v>134</v>
      </c>
      <c r="J158" s="613">
        <v>0</v>
      </c>
      <c r="K158" s="613">
        <v>972.1</v>
      </c>
      <c r="L158" s="613">
        <v>0</v>
      </c>
      <c r="N158" s="620">
        <f t="shared" si="2"/>
        <v>972.1</v>
      </c>
    </row>
    <row r="159" spans="1:14" outlineLevel="1" x14ac:dyDescent="0.25">
      <c r="A159" s="611">
        <v>4530</v>
      </c>
      <c r="B159" s="612" t="s">
        <v>4635</v>
      </c>
      <c r="C159" s="613"/>
      <c r="D159" s="614"/>
      <c r="E159" s="614"/>
      <c r="F159" s="613">
        <v>298.33</v>
      </c>
      <c r="G159" s="614" t="s">
        <v>2701</v>
      </c>
      <c r="H159" s="614"/>
      <c r="I159" s="613">
        <v>31.61</v>
      </c>
      <c r="J159" s="613">
        <v>0</v>
      </c>
      <c r="K159" s="613">
        <v>298.33</v>
      </c>
      <c r="L159" s="613">
        <v>0</v>
      </c>
      <c r="N159" s="620">
        <f t="shared" si="2"/>
        <v>298.33</v>
      </c>
    </row>
    <row r="160" spans="1:14" outlineLevel="1" x14ac:dyDescent="0.25">
      <c r="A160" s="611">
        <v>4532</v>
      </c>
      <c r="B160" s="612" t="s">
        <v>4636</v>
      </c>
      <c r="C160" s="613"/>
      <c r="D160" s="614"/>
      <c r="E160" s="614"/>
      <c r="F160" s="613">
        <v>1238.27</v>
      </c>
      <c r="G160" s="614" t="s">
        <v>2701</v>
      </c>
      <c r="H160" s="614"/>
      <c r="I160" s="613">
        <v>74.23</v>
      </c>
      <c r="J160" s="613">
        <v>0</v>
      </c>
      <c r="K160" s="613">
        <v>1238.27</v>
      </c>
      <c r="L160" s="613">
        <v>0</v>
      </c>
      <c r="N160" s="620">
        <f t="shared" si="2"/>
        <v>1238.27</v>
      </c>
    </row>
    <row r="161" spans="1:14" outlineLevel="1" x14ac:dyDescent="0.25">
      <c r="A161" s="611">
        <v>4533</v>
      </c>
      <c r="B161" s="612" t="s">
        <v>4637</v>
      </c>
      <c r="C161" s="613"/>
      <c r="D161" s="614"/>
      <c r="E161" s="614"/>
      <c r="F161" s="613">
        <v>6934.85</v>
      </c>
      <c r="G161" s="614" t="s">
        <v>2701</v>
      </c>
      <c r="H161" s="614"/>
      <c r="I161" s="613">
        <v>1073.0999999999999</v>
      </c>
      <c r="J161" s="613">
        <v>0</v>
      </c>
      <c r="K161" s="613">
        <v>6934.85</v>
      </c>
      <c r="L161" s="613">
        <v>0</v>
      </c>
      <c r="N161" s="620">
        <f t="shared" si="2"/>
        <v>6934.85</v>
      </c>
    </row>
    <row r="162" spans="1:14" outlineLevel="1" x14ac:dyDescent="0.25">
      <c r="A162" s="611">
        <v>4534</v>
      </c>
      <c r="B162" s="612" t="s">
        <v>4638</v>
      </c>
      <c r="C162" s="613"/>
      <c r="D162" s="614"/>
      <c r="E162" s="614"/>
      <c r="F162" s="613">
        <v>4415.8500000000004</v>
      </c>
      <c r="G162" s="614" t="s">
        <v>2701</v>
      </c>
      <c r="H162" s="614"/>
      <c r="I162" s="613">
        <v>778.18</v>
      </c>
      <c r="J162" s="613">
        <v>0</v>
      </c>
      <c r="K162" s="613">
        <v>4415.8500000000004</v>
      </c>
      <c r="L162" s="613">
        <v>0</v>
      </c>
      <c r="N162" s="620">
        <f t="shared" si="2"/>
        <v>4415.8500000000004</v>
      </c>
    </row>
    <row r="163" spans="1:14" outlineLevel="1" x14ac:dyDescent="0.25">
      <c r="A163" s="611">
        <v>4535</v>
      </c>
      <c r="B163" s="612" t="s">
        <v>4639</v>
      </c>
      <c r="C163" s="613"/>
      <c r="D163" s="614"/>
      <c r="E163" s="614"/>
      <c r="F163" s="613">
        <v>2348.25</v>
      </c>
      <c r="G163" s="614" t="s">
        <v>2701</v>
      </c>
      <c r="H163" s="614"/>
      <c r="I163" s="613"/>
      <c r="J163" s="613"/>
      <c r="K163" s="613">
        <v>2348.25</v>
      </c>
      <c r="L163" s="613">
        <v>0</v>
      </c>
      <c r="N163" s="620">
        <f t="shared" si="2"/>
        <v>2348.25</v>
      </c>
    </row>
    <row r="164" spans="1:14" outlineLevel="1" x14ac:dyDescent="0.25">
      <c r="A164" s="611">
        <v>4536</v>
      </c>
      <c r="B164" s="612" t="s">
        <v>4640</v>
      </c>
      <c r="C164" s="613"/>
      <c r="D164" s="614"/>
      <c r="E164" s="614"/>
      <c r="F164" s="613">
        <v>2011.44</v>
      </c>
      <c r="G164" s="614" t="s">
        <v>2701</v>
      </c>
      <c r="H164" s="614"/>
      <c r="I164" s="613">
        <v>163.80000000000001</v>
      </c>
      <c r="J164" s="613">
        <v>0</v>
      </c>
      <c r="K164" s="613">
        <v>2011.44</v>
      </c>
      <c r="L164" s="613">
        <v>0</v>
      </c>
      <c r="N164" s="620">
        <f t="shared" si="2"/>
        <v>2011.44</v>
      </c>
    </row>
    <row r="165" spans="1:14" outlineLevel="1" x14ac:dyDescent="0.25">
      <c r="A165" s="611">
        <v>4537</v>
      </c>
      <c r="B165" s="612" t="s">
        <v>4641</v>
      </c>
      <c r="C165" s="613"/>
      <c r="D165" s="614"/>
      <c r="E165" s="614"/>
      <c r="F165" s="613">
        <v>1655.67</v>
      </c>
      <c r="G165" s="614" t="s">
        <v>2701</v>
      </c>
      <c r="H165" s="614"/>
      <c r="I165" s="613">
        <v>287.68</v>
      </c>
      <c r="J165" s="613">
        <v>0</v>
      </c>
      <c r="K165" s="613">
        <v>1655.67</v>
      </c>
      <c r="L165" s="613">
        <v>0</v>
      </c>
      <c r="N165" s="620">
        <f t="shared" si="2"/>
        <v>1655.67</v>
      </c>
    </row>
    <row r="166" spans="1:14" outlineLevel="1" x14ac:dyDescent="0.25">
      <c r="A166" s="611">
        <v>4538</v>
      </c>
      <c r="B166" s="612" t="s">
        <v>4642</v>
      </c>
      <c r="C166" s="613"/>
      <c r="D166" s="614"/>
      <c r="E166" s="614"/>
      <c r="F166" s="613">
        <v>5912.11</v>
      </c>
      <c r="G166" s="614" t="s">
        <v>2701</v>
      </c>
      <c r="H166" s="614"/>
      <c r="I166" s="613">
        <v>728.7</v>
      </c>
      <c r="J166" s="613">
        <v>0</v>
      </c>
      <c r="K166" s="613">
        <v>5912.11</v>
      </c>
      <c r="L166" s="613">
        <v>0</v>
      </c>
      <c r="N166" s="620">
        <f t="shared" si="2"/>
        <v>5912.11</v>
      </c>
    </row>
    <row r="167" spans="1:14" outlineLevel="1" x14ac:dyDescent="0.25">
      <c r="A167" s="611">
        <v>4540</v>
      </c>
      <c r="B167" s="612" t="s">
        <v>4643</v>
      </c>
      <c r="C167" s="613"/>
      <c r="D167" s="614"/>
      <c r="E167" s="614"/>
      <c r="F167" s="613">
        <v>3277.47</v>
      </c>
      <c r="G167" s="614" t="s">
        <v>2701</v>
      </c>
      <c r="H167" s="614"/>
      <c r="I167" s="613">
        <v>341.99</v>
      </c>
      <c r="J167" s="613">
        <v>0</v>
      </c>
      <c r="K167" s="613">
        <v>3277.47</v>
      </c>
      <c r="L167" s="613">
        <v>0</v>
      </c>
      <c r="N167" s="620">
        <f t="shared" si="2"/>
        <v>3277.47</v>
      </c>
    </row>
    <row r="168" spans="1:14" outlineLevel="1" x14ac:dyDescent="0.25">
      <c r="A168" s="611">
        <v>4542</v>
      </c>
      <c r="B168" s="612" t="s">
        <v>4644</v>
      </c>
      <c r="C168" s="613"/>
      <c r="D168" s="614"/>
      <c r="E168" s="614"/>
      <c r="F168" s="613">
        <v>2956.24</v>
      </c>
      <c r="G168" s="614" t="s">
        <v>2701</v>
      </c>
      <c r="H168" s="614"/>
      <c r="I168" s="613">
        <v>431.18</v>
      </c>
      <c r="J168" s="613">
        <v>0</v>
      </c>
      <c r="K168" s="613">
        <v>2956.24</v>
      </c>
      <c r="L168" s="613">
        <v>0</v>
      </c>
      <c r="N168" s="620">
        <f t="shared" si="2"/>
        <v>2956.24</v>
      </c>
    </row>
    <row r="169" spans="1:14" outlineLevel="1" x14ac:dyDescent="0.25">
      <c r="A169" s="611">
        <v>4543</v>
      </c>
      <c r="B169" s="612" t="s">
        <v>4645</v>
      </c>
      <c r="C169" s="613"/>
      <c r="D169" s="614"/>
      <c r="E169" s="614"/>
      <c r="F169" s="613">
        <v>4501.4799999999996</v>
      </c>
      <c r="G169" s="614" t="s">
        <v>2701</v>
      </c>
      <c r="H169" s="614"/>
      <c r="I169" s="613">
        <v>1220.98</v>
      </c>
      <c r="J169" s="613">
        <v>0</v>
      </c>
      <c r="K169" s="613">
        <v>4501.4799999999996</v>
      </c>
      <c r="L169" s="613">
        <v>0</v>
      </c>
      <c r="N169" s="620">
        <f t="shared" si="2"/>
        <v>4501.4799999999996</v>
      </c>
    </row>
    <row r="170" spans="1:14" outlineLevel="1" x14ac:dyDescent="0.25">
      <c r="A170" s="611">
        <v>4544</v>
      </c>
      <c r="B170" s="612" t="s">
        <v>4646</v>
      </c>
      <c r="C170" s="613"/>
      <c r="D170" s="614"/>
      <c r="E170" s="614"/>
      <c r="F170" s="613">
        <v>6782.12</v>
      </c>
      <c r="G170" s="614" t="s">
        <v>2701</v>
      </c>
      <c r="H170" s="614"/>
      <c r="I170" s="613"/>
      <c r="J170" s="613"/>
      <c r="K170" s="613">
        <v>6782.12</v>
      </c>
      <c r="L170" s="613">
        <v>0</v>
      </c>
      <c r="N170" s="620">
        <f t="shared" si="2"/>
        <v>6782.12</v>
      </c>
    </row>
    <row r="171" spans="1:14" outlineLevel="1" x14ac:dyDescent="0.25">
      <c r="A171" s="611">
        <v>4545</v>
      </c>
      <c r="B171" s="612" t="s">
        <v>4647</v>
      </c>
      <c r="C171" s="613"/>
      <c r="D171" s="614"/>
      <c r="E171" s="614"/>
      <c r="F171" s="613">
        <v>1176.67</v>
      </c>
      <c r="G171" s="614" t="s">
        <v>2701</v>
      </c>
      <c r="H171" s="614"/>
      <c r="I171" s="613">
        <v>44.37</v>
      </c>
      <c r="J171" s="613">
        <v>0</v>
      </c>
      <c r="K171" s="613">
        <v>1176.67</v>
      </c>
      <c r="L171" s="613">
        <v>0</v>
      </c>
      <c r="N171" s="620">
        <f t="shared" si="2"/>
        <v>1176.67</v>
      </c>
    </row>
    <row r="172" spans="1:14" outlineLevel="1" x14ac:dyDescent="0.25">
      <c r="A172" s="611">
        <v>4546</v>
      </c>
      <c r="B172" s="612" t="s">
        <v>4648</v>
      </c>
      <c r="C172" s="613"/>
      <c r="D172" s="614"/>
      <c r="E172" s="614"/>
      <c r="F172" s="613">
        <v>1817.07</v>
      </c>
      <c r="G172" s="614" t="s">
        <v>2701</v>
      </c>
      <c r="H172" s="614"/>
      <c r="I172" s="613">
        <v>237.81</v>
      </c>
      <c r="J172" s="613">
        <v>0</v>
      </c>
      <c r="K172" s="613">
        <v>1817.07</v>
      </c>
      <c r="L172" s="613">
        <v>0</v>
      </c>
      <c r="N172" s="620">
        <f t="shared" si="2"/>
        <v>1817.07</v>
      </c>
    </row>
    <row r="173" spans="1:14" outlineLevel="1" x14ac:dyDescent="0.25">
      <c r="A173" s="611">
        <v>4547</v>
      </c>
      <c r="B173" s="612" t="s">
        <v>4649</v>
      </c>
      <c r="C173" s="613"/>
      <c r="D173" s="614"/>
      <c r="E173" s="614"/>
      <c r="F173" s="613">
        <v>2490.8000000000002</v>
      </c>
      <c r="G173" s="614" t="s">
        <v>2701</v>
      </c>
      <c r="H173" s="614"/>
      <c r="I173" s="613">
        <v>77.739999999999995</v>
      </c>
      <c r="J173" s="613">
        <v>0</v>
      </c>
      <c r="K173" s="613">
        <v>2490.8000000000002</v>
      </c>
      <c r="L173" s="613">
        <v>0</v>
      </c>
      <c r="N173" s="620">
        <f t="shared" si="2"/>
        <v>2490.8000000000002</v>
      </c>
    </row>
    <row r="174" spans="1:14" outlineLevel="1" x14ac:dyDescent="0.25">
      <c r="A174" s="611">
        <v>4548</v>
      </c>
      <c r="B174" s="612" t="s">
        <v>4650</v>
      </c>
      <c r="C174" s="613"/>
      <c r="D174" s="614"/>
      <c r="E174" s="614"/>
      <c r="F174" s="613">
        <v>4640.83</v>
      </c>
      <c r="G174" s="614" t="s">
        <v>2701</v>
      </c>
      <c r="H174" s="614"/>
      <c r="I174" s="613">
        <v>151.16</v>
      </c>
      <c r="J174" s="613">
        <v>0</v>
      </c>
      <c r="K174" s="613">
        <v>4640.83</v>
      </c>
      <c r="L174" s="613">
        <v>0</v>
      </c>
      <c r="N174" s="620">
        <f t="shared" si="2"/>
        <v>4640.83</v>
      </c>
    </row>
    <row r="175" spans="1:14" outlineLevel="1" x14ac:dyDescent="0.25">
      <c r="A175" s="611">
        <v>4549</v>
      </c>
      <c r="B175" s="612" t="s">
        <v>4651</v>
      </c>
      <c r="C175" s="613"/>
      <c r="D175" s="614"/>
      <c r="E175" s="614"/>
      <c r="F175" s="613">
        <v>268</v>
      </c>
      <c r="G175" s="614" t="s">
        <v>2701</v>
      </c>
      <c r="H175" s="614"/>
      <c r="I175" s="613">
        <v>36</v>
      </c>
      <c r="J175" s="613">
        <v>0</v>
      </c>
      <c r="K175" s="613">
        <v>268</v>
      </c>
      <c r="L175" s="613">
        <v>0</v>
      </c>
      <c r="N175" s="620">
        <f t="shared" si="2"/>
        <v>268</v>
      </c>
    </row>
    <row r="176" spans="1:14" outlineLevel="1" x14ac:dyDescent="0.25">
      <c r="A176" s="611">
        <v>4570</v>
      </c>
      <c r="B176" s="612" t="s">
        <v>4652</v>
      </c>
      <c r="C176" s="613"/>
      <c r="D176" s="614"/>
      <c r="E176" s="614"/>
      <c r="F176" s="613">
        <v>10175.879999999999</v>
      </c>
      <c r="G176" s="614" t="s">
        <v>2701</v>
      </c>
      <c r="H176" s="614"/>
      <c r="I176" s="613">
        <v>925.08</v>
      </c>
      <c r="J176" s="613">
        <v>0</v>
      </c>
      <c r="K176" s="613">
        <v>10175.879999999999</v>
      </c>
      <c r="L176" s="613">
        <v>0</v>
      </c>
      <c r="N176" s="620">
        <f t="shared" si="2"/>
        <v>10175.879999999999</v>
      </c>
    </row>
    <row r="177" spans="1:14" outlineLevel="1" x14ac:dyDescent="0.25">
      <c r="A177" s="611">
        <v>4572</v>
      </c>
      <c r="B177" s="612" t="s">
        <v>4653</v>
      </c>
      <c r="C177" s="613"/>
      <c r="D177" s="614"/>
      <c r="E177" s="614"/>
      <c r="F177" s="613">
        <v>18620.91</v>
      </c>
      <c r="G177" s="614" t="s">
        <v>2701</v>
      </c>
      <c r="H177" s="614"/>
      <c r="I177" s="613">
        <v>1692.81</v>
      </c>
      <c r="J177" s="613">
        <v>0</v>
      </c>
      <c r="K177" s="613">
        <v>18620.91</v>
      </c>
      <c r="L177" s="613">
        <v>0</v>
      </c>
      <c r="N177" s="620">
        <f t="shared" si="2"/>
        <v>18620.91</v>
      </c>
    </row>
    <row r="178" spans="1:14" outlineLevel="1" x14ac:dyDescent="0.25">
      <c r="A178" s="611">
        <v>4573</v>
      </c>
      <c r="B178" s="612" t="s">
        <v>4654</v>
      </c>
      <c r="C178" s="613"/>
      <c r="D178" s="614"/>
      <c r="E178" s="614"/>
      <c r="F178" s="613">
        <v>14494.81</v>
      </c>
      <c r="G178" s="614" t="s">
        <v>2701</v>
      </c>
      <c r="H178" s="614"/>
      <c r="I178" s="613">
        <v>1317.71</v>
      </c>
      <c r="J178" s="613">
        <v>0</v>
      </c>
      <c r="K178" s="613">
        <v>14494.81</v>
      </c>
      <c r="L178" s="613">
        <v>0</v>
      </c>
      <c r="N178" s="620">
        <f t="shared" si="2"/>
        <v>14494.81</v>
      </c>
    </row>
    <row r="179" spans="1:14" outlineLevel="1" x14ac:dyDescent="0.25">
      <c r="A179" s="611">
        <v>4574</v>
      </c>
      <c r="B179" s="612" t="s">
        <v>4655</v>
      </c>
      <c r="C179" s="613"/>
      <c r="D179" s="614"/>
      <c r="E179" s="614"/>
      <c r="F179" s="613">
        <v>12889.12</v>
      </c>
      <c r="G179" s="614" t="s">
        <v>2701</v>
      </c>
      <c r="H179" s="614"/>
      <c r="I179" s="613">
        <v>4831.3599999999997</v>
      </c>
      <c r="J179" s="613">
        <v>366.2</v>
      </c>
      <c r="K179" s="613">
        <v>13255.32</v>
      </c>
      <c r="L179" s="613">
        <v>366.2</v>
      </c>
      <c r="N179" s="620">
        <f t="shared" si="2"/>
        <v>12889.12</v>
      </c>
    </row>
    <row r="180" spans="1:14" outlineLevel="1" x14ac:dyDescent="0.25">
      <c r="A180" s="611">
        <v>4575</v>
      </c>
      <c r="B180" s="612" t="s">
        <v>4656</v>
      </c>
      <c r="C180" s="613"/>
      <c r="D180" s="614"/>
      <c r="E180" s="614"/>
      <c r="F180" s="613">
        <v>17474.86</v>
      </c>
      <c r="G180" s="614" t="s">
        <v>2701</v>
      </c>
      <c r="H180" s="614"/>
      <c r="I180" s="613">
        <v>1584.59</v>
      </c>
      <c r="J180" s="613">
        <v>0</v>
      </c>
      <c r="K180" s="613">
        <v>17474.86</v>
      </c>
      <c r="L180" s="613">
        <v>0</v>
      </c>
      <c r="N180" s="620">
        <f t="shared" si="2"/>
        <v>17474.86</v>
      </c>
    </row>
    <row r="181" spans="1:14" outlineLevel="1" x14ac:dyDescent="0.25">
      <c r="A181" s="611">
        <v>4576</v>
      </c>
      <c r="B181" s="612" t="s">
        <v>4657</v>
      </c>
      <c r="C181" s="613"/>
      <c r="D181" s="614"/>
      <c r="E181" s="614"/>
      <c r="F181" s="613">
        <v>29631.8</v>
      </c>
      <c r="G181" s="614" t="s">
        <v>2701</v>
      </c>
      <c r="H181" s="614"/>
      <c r="I181" s="613">
        <v>2693.8</v>
      </c>
      <c r="J181" s="613">
        <v>0</v>
      </c>
      <c r="K181" s="613">
        <v>29631.8</v>
      </c>
      <c r="L181" s="613">
        <v>0</v>
      </c>
      <c r="N181" s="620">
        <f t="shared" si="2"/>
        <v>29631.8</v>
      </c>
    </row>
    <row r="182" spans="1:14" outlineLevel="1" x14ac:dyDescent="0.25">
      <c r="A182" s="611">
        <v>4577</v>
      </c>
      <c r="B182" s="612" t="s">
        <v>4658</v>
      </c>
      <c r="C182" s="613"/>
      <c r="D182" s="614"/>
      <c r="E182" s="614"/>
      <c r="F182" s="613">
        <v>15411</v>
      </c>
      <c r="G182" s="614" t="s">
        <v>2701</v>
      </c>
      <c r="H182" s="614"/>
      <c r="I182" s="613">
        <v>1401</v>
      </c>
      <c r="J182" s="613">
        <v>0</v>
      </c>
      <c r="K182" s="613">
        <v>15411</v>
      </c>
      <c r="L182" s="613">
        <v>0</v>
      </c>
      <c r="N182" s="620">
        <f t="shared" si="2"/>
        <v>15411</v>
      </c>
    </row>
    <row r="183" spans="1:14" outlineLevel="1" x14ac:dyDescent="0.25">
      <c r="A183" s="611">
        <v>4578</v>
      </c>
      <c r="B183" s="612" t="s">
        <v>4659</v>
      </c>
      <c r="C183" s="613"/>
      <c r="D183" s="614"/>
      <c r="E183" s="614"/>
      <c r="F183" s="613">
        <v>13170.52</v>
      </c>
      <c r="G183" s="614" t="s">
        <v>2701</v>
      </c>
      <c r="H183" s="614"/>
      <c r="I183" s="613">
        <v>1197.32</v>
      </c>
      <c r="J183" s="613">
        <v>0</v>
      </c>
      <c r="K183" s="613">
        <v>13170.52</v>
      </c>
      <c r="L183" s="613">
        <v>0</v>
      </c>
      <c r="N183" s="620">
        <f t="shared" si="2"/>
        <v>13170.52</v>
      </c>
    </row>
    <row r="184" spans="1:14" outlineLevel="1" x14ac:dyDescent="0.25">
      <c r="A184" s="611">
        <v>4579</v>
      </c>
      <c r="B184" s="612" t="s">
        <v>4660</v>
      </c>
      <c r="C184" s="613"/>
      <c r="D184" s="614"/>
      <c r="E184" s="614"/>
      <c r="F184" s="613">
        <v>7567.96</v>
      </c>
      <c r="G184" s="614" t="s">
        <v>2701</v>
      </c>
      <c r="H184" s="614"/>
      <c r="I184" s="613">
        <v>983.63</v>
      </c>
      <c r="J184" s="613">
        <v>0</v>
      </c>
      <c r="K184" s="613">
        <v>7567.96</v>
      </c>
      <c r="L184" s="613">
        <v>0</v>
      </c>
      <c r="N184" s="620">
        <f t="shared" si="2"/>
        <v>7567.96</v>
      </c>
    </row>
    <row r="185" spans="1:14" outlineLevel="1" x14ac:dyDescent="0.25">
      <c r="A185" s="611">
        <v>4580</v>
      </c>
      <c r="B185" s="612" t="s">
        <v>4661</v>
      </c>
      <c r="C185" s="613"/>
      <c r="D185" s="614"/>
      <c r="E185" s="614"/>
      <c r="F185" s="613">
        <v>426.9</v>
      </c>
      <c r="G185" s="614" t="s">
        <v>2701</v>
      </c>
      <c r="H185" s="614"/>
      <c r="I185" s="613">
        <v>90.76</v>
      </c>
      <c r="J185" s="613">
        <v>0</v>
      </c>
      <c r="K185" s="613">
        <v>426.9</v>
      </c>
      <c r="L185" s="613">
        <v>0</v>
      </c>
      <c r="N185" s="620">
        <f t="shared" si="2"/>
        <v>426.9</v>
      </c>
    </row>
    <row r="186" spans="1:14" outlineLevel="1" x14ac:dyDescent="0.25">
      <c r="A186" s="611">
        <v>4582</v>
      </c>
      <c r="B186" s="612" t="s">
        <v>4662</v>
      </c>
      <c r="C186" s="613"/>
      <c r="D186" s="614"/>
      <c r="E186" s="614"/>
      <c r="F186" s="613">
        <v>178.25</v>
      </c>
      <c r="G186" s="614" t="s">
        <v>2701</v>
      </c>
      <c r="H186" s="614"/>
      <c r="I186" s="613"/>
      <c r="J186" s="613"/>
      <c r="K186" s="613">
        <v>178.25</v>
      </c>
      <c r="L186" s="613">
        <v>0</v>
      </c>
      <c r="N186" s="620">
        <f t="shared" si="2"/>
        <v>178.25</v>
      </c>
    </row>
    <row r="187" spans="1:14" outlineLevel="1" x14ac:dyDescent="0.25">
      <c r="A187" s="611">
        <v>4583</v>
      </c>
      <c r="B187" s="612" t="s">
        <v>4663</v>
      </c>
      <c r="C187" s="613"/>
      <c r="D187" s="614"/>
      <c r="E187" s="614"/>
      <c r="F187" s="613">
        <v>566.29</v>
      </c>
      <c r="G187" s="614" t="s">
        <v>2701</v>
      </c>
      <c r="H187" s="614"/>
      <c r="I187" s="613">
        <v>276.35000000000002</v>
      </c>
      <c r="J187" s="613">
        <v>0</v>
      </c>
      <c r="K187" s="613">
        <v>566.29</v>
      </c>
      <c r="L187" s="613">
        <v>0</v>
      </c>
      <c r="N187" s="620">
        <f t="shared" si="2"/>
        <v>566.29</v>
      </c>
    </row>
    <row r="188" spans="1:14" outlineLevel="1" x14ac:dyDescent="0.25">
      <c r="A188" s="611">
        <v>4584</v>
      </c>
      <c r="B188" s="612" t="s">
        <v>4664</v>
      </c>
      <c r="C188" s="613"/>
      <c r="D188" s="614"/>
      <c r="E188" s="614"/>
      <c r="F188" s="613">
        <v>2367.41</v>
      </c>
      <c r="G188" s="614" t="s">
        <v>2701</v>
      </c>
      <c r="H188" s="614"/>
      <c r="I188" s="613">
        <v>107.71</v>
      </c>
      <c r="J188" s="613">
        <v>0</v>
      </c>
      <c r="K188" s="613">
        <v>2367.41</v>
      </c>
      <c r="L188" s="613">
        <v>0</v>
      </c>
      <c r="N188" s="620">
        <f t="shared" si="2"/>
        <v>2367.41</v>
      </c>
    </row>
    <row r="189" spans="1:14" outlineLevel="1" x14ac:dyDescent="0.25">
      <c r="A189" s="611">
        <v>4585</v>
      </c>
      <c r="B189" s="612" t="s">
        <v>4665</v>
      </c>
      <c r="C189" s="613"/>
      <c r="D189" s="614"/>
      <c r="E189" s="614"/>
      <c r="F189" s="613">
        <v>173.72</v>
      </c>
      <c r="G189" s="614" t="s">
        <v>2701</v>
      </c>
      <c r="H189" s="614"/>
      <c r="I189" s="613"/>
      <c r="J189" s="613"/>
      <c r="K189" s="613">
        <v>173.72</v>
      </c>
      <c r="L189" s="613">
        <v>0</v>
      </c>
      <c r="N189" s="620">
        <f t="shared" si="2"/>
        <v>173.72</v>
      </c>
    </row>
    <row r="190" spans="1:14" outlineLevel="1" x14ac:dyDescent="0.25">
      <c r="A190" s="611">
        <v>4586</v>
      </c>
      <c r="B190" s="612" t="s">
        <v>4666</v>
      </c>
      <c r="C190" s="613"/>
      <c r="D190" s="614"/>
      <c r="E190" s="614"/>
      <c r="F190" s="613">
        <v>122.86</v>
      </c>
      <c r="G190" s="614" t="s">
        <v>2701</v>
      </c>
      <c r="H190" s="614"/>
      <c r="I190" s="613"/>
      <c r="J190" s="613"/>
      <c r="K190" s="613">
        <v>122.86</v>
      </c>
      <c r="L190" s="613">
        <v>0</v>
      </c>
      <c r="N190" s="620">
        <f t="shared" si="2"/>
        <v>122.86</v>
      </c>
    </row>
    <row r="191" spans="1:14" outlineLevel="1" x14ac:dyDescent="0.25">
      <c r="A191" s="611">
        <v>4587</v>
      </c>
      <c r="B191" s="612" t="s">
        <v>4667</v>
      </c>
      <c r="C191" s="613"/>
      <c r="D191" s="614"/>
      <c r="E191" s="614"/>
      <c r="F191" s="613">
        <v>229.17</v>
      </c>
      <c r="G191" s="614" t="s">
        <v>2701</v>
      </c>
      <c r="H191" s="614"/>
      <c r="I191" s="613">
        <v>92.71</v>
      </c>
      <c r="J191" s="613">
        <v>0</v>
      </c>
      <c r="K191" s="613">
        <v>229.17</v>
      </c>
      <c r="L191" s="613">
        <v>0</v>
      </c>
      <c r="N191" s="620">
        <f t="shared" si="2"/>
        <v>229.17</v>
      </c>
    </row>
    <row r="192" spans="1:14" outlineLevel="1" x14ac:dyDescent="0.25">
      <c r="A192" s="611">
        <v>4588</v>
      </c>
      <c r="B192" s="612" t="s">
        <v>4668</v>
      </c>
      <c r="C192" s="613"/>
      <c r="D192" s="614"/>
      <c r="E192" s="614"/>
      <c r="F192" s="613">
        <v>650.87</v>
      </c>
      <c r="G192" s="614" t="s">
        <v>2701</v>
      </c>
      <c r="H192" s="614"/>
      <c r="I192" s="613">
        <v>91.59</v>
      </c>
      <c r="J192" s="613">
        <v>0</v>
      </c>
      <c r="K192" s="613">
        <v>650.87</v>
      </c>
      <c r="L192" s="613">
        <v>0</v>
      </c>
      <c r="N192" s="620">
        <f t="shared" si="2"/>
        <v>650.87</v>
      </c>
    </row>
    <row r="193" spans="1:14" outlineLevel="1" x14ac:dyDescent="0.25">
      <c r="A193" s="611">
        <v>4595</v>
      </c>
      <c r="B193" s="612" t="s">
        <v>2477</v>
      </c>
      <c r="C193" s="613"/>
      <c r="D193" s="614"/>
      <c r="E193" s="614"/>
      <c r="F193" s="613">
        <v>1935.53</v>
      </c>
      <c r="G193" s="614" t="s">
        <v>2701</v>
      </c>
      <c r="H193" s="614"/>
      <c r="I193" s="613"/>
      <c r="J193" s="613"/>
      <c r="K193" s="613">
        <v>1935.53</v>
      </c>
      <c r="L193" s="613">
        <v>0</v>
      </c>
      <c r="N193" s="620">
        <f t="shared" si="2"/>
        <v>1935.53</v>
      </c>
    </row>
    <row r="194" spans="1:14" outlineLevel="1" x14ac:dyDescent="0.25">
      <c r="A194" s="611">
        <v>4600</v>
      </c>
      <c r="B194" s="612" t="s">
        <v>4669</v>
      </c>
      <c r="C194" s="613"/>
      <c r="D194" s="614"/>
      <c r="E194" s="614"/>
      <c r="F194" s="613">
        <v>10430.030000000001</v>
      </c>
      <c r="G194" s="614" t="s">
        <v>2701</v>
      </c>
      <c r="H194" s="614"/>
      <c r="I194" s="613">
        <v>230.98</v>
      </c>
      <c r="J194" s="613">
        <v>0</v>
      </c>
      <c r="K194" s="613">
        <v>10430.030000000001</v>
      </c>
      <c r="L194" s="613">
        <v>0</v>
      </c>
      <c r="N194" s="620">
        <f t="shared" si="2"/>
        <v>10430.030000000001</v>
      </c>
    </row>
    <row r="195" spans="1:14" outlineLevel="1" x14ac:dyDescent="0.25">
      <c r="A195" s="611">
        <v>4605</v>
      </c>
      <c r="B195" s="612" t="s">
        <v>4670</v>
      </c>
      <c r="C195" s="613"/>
      <c r="D195" s="614"/>
      <c r="E195" s="614"/>
      <c r="F195" s="613">
        <v>3075.19</v>
      </c>
      <c r="G195" s="614" t="s">
        <v>2701</v>
      </c>
      <c r="H195" s="614"/>
      <c r="I195" s="613">
        <v>419.45</v>
      </c>
      <c r="J195" s="613">
        <v>0</v>
      </c>
      <c r="K195" s="613">
        <v>3075.19</v>
      </c>
      <c r="L195" s="613">
        <v>0</v>
      </c>
      <c r="N195" s="620">
        <f t="shared" si="2"/>
        <v>3075.19</v>
      </c>
    </row>
    <row r="196" spans="1:14" outlineLevel="1" x14ac:dyDescent="0.25">
      <c r="A196" s="611">
        <v>4620</v>
      </c>
      <c r="B196" s="612" t="s">
        <v>4671</v>
      </c>
      <c r="C196" s="613"/>
      <c r="D196" s="614"/>
      <c r="E196" s="614"/>
      <c r="F196" s="613">
        <v>38372.14</v>
      </c>
      <c r="G196" s="614" t="s">
        <v>2701</v>
      </c>
      <c r="H196" s="614"/>
      <c r="I196" s="613">
        <v>141.91</v>
      </c>
      <c r="J196" s="613">
        <v>0</v>
      </c>
      <c r="K196" s="613">
        <v>38428.720000000001</v>
      </c>
      <c r="L196" s="613">
        <v>56.58</v>
      </c>
      <c r="N196" s="620">
        <f t="shared" ref="N196:N259" si="3">IF(G196="S",F196,-F196)</f>
        <v>38372.14</v>
      </c>
    </row>
    <row r="197" spans="1:14" outlineLevel="1" x14ac:dyDescent="0.25">
      <c r="A197" s="611">
        <v>4631</v>
      </c>
      <c r="B197" s="612" t="s">
        <v>4672</v>
      </c>
      <c r="C197" s="613"/>
      <c r="D197" s="614"/>
      <c r="E197" s="614"/>
      <c r="F197" s="613">
        <v>0</v>
      </c>
      <c r="G197" s="614"/>
      <c r="H197" s="614"/>
      <c r="I197" s="613"/>
      <c r="J197" s="613"/>
      <c r="K197" s="613">
        <v>0</v>
      </c>
      <c r="L197" s="613">
        <v>0</v>
      </c>
      <c r="N197" s="620">
        <f t="shared" si="3"/>
        <v>0</v>
      </c>
    </row>
    <row r="198" spans="1:14" outlineLevel="1" x14ac:dyDescent="0.25">
      <c r="A198" s="611">
        <v>4632</v>
      </c>
      <c r="B198" s="612" t="s">
        <v>4673</v>
      </c>
      <c r="C198" s="613"/>
      <c r="D198" s="614"/>
      <c r="E198" s="614"/>
      <c r="F198" s="613">
        <v>0</v>
      </c>
      <c r="G198" s="614"/>
      <c r="H198" s="614"/>
      <c r="I198" s="613"/>
      <c r="J198" s="613"/>
      <c r="K198" s="613">
        <v>0</v>
      </c>
      <c r="L198" s="613">
        <v>0</v>
      </c>
      <c r="N198" s="620">
        <f t="shared" si="3"/>
        <v>0</v>
      </c>
    </row>
    <row r="199" spans="1:14" outlineLevel="1" x14ac:dyDescent="0.25">
      <c r="A199" s="611">
        <v>4640</v>
      </c>
      <c r="B199" s="612" t="s">
        <v>4674</v>
      </c>
      <c r="C199" s="613"/>
      <c r="D199" s="614"/>
      <c r="E199" s="614"/>
      <c r="F199" s="613">
        <v>25673.83</v>
      </c>
      <c r="G199" s="614" t="s">
        <v>2701</v>
      </c>
      <c r="H199" s="614"/>
      <c r="I199" s="613">
        <v>7657.81</v>
      </c>
      <c r="J199" s="613">
        <v>0</v>
      </c>
      <c r="K199" s="613">
        <v>25673.83</v>
      </c>
      <c r="L199" s="613">
        <v>0</v>
      </c>
      <c r="N199" s="620">
        <f t="shared" si="3"/>
        <v>25673.83</v>
      </c>
    </row>
    <row r="200" spans="1:14" outlineLevel="1" x14ac:dyDescent="0.25">
      <c r="A200" s="611">
        <v>4650</v>
      </c>
      <c r="B200" s="612" t="s">
        <v>4675</v>
      </c>
      <c r="C200" s="613"/>
      <c r="D200" s="614"/>
      <c r="E200" s="614"/>
      <c r="F200" s="613">
        <v>2306.86</v>
      </c>
      <c r="G200" s="614" t="s">
        <v>2701</v>
      </c>
      <c r="H200" s="614"/>
      <c r="I200" s="613">
        <v>941.32</v>
      </c>
      <c r="J200" s="613">
        <v>282.39999999999998</v>
      </c>
      <c r="K200" s="613">
        <v>3295.54</v>
      </c>
      <c r="L200" s="613">
        <v>988.68</v>
      </c>
      <c r="N200" s="620">
        <f t="shared" si="3"/>
        <v>2306.86</v>
      </c>
    </row>
    <row r="201" spans="1:14" outlineLevel="1" x14ac:dyDescent="0.25">
      <c r="A201" s="611">
        <v>4654</v>
      </c>
      <c r="B201" s="612" t="s">
        <v>4676</v>
      </c>
      <c r="C201" s="613"/>
      <c r="D201" s="614"/>
      <c r="E201" s="614"/>
      <c r="F201" s="613">
        <v>988.68</v>
      </c>
      <c r="G201" s="614" t="s">
        <v>2701</v>
      </c>
      <c r="H201" s="614"/>
      <c r="I201" s="613">
        <v>282.39999999999998</v>
      </c>
      <c r="J201" s="613">
        <v>0</v>
      </c>
      <c r="K201" s="613">
        <v>988.68</v>
      </c>
      <c r="L201" s="613">
        <v>0</v>
      </c>
      <c r="N201" s="620">
        <f t="shared" si="3"/>
        <v>988.68</v>
      </c>
    </row>
    <row r="202" spans="1:14" outlineLevel="1" x14ac:dyDescent="0.25">
      <c r="A202" s="611">
        <v>4663</v>
      </c>
      <c r="B202" s="612" t="s">
        <v>4677</v>
      </c>
      <c r="C202" s="613"/>
      <c r="D202" s="614"/>
      <c r="E202" s="614"/>
      <c r="F202" s="613">
        <v>5891.63</v>
      </c>
      <c r="G202" s="614" t="s">
        <v>2701</v>
      </c>
      <c r="H202" s="614"/>
      <c r="I202" s="613">
        <v>840.81</v>
      </c>
      <c r="J202" s="613">
        <v>0</v>
      </c>
      <c r="K202" s="613">
        <v>5891.63</v>
      </c>
      <c r="L202" s="613">
        <v>0</v>
      </c>
      <c r="N202" s="620">
        <f t="shared" si="3"/>
        <v>5891.63</v>
      </c>
    </row>
    <row r="203" spans="1:14" outlineLevel="1" x14ac:dyDescent="0.25">
      <c r="A203" s="611">
        <v>4664</v>
      </c>
      <c r="B203" s="612" t="s">
        <v>4678</v>
      </c>
      <c r="C203" s="613"/>
      <c r="D203" s="614"/>
      <c r="E203" s="614"/>
      <c r="F203" s="613">
        <v>6389.2</v>
      </c>
      <c r="G203" s="614" t="s">
        <v>2701</v>
      </c>
      <c r="H203" s="614"/>
      <c r="I203" s="613">
        <v>883.8</v>
      </c>
      <c r="J203" s="613">
        <v>0</v>
      </c>
      <c r="K203" s="613">
        <v>6389.2</v>
      </c>
      <c r="L203" s="613">
        <v>0</v>
      </c>
      <c r="N203" s="620">
        <f t="shared" si="3"/>
        <v>6389.2</v>
      </c>
    </row>
    <row r="204" spans="1:14" outlineLevel="1" x14ac:dyDescent="0.25">
      <c r="A204" s="611">
        <v>4666</v>
      </c>
      <c r="B204" s="612" t="s">
        <v>4679</v>
      </c>
      <c r="C204" s="613"/>
      <c r="D204" s="614"/>
      <c r="E204" s="614"/>
      <c r="F204" s="613">
        <v>23620.06</v>
      </c>
      <c r="G204" s="614" t="s">
        <v>2701</v>
      </c>
      <c r="H204" s="614"/>
      <c r="I204" s="613">
        <v>6965.27</v>
      </c>
      <c r="J204" s="613">
        <v>379.31</v>
      </c>
      <c r="K204" s="613">
        <v>24257.37</v>
      </c>
      <c r="L204" s="613">
        <v>637.30999999999995</v>
      </c>
      <c r="N204" s="620">
        <f t="shared" si="3"/>
        <v>23620.06</v>
      </c>
    </row>
    <row r="205" spans="1:14" outlineLevel="1" x14ac:dyDescent="0.25">
      <c r="A205" s="611">
        <v>4668</v>
      </c>
      <c r="B205" s="612" t="s">
        <v>4680</v>
      </c>
      <c r="C205" s="613"/>
      <c r="D205" s="614"/>
      <c r="E205" s="614"/>
      <c r="F205" s="613">
        <v>589.04999999999995</v>
      </c>
      <c r="G205" s="614" t="s">
        <v>2701</v>
      </c>
      <c r="H205" s="614"/>
      <c r="I205" s="613">
        <v>144</v>
      </c>
      <c r="J205" s="613">
        <v>0</v>
      </c>
      <c r="K205" s="613">
        <v>589.04999999999995</v>
      </c>
      <c r="L205" s="613">
        <v>0</v>
      </c>
      <c r="N205" s="620">
        <f t="shared" si="3"/>
        <v>589.04999999999995</v>
      </c>
    </row>
    <row r="206" spans="1:14" outlineLevel="1" x14ac:dyDescent="0.25">
      <c r="A206" s="611">
        <v>4730</v>
      </c>
      <c r="B206" s="612" t="s">
        <v>4681</v>
      </c>
      <c r="C206" s="613"/>
      <c r="D206" s="614"/>
      <c r="E206" s="614"/>
      <c r="F206" s="613">
        <v>325456.55</v>
      </c>
      <c r="G206" s="614" t="s">
        <v>2701</v>
      </c>
      <c r="H206" s="614"/>
      <c r="I206" s="613">
        <v>24271.52</v>
      </c>
      <c r="J206" s="613">
        <v>0</v>
      </c>
      <c r="K206" s="613">
        <v>329844.42</v>
      </c>
      <c r="L206" s="613">
        <v>4387.87</v>
      </c>
      <c r="N206" s="620">
        <f t="shared" si="3"/>
        <v>325456.55</v>
      </c>
    </row>
    <row r="207" spans="1:14" outlineLevel="1" x14ac:dyDescent="0.25">
      <c r="A207" s="611">
        <v>4780</v>
      </c>
      <c r="B207" s="612" t="s">
        <v>4736</v>
      </c>
      <c r="C207" s="613"/>
      <c r="D207" s="614"/>
      <c r="E207" s="614"/>
      <c r="F207" s="613">
        <v>932.14</v>
      </c>
      <c r="G207" s="614" t="s">
        <v>2701</v>
      </c>
      <c r="H207" s="614"/>
      <c r="I207" s="613">
        <v>932.14</v>
      </c>
      <c r="J207" s="613">
        <v>0</v>
      </c>
      <c r="K207" s="613">
        <v>932.14</v>
      </c>
      <c r="L207" s="613">
        <v>0</v>
      </c>
      <c r="N207" s="620">
        <f t="shared" si="3"/>
        <v>932.14</v>
      </c>
    </row>
    <row r="208" spans="1:14" outlineLevel="1" x14ac:dyDescent="0.25">
      <c r="A208" s="611">
        <v>4790</v>
      </c>
      <c r="B208" s="612" t="s">
        <v>4682</v>
      </c>
      <c r="C208" s="613"/>
      <c r="D208" s="614"/>
      <c r="E208" s="614"/>
      <c r="F208" s="613">
        <v>0</v>
      </c>
      <c r="G208" s="614"/>
      <c r="H208" s="614"/>
      <c r="I208" s="613"/>
      <c r="J208" s="613"/>
      <c r="K208" s="613">
        <v>0</v>
      </c>
      <c r="L208" s="613">
        <v>0</v>
      </c>
      <c r="N208" s="620">
        <f t="shared" si="3"/>
        <v>0</v>
      </c>
    </row>
    <row r="209" spans="1:14" outlineLevel="1" x14ac:dyDescent="0.25">
      <c r="A209" s="611">
        <v>4800</v>
      </c>
      <c r="B209" s="612" t="s">
        <v>4683</v>
      </c>
      <c r="C209" s="613"/>
      <c r="D209" s="614"/>
      <c r="E209" s="614"/>
      <c r="F209" s="613">
        <v>61127.41</v>
      </c>
      <c r="G209" s="614" t="s">
        <v>2701</v>
      </c>
      <c r="H209" s="614"/>
      <c r="I209" s="613">
        <v>2006.42</v>
      </c>
      <c r="J209" s="613">
        <v>0</v>
      </c>
      <c r="K209" s="613">
        <v>61295.41</v>
      </c>
      <c r="L209" s="613">
        <v>168</v>
      </c>
      <c r="N209" s="620">
        <f t="shared" si="3"/>
        <v>61127.41</v>
      </c>
    </row>
    <row r="210" spans="1:14" outlineLevel="1" x14ac:dyDescent="0.25">
      <c r="A210" s="611">
        <v>4805</v>
      </c>
      <c r="B210" s="612" t="s">
        <v>4684</v>
      </c>
      <c r="C210" s="613"/>
      <c r="D210" s="614"/>
      <c r="E210" s="614"/>
      <c r="F210" s="613">
        <v>11286.46</v>
      </c>
      <c r="G210" s="614" t="s">
        <v>2701</v>
      </c>
      <c r="H210" s="614"/>
      <c r="I210" s="613">
        <v>1739.36</v>
      </c>
      <c r="J210" s="613">
        <v>0</v>
      </c>
      <c r="K210" s="613">
        <v>11305.27</v>
      </c>
      <c r="L210" s="613">
        <v>18.809999999999999</v>
      </c>
      <c r="N210" s="620">
        <f t="shared" si="3"/>
        <v>11286.46</v>
      </c>
    </row>
    <row r="211" spans="1:14" outlineLevel="1" x14ac:dyDescent="0.25">
      <c r="A211" s="611">
        <v>4806</v>
      </c>
      <c r="B211" s="612" t="s">
        <v>4685</v>
      </c>
      <c r="C211" s="613"/>
      <c r="D211" s="614"/>
      <c r="E211" s="614"/>
      <c r="F211" s="613">
        <v>37754.129999999997</v>
      </c>
      <c r="G211" s="614" t="s">
        <v>2701</v>
      </c>
      <c r="H211" s="614"/>
      <c r="I211" s="613">
        <v>3604.54</v>
      </c>
      <c r="J211" s="613">
        <v>0</v>
      </c>
      <c r="K211" s="613">
        <v>37754.129999999997</v>
      </c>
      <c r="L211" s="613">
        <v>0</v>
      </c>
      <c r="N211" s="620">
        <f t="shared" si="3"/>
        <v>37754.129999999997</v>
      </c>
    </row>
    <row r="212" spans="1:14" outlineLevel="1" x14ac:dyDescent="0.25">
      <c r="A212" s="611">
        <v>4810</v>
      </c>
      <c r="B212" s="612" t="s">
        <v>4686</v>
      </c>
      <c r="C212" s="613"/>
      <c r="D212" s="614"/>
      <c r="E212" s="614"/>
      <c r="F212" s="613">
        <v>89279.67</v>
      </c>
      <c r="G212" s="614" t="s">
        <v>2701</v>
      </c>
      <c r="H212" s="614"/>
      <c r="I212" s="613">
        <v>8118.16</v>
      </c>
      <c r="J212" s="613">
        <v>0</v>
      </c>
      <c r="K212" s="613">
        <v>89279.67</v>
      </c>
      <c r="L212" s="613">
        <v>0</v>
      </c>
      <c r="N212" s="620">
        <f t="shared" si="3"/>
        <v>89279.67</v>
      </c>
    </row>
    <row r="213" spans="1:14" outlineLevel="1" x14ac:dyDescent="0.25">
      <c r="A213" s="611">
        <v>4822</v>
      </c>
      <c r="B213" s="612" t="s">
        <v>4687</v>
      </c>
      <c r="C213" s="613"/>
      <c r="D213" s="614"/>
      <c r="E213" s="614"/>
      <c r="F213" s="613">
        <v>1102</v>
      </c>
      <c r="G213" s="614" t="s">
        <v>2701</v>
      </c>
      <c r="H213" s="614"/>
      <c r="I213" s="613"/>
      <c r="J213" s="613"/>
      <c r="K213" s="613">
        <v>1102</v>
      </c>
      <c r="L213" s="613">
        <v>0</v>
      </c>
      <c r="N213" s="620">
        <f t="shared" si="3"/>
        <v>1102</v>
      </c>
    </row>
    <row r="214" spans="1:14" outlineLevel="1" x14ac:dyDescent="0.25">
      <c r="A214" s="611">
        <v>4830</v>
      </c>
      <c r="B214" s="612" t="s">
        <v>4688</v>
      </c>
      <c r="C214" s="613"/>
      <c r="D214" s="614"/>
      <c r="E214" s="614"/>
      <c r="F214" s="613">
        <v>241274.81</v>
      </c>
      <c r="G214" s="614" t="s">
        <v>2701</v>
      </c>
      <c r="H214" s="614"/>
      <c r="I214" s="613">
        <v>19890.98</v>
      </c>
      <c r="J214" s="613">
        <v>0</v>
      </c>
      <c r="K214" s="613">
        <v>241274.81</v>
      </c>
      <c r="L214" s="613">
        <v>0</v>
      </c>
      <c r="N214" s="620">
        <f t="shared" si="3"/>
        <v>241274.81</v>
      </c>
    </row>
    <row r="215" spans="1:14" outlineLevel="1" x14ac:dyDescent="0.25">
      <c r="A215" s="611">
        <v>4855</v>
      </c>
      <c r="B215" s="612" t="s">
        <v>4689</v>
      </c>
      <c r="C215" s="613"/>
      <c r="D215" s="614"/>
      <c r="E215" s="614"/>
      <c r="F215" s="613">
        <v>6091.56</v>
      </c>
      <c r="G215" s="614" t="s">
        <v>2701</v>
      </c>
      <c r="H215" s="614"/>
      <c r="I215" s="613"/>
      <c r="J215" s="613"/>
      <c r="K215" s="613">
        <v>6091.56</v>
      </c>
      <c r="L215" s="613">
        <v>0</v>
      </c>
      <c r="N215" s="620">
        <f t="shared" si="3"/>
        <v>6091.56</v>
      </c>
    </row>
    <row r="216" spans="1:14" outlineLevel="1" x14ac:dyDescent="0.25">
      <c r="A216" s="611">
        <v>4870</v>
      </c>
      <c r="B216" s="612" t="s">
        <v>4690</v>
      </c>
      <c r="C216" s="613"/>
      <c r="D216" s="614"/>
      <c r="E216" s="614"/>
      <c r="F216" s="613">
        <v>0</v>
      </c>
      <c r="G216" s="614"/>
      <c r="H216" s="614"/>
      <c r="I216" s="613"/>
      <c r="J216" s="613"/>
      <c r="K216" s="613">
        <v>0</v>
      </c>
      <c r="L216" s="613">
        <v>0</v>
      </c>
      <c r="N216" s="620">
        <f t="shared" si="3"/>
        <v>0</v>
      </c>
    </row>
    <row r="217" spans="1:14" outlineLevel="1" x14ac:dyDescent="0.25">
      <c r="A217" s="611">
        <v>4900</v>
      </c>
      <c r="B217" s="612" t="s">
        <v>257</v>
      </c>
      <c r="C217" s="613"/>
      <c r="D217" s="614"/>
      <c r="E217" s="614"/>
      <c r="F217" s="613">
        <v>24610.23</v>
      </c>
      <c r="G217" s="614" t="s">
        <v>2701</v>
      </c>
      <c r="H217" s="614"/>
      <c r="I217" s="613">
        <v>2835.88</v>
      </c>
      <c r="J217" s="613">
        <v>10</v>
      </c>
      <c r="K217" s="613">
        <v>24688.22</v>
      </c>
      <c r="L217" s="613">
        <v>77.989999999999995</v>
      </c>
      <c r="N217" s="620">
        <f t="shared" si="3"/>
        <v>24610.23</v>
      </c>
    </row>
    <row r="218" spans="1:14" outlineLevel="1" x14ac:dyDescent="0.25">
      <c r="A218" s="611">
        <v>4910</v>
      </c>
      <c r="B218" s="612" t="s">
        <v>4691</v>
      </c>
      <c r="C218" s="613"/>
      <c r="D218" s="614"/>
      <c r="E218" s="614"/>
      <c r="F218" s="613">
        <v>865.45</v>
      </c>
      <c r="G218" s="614" t="s">
        <v>2701</v>
      </c>
      <c r="H218" s="614"/>
      <c r="I218" s="613">
        <v>74.650000000000006</v>
      </c>
      <c r="J218" s="613">
        <v>0</v>
      </c>
      <c r="K218" s="613">
        <v>865.45</v>
      </c>
      <c r="L218" s="613">
        <v>0</v>
      </c>
      <c r="N218" s="620">
        <f t="shared" si="3"/>
        <v>865.45</v>
      </c>
    </row>
    <row r="219" spans="1:14" outlineLevel="1" x14ac:dyDescent="0.25">
      <c r="A219" s="611">
        <v>4920</v>
      </c>
      <c r="B219" s="612" t="s">
        <v>2580</v>
      </c>
      <c r="C219" s="613"/>
      <c r="D219" s="614"/>
      <c r="E219" s="614"/>
      <c r="F219" s="613">
        <v>8169.6</v>
      </c>
      <c r="G219" s="614" t="s">
        <v>2701</v>
      </c>
      <c r="H219" s="614"/>
      <c r="I219" s="613">
        <v>723.59</v>
      </c>
      <c r="J219" s="613">
        <v>0</v>
      </c>
      <c r="K219" s="613">
        <v>8169.6</v>
      </c>
      <c r="L219" s="613">
        <v>0</v>
      </c>
      <c r="N219" s="620">
        <f t="shared" si="3"/>
        <v>8169.6</v>
      </c>
    </row>
    <row r="220" spans="1:14" outlineLevel="1" x14ac:dyDescent="0.25">
      <c r="A220" s="611">
        <v>4930</v>
      </c>
      <c r="B220" s="612" t="s">
        <v>4692</v>
      </c>
      <c r="C220" s="613"/>
      <c r="D220" s="614"/>
      <c r="E220" s="614"/>
      <c r="F220" s="613">
        <v>4511.32</v>
      </c>
      <c r="G220" s="614" t="s">
        <v>2701</v>
      </c>
      <c r="H220" s="614"/>
      <c r="I220" s="613">
        <v>98.12</v>
      </c>
      <c r="J220" s="613">
        <v>0</v>
      </c>
      <c r="K220" s="613">
        <v>4511.32</v>
      </c>
      <c r="L220" s="613">
        <v>0</v>
      </c>
      <c r="N220" s="620">
        <f t="shared" si="3"/>
        <v>4511.32</v>
      </c>
    </row>
    <row r="221" spans="1:14" outlineLevel="1" x14ac:dyDescent="0.25">
      <c r="A221" s="611">
        <v>4940</v>
      </c>
      <c r="B221" s="612" t="s">
        <v>4693</v>
      </c>
      <c r="C221" s="613"/>
      <c r="D221" s="614"/>
      <c r="E221" s="614"/>
      <c r="F221" s="613">
        <v>3739.53</v>
      </c>
      <c r="G221" s="614" t="s">
        <v>2701</v>
      </c>
      <c r="H221" s="614"/>
      <c r="I221" s="613">
        <v>715.67</v>
      </c>
      <c r="J221" s="613">
        <v>0</v>
      </c>
      <c r="K221" s="613">
        <v>3739.53</v>
      </c>
      <c r="L221" s="613">
        <v>0</v>
      </c>
      <c r="N221" s="620">
        <f t="shared" si="3"/>
        <v>3739.53</v>
      </c>
    </row>
    <row r="222" spans="1:14" outlineLevel="1" x14ac:dyDescent="0.25">
      <c r="A222" s="611">
        <v>4945</v>
      </c>
      <c r="B222" s="612" t="s">
        <v>4694</v>
      </c>
      <c r="C222" s="613"/>
      <c r="D222" s="614"/>
      <c r="E222" s="614"/>
      <c r="F222" s="613">
        <v>13358</v>
      </c>
      <c r="G222" s="614" t="s">
        <v>2701</v>
      </c>
      <c r="H222" s="614"/>
      <c r="I222" s="613">
        <v>3113</v>
      </c>
      <c r="J222" s="613">
        <v>0</v>
      </c>
      <c r="K222" s="613">
        <v>13438</v>
      </c>
      <c r="L222" s="613">
        <v>80</v>
      </c>
      <c r="N222" s="620">
        <f t="shared" si="3"/>
        <v>13358</v>
      </c>
    </row>
    <row r="223" spans="1:14" outlineLevel="1" x14ac:dyDescent="0.25">
      <c r="A223" s="611">
        <v>4950</v>
      </c>
      <c r="B223" s="612" t="s">
        <v>2496</v>
      </c>
      <c r="C223" s="613"/>
      <c r="D223" s="614"/>
      <c r="E223" s="614"/>
      <c r="F223" s="613">
        <v>252820.45</v>
      </c>
      <c r="G223" s="614" t="s">
        <v>2701</v>
      </c>
      <c r="H223" s="614"/>
      <c r="I223" s="613">
        <v>27811.34</v>
      </c>
      <c r="J223" s="613">
        <v>0</v>
      </c>
      <c r="K223" s="613">
        <v>252820.45</v>
      </c>
      <c r="L223" s="613">
        <v>0</v>
      </c>
      <c r="N223" s="620">
        <f t="shared" si="3"/>
        <v>252820.45</v>
      </c>
    </row>
    <row r="224" spans="1:14" outlineLevel="1" x14ac:dyDescent="0.25">
      <c r="A224" s="611">
        <v>4951</v>
      </c>
      <c r="B224" s="612" t="s">
        <v>4695</v>
      </c>
      <c r="C224" s="613"/>
      <c r="D224" s="614"/>
      <c r="E224" s="614"/>
      <c r="F224" s="613">
        <v>119600</v>
      </c>
      <c r="G224" s="614" t="s">
        <v>2701</v>
      </c>
      <c r="H224" s="614"/>
      <c r="I224" s="613">
        <v>3200</v>
      </c>
      <c r="J224" s="613">
        <v>0</v>
      </c>
      <c r="K224" s="613">
        <v>237367.9</v>
      </c>
      <c r="L224" s="613">
        <v>117767.9</v>
      </c>
      <c r="N224" s="620">
        <f t="shared" si="3"/>
        <v>119600</v>
      </c>
    </row>
    <row r="225" spans="1:14" outlineLevel="1" x14ac:dyDescent="0.25">
      <c r="A225" s="611">
        <v>4952</v>
      </c>
      <c r="B225" s="612" t="s">
        <v>4696</v>
      </c>
      <c r="C225" s="613"/>
      <c r="D225" s="614"/>
      <c r="E225" s="614"/>
      <c r="F225" s="613">
        <v>17932.2</v>
      </c>
      <c r="G225" s="614" t="s">
        <v>2701</v>
      </c>
      <c r="H225" s="614"/>
      <c r="I225" s="613">
        <v>1589</v>
      </c>
      <c r="J225" s="613">
        <v>0</v>
      </c>
      <c r="K225" s="613">
        <v>21376.2</v>
      </c>
      <c r="L225" s="613">
        <v>3444</v>
      </c>
      <c r="N225" s="620">
        <f t="shared" si="3"/>
        <v>17932.2</v>
      </c>
    </row>
    <row r="226" spans="1:14" outlineLevel="1" x14ac:dyDescent="0.25">
      <c r="A226" s="611">
        <v>4960</v>
      </c>
      <c r="B226" s="612" t="s">
        <v>4697</v>
      </c>
      <c r="C226" s="613"/>
      <c r="D226" s="614"/>
      <c r="E226" s="614"/>
      <c r="F226" s="613">
        <v>6912.98</v>
      </c>
      <c r="G226" s="614" t="s">
        <v>2701</v>
      </c>
      <c r="H226" s="614"/>
      <c r="I226" s="613"/>
      <c r="J226" s="613"/>
      <c r="K226" s="613">
        <v>6912.98</v>
      </c>
      <c r="L226" s="613">
        <v>0</v>
      </c>
      <c r="N226" s="620">
        <f t="shared" si="3"/>
        <v>6912.98</v>
      </c>
    </row>
    <row r="227" spans="1:14" outlineLevel="1" x14ac:dyDescent="0.25">
      <c r="A227" s="611">
        <v>4964</v>
      </c>
      <c r="B227" s="612" t="s">
        <v>4698</v>
      </c>
      <c r="C227" s="613"/>
      <c r="D227" s="614"/>
      <c r="E227" s="614"/>
      <c r="F227" s="613">
        <v>397547.4</v>
      </c>
      <c r="G227" s="614" t="s">
        <v>2701</v>
      </c>
      <c r="H227" s="614"/>
      <c r="I227" s="613">
        <v>121519.44</v>
      </c>
      <c r="J227" s="613">
        <v>27905.39</v>
      </c>
      <c r="K227" s="613">
        <v>572994.43999999994</v>
      </c>
      <c r="L227" s="613">
        <v>175447.04000000001</v>
      </c>
      <c r="N227" s="620">
        <f t="shared" si="3"/>
        <v>397547.4</v>
      </c>
    </row>
    <row r="228" spans="1:14" outlineLevel="1" x14ac:dyDescent="0.25">
      <c r="A228" s="611">
        <v>4969</v>
      </c>
      <c r="B228" s="612" t="s">
        <v>4699</v>
      </c>
      <c r="C228" s="613"/>
      <c r="D228" s="614"/>
      <c r="E228" s="614"/>
      <c r="F228" s="613">
        <v>17678.740000000002</v>
      </c>
      <c r="G228" s="614" t="s">
        <v>2701</v>
      </c>
      <c r="H228" s="614"/>
      <c r="I228" s="613">
        <v>5455.04</v>
      </c>
      <c r="J228" s="613">
        <v>25.21</v>
      </c>
      <c r="K228" s="613">
        <v>17703.95</v>
      </c>
      <c r="L228" s="613">
        <v>25.21</v>
      </c>
      <c r="N228" s="620">
        <f t="shared" si="3"/>
        <v>17678.740000000002</v>
      </c>
    </row>
    <row r="229" spans="1:14" outlineLevel="1" x14ac:dyDescent="0.25">
      <c r="A229" s="611">
        <v>4970</v>
      </c>
      <c r="B229" s="612" t="s">
        <v>4700</v>
      </c>
      <c r="C229" s="613"/>
      <c r="D229" s="614"/>
      <c r="E229" s="614"/>
      <c r="F229" s="613">
        <v>7626.99</v>
      </c>
      <c r="G229" s="614" t="s">
        <v>2701</v>
      </c>
      <c r="H229" s="614"/>
      <c r="I229" s="613">
        <v>602.20000000000005</v>
      </c>
      <c r="J229" s="613">
        <v>0</v>
      </c>
      <c r="K229" s="613">
        <v>7687.49</v>
      </c>
      <c r="L229" s="613">
        <v>60.5</v>
      </c>
      <c r="N229" s="620">
        <f t="shared" si="3"/>
        <v>7626.99</v>
      </c>
    </row>
    <row r="230" spans="1:14" outlineLevel="1" x14ac:dyDescent="0.25">
      <c r="A230" s="611">
        <v>4980</v>
      </c>
      <c r="B230" s="612" t="s">
        <v>4701</v>
      </c>
      <c r="C230" s="613"/>
      <c r="D230" s="614"/>
      <c r="E230" s="614"/>
      <c r="F230" s="613">
        <v>49563.8</v>
      </c>
      <c r="G230" s="614" t="s">
        <v>2701</v>
      </c>
      <c r="H230" s="614"/>
      <c r="I230" s="613">
        <v>8036.23</v>
      </c>
      <c r="J230" s="613">
        <v>0</v>
      </c>
      <c r="K230" s="613">
        <v>50088.71</v>
      </c>
      <c r="L230" s="613">
        <v>524.91</v>
      </c>
      <c r="N230" s="620">
        <f t="shared" si="3"/>
        <v>49563.8</v>
      </c>
    </row>
    <row r="231" spans="1:14" outlineLevel="1" x14ac:dyDescent="0.25">
      <c r="A231" s="611">
        <v>7050</v>
      </c>
      <c r="B231" s="612" t="s">
        <v>4702</v>
      </c>
      <c r="C231" s="613">
        <v>36760.67</v>
      </c>
      <c r="D231" s="614" t="s">
        <v>2701</v>
      </c>
      <c r="E231" s="614"/>
      <c r="F231" s="613">
        <v>36760.67</v>
      </c>
      <c r="G231" s="614" t="s">
        <v>2701</v>
      </c>
      <c r="H231" s="614"/>
      <c r="I231" s="613"/>
      <c r="J231" s="613"/>
      <c r="K231" s="613"/>
      <c r="L231" s="613"/>
      <c r="N231" s="620">
        <f t="shared" si="3"/>
        <v>36760.67</v>
      </c>
    </row>
    <row r="232" spans="1:14" outlineLevel="1" x14ac:dyDescent="0.25">
      <c r="A232" s="611">
        <v>7100</v>
      </c>
      <c r="B232" s="612" t="s">
        <v>4703</v>
      </c>
      <c r="C232" s="613">
        <v>1051716.8999999999</v>
      </c>
      <c r="D232" s="614" t="s">
        <v>2701</v>
      </c>
      <c r="E232" s="614"/>
      <c r="F232" s="613">
        <v>1051716.8999999999</v>
      </c>
      <c r="G232" s="614" t="s">
        <v>2701</v>
      </c>
      <c r="H232" s="614"/>
      <c r="I232" s="613"/>
      <c r="J232" s="613"/>
      <c r="K232" s="613"/>
      <c r="L232" s="613"/>
      <c r="N232" s="620">
        <f t="shared" si="3"/>
        <v>1051716.8999999999</v>
      </c>
    </row>
    <row r="233" spans="1:14" outlineLevel="1" x14ac:dyDescent="0.25">
      <c r="A233" s="611">
        <v>8120</v>
      </c>
      <c r="B233" s="612" t="s">
        <v>4704</v>
      </c>
      <c r="C233" s="613"/>
      <c r="D233" s="614"/>
      <c r="E233" s="614"/>
      <c r="F233" s="613">
        <v>2880880.5</v>
      </c>
      <c r="G233" s="614"/>
      <c r="H233" s="614" t="s">
        <v>2584</v>
      </c>
      <c r="I233" s="613">
        <v>13645.8</v>
      </c>
      <c r="J233" s="613">
        <v>364034.8</v>
      </c>
      <c r="K233" s="613">
        <v>13718.8</v>
      </c>
      <c r="L233" s="613">
        <v>2894599.3</v>
      </c>
      <c r="N233" s="620">
        <f t="shared" si="3"/>
        <v>-2880880.5</v>
      </c>
    </row>
    <row r="234" spans="1:14" outlineLevel="1" x14ac:dyDescent="0.25">
      <c r="A234" s="611">
        <v>8125</v>
      </c>
      <c r="B234" s="612" t="s">
        <v>4705</v>
      </c>
      <c r="C234" s="613"/>
      <c r="D234" s="614"/>
      <c r="E234" s="614"/>
      <c r="F234" s="613">
        <v>1434573.32</v>
      </c>
      <c r="G234" s="614"/>
      <c r="H234" s="614" t="s">
        <v>2584</v>
      </c>
      <c r="I234" s="613">
        <v>49402</v>
      </c>
      <c r="J234" s="613">
        <v>110756.55</v>
      </c>
      <c r="K234" s="613">
        <v>92290.38</v>
      </c>
      <c r="L234" s="613">
        <v>1526863.7</v>
      </c>
      <c r="N234" s="620">
        <f t="shared" si="3"/>
        <v>-1434573.32</v>
      </c>
    </row>
    <row r="235" spans="1:14" outlineLevel="1" x14ac:dyDescent="0.25">
      <c r="A235" s="611">
        <v>8140</v>
      </c>
      <c r="B235" s="612" t="s">
        <v>4706</v>
      </c>
      <c r="C235" s="613"/>
      <c r="D235" s="614"/>
      <c r="E235" s="614"/>
      <c r="F235" s="613">
        <v>1050.5</v>
      </c>
      <c r="G235" s="614"/>
      <c r="H235" s="614" t="s">
        <v>2584</v>
      </c>
      <c r="I235" s="613"/>
      <c r="J235" s="613"/>
      <c r="K235" s="613">
        <v>0</v>
      </c>
      <c r="L235" s="613">
        <v>1050.5</v>
      </c>
      <c r="N235" s="620">
        <f t="shared" si="3"/>
        <v>-1050.5</v>
      </c>
    </row>
    <row r="236" spans="1:14" outlineLevel="1" x14ac:dyDescent="0.25">
      <c r="A236" s="611">
        <v>8336</v>
      </c>
      <c r="B236" s="612" t="s">
        <v>4707</v>
      </c>
      <c r="C236" s="613"/>
      <c r="D236" s="614"/>
      <c r="E236" s="614"/>
      <c r="F236" s="613">
        <v>194910</v>
      </c>
      <c r="G236" s="614"/>
      <c r="H236" s="614" t="s">
        <v>2584</v>
      </c>
      <c r="I236" s="613">
        <v>0</v>
      </c>
      <c r="J236" s="613">
        <v>23840</v>
      </c>
      <c r="K236" s="613">
        <v>0</v>
      </c>
      <c r="L236" s="613">
        <v>194910</v>
      </c>
      <c r="N236" s="620">
        <f t="shared" si="3"/>
        <v>-194910</v>
      </c>
    </row>
    <row r="237" spans="1:14" outlineLevel="1" x14ac:dyDescent="0.25">
      <c r="A237" s="611">
        <v>8337</v>
      </c>
      <c r="B237" s="612" t="s">
        <v>4708</v>
      </c>
      <c r="C237" s="613"/>
      <c r="D237" s="614"/>
      <c r="E237" s="614"/>
      <c r="F237" s="613">
        <v>375.75</v>
      </c>
      <c r="G237" s="614"/>
      <c r="H237" s="614" t="s">
        <v>2584</v>
      </c>
      <c r="I237" s="613">
        <v>0</v>
      </c>
      <c r="J237" s="613">
        <v>23.5</v>
      </c>
      <c r="K237" s="613">
        <v>0</v>
      </c>
      <c r="L237" s="613">
        <v>375.75</v>
      </c>
      <c r="N237" s="620">
        <f t="shared" si="3"/>
        <v>-375.75</v>
      </c>
    </row>
    <row r="238" spans="1:14" outlineLevel="1" x14ac:dyDescent="0.25">
      <c r="A238" s="611">
        <v>8338</v>
      </c>
      <c r="B238" s="612" t="s">
        <v>4709</v>
      </c>
      <c r="C238" s="613"/>
      <c r="D238" s="614"/>
      <c r="E238" s="614"/>
      <c r="F238" s="613">
        <v>25317.19</v>
      </c>
      <c r="G238" s="614"/>
      <c r="H238" s="614" t="s">
        <v>2584</v>
      </c>
      <c r="I238" s="613"/>
      <c r="J238" s="613"/>
      <c r="K238" s="613">
        <v>0.21</v>
      </c>
      <c r="L238" s="613">
        <v>25317.4</v>
      </c>
      <c r="N238" s="620">
        <f t="shared" si="3"/>
        <v>-25317.19</v>
      </c>
    </row>
    <row r="239" spans="1:14" outlineLevel="1" x14ac:dyDescent="0.25">
      <c r="A239" s="611">
        <v>8400</v>
      </c>
      <c r="B239" s="612" t="s">
        <v>2449</v>
      </c>
      <c r="C239" s="613"/>
      <c r="D239" s="614"/>
      <c r="E239" s="614"/>
      <c r="F239" s="613">
        <v>5670193.2999999998</v>
      </c>
      <c r="G239" s="614"/>
      <c r="H239" s="614" t="s">
        <v>2584</v>
      </c>
      <c r="I239" s="613">
        <v>1251.6500000000001</v>
      </c>
      <c r="J239" s="613">
        <v>421705.86</v>
      </c>
      <c r="K239" s="613">
        <v>71432.72</v>
      </c>
      <c r="L239" s="613">
        <v>5741626.0199999996</v>
      </c>
      <c r="N239" s="620">
        <f t="shared" si="3"/>
        <v>-5670193.2999999998</v>
      </c>
    </row>
    <row r="240" spans="1:14" outlineLevel="1" x14ac:dyDescent="0.25">
      <c r="A240" s="611">
        <v>8401</v>
      </c>
      <c r="B240" s="612" t="s">
        <v>2450</v>
      </c>
      <c r="C240" s="613"/>
      <c r="D240" s="614"/>
      <c r="E240" s="614"/>
      <c r="F240" s="613">
        <v>3672293.03</v>
      </c>
      <c r="G240" s="614"/>
      <c r="H240" s="614" t="s">
        <v>2584</v>
      </c>
      <c r="I240" s="613">
        <v>317.91000000000003</v>
      </c>
      <c r="J240" s="613">
        <v>341717.61</v>
      </c>
      <c r="K240" s="613">
        <v>10401.4</v>
      </c>
      <c r="L240" s="613">
        <v>3682694.43</v>
      </c>
      <c r="N240" s="620">
        <f t="shared" si="3"/>
        <v>-3672293.03</v>
      </c>
    </row>
    <row r="241" spans="1:14" outlineLevel="1" x14ac:dyDescent="0.25">
      <c r="A241" s="611">
        <v>8402</v>
      </c>
      <c r="B241" s="612" t="s">
        <v>2451</v>
      </c>
      <c r="C241" s="613"/>
      <c r="D241" s="614"/>
      <c r="E241" s="614"/>
      <c r="F241" s="613">
        <v>85534.69</v>
      </c>
      <c r="G241" s="614"/>
      <c r="H241" s="614" t="s">
        <v>2584</v>
      </c>
      <c r="I241" s="613">
        <v>0</v>
      </c>
      <c r="J241" s="613">
        <v>4898.0600000000004</v>
      </c>
      <c r="K241" s="613">
        <v>0</v>
      </c>
      <c r="L241" s="613">
        <v>85534.69</v>
      </c>
      <c r="N241" s="620">
        <f t="shared" si="3"/>
        <v>-85534.69</v>
      </c>
    </row>
    <row r="242" spans="1:14" outlineLevel="1" x14ac:dyDescent="0.25">
      <c r="A242" s="611">
        <v>8403</v>
      </c>
      <c r="B242" s="612" t="s">
        <v>2452</v>
      </c>
      <c r="C242" s="613"/>
      <c r="D242" s="614"/>
      <c r="E242" s="614"/>
      <c r="F242" s="613">
        <v>56660.800000000003</v>
      </c>
      <c r="G242" s="614"/>
      <c r="H242" s="614" t="s">
        <v>2584</v>
      </c>
      <c r="I242" s="613"/>
      <c r="J242" s="613"/>
      <c r="K242" s="613">
        <v>250</v>
      </c>
      <c r="L242" s="613">
        <v>56910.8</v>
      </c>
      <c r="N242" s="620">
        <f t="shared" si="3"/>
        <v>-56660.800000000003</v>
      </c>
    </row>
    <row r="243" spans="1:14" outlineLevel="1" x14ac:dyDescent="0.25">
      <c r="A243" s="611">
        <v>8404</v>
      </c>
      <c r="B243" s="612" t="s">
        <v>2453</v>
      </c>
      <c r="C243" s="613"/>
      <c r="D243" s="614"/>
      <c r="E243" s="614"/>
      <c r="F243" s="613">
        <v>28513.3</v>
      </c>
      <c r="G243" s="614"/>
      <c r="H243" s="614" t="s">
        <v>2584</v>
      </c>
      <c r="I243" s="613">
        <v>0</v>
      </c>
      <c r="J243" s="613">
        <v>3830</v>
      </c>
      <c r="K243" s="613">
        <v>0</v>
      </c>
      <c r="L243" s="613">
        <v>28513.3</v>
      </c>
      <c r="N243" s="620">
        <f t="shared" si="3"/>
        <v>-28513.3</v>
      </c>
    </row>
    <row r="244" spans="1:14" outlineLevel="1" x14ac:dyDescent="0.25">
      <c r="A244" s="611">
        <v>8520</v>
      </c>
      <c r="B244" s="612" t="s">
        <v>2454</v>
      </c>
      <c r="C244" s="613"/>
      <c r="D244" s="614"/>
      <c r="E244" s="614"/>
      <c r="F244" s="613">
        <v>3094.6</v>
      </c>
      <c r="G244" s="614"/>
      <c r="H244" s="614" t="s">
        <v>2584</v>
      </c>
      <c r="I244" s="613">
        <v>0</v>
      </c>
      <c r="J244" s="613">
        <v>198.1</v>
      </c>
      <c r="K244" s="613">
        <v>0</v>
      </c>
      <c r="L244" s="613">
        <v>3094.6</v>
      </c>
      <c r="N244" s="620">
        <f t="shared" si="3"/>
        <v>-3094.6</v>
      </c>
    </row>
    <row r="245" spans="1:14" outlineLevel="1" x14ac:dyDescent="0.25">
      <c r="A245" s="611">
        <v>8610</v>
      </c>
      <c r="B245" s="612" t="s">
        <v>4710</v>
      </c>
      <c r="C245" s="613"/>
      <c r="D245" s="614"/>
      <c r="E245" s="614"/>
      <c r="F245" s="613">
        <v>17593.82</v>
      </c>
      <c r="G245" s="614" t="s">
        <v>2701</v>
      </c>
      <c r="H245" s="614"/>
      <c r="I245" s="613">
        <v>3043.58</v>
      </c>
      <c r="J245" s="613">
        <v>913.7</v>
      </c>
      <c r="K245" s="613">
        <v>25316.58</v>
      </c>
      <c r="L245" s="613">
        <v>7722.76</v>
      </c>
      <c r="N245" s="620">
        <f t="shared" si="3"/>
        <v>17593.82</v>
      </c>
    </row>
    <row r="246" spans="1:14" outlineLevel="1" x14ac:dyDescent="0.25">
      <c r="A246" s="611">
        <v>8611</v>
      </c>
      <c r="B246" s="612" t="s">
        <v>4711</v>
      </c>
      <c r="C246" s="613"/>
      <c r="D246" s="614"/>
      <c r="E246" s="614"/>
      <c r="F246" s="613">
        <v>103790.79</v>
      </c>
      <c r="G246" s="614"/>
      <c r="H246" s="614" t="s">
        <v>2584</v>
      </c>
      <c r="I246" s="613">
        <v>0</v>
      </c>
      <c r="J246" s="613">
        <v>9797.4699999999993</v>
      </c>
      <c r="K246" s="613">
        <v>0</v>
      </c>
      <c r="L246" s="613">
        <v>103790.79</v>
      </c>
      <c r="N246" s="620">
        <f t="shared" si="3"/>
        <v>-103790.79</v>
      </c>
    </row>
    <row r="247" spans="1:14" outlineLevel="1" x14ac:dyDescent="0.25">
      <c r="A247" s="611">
        <v>8625</v>
      </c>
      <c r="B247" s="612" t="s">
        <v>4712</v>
      </c>
      <c r="C247" s="613"/>
      <c r="D247" s="614"/>
      <c r="E247" s="614"/>
      <c r="F247" s="613">
        <v>0</v>
      </c>
      <c r="G247" s="614"/>
      <c r="H247" s="614"/>
      <c r="I247" s="613"/>
      <c r="J247" s="613"/>
      <c r="K247" s="613">
        <v>0</v>
      </c>
      <c r="L247" s="613">
        <v>0</v>
      </c>
      <c r="N247" s="620">
        <f t="shared" si="3"/>
        <v>0</v>
      </c>
    </row>
    <row r="248" spans="1:14" outlineLevel="1" x14ac:dyDescent="0.25">
      <c r="A248" s="611">
        <v>8640</v>
      </c>
      <c r="B248" s="612" t="s">
        <v>4713</v>
      </c>
      <c r="C248" s="613"/>
      <c r="D248" s="614"/>
      <c r="E248" s="614"/>
      <c r="F248" s="613">
        <v>3749.27</v>
      </c>
      <c r="G248" s="614"/>
      <c r="H248" s="614" t="s">
        <v>2584</v>
      </c>
      <c r="I248" s="613"/>
      <c r="J248" s="613"/>
      <c r="K248" s="613">
        <v>0</v>
      </c>
      <c r="L248" s="613">
        <v>3749.27</v>
      </c>
      <c r="N248" s="620">
        <f t="shared" si="3"/>
        <v>-3749.27</v>
      </c>
    </row>
    <row r="249" spans="1:14" outlineLevel="1" x14ac:dyDescent="0.25">
      <c r="A249" s="611">
        <v>8730</v>
      </c>
      <c r="B249" s="612" t="s">
        <v>4714</v>
      </c>
      <c r="C249" s="613"/>
      <c r="D249" s="614"/>
      <c r="E249" s="614"/>
      <c r="F249" s="613">
        <v>104.17</v>
      </c>
      <c r="G249" s="614" t="s">
        <v>2701</v>
      </c>
      <c r="H249" s="614"/>
      <c r="I249" s="613">
        <v>7.5</v>
      </c>
      <c r="J249" s="613">
        <v>0</v>
      </c>
      <c r="K249" s="613">
        <v>104.17</v>
      </c>
      <c r="L249" s="613">
        <v>0</v>
      </c>
      <c r="N249" s="620">
        <f t="shared" si="3"/>
        <v>104.17</v>
      </c>
    </row>
    <row r="250" spans="1:14" outlineLevel="1" x14ac:dyDescent="0.25">
      <c r="A250" s="611">
        <v>8736</v>
      </c>
      <c r="B250" s="612" t="s">
        <v>4715</v>
      </c>
      <c r="C250" s="613"/>
      <c r="D250" s="614"/>
      <c r="E250" s="614"/>
      <c r="F250" s="613">
        <v>143000.93</v>
      </c>
      <c r="G250" s="614" t="s">
        <v>2701</v>
      </c>
      <c r="H250" s="614"/>
      <c r="I250" s="613">
        <v>12111.53</v>
      </c>
      <c r="J250" s="613">
        <v>50.35</v>
      </c>
      <c r="K250" s="613">
        <v>143473.23000000001</v>
      </c>
      <c r="L250" s="613">
        <v>472.3</v>
      </c>
      <c r="N250" s="620">
        <f t="shared" si="3"/>
        <v>143000.93</v>
      </c>
    </row>
    <row r="251" spans="1:14" outlineLevel="1" x14ac:dyDescent="0.25">
      <c r="A251" s="611">
        <v>8743</v>
      </c>
      <c r="B251" s="612" t="s">
        <v>4716</v>
      </c>
      <c r="C251" s="613"/>
      <c r="D251" s="614"/>
      <c r="E251" s="614"/>
      <c r="F251" s="613">
        <v>8266.1299999999992</v>
      </c>
      <c r="G251" s="614" t="s">
        <v>2701</v>
      </c>
      <c r="H251" s="614"/>
      <c r="I251" s="613">
        <v>627.53</v>
      </c>
      <c r="J251" s="613">
        <v>0</v>
      </c>
      <c r="K251" s="613">
        <v>8266.1299999999992</v>
      </c>
      <c r="L251" s="613">
        <v>0</v>
      </c>
      <c r="N251" s="620">
        <f t="shared" si="3"/>
        <v>8266.1299999999992</v>
      </c>
    </row>
    <row r="252" spans="1:14" outlineLevel="1" x14ac:dyDescent="0.25">
      <c r="A252" s="611">
        <v>8760</v>
      </c>
      <c r="B252" s="612" t="s">
        <v>4717</v>
      </c>
      <c r="C252" s="613"/>
      <c r="D252" s="614"/>
      <c r="E252" s="614"/>
      <c r="F252" s="613">
        <v>1111.1199999999999</v>
      </c>
      <c r="G252" s="614" t="s">
        <v>2701</v>
      </c>
      <c r="H252" s="614"/>
      <c r="I252" s="613"/>
      <c r="J252" s="613"/>
      <c r="K252" s="613">
        <v>1111.1199999999999</v>
      </c>
      <c r="L252" s="613">
        <v>0</v>
      </c>
      <c r="N252" s="620">
        <f t="shared" si="3"/>
        <v>1111.1199999999999</v>
      </c>
    </row>
    <row r="253" spans="1:14" outlineLevel="1" x14ac:dyDescent="0.25">
      <c r="A253" s="611">
        <v>8769</v>
      </c>
      <c r="B253" s="612" t="s">
        <v>4718</v>
      </c>
      <c r="C253" s="613"/>
      <c r="D253" s="614"/>
      <c r="E253" s="614"/>
      <c r="F253" s="613">
        <v>1111.1199999999999</v>
      </c>
      <c r="G253" s="614"/>
      <c r="H253" s="614" t="s">
        <v>2584</v>
      </c>
      <c r="I253" s="613"/>
      <c r="J253" s="613"/>
      <c r="K253" s="613">
        <v>0</v>
      </c>
      <c r="L253" s="613">
        <v>1111.1199999999999</v>
      </c>
      <c r="N253" s="620">
        <f t="shared" si="3"/>
        <v>-1111.1199999999999</v>
      </c>
    </row>
    <row r="254" spans="1:14" outlineLevel="1" x14ac:dyDescent="0.25">
      <c r="A254" s="611">
        <v>8801</v>
      </c>
      <c r="B254" s="612" t="s">
        <v>4719</v>
      </c>
      <c r="C254" s="613"/>
      <c r="D254" s="614"/>
      <c r="E254" s="614"/>
      <c r="F254" s="613">
        <v>4651</v>
      </c>
      <c r="G254" s="614"/>
      <c r="H254" s="614" t="s">
        <v>2584</v>
      </c>
      <c r="I254" s="613"/>
      <c r="J254" s="613"/>
      <c r="K254" s="613">
        <v>0</v>
      </c>
      <c r="L254" s="613">
        <v>4651</v>
      </c>
      <c r="N254" s="620">
        <f t="shared" si="3"/>
        <v>-4651</v>
      </c>
    </row>
    <row r="255" spans="1:14" outlineLevel="1" x14ac:dyDescent="0.25">
      <c r="A255" s="611">
        <v>8807</v>
      </c>
      <c r="B255" s="612" t="s">
        <v>4720</v>
      </c>
      <c r="C255" s="613"/>
      <c r="D255" s="614"/>
      <c r="E255" s="614"/>
      <c r="F255" s="613">
        <v>0</v>
      </c>
      <c r="G255" s="614"/>
      <c r="H255" s="614"/>
      <c r="I255" s="613"/>
      <c r="J255" s="613"/>
      <c r="K255" s="613">
        <v>0</v>
      </c>
      <c r="L255" s="613">
        <v>0</v>
      </c>
      <c r="N255" s="620">
        <f t="shared" si="3"/>
        <v>0</v>
      </c>
    </row>
    <row r="256" spans="1:14" outlineLevel="1" x14ac:dyDescent="0.25">
      <c r="A256" s="611">
        <v>8818</v>
      </c>
      <c r="B256" s="612" t="s">
        <v>4721</v>
      </c>
      <c r="C256" s="613"/>
      <c r="D256" s="614"/>
      <c r="E256" s="614"/>
      <c r="F256" s="613">
        <v>0</v>
      </c>
      <c r="G256" s="614"/>
      <c r="H256" s="614"/>
      <c r="I256" s="613"/>
      <c r="J256" s="613"/>
      <c r="K256" s="613">
        <v>0</v>
      </c>
      <c r="L256" s="613">
        <v>0</v>
      </c>
      <c r="N256" s="620">
        <f t="shared" si="3"/>
        <v>0</v>
      </c>
    </row>
    <row r="257" spans="1:14" outlineLevel="1" x14ac:dyDescent="0.25">
      <c r="A257" s="611">
        <v>8820</v>
      </c>
      <c r="B257" s="612" t="s">
        <v>4722</v>
      </c>
      <c r="C257" s="613"/>
      <c r="D257" s="614"/>
      <c r="E257" s="614"/>
      <c r="F257" s="613">
        <v>53650</v>
      </c>
      <c r="G257" s="614"/>
      <c r="H257" s="614" t="s">
        <v>2584</v>
      </c>
      <c r="I257" s="613"/>
      <c r="J257" s="613"/>
      <c r="K257" s="613">
        <v>0</v>
      </c>
      <c r="L257" s="613">
        <v>53650</v>
      </c>
      <c r="N257" s="620">
        <f t="shared" si="3"/>
        <v>-53650</v>
      </c>
    </row>
    <row r="258" spans="1:14" outlineLevel="1" x14ac:dyDescent="0.25">
      <c r="A258" s="611">
        <v>8827</v>
      </c>
      <c r="B258" s="612" t="s">
        <v>4723</v>
      </c>
      <c r="C258" s="613"/>
      <c r="D258" s="614"/>
      <c r="E258" s="614"/>
      <c r="F258" s="613">
        <v>0</v>
      </c>
      <c r="G258" s="614"/>
      <c r="H258" s="614"/>
      <c r="I258" s="613"/>
      <c r="J258" s="613"/>
      <c r="K258" s="613">
        <v>0</v>
      </c>
      <c r="L258" s="613">
        <v>0</v>
      </c>
      <c r="N258" s="620">
        <f t="shared" si="3"/>
        <v>0</v>
      </c>
    </row>
    <row r="259" spans="1:14" outlineLevel="1" x14ac:dyDescent="0.25">
      <c r="A259" s="611">
        <v>8838</v>
      </c>
      <c r="B259" s="612" t="s">
        <v>4724</v>
      </c>
      <c r="C259" s="613"/>
      <c r="D259" s="614"/>
      <c r="E259" s="614"/>
      <c r="F259" s="613">
        <v>34905.46</v>
      </c>
      <c r="G259" s="614"/>
      <c r="H259" s="614" t="s">
        <v>2584</v>
      </c>
      <c r="I259" s="613"/>
      <c r="J259" s="613"/>
      <c r="K259" s="613">
        <v>0</v>
      </c>
      <c r="L259" s="613">
        <v>34905.46</v>
      </c>
      <c r="N259" s="620">
        <f t="shared" si="3"/>
        <v>-34905.46</v>
      </c>
    </row>
    <row r="260" spans="1:14" outlineLevel="1" x14ac:dyDescent="0.25">
      <c r="A260" s="611">
        <v>8950</v>
      </c>
      <c r="B260" s="612" t="s">
        <v>4725</v>
      </c>
      <c r="C260" s="613"/>
      <c r="D260" s="614"/>
      <c r="E260" s="614"/>
      <c r="F260" s="613">
        <v>0</v>
      </c>
      <c r="G260" s="614"/>
      <c r="H260" s="614"/>
      <c r="I260" s="613"/>
      <c r="J260" s="613"/>
      <c r="K260" s="613">
        <v>0</v>
      </c>
      <c r="L260" s="613">
        <v>0</v>
      </c>
      <c r="N260" s="620">
        <f>IF(G260="S",F260,-F260)</f>
        <v>0</v>
      </c>
    </row>
    <row r="261" spans="1:14" outlineLevel="1" x14ac:dyDescent="0.25">
      <c r="A261" s="611">
        <v>8960</v>
      </c>
      <c r="B261" s="612" t="s">
        <v>4726</v>
      </c>
      <c r="C261" s="613"/>
      <c r="D261" s="614"/>
      <c r="E261" s="614"/>
      <c r="F261" s="613">
        <v>0</v>
      </c>
      <c r="G261" s="614"/>
      <c r="H261" s="614"/>
      <c r="I261" s="613"/>
      <c r="J261" s="613"/>
      <c r="K261" s="613">
        <v>0</v>
      </c>
      <c r="L261" s="613">
        <v>0</v>
      </c>
      <c r="N261" s="620">
        <f>IF(G261="S",F261,-F261)</f>
        <v>0</v>
      </c>
    </row>
    <row r="262" spans="1:14" outlineLevel="1" x14ac:dyDescent="0.25">
      <c r="A262" s="611">
        <v>8980</v>
      </c>
      <c r="B262" s="612" t="s">
        <v>4727</v>
      </c>
      <c r="C262" s="613"/>
      <c r="D262" s="614"/>
      <c r="E262" s="614"/>
      <c r="F262" s="613">
        <v>0</v>
      </c>
      <c r="G262" s="614"/>
      <c r="H262" s="614"/>
      <c r="I262" s="613"/>
      <c r="J262" s="613"/>
      <c r="K262" s="613">
        <v>0</v>
      </c>
      <c r="L262" s="613">
        <v>0</v>
      </c>
      <c r="N262" s="620">
        <f>IF(G262="S",F262,-F262)</f>
        <v>0</v>
      </c>
    </row>
    <row r="263" spans="1:14" outlineLevel="1" x14ac:dyDescent="0.25">
      <c r="A263" s="611">
        <v>9000</v>
      </c>
      <c r="B263" s="612" t="s">
        <v>4728</v>
      </c>
      <c r="C263" s="613">
        <v>0</v>
      </c>
      <c r="D263" s="614"/>
      <c r="E263" s="614"/>
      <c r="F263" s="613">
        <v>0</v>
      </c>
      <c r="G263" s="614"/>
      <c r="H263" s="614"/>
      <c r="I263" s="613"/>
      <c r="J263" s="613"/>
      <c r="K263" s="613"/>
      <c r="L263" s="613"/>
    </row>
    <row r="264" spans="1:14" outlineLevel="1" x14ac:dyDescent="0.25">
      <c r="A264" s="611">
        <v>9008</v>
      </c>
      <c r="B264" s="612" t="s">
        <v>4729</v>
      </c>
      <c r="C264" s="613">
        <v>0</v>
      </c>
      <c r="D264" s="614"/>
      <c r="E264" s="614"/>
      <c r="F264" s="613">
        <v>0</v>
      </c>
      <c r="G264" s="614"/>
      <c r="H264" s="614"/>
      <c r="I264" s="613"/>
      <c r="J264" s="613"/>
      <c r="K264" s="613"/>
      <c r="L264" s="613"/>
    </row>
    <row r="265" spans="1:14" outlineLevel="1" x14ac:dyDescent="0.25">
      <c r="A265" s="611">
        <v>9009</v>
      </c>
      <c r="B265" s="612" t="s">
        <v>4730</v>
      </c>
      <c r="C265" s="613">
        <v>0</v>
      </c>
      <c r="D265" s="614"/>
      <c r="E265" s="614"/>
      <c r="F265" s="613">
        <v>0</v>
      </c>
      <c r="G265" s="614"/>
      <c r="H265" s="614"/>
      <c r="I265" s="613"/>
      <c r="J265" s="613"/>
      <c r="K265" s="613"/>
      <c r="L265" s="613"/>
    </row>
  </sheetData>
  <mergeCells count="1">
    <mergeCell ref="A1:L1"/>
  </mergeCells>
  <pageMargins left="0.7" right="0.7" top="0.78740157499999996" bottom="0.78740157499999996"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82F4A-ADD9-4A7A-8C5F-DEF030202052}">
  <sheetPr>
    <outlinePr summaryBelow="0"/>
  </sheetPr>
  <dimension ref="A1:N270"/>
  <sheetViews>
    <sheetView workbookViewId="0">
      <selection sqref="A1:L1"/>
    </sheetView>
  </sheetViews>
  <sheetFormatPr defaultColWidth="11.42578125" defaultRowHeight="15" outlineLevelRow="1" x14ac:dyDescent="0.25"/>
  <cols>
    <col min="1" max="1" width="9.5703125" customWidth="1"/>
    <col min="2" max="2" width="43.85546875" customWidth="1"/>
    <col min="3" max="3" width="15.42578125" customWidth="1"/>
    <col min="4" max="5" width="6.140625" customWidth="1"/>
    <col min="6" max="6" width="15.42578125" customWidth="1"/>
    <col min="7" max="8" width="6.140625" customWidth="1"/>
    <col min="9" max="10" width="15.42578125" customWidth="1"/>
    <col min="11" max="12" width="16.42578125" customWidth="1"/>
  </cols>
  <sheetData>
    <row r="1" spans="1:14" x14ac:dyDescent="0.25">
      <c r="A1" s="1023" t="s">
        <v>4737</v>
      </c>
      <c r="B1" s="1022"/>
      <c r="C1" s="1022"/>
      <c r="D1" s="1022"/>
      <c r="E1" s="1022"/>
      <c r="F1" s="1022"/>
      <c r="G1" s="1022"/>
      <c r="H1" s="1022"/>
      <c r="I1" s="1022"/>
      <c r="J1" s="1022"/>
      <c r="K1" s="1022"/>
      <c r="L1" s="1022"/>
    </row>
    <row r="2" spans="1:14" ht="30" outlineLevel="1" x14ac:dyDescent="0.25">
      <c r="A2" s="609" t="s">
        <v>2542</v>
      </c>
      <c r="B2" s="609" t="s">
        <v>2543</v>
      </c>
      <c r="C2" s="609" t="s">
        <v>4486</v>
      </c>
      <c r="D2" s="609" t="s">
        <v>2701</v>
      </c>
      <c r="E2" s="609" t="s">
        <v>2584</v>
      </c>
      <c r="F2" s="609" t="s">
        <v>2549</v>
      </c>
      <c r="G2" s="609" t="s">
        <v>2701</v>
      </c>
      <c r="H2" s="609" t="s">
        <v>2584</v>
      </c>
      <c r="I2" s="610" t="s">
        <v>4738</v>
      </c>
      <c r="J2" s="610" t="s">
        <v>4488</v>
      </c>
      <c r="K2" s="610" t="s">
        <v>4489</v>
      </c>
      <c r="L2" s="610" t="s">
        <v>4488</v>
      </c>
    </row>
    <row r="3" spans="1:14" outlineLevel="1" x14ac:dyDescent="0.25">
      <c r="A3" s="611">
        <v>27</v>
      </c>
      <c r="B3" s="612" t="s">
        <v>4490</v>
      </c>
      <c r="C3" s="613">
        <v>1109</v>
      </c>
      <c r="D3" s="614" t="s">
        <v>2701</v>
      </c>
      <c r="E3" s="614"/>
      <c r="F3" s="613">
        <v>7</v>
      </c>
      <c r="G3" s="614" t="s">
        <v>2701</v>
      </c>
      <c r="H3" s="614"/>
      <c r="I3" s="613"/>
      <c r="J3" s="613"/>
      <c r="K3" s="613">
        <v>0</v>
      </c>
      <c r="L3" s="613">
        <v>1102</v>
      </c>
      <c r="N3" s="620">
        <f>IF(G3="S",F3,-F3)</f>
        <v>7</v>
      </c>
    </row>
    <row r="4" spans="1:14" outlineLevel="1" x14ac:dyDescent="0.25">
      <c r="A4" s="611">
        <v>48</v>
      </c>
      <c r="B4" s="612" t="s">
        <v>4491</v>
      </c>
      <c r="C4" s="613">
        <v>203167.17</v>
      </c>
      <c r="D4" s="614" t="s">
        <v>2701</v>
      </c>
      <c r="E4" s="614"/>
      <c r="F4" s="613">
        <v>665996.27</v>
      </c>
      <c r="G4" s="614" t="s">
        <v>2701</v>
      </c>
      <c r="H4" s="614"/>
      <c r="I4" s="613">
        <v>321301.8</v>
      </c>
      <c r="J4" s="613">
        <v>0</v>
      </c>
      <c r="K4" s="613">
        <v>462829.1</v>
      </c>
      <c r="L4" s="613">
        <v>0</v>
      </c>
      <c r="N4" s="620">
        <f t="shared" ref="N4:N67" si="0">IF(G4="S",F4,-F4)</f>
        <v>665996.27</v>
      </c>
    </row>
    <row r="5" spans="1:14" outlineLevel="1" x14ac:dyDescent="0.25">
      <c r="A5" s="611">
        <v>210</v>
      </c>
      <c r="B5" s="612" t="s">
        <v>4492</v>
      </c>
      <c r="C5" s="613">
        <v>1</v>
      </c>
      <c r="D5" s="614" t="s">
        <v>2701</v>
      </c>
      <c r="E5" s="614"/>
      <c r="F5" s="613">
        <v>1</v>
      </c>
      <c r="G5" s="614" t="s">
        <v>2701</v>
      </c>
      <c r="H5" s="614"/>
      <c r="I5" s="613"/>
      <c r="J5" s="613"/>
      <c r="K5" s="613"/>
      <c r="L5" s="613"/>
      <c r="N5" s="620">
        <f t="shared" si="0"/>
        <v>1</v>
      </c>
    </row>
    <row r="6" spans="1:14" outlineLevel="1" x14ac:dyDescent="0.25">
      <c r="A6" s="611">
        <v>400</v>
      </c>
      <c r="B6" s="612" t="s">
        <v>4493</v>
      </c>
      <c r="C6" s="613">
        <v>303552</v>
      </c>
      <c r="D6" s="614" t="s">
        <v>2701</v>
      </c>
      <c r="E6" s="614"/>
      <c r="F6" s="613">
        <v>288717</v>
      </c>
      <c r="G6" s="614" t="s">
        <v>2701</v>
      </c>
      <c r="H6" s="614"/>
      <c r="I6" s="613">
        <v>17730.669999999998</v>
      </c>
      <c r="J6" s="613">
        <v>6413.18</v>
      </c>
      <c r="K6" s="613">
        <v>58353.41</v>
      </c>
      <c r="L6" s="613">
        <v>73188.41</v>
      </c>
      <c r="N6" s="620">
        <f t="shared" si="0"/>
        <v>288717</v>
      </c>
    </row>
    <row r="7" spans="1:14" outlineLevel="1" x14ac:dyDescent="0.25">
      <c r="A7" s="611">
        <v>440</v>
      </c>
      <c r="B7" s="612" t="s">
        <v>4494</v>
      </c>
      <c r="C7" s="613">
        <v>36265</v>
      </c>
      <c r="D7" s="614" t="s">
        <v>2701</v>
      </c>
      <c r="E7" s="614"/>
      <c r="F7" s="613">
        <v>27327</v>
      </c>
      <c r="G7" s="614" t="s">
        <v>2701</v>
      </c>
      <c r="H7" s="614"/>
      <c r="I7" s="613">
        <v>0</v>
      </c>
      <c r="J7" s="613">
        <v>857.21</v>
      </c>
      <c r="K7" s="613">
        <v>1980</v>
      </c>
      <c r="L7" s="613">
        <v>10918</v>
      </c>
      <c r="N7" s="620">
        <f t="shared" si="0"/>
        <v>27327</v>
      </c>
    </row>
    <row r="8" spans="1:14" outlineLevel="1" x14ac:dyDescent="0.25">
      <c r="A8" s="611">
        <v>480</v>
      </c>
      <c r="B8" s="612" t="s">
        <v>4495</v>
      </c>
      <c r="C8" s="613"/>
      <c r="D8" s="614"/>
      <c r="E8" s="614"/>
      <c r="F8" s="613">
        <v>0</v>
      </c>
      <c r="G8" s="614"/>
      <c r="H8" s="614"/>
      <c r="I8" s="613">
        <v>1272.93</v>
      </c>
      <c r="J8" s="613">
        <v>1272.93</v>
      </c>
      <c r="K8" s="613">
        <v>7364.49</v>
      </c>
      <c r="L8" s="613">
        <v>7364.49</v>
      </c>
      <c r="N8" s="620">
        <f t="shared" si="0"/>
        <v>0</v>
      </c>
    </row>
    <row r="9" spans="1:14" outlineLevel="1" x14ac:dyDescent="0.25">
      <c r="A9" s="611">
        <v>490</v>
      </c>
      <c r="B9" s="612" t="s">
        <v>4496</v>
      </c>
      <c r="C9" s="613">
        <v>486646</v>
      </c>
      <c r="D9" s="614" t="s">
        <v>2701</v>
      </c>
      <c r="E9" s="614"/>
      <c r="F9" s="613">
        <v>284340</v>
      </c>
      <c r="G9" s="614" t="s">
        <v>2701</v>
      </c>
      <c r="H9" s="614"/>
      <c r="I9" s="613">
        <v>0</v>
      </c>
      <c r="J9" s="613">
        <v>11770.81</v>
      </c>
      <c r="K9" s="613">
        <v>4755.6000000000004</v>
      </c>
      <c r="L9" s="613">
        <v>207061.6</v>
      </c>
      <c r="N9" s="620">
        <f t="shared" si="0"/>
        <v>284340</v>
      </c>
    </row>
    <row r="10" spans="1:14" outlineLevel="1" x14ac:dyDescent="0.25">
      <c r="A10" s="611">
        <v>525</v>
      </c>
      <c r="B10" s="612" t="s">
        <v>4497</v>
      </c>
      <c r="C10" s="613">
        <v>75225.62</v>
      </c>
      <c r="D10" s="614" t="s">
        <v>2701</v>
      </c>
      <c r="E10" s="614"/>
      <c r="F10" s="613">
        <v>121765.62</v>
      </c>
      <c r="G10" s="614" t="s">
        <v>2701</v>
      </c>
      <c r="H10" s="614"/>
      <c r="I10" s="613">
        <v>78650</v>
      </c>
      <c r="J10" s="613">
        <v>710</v>
      </c>
      <c r="K10" s="613">
        <v>78650</v>
      </c>
      <c r="L10" s="613">
        <v>32110</v>
      </c>
      <c r="N10" s="620">
        <f t="shared" si="0"/>
        <v>121765.62</v>
      </c>
    </row>
    <row r="11" spans="1:14" outlineLevel="1" x14ac:dyDescent="0.25">
      <c r="A11" s="611">
        <v>570</v>
      </c>
      <c r="B11" s="612" t="s">
        <v>4498</v>
      </c>
      <c r="C11" s="613">
        <v>200</v>
      </c>
      <c r="D11" s="614" t="s">
        <v>2701</v>
      </c>
      <c r="E11" s="614"/>
      <c r="F11" s="613">
        <v>200</v>
      </c>
      <c r="G11" s="614" t="s">
        <v>2701</v>
      </c>
      <c r="H11" s="614"/>
      <c r="I11" s="613"/>
      <c r="J11" s="613"/>
      <c r="K11" s="613"/>
      <c r="L11" s="613"/>
      <c r="N11" s="620">
        <f t="shared" si="0"/>
        <v>200</v>
      </c>
    </row>
    <row r="12" spans="1:14" outlineLevel="1" x14ac:dyDescent="0.25">
      <c r="A12" s="611">
        <v>650</v>
      </c>
      <c r="B12" s="612" t="s">
        <v>4499</v>
      </c>
      <c r="C12" s="613"/>
      <c r="D12" s="614"/>
      <c r="E12" s="614"/>
      <c r="F12" s="613">
        <v>19425</v>
      </c>
      <c r="G12" s="614"/>
      <c r="H12" s="614" t="s">
        <v>2584</v>
      </c>
      <c r="I12" s="613"/>
      <c r="J12" s="613"/>
      <c r="K12" s="613">
        <v>0</v>
      </c>
      <c r="L12" s="613">
        <v>19425</v>
      </c>
      <c r="N12" s="620">
        <f t="shared" si="0"/>
        <v>-19425</v>
      </c>
    </row>
    <row r="13" spans="1:14" outlineLevel="1" x14ac:dyDescent="0.25">
      <c r="A13" s="611">
        <v>800</v>
      </c>
      <c r="B13" s="612" t="s">
        <v>4500</v>
      </c>
      <c r="C13" s="613">
        <v>51129.19</v>
      </c>
      <c r="D13" s="614"/>
      <c r="E13" s="614" t="s">
        <v>2584</v>
      </c>
      <c r="F13" s="613">
        <v>51129.19</v>
      </c>
      <c r="G13" s="614"/>
      <c r="H13" s="614" t="s">
        <v>2584</v>
      </c>
      <c r="I13" s="613"/>
      <c r="J13" s="613"/>
      <c r="K13" s="613"/>
      <c r="L13" s="613"/>
      <c r="N13" s="620">
        <f t="shared" si="0"/>
        <v>-51129.19</v>
      </c>
    </row>
    <row r="14" spans="1:14" outlineLevel="1" x14ac:dyDescent="0.25">
      <c r="A14" s="611">
        <v>860</v>
      </c>
      <c r="B14" s="612" t="s">
        <v>4501</v>
      </c>
      <c r="C14" s="613">
        <v>6230831.0199999996</v>
      </c>
      <c r="D14" s="614"/>
      <c r="E14" s="614" t="s">
        <v>2584</v>
      </c>
      <c r="F14" s="613">
        <v>6230831.0199999996</v>
      </c>
      <c r="G14" s="614"/>
      <c r="H14" s="614" t="s">
        <v>2584</v>
      </c>
      <c r="I14" s="613"/>
      <c r="J14" s="613"/>
      <c r="K14" s="613"/>
      <c r="L14" s="613"/>
      <c r="N14" s="620">
        <f t="shared" si="0"/>
        <v>-6230831.0199999996</v>
      </c>
    </row>
    <row r="15" spans="1:14" outlineLevel="1" x14ac:dyDescent="0.25">
      <c r="A15" s="611">
        <v>951</v>
      </c>
      <c r="B15" s="612" t="s">
        <v>4502</v>
      </c>
      <c r="C15" s="613">
        <v>182403</v>
      </c>
      <c r="D15" s="614"/>
      <c r="E15" s="614" t="s">
        <v>2584</v>
      </c>
      <c r="F15" s="613">
        <v>171743</v>
      </c>
      <c r="G15" s="614"/>
      <c r="H15" s="614" t="s">
        <v>2584</v>
      </c>
      <c r="I15" s="613">
        <v>14162</v>
      </c>
      <c r="J15" s="613">
        <v>3502</v>
      </c>
      <c r="K15" s="613">
        <v>14162</v>
      </c>
      <c r="L15" s="613">
        <v>3502</v>
      </c>
      <c r="N15" s="620">
        <f t="shared" si="0"/>
        <v>-171743</v>
      </c>
    </row>
    <row r="16" spans="1:14" outlineLevel="1" x14ac:dyDescent="0.25">
      <c r="A16" s="611">
        <v>956</v>
      </c>
      <c r="B16" s="612" t="s">
        <v>4503</v>
      </c>
      <c r="C16" s="613"/>
      <c r="D16" s="614"/>
      <c r="E16" s="614"/>
      <c r="F16" s="613">
        <v>0</v>
      </c>
      <c r="G16" s="614"/>
      <c r="H16" s="614"/>
      <c r="I16" s="613"/>
      <c r="J16" s="613"/>
      <c r="K16" s="613">
        <v>0</v>
      </c>
      <c r="L16" s="613">
        <v>0</v>
      </c>
      <c r="N16" s="620">
        <f t="shared" si="0"/>
        <v>0</v>
      </c>
    </row>
    <row r="17" spans="1:14" outlineLevel="1" x14ac:dyDescent="0.25">
      <c r="A17" s="611">
        <v>963</v>
      </c>
      <c r="B17" s="612" t="s">
        <v>4504</v>
      </c>
      <c r="C17" s="613"/>
      <c r="D17" s="614"/>
      <c r="E17" s="614"/>
      <c r="F17" s="613">
        <v>0</v>
      </c>
      <c r="G17" s="614"/>
      <c r="H17" s="614"/>
      <c r="I17" s="613"/>
      <c r="J17" s="613"/>
      <c r="K17" s="613">
        <v>0</v>
      </c>
      <c r="L17" s="613">
        <v>0</v>
      </c>
      <c r="N17" s="620">
        <f t="shared" si="0"/>
        <v>0</v>
      </c>
    </row>
    <row r="18" spans="1:14" outlineLevel="1" x14ac:dyDescent="0.25">
      <c r="A18" s="611">
        <v>965</v>
      </c>
      <c r="B18" s="612" t="s">
        <v>4505</v>
      </c>
      <c r="C18" s="613">
        <v>139441.74</v>
      </c>
      <c r="D18" s="614"/>
      <c r="E18" s="614" t="s">
        <v>2584</v>
      </c>
      <c r="F18" s="613">
        <v>167931.18</v>
      </c>
      <c r="G18" s="614"/>
      <c r="H18" s="614" t="s">
        <v>2584</v>
      </c>
      <c r="I18" s="613">
        <v>11898.09</v>
      </c>
      <c r="J18" s="613">
        <v>39975.800000000003</v>
      </c>
      <c r="K18" s="613">
        <v>221319.36</v>
      </c>
      <c r="L18" s="613">
        <v>249808.8</v>
      </c>
      <c r="N18" s="620">
        <f t="shared" si="0"/>
        <v>-167931.18</v>
      </c>
    </row>
    <row r="19" spans="1:14" outlineLevel="1" x14ac:dyDescent="0.25">
      <c r="A19" s="611">
        <v>966</v>
      </c>
      <c r="B19" s="612" t="s">
        <v>4506</v>
      </c>
      <c r="C19" s="613">
        <v>8000</v>
      </c>
      <c r="D19" s="614"/>
      <c r="E19" s="614" t="s">
        <v>2584</v>
      </c>
      <c r="F19" s="613">
        <v>8000</v>
      </c>
      <c r="G19" s="614"/>
      <c r="H19" s="614" t="s">
        <v>2584</v>
      </c>
      <c r="I19" s="613"/>
      <c r="J19" s="613"/>
      <c r="K19" s="613"/>
      <c r="L19" s="613"/>
      <c r="N19" s="620">
        <f t="shared" si="0"/>
        <v>-8000</v>
      </c>
    </row>
    <row r="20" spans="1:14" outlineLevel="1" x14ac:dyDescent="0.25">
      <c r="A20" s="611">
        <v>968</v>
      </c>
      <c r="B20" s="612" t="s">
        <v>286</v>
      </c>
      <c r="C20" s="613">
        <v>48876</v>
      </c>
      <c r="D20" s="614"/>
      <c r="E20" s="614" t="s">
        <v>2584</v>
      </c>
      <c r="F20" s="613">
        <v>198336</v>
      </c>
      <c r="G20" s="614"/>
      <c r="H20" s="614" t="s">
        <v>2584</v>
      </c>
      <c r="I20" s="613">
        <v>0</v>
      </c>
      <c r="J20" s="613">
        <v>149460</v>
      </c>
      <c r="K20" s="613">
        <v>0</v>
      </c>
      <c r="L20" s="613">
        <v>149460</v>
      </c>
      <c r="N20" s="620">
        <f t="shared" si="0"/>
        <v>-198336</v>
      </c>
    </row>
    <row r="21" spans="1:14" outlineLevel="1" x14ac:dyDescent="0.25">
      <c r="A21" s="611">
        <v>970</v>
      </c>
      <c r="B21" s="612" t="s">
        <v>303</v>
      </c>
      <c r="C21" s="613">
        <v>10021.209999999999</v>
      </c>
      <c r="D21" s="614"/>
      <c r="E21" s="614" t="s">
        <v>2584</v>
      </c>
      <c r="F21" s="613">
        <v>183217.48</v>
      </c>
      <c r="G21" s="614"/>
      <c r="H21" s="614" t="s">
        <v>2584</v>
      </c>
      <c r="I21" s="613">
        <v>0</v>
      </c>
      <c r="J21" s="613">
        <v>175217.48</v>
      </c>
      <c r="K21" s="613">
        <v>183619.68</v>
      </c>
      <c r="L21" s="613">
        <v>356815.95</v>
      </c>
      <c r="N21" s="620">
        <f t="shared" si="0"/>
        <v>-183217.48</v>
      </c>
    </row>
    <row r="22" spans="1:14" outlineLevel="1" x14ac:dyDescent="0.25">
      <c r="A22" s="611">
        <v>974</v>
      </c>
      <c r="B22" s="612" t="s">
        <v>4507</v>
      </c>
      <c r="C22" s="613">
        <v>33940</v>
      </c>
      <c r="D22" s="614"/>
      <c r="E22" s="614" t="s">
        <v>2584</v>
      </c>
      <c r="F22" s="613">
        <v>32125</v>
      </c>
      <c r="G22" s="614"/>
      <c r="H22" s="614" t="s">
        <v>2584</v>
      </c>
      <c r="I22" s="613">
        <v>1815</v>
      </c>
      <c r="J22" s="613">
        <v>0</v>
      </c>
      <c r="K22" s="613">
        <v>1815</v>
      </c>
      <c r="L22" s="613">
        <v>0</v>
      </c>
      <c r="N22" s="620">
        <f t="shared" si="0"/>
        <v>-32125</v>
      </c>
    </row>
    <row r="23" spans="1:14" outlineLevel="1" x14ac:dyDescent="0.25">
      <c r="A23" s="611">
        <v>977</v>
      </c>
      <c r="B23" s="612" t="s">
        <v>4508</v>
      </c>
      <c r="C23" s="613">
        <v>37000</v>
      </c>
      <c r="D23" s="614"/>
      <c r="E23" s="614" t="s">
        <v>2584</v>
      </c>
      <c r="F23" s="613">
        <v>37000</v>
      </c>
      <c r="G23" s="614"/>
      <c r="H23" s="614" t="s">
        <v>2584</v>
      </c>
      <c r="I23" s="613">
        <v>0</v>
      </c>
      <c r="J23" s="613">
        <v>4000</v>
      </c>
      <c r="K23" s="613">
        <v>38520.9</v>
      </c>
      <c r="L23" s="613">
        <v>38520.9</v>
      </c>
      <c r="N23" s="620">
        <f t="shared" si="0"/>
        <v>-37000</v>
      </c>
    </row>
    <row r="24" spans="1:14" outlineLevel="1" x14ac:dyDescent="0.25">
      <c r="A24" s="611">
        <v>980</v>
      </c>
      <c r="B24" s="612" t="s">
        <v>4509</v>
      </c>
      <c r="C24" s="613">
        <v>62927.86</v>
      </c>
      <c r="D24" s="614" t="s">
        <v>2701</v>
      </c>
      <c r="E24" s="614"/>
      <c r="F24" s="613">
        <v>51301.45</v>
      </c>
      <c r="G24" s="614" t="s">
        <v>2701</v>
      </c>
      <c r="H24" s="614"/>
      <c r="I24" s="613">
        <v>4958.6000000000004</v>
      </c>
      <c r="J24" s="613">
        <v>11069.39</v>
      </c>
      <c r="K24" s="613">
        <v>120927.85</v>
      </c>
      <c r="L24" s="613">
        <v>132554.26</v>
      </c>
      <c r="N24" s="620">
        <f t="shared" si="0"/>
        <v>51301.45</v>
      </c>
    </row>
    <row r="25" spans="1:14" outlineLevel="1" x14ac:dyDescent="0.25">
      <c r="A25" s="611">
        <v>996</v>
      </c>
      <c r="B25" s="612" t="s">
        <v>4510</v>
      </c>
      <c r="C25" s="613">
        <v>18893</v>
      </c>
      <c r="D25" s="614"/>
      <c r="E25" s="614" t="s">
        <v>2584</v>
      </c>
      <c r="F25" s="613">
        <v>13350</v>
      </c>
      <c r="G25" s="614"/>
      <c r="H25" s="614" t="s">
        <v>2584</v>
      </c>
      <c r="I25" s="613">
        <v>5543</v>
      </c>
      <c r="J25" s="613">
        <v>0</v>
      </c>
      <c r="K25" s="613">
        <v>5543</v>
      </c>
      <c r="L25" s="613">
        <v>0</v>
      </c>
      <c r="N25" s="620">
        <f t="shared" si="0"/>
        <v>-13350</v>
      </c>
    </row>
    <row r="26" spans="1:14" outlineLevel="1" x14ac:dyDescent="0.25">
      <c r="A26" s="611">
        <v>998</v>
      </c>
      <c r="B26" s="612" t="s">
        <v>4511</v>
      </c>
      <c r="C26" s="613"/>
      <c r="D26" s="614"/>
      <c r="E26" s="614"/>
      <c r="F26" s="613">
        <v>0</v>
      </c>
      <c r="G26" s="614"/>
      <c r="H26" s="614"/>
      <c r="I26" s="613"/>
      <c r="J26" s="613"/>
      <c r="K26" s="613">
        <v>0</v>
      </c>
      <c r="L26" s="613">
        <v>0</v>
      </c>
      <c r="N26" s="620">
        <f t="shared" si="0"/>
        <v>0</v>
      </c>
    </row>
    <row r="27" spans="1:14" outlineLevel="1" x14ac:dyDescent="0.25">
      <c r="A27" s="611">
        <v>1000</v>
      </c>
      <c r="B27" s="612" t="s">
        <v>4512</v>
      </c>
      <c r="C27" s="613">
        <v>86.17</v>
      </c>
      <c r="D27" s="614" t="s">
        <v>2701</v>
      </c>
      <c r="E27" s="614"/>
      <c r="F27" s="613">
        <v>99.99</v>
      </c>
      <c r="G27" s="614" t="s">
        <v>2701</v>
      </c>
      <c r="H27" s="614"/>
      <c r="I27" s="613">
        <v>500</v>
      </c>
      <c r="J27" s="613">
        <v>440.95</v>
      </c>
      <c r="K27" s="613">
        <v>525</v>
      </c>
      <c r="L27" s="613">
        <v>511.18</v>
      </c>
      <c r="N27" s="620">
        <f t="shared" si="0"/>
        <v>99.99</v>
      </c>
    </row>
    <row r="28" spans="1:14" outlineLevel="1" x14ac:dyDescent="0.25">
      <c r="A28" s="611">
        <v>1100</v>
      </c>
      <c r="B28" s="612" t="s">
        <v>4513</v>
      </c>
      <c r="C28" s="613">
        <v>187954.81</v>
      </c>
      <c r="D28" s="614" t="s">
        <v>2701</v>
      </c>
      <c r="E28" s="614"/>
      <c r="F28" s="613">
        <v>127605.57</v>
      </c>
      <c r="G28" s="614" t="s">
        <v>2701</v>
      </c>
      <c r="H28" s="614"/>
      <c r="I28" s="613">
        <v>51366.87</v>
      </c>
      <c r="J28" s="613">
        <v>33.71</v>
      </c>
      <c r="K28" s="613">
        <v>217256.86</v>
      </c>
      <c r="L28" s="613">
        <v>277606.09999999998</v>
      </c>
      <c r="N28" s="620">
        <f t="shared" si="0"/>
        <v>127605.57</v>
      </c>
    </row>
    <row r="29" spans="1:14" outlineLevel="1" x14ac:dyDescent="0.25">
      <c r="A29" s="611">
        <v>1200</v>
      </c>
      <c r="B29" s="612" t="s">
        <v>4514</v>
      </c>
      <c r="C29" s="613">
        <v>626775.54</v>
      </c>
      <c r="D29" s="614" t="s">
        <v>2701</v>
      </c>
      <c r="E29" s="614"/>
      <c r="F29" s="613">
        <v>1637265.27</v>
      </c>
      <c r="G29" s="614" t="s">
        <v>2701</v>
      </c>
      <c r="H29" s="614"/>
      <c r="I29" s="613">
        <v>1240648.6200000001</v>
      </c>
      <c r="J29" s="613">
        <v>1022190.07</v>
      </c>
      <c r="K29" s="613">
        <v>16312367.640000001</v>
      </c>
      <c r="L29" s="613">
        <v>15301877.91</v>
      </c>
      <c r="N29" s="620">
        <f t="shared" si="0"/>
        <v>1637265.27</v>
      </c>
    </row>
    <row r="30" spans="1:14" outlineLevel="1" x14ac:dyDescent="0.25">
      <c r="A30" s="611">
        <v>1210</v>
      </c>
      <c r="B30" s="612" t="s">
        <v>4515</v>
      </c>
      <c r="C30" s="613">
        <v>113807.93</v>
      </c>
      <c r="D30" s="614" t="s">
        <v>2701</v>
      </c>
      <c r="E30" s="614"/>
      <c r="F30" s="613">
        <v>98403.72</v>
      </c>
      <c r="G30" s="614" t="s">
        <v>2701</v>
      </c>
      <c r="H30" s="614"/>
      <c r="I30" s="613">
        <v>446751.79</v>
      </c>
      <c r="J30" s="613">
        <v>433873.71</v>
      </c>
      <c r="K30" s="613">
        <v>4920777.09</v>
      </c>
      <c r="L30" s="613">
        <v>4936181.3</v>
      </c>
      <c r="N30" s="620">
        <f t="shared" si="0"/>
        <v>98403.72</v>
      </c>
    </row>
    <row r="31" spans="1:14" outlineLevel="1" x14ac:dyDescent="0.25">
      <c r="A31" s="611">
        <v>1220</v>
      </c>
      <c r="B31" s="612" t="s">
        <v>4516</v>
      </c>
      <c r="C31" s="613">
        <v>75436.39</v>
      </c>
      <c r="D31" s="614" t="s">
        <v>2701</v>
      </c>
      <c r="E31" s="614"/>
      <c r="F31" s="613">
        <v>162906.15</v>
      </c>
      <c r="G31" s="614" t="s">
        <v>2701</v>
      </c>
      <c r="H31" s="614"/>
      <c r="I31" s="613">
        <v>59569.67</v>
      </c>
      <c r="J31" s="613">
        <v>200184.95</v>
      </c>
      <c r="K31" s="613">
        <v>767627.2</v>
      </c>
      <c r="L31" s="613">
        <v>680157.44</v>
      </c>
      <c r="N31" s="620">
        <f t="shared" si="0"/>
        <v>162906.15</v>
      </c>
    </row>
    <row r="32" spans="1:14" outlineLevel="1" x14ac:dyDescent="0.25">
      <c r="A32" s="611">
        <v>1348</v>
      </c>
      <c r="B32" s="612" t="s">
        <v>2387</v>
      </c>
      <c r="C32" s="613">
        <v>109791.75</v>
      </c>
      <c r="D32" s="614" t="s">
        <v>2701</v>
      </c>
      <c r="E32" s="614"/>
      <c r="F32" s="613">
        <v>0</v>
      </c>
      <c r="G32" s="614"/>
      <c r="H32" s="614"/>
      <c r="I32" s="613">
        <v>0</v>
      </c>
      <c r="J32" s="613">
        <v>78650</v>
      </c>
      <c r="K32" s="613">
        <v>91824</v>
      </c>
      <c r="L32" s="613">
        <v>201615.75</v>
      </c>
      <c r="N32" s="620">
        <f t="shared" si="0"/>
        <v>0</v>
      </c>
    </row>
    <row r="33" spans="1:14" outlineLevel="1" x14ac:dyDescent="0.25">
      <c r="A33" s="611">
        <v>1360</v>
      </c>
      <c r="B33" s="612" t="s">
        <v>4517</v>
      </c>
      <c r="C33" s="613"/>
      <c r="D33" s="614"/>
      <c r="E33" s="614"/>
      <c r="F33" s="613">
        <v>0</v>
      </c>
      <c r="G33" s="614"/>
      <c r="H33" s="614"/>
      <c r="I33" s="613">
        <v>300250</v>
      </c>
      <c r="J33" s="613">
        <v>270517.14</v>
      </c>
      <c r="K33" s="613">
        <v>3822871.8</v>
      </c>
      <c r="L33" s="613">
        <v>3822871.8</v>
      </c>
      <c r="N33" s="620">
        <f t="shared" si="0"/>
        <v>0</v>
      </c>
    </row>
    <row r="34" spans="1:14" outlineLevel="1" x14ac:dyDescent="0.25">
      <c r="A34" s="611">
        <v>1400</v>
      </c>
      <c r="B34" s="612" t="s">
        <v>4518</v>
      </c>
      <c r="C34" s="613">
        <v>2007694.36</v>
      </c>
      <c r="D34" s="614" t="s">
        <v>2701</v>
      </c>
      <c r="E34" s="614"/>
      <c r="F34" s="613">
        <v>1429004.21</v>
      </c>
      <c r="G34" s="614" t="s">
        <v>2701</v>
      </c>
      <c r="H34" s="614"/>
      <c r="I34" s="613">
        <v>1339323.71</v>
      </c>
      <c r="J34" s="613">
        <v>1512187.33</v>
      </c>
      <c r="K34" s="613">
        <v>17692218.579999998</v>
      </c>
      <c r="L34" s="613">
        <v>18270908.73</v>
      </c>
      <c r="N34" s="620">
        <f t="shared" si="0"/>
        <v>1429004.21</v>
      </c>
    </row>
    <row r="35" spans="1:14" outlineLevel="1" x14ac:dyDescent="0.25">
      <c r="A35" s="611">
        <v>1500</v>
      </c>
      <c r="B35" s="612" t="s">
        <v>308</v>
      </c>
      <c r="C35" s="613"/>
      <c r="D35" s="614"/>
      <c r="E35" s="614"/>
      <c r="F35" s="613">
        <v>0</v>
      </c>
      <c r="G35" s="614"/>
      <c r="H35" s="614"/>
      <c r="I35" s="613"/>
      <c r="J35" s="613"/>
      <c r="K35" s="613">
        <v>59500</v>
      </c>
      <c r="L35" s="613">
        <v>59500</v>
      </c>
      <c r="N35" s="620">
        <f t="shared" si="0"/>
        <v>0</v>
      </c>
    </row>
    <row r="36" spans="1:14" outlineLevel="1" x14ac:dyDescent="0.25">
      <c r="A36" s="611">
        <v>1510</v>
      </c>
      <c r="B36" s="612" t="s">
        <v>4519</v>
      </c>
      <c r="C36" s="613"/>
      <c r="D36" s="614"/>
      <c r="E36" s="614"/>
      <c r="F36" s="613">
        <v>0</v>
      </c>
      <c r="G36" s="614"/>
      <c r="H36" s="614"/>
      <c r="I36" s="613"/>
      <c r="J36" s="613"/>
      <c r="K36" s="613">
        <v>0</v>
      </c>
      <c r="L36" s="613">
        <v>0</v>
      </c>
      <c r="N36" s="620">
        <f t="shared" si="0"/>
        <v>0</v>
      </c>
    </row>
    <row r="37" spans="1:14" outlineLevel="1" x14ac:dyDescent="0.25">
      <c r="A37" s="611">
        <v>1518</v>
      </c>
      <c r="B37" s="612" t="s">
        <v>4520</v>
      </c>
      <c r="C37" s="613">
        <v>50000</v>
      </c>
      <c r="D37" s="614" t="s">
        <v>2701</v>
      </c>
      <c r="E37" s="614"/>
      <c r="F37" s="613">
        <v>0</v>
      </c>
      <c r="G37" s="614"/>
      <c r="H37" s="614"/>
      <c r="I37" s="613">
        <v>0</v>
      </c>
      <c r="J37" s="613">
        <v>50000</v>
      </c>
      <c r="K37" s="613">
        <v>0</v>
      </c>
      <c r="L37" s="613">
        <v>50000</v>
      </c>
      <c r="N37" s="620">
        <f t="shared" si="0"/>
        <v>0</v>
      </c>
    </row>
    <row r="38" spans="1:14" outlineLevel="1" x14ac:dyDescent="0.25">
      <c r="A38" s="611">
        <v>1520</v>
      </c>
      <c r="B38" s="612" t="s">
        <v>4521</v>
      </c>
      <c r="C38" s="613">
        <v>1734.16</v>
      </c>
      <c r="D38" s="614" t="s">
        <v>2701</v>
      </c>
      <c r="E38" s="614"/>
      <c r="F38" s="613">
        <v>0</v>
      </c>
      <c r="G38" s="614"/>
      <c r="H38" s="614"/>
      <c r="I38" s="613"/>
      <c r="J38" s="613"/>
      <c r="K38" s="613">
        <v>5823.04</v>
      </c>
      <c r="L38" s="613">
        <v>7557.2</v>
      </c>
      <c r="N38" s="620">
        <f t="shared" si="0"/>
        <v>0</v>
      </c>
    </row>
    <row r="39" spans="1:14" outlineLevel="1" x14ac:dyDescent="0.25">
      <c r="A39" s="611">
        <v>1525</v>
      </c>
      <c r="B39" s="612" t="s">
        <v>4522</v>
      </c>
      <c r="C39" s="613">
        <v>3550</v>
      </c>
      <c r="D39" s="614" t="s">
        <v>2701</v>
      </c>
      <c r="E39" s="614"/>
      <c r="F39" s="613">
        <v>3250</v>
      </c>
      <c r="G39" s="614" t="s">
        <v>2701</v>
      </c>
      <c r="H39" s="614"/>
      <c r="I39" s="613"/>
      <c r="J39" s="613"/>
      <c r="K39" s="613">
        <v>2000</v>
      </c>
      <c r="L39" s="613">
        <v>2300</v>
      </c>
      <c r="N39" s="620">
        <f t="shared" si="0"/>
        <v>3250</v>
      </c>
    </row>
    <row r="40" spans="1:14" outlineLevel="1" x14ac:dyDescent="0.25">
      <c r="A40" s="611">
        <v>1540</v>
      </c>
      <c r="B40" s="612" t="s">
        <v>4523</v>
      </c>
      <c r="C40" s="613">
        <v>88619</v>
      </c>
      <c r="D40" s="614" t="s">
        <v>2701</v>
      </c>
      <c r="E40" s="614"/>
      <c r="F40" s="613">
        <v>195868</v>
      </c>
      <c r="G40" s="614" t="s">
        <v>2701</v>
      </c>
      <c r="H40" s="614"/>
      <c r="I40" s="613">
        <v>152798</v>
      </c>
      <c r="J40" s="613">
        <v>0</v>
      </c>
      <c r="K40" s="613">
        <v>152798</v>
      </c>
      <c r="L40" s="613">
        <v>45549</v>
      </c>
      <c r="N40" s="620">
        <f t="shared" si="0"/>
        <v>195868</v>
      </c>
    </row>
    <row r="41" spans="1:14" outlineLevel="1" x14ac:dyDescent="0.25">
      <c r="A41" s="611">
        <v>1544</v>
      </c>
      <c r="B41" s="612" t="s">
        <v>4524</v>
      </c>
      <c r="C41" s="613"/>
      <c r="D41" s="614"/>
      <c r="E41" s="614"/>
      <c r="F41" s="613">
        <v>0</v>
      </c>
      <c r="G41" s="614"/>
      <c r="H41" s="614"/>
      <c r="I41" s="613"/>
      <c r="J41" s="613"/>
      <c r="K41" s="613">
        <v>0</v>
      </c>
      <c r="L41" s="613">
        <v>0</v>
      </c>
      <c r="N41" s="620">
        <f t="shared" si="0"/>
        <v>0</v>
      </c>
    </row>
    <row r="42" spans="1:14" outlineLevel="1" x14ac:dyDescent="0.25">
      <c r="A42" s="611">
        <v>1548</v>
      </c>
      <c r="B42" s="612" t="s">
        <v>4525</v>
      </c>
      <c r="C42" s="613">
        <v>29241.96</v>
      </c>
      <c r="D42" s="614" t="s">
        <v>2701</v>
      </c>
      <c r="E42" s="614"/>
      <c r="F42" s="613">
        <v>2486.5700000000002</v>
      </c>
      <c r="G42" s="614" t="s">
        <v>2701</v>
      </c>
      <c r="H42" s="614"/>
      <c r="I42" s="613">
        <v>2486.5700000000002</v>
      </c>
      <c r="J42" s="613">
        <v>0</v>
      </c>
      <c r="K42" s="613">
        <v>2486.5700000000002</v>
      </c>
      <c r="L42" s="613">
        <v>29241.96</v>
      </c>
      <c r="N42" s="620">
        <f t="shared" si="0"/>
        <v>2486.5700000000002</v>
      </c>
    </row>
    <row r="43" spans="1:14" outlineLevel="1" x14ac:dyDescent="0.25">
      <c r="A43" s="611">
        <v>1549</v>
      </c>
      <c r="B43" s="612" t="s">
        <v>4526</v>
      </c>
      <c r="C43" s="613">
        <v>190440.14</v>
      </c>
      <c r="D43" s="614" t="s">
        <v>2701</v>
      </c>
      <c r="E43" s="614"/>
      <c r="F43" s="613">
        <v>107487.27</v>
      </c>
      <c r="G43" s="614" t="s">
        <v>2701</v>
      </c>
      <c r="H43" s="614"/>
      <c r="I43" s="613">
        <v>107488.27</v>
      </c>
      <c r="J43" s="613">
        <v>46388.65</v>
      </c>
      <c r="K43" s="613">
        <v>107489.27</v>
      </c>
      <c r="L43" s="613">
        <v>190442.14</v>
      </c>
      <c r="N43" s="620">
        <f t="shared" si="0"/>
        <v>107487.27</v>
      </c>
    </row>
    <row r="44" spans="1:14" outlineLevel="1" x14ac:dyDescent="0.25">
      <c r="A44" s="611">
        <v>1571</v>
      </c>
      <c r="B44" s="612" t="s">
        <v>4527</v>
      </c>
      <c r="C44" s="613"/>
      <c r="D44" s="614"/>
      <c r="E44" s="614"/>
      <c r="F44" s="613">
        <v>4227.62</v>
      </c>
      <c r="G44" s="614" t="s">
        <v>2701</v>
      </c>
      <c r="H44" s="614"/>
      <c r="I44" s="613">
        <v>375.65</v>
      </c>
      <c r="J44" s="613">
        <v>0</v>
      </c>
      <c r="K44" s="613">
        <v>4254.71</v>
      </c>
      <c r="L44" s="613">
        <v>27.09</v>
      </c>
      <c r="N44" s="620">
        <f t="shared" si="0"/>
        <v>4227.62</v>
      </c>
    </row>
    <row r="45" spans="1:14" outlineLevel="1" x14ac:dyDescent="0.25">
      <c r="A45" s="611">
        <v>1574</v>
      </c>
      <c r="B45" s="612" t="s">
        <v>4528</v>
      </c>
      <c r="C45" s="613"/>
      <c r="D45" s="614"/>
      <c r="E45" s="614"/>
      <c r="F45" s="613">
        <v>647950.12</v>
      </c>
      <c r="G45" s="614" t="s">
        <v>2701</v>
      </c>
      <c r="H45" s="614"/>
      <c r="I45" s="613">
        <v>-23118.82</v>
      </c>
      <c r="J45" s="613">
        <v>236.76</v>
      </c>
      <c r="K45" s="613">
        <v>651792.54</v>
      </c>
      <c r="L45" s="613">
        <v>3842.42</v>
      </c>
      <c r="N45" s="620">
        <f t="shared" si="0"/>
        <v>647950.12</v>
      </c>
    </row>
    <row r="46" spans="1:14" outlineLevel="1" x14ac:dyDescent="0.25">
      <c r="A46" s="611">
        <v>1576</v>
      </c>
      <c r="B46" s="612" t="s">
        <v>4529</v>
      </c>
      <c r="C46" s="613"/>
      <c r="D46" s="614"/>
      <c r="E46" s="614"/>
      <c r="F46" s="613">
        <v>1001783.38</v>
      </c>
      <c r="G46" s="614" t="s">
        <v>2701</v>
      </c>
      <c r="H46" s="614"/>
      <c r="I46" s="613">
        <v>58306.080000000002</v>
      </c>
      <c r="J46" s="613">
        <v>972.17</v>
      </c>
      <c r="K46" s="613">
        <v>1012113.41</v>
      </c>
      <c r="L46" s="613">
        <v>10330.030000000001</v>
      </c>
      <c r="N46" s="620">
        <f t="shared" si="0"/>
        <v>1001783.38</v>
      </c>
    </row>
    <row r="47" spans="1:14" outlineLevel="1" x14ac:dyDescent="0.25">
      <c r="A47" s="611">
        <v>1577</v>
      </c>
      <c r="B47" s="612" t="s">
        <v>4530</v>
      </c>
      <c r="C47" s="613"/>
      <c r="D47" s="614"/>
      <c r="E47" s="614"/>
      <c r="F47" s="613">
        <v>44446.17</v>
      </c>
      <c r="G47" s="614" t="s">
        <v>2701</v>
      </c>
      <c r="H47" s="614"/>
      <c r="I47" s="613">
        <v>2780.48</v>
      </c>
      <c r="J47" s="613">
        <v>0</v>
      </c>
      <c r="K47" s="613">
        <v>44446.17</v>
      </c>
      <c r="L47" s="613">
        <v>0</v>
      </c>
      <c r="N47" s="620">
        <f t="shared" si="0"/>
        <v>44446.17</v>
      </c>
    </row>
    <row r="48" spans="1:14" outlineLevel="1" x14ac:dyDescent="0.25">
      <c r="A48" s="611">
        <v>1588</v>
      </c>
      <c r="B48" s="612" t="s">
        <v>4531</v>
      </c>
      <c r="C48" s="613"/>
      <c r="D48" s="614"/>
      <c r="E48" s="614"/>
      <c r="F48" s="613">
        <v>8871.14</v>
      </c>
      <c r="G48" s="614" t="s">
        <v>2701</v>
      </c>
      <c r="H48" s="614"/>
      <c r="I48" s="613">
        <v>2291.65</v>
      </c>
      <c r="J48" s="613">
        <v>0</v>
      </c>
      <c r="K48" s="613">
        <v>8871.14</v>
      </c>
      <c r="L48" s="613">
        <v>0</v>
      </c>
      <c r="N48" s="620">
        <f t="shared" si="0"/>
        <v>8871.14</v>
      </c>
    </row>
    <row r="49" spans="1:14" outlineLevel="1" x14ac:dyDescent="0.25">
      <c r="A49" s="611">
        <v>1590</v>
      </c>
      <c r="B49" s="612" t="s">
        <v>4532</v>
      </c>
      <c r="C49" s="613"/>
      <c r="D49" s="614"/>
      <c r="E49" s="614"/>
      <c r="F49" s="613">
        <v>0</v>
      </c>
      <c r="G49" s="614"/>
      <c r="H49" s="614"/>
      <c r="I49" s="613"/>
      <c r="J49" s="613"/>
      <c r="K49" s="613">
        <v>0</v>
      </c>
      <c r="L49" s="613">
        <v>0</v>
      </c>
      <c r="N49" s="620">
        <f t="shared" si="0"/>
        <v>0</v>
      </c>
    </row>
    <row r="50" spans="1:14" outlineLevel="1" x14ac:dyDescent="0.25">
      <c r="A50" s="611">
        <v>1600</v>
      </c>
      <c r="B50" s="612" t="s">
        <v>4533</v>
      </c>
      <c r="C50" s="613">
        <v>1220438.01</v>
      </c>
      <c r="D50" s="614"/>
      <c r="E50" s="614" t="s">
        <v>2584</v>
      </c>
      <c r="F50" s="613">
        <v>62544.74</v>
      </c>
      <c r="G50" s="614"/>
      <c r="H50" s="614" t="s">
        <v>2584</v>
      </c>
      <c r="I50" s="613">
        <v>807458.41</v>
      </c>
      <c r="J50" s="613">
        <v>234331.84</v>
      </c>
      <c r="K50" s="613">
        <v>10546184.27</v>
      </c>
      <c r="L50" s="613">
        <v>9388291</v>
      </c>
      <c r="N50" s="620">
        <f t="shared" si="0"/>
        <v>-62544.74</v>
      </c>
    </row>
    <row r="51" spans="1:14" outlineLevel="1" x14ac:dyDescent="0.25">
      <c r="A51" s="611">
        <v>1700</v>
      </c>
      <c r="B51" s="612" t="s">
        <v>301</v>
      </c>
      <c r="C51" s="613">
        <v>21211.07</v>
      </c>
      <c r="D51" s="614"/>
      <c r="E51" s="614" t="s">
        <v>2584</v>
      </c>
      <c r="F51" s="613">
        <v>1584.09</v>
      </c>
      <c r="G51" s="614"/>
      <c r="H51" s="614" t="s">
        <v>2584</v>
      </c>
      <c r="I51" s="613">
        <v>0</v>
      </c>
      <c r="J51" s="613">
        <v>1584.09</v>
      </c>
      <c r="K51" s="613">
        <v>21211.07</v>
      </c>
      <c r="L51" s="613">
        <v>1584.09</v>
      </c>
      <c r="N51" s="620">
        <f t="shared" si="0"/>
        <v>-1584.09</v>
      </c>
    </row>
    <row r="52" spans="1:14" outlineLevel="1" x14ac:dyDescent="0.25">
      <c r="A52" s="611">
        <v>1718</v>
      </c>
      <c r="B52" s="612" t="s">
        <v>4534</v>
      </c>
      <c r="C52" s="613">
        <v>50000</v>
      </c>
      <c r="D52" s="614"/>
      <c r="E52" s="614" t="s">
        <v>2584</v>
      </c>
      <c r="F52" s="613">
        <v>0</v>
      </c>
      <c r="G52" s="614"/>
      <c r="H52" s="614"/>
      <c r="I52" s="613"/>
      <c r="J52" s="613"/>
      <c r="K52" s="613">
        <v>50000</v>
      </c>
      <c r="L52" s="613">
        <v>0</v>
      </c>
      <c r="N52" s="620">
        <f t="shared" si="0"/>
        <v>0</v>
      </c>
    </row>
    <row r="53" spans="1:14" outlineLevel="1" x14ac:dyDescent="0.25">
      <c r="A53" s="611">
        <v>1740</v>
      </c>
      <c r="B53" s="612" t="s">
        <v>4535</v>
      </c>
      <c r="C53" s="613">
        <v>249856.51</v>
      </c>
      <c r="D53" s="614"/>
      <c r="E53" s="614" t="s">
        <v>2584</v>
      </c>
      <c r="F53" s="613">
        <v>148226.62</v>
      </c>
      <c r="G53" s="614"/>
      <c r="H53" s="614" t="s">
        <v>2584</v>
      </c>
      <c r="I53" s="613">
        <v>211217.24</v>
      </c>
      <c r="J53" s="613">
        <v>181590.76</v>
      </c>
      <c r="K53" s="613">
        <v>2417887.79</v>
      </c>
      <c r="L53" s="613">
        <v>2316257.9</v>
      </c>
      <c r="N53" s="620">
        <f t="shared" si="0"/>
        <v>-148226.62</v>
      </c>
    </row>
    <row r="54" spans="1:14" outlineLevel="1" x14ac:dyDescent="0.25">
      <c r="A54" s="611">
        <v>1741</v>
      </c>
      <c r="B54" s="612" t="s">
        <v>4536</v>
      </c>
      <c r="C54" s="613">
        <v>89659.33</v>
      </c>
      <c r="D54" s="614"/>
      <c r="E54" s="614" t="s">
        <v>2584</v>
      </c>
      <c r="F54" s="613">
        <v>45632.73</v>
      </c>
      <c r="G54" s="614"/>
      <c r="H54" s="614" t="s">
        <v>2584</v>
      </c>
      <c r="I54" s="613">
        <v>53593.83</v>
      </c>
      <c r="J54" s="613">
        <v>45632.73</v>
      </c>
      <c r="K54" s="613">
        <v>589489.06999999995</v>
      </c>
      <c r="L54" s="613">
        <v>545462.47</v>
      </c>
      <c r="N54" s="620">
        <f t="shared" si="0"/>
        <v>-45632.73</v>
      </c>
    </row>
    <row r="55" spans="1:14" outlineLevel="1" x14ac:dyDescent="0.25">
      <c r="A55" s="611">
        <v>1742</v>
      </c>
      <c r="B55" s="612" t="s">
        <v>4537</v>
      </c>
      <c r="C55" s="613">
        <v>2494.25</v>
      </c>
      <c r="D55" s="614"/>
      <c r="E55" s="614" t="s">
        <v>2584</v>
      </c>
      <c r="F55" s="613">
        <v>6337.65</v>
      </c>
      <c r="G55" s="614"/>
      <c r="H55" s="614" t="s">
        <v>2584</v>
      </c>
      <c r="I55" s="613">
        <v>115274.76</v>
      </c>
      <c r="J55" s="613">
        <v>101850.6</v>
      </c>
      <c r="K55" s="613">
        <v>1275300.75</v>
      </c>
      <c r="L55" s="613">
        <v>1279144.1499999999</v>
      </c>
      <c r="N55" s="620">
        <f t="shared" si="0"/>
        <v>-6337.65</v>
      </c>
    </row>
    <row r="56" spans="1:14" outlineLevel="1" x14ac:dyDescent="0.25">
      <c r="A56" s="611">
        <v>1755</v>
      </c>
      <c r="B56" s="612" t="s">
        <v>4538</v>
      </c>
      <c r="C56" s="613"/>
      <c r="D56" s="614"/>
      <c r="E56" s="614"/>
      <c r="F56" s="613">
        <v>0</v>
      </c>
      <c r="G56" s="614"/>
      <c r="H56" s="614"/>
      <c r="I56" s="613">
        <v>335141.40000000002</v>
      </c>
      <c r="J56" s="613">
        <v>335141.40000000002</v>
      </c>
      <c r="K56" s="613">
        <v>4294985.8899999997</v>
      </c>
      <c r="L56" s="613">
        <v>4294985.8899999997</v>
      </c>
      <c r="N56" s="620">
        <f t="shared" si="0"/>
        <v>0</v>
      </c>
    </row>
    <row r="57" spans="1:14" outlineLevel="1" x14ac:dyDescent="0.25">
      <c r="A57" s="611">
        <v>1759</v>
      </c>
      <c r="B57" s="612" t="s">
        <v>4539</v>
      </c>
      <c r="C57" s="613">
        <v>1749.87</v>
      </c>
      <c r="D57" s="614"/>
      <c r="E57" s="614" t="s">
        <v>2584</v>
      </c>
      <c r="F57" s="613">
        <v>1171.42</v>
      </c>
      <c r="G57" s="614"/>
      <c r="H57" s="614" t="s">
        <v>2584</v>
      </c>
      <c r="I57" s="613">
        <v>115274.76</v>
      </c>
      <c r="J57" s="613">
        <v>115274.76</v>
      </c>
      <c r="K57" s="613">
        <v>1279811.49</v>
      </c>
      <c r="L57" s="613">
        <v>1279233.04</v>
      </c>
      <c r="N57" s="620">
        <f t="shared" si="0"/>
        <v>-1171.42</v>
      </c>
    </row>
    <row r="58" spans="1:14" outlineLevel="1" x14ac:dyDescent="0.25">
      <c r="A58" s="611">
        <v>1774</v>
      </c>
      <c r="B58" s="612" t="s">
        <v>4540</v>
      </c>
      <c r="C58" s="613"/>
      <c r="D58" s="614"/>
      <c r="E58" s="614"/>
      <c r="F58" s="613">
        <v>647950.12</v>
      </c>
      <c r="G58" s="614"/>
      <c r="H58" s="614" t="s">
        <v>2584</v>
      </c>
      <c r="I58" s="613">
        <v>236.76</v>
      </c>
      <c r="J58" s="613">
        <v>-23118.82</v>
      </c>
      <c r="K58" s="613">
        <v>3842.42</v>
      </c>
      <c r="L58" s="613">
        <v>651792.54</v>
      </c>
      <c r="N58" s="620">
        <f t="shared" si="0"/>
        <v>-647950.12</v>
      </c>
    </row>
    <row r="59" spans="1:14" outlineLevel="1" x14ac:dyDescent="0.25">
      <c r="A59" s="611">
        <v>1776</v>
      </c>
      <c r="B59" s="612" t="s">
        <v>4541</v>
      </c>
      <c r="C59" s="613"/>
      <c r="D59" s="614"/>
      <c r="E59" s="614"/>
      <c r="F59" s="613">
        <v>1961339.55</v>
      </c>
      <c r="G59" s="614"/>
      <c r="H59" s="614" t="s">
        <v>2584</v>
      </c>
      <c r="I59" s="613">
        <v>4915.1499999999996</v>
      </c>
      <c r="J59" s="613">
        <v>163552.73000000001</v>
      </c>
      <c r="K59" s="613">
        <v>57501.03</v>
      </c>
      <c r="L59" s="613">
        <v>2018840.58</v>
      </c>
      <c r="N59" s="620">
        <f t="shared" si="0"/>
        <v>-1961339.55</v>
      </c>
    </row>
    <row r="60" spans="1:14" outlineLevel="1" x14ac:dyDescent="0.25">
      <c r="A60" s="611">
        <v>1780</v>
      </c>
      <c r="B60" s="612" t="s">
        <v>4542</v>
      </c>
      <c r="C60" s="613"/>
      <c r="D60" s="614"/>
      <c r="E60" s="614"/>
      <c r="F60" s="613">
        <v>835826.86</v>
      </c>
      <c r="G60" s="614" t="s">
        <v>2701</v>
      </c>
      <c r="H60" s="614"/>
      <c r="I60" s="613">
        <v>92937.75</v>
      </c>
      <c r="J60" s="613">
        <v>11994.18</v>
      </c>
      <c r="K60" s="613">
        <v>847821.04</v>
      </c>
      <c r="L60" s="613">
        <v>11994.18</v>
      </c>
      <c r="N60" s="620">
        <f t="shared" si="0"/>
        <v>835826.86</v>
      </c>
    </row>
    <row r="61" spans="1:14" outlineLevel="1" x14ac:dyDescent="0.25">
      <c r="A61" s="611">
        <v>1781</v>
      </c>
      <c r="B61" s="612" t="s">
        <v>4543</v>
      </c>
      <c r="C61" s="613"/>
      <c r="D61" s="614"/>
      <c r="E61" s="614"/>
      <c r="F61" s="613">
        <v>110118</v>
      </c>
      <c r="G61" s="614" t="s">
        <v>2701</v>
      </c>
      <c r="H61" s="614"/>
      <c r="I61" s="613"/>
      <c r="J61" s="613"/>
      <c r="K61" s="613">
        <v>110213</v>
      </c>
      <c r="L61" s="613">
        <v>95</v>
      </c>
      <c r="N61" s="620">
        <f t="shared" si="0"/>
        <v>110118</v>
      </c>
    </row>
    <row r="62" spans="1:14" outlineLevel="1" x14ac:dyDescent="0.25">
      <c r="A62" s="611">
        <v>1787</v>
      </c>
      <c r="B62" s="612" t="s">
        <v>4544</v>
      </c>
      <c r="C62" s="613"/>
      <c r="D62" s="614"/>
      <c r="E62" s="614"/>
      <c r="F62" s="613">
        <v>44446.17</v>
      </c>
      <c r="G62" s="614"/>
      <c r="H62" s="614" t="s">
        <v>2584</v>
      </c>
      <c r="I62" s="613">
        <v>0</v>
      </c>
      <c r="J62" s="613">
        <v>2780.48</v>
      </c>
      <c r="K62" s="613">
        <v>0</v>
      </c>
      <c r="L62" s="613">
        <v>44446.17</v>
      </c>
      <c r="N62" s="620">
        <f t="shared" si="0"/>
        <v>-44446.17</v>
      </c>
    </row>
    <row r="63" spans="1:14" outlineLevel="1" x14ac:dyDescent="0.25">
      <c r="A63" s="611">
        <v>1789</v>
      </c>
      <c r="B63" s="612" t="s">
        <v>4545</v>
      </c>
      <c r="C63" s="613"/>
      <c r="D63" s="614"/>
      <c r="E63" s="614"/>
      <c r="F63" s="613">
        <v>28276.080000000002</v>
      </c>
      <c r="G63" s="614"/>
      <c r="H63" s="614" t="s">
        <v>2584</v>
      </c>
      <c r="I63" s="613">
        <v>11994.18</v>
      </c>
      <c r="J63" s="613">
        <v>40270.26</v>
      </c>
      <c r="K63" s="613">
        <v>11994.18</v>
      </c>
      <c r="L63" s="613">
        <v>40270.26</v>
      </c>
      <c r="N63" s="620">
        <f t="shared" si="0"/>
        <v>-28276.080000000002</v>
      </c>
    </row>
    <row r="64" spans="1:14" outlineLevel="1" x14ac:dyDescent="0.25">
      <c r="A64" s="611">
        <v>1790</v>
      </c>
      <c r="B64" s="612" t="s">
        <v>4546</v>
      </c>
      <c r="C64" s="613">
        <v>65679.12</v>
      </c>
      <c r="D64" s="614"/>
      <c r="E64" s="614" t="s">
        <v>2584</v>
      </c>
      <c r="F64" s="613">
        <v>0</v>
      </c>
      <c r="G64" s="614"/>
      <c r="H64" s="614"/>
      <c r="I64" s="613"/>
      <c r="J64" s="613"/>
      <c r="K64" s="613">
        <v>73269.27</v>
      </c>
      <c r="L64" s="613">
        <v>7590.15</v>
      </c>
      <c r="N64" s="620">
        <f t="shared" si="0"/>
        <v>0</v>
      </c>
    </row>
    <row r="65" spans="1:14" outlineLevel="1" x14ac:dyDescent="0.25">
      <c r="A65" s="611">
        <v>1791</v>
      </c>
      <c r="B65" s="612" t="s">
        <v>4547</v>
      </c>
      <c r="C65" s="613">
        <v>1513.82</v>
      </c>
      <c r="D65" s="614" t="s">
        <v>2701</v>
      </c>
      <c r="E65" s="614"/>
      <c r="F65" s="613">
        <v>0</v>
      </c>
      <c r="G65" s="614"/>
      <c r="H65" s="614"/>
      <c r="I65" s="613"/>
      <c r="J65" s="613"/>
      <c r="K65" s="613">
        <v>0</v>
      </c>
      <c r="L65" s="613">
        <v>1513.82</v>
      </c>
      <c r="N65" s="620">
        <f t="shared" si="0"/>
        <v>0</v>
      </c>
    </row>
    <row r="66" spans="1:14" outlineLevel="1" x14ac:dyDescent="0.25">
      <c r="A66" s="611">
        <v>2102</v>
      </c>
      <c r="B66" s="612" t="s">
        <v>4548</v>
      </c>
      <c r="C66" s="613"/>
      <c r="D66" s="614"/>
      <c r="E66" s="614"/>
      <c r="F66" s="613">
        <v>0</v>
      </c>
      <c r="G66" s="614"/>
      <c r="H66" s="614"/>
      <c r="I66" s="613"/>
      <c r="J66" s="613"/>
      <c r="K66" s="613">
        <v>0</v>
      </c>
      <c r="L66" s="613">
        <v>0</v>
      </c>
      <c r="N66" s="620">
        <f t="shared" si="0"/>
        <v>0</v>
      </c>
    </row>
    <row r="67" spans="1:14" outlineLevel="1" x14ac:dyDescent="0.25">
      <c r="A67" s="611">
        <v>2110</v>
      </c>
      <c r="B67" s="612" t="s">
        <v>4549</v>
      </c>
      <c r="C67" s="613"/>
      <c r="D67" s="614"/>
      <c r="E67" s="614"/>
      <c r="F67" s="613">
        <v>176.21</v>
      </c>
      <c r="G67" s="614" t="s">
        <v>2701</v>
      </c>
      <c r="H67" s="614"/>
      <c r="I67" s="613"/>
      <c r="J67" s="613"/>
      <c r="K67" s="613">
        <v>176.21</v>
      </c>
      <c r="L67" s="613">
        <v>0</v>
      </c>
      <c r="N67" s="620">
        <f t="shared" si="0"/>
        <v>176.21</v>
      </c>
    </row>
    <row r="68" spans="1:14" outlineLevel="1" x14ac:dyDescent="0.25">
      <c r="A68" s="611">
        <v>2120</v>
      </c>
      <c r="B68" s="612" t="s">
        <v>4550</v>
      </c>
      <c r="C68" s="613"/>
      <c r="D68" s="614"/>
      <c r="E68" s="614"/>
      <c r="F68" s="613">
        <v>169.27</v>
      </c>
      <c r="G68" s="614" t="s">
        <v>2701</v>
      </c>
      <c r="H68" s="614"/>
      <c r="I68" s="613">
        <v>120.44</v>
      </c>
      <c r="J68" s="613">
        <v>0</v>
      </c>
      <c r="K68" s="613">
        <v>169.27</v>
      </c>
      <c r="L68" s="613">
        <v>0</v>
      </c>
      <c r="N68" s="620">
        <f t="shared" ref="N68:N131" si="1">IF(G68="S",F68,-F68)</f>
        <v>169.27</v>
      </c>
    </row>
    <row r="69" spans="1:14" outlineLevel="1" x14ac:dyDescent="0.25">
      <c r="A69" s="611">
        <v>2146</v>
      </c>
      <c r="B69" s="612" t="s">
        <v>4551</v>
      </c>
      <c r="C69" s="613"/>
      <c r="D69" s="614"/>
      <c r="E69" s="614"/>
      <c r="F69" s="613">
        <v>3502</v>
      </c>
      <c r="G69" s="614" t="s">
        <v>2701</v>
      </c>
      <c r="H69" s="614"/>
      <c r="I69" s="613">
        <v>3502</v>
      </c>
      <c r="J69" s="613">
        <v>0</v>
      </c>
      <c r="K69" s="613">
        <v>3502</v>
      </c>
      <c r="L69" s="613">
        <v>0</v>
      </c>
      <c r="N69" s="620">
        <f t="shared" si="1"/>
        <v>3502</v>
      </c>
    </row>
    <row r="70" spans="1:14" outlineLevel="1" x14ac:dyDescent="0.25">
      <c r="A70" s="611">
        <v>2150</v>
      </c>
      <c r="B70" s="612" t="s">
        <v>4552</v>
      </c>
      <c r="C70" s="613"/>
      <c r="D70" s="614"/>
      <c r="E70" s="614"/>
      <c r="F70" s="613">
        <v>51.15</v>
      </c>
      <c r="G70" s="614" t="s">
        <v>2701</v>
      </c>
      <c r="H70" s="614"/>
      <c r="I70" s="613"/>
      <c r="J70" s="613"/>
      <c r="K70" s="613">
        <v>51.15</v>
      </c>
      <c r="L70" s="613">
        <v>0</v>
      </c>
      <c r="N70" s="620">
        <f t="shared" si="1"/>
        <v>51.15</v>
      </c>
    </row>
    <row r="71" spans="1:14" outlineLevel="1" x14ac:dyDescent="0.25">
      <c r="A71" s="611">
        <v>2200</v>
      </c>
      <c r="B71" s="612" t="s">
        <v>122</v>
      </c>
      <c r="C71" s="613"/>
      <c r="D71" s="614"/>
      <c r="E71" s="614"/>
      <c r="F71" s="613">
        <v>85286</v>
      </c>
      <c r="G71" s="614" t="s">
        <v>2701</v>
      </c>
      <c r="H71" s="614"/>
      <c r="I71" s="613">
        <v>46793</v>
      </c>
      <c r="J71" s="613">
        <v>101886</v>
      </c>
      <c r="K71" s="613">
        <v>187172</v>
      </c>
      <c r="L71" s="613">
        <v>101886</v>
      </c>
      <c r="N71" s="620">
        <f t="shared" si="1"/>
        <v>85286</v>
      </c>
    </row>
    <row r="72" spans="1:14" outlineLevel="1" x14ac:dyDescent="0.25">
      <c r="A72" s="611">
        <v>2204</v>
      </c>
      <c r="B72" s="612" t="s">
        <v>4553</v>
      </c>
      <c r="C72" s="613"/>
      <c r="D72" s="614"/>
      <c r="E72" s="614"/>
      <c r="F72" s="613">
        <v>2</v>
      </c>
      <c r="G72" s="614"/>
      <c r="H72" s="614" t="s">
        <v>2584</v>
      </c>
      <c r="I72" s="613">
        <v>0</v>
      </c>
      <c r="J72" s="613">
        <v>1</v>
      </c>
      <c r="K72" s="613">
        <v>0</v>
      </c>
      <c r="L72" s="613">
        <v>2</v>
      </c>
      <c r="N72" s="620">
        <f t="shared" si="1"/>
        <v>-2</v>
      </c>
    </row>
    <row r="73" spans="1:14" outlineLevel="1" x14ac:dyDescent="0.25">
      <c r="A73" s="611">
        <v>2208</v>
      </c>
      <c r="B73" s="612" t="s">
        <v>86</v>
      </c>
      <c r="C73" s="613"/>
      <c r="D73" s="614"/>
      <c r="E73" s="614"/>
      <c r="F73" s="613">
        <v>4690.7299999999996</v>
      </c>
      <c r="G73" s="614" t="s">
        <v>2701</v>
      </c>
      <c r="H73" s="614"/>
      <c r="I73" s="613">
        <v>2573</v>
      </c>
      <c r="J73" s="613">
        <v>5601.27</v>
      </c>
      <c r="K73" s="613">
        <v>10292</v>
      </c>
      <c r="L73" s="613">
        <v>5601.27</v>
      </c>
      <c r="N73" s="620">
        <f t="shared" si="1"/>
        <v>4690.7299999999996</v>
      </c>
    </row>
    <row r="74" spans="1:14" outlineLevel="1" x14ac:dyDescent="0.25">
      <c r="A74" s="611">
        <v>2213</v>
      </c>
      <c r="B74" s="612" t="s">
        <v>4554</v>
      </c>
      <c r="C74" s="613"/>
      <c r="D74" s="614"/>
      <c r="E74" s="614"/>
      <c r="F74" s="613">
        <v>327.13</v>
      </c>
      <c r="G74" s="614" t="s">
        <v>2701</v>
      </c>
      <c r="H74" s="614"/>
      <c r="I74" s="613">
        <v>2.13</v>
      </c>
      <c r="J74" s="613">
        <v>0</v>
      </c>
      <c r="K74" s="613">
        <v>327.13</v>
      </c>
      <c r="L74" s="613">
        <v>0</v>
      </c>
      <c r="N74" s="620">
        <f t="shared" si="1"/>
        <v>327.13</v>
      </c>
    </row>
    <row r="75" spans="1:14" outlineLevel="1" x14ac:dyDescent="0.25">
      <c r="A75" s="611">
        <v>2216</v>
      </c>
      <c r="B75" s="612" t="s">
        <v>4555</v>
      </c>
      <c r="C75" s="613"/>
      <c r="D75" s="614"/>
      <c r="E75" s="614"/>
      <c r="F75" s="613">
        <v>17.98</v>
      </c>
      <c r="G75" s="614" t="s">
        <v>2701</v>
      </c>
      <c r="H75" s="614"/>
      <c r="I75" s="613">
        <v>0.11</v>
      </c>
      <c r="J75" s="613">
        <v>0</v>
      </c>
      <c r="K75" s="613">
        <v>17.98</v>
      </c>
      <c r="L75" s="613">
        <v>0</v>
      </c>
      <c r="N75" s="620">
        <f t="shared" si="1"/>
        <v>17.98</v>
      </c>
    </row>
    <row r="76" spans="1:14" outlineLevel="1" x14ac:dyDescent="0.25">
      <c r="A76" s="611">
        <v>2250</v>
      </c>
      <c r="B76" s="612" t="s">
        <v>4556</v>
      </c>
      <c r="C76" s="613"/>
      <c r="D76" s="614"/>
      <c r="E76" s="614"/>
      <c r="F76" s="613">
        <v>149460</v>
      </c>
      <c r="G76" s="614" t="s">
        <v>2701</v>
      </c>
      <c r="H76" s="614"/>
      <c r="I76" s="613">
        <v>149460</v>
      </c>
      <c r="J76" s="613">
        <v>0</v>
      </c>
      <c r="K76" s="613">
        <v>149460</v>
      </c>
      <c r="L76" s="613">
        <v>0</v>
      </c>
      <c r="N76" s="620">
        <f t="shared" si="1"/>
        <v>149460</v>
      </c>
    </row>
    <row r="77" spans="1:14" outlineLevel="1" x14ac:dyDescent="0.25">
      <c r="A77" s="611">
        <v>2281</v>
      </c>
      <c r="B77" s="612" t="s">
        <v>4557</v>
      </c>
      <c r="C77" s="613"/>
      <c r="D77" s="614"/>
      <c r="E77" s="614"/>
      <c r="F77" s="613">
        <v>0.84</v>
      </c>
      <c r="G77" s="614" t="s">
        <v>2701</v>
      </c>
      <c r="H77" s="614"/>
      <c r="I77" s="613"/>
      <c r="J77" s="613"/>
      <c r="K77" s="613">
        <v>0.84</v>
      </c>
      <c r="L77" s="613">
        <v>0</v>
      </c>
      <c r="N77" s="620">
        <f t="shared" si="1"/>
        <v>0.84</v>
      </c>
    </row>
    <row r="78" spans="1:14" outlineLevel="1" x14ac:dyDescent="0.25">
      <c r="A78" s="611">
        <v>2300</v>
      </c>
      <c r="B78" s="612" t="s">
        <v>2495</v>
      </c>
      <c r="C78" s="613"/>
      <c r="D78" s="614"/>
      <c r="E78" s="614"/>
      <c r="F78" s="613">
        <v>67997.820000000007</v>
      </c>
      <c r="G78" s="614" t="s">
        <v>2701</v>
      </c>
      <c r="H78" s="614"/>
      <c r="I78" s="613">
        <v>58178.68</v>
      </c>
      <c r="J78" s="613">
        <v>0</v>
      </c>
      <c r="K78" s="613">
        <v>67997.820000000007</v>
      </c>
      <c r="L78" s="613">
        <v>0</v>
      </c>
      <c r="N78" s="620">
        <f t="shared" si="1"/>
        <v>67997.820000000007</v>
      </c>
    </row>
    <row r="79" spans="1:14" outlineLevel="1" x14ac:dyDescent="0.25">
      <c r="A79" s="611">
        <v>2310</v>
      </c>
      <c r="B79" s="612" t="s">
        <v>4558</v>
      </c>
      <c r="C79" s="613"/>
      <c r="D79" s="614"/>
      <c r="E79" s="614"/>
      <c r="F79" s="613">
        <v>11563</v>
      </c>
      <c r="G79" s="614" t="s">
        <v>2701</v>
      </c>
      <c r="H79" s="614"/>
      <c r="I79" s="613"/>
      <c r="J79" s="613"/>
      <c r="K79" s="613">
        <v>11563</v>
      </c>
      <c r="L79" s="613">
        <v>0</v>
      </c>
      <c r="N79" s="620">
        <f t="shared" si="1"/>
        <v>11563</v>
      </c>
    </row>
    <row r="80" spans="1:14" outlineLevel="1" x14ac:dyDescent="0.25">
      <c r="A80" s="611">
        <v>2312</v>
      </c>
      <c r="B80" s="612" t="s">
        <v>4559</v>
      </c>
      <c r="C80" s="613"/>
      <c r="D80" s="614"/>
      <c r="E80" s="614"/>
      <c r="F80" s="613">
        <v>0</v>
      </c>
      <c r="G80" s="614"/>
      <c r="H80" s="614"/>
      <c r="I80" s="613"/>
      <c r="J80" s="613"/>
      <c r="K80" s="613">
        <v>0</v>
      </c>
      <c r="L80" s="613">
        <v>0</v>
      </c>
      <c r="N80" s="620">
        <f t="shared" si="1"/>
        <v>0</v>
      </c>
    </row>
    <row r="81" spans="1:14" outlineLevel="1" x14ac:dyDescent="0.25">
      <c r="A81" s="611">
        <v>2315</v>
      </c>
      <c r="B81" s="612" t="s">
        <v>4560</v>
      </c>
      <c r="C81" s="613"/>
      <c r="D81" s="614"/>
      <c r="E81" s="614"/>
      <c r="F81" s="613">
        <v>19289</v>
      </c>
      <c r="G81" s="614" t="s">
        <v>2701</v>
      </c>
      <c r="H81" s="614"/>
      <c r="I81" s="613"/>
      <c r="J81" s="613"/>
      <c r="K81" s="613">
        <v>19289</v>
      </c>
      <c r="L81" s="613">
        <v>0</v>
      </c>
      <c r="N81" s="620">
        <f t="shared" si="1"/>
        <v>19289</v>
      </c>
    </row>
    <row r="82" spans="1:14" outlineLevel="1" x14ac:dyDescent="0.25">
      <c r="A82" s="611">
        <v>2317</v>
      </c>
      <c r="B82" s="612" t="s">
        <v>4561</v>
      </c>
      <c r="C82" s="613"/>
      <c r="D82" s="614"/>
      <c r="E82" s="614"/>
      <c r="F82" s="613">
        <v>31400</v>
      </c>
      <c r="G82" s="614" t="s">
        <v>2701</v>
      </c>
      <c r="H82" s="614"/>
      <c r="I82" s="613"/>
      <c r="J82" s="613"/>
      <c r="K82" s="613">
        <v>31400</v>
      </c>
      <c r="L82" s="613">
        <v>0</v>
      </c>
      <c r="N82" s="620">
        <f t="shared" si="1"/>
        <v>31400</v>
      </c>
    </row>
    <row r="83" spans="1:14" outlineLevel="1" x14ac:dyDescent="0.25">
      <c r="A83" s="611">
        <v>2325</v>
      </c>
      <c r="B83" s="612" t="s">
        <v>4562</v>
      </c>
      <c r="C83" s="613"/>
      <c r="D83" s="614"/>
      <c r="E83" s="614"/>
      <c r="F83" s="613">
        <v>2774.9</v>
      </c>
      <c r="G83" s="614" t="s">
        <v>2701</v>
      </c>
      <c r="H83" s="614"/>
      <c r="I83" s="613"/>
      <c r="J83" s="613"/>
      <c r="K83" s="613">
        <v>2774.9</v>
      </c>
      <c r="L83" s="613">
        <v>0</v>
      </c>
      <c r="N83" s="620">
        <f t="shared" si="1"/>
        <v>2774.9</v>
      </c>
    </row>
    <row r="84" spans="1:14" outlineLevel="1" x14ac:dyDescent="0.25">
      <c r="A84" s="611">
        <v>2350</v>
      </c>
      <c r="B84" s="612" t="s">
        <v>4563</v>
      </c>
      <c r="C84" s="613"/>
      <c r="D84" s="614"/>
      <c r="E84" s="614"/>
      <c r="F84" s="613">
        <v>4452.6499999999996</v>
      </c>
      <c r="G84" s="614" t="s">
        <v>2701</v>
      </c>
      <c r="H84" s="614"/>
      <c r="I84" s="613">
        <v>1428.5</v>
      </c>
      <c r="J84" s="613">
        <v>0</v>
      </c>
      <c r="K84" s="613">
        <v>4452.6499999999996</v>
      </c>
      <c r="L84" s="613">
        <v>0</v>
      </c>
      <c r="N84" s="620">
        <f t="shared" si="1"/>
        <v>4452.6499999999996</v>
      </c>
    </row>
    <row r="85" spans="1:14" outlineLevel="1" x14ac:dyDescent="0.25">
      <c r="A85" s="611">
        <v>2383</v>
      </c>
      <c r="B85" s="612" t="s">
        <v>4564</v>
      </c>
      <c r="C85" s="613"/>
      <c r="D85" s="614"/>
      <c r="E85" s="614"/>
      <c r="F85" s="613">
        <v>406</v>
      </c>
      <c r="G85" s="614" t="s">
        <v>2701</v>
      </c>
      <c r="H85" s="614"/>
      <c r="I85" s="613"/>
      <c r="J85" s="613"/>
      <c r="K85" s="613">
        <v>406</v>
      </c>
      <c r="L85" s="613">
        <v>0</v>
      </c>
      <c r="N85" s="620">
        <f t="shared" si="1"/>
        <v>406</v>
      </c>
    </row>
    <row r="86" spans="1:14" outlineLevel="1" x14ac:dyDescent="0.25">
      <c r="A86" s="611">
        <v>2406</v>
      </c>
      <c r="B86" s="612" t="s">
        <v>4565</v>
      </c>
      <c r="C86" s="613"/>
      <c r="D86" s="614"/>
      <c r="E86" s="614"/>
      <c r="F86" s="613">
        <v>90.78</v>
      </c>
      <c r="G86" s="614" t="s">
        <v>2701</v>
      </c>
      <c r="H86" s="614"/>
      <c r="I86" s="613"/>
      <c r="J86" s="613"/>
      <c r="K86" s="613">
        <v>90.78</v>
      </c>
      <c r="L86" s="613">
        <v>0</v>
      </c>
      <c r="N86" s="620">
        <f t="shared" si="1"/>
        <v>90.78</v>
      </c>
    </row>
    <row r="87" spans="1:14" outlineLevel="1" x14ac:dyDescent="0.25">
      <c r="A87" s="611">
        <v>2450</v>
      </c>
      <c r="B87" s="612" t="s">
        <v>4566</v>
      </c>
      <c r="C87" s="613"/>
      <c r="D87" s="614"/>
      <c r="E87" s="614"/>
      <c r="F87" s="613">
        <v>0</v>
      </c>
      <c r="G87" s="614"/>
      <c r="H87" s="614"/>
      <c r="I87" s="613"/>
      <c r="J87" s="613"/>
      <c r="K87" s="613">
        <v>0</v>
      </c>
      <c r="L87" s="613">
        <v>0</v>
      </c>
      <c r="N87" s="620">
        <f t="shared" si="1"/>
        <v>0</v>
      </c>
    </row>
    <row r="88" spans="1:14" outlineLevel="1" x14ac:dyDescent="0.25">
      <c r="A88" s="611">
        <v>2650</v>
      </c>
      <c r="B88" s="612" t="s">
        <v>1145</v>
      </c>
      <c r="C88" s="613"/>
      <c r="D88" s="614"/>
      <c r="E88" s="614"/>
      <c r="F88" s="613">
        <v>2208.5</v>
      </c>
      <c r="G88" s="614"/>
      <c r="H88" s="614" t="s">
        <v>2584</v>
      </c>
      <c r="I88" s="613">
        <v>0</v>
      </c>
      <c r="J88" s="613">
        <v>2.2400000000000002</v>
      </c>
      <c r="K88" s="613">
        <v>0</v>
      </c>
      <c r="L88" s="613">
        <v>2208.5</v>
      </c>
      <c r="N88" s="620">
        <f t="shared" si="1"/>
        <v>-2208.5</v>
      </c>
    </row>
    <row r="89" spans="1:14" outlineLevel="1" x14ac:dyDescent="0.25">
      <c r="A89" s="611">
        <v>2658</v>
      </c>
      <c r="B89" s="612" t="s">
        <v>4567</v>
      </c>
      <c r="C89" s="613"/>
      <c r="D89" s="614"/>
      <c r="E89" s="614"/>
      <c r="F89" s="613">
        <v>0</v>
      </c>
      <c r="G89" s="614"/>
      <c r="H89" s="614"/>
      <c r="I89" s="613"/>
      <c r="J89" s="613"/>
      <c r="K89" s="613">
        <v>0</v>
      </c>
      <c r="L89" s="613">
        <v>0</v>
      </c>
      <c r="N89" s="620">
        <f t="shared" si="1"/>
        <v>0</v>
      </c>
    </row>
    <row r="90" spans="1:14" outlineLevel="1" x14ac:dyDescent="0.25">
      <c r="A90" s="611">
        <v>2700</v>
      </c>
      <c r="B90" s="612" t="s">
        <v>4568</v>
      </c>
      <c r="C90" s="613"/>
      <c r="D90" s="614"/>
      <c r="E90" s="614"/>
      <c r="F90" s="613">
        <v>2442.88</v>
      </c>
      <c r="G90" s="614"/>
      <c r="H90" s="614" t="s">
        <v>2584</v>
      </c>
      <c r="I90" s="613"/>
      <c r="J90" s="613"/>
      <c r="K90" s="613">
        <v>10</v>
      </c>
      <c r="L90" s="613">
        <v>2452.88</v>
      </c>
      <c r="N90" s="620">
        <f t="shared" si="1"/>
        <v>-2442.88</v>
      </c>
    </row>
    <row r="91" spans="1:14" outlineLevel="1" x14ac:dyDescent="0.25">
      <c r="A91" s="611">
        <v>2715</v>
      </c>
      <c r="B91" s="612" t="s">
        <v>4569</v>
      </c>
      <c r="C91" s="613"/>
      <c r="D91" s="614"/>
      <c r="E91" s="614"/>
      <c r="F91" s="613">
        <v>5190</v>
      </c>
      <c r="G91" s="614"/>
      <c r="H91" s="614" t="s">
        <v>2584</v>
      </c>
      <c r="I91" s="613"/>
      <c r="J91" s="613"/>
      <c r="K91" s="613">
        <v>0</v>
      </c>
      <c r="L91" s="613">
        <v>5190</v>
      </c>
      <c r="N91" s="620">
        <f t="shared" si="1"/>
        <v>-5190</v>
      </c>
    </row>
    <row r="92" spans="1:14" outlineLevel="1" x14ac:dyDescent="0.25">
      <c r="A92" s="611">
        <v>2730</v>
      </c>
      <c r="B92" s="612" t="s">
        <v>4739</v>
      </c>
      <c r="C92" s="613"/>
      <c r="D92" s="614"/>
      <c r="E92" s="614"/>
      <c r="F92" s="613">
        <v>5543</v>
      </c>
      <c r="G92" s="614"/>
      <c r="H92" s="614" t="s">
        <v>2584</v>
      </c>
      <c r="I92" s="613">
        <v>0</v>
      </c>
      <c r="J92" s="613">
        <v>5543</v>
      </c>
      <c r="K92" s="613">
        <v>0</v>
      </c>
      <c r="L92" s="613">
        <v>5543</v>
      </c>
      <c r="N92" s="620">
        <f t="shared" si="1"/>
        <v>-5543</v>
      </c>
    </row>
    <row r="93" spans="1:14" outlineLevel="1" x14ac:dyDescent="0.25">
      <c r="A93" s="611">
        <v>2731</v>
      </c>
      <c r="B93" s="612" t="s">
        <v>4570</v>
      </c>
      <c r="C93" s="613"/>
      <c r="D93" s="614"/>
      <c r="E93" s="614"/>
      <c r="F93" s="613">
        <v>0</v>
      </c>
      <c r="G93" s="614"/>
      <c r="H93" s="614"/>
      <c r="I93" s="613"/>
      <c r="J93" s="613"/>
      <c r="K93" s="613">
        <v>0</v>
      </c>
      <c r="L93" s="613">
        <v>0</v>
      </c>
      <c r="N93" s="620">
        <f t="shared" si="1"/>
        <v>0</v>
      </c>
    </row>
    <row r="94" spans="1:14" outlineLevel="1" x14ac:dyDescent="0.25">
      <c r="A94" s="611">
        <v>2735</v>
      </c>
      <c r="B94" s="612" t="s">
        <v>4740</v>
      </c>
      <c r="C94" s="613"/>
      <c r="D94" s="614"/>
      <c r="E94" s="614"/>
      <c r="F94" s="613">
        <v>1815</v>
      </c>
      <c r="G94" s="614"/>
      <c r="H94" s="614" t="s">
        <v>2584</v>
      </c>
      <c r="I94" s="613">
        <v>0</v>
      </c>
      <c r="J94" s="613">
        <v>1815</v>
      </c>
      <c r="K94" s="613">
        <v>0</v>
      </c>
      <c r="L94" s="613">
        <v>1815</v>
      </c>
      <c r="N94" s="620">
        <f t="shared" si="1"/>
        <v>-1815</v>
      </c>
    </row>
    <row r="95" spans="1:14" outlineLevel="1" x14ac:dyDescent="0.25">
      <c r="A95" s="611">
        <v>2742</v>
      </c>
      <c r="B95" s="612" t="s">
        <v>4571</v>
      </c>
      <c r="C95" s="613"/>
      <c r="D95" s="614"/>
      <c r="E95" s="614"/>
      <c r="F95" s="613">
        <v>2937.27</v>
      </c>
      <c r="G95" s="614"/>
      <c r="H95" s="614" t="s">
        <v>2584</v>
      </c>
      <c r="I95" s="613"/>
      <c r="J95" s="613"/>
      <c r="K95" s="613">
        <v>0</v>
      </c>
      <c r="L95" s="613">
        <v>2937.27</v>
      </c>
      <c r="N95" s="620">
        <f t="shared" si="1"/>
        <v>-2937.27</v>
      </c>
    </row>
    <row r="96" spans="1:14" outlineLevel="1" x14ac:dyDescent="0.25">
      <c r="A96" s="611">
        <v>2749</v>
      </c>
      <c r="B96" s="612" t="s">
        <v>4572</v>
      </c>
      <c r="C96" s="613"/>
      <c r="D96" s="614"/>
      <c r="E96" s="614"/>
      <c r="F96" s="613">
        <v>5823.04</v>
      </c>
      <c r="G96" s="614"/>
      <c r="H96" s="614" t="s">
        <v>2584</v>
      </c>
      <c r="I96" s="613"/>
      <c r="J96" s="613"/>
      <c r="K96" s="613">
        <v>0</v>
      </c>
      <c r="L96" s="613">
        <v>5823.04</v>
      </c>
      <c r="N96" s="620">
        <f t="shared" si="1"/>
        <v>-5823.04</v>
      </c>
    </row>
    <row r="97" spans="1:14" outlineLevel="1" x14ac:dyDescent="0.25">
      <c r="A97" s="611">
        <v>3030</v>
      </c>
      <c r="B97" s="612" t="s">
        <v>4573</v>
      </c>
      <c r="C97" s="613"/>
      <c r="D97" s="614"/>
      <c r="E97" s="614"/>
      <c r="F97" s="613">
        <v>28749.05</v>
      </c>
      <c r="G97" s="614" t="s">
        <v>2701</v>
      </c>
      <c r="H97" s="614"/>
      <c r="I97" s="613"/>
      <c r="J97" s="613"/>
      <c r="K97" s="613">
        <v>28749.05</v>
      </c>
      <c r="L97" s="613">
        <v>0</v>
      </c>
      <c r="N97" s="620">
        <f t="shared" si="1"/>
        <v>28749.05</v>
      </c>
    </row>
    <row r="98" spans="1:14" outlineLevel="1" x14ac:dyDescent="0.25">
      <c r="A98" s="611">
        <v>3101</v>
      </c>
      <c r="B98" s="612" t="s">
        <v>4574</v>
      </c>
      <c r="C98" s="613"/>
      <c r="D98" s="614"/>
      <c r="E98" s="614"/>
      <c r="F98" s="613">
        <v>11711.5</v>
      </c>
      <c r="G98" s="614" t="s">
        <v>2701</v>
      </c>
      <c r="H98" s="614"/>
      <c r="I98" s="613">
        <v>1015.5</v>
      </c>
      <c r="J98" s="613">
        <v>0</v>
      </c>
      <c r="K98" s="613">
        <v>11711.5</v>
      </c>
      <c r="L98" s="613">
        <v>0</v>
      </c>
      <c r="N98" s="620">
        <f t="shared" si="1"/>
        <v>11711.5</v>
      </c>
    </row>
    <row r="99" spans="1:14" outlineLevel="1" x14ac:dyDescent="0.25">
      <c r="A99" s="611">
        <v>3102</v>
      </c>
      <c r="B99" s="612" t="s">
        <v>4575</v>
      </c>
      <c r="C99" s="613"/>
      <c r="D99" s="614"/>
      <c r="E99" s="614"/>
      <c r="F99" s="613">
        <v>676</v>
      </c>
      <c r="G99" s="614" t="s">
        <v>2701</v>
      </c>
      <c r="H99" s="614"/>
      <c r="I99" s="613">
        <v>473</v>
      </c>
      <c r="J99" s="613">
        <v>0</v>
      </c>
      <c r="K99" s="613">
        <v>676</v>
      </c>
      <c r="L99" s="613">
        <v>0</v>
      </c>
      <c r="N99" s="620">
        <f t="shared" si="1"/>
        <v>676</v>
      </c>
    </row>
    <row r="100" spans="1:14" outlineLevel="1" x14ac:dyDescent="0.25">
      <c r="A100" s="611">
        <v>3106</v>
      </c>
      <c r="B100" s="612" t="s">
        <v>4576</v>
      </c>
      <c r="C100" s="613"/>
      <c r="D100" s="614"/>
      <c r="E100" s="614"/>
      <c r="F100" s="613">
        <v>493822.5</v>
      </c>
      <c r="G100" s="614" t="s">
        <v>2701</v>
      </c>
      <c r="H100" s="614"/>
      <c r="I100" s="613">
        <v>-23634.04</v>
      </c>
      <c r="J100" s="613">
        <v>0</v>
      </c>
      <c r="K100" s="613">
        <v>493822.5</v>
      </c>
      <c r="L100" s="613">
        <v>0</v>
      </c>
      <c r="N100" s="620">
        <f t="shared" si="1"/>
        <v>493822.5</v>
      </c>
    </row>
    <row r="101" spans="1:14" outlineLevel="1" x14ac:dyDescent="0.25">
      <c r="A101" s="611">
        <v>3125</v>
      </c>
      <c r="B101" s="612" t="s">
        <v>4577</v>
      </c>
      <c r="C101" s="613"/>
      <c r="D101" s="614"/>
      <c r="E101" s="614"/>
      <c r="F101" s="613">
        <v>866.59</v>
      </c>
      <c r="G101" s="614" t="s">
        <v>2701</v>
      </c>
      <c r="H101" s="614"/>
      <c r="I101" s="613">
        <v>-50000</v>
      </c>
      <c r="J101" s="613">
        <v>0</v>
      </c>
      <c r="K101" s="613">
        <v>866.59</v>
      </c>
      <c r="L101" s="613">
        <v>0</v>
      </c>
      <c r="N101" s="620">
        <f t="shared" si="1"/>
        <v>866.59</v>
      </c>
    </row>
    <row r="102" spans="1:14" outlineLevel="1" x14ac:dyDescent="0.25">
      <c r="A102" s="611">
        <v>3200</v>
      </c>
      <c r="B102" s="612" t="s">
        <v>4578</v>
      </c>
      <c r="C102" s="613"/>
      <c r="D102" s="614"/>
      <c r="E102" s="614"/>
      <c r="F102" s="613">
        <v>20340.240000000002</v>
      </c>
      <c r="G102" s="614" t="s">
        <v>2701</v>
      </c>
      <c r="H102" s="614"/>
      <c r="I102" s="613"/>
      <c r="J102" s="613"/>
      <c r="K102" s="613">
        <v>20340.240000000002</v>
      </c>
      <c r="L102" s="613">
        <v>0</v>
      </c>
      <c r="N102" s="620">
        <f t="shared" si="1"/>
        <v>20340.240000000002</v>
      </c>
    </row>
    <row r="103" spans="1:14" outlineLevel="1" x14ac:dyDescent="0.25">
      <c r="A103" s="611">
        <v>3400</v>
      </c>
      <c r="B103" s="612" t="s">
        <v>4579</v>
      </c>
      <c r="C103" s="613"/>
      <c r="D103" s="614"/>
      <c r="E103" s="614"/>
      <c r="F103" s="613">
        <v>1800700.4</v>
      </c>
      <c r="G103" s="614" t="s">
        <v>2701</v>
      </c>
      <c r="H103" s="614"/>
      <c r="I103" s="613">
        <v>39982.33</v>
      </c>
      <c r="J103" s="613">
        <v>236.22</v>
      </c>
      <c r="K103" s="613">
        <v>1804055.41</v>
      </c>
      <c r="L103" s="613">
        <v>3355.01</v>
      </c>
      <c r="N103" s="620">
        <f t="shared" si="1"/>
        <v>1800700.4</v>
      </c>
    </row>
    <row r="104" spans="1:14" outlineLevel="1" x14ac:dyDescent="0.25">
      <c r="A104" s="611">
        <v>3401</v>
      </c>
      <c r="B104" s="612" t="s">
        <v>4580</v>
      </c>
      <c r="C104" s="613"/>
      <c r="D104" s="614"/>
      <c r="E104" s="614"/>
      <c r="F104" s="613">
        <v>454052.59</v>
      </c>
      <c r="G104" s="614" t="s">
        <v>2701</v>
      </c>
      <c r="H104" s="614"/>
      <c r="I104" s="613">
        <v>21817.1</v>
      </c>
      <c r="J104" s="613">
        <v>0</v>
      </c>
      <c r="K104" s="613">
        <v>454052.59</v>
      </c>
      <c r="L104" s="613">
        <v>0</v>
      </c>
      <c r="N104" s="620">
        <f t="shared" si="1"/>
        <v>454052.59</v>
      </c>
    </row>
    <row r="105" spans="1:14" outlineLevel="1" x14ac:dyDescent="0.25">
      <c r="A105" s="611">
        <v>3425</v>
      </c>
      <c r="B105" s="612" t="s">
        <v>4581</v>
      </c>
      <c r="C105" s="613"/>
      <c r="D105" s="614"/>
      <c r="E105" s="614"/>
      <c r="F105" s="613">
        <v>3395099.75</v>
      </c>
      <c r="G105" s="614" t="s">
        <v>2701</v>
      </c>
      <c r="H105" s="614"/>
      <c r="I105" s="613">
        <v>-122723</v>
      </c>
      <c r="J105" s="613">
        <v>0</v>
      </c>
      <c r="K105" s="613">
        <v>3414076.91</v>
      </c>
      <c r="L105" s="613">
        <v>18977.16</v>
      </c>
      <c r="N105" s="620">
        <f t="shared" si="1"/>
        <v>3395099.75</v>
      </c>
    </row>
    <row r="106" spans="1:14" outlineLevel="1" x14ac:dyDescent="0.25">
      <c r="A106" s="611">
        <v>3736</v>
      </c>
      <c r="B106" s="612" t="s">
        <v>4582</v>
      </c>
      <c r="C106" s="613"/>
      <c r="D106" s="614"/>
      <c r="E106" s="614"/>
      <c r="F106" s="613">
        <v>38589.83</v>
      </c>
      <c r="G106" s="614"/>
      <c r="H106" s="614" t="s">
        <v>2584</v>
      </c>
      <c r="I106" s="613">
        <v>3.15</v>
      </c>
      <c r="J106" s="613">
        <v>2064.5100000000002</v>
      </c>
      <c r="K106" s="613">
        <v>63.84</v>
      </c>
      <c r="L106" s="613">
        <v>38653.67</v>
      </c>
      <c r="N106" s="620">
        <f t="shared" si="1"/>
        <v>-38589.83</v>
      </c>
    </row>
    <row r="107" spans="1:14" outlineLevel="1" x14ac:dyDescent="0.25">
      <c r="A107" s="611">
        <v>3738</v>
      </c>
      <c r="B107" s="612" t="s">
        <v>4583</v>
      </c>
      <c r="C107" s="613"/>
      <c r="D107" s="614"/>
      <c r="E107" s="614"/>
      <c r="F107" s="613">
        <v>0</v>
      </c>
      <c r="G107" s="614"/>
      <c r="H107" s="614"/>
      <c r="I107" s="613"/>
      <c r="J107" s="613"/>
      <c r="K107" s="613">
        <v>0</v>
      </c>
      <c r="L107" s="613">
        <v>0</v>
      </c>
      <c r="N107" s="620">
        <f t="shared" si="1"/>
        <v>0</v>
      </c>
    </row>
    <row r="108" spans="1:14" outlineLevel="1" x14ac:dyDescent="0.25">
      <c r="A108" s="611">
        <v>3748</v>
      </c>
      <c r="B108" s="612" t="s">
        <v>4584</v>
      </c>
      <c r="C108" s="613"/>
      <c r="D108" s="614"/>
      <c r="E108" s="614"/>
      <c r="F108" s="613">
        <v>1246.1099999999999</v>
      </c>
      <c r="G108" s="614"/>
      <c r="H108" s="614" t="s">
        <v>2584</v>
      </c>
      <c r="I108" s="613">
        <v>0</v>
      </c>
      <c r="J108" s="613">
        <v>1246.1099999999999</v>
      </c>
      <c r="K108" s="613">
        <v>0</v>
      </c>
      <c r="L108" s="613">
        <v>1246.1099999999999</v>
      </c>
      <c r="N108" s="620">
        <f t="shared" si="1"/>
        <v>-1246.1099999999999</v>
      </c>
    </row>
    <row r="109" spans="1:14" outlineLevel="1" x14ac:dyDescent="0.25">
      <c r="A109" s="611">
        <v>3800</v>
      </c>
      <c r="B109" s="612" t="s">
        <v>4585</v>
      </c>
      <c r="C109" s="613"/>
      <c r="D109" s="614"/>
      <c r="E109" s="614"/>
      <c r="F109" s="613">
        <v>76214.77</v>
      </c>
      <c r="G109" s="614" t="s">
        <v>2701</v>
      </c>
      <c r="H109" s="614"/>
      <c r="I109" s="613">
        <v>7825.73</v>
      </c>
      <c r="J109" s="613">
        <v>0</v>
      </c>
      <c r="K109" s="613">
        <v>76214.77</v>
      </c>
      <c r="L109" s="613">
        <v>0</v>
      </c>
      <c r="N109" s="620">
        <f t="shared" si="1"/>
        <v>76214.77</v>
      </c>
    </row>
    <row r="110" spans="1:14" outlineLevel="1" x14ac:dyDescent="0.25">
      <c r="A110" s="611">
        <v>3950</v>
      </c>
      <c r="B110" s="612" t="s">
        <v>4586</v>
      </c>
      <c r="C110" s="613"/>
      <c r="D110" s="614"/>
      <c r="E110" s="614"/>
      <c r="F110" s="613">
        <v>831275.04</v>
      </c>
      <c r="G110" s="614" t="s">
        <v>2701</v>
      </c>
      <c r="H110" s="614"/>
      <c r="I110" s="613">
        <v>831275.04</v>
      </c>
      <c r="J110" s="613">
        <v>0</v>
      </c>
      <c r="K110" s="613">
        <v>831275.04</v>
      </c>
      <c r="L110" s="613">
        <v>0</v>
      </c>
      <c r="N110" s="620">
        <f t="shared" si="1"/>
        <v>831275.04</v>
      </c>
    </row>
    <row r="111" spans="1:14" outlineLevel="1" x14ac:dyDescent="0.25">
      <c r="A111" s="611">
        <v>3960</v>
      </c>
      <c r="B111" s="612" t="s">
        <v>4587</v>
      </c>
      <c r="C111" s="613"/>
      <c r="D111" s="614"/>
      <c r="E111" s="614"/>
      <c r="F111" s="613">
        <v>288112.2</v>
      </c>
      <c r="G111" s="614" t="s">
        <v>2701</v>
      </c>
      <c r="H111" s="614"/>
      <c r="I111" s="613">
        <v>288112.2</v>
      </c>
      <c r="J111" s="613">
        <v>0</v>
      </c>
      <c r="K111" s="613">
        <v>288112.2</v>
      </c>
      <c r="L111" s="613">
        <v>0</v>
      </c>
      <c r="N111" s="620">
        <f t="shared" si="1"/>
        <v>288112.2</v>
      </c>
    </row>
    <row r="112" spans="1:14" outlineLevel="1" x14ac:dyDescent="0.25">
      <c r="A112" s="611">
        <v>3970</v>
      </c>
      <c r="B112" s="612" t="s">
        <v>4588</v>
      </c>
      <c r="C112" s="613">
        <v>1243325.5</v>
      </c>
      <c r="D112" s="614" t="s">
        <v>2701</v>
      </c>
      <c r="E112" s="614"/>
      <c r="F112" s="613">
        <v>955213.3</v>
      </c>
      <c r="G112" s="614" t="s">
        <v>2701</v>
      </c>
      <c r="H112" s="614"/>
      <c r="I112" s="613">
        <v>0</v>
      </c>
      <c r="J112" s="613">
        <v>288112.2</v>
      </c>
      <c r="K112" s="613">
        <v>0</v>
      </c>
      <c r="L112" s="613">
        <v>288112.2</v>
      </c>
      <c r="N112" s="620">
        <f t="shared" si="1"/>
        <v>955213.3</v>
      </c>
    </row>
    <row r="113" spans="1:14" outlineLevel="1" x14ac:dyDescent="0.25">
      <c r="A113" s="611">
        <v>3980</v>
      </c>
      <c r="B113" s="612" t="s">
        <v>4589</v>
      </c>
      <c r="C113" s="613">
        <v>1474080.57</v>
      </c>
      <c r="D113" s="614" t="s">
        <v>2701</v>
      </c>
      <c r="E113" s="614"/>
      <c r="F113" s="613">
        <v>642805.53</v>
      </c>
      <c r="G113" s="614" t="s">
        <v>2701</v>
      </c>
      <c r="H113" s="614"/>
      <c r="I113" s="613">
        <v>0</v>
      </c>
      <c r="J113" s="613">
        <v>831275.04</v>
      </c>
      <c r="K113" s="613">
        <v>0</v>
      </c>
      <c r="L113" s="613">
        <v>831275.04</v>
      </c>
      <c r="N113" s="620">
        <f t="shared" si="1"/>
        <v>642805.53</v>
      </c>
    </row>
    <row r="114" spans="1:14" outlineLevel="1" x14ac:dyDescent="0.25">
      <c r="A114" s="611">
        <v>4110</v>
      </c>
      <c r="B114" s="612" t="s">
        <v>4590</v>
      </c>
      <c r="C114" s="613"/>
      <c r="D114" s="614"/>
      <c r="E114" s="614"/>
      <c r="F114" s="613">
        <v>1668731.26</v>
      </c>
      <c r="G114" s="614" t="s">
        <v>2701</v>
      </c>
      <c r="H114" s="614"/>
      <c r="I114" s="613">
        <v>129994.77</v>
      </c>
      <c r="J114" s="613">
        <v>9498.09</v>
      </c>
      <c r="K114" s="613">
        <v>1678229.35</v>
      </c>
      <c r="L114" s="613">
        <v>9498.09</v>
      </c>
      <c r="N114" s="620">
        <f t="shared" si="1"/>
        <v>1668731.26</v>
      </c>
    </row>
    <row r="115" spans="1:14" outlineLevel="1" x14ac:dyDescent="0.25">
      <c r="A115" s="611">
        <v>4120</v>
      </c>
      <c r="B115" s="612" t="s">
        <v>4591</v>
      </c>
      <c r="C115" s="613"/>
      <c r="D115" s="614"/>
      <c r="E115" s="614"/>
      <c r="F115" s="613">
        <v>1264434.8600000001</v>
      </c>
      <c r="G115" s="614" t="s">
        <v>2701</v>
      </c>
      <c r="H115" s="614"/>
      <c r="I115" s="613">
        <v>109641.22</v>
      </c>
      <c r="J115" s="613">
        <v>13828.84</v>
      </c>
      <c r="K115" s="613">
        <v>1316201.93</v>
      </c>
      <c r="L115" s="613">
        <v>51767.07</v>
      </c>
      <c r="N115" s="620">
        <f t="shared" si="1"/>
        <v>1264434.8600000001</v>
      </c>
    </row>
    <row r="116" spans="1:14" outlineLevel="1" x14ac:dyDescent="0.25">
      <c r="A116" s="611">
        <v>4124</v>
      </c>
      <c r="B116" s="612" t="s">
        <v>4592</v>
      </c>
      <c r="C116" s="613"/>
      <c r="D116" s="614"/>
      <c r="E116" s="614"/>
      <c r="F116" s="613">
        <v>228000</v>
      </c>
      <c r="G116" s="614" t="s">
        <v>2701</v>
      </c>
      <c r="H116" s="614"/>
      <c r="I116" s="613">
        <v>19000</v>
      </c>
      <c r="J116" s="613">
        <v>0</v>
      </c>
      <c r="K116" s="613">
        <v>228000</v>
      </c>
      <c r="L116" s="613">
        <v>0</v>
      </c>
      <c r="N116" s="620">
        <f t="shared" si="1"/>
        <v>228000</v>
      </c>
    </row>
    <row r="117" spans="1:14" outlineLevel="1" x14ac:dyDescent="0.25">
      <c r="A117" s="611">
        <v>4126</v>
      </c>
      <c r="B117" s="612" t="s">
        <v>4593</v>
      </c>
      <c r="C117" s="613"/>
      <c r="D117" s="614"/>
      <c r="E117" s="614"/>
      <c r="F117" s="613">
        <v>76000</v>
      </c>
      <c r="G117" s="614" t="s">
        <v>2701</v>
      </c>
      <c r="H117" s="614"/>
      <c r="I117" s="613">
        <v>31667</v>
      </c>
      <c r="J117" s="613">
        <v>0</v>
      </c>
      <c r="K117" s="613">
        <v>76000</v>
      </c>
      <c r="L117" s="613">
        <v>0</v>
      </c>
      <c r="N117" s="620">
        <f t="shared" si="1"/>
        <v>76000</v>
      </c>
    </row>
    <row r="118" spans="1:14" outlineLevel="1" x14ac:dyDescent="0.25">
      <c r="A118" s="611">
        <v>4127</v>
      </c>
      <c r="B118" s="612" t="s">
        <v>4594</v>
      </c>
      <c r="C118" s="613"/>
      <c r="D118" s="614"/>
      <c r="E118" s="614"/>
      <c r="F118" s="613">
        <v>125000.04</v>
      </c>
      <c r="G118" s="614" t="s">
        <v>2701</v>
      </c>
      <c r="H118" s="614"/>
      <c r="I118" s="613">
        <v>10416.67</v>
      </c>
      <c r="J118" s="613">
        <v>0</v>
      </c>
      <c r="K118" s="613">
        <v>125000.04</v>
      </c>
      <c r="L118" s="613">
        <v>0</v>
      </c>
      <c r="N118" s="620">
        <f t="shared" si="1"/>
        <v>125000.04</v>
      </c>
    </row>
    <row r="119" spans="1:14" outlineLevel="1" x14ac:dyDescent="0.25">
      <c r="A119" s="611">
        <v>4129</v>
      </c>
      <c r="B119" s="612" t="s">
        <v>4595</v>
      </c>
      <c r="C119" s="613"/>
      <c r="D119" s="614"/>
      <c r="E119" s="614"/>
      <c r="F119" s="613">
        <v>12530</v>
      </c>
      <c r="G119" s="614" t="s">
        <v>2701</v>
      </c>
      <c r="H119" s="614"/>
      <c r="I119" s="613">
        <v>2530</v>
      </c>
      <c r="J119" s="613">
        <v>0</v>
      </c>
      <c r="K119" s="613">
        <v>12530</v>
      </c>
      <c r="L119" s="613">
        <v>0</v>
      </c>
      <c r="N119" s="620">
        <f t="shared" si="1"/>
        <v>12530</v>
      </c>
    </row>
    <row r="120" spans="1:14" outlineLevel="1" x14ac:dyDescent="0.25">
      <c r="A120" s="611">
        <v>4130</v>
      </c>
      <c r="B120" s="612" t="s">
        <v>4596</v>
      </c>
      <c r="C120" s="613"/>
      <c r="D120" s="614"/>
      <c r="E120" s="614"/>
      <c r="F120" s="613">
        <v>631662.88</v>
      </c>
      <c r="G120" s="614" t="s">
        <v>2701</v>
      </c>
      <c r="H120" s="614"/>
      <c r="I120" s="613">
        <v>51084.69</v>
      </c>
      <c r="J120" s="613">
        <v>2511</v>
      </c>
      <c r="K120" s="613">
        <v>659689.28</v>
      </c>
      <c r="L120" s="613">
        <v>28026.400000000001</v>
      </c>
      <c r="N120" s="620">
        <f t="shared" si="1"/>
        <v>631662.88</v>
      </c>
    </row>
    <row r="121" spans="1:14" outlineLevel="1" x14ac:dyDescent="0.25">
      <c r="A121" s="611">
        <v>4138</v>
      </c>
      <c r="B121" s="612" t="s">
        <v>4597</v>
      </c>
      <c r="C121" s="613"/>
      <c r="D121" s="614"/>
      <c r="E121" s="614"/>
      <c r="F121" s="613">
        <v>18000</v>
      </c>
      <c r="G121" s="614" t="s">
        <v>2701</v>
      </c>
      <c r="H121" s="614"/>
      <c r="I121" s="613">
        <v>1700</v>
      </c>
      <c r="J121" s="613">
        <v>2400</v>
      </c>
      <c r="K121" s="613">
        <v>20400</v>
      </c>
      <c r="L121" s="613">
        <v>2400</v>
      </c>
      <c r="N121" s="620">
        <f t="shared" si="1"/>
        <v>18000</v>
      </c>
    </row>
    <row r="122" spans="1:14" outlineLevel="1" x14ac:dyDescent="0.25">
      <c r="A122" s="611">
        <v>4140</v>
      </c>
      <c r="B122" s="612" t="s">
        <v>4598</v>
      </c>
      <c r="C122" s="613"/>
      <c r="D122" s="614"/>
      <c r="E122" s="614"/>
      <c r="F122" s="613">
        <v>27474.17</v>
      </c>
      <c r="G122" s="614" t="s">
        <v>2701</v>
      </c>
      <c r="H122" s="614"/>
      <c r="I122" s="613">
        <v>8971.8700000000008</v>
      </c>
      <c r="J122" s="613">
        <v>0</v>
      </c>
      <c r="K122" s="613">
        <v>27474.17</v>
      </c>
      <c r="L122" s="613">
        <v>0</v>
      </c>
      <c r="N122" s="620">
        <f t="shared" si="1"/>
        <v>27474.17</v>
      </c>
    </row>
    <row r="123" spans="1:14" outlineLevel="1" x14ac:dyDescent="0.25">
      <c r="A123" s="611">
        <v>4144</v>
      </c>
      <c r="B123" s="612" t="s">
        <v>4599</v>
      </c>
      <c r="C123" s="613"/>
      <c r="D123" s="614"/>
      <c r="E123" s="614"/>
      <c r="F123" s="613">
        <v>4512.32</v>
      </c>
      <c r="G123" s="614" t="s">
        <v>2701</v>
      </c>
      <c r="H123" s="614"/>
      <c r="I123" s="613">
        <v>247.06</v>
      </c>
      <c r="J123" s="613">
        <v>0</v>
      </c>
      <c r="K123" s="613">
        <v>4512.32</v>
      </c>
      <c r="L123" s="613">
        <v>0</v>
      </c>
      <c r="N123" s="620">
        <f t="shared" si="1"/>
        <v>4512.32</v>
      </c>
    </row>
    <row r="124" spans="1:14" outlineLevel="1" x14ac:dyDescent="0.25">
      <c r="A124" s="611">
        <v>4145</v>
      </c>
      <c r="B124" s="612" t="s">
        <v>4600</v>
      </c>
      <c r="C124" s="613"/>
      <c r="D124" s="614"/>
      <c r="E124" s="614"/>
      <c r="F124" s="613">
        <v>76858</v>
      </c>
      <c r="G124" s="614" t="s">
        <v>2701</v>
      </c>
      <c r="H124" s="614"/>
      <c r="I124" s="613">
        <v>6085</v>
      </c>
      <c r="J124" s="613">
        <v>0</v>
      </c>
      <c r="K124" s="613">
        <v>76858</v>
      </c>
      <c r="L124" s="613">
        <v>0</v>
      </c>
      <c r="N124" s="620">
        <f t="shared" si="1"/>
        <v>76858</v>
      </c>
    </row>
    <row r="125" spans="1:14" outlineLevel="1" x14ac:dyDescent="0.25">
      <c r="A125" s="611">
        <v>4149</v>
      </c>
      <c r="B125" s="612" t="s">
        <v>4601</v>
      </c>
      <c r="C125" s="613"/>
      <c r="D125" s="614"/>
      <c r="E125" s="614"/>
      <c r="F125" s="613">
        <v>3066.06</v>
      </c>
      <c r="G125" s="614" t="s">
        <v>2701</v>
      </c>
      <c r="H125" s="614"/>
      <c r="I125" s="613">
        <v>249.67</v>
      </c>
      <c r="J125" s="613">
        <v>0</v>
      </c>
      <c r="K125" s="613">
        <v>3066.06</v>
      </c>
      <c r="L125" s="613">
        <v>0</v>
      </c>
      <c r="N125" s="620">
        <f t="shared" si="1"/>
        <v>3066.06</v>
      </c>
    </row>
    <row r="126" spans="1:14" outlineLevel="1" x14ac:dyDescent="0.25">
      <c r="A126" s="611">
        <v>4150</v>
      </c>
      <c r="B126" s="612" t="s">
        <v>4602</v>
      </c>
      <c r="C126" s="613"/>
      <c r="D126" s="614"/>
      <c r="E126" s="614"/>
      <c r="F126" s="613">
        <v>11851.73</v>
      </c>
      <c r="G126" s="614" t="s">
        <v>2701</v>
      </c>
      <c r="H126" s="614"/>
      <c r="I126" s="613">
        <v>987.92</v>
      </c>
      <c r="J126" s="613">
        <v>0</v>
      </c>
      <c r="K126" s="613">
        <v>11851.73</v>
      </c>
      <c r="L126" s="613">
        <v>0</v>
      </c>
      <c r="N126" s="620">
        <f t="shared" si="1"/>
        <v>11851.73</v>
      </c>
    </row>
    <row r="127" spans="1:14" outlineLevel="1" x14ac:dyDescent="0.25">
      <c r="A127" s="611">
        <v>4152</v>
      </c>
      <c r="B127" s="612" t="s">
        <v>4603</v>
      </c>
      <c r="C127" s="613"/>
      <c r="D127" s="614"/>
      <c r="E127" s="614"/>
      <c r="F127" s="613">
        <v>771</v>
      </c>
      <c r="G127" s="614" t="s">
        <v>2701</v>
      </c>
      <c r="H127" s="614"/>
      <c r="I127" s="613">
        <v>80</v>
      </c>
      <c r="J127" s="613">
        <v>0</v>
      </c>
      <c r="K127" s="613">
        <v>771</v>
      </c>
      <c r="L127" s="613">
        <v>0</v>
      </c>
      <c r="N127" s="620">
        <f t="shared" si="1"/>
        <v>771</v>
      </c>
    </row>
    <row r="128" spans="1:14" outlineLevel="1" x14ac:dyDescent="0.25">
      <c r="A128" s="611">
        <v>4156</v>
      </c>
      <c r="B128" s="612" t="s">
        <v>4604</v>
      </c>
      <c r="C128" s="613"/>
      <c r="D128" s="614"/>
      <c r="E128" s="614"/>
      <c r="F128" s="613">
        <v>597.03</v>
      </c>
      <c r="G128" s="614" t="s">
        <v>2701</v>
      </c>
      <c r="H128" s="614"/>
      <c r="I128" s="613">
        <v>597.03</v>
      </c>
      <c r="J128" s="613">
        <v>0</v>
      </c>
      <c r="K128" s="613">
        <v>597.03</v>
      </c>
      <c r="L128" s="613">
        <v>0</v>
      </c>
      <c r="N128" s="620">
        <f t="shared" si="1"/>
        <v>597.03</v>
      </c>
    </row>
    <row r="129" spans="1:14" outlineLevel="1" x14ac:dyDescent="0.25">
      <c r="A129" s="611">
        <v>4165</v>
      </c>
      <c r="B129" s="612" t="s">
        <v>4605</v>
      </c>
      <c r="C129" s="613"/>
      <c r="D129" s="614"/>
      <c r="E129" s="614"/>
      <c r="F129" s="613">
        <v>24521.71</v>
      </c>
      <c r="G129" s="614" t="s">
        <v>2701</v>
      </c>
      <c r="H129" s="614"/>
      <c r="I129" s="613">
        <v>3137.61</v>
      </c>
      <c r="J129" s="613">
        <v>14162</v>
      </c>
      <c r="K129" s="613">
        <v>38683.71</v>
      </c>
      <c r="L129" s="613">
        <v>14162</v>
      </c>
      <c r="N129" s="620">
        <f t="shared" si="1"/>
        <v>24521.71</v>
      </c>
    </row>
    <row r="130" spans="1:14" outlineLevel="1" x14ac:dyDescent="0.25">
      <c r="A130" s="611">
        <v>4170</v>
      </c>
      <c r="B130" s="612" t="s">
        <v>4606</v>
      </c>
      <c r="C130" s="613"/>
      <c r="D130" s="614"/>
      <c r="E130" s="614"/>
      <c r="F130" s="613">
        <v>2899.74</v>
      </c>
      <c r="G130" s="614" t="s">
        <v>2701</v>
      </c>
      <c r="H130" s="614"/>
      <c r="I130" s="613">
        <v>226.13</v>
      </c>
      <c r="J130" s="613">
        <v>0</v>
      </c>
      <c r="K130" s="613">
        <v>2899.74</v>
      </c>
      <c r="L130" s="613">
        <v>0</v>
      </c>
      <c r="N130" s="620">
        <f t="shared" si="1"/>
        <v>2899.74</v>
      </c>
    </row>
    <row r="131" spans="1:14" outlineLevel="1" x14ac:dyDescent="0.25">
      <c r="A131" s="611">
        <v>4175</v>
      </c>
      <c r="B131" s="612" t="s">
        <v>4607</v>
      </c>
      <c r="C131" s="613"/>
      <c r="D131" s="614"/>
      <c r="E131" s="614"/>
      <c r="F131" s="613">
        <v>31658.51</v>
      </c>
      <c r="G131" s="614" t="s">
        <v>2701</v>
      </c>
      <c r="H131" s="614"/>
      <c r="I131" s="613">
        <v>2662.55</v>
      </c>
      <c r="J131" s="613">
        <v>49.43</v>
      </c>
      <c r="K131" s="613">
        <v>32450.79</v>
      </c>
      <c r="L131" s="613">
        <v>792.28</v>
      </c>
      <c r="N131" s="620">
        <f t="shared" si="1"/>
        <v>31658.51</v>
      </c>
    </row>
    <row r="132" spans="1:14" outlineLevel="1" x14ac:dyDescent="0.25">
      <c r="A132" s="611">
        <v>4190</v>
      </c>
      <c r="B132" s="612" t="s">
        <v>4608</v>
      </c>
      <c r="C132" s="613"/>
      <c r="D132" s="614"/>
      <c r="E132" s="614"/>
      <c r="F132" s="613">
        <v>2973.75</v>
      </c>
      <c r="G132" s="614" t="s">
        <v>2701</v>
      </c>
      <c r="H132" s="614"/>
      <c r="I132" s="613"/>
      <c r="J132" s="613"/>
      <c r="K132" s="613">
        <v>2973.75</v>
      </c>
      <c r="L132" s="613">
        <v>0</v>
      </c>
      <c r="N132" s="620">
        <f t="shared" ref="N132:N195" si="2">IF(G132="S",F132,-F132)</f>
        <v>2973.75</v>
      </c>
    </row>
    <row r="133" spans="1:14" outlineLevel="1" x14ac:dyDescent="0.25">
      <c r="A133" s="611">
        <v>4194</v>
      </c>
      <c r="B133" s="612" t="s">
        <v>4609</v>
      </c>
      <c r="C133" s="613"/>
      <c r="D133" s="614"/>
      <c r="E133" s="614"/>
      <c r="F133" s="613">
        <v>19.579999999999998</v>
      </c>
      <c r="G133" s="614" t="s">
        <v>2701</v>
      </c>
      <c r="H133" s="614"/>
      <c r="I133" s="613">
        <v>10.5</v>
      </c>
      <c r="J133" s="613">
        <v>10.5</v>
      </c>
      <c r="K133" s="613">
        <v>192</v>
      </c>
      <c r="L133" s="613">
        <v>172.42</v>
      </c>
      <c r="N133" s="620">
        <f t="shared" si="2"/>
        <v>19.579999999999998</v>
      </c>
    </row>
    <row r="134" spans="1:14" outlineLevel="1" x14ac:dyDescent="0.25">
      <c r="A134" s="611">
        <v>4195</v>
      </c>
      <c r="B134" s="612" t="s">
        <v>4610</v>
      </c>
      <c r="C134" s="613"/>
      <c r="D134" s="614"/>
      <c r="E134" s="614"/>
      <c r="F134" s="613">
        <v>14138.93</v>
      </c>
      <c r="G134" s="614" t="s">
        <v>2701</v>
      </c>
      <c r="H134" s="614"/>
      <c r="I134" s="613">
        <v>874.08</v>
      </c>
      <c r="J134" s="613">
        <v>0</v>
      </c>
      <c r="K134" s="613">
        <v>14138.93</v>
      </c>
      <c r="L134" s="613">
        <v>0</v>
      </c>
      <c r="N134" s="620">
        <f t="shared" si="2"/>
        <v>14138.93</v>
      </c>
    </row>
    <row r="135" spans="1:14" outlineLevel="1" x14ac:dyDescent="0.25">
      <c r="A135" s="611">
        <v>4198</v>
      </c>
      <c r="B135" s="612" t="s">
        <v>4611</v>
      </c>
      <c r="C135" s="613"/>
      <c r="D135" s="614"/>
      <c r="E135" s="614"/>
      <c r="F135" s="613">
        <v>125.46</v>
      </c>
      <c r="G135" s="614" t="s">
        <v>2701</v>
      </c>
      <c r="H135" s="614"/>
      <c r="I135" s="613">
        <v>8.6999999999999993</v>
      </c>
      <c r="J135" s="613">
        <v>0</v>
      </c>
      <c r="K135" s="613">
        <v>125.46</v>
      </c>
      <c r="L135" s="613">
        <v>0</v>
      </c>
      <c r="N135" s="620">
        <f t="shared" si="2"/>
        <v>125.46</v>
      </c>
    </row>
    <row r="136" spans="1:14" outlineLevel="1" x14ac:dyDescent="0.25">
      <c r="A136" s="611">
        <v>4210</v>
      </c>
      <c r="B136" s="612" t="s">
        <v>4612</v>
      </c>
      <c r="C136" s="613"/>
      <c r="D136" s="614"/>
      <c r="E136" s="614"/>
      <c r="F136" s="613">
        <v>198000</v>
      </c>
      <c r="G136" s="614" t="s">
        <v>2701</v>
      </c>
      <c r="H136" s="614"/>
      <c r="I136" s="613">
        <v>16500</v>
      </c>
      <c r="J136" s="613">
        <v>0</v>
      </c>
      <c r="K136" s="613">
        <v>198000</v>
      </c>
      <c r="L136" s="613">
        <v>0</v>
      </c>
      <c r="N136" s="620">
        <f t="shared" si="2"/>
        <v>198000</v>
      </c>
    </row>
    <row r="137" spans="1:14" outlineLevel="1" x14ac:dyDescent="0.25">
      <c r="A137" s="611">
        <v>4228</v>
      </c>
      <c r="B137" s="612" t="s">
        <v>4613</v>
      </c>
      <c r="C137" s="613"/>
      <c r="D137" s="614"/>
      <c r="E137" s="614"/>
      <c r="F137" s="613">
        <v>10017.25</v>
      </c>
      <c r="G137" s="614" t="s">
        <v>2701</v>
      </c>
      <c r="H137" s="614"/>
      <c r="I137" s="613">
        <v>1000</v>
      </c>
      <c r="J137" s="613">
        <v>1982.75</v>
      </c>
      <c r="K137" s="613">
        <v>12000</v>
      </c>
      <c r="L137" s="613">
        <v>1982.75</v>
      </c>
      <c r="N137" s="620">
        <f t="shared" si="2"/>
        <v>10017.25</v>
      </c>
    </row>
    <row r="138" spans="1:14" outlineLevel="1" x14ac:dyDescent="0.25">
      <c r="A138" s="611">
        <v>4240</v>
      </c>
      <c r="B138" s="612" t="s">
        <v>4614</v>
      </c>
      <c r="C138" s="613"/>
      <c r="D138" s="614"/>
      <c r="E138" s="614"/>
      <c r="F138" s="613">
        <v>89799.93</v>
      </c>
      <c r="G138" s="614" t="s">
        <v>2701</v>
      </c>
      <c r="H138" s="614"/>
      <c r="I138" s="613">
        <v>7535.82</v>
      </c>
      <c r="J138" s="613">
        <v>818.36</v>
      </c>
      <c r="K138" s="613">
        <v>94168.320000000007</v>
      </c>
      <c r="L138" s="613">
        <v>4368.3900000000003</v>
      </c>
      <c r="N138" s="620">
        <f t="shared" si="2"/>
        <v>89799.93</v>
      </c>
    </row>
    <row r="139" spans="1:14" outlineLevel="1" x14ac:dyDescent="0.25">
      <c r="A139" s="611">
        <v>4250</v>
      </c>
      <c r="B139" s="612" t="s">
        <v>4615</v>
      </c>
      <c r="C139" s="613"/>
      <c r="D139" s="614"/>
      <c r="E139" s="614"/>
      <c r="F139" s="613">
        <v>37819.800000000003</v>
      </c>
      <c r="G139" s="614" t="s">
        <v>2701</v>
      </c>
      <c r="H139" s="614"/>
      <c r="I139" s="613">
        <v>2918.99</v>
      </c>
      <c r="J139" s="613">
        <v>0</v>
      </c>
      <c r="K139" s="613">
        <v>37819.800000000003</v>
      </c>
      <c r="L139" s="613">
        <v>0</v>
      </c>
      <c r="N139" s="620">
        <f t="shared" si="2"/>
        <v>37819.800000000003</v>
      </c>
    </row>
    <row r="140" spans="1:14" outlineLevel="1" x14ac:dyDescent="0.25">
      <c r="A140" s="611">
        <v>4260</v>
      </c>
      <c r="B140" s="612" t="s">
        <v>4616</v>
      </c>
      <c r="C140" s="613"/>
      <c r="D140" s="614"/>
      <c r="E140" s="614"/>
      <c r="F140" s="613">
        <v>9239.7000000000007</v>
      </c>
      <c r="G140" s="614" t="s">
        <v>2701</v>
      </c>
      <c r="H140" s="614"/>
      <c r="I140" s="613">
        <v>1613.35</v>
      </c>
      <c r="J140" s="613">
        <v>0</v>
      </c>
      <c r="K140" s="613">
        <v>9239.7000000000007</v>
      </c>
      <c r="L140" s="613">
        <v>0</v>
      </c>
      <c r="N140" s="620">
        <f t="shared" si="2"/>
        <v>9239.7000000000007</v>
      </c>
    </row>
    <row r="141" spans="1:14" outlineLevel="1" x14ac:dyDescent="0.25">
      <c r="A141" s="611">
        <v>4320</v>
      </c>
      <c r="B141" s="612" t="s">
        <v>147</v>
      </c>
      <c r="C141" s="613"/>
      <c r="D141" s="614"/>
      <c r="E141" s="614"/>
      <c r="F141" s="613">
        <v>93973</v>
      </c>
      <c r="G141" s="614" t="s">
        <v>2701</v>
      </c>
      <c r="H141" s="614"/>
      <c r="I141" s="613">
        <v>0</v>
      </c>
      <c r="J141" s="613">
        <v>152798</v>
      </c>
      <c r="K141" s="613">
        <v>246771</v>
      </c>
      <c r="L141" s="613">
        <v>152798</v>
      </c>
      <c r="N141" s="620">
        <f t="shared" si="2"/>
        <v>93973</v>
      </c>
    </row>
    <row r="142" spans="1:14" outlineLevel="1" x14ac:dyDescent="0.25">
      <c r="A142" s="611">
        <v>4360</v>
      </c>
      <c r="B142" s="612" t="s">
        <v>4617</v>
      </c>
      <c r="C142" s="613"/>
      <c r="D142" s="614"/>
      <c r="E142" s="614"/>
      <c r="F142" s="613">
        <v>37504</v>
      </c>
      <c r="G142" s="614" t="s">
        <v>2701</v>
      </c>
      <c r="H142" s="614"/>
      <c r="I142" s="613">
        <v>5012.6000000000004</v>
      </c>
      <c r="J142" s="613">
        <v>0</v>
      </c>
      <c r="K142" s="613">
        <v>37504</v>
      </c>
      <c r="L142" s="613">
        <v>0</v>
      </c>
      <c r="N142" s="620">
        <f t="shared" si="2"/>
        <v>37504</v>
      </c>
    </row>
    <row r="143" spans="1:14" outlineLevel="1" x14ac:dyDescent="0.25">
      <c r="A143" s="611">
        <v>4380</v>
      </c>
      <c r="B143" s="612" t="s">
        <v>4618</v>
      </c>
      <c r="C143" s="613"/>
      <c r="D143" s="614"/>
      <c r="E143" s="614"/>
      <c r="F143" s="613">
        <v>32266.79</v>
      </c>
      <c r="G143" s="614" t="s">
        <v>2701</v>
      </c>
      <c r="H143" s="614"/>
      <c r="I143" s="613">
        <v>-4178.42</v>
      </c>
      <c r="J143" s="613">
        <v>1971.64</v>
      </c>
      <c r="K143" s="613">
        <v>34238.43</v>
      </c>
      <c r="L143" s="613">
        <v>1971.64</v>
      </c>
      <c r="N143" s="620">
        <f t="shared" si="2"/>
        <v>32266.79</v>
      </c>
    </row>
    <row r="144" spans="1:14" outlineLevel="1" x14ac:dyDescent="0.25">
      <c r="A144" s="611">
        <v>4400</v>
      </c>
      <c r="B144" s="612" t="s">
        <v>2494</v>
      </c>
      <c r="C144" s="613"/>
      <c r="D144" s="614"/>
      <c r="E144" s="614"/>
      <c r="F144" s="613">
        <v>55897.24</v>
      </c>
      <c r="G144" s="614" t="s">
        <v>2701</v>
      </c>
      <c r="H144" s="614"/>
      <c r="I144" s="613">
        <v>433.8</v>
      </c>
      <c r="J144" s="613">
        <v>0</v>
      </c>
      <c r="K144" s="613">
        <v>55897.24</v>
      </c>
      <c r="L144" s="613">
        <v>0</v>
      </c>
      <c r="N144" s="620">
        <f t="shared" si="2"/>
        <v>55897.24</v>
      </c>
    </row>
    <row r="145" spans="1:14" outlineLevel="1" x14ac:dyDescent="0.25">
      <c r="A145" s="611">
        <v>4510</v>
      </c>
      <c r="B145" s="612" t="s">
        <v>4619</v>
      </c>
      <c r="C145" s="613"/>
      <c r="D145" s="614"/>
      <c r="E145" s="614"/>
      <c r="F145" s="613">
        <v>0</v>
      </c>
      <c r="G145" s="614"/>
      <c r="H145" s="614"/>
      <c r="I145" s="613"/>
      <c r="J145" s="613"/>
      <c r="K145" s="613">
        <v>0</v>
      </c>
      <c r="L145" s="613">
        <v>0</v>
      </c>
      <c r="N145" s="620">
        <f t="shared" si="2"/>
        <v>0</v>
      </c>
    </row>
    <row r="146" spans="1:14" outlineLevel="1" x14ac:dyDescent="0.25">
      <c r="A146" s="611">
        <v>4513</v>
      </c>
      <c r="B146" s="612" t="s">
        <v>4620</v>
      </c>
      <c r="C146" s="613"/>
      <c r="D146" s="614"/>
      <c r="E146" s="614"/>
      <c r="F146" s="613">
        <v>456</v>
      </c>
      <c r="G146" s="614" t="s">
        <v>2701</v>
      </c>
      <c r="H146" s="614"/>
      <c r="I146" s="613"/>
      <c r="J146" s="613"/>
      <c r="K146" s="613">
        <v>456</v>
      </c>
      <c r="L146" s="613">
        <v>0</v>
      </c>
      <c r="N146" s="620">
        <f t="shared" si="2"/>
        <v>456</v>
      </c>
    </row>
    <row r="147" spans="1:14" outlineLevel="1" x14ac:dyDescent="0.25">
      <c r="A147" s="611">
        <v>4514</v>
      </c>
      <c r="B147" s="612" t="s">
        <v>4621</v>
      </c>
      <c r="C147" s="613"/>
      <c r="D147" s="614"/>
      <c r="E147" s="614"/>
      <c r="F147" s="613">
        <v>392</v>
      </c>
      <c r="G147" s="614" t="s">
        <v>2701</v>
      </c>
      <c r="H147" s="614"/>
      <c r="I147" s="613">
        <v>30</v>
      </c>
      <c r="J147" s="613">
        <v>0</v>
      </c>
      <c r="K147" s="613">
        <v>652</v>
      </c>
      <c r="L147" s="613">
        <v>260</v>
      </c>
      <c r="N147" s="620">
        <f t="shared" si="2"/>
        <v>392</v>
      </c>
    </row>
    <row r="148" spans="1:14" outlineLevel="1" x14ac:dyDescent="0.25">
      <c r="A148" s="611">
        <v>4515</v>
      </c>
      <c r="B148" s="612" t="s">
        <v>4622</v>
      </c>
      <c r="C148" s="613"/>
      <c r="D148" s="614"/>
      <c r="E148" s="614"/>
      <c r="F148" s="613">
        <v>432</v>
      </c>
      <c r="G148" s="614" t="s">
        <v>2701</v>
      </c>
      <c r="H148" s="614"/>
      <c r="I148" s="613"/>
      <c r="J148" s="613"/>
      <c r="K148" s="613">
        <v>432</v>
      </c>
      <c r="L148" s="613">
        <v>0</v>
      </c>
      <c r="N148" s="620">
        <f t="shared" si="2"/>
        <v>432</v>
      </c>
    </row>
    <row r="149" spans="1:14" outlineLevel="1" x14ac:dyDescent="0.25">
      <c r="A149" s="611">
        <v>4516</v>
      </c>
      <c r="B149" s="612" t="s">
        <v>4623</v>
      </c>
      <c r="C149" s="613"/>
      <c r="D149" s="614"/>
      <c r="E149" s="614"/>
      <c r="F149" s="613">
        <v>186</v>
      </c>
      <c r="G149" s="614" t="s">
        <v>2701</v>
      </c>
      <c r="H149" s="614"/>
      <c r="I149" s="613"/>
      <c r="J149" s="613"/>
      <c r="K149" s="613">
        <v>186</v>
      </c>
      <c r="L149" s="613">
        <v>0</v>
      </c>
      <c r="N149" s="620">
        <f t="shared" si="2"/>
        <v>186</v>
      </c>
    </row>
    <row r="150" spans="1:14" outlineLevel="1" x14ac:dyDescent="0.25">
      <c r="A150" s="611">
        <v>4517</v>
      </c>
      <c r="B150" s="612" t="s">
        <v>4624</v>
      </c>
      <c r="C150" s="613"/>
      <c r="D150" s="614"/>
      <c r="E150" s="614"/>
      <c r="F150" s="613">
        <v>557</v>
      </c>
      <c r="G150" s="614" t="s">
        <v>2701</v>
      </c>
      <c r="H150" s="614"/>
      <c r="I150" s="613"/>
      <c r="J150" s="613"/>
      <c r="K150" s="613">
        <v>557</v>
      </c>
      <c r="L150" s="613">
        <v>0</v>
      </c>
      <c r="N150" s="620">
        <f t="shared" si="2"/>
        <v>557</v>
      </c>
    </row>
    <row r="151" spans="1:14" outlineLevel="1" x14ac:dyDescent="0.25">
      <c r="A151" s="611">
        <v>4518</v>
      </c>
      <c r="B151" s="612" t="s">
        <v>4625</v>
      </c>
      <c r="C151" s="613"/>
      <c r="D151" s="614"/>
      <c r="E151" s="614"/>
      <c r="F151" s="613">
        <v>231</v>
      </c>
      <c r="G151" s="614" t="s">
        <v>2701</v>
      </c>
      <c r="H151" s="614"/>
      <c r="I151" s="613"/>
      <c r="J151" s="613"/>
      <c r="K151" s="613">
        <v>231</v>
      </c>
      <c r="L151" s="613">
        <v>0</v>
      </c>
      <c r="N151" s="620">
        <f t="shared" si="2"/>
        <v>231</v>
      </c>
    </row>
    <row r="152" spans="1:14" outlineLevel="1" x14ac:dyDescent="0.25">
      <c r="A152" s="611">
        <v>4520</v>
      </c>
      <c r="B152" s="612" t="s">
        <v>4626</v>
      </c>
      <c r="C152" s="613"/>
      <c r="D152" s="614"/>
      <c r="E152" s="614"/>
      <c r="F152" s="613">
        <v>1438.69</v>
      </c>
      <c r="G152" s="614" t="s">
        <v>2701</v>
      </c>
      <c r="H152" s="614"/>
      <c r="I152" s="613">
        <v>119.9</v>
      </c>
      <c r="J152" s="613">
        <v>0</v>
      </c>
      <c r="K152" s="613">
        <v>1438.69</v>
      </c>
      <c r="L152" s="613">
        <v>0</v>
      </c>
      <c r="N152" s="620">
        <f t="shared" si="2"/>
        <v>1438.69</v>
      </c>
    </row>
    <row r="153" spans="1:14" outlineLevel="1" x14ac:dyDescent="0.25">
      <c r="A153" s="611">
        <v>4522</v>
      </c>
      <c r="B153" s="612" t="s">
        <v>4627</v>
      </c>
      <c r="C153" s="613"/>
      <c r="D153" s="614"/>
      <c r="E153" s="614"/>
      <c r="F153" s="613">
        <v>2877.38</v>
      </c>
      <c r="G153" s="614" t="s">
        <v>2701</v>
      </c>
      <c r="H153" s="614"/>
      <c r="I153" s="613">
        <v>239.8</v>
      </c>
      <c r="J153" s="613">
        <v>0</v>
      </c>
      <c r="K153" s="613">
        <v>2877.38</v>
      </c>
      <c r="L153" s="613">
        <v>0</v>
      </c>
      <c r="N153" s="620">
        <f t="shared" si="2"/>
        <v>2877.38</v>
      </c>
    </row>
    <row r="154" spans="1:14" outlineLevel="1" x14ac:dyDescent="0.25">
      <c r="A154" s="611">
        <v>4523</v>
      </c>
      <c r="B154" s="612" t="s">
        <v>4628</v>
      </c>
      <c r="C154" s="613"/>
      <c r="D154" s="614"/>
      <c r="E154" s="614"/>
      <c r="F154" s="613">
        <v>2877.38</v>
      </c>
      <c r="G154" s="614" t="s">
        <v>2701</v>
      </c>
      <c r="H154" s="614"/>
      <c r="I154" s="613">
        <v>239.8</v>
      </c>
      <c r="J154" s="613">
        <v>0</v>
      </c>
      <c r="K154" s="613">
        <v>2877.38</v>
      </c>
      <c r="L154" s="613">
        <v>0</v>
      </c>
      <c r="N154" s="620">
        <f t="shared" si="2"/>
        <v>2877.38</v>
      </c>
    </row>
    <row r="155" spans="1:14" outlineLevel="1" x14ac:dyDescent="0.25">
      <c r="A155" s="611">
        <v>4524</v>
      </c>
      <c r="B155" s="612" t="s">
        <v>4629</v>
      </c>
      <c r="C155" s="613"/>
      <c r="D155" s="614"/>
      <c r="E155" s="614"/>
      <c r="F155" s="613">
        <v>2862.7</v>
      </c>
      <c r="G155" s="614" t="s">
        <v>2701</v>
      </c>
      <c r="H155" s="614"/>
      <c r="I155" s="613"/>
      <c r="J155" s="613"/>
      <c r="K155" s="613">
        <v>2901.37</v>
      </c>
      <c r="L155" s="613">
        <v>38.67</v>
      </c>
      <c r="N155" s="620">
        <f t="shared" si="2"/>
        <v>2862.7</v>
      </c>
    </row>
    <row r="156" spans="1:14" outlineLevel="1" x14ac:dyDescent="0.25">
      <c r="A156" s="611">
        <v>4525</v>
      </c>
      <c r="B156" s="612" t="s">
        <v>4630</v>
      </c>
      <c r="C156" s="613"/>
      <c r="D156" s="614"/>
      <c r="E156" s="614"/>
      <c r="F156" s="613">
        <v>2877.38</v>
      </c>
      <c r="G156" s="614" t="s">
        <v>2701</v>
      </c>
      <c r="H156" s="614"/>
      <c r="I156" s="613">
        <v>239.8</v>
      </c>
      <c r="J156" s="613">
        <v>0</v>
      </c>
      <c r="K156" s="613">
        <v>2877.38</v>
      </c>
      <c r="L156" s="613">
        <v>0</v>
      </c>
      <c r="N156" s="620">
        <f t="shared" si="2"/>
        <v>2877.38</v>
      </c>
    </row>
    <row r="157" spans="1:14" outlineLevel="1" x14ac:dyDescent="0.25">
      <c r="A157" s="611">
        <v>4526</v>
      </c>
      <c r="B157" s="612" t="s">
        <v>4631</v>
      </c>
      <c r="C157" s="613"/>
      <c r="D157" s="614"/>
      <c r="E157" s="614"/>
      <c r="F157" s="613">
        <v>4379.8999999999996</v>
      </c>
      <c r="G157" s="614" t="s">
        <v>2701</v>
      </c>
      <c r="H157" s="614"/>
      <c r="I157" s="613">
        <v>350.38</v>
      </c>
      <c r="J157" s="613">
        <v>0</v>
      </c>
      <c r="K157" s="613">
        <v>4379.8999999999996</v>
      </c>
      <c r="L157" s="613">
        <v>0</v>
      </c>
      <c r="N157" s="620">
        <f t="shared" si="2"/>
        <v>4379.8999999999996</v>
      </c>
    </row>
    <row r="158" spans="1:14" outlineLevel="1" x14ac:dyDescent="0.25">
      <c r="A158" s="611">
        <v>4527</v>
      </c>
      <c r="B158" s="612" t="s">
        <v>4632</v>
      </c>
      <c r="C158" s="613"/>
      <c r="D158" s="614"/>
      <c r="E158" s="614"/>
      <c r="F158" s="613">
        <v>2877.38</v>
      </c>
      <c r="G158" s="614" t="s">
        <v>2701</v>
      </c>
      <c r="H158" s="614"/>
      <c r="I158" s="613">
        <v>239.8</v>
      </c>
      <c r="J158" s="613">
        <v>0</v>
      </c>
      <c r="K158" s="613">
        <v>2877.38</v>
      </c>
      <c r="L158" s="613">
        <v>0</v>
      </c>
      <c r="N158" s="620">
        <f t="shared" si="2"/>
        <v>2877.38</v>
      </c>
    </row>
    <row r="159" spans="1:14" outlineLevel="1" x14ac:dyDescent="0.25">
      <c r="A159" s="611">
        <v>4528</v>
      </c>
      <c r="B159" s="612" t="s">
        <v>4633</v>
      </c>
      <c r="C159" s="613"/>
      <c r="D159" s="614"/>
      <c r="E159" s="614"/>
      <c r="F159" s="613">
        <v>2877.38</v>
      </c>
      <c r="G159" s="614" t="s">
        <v>2701</v>
      </c>
      <c r="H159" s="614"/>
      <c r="I159" s="613">
        <v>239.8</v>
      </c>
      <c r="J159" s="613">
        <v>0</v>
      </c>
      <c r="K159" s="613">
        <v>2877.38</v>
      </c>
      <c r="L159" s="613">
        <v>0</v>
      </c>
      <c r="N159" s="620">
        <f t="shared" si="2"/>
        <v>2877.38</v>
      </c>
    </row>
    <row r="160" spans="1:14" outlineLevel="1" x14ac:dyDescent="0.25">
      <c r="A160" s="611">
        <v>4529</v>
      </c>
      <c r="B160" s="612" t="s">
        <v>4741</v>
      </c>
      <c r="C160" s="613"/>
      <c r="D160" s="614"/>
      <c r="E160" s="614"/>
      <c r="F160" s="613">
        <v>1093.2</v>
      </c>
      <c r="G160" s="614" t="s">
        <v>2701</v>
      </c>
      <c r="H160" s="614"/>
      <c r="I160" s="613">
        <v>121.1</v>
      </c>
      <c r="J160" s="613">
        <v>0</v>
      </c>
      <c r="K160" s="613">
        <v>1093.2</v>
      </c>
      <c r="L160" s="613">
        <v>0</v>
      </c>
      <c r="N160" s="620">
        <f t="shared" si="2"/>
        <v>1093.2</v>
      </c>
    </row>
    <row r="161" spans="1:14" outlineLevel="1" x14ac:dyDescent="0.25">
      <c r="A161" s="611">
        <v>4530</v>
      </c>
      <c r="B161" s="612" t="s">
        <v>4635</v>
      </c>
      <c r="C161" s="613"/>
      <c r="D161" s="614"/>
      <c r="E161" s="614"/>
      <c r="F161" s="613">
        <v>539.08000000000004</v>
      </c>
      <c r="G161" s="614" t="s">
        <v>2701</v>
      </c>
      <c r="H161" s="614"/>
      <c r="I161" s="613">
        <v>240.75</v>
      </c>
      <c r="J161" s="613">
        <v>0</v>
      </c>
      <c r="K161" s="613">
        <v>539.08000000000004</v>
      </c>
      <c r="L161" s="613">
        <v>0</v>
      </c>
      <c r="N161" s="620">
        <f t="shared" si="2"/>
        <v>539.08000000000004</v>
      </c>
    </row>
    <row r="162" spans="1:14" outlineLevel="1" x14ac:dyDescent="0.25">
      <c r="A162" s="611">
        <v>4532</v>
      </c>
      <c r="B162" s="612" t="s">
        <v>4636</v>
      </c>
      <c r="C162" s="613"/>
      <c r="D162" s="614"/>
      <c r="E162" s="614"/>
      <c r="F162" s="613">
        <v>1341.83</v>
      </c>
      <c r="G162" s="614" t="s">
        <v>2701</v>
      </c>
      <c r="H162" s="614"/>
      <c r="I162" s="613">
        <v>103.56</v>
      </c>
      <c r="J162" s="613">
        <v>0</v>
      </c>
      <c r="K162" s="613">
        <v>1341.83</v>
      </c>
      <c r="L162" s="613">
        <v>0</v>
      </c>
      <c r="N162" s="620">
        <f t="shared" si="2"/>
        <v>1341.83</v>
      </c>
    </row>
    <row r="163" spans="1:14" outlineLevel="1" x14ac:dyDescent="0.25">
      <c r="A163" s="611">
        <v>4533</v>
      </c>
      <c r="B163" s="612" t="s">
        <v>4637</v>
      </c>
      <c r="C163" s="613"/>
      <c r="D163" s="614"/>
      <c r="E163" s="614"/>
      <c r="F163" s="613">
        <v>7665.29</v>
      </c>
      <c r="G163" s="614" t="s">
        <v>2701</v>
      </c>
      <c r="H163" s="614"/>
      <c r="I163" s="613">
        <v>730.44</v>
      </c>
      <c r="J163" s="613">
        <v>0</v>
      </c>
      <c r="K163" s="613">
        <v>7665.29</v>
      </c>
      <c r="L163" s="613">
        <v>0</v>
      </c>
      <c r="N163" s="620">
        <f t="shared" si="2"/>
        <v>7665.29</v>
      </c>
    </row>
    <row r="164" spans="1:14" outlineLevel="1" x14ac:dyDescent="0.25">
      <c r="A164" s="611">
        <v>4534</v>
      </c>
      <c r="B164" s="612" t="s">
        <v>4638</v>
      </c>
      <c r="C164" s="613"/>
      <c r="D164" s="614"/>
      <c r="E164" s="614"/>
      <c r="F164" s="613">
        <v>4733.12</v>
      </c>
      <c r="G164" s="614" t="s">
        <v>2701</v>
      </c>
      <c r="H164" s="614"/>
      <c r="I164" s="613">
        <v>317.27</v>
      </c>
      <c r="J164" s="613">
        <v>0</v>
      </c>
      <c r="K164" s="613">
        <v>4733.12</v>
      </c>
      <c r="L164" s="613">
        <v>0</v>
      </c>
      <c r="N164" s="620">
        <f t="shared" si="2"/>
        <v>4733.12</v>
      </c>
    </row>
    <row r="165" spans="1:14" outlineLevel="1" x14ac:dyDescent="0.25">
      <c r="A165" s="611">
        <v>4535</v>
      </c>
      <c r="B165" s="612" t="s">
        <v>4639</v>
      </c>
      <c r="C165" s="613"/>
      <c r="D165" s="614"/>
      <c r="E165" s="614"/>
      <c r="F165" s="613">
        <v>2348.25</v>
      </c>
      <c r="G165" s="614" t="s">
        <v>2701</v>
      </c>
      <c r="H165" s="614"/>
      <c r="I165" s="613"/>
      <c r="J165" s="613"/>
      <c r="K165" s="613">
        <v>2348.25</v>
      </c>
      <c r="L165" s="613">
        <v>0</v>
      </c>
      <c r="N165" s="620">
        <f t="shared" si="2"/>
        <v>2348.25</v>
      </c>
    </row>
    <row r="166" spans="1:14" outlineLevel="1" x14ac:dyDescent="0.25">
      <c r="A166" s="611">
        <v>4536</v>
      </c>
      <c r="B166" s="612" t="s">
        <v>4640</v>
      </c>
      <c r="C166" s="613"/>
      <c r="D166" s="614"/>
      <c r="E166" s="614"/>
      <c r="F166" s="613">
        <v>2373.5300000000002</v>
      </c>
      <c r="G166" s="614" t="s">
        <v>2701</v>
      </c>
      <c r="H166" s="614"/>
      <c r="I166" s="613">
        <v>362.09</v>
      </c>
      <c r="J166" s="613">
        <v>0</v>
      </c>
      <c r="K166" s="613">
        <v>2373.5300000000002</v>
      </c>
      <c r="L166" s="613">
        <v>0</v>
      </c>
      <c r="N166" s="620">
        <f t="shared" si="2"/>
        <v>2373.5300000000002</v>
      </c>
    </row>
    <row r="167" spans="1:14" outlineLevel="1" x14ac:dyDescent="0.25">
      <c r="A167" s="611">
        <v>4537</v>
      </c>
      <c r="B167" s="612" t="s">
        <v>4641</v>
      </c>
      <c r="C167" s="613"/>
      <c r="D167" s="614"/>
      <c r="E167" s="614"/>
      <c r="F167" s="613">
        <v>1771.02</v>
      </c>
      <c r="G167" s="614" t="s">
        <v>2701</v>
      </c>
      <c r="H167" s="614"/>
      <c r="I167" s="613">
        <v>115.35</v>
      </c>
      <c r="J167" s="613">
        <v>0</v>
      </c>
      <c r="K167" s="613">
        <v>1771.02</v>
      </c>
      <c r="L167" s="613">
        <v>0</v>
      </c>
      <c r="N167" s="620">
        <f t="shared" si="2"/>
        <v>1771.02</v>
      </c>
    </row>
    <row r="168" spans="1:14" outlineLevel="1" x14ac:dyDescent="0.25">
      <c r="A168" s="611">
        <v>4538</v>
      </c>
      <c r="B168" s="612" t="s">
        <v>4642</v>
      </c>
      <c r="C168" s="613"/>
      <c r="D168" s="614"/>
      <c r="E168" s="614"/>
      <c r="F168" s="613">
        <v>6416.06</v>
      </c>
      <c r="G168" s="614" t="s">
        <v>2701</v>
      </c>
      <c r="H168" s="614"/>
      <c r="I168" s="613">
        <v>503.95</v>
      </c>
      <c r="J168" s="613">
        <v>0</v>
      </c>
      <c r="K168" s="613">
        <v>6416.06</v>
      </c>
      <c r="L168" s="613">
        <v>0</v>
      </c>
      <c r="N168" s="620">
        <f t="shared" si="2"/>
        <v>6416.06</v>
      </c>
    </row>
    <row r="169" spans="1:14" outlineLevel="1" x14ac:dyDescent="0.25">
      <c r="A169" s="611">
        <v>4540</v>
      </c>
      <c r="B169" s="612" t="s">
        <v>4643</v>
      </c>
      <c r="C169" s="613"/>
      <c r="D169" s="614"/>
      <c r="E169" s="614"/>
      <c r="F169" s="613">
        <v>4132.87</v>
      </c>
      <c r="G169" s="614" t="s">
        <v>2701</v>
      </c>
      <c r="H169" s="614"/>
      <c r="I169" s="613">
        <v>855.4</v>
      </c>
      <c r="J169" s="613">
        <v>0</v>
      </c>
      <c r="K169" s="613">
        <v>4132.87</v>
      </c>
      <c r="L169" s="613">
        <v>0</v>
      </c>
      <c r="N169" s="620">
        <f t="shared" si="2"/>
        <v>4132.87</v>
      </c>
    </row>
    <row r="170" spans="1:14" outlineLevel="1" x14ac:dyDescent="0.25">
      <c r="A170" s="611">
        <v>4542</v>
      </c>
      <c r="B170" s="612" t="s">
        <v>4644</v>
      </c>
      <c r="C170" s="613"/>
      <c r="D170" s="614"/>
      <c r="E170" s="614"/>
      <c r="F170" s="613">
        <v>2956.24</v>
      </c>
      <c r="G170" s="614" t="s">
        <v>2701</v>
      </c>
      <c r="H170" s="614"/>
      <c r="I170" s="613"/>
      <c r="J170" s="613"/>
      <c r="K170" s="613">
        <v>2956.24</v>
      </c>
      <c r="L170" s="613">
        <v>0</v>
      </c>
      <c r="N170" s="620">
        <f t="shared" si="2"/>
        <v>2956.24</v>
      </c>
    </row>
    <row r="171" spans="1:14" outlineLevel="1" x14ac:dyDescent="0.25">
      <c r="A171" s="611">
        <v>4543</v>
      </c>
      <c r="B171" s="612" t="s">
        <v>4645</v>
      </c>
      <c r="C171" s="613"/>
      <c r="D171" s="614"/>
      <c r="E171" s="614"/>
      <c r="F171" s="613">
        <v>4533.32</v>
      </c>
      <c r="G171" s="614" t="s">
        <v>2701</v>
      </c>
      <c r="H171" s="614"/>
      <c r="I171" s="613">
        <v>31.84</v>
      </c>
      <c r="J171" s="613">
        <v>0</v>
      </c>
      <c r="K171" s="613">
        <v>4533.32</v>
      </c>
      <c r="L171" s="613">
        <v>0</v>
      </c>
      <c r="N171" s="620">
        <f t="shared" si="2"/>
        <v>4533.32</v>
      </c>
    </row>
    <row r="172" spans="1:14" outlineLevel="1" x14ac:dyDescent="0.25">
      <c r="A172" s="611">
        <v>4544</v>
      </c>
      <c r="B172" s="612" t="s">
        <v>4646</v>
      </c>
      <c r="C172" s="613"/>
      <c r="D172" s="614"/>
      <c r="E172" s="614"/>
      <c r="F172" s="613">
        <v>6782.12</v>
      </c>
      <c r="G172" s="614" t="s">
        <v>2701</v>
      </c>
      <c r="H172" s="614"/>
      <c r="I172" s="613"/>
      <c r="J172" s="613"/>
      <c r="K172" s="613">
        <v>6782.12</v>
      </c>
      <c r="L172" s="613">
        <v>0</v>
      </c>
      <c r="N172" s="620">
        <f t="shared" si="2"/>
        <v>6782.12</v>
      </c>
    </row>
    <row r="173" spans="1:14" outlineLevel="1" x14ac:dyDescent="0.25">
      <c r="A173" s="611">
        <v>4545</v>
      </c>
      <c r="B173" s="612" t="s">
        <v>4647</v>
      </c>
      <c r="C173" s="613"/>
      <c r="D173" s="614"/>
      <c r="E173" s="614"/>
      <c r="F173" s="613">
        <v>1347.09</v>
      </c>
      <c r="G173" s="614" t="s">
        <v>2701</v>
      </c>
      <c r="H173" s="614"/>
      <c r="I173" s="613">
        <v>170.42</v>
      </c>
      <c r="J173" s="613">
        <v>0</v>
      </c>
      <c r="K173" s="613">
        <v>1347.09</v>
      </c>
      <c r="L173" s="613">
        <v>0</v>
      </c>
      <c r="N173" s="620">
        <f t="shared" si="2"/>
        <v>1347.09</v>
      </c>
    </row>
    <row r="174" spans="1:14" outlineLevel="1" x14ac:dyDescent="0.25">
      <c r="A174" s="611">
        <v>4546</v>
      </c>
      <c r="B174" s="612" t="s">
        <v>4648</v>
      </c>
      <c r="C174" s="613"/>
      <c r="D174" s="614"/>
      <c r="E174" s="614"/>
      <c r="F174" s="613">
        <v>1817.07</v>
      </c>
      <c r="G174" s="614" t="s">
        <v>2701</v>
      </c>
      <c r="H174" s="614"/>
      <c r="I174" s="613"/>
      <c r="J174" s="613"/>
      <c r="K174" s="613">
        <v>1817.07</v>
      </c>
      <c r="L174" s="613">
        <v>0</v>
      </c>
      <c r="N174" s="620">
        <f t="shared" si="2"/>
        <v>1817.07</v>
      </c>
    </row>
    <row r="175" spans="1:14" outlineLevel="1" x14ac:dyDescent="0.25">
      <c r="A175" s="611">
        <v>4547</v>
      </c>
      <c r="B175" s="612" t="s">
        <v>4649</v>
      </c>
      <c r="C175" s="613"/>
      <c r="D175" s="614"/>
      <c r="E175" s="614"/>
      <c r="F175" s="613">
        <v>2490.8000000000002</v>
      </c>
      <c r="G175" s="614" t="s">
        <v>2701</v>
      </c>
      <c r="H175" s="614"/>
      <c r="I175" s="613"/>
      <c r="J175" s="613"/>
      <c r="K175" s="613">
        <v>2490.8000000000002</v>
      </c>
      <c r="L175" s="613">
        <v>0</v>
      </c>
      <c r="N175" s="620">
        <f t="shared" si="2"/>
        <v>2490.8000000000002</v>
      </c>
    </row>
    <row r="176" spans="1:14" outlineLevel="1" x14ac:dyDescent="0.25">
      <c r="A176" s="611">
        <v>4548</v>
      </c>
      <c r="B176" s="612" t="s">
        <v>4650</v>
      </c>
      <c r="C176" s="613"/>
      <c r="D176" s="614"/>
      <c r="E176" s="614"/>
      <c r="F176" s="613">
        <v>4955.8599999999997</v>
      </c>
      <c r="G176" s="614" t="s">
        <v>2701</v>
      </c>
      <c r="H176" s="614"/>
      <c r="I176" s="613">
        <v>315.02999999999997</v>
      </c>
      <c r="J176" s="613">
        <v>0</v>
      </c>
      <c r="K176" s="613">
        <v>4955.8599999999997</v>
      </c>
      <c r="L176" s="613">
        <v>0</v>
      </c>
      <c r="N176" s="620">
        <f t="shared" si="2"/>
        <v>4955.8599999999997</v>
      </c>
    </row>
    <row r="177" spans="1:14" outlineLevel="1" x14ac:dyDescent="0.25">
      <c r="A177" s="611">
        <v>4549</v>
      </c>
      <c r="B177" s="612" t="s">
        <v>4651</v>
      </c>
      <c r="C177" s="613"/>
      <c r="D177" s="614"/>
      <c r="E177" s="614"/>
      <c r="F177" s="613">
        <v>300</v>
      </c>
      <c r="G177" s="614" t="s">
        <v>2701</v>
      </c>
      <c r="H177" s="614"/>
      <c r="I177" s="613">
        <v>32</v>
      </c>
      <c r="J177" s="613">
        <v>0</v>
      </c>
      <c r="K177" s="613">
        <v>300</v>
      </c>
      <c r="L177" s="613">
        <v>0</v>
      </c>
      <c r="N177" s="620">
        <f t="shared" si="2"/>
        <v>300</v>
      </c>
    </row>
    <row r="178" spans="1:14" outlineLevel="1" x14ac:dyDescent="0.25">
      <c r="A178" s="611">
        <v>4570</v>
      </c>
      <c r="B178" s="612" t="s">
        <v>4652</v>
      </c>
      <c r="C178" s="613"/>
      <c r="D178" s="614"/>
      <c r="E178" s="614"/>
      <c r="F178" s="613">
        <v>11100.96</v>
      </c>
      <c r="G178" s="614" t="s">
        <v>2701</v>
      </c>
      <c r="H178" s="614"/>
      <c r="I178" s="613">
        <v>925.08</v>
      </c>
      <c r="J178" s="613">
        <v>0</v>
      </c>
      <c r="K178" s="613">
        <v>11100.96</v>
      </c>
      <c r="L178" s="613">
        <v>0</v>
      </c>
      <c r="N178" s="620">
        <f t="shared" si="2"/>
        <v>11100.96</v>
      </c>
    </row>
    <row r="179" spans="1:14" outlineLevel="1" x14ac:dyDescent="0.25">
      <c r="A179" s="611">
        <v>4572</v>
      </c>
      <c r="B179" s="612" t="s">
        <v>4653</v>
      </c>
      <c r="C179" s="613"/>
      <c r="D179" s="614"/>
      <c r="E179" s="614"/>
      <c r="F179" s="613">
        <v>20313.72</v>
      </c>
      <c r="G179" s="614" t="s">
        <v>2701</v>
      </c>
      <c r="H179" s="614"/>
      <c r="I179" s="613">
        <v>1692.81</v>
      </c>
      <c r="J179" s="613">
        <v>0</v>
      </c>
      <c r="K179" s="613">
        <v>20313.72</v>
      </c>
      <c r="L179" s="613">
        <v>0</v>
      </c>
      <c r="N179" s="620">
        <f t="shared" si="2"/>
        <v>20313.72</v>
      </c>
    </row>
    <row r="180" spans="1:14" outlineLevel="1" x14ac:dyDescent="0.25">
      <c r="A180" s="611">
        <v>4573</v>
      </c>
      <c r="B180" s="612" t="s">
        <v>4654</v>
      </c>
      <c r="C180" s="613"/>
      <c r="D180" s="614"/>
      <c r="E180" s="614"/>
      <c r="F180" s="613">
        <v>15812.52</v>
      </c>
      <c r="G180" s="614" t="s">
        <v>2701</v>
      </c>
      <c r="H180" s="614"/>
      <c r="I180" s="613">
        <v>1317.71</v>
      </c>
      <c r="J180" s="613">
        <v>0</v>
      </c>
      <c r="K180" s="613">
        <v>15812.52</v>
      </c>
      <c r="L180" s="613">
        <v>0</v>
      </c>
      <c r="N180" s="620">
        <f t="shared" si="2"/>
        <v>15812.52</v>
      </c>
    </row>
    <row r="181" spans="1:14" outlineLevel="1" x14ac:dyDescent="0.25">
      <c r="A181" s="611">
        <v>4574</v>
      </c>
      <c r="B181" s="612" t="s">
        <v>4655</v>
      </c>
      <c r="C181" s="613"/>
      <c r="D181" s="614"/>
      <c r="E181" s="614"/>
      <c r="F181" s="613">
        <v>14092.12</v>
      </c>
      <c r="G181" s="614" t="s">
        <v>2701</v>
      </c>
      <c r="H181" s="614"/>
      <c r="I181" s="613">
        <v>1203</v>
      </c>
      <c r="J181" s="613">
        <v>0</v>
      </c>
      <c r="K181" s="613">
        <v>14458.32</v>
      </c>
      <c r="L181" s="613">
        <v>366.2</v>
      </c>
      <c r="N181" s="620">
        <f t="shared" si="2"/>
        <v>14092.12</v>
      </c>
    </row>
    <row r="182" spans="1:14" outlineLevel="1" x14ac:dyDescent="0.25">
      <c r="A182" s="611">
        <v>4575</v>
      </c>
      <c r="B182" s="612" t="s">
        <v>4656</v>
      </c>
      <c r="C182" s="613"/>
      <c r="D182" s="614"/>
      <c r="E182" s="614"/>
      <c r="F182" s="613">
        <v>19059.45</v>
      </c>
      <c r="G182" s="614" t="s">
        <v>2701</v>
      </c>
      <c r="H182" s="614"/>
      <c r="I182" s="613">
        <v>1584.59</v>
      </c>
      <c r="J182" s="613">
        <v>0</v>
      </c>
      <c r="K182" s="613">
        <v>19059.45</v>
      </c>
      <c r="L182" s="613">
        <v>0</v>
      </c>
      <c r="N182" s="620">
        <f t="shared" si="2"/>
        <v>19059.45</v>
      </c>
    </row>
    <row r="183" spans="1:14" outlineLevel="1" x14ac:dyDescent="0.25">
      <c r="A183" s="611">
        <v>4576</v>
      </c>
      <c r="B183" s="612" t="s">
        <v>4657</v>
      </c>
      <c r="C183" s="613"/>
      <c r="D183" s="614"/>
      <c r="E183" s="614"/>
      <c r="F183" s="613">
        <v>32325.599999999999</v>
      </c>
      <c r="G183" s="614" t="s">
        <v>2701</v>
      </c>
      <c r="H183" s="614"/>
      <c r="I183" s="613">
        <v>2693.8</v>
      </c>
      <c r="J183" s="613">
        <v>0</v>
      </c>
      <c r="K183" s="613">
        <v>32325.599999999999</v>
      </c>
      <c r="L183" s="613">
        <v>0</v>
      </c>
      <c r="N183" s="620">
        <f t="shared" si="2"/>
        <v>32325.599999999999</v>
      </c>
    </row>
    <row r="184" spans="1:14" outlineLevel="1" x14ac:dyDescent="0.25">
      <c r="A184" s="611">
        <v>4577</v>
      </c>
      <c r="B184" s="612" t="s">
        <v>4658</v>
      </c>
      <c r="C184" s="613"/>
      <c r="D184" s="614"/>
      <c r="E184" s="614"/>
      <c r="F184" s="613">
        <v>16812</v>
      </c>
      <c r="G184" s="614" t="s">
        <v>2701</v>
      </c>
      <c r="H184" s="614"/>
      <c r="I184" s="613">
        <v>1401</v>
      </c>
      <c r="J184" s="613">
        <v>0</v>
      </c>
      <c r="K184" s="613">
        <v>16812</v>
      </c>
      <c r="L184" s="613">
        <v>0</v>
      </c>
      <c r="N184" s="620">
        <f t="shared" si="2"/>
        <v>16812</v>
      </c>
    </row>
    <row r="185" spans="1:14" outlineLevel="1" x14ac:dyDescent="0.25">
      <c r="A185" s="611">
        <v>4578</v>
      </c>
      <c r="B185" s="612" t="s">
        <v>4659</v>
      </c>
      <c r="C185" s="613"/>
      <c r="D185" s="614"/>
      <c r="E185" s="614"/>
      <c r="F185" s="613">
        <v>14367.84</v>
      </c>
      <c r="G185" s="614" t="s">
        <v>2701</v>
      </c>
      <c r="H185" s="614"/>
      <c r="I185" s="613">
        <v>1197.32</v>
      </c>
      <c r="J185" s="613">
        <v>0</v>
      </c>
      <c r="K185" s="613">
        <v>14367.84</v>
      </c>
      <c r="L185" s="613">
        <v>0</v>
      </c>
      <c r="N185" s="620">
        <f t="shared" si="2"/>
        <v>14367.84</v>
      </c>
    </row>
    <row r="186" spans="1:14" outlineLevel="1" x14ac:dyDescent="0.25">
      <c r="A186" s="611">
        <v>4579</v>
      </c>
      <c r="B186" s="612" t="s">
        <v>4660</v>
      </c>
      <c r="C186" s="613"/>
      <c r="D186" s="614"/>
      <c r="E186" s="614"/>
      <c r="F186" s="613">
        <v>8453.76</v>
      </c>
      <c r="G186" s="614" t="s">
        <v>2701</v>
      </c>
      <c r="H186" s="614"/>
      <c r="I186" s="613">
        <v>885.8</v>
      </c>
      <c r="J186" s="613">
        <v>0</v>
      </c>
      <c r="K186" s="613">
        <v>8453.76</v>
      </c>
      <c r="L186" s="613">
        <v>0</v>
      </c>
      <c r="N186" s="620">
        <f t="shared" si="2"/>
        <v>8453.76</v>
      </c>
    </row>
    <row r="187" spans="1:14" outlineLevel="1" x14ac:dyDescent="0.25">
      <c r="A187" s="611">
        <v>4580</v>
      </c>
      <c r="B187" s="612" t="s">
        <v>4661</v>
      </c>
      <c r="C187" s="613"/>
      <c r="D187" s="614"/>
      <c r="E187" s="614"/>
      <c r="F187" s="613">
        <v>448.96</v>
      </c>
      <c r="G187" s="614" t="s">
        <v>2701</v>
      </c>
      <c r="H187" s="614"/>
      <c r="I187" s="613">
        <v>22.06</v>
      </c>
      <c r="J187" s="613">
        <v>0</v>
      </c>
      <c r="K187" s="613">
        <v>448.96</v>
      </c>
      <c r="L187" s="613">
        <v>0</v>
      </c>
      <c r="N187" s="620">
        <f t="shared" si="2"/>
        <v>448.96</v>
      </c>
    </row>
    <row r="188" spans="1:14" outlineLevel="1" x14ac:dyDescent="0.25">
      <c r="A188" s="611">
        <v>4582</v>
      </c>
      <c r="B188" s="612" t="s">
        <v>4662</v>
      </c>
      <c r="C188" s="613"/>
      <c r="D188" s="614"/>
      <c r="E188" s="614"/>
      <c r="F188" s="613">
        <v>203.47</v>
      </c>
      <c r="G188" s="614" t="s">
        <v>2701</v>
      </c>
      <c r="H188" s="614"/>
      <c r="I188" s="613">
        <v>25.22</v>
      </c>
      <c r="J188" s="613">
        <v>0</v>
      </c>
      <c r="K188" s="613">
        <v>203.47</v>
      </c>
      <c r="L188" s="613">
        <v>0</v>
      </c>
      <c r="N188" s="620">
        <f t="shared" si="2"/>
        <v>203.47</v>
      </c>
    </row>
    <row r="189" spans="1:14" outlineLevel="1" x14ac:dyDescent="0.25">
      <c r="A189" s="611">
        <v>4583</v>
      </c>
      <c r="B189" s="612" t="s">
        <v>4663</v>
      </c>
      <c r="C189" s="613"/>
      <c r="D189" s="614"/>
      <c r="E189" s="614"/>
      <c r="F189" s="613">
        <v>598.22</v>
      </c>
      <c r="G189" s="614" t="s">
        <v>2701</v>
      </c>
      <c r="H189" s="614"/>
      <c r="I189" s="613">
        <v>31.93</v>
      </c>
      <c r="J189" s="613">
        <v>0</v>
      </c>
      <c r="K189" s="613">
        <v>598.22</v>
      </c>
      <c r="L189" s="613">
        <v>0</v>
      </c>
      <c r="N189" s="620">
        <f t="shared" si="2"/>
        <v>598.22</v>
      </c>
    </row>
    <row r="190" spans="1:14" outlineLevel="1" x14ac:dyDescent="0.25">
      <c r="A190" s="611">
        <v>4584</v>
      </c>
      <c r="B190" s="612" t="s">
        <v>4664</v>
      </c>
      <c r="C190" s="613"/>
      <c r="D190" s="614"/>
      <c r="E190" s="614"/>
      <c r="F190" s="613">
        <v>2415.56</v>
      </c>
      <c r="G190" s="614" t="s">
        <v>2701</v>
      </c>
      <c r="H190" s="614"/>
      <c r="I190" s="613">
        <v>48.15</v>
      </c>
      <c r="J190" s="613">
        <v>0</v>
      </c>
      <c r="K190" s="613">
        <v>2415.56</v>
      </c>
      <c r="L190" s="613">
        <v>0</v>
      </c>
      <c r="N190" s="620">
        <f t="shared" si="2"/>
        <v>2415.56</v>
      </c>
    </row>
    <row r="191" spans="1:14" outlineLevel="1" x14ac:dyDescent="0.25">
      <c r="A191" s="611">
        <v>4585</v>
      </c>
      <c r="B191" s="612" t="s">
        <v>4665</v>
      </c>
      <c r="C191" s="613"/>
      <c r="D191" s="614"/>
      <c r="E191" s="614"/>
      <c r="F191" s="613">
        <v>173.72</v>
      </c>
      <c r="G191" s="614" t="s">
        <v>2701</v>
      </c>
      <c r="H191" s="614"/>
      <c r="I191" s="613"/>
      <c r="J191" s="613"/>
      <c r="K191" s="613">
        <v>173.72</v>
      </c>
      <c r="L191" s="613">
        <v>0</v>
      </c>
      <c r="N191" s="620">
        <f t="shared" si="2"/>
        <v>173.72</v>
      </c>
    </row>
    <row r="192" spans="1:14" outlineLevel="1" x14ac:dyDescent="0.25">
      <c r="A192" s="611">
        <v>4586</v>
      </c>
      <c r="B192" s="612" t="s">
        <v>4666</v>
      </c>
      <c r="C192" s="613"/>
      <c r="D192" s="614"/>
      <c r="E192" s="614"/>
      <c r="F192" s="613">
        <v>122.86</v>
      </c>
      <c r="G192" s="614" t="s">
        <v>2701</v>
      </c>
      <c r="H192" s="614"/>
      <c r="I192" s="613"/>
      <c r="J192" s="613"/>
      <c r="K192" s="613">
        <v>122.86</v>
      </c>
      <c r="L192" s="613">
        <v>0</v>
      </c>
      <c r="N192" s="620">
        <f t="shared" si="2"/>
        <v>122.86</v>
      </c>
    </row>
    <row r="193" spans="1:14" outlineLevel="1" x14ac:dyDescent="0.25">
      <c r="A193" s="611">
        <v>4587</v>
      </c>
      <c r="B193" s="612" t="s">
        <v>4667</v>
      </c>
      <c r="C193" s="613"/>
      <c r="D193" s="614"/>
      <c r="E193" s="614"/>
      <c r="F193" s="613">
        <v>263.62</v>
      </c>
      <c r="G193" s="614" t="s">
        <v>2701</v>
      </c>
      <c r="H193" s="614"/>
      <c r="I193" s="613">
        <v>34.450000000000003</v>
      </c>
      <c r="J193" s="613">
        <v>0</v>
      </c>
      <c r="K193" s="613">
        <v>263.62</v>
      </c>
      <c r="L193" s="613">
        <v>0</v>
      </c>
      <c r="N193" s="620">
        <f t="shared" si="2"/>
        <v>263.62</v>
      </c>
    </row>
    <row r="194" spans="1:14" outlineLevel="1" x14ac:dyDescent="0.25">
      <c r="A194" s="611">
        <v>4588</v>
      </c>
      <c r="B194" s="612" t="s">
        <v>4668</v>
      </c>
      <c r="C194" s="613"/>
      <c r="D194" s="614"/>
      <c r="E194" s="614"/>
      <c r="F194" s="613">
        <v>784.18</v>
      </c>
      <c r="G194" s="614" t="s">
        <v>2701</v>
      </c>
      <c r="H194" s="614"/>
      <c r="I194" s="613">
        <v>133.31</v>
      </c>
      <c r="J194" s="613">
        <v>0</v>
      </c>
      <c r="K194" s="613">
        <v>784.18</v>
      </c>
      <c r="L194" s="613">
        <v>0</v>
      </c>
      <c r="N194" s="620">
        <f t="shared" si="2"/>
        <v>784.18</v>
      </c>
    </row>
    <row r="195" spans="1:14" outlineLevel="1" x14ac:dyDescent="0.25">
      <c r="A195" s="611">
        <v>4595</v>
      </c>
      <c r="B195" s="612" t="s">
        <v>2477</v>
      </c>
      <c r="C195" s="613"/>
      <c r="D195" s="614"/>
      <c r="E195" s="614"/>
      <c r="F195" s="613">
        <v>1935.53</v>
      </c>
      <c r="G195" s="614" t="s">
        <v>2701</v>
      </c>
      <c r="H195" s="614"/>
      <c r="I195" s="613"/>
      <c r="J195" s="613"/>
      <c r="K195" s="613">
        <v>1935.53</v>
      </c>
      <c r="L195" s="613">
        <v>0</v>
      </c>
      <c r="N195" s="620">
        <f t="shared" si="2"/>
        <v>1935.53</v>
      </c>
    </row>
    <row r="196" spans="1:14" outlineLevel="1" x14ac:dyDescent="0.25">
      <c r="A196" s="611">
        <v>4600</v>
      </c>
      <c r="B196" s="612" t="s">
        <v>4669</v>
      </c>
      <c r="C196" s="613"/>
      <c r="D196" s="614"/>
      <c r="E196" s="614"/>
      <c r="F196" s="613">
        <v>10639.48</v>
      </c>
      <c r="G196" s="614" t="s">
        <v>2701</v>
      </c>
      <c r="H196" s="614"/>
      <c r="I196" s="613">
        <v>209.45</v>
      </c>
      <c r="J196" s="613">
        <v>0</v>
      </c>
      <c r="K196" s="613">
        <v>10639.48</v>
      </c>
      <c r="L196" s="613">
        <v>0</v>
      </c>
      <c r="N196" s="620">
        <f t="shared" ref="N196:N259" si="3">IF(G196="S",F196,-F196)</f>
        <v>10639.48</v>
      </c>
    </row>
    <row r="197" spans="1:14" outlineLevel="1" x14ac:dyDescent="0.25">
      <c r="A197" s="611">
        <v>4605</v>
      </c>
      <c r="B197" s="612" t="s">
        <v>4670</v>
      </c>
      <c r="C197" s="613"/>
      <c r="D197" s="614"/>
      <c r="E197" s="614"/>
      <c r="F197" s="613">
        <v>3473.14</v>
      </c>
      <c r="G197" s="614" t="s">
        <v>2701</v>
      </c>
      <c r="H197" s="614"/>
      <c r="I197" s="613">
        <v>397.95</v>
      </c>
      <c r="J197" s="613">
        <v>0</v>
      </c>
      <c r="K197" s="613">
        <v>3473.14</v>
      </c>
      <c r="L197" s="613">
        <v>0</v>
      </c>
      <c r="N197" s="620">
        <f t="shared" si="3"/>
        <v>3473.14</v>
      </c>
    </row>
    <row r="198" spans="1:14" outlineLevel="1" x14ac:dyDescent="0.25">
      <c r="A198" s="611">
        <v>4620</v>
      </c>
      <c r="B198" s="612" t="s">
        <v>4671</v>
      </c>
      <c r="C198" s="613"/>
      <c r="D198" s="614"/>
      <c r="E198" s="614"/>
      <c r="F198" s="613">
        <v>38372.14</v>
      </c>
      <c r="G198" s="614" t="s">
        <v>2701</v>
      </c>
      <c r="H198" s="614"/>
      <c r="I198" s="613"/>
      <c r="J198" s="613"/>
      <c r="K198" s="613">
        <v>38428.720000000001</v>
      </c>
      <c r="L198" s="613">
        <v>56.58</v>
      </c>
      <c r="N198" s="620">
        <f t="shared" si="3"/>
        <v>38372.14</v>
      </c>
    </row>
    <row r="199" spans="1:14" outlineLevel="1" x14ac:dyDescent="0.25">
      <c r="A199" s="611">
        <v>4631</v>
      </c>
      <c r="B199" s="612" t="s">
        <v>4672</v>
      </c>
      <c r="C199" s="613"/>
      <c r="D199" s="614"/>
      <c r="E199" s="614"/>
      <c r="F199" s="613">
        <v>18090.900000000001</v>
      </c>
      <c r="G199" s="614" t="s">
        <v>2701</v>
      </c>
      <c r="H199" s="614"/>
      <c r="I199" s="613">
        <v>18090.900000000001</v>
      </c>
      <c r="J199" s="613">
        <v>0</v>
      </c>
      <c r="K199" s="613">
        <v>18090.900000000001</v>
      </c>
      <c r="L199" s="613">
        <v>0</v>
      </c>
      <c r="N199" s="620">
        <f t="shared" si="3"/>
        <v>18090.900000000001</v>
      </c>
    </row>
    <row r="200" spans="1:14" outlineLevel="1" x14ac:dyDescent="0.25">
      <c r="A200" s="611">
        <v>4632</v>
      </c>
      <c r="B200" s="612" t="s">
        <v>4673</v>
      </c>
      <c r="C200" s="613"/>
      <c r="D200" s="614"/>
      <c r="E200" s="614"/>
      <c r="F200" s="613">
        <v>6569.62</v>
      </c>
      <c r="G200" s="614" t="s">
        <v>2701</v>
      </c>
      <c r="H200" s="614"/>
      <c r="I200" s="613">
        <v>6569.62</v>
      </c>
      <c r="J200" s="613">
        <v>0</v>
      </c>
      <c r="K200" s="613">
        <v>6569.62</v>
      </c>
      <c r="L200" s="613">
        <v>0</v>
      </c>
      <c r="N200" s="620">
        <f t="shared" si="3"/>
        <v>6569.62</v>
      </c>
    </row>
    <row r="201" spans="1:14" outlineLevel="1" x14ac:dyDescent="0.25">
      <c r="A201" s="611">
        <v>4640</v>
      </c>
      <c r="B201" s="612" t="s">
        <v>4674</v>
      </c>
      <c r="C201" s="613"/>
      <c r="D201" s="614"/>
      <c r="E201" s="614"/>
      <c r="F201" s="613">
        <v>12944.08</v>
      </c>
      <c r="G201" s="614" t="s">
        <v>2701</v>
      </c>
      <c r="H201" s="614"/>
      <c r="I201" s="613">
        <v>5411.43</v>
      </c>
      <c r="J201" s="613">
        <v>18141.18</v>
      </c>
      <c r="K201" s="613">
        <v>31085.26</v>
      </c>
      <c r="L201" s="613">
        <v>18141.18</v>
      </c>
      <c r="N201" s="620">
        <f t="shared" si="3"/>
        <v>12944.08</v>
      </c>
    </row>
    <row r="202" spans="1:14" outlineLevel="1" x14ac:dyDescent="0.25">
      <c r="A202" s="611">
        <v>4650</v>
      </c>
      <c r="B202" s="612" t="s">
        <v>4675</v>
      </c>
      <c r="C202" s="613"/>
      <c r="D202" s="614"/>
      <c r="E202" s="614"/>
      <c r="F202" s="613">
        <v>2521.04</v>
      </c>
      <c r="G202" s="614" t="s">
        <v>2701</v>
      </c>
      <c r="H202" s="614"/>
      <c r="I202" s="613">
        <v>305.98</v>
      </c>
      <c r="J202" s="613">
        <v>91.8</v>
      </c>
      <c r="K202" s="613">
        <v>3601.52</v>
      </c>
      <c r="L202" s="613">
        <v>1080.48</v>
      </c>
      <c r="N202" s="620">
        <f t="shared" si="3"/>
        <v>2521.04</v>
      </c>
    </row>
    <row r="203" spans="1:14" outlineLevel="1" x14ac:dyDescent="0.25">
      <c r="A203" s="611">
        <v>4654</v>
      </c>
      <c r="B203" s="612" t="s">
        <v>4676</v>
      </c>
      <c r="C203" s="613"/>
      <c r="D203" s="614"/>
      <c r="E203" s="614"/>
      <c r="F203" s="613">
        <v>1080.48</v>
      </c>
      <c r="G203" s="614" t="s">
        <v>2701</v>
      </c>
      <c r="H203" s="614"/>
      <c r="I203" s="613">
        <v>91.8</v>
      </c>
      <c r="J203" s="613">
        <v>0</v>
      </c>
      <c r="K203" s="613">
        <v>1080.48</v>
      </c>
      <c r="L203" s="613">
        <v>0</v>
      </c>
      <c r="N203" s="620">
        <f t="shared" si="3"/>
        <v>1080.48</v>
      </c>
    </row>
    <row r="204" spans="1:14" outlineLevel="1" x14ac:dyDescent="0.25">
      <c r="A204" s="611">
        <v>4660</v>
      </c>
      <c r="B204" s="612" t="s">
        <v>4742</v>
      </c>
      <c r="C204" s="613"/>
      <c r="D204" s="614"/>
      <c r="E204" s="614"/>
      <c r="F204" s="613">
        <v>30799.119999999999</v>
      </c>
      <c r="G204" s="614" t="s">
        <v>2701</v>
      </c>
      <c r="H204" s="614"/>
      <c r="I204" s="613">
        <v>30799.119999999999</v>
      </c>
      <c r="J204" s="613">
        <v>0</v>
      </c>
      <c r="K204" s="613">
        <v>30799.119999999999</v>
      </c>
      <c r="L204" s="613">
        <v>0</v>
      </c>
      <c r="N204" s="620">
        <f t="shared" si="3"/>
        <v>30799.119999999999</v>
      </c>
    </row>
    <row r="205" spans="1:14" outlineLevel="1" x14ac:dyDescent="0.25">
      <c r="A205" s="611">
        <v>4663</v>
      </c>
      <c r="B205" s="612" t="s">
        <v>4677</v>
      </c>
      <c r="C205" s="613"/>
      <c r="D205" s="614"/>
      <c r="E205" s="614"/>
      <c r="F205" s="613">
        <v>6417.46</v>
      </c>
      <c r="G205" s="614" t="s">
        <v>2701</v>
      </c>
      <c r="H205" s="614"/>
      <c r="I205" s="613">
        <v>525.83000000000004</v>
      </c>
      <c r="J205" s="613">
        <v>0</v>
      </c>
      <c r="K205" s="613">
        <v>6417.46</v>
      </c>
      <c r="L205" s="613">
        <v>0</v>
      </c>
      <c r="N205" s="620">
        <f t="shared" si="3"/>
        <v>6417.46</v>
      </c>
    </row>
    <row r="206" spans="1:14" outlineLevel="1" x14ac:dyDescent="0.25">
      <c r="A206" s="611">
        <v>4664</v>
      </c>
      <c r="B206" s="612" t="s">
        <v>4678</v>
      </c>
      <c r="C206" s="613"/>
      <c r="D206" s="614"/>
      <c r="E206" s="614"/>
      <c r="F206" s="613">
        <v>7137.6</v>
      </c>
      <c r="G206" s="614" t="s">
        <v>2701</v>
      </c>
      <c r="H206" s="614"/>
      <c r="I206" s="613">
        <v>748.4</v>
      </c>
      <c r="J206" s="613">
        <v>0</v>
      </c>
      <c r="K206" s="613">
        <v>7137.6</v>
      </c>
      <c r="L206" s="613">
        <v>0</v>
      </c>
      <c r="N206" s="620">
        <f t="shared" si="3"/>
        <v>7137.6</v>
      </c>
    </row>
    <row r="207" spans="1:14" outlineLevel="1" x14ac:dyDescent="0.25">
      <c r="A207" s="611">
        <v>4666</v>
      </c>
      <c r="B207" s="612" t="s">
        <v>4679</v>
      </c>
      <c r="C207" s="613"/>
      <c r="D207" s="614"/>
      <c r="E207" s="614"/>
      <c r="F207" s="613">
        <v>24976.45</v>
      </c>
      <c r="G207" s="614" t="s">
        <v>2701</v>
      </c>
      <c r="H207" s="614"/>
      <c r="I207" s="613">
        <v>1356.39</v>
      </c>
      <c r="J207" s="613">
        <v>0</v>
      </c>
      <c r="K207" s="613">
        <v>25613.759999999998</v>
      </c>
      <c r="L207" s="613">
        <v>637.30999999999995</v>
      </c>
      <c r="N207" s="620">
        <f t="shared" si="3"/>
        <v>24976.45</v>
      </c>
    </row>
    <row r="208" spans="1:14" outlineLevel="1" x14ac:dyDescent="0.25">
      <c r="A208" s="611">
        <v>4668</v>
      </c>
      <c r="B208" s="612" t="s">
        <v>4680</v>
      </c>
      <c r="C208" s="613"/>
      <c r="D208" s="614"/>
      <c r="E208" s="614"/>
      <c r="F208" s="613">
        <v>594.15</v>
      </c>
      <c r="G208" s="614" t="s">
        <v>2701</v>
      </c>
      <c r="H208" s="614"/>
      <c r="I208" s="613">
        <v>5.0999999999999996</v>
      </c>
      <c r="J208" s="613">
        <v>0</v>
      </c>
      <c r="K208" s="613">
        <v>594.15</v>
      </c>
      <c r="L208" s="613">
        <v>0</v>
      </c>
      <c r="N208" s="620">
        <f t="shared" si="3"/>
        <v>594.15</v>
      </c>
    </row>
    <row r="209" spans="1:14" outlineLevel="1" x14ac:dyDescent="0.25">
      <c r="A209" s="611">
        <v>4730</v>
      </c>
      <c r="B209" s="612" t="s">
        <v>4681</v>
      </c>
      <c r="C209" s="613"/>
      <c r="D209" s="614"/>
      <c r="E209" s="614"/>
      <c r="F209" s="613">
        <v>354655.7</v>
      </c>
      <c r="G209" s="614" t="s">
        <v>2701</v>
      </c>
      <c r="H209" s="614"/>
      <c r="I209" s="613">
        <v>29199.15</v>
      </c>
      <c r="J209" s="613">
        <v>0</v>
      </c>
      <c r="K209" s="613">
        <v>359043.57</v>
      </c>
      <c r="L209" s="613">
        <v>4387.87</v>
      </c>
      <c r="N209" s="620">
        <f t="shared" si="3"/>
        <v>354655.7</v>
      </c>
    </row>
    <row r="210" spans="1:14" outlineLevel="1" x14ac:dyDescent="0.25">
      <c r="A210" s="611">
        <v>4780</v>
      </c>
      <c r="B210" s="612" t="s">
        <v>4736</v>
      </c>
      <c r="C210" s="613"/>
      <c r="D210" s="614"/>
      <c r="E210" s="614"/>
      <c r="F210" s="613">
        <v>932.14</v>
      </c>
      <c r="G210" s="614" t="s">
        <v>2701</v>
      </c>
      <c r="H210" s="614"/>
      <c r="I210" s="613"/>
      <c r="J210" s="613"/>
      <c r="K210" s="613">
        <v>932.14</v>
      </c>
      <c r="L210" s="613">
        <v>0</v>
      </c>
      <c r="N210" s="620">
        <f t="shared" si="3"/>
        <v>932.14</v>
      </c>
    </row>
    <row r="211" spans="1:14" outlineLevel="1" x14ac:dyDescent="0.25">
      <c r="A211" s="611">
        <v>4790</v>
      </c>
      <c r="B211" s="612" t="s">
        <v>4682</v>
      </c>
      <c r="C211" s="613"/>
      <c r="D211" s="614"/>
      <c r="E211" s="614"/>
      <c r="F211" s="613">
        <v>0</v>
      </c>
      <c r="G211" s="614"/>
      <c r="H211" s="614"/>
      <c r="I211" s="613"/>
      <c r="J211" s="613"/>
      <c r="K211" s="613">
        <v>0</v>
      </c>
      <c r="L211" s="613">
        <v>0</v>
      </c>
      <c r="N211" s="620">
        <f t="shared" si="3"/>
        <v>0</v>
      </c>
    </row>
    <row r="212" spans="1:14" outlineLevel="1" x14ac:dyDescent="0.25">
      <c r="A212" s="611">
        <v>4800</v>
      </c>
      <c r="B212" s="612" t="s">
        <v>4683</v>
      </c>
      <c r="C212" s="613"/>
      <c r="D212" s="614"/>
      <c r="E212" s="614"/>
      <c r="F212" s="613">
        <v>61969.7</v>
      </c>
      <c r="G212" s="614" t="s">
        <v>2701</v>
      </c>
      <c r="H212" s="614"/>
      <c r="I212" s="613">
        <v>842.29</v>
      </c>
      <c r="J212" s="613">
        <v>0</v>
      </c>
      <c r="K212" s="613">
        <v>62137.7</v>
      </c>
      <c r="L212" s="613">
        <v>168</v>
      </c>
      <c r="N212" s="620">
        <f t="shared" si="3"/>
        <v>61969.7</v>
      </c>
    </row>
    <row r="213" spans="1:14" outlineLevel="1" x14ac:dyDescent="0.25">
      <c r="A213" s="611">
        <v>4805</v>
      </c>
      <c r="B213" s="612" t="s">
        <v>4684</v>
      </c>
      <c r="C213" s="613"/>
      <c r="D213" s="614"/>
      <c r="E213" s="614"/>
      <c r="F213" s="613">
        <v>11286.46</v>
      </c>
      <c r="G213" s="614" t="s">
        <v>2701</v>
      </c>
      <c r="H213" s="614"/>
      <c r="I213" s="613"/>
      <c r="J213" s="613"/>
      <c r="K213" s="613">
        <v>11305.27</v>
      </c>
      <c r="L213" s="613">
        <v>18.809999999999999</v>
      </c>
      <c r="N213" s="620">
        <f t="shared" si="3"/>
        <v>11286.46</v>
      </c>
    </row>
    <row r="214" spans="1:14" outlineLevel="1" x14ac:dyDescent="0.25">
      <c r="A214" s="611">
        <v>4806</v>
      </c>
      <c r="B214" s="612" t="s">
        <v>4685</v>
      </c>
      <c r="C214" s="613"/>
      <c r="D214" s="614"/>
      <c r="E214" s="614"/>
      <c r="F214" s="613">
        <v>39277.33</v>
      </c>
      <c r="G214" s="614" t="s">
        <v>2701</v>
      </c>
      <c r="H214" s="614"/>
      <c r="I214" s="613">
        <v>1523.2</v>
      </c>
      <c r="J214" s="613">
        <v>0</v>
      </c>
      <c r="K214" s="613">
        <v>39277.33</v>
      </c>
      <c r="L214" s="613">
        <v>0</v>
      </c>
      <c r="N214" s="620">
        <f t="shared" si="3"/>
        <v>39277.33</v>
      </c>
    </row>
    <row r="215" spans="1:14" outlineLevel="1" x14ac:dyDescent="0.25">
      <c r="A215" s="611">
        <v>4810</v>
      </c>
      <c r="B215" s="612" t="s">
        <v>4686</v>
      </c>
      <c r="C215" s="613"/>
      <c r="D215" s="614"/>
      <c r="E215" s="614"/>
      <c r="F215" s="613">
        <v>97515.86</v>
      </c>
      <c r="G215" s="614" t="s">
        <v>2701</v>
      </c>
      <c r="H215" s="614"/>
      <c r="I215" s="613">
        <v>8236.19</v>
      </c>
      <c r="J215" s="613">
        <v>0</v>
      </c>
      <c r="K215" s="613">
        <v>97515.86</v>
      </c>
      <c r="L215" s="613">
        <v>0</v>
      </c>
      <c r="N215" s="620">
        <f t="shared" si="3"/>
        <v>97515.86</v>
      </c>
    </row>
    <row r="216" spans="1:14" outlineLevel="1" x14ac:dyDescent="0.25">
      <c r="A216" s="611">
        <v>4822</v>
      </c>
      <c r="B216" s="612" t="s">
        <v>4687</v>
      </c>
      <c r="C216" s="613"/>
      <c r="D216" s="614"/>
      <c r="E216" s="614"/>
      <c r="F216" s="613">
        <v>1102</v>
      </c>
      <c r="G216" s="614" t="s">
        <v>2701</v>
      </c>
      <c r="H216" s="614"/>
      <c r="I216" s="613"/>
      <c r="J216" s="613"/>
      <c r="K216" s="613">
        <v>1102</v>
      </c>
      <c r="L216" s="613">
        <v>0</v>
      </c>
      <c r="N216" s="620">
        <f t="shared" si="3"/>
        <v>1102</v>
      </c>
    </row>
    <row r="217" spans="1:14" outlineLevel="1" x14ac:dyDescent="0.25">
      <c r="A217" s="611">
        <v>4830</v>
      </c>
      <c r="B217" s="612" t="s">
        <v>4688</v>
      </c>
      <c r="C217" s="613"/>
      <c r="D217" s="614"/>
      <c r="E217" s="614"/>
      <c r="F217" s="613">
        <v>260316.01</v>
      </c>
      <c r="G217" s="614" t="s">
        <v>2701</v>
      </c>
      <c r="H217" s="614"/>
      <c r="I217" s="613">
        <v>19041.2</v>
      </c>
      <c r="J217" s="613">
        <v>0</v>
      </c>
      <c r="K217" s="613">
        <v>260316.01</v>
      </c>
      <c r="L217" s="613">
        <v>0</v>
      </c>
      <c r="N217" s="620">
        <f t="shared" si="3"/>
        <v>260316.01</v>
      </c>
    </row>
    <row r="218" spans="1:14" outlineLevel="1" x14ac:dyDescent="0.25">
      <c r="A218" s="611">
        <v>4855</v>
      </c>
      <c r="B218" s="612" t="s">
        <v>4689</v>
      </c>
      <c r="C218" s="613"/>
      <c r="D218" s="614"/>
      <c r="E218" s="614"/>
      <c r="F218" s="613">
        <v>7364.49</v>
      </c>
      <c r="G218" s="614" t="s">
        <v>2701</v>
      </c>
      <c r="H218" s="614"/>
      <c r="I218" s="613">
        <v>1272.93</v>
      </c>
      <c r="J218" s="613">
        <v>0</v>
      </c>
      <c r="K218" s="613">
        <v>7364.49</v>
      </c>
      <c r="L218" s="613">
        <v>0</v>
      </c>
      <c r="N218" s="620">
        <f t="shared" si="3"/>
        <v>7364.49</v>
      </c>
    </row>
    <row r="219" spans="1:14" outlineLevel="1" x14ac:dyDescent="0.25">
      <c r="A219" s="611">
        <v>4870</v>
      </c>
      <c r="B219" s="612" t="s">
        <v>4690</v>
      </c>
      <c r="C219" s="613"/>
      <c r="D219" s="614"/>
      <c r="E219" s="614"/>
      <c r="F219" s="613">
        <v>710</v>
      </c>
      <c r="G219" s="614" t="s">
        <v>2701</v>
      </c>
      <c r="H219" s="614"/>
      <c r="I219" s="613">
        <v>710</v>
      </c>
      <c r="J219" s="613">
        <v>0</v>
      </c>
      <c r="K219" s="613">
        <v>710</v>
      </c>
      <c r="L219" s="613">
        <v>0</v>
      </c>
      <c r="N219" s="620">
        <f t="shared" si="3"/>
        <v>710</v>
      </c>
    </row>
    <row r="220" spans="1:14" outlineLevel="1" x14ac:dyDescent="0.25">
      <c r="A220" s="611">
        <v>4900</v>
      </c>
      <c r="B220" s="612" t="s">
        <v>257</v>
      </c>
      <c r="C220" s="613"/>
      <c r="D220" s="614"/>
      <c r="E220" s="614"/>
      <c r="F220" s="613">
        <v>25264.87</v>
      </c>
      <c r="G220" s="614" t="s">
        <v>2701</v>
      </c>
      <c r="H220" s="614"/>
      <c r="I220" s="613">
        <v>654.64</v>
      </c>
      <c r="J220" s="613">
        <v>0</v>
      </c>
      <c r="K220" s="613">
        <v>25342.86</v>
      </c>
      <c r="L220" s="613">
        <v>77.989999999999995</v>
      </c>
      <c r="N220" s="620">
        <f t="shared" si="3"/>
        <v>25264.87</v>
      </c>
    </row>
    <row r="221" spans="1:14" outlineLevel="1" x14ac:dyDescent="0.25">
      <c r="A221" s="611">
        <v>4905</v>
      </c>
      <c r="B221" s="612" t="s">
        <v>4743</v>
      </c>
      <c r="C221" s="613"/>
      <c r="D221" s="614"/>
      <c r="E221" s="614"/>
      <c r="F221" s="613">
        <v>1.42</v>
      </c>
      <c r="G221" s="614" t="s">
        <v>2701</v>
      </c>
      <c r="H221" s="614"/>
      <c r="I221" s="613">
        <v>1.42</v>
      </c>
      <c r="J221" s="613">
        <v>0</v>
      </c>
      <c r="K221" s="613">
        <v>1.42</v>
      </c>
      <c r="L221" s="613">
        <v>0</v>
      </c>
      <c r="N221" s="620">
        <f t="shared" si="3"/>
        <v>1.42</v>
      </c>
    </row>
    <row r="222" spans="1:14" outlineLevel="1" x14ac:dyDescent="0.25">
      <c r="A222" s="611">
        <v>4910</v>
      </c>
      <c r="B222" s="612" t="s">
        <v>4691</v>
      </c>
      <c r="C222" s="613"/>
      <c r="D222" s="614"/>
      <c r="E222" s="614"/>
      <c r="F222" s="613">
        <v>1064.45</v>
      </c>
      <c r="G222" s="614" t="s">
        <v>2701</v>
      </c>
      <c r="H222" s="614"/>
      <c r="I222" s="613">
        <v>199</v>
      </c>
      <c r="J222" s="613">
        <v>0</v>
      </c>
      <c r="K222" s="613">
        <v>1064.45</v>
      </c>
      <c r="L222" s="613">
        <v>0</v>
      </c>
      <c r="N222" s="620">
        <f t="shared" si="3"/>
        <v>1064.45</v>
      </c>
    </row>
    <row r="223" spans="1:14" outlineLevel="1" x14ac:dyDescent="0.25">
      <c r="A223" s="611">
        <v>4920</v>
      </c>
      <c r="B223" s="612" t="s">
        <v>2580</v>
      </c>
      <c r="C223" s="613"/>
      <c r="D223" s="614"/>
      <c r="E223" s="614"/>
      <c r="F223" s="613">
        <v>8885.7900000000009</v>
      </c>
      <c r="G223" s="614" t="s">
        <v>2701</v>
      </c>
      <c r="H223" s="614"/>
      <c r="I223" s="613">
        <v>716.19</v>
      </c>
      <c r="J223" s="613">
        <v>0</v>
      </c>
      <c r="K223" s="613">
        <v>8885.7900000000009</v>
      </c>
      <c r="L223" s="613">
        <v>0</v>
      </c>
      <c r="N223" s="620">
        <f t="shared" si="3"/>
        <v>8885.7900000000009</v>
      </c>
    </row>
    <row r="224" spans="1:14" outlineLevel="1" x14ac:dyDescent="0.25">
      <c r="A224" s="611">
        <v>4930</v>
      </c>
      <c r="B224" s="612" t="s">
        <v>4692</v>
      </c>
      <c r="C224" s="613"/>
      <c r="D224" s="614"/>
      <c r="E224" s="614"/>
      <c r="F224" s="613">
        <v>4601.3599999999997</v>
      </c>
      <c r="G224" s="614" t="s">
        <v>2701</v>
      </c>
      <c r="H224" s="614"/>
      <c r="I224" s="613">
        <v>105.01</v>
      </c>
      <c r="J224" s="613">
        <v>14.97</v>
      </c>
      <c r="K224" s="613">
        <v>4616.33</v>
      </c>
      <c r="L224" s="613">
        <v>14.97</v>
      </c>
      <c r="N224" s="620">
        <f t="shared" si="3"/>
        <v>4601.3599999999997</v>
      </c>
    </row>
    <row r="225" spans="1:14" outlineLevel="1" x14ac:dyDescent="0.25">
      <c r="A225" s="611">
        <v>4940</v>
      </c>
      <c r="B225" s="612" t="s">
        <v>4693</v>
      </c>
      <c r="C225" s="613"/>
      <c r="D225" s="614"/>
      <c r="E225" s="614"/>
      <c r="F225" s="613">
        <v>3761.87</v>
      </c>
      <c r="G225" s="614" t="s">
        <v>2701</v>
      </c>
      <c r="H225" s="614"/>
      <c r="I225" s="613">
        <v>22.34</v>
      </c>
      <c r="J225" s="613">
        <v>0</v>
      </c>
      <c r="K225" s="613">
        <v>3761.87</v>
      </c>
      <c r="L225" s="613">
        <v>0</v>
      </c>
      <c r="N225" s="620">
        <f t="shared" si="3"/>
        <v>3761.87</v>
      </c>
    </row>
    <row r="226" spans="1:14" outlineLevel="1" x14ac:dyDescent="0.25">
      <c r="A226" s="611">
        <v>4945</v>
      </c>
      <c r="B226" s="612" t="s">
        <v>4694</v>
      </c>
      <c r="C226" s="613"/>
      <c r="D226" s="614"/>
      <c r="E226" s="614"/>
      <c r="F226" s="613">
        <v>13698</v>
      </c>
      <c r="G226" s="614" t="s">
        <v>2701</v>
      </c>
      <c r="H226" s="614"/>
      <c r="I226" s="613">
        <v>340</v>
      </c>
      <c r="J226" s="613">
        <v>0</v>
      </c>
      <c r="K226" s="613">
        <v>13778</v>
      </c>
      <c r="L226" s="613">
        <v>80</v>
      </c>
      <c r="N226" s="620">
        <f t="shared" si="3"/>
        <v>13698</v>
      </c>
    </row>
    <row r="227" spans="1:14" outlineLevel="1" x14ac:dyDescent="0.25">
      <c r="A227" s="611">
        <v>4950</v>
      </c>
      <c r="B227" s="612" t="s">
        <v>2496</v>
      </c>
      <c r="C227" s="613"/>
      <c r="D227" s="614"/>
      <c r="E227" s="614"/>
      <c r="F227" s="613">
        <v>303745.34000000003</v>
      </c>
      <c r="G227" s="614" t="s">
        <v>2701</v>
      </c>
      <c r="H227" s="614"/>
      <c r="I227" s="613">
        <v>50924.89</v>
      </c>
      <c r="J227" s="613">
        <v>0</v>
      </c>
      <c r="K227" s="613">
        <v>303745.34000000003</v>
      </c>
      <c r="L227" s="613">
        <v>0</v>
      </c>
      <c r="N227" s="620">
        <f t="shared" si="3"/>
        <v>303745.34000000003</v>
      </c>
    </row>
    <row r="228" spans="1:14" outlineLevel="1" x14ac:dyDescent="0.25">
      <c r="A228" s="611">
        <v>4951</v>
      </c>
      <c r="B228" s="612" t="s">
        <v>4695</v>
      </c>
      <c r="C228" s="613"/>
      <c r="D228" s="614"/>
      <c r="E228" s="614"/>
      <c r="F228" s="613">
        <v>0</v>
      </c>
      <c r="G228" s="614"/>
      <c r="H228" s="614"/>
      <c r="I228" s="613">
        <v>168898.6</v>
      </c>
      <c r="J228" s="613">
        <v>288498.59999999998</v>
      </c>
      <c r="K228" s="613">
        <v>406266.5</v>
      </c>
      <c r="L228" s="613">
        <v>406266.5</v>
      </c>
      <c r="N228" s="620">
        <f t="shared" si="3"/>
        <v>0</v>
      </c>
    </row>
    <row r="229" spans="1:14" outlineLevel="1" x14ac:dyDescent="0.25">
      <c r="A229" s="611">
        <v>4952</v>
      </c>
      <c r="B229" s="612" t="s">
        <v>4696</v>
      </c>
      <c r="C229" s="613"/>
      <c r="D229" s="614"/>
      <c r="E229" s="614"/>
      <c r="F229" s="613">
        <v>0</v>
      </c>
      <c r="G229" s="614"/>
      <c r="H229" s="614"/>
      <c r="I229" s="613">
        <v>360</v>
      </c>
      <c r="J229" s="613">
        <v>18292.2</v>
      </c>
      <c r="K229" s="613">
        <v>21736.2</v>
      </c>
      <c r="L229" s="613">
        <v>21736.2</v>
      </c>
      <c r="N229" s="620">
        <f t="shared" si="3"/>
        <v>0</v>
      </c>
    </row>
    <row r="230" spans="1:14" outlineLevel="1" x14ac:dyDescent="0.25">
      <c r="A230" s="611">
        <v>4960</v>
      </c>
      <c r="B230" s="612" t="s">
        <v>4697</v>
      </c>
      <c r="C230" s="613"/>
      <c r="D230" s="614"/>
      <c r="E230" s="614"/>
      <c r="F230" s="613">
        <v>9502.98</v>
      </c>
      <c r="G230" s="614" t="s">
        <v>2701</v>
      </c>
      <c r="H230" s="614"/>
      <c r="I230" s="613">
        <v>2590</v>
      </c>
      <c r="J230" s="613">
        <v>0</v>
      </c>
      <c r="K230" s="613">
        <v>9502.98</v>
      </c>
      <c r="L230" s="613">
        <v>0</v>
      </c>
      <c r="N230" s="620">
        <f t="shared" si="3"/>
        <v>9502.98</v>
      </c>
    </row>
    <row r="231" spans="1:14" outlineLevel="1" x14ac:dyDescent="0.25">
      <c r="A231" s="611">
        <v>4964</v>
      </c>
      <c r="B231" s="612" t="s">
        <v>4698</v>
      </c>
      <c r="C231" s="613"/>
      <c r="D231" s="614"/>
      <c r="E231" s="614"/>
      <c r="F231" s="613">
        <v>537965.76</v>
      </c>
      <c r="G231" s="614" t="s">
        <v>2701</v>
      </c>
      <c r="H231" s="614"/>
      <c r="I231" s="613">
        <v>140418.35999999999</v>
      </c>
      <c r="J231" s="613">
        <v>0</v>
      </c>
      <c r="K231" s="613">
        <v>713412.8</v>
      </c>
      <c r="L231" s="613">
        <v>175447.04000000001</v>
      </c>
      <c r="N231" s="620">
        <f t="shared" si="3"/>
        <v>537965.76</v>
      </c>
    </row>
    <row r="232" spans="1:14" outlineLevel="1" x14ac:dyDescent="0.25">
      <c r="A232" s="611">
        <v>4969</v>
      </c>
      <c r="B232" s="612" t="s">
        <v>4699</v>
      </c>
      <c r="C232" s="613"/>
      <c r="D232" s="614"/>
      <c r="E232" s="614"/>
      <c r="F232" s="613">
        <v>25818.58</v>
      </c>
      <c r="G232" s="614" t="s">
        <v>2701</v>
      </c>
      <c r="H232" s="614"/>
      <c r="I232" s="613">
        <v>8139.84</v>
      </c>
      <c r="J232" s="613">
        <v>0</v>
      </c>
      <c r="K232" s="613">
        <v>25843.79</v>
      </c>
      <c r="L232" s="613">
        <v>25.21</v>
      </c>
      <c r="N232" s="620">
        <f t="shared" si="3"/>
        <v>25818.58</v>
      </c>
    </row>
    <row r="233" spans="1:14" outlineLevel="1" x14ac:dyDescent="0.25">
      <c r="A233" s="611">
        <v>4970</v>
      </c>
      <c r="B233" s="612" t="s">
        <v>4700</v>
      </c>
      <c r="C233" s="613"/>
      <c r="D233" s="614"/>
      <c r="E233" s="614"/>
      <c r="F233" s="613">
        <v>8447.81</v>
      </c>
      <c r="G233" s="614" t="s">
        <v>2701</v>
      </c>
      <c r="H233" s="614"/>
      <c r="I233" s="613">
        <v>870.82</v>
      </c>
      <c r="J233" s="613">
        <v>50</v>
      </c>
      <c r="K233" s="613">
        <v>8558.31</v>
      </c>
      <c r="L233" s="613">
        <v>110.5</v>
      </c>
      <c r="N233" s="620">
        <f t="shared" si="3"/>
        <v>8447.81</v>
      </c>
    </row>
    <row r="234" spans="1:14" outlineLevel="1" x14ac:dyDescent="0.25">
      <c r="A234" s="611">
        <v>4980</v>
      </c>
      <c r="B234" s="612" t="s">
        <v>4701</v>
      </c>
      <c r="C234" s="613"/>
      <c r="D234" s="614"/>
      <c r="E234" s="614"/>
      <c r="F234" s="613">
        <v>52017.88</v>
      </c>
      <c r="G234" s="614" t="s">
        <v>2701</v>
      </c>
      <c r="H234" s="614"/>
      <c r="I234" s="613">
        <v>2454.08</v>
      </c>
      <c r="J234" s="613">
        <v>0</v>
      </c>
      <c r="K234" s="613">
        <v>52542.79</v>
      </c>
      <c r="L234" s="613">
        <v>524.91</v>
      </c>
      <c r="N234" s="620">
        <f t="shared" si="3"/>
        <v>52017.88</v>
      </c>
    </row>
    <row r="235" spans="1:14" outlineLevel="1" x14ac:dyDescent="0.25">
      <c r="A235" s="611">
        <v>7050</v>
      </c>
      <c r="B235" s="612" t="s">
        <v>4702</v>
      </c>
      <c r="C235" s="613">
        <v>36760.67</v>
      </c>
      <c r="D235" s="614" t="s">
        <v>2701</v>
      </c>
      <c r="E235" s="614"/>
      <c r="F235" s="613">
        <v>69605.570000000007</v>
      </c>
      <c r="G235" s="614" t="s">
        <v>2701</v>
      </c>
      <c r="H235" s="614"/>
      <c r="I235" s="613">
        <v>32844.9</v>
      </c>
      <c r="J235" s="613">
        <v>0</v>
      </c>
      <c r="K235" s="613">
        <v>32844.9</v>
      </c>
      <c r="L235" s="613">
        <v>0</v>
      </c>
      <c r="N235" s="620">
        <f t="shared" si="3"/>
        <v>69605.570000000007</v>
      </c>
    </row>
    <row r="236" spans="1:14" outlineLevel="1" x14ac:dyDescent="0.25">
      <c r="A236" s="611">
        <v>7100</v>
      </c>
      <c r="B236" s="612" t="s">
        <v>4703</v>
      </c>
      <c r="C236" s="613">
        <v>1051716.8999999999</v>
      </c>
      <c r="D236" s="614" t="s">
        <v>2701</v>
      </c>
      <c r="E236" s="614"/>
      <c r="F236" s="613">
        <v>1245062.1599999999</v>
      </c>
      <c r="G236" s="614" t="s">
        <v>2701</v>
      </c>
      <c r="H236" s="614"/>
      <c r="I236" s="613">
        <v>193345.26</v>
      </c>
      <c r="J236" s="613">
        <v>0</v>
      </c>
      <c r="K236" s="613">
        <v>193345.26</v>
      </c>
      <c r="L236" s="613">
        <v>0</v>
      </c>
      <c r="N236" s="620">
        <f t="shared" si="3"/>
        <v>1245062.1599999999</v>
      </c>
    </row>
    <row r="237" spans="1:14" outlineLevel="1" x14ac:dyDescent="0.25">
      <c r="A237" s="611">
        <v>8120</v>
      </c>
      <c r="B237" s="612" t="s">
        <v>4704</v>
      </c>
      <c r="C237" s="613"/>
      <c r="D237" s="614"/>
      <c r="E237" s="614"/>
      <c r="F237" s="613">
        <v>3014157</v>
      </c>
      <c r="G237" s="614"/>
      <c r="H237" s="614" t="s">
        <v>2584</v>
      </c>
      <c r="I237" s="613">
        <v>0</v>
      </c>
      <c r="J237" s="613">
        <v>133276.5</v>
      </c>
      <c r="K237" s="613">
        <v>13718.8</v>
      </c>
      <c r="L237" s="613">
        <v>3027875.8</v>
      </c>
      <c r="N237" s="620">
        <f t="shared" si="3"/>
        <v>-3014157</v>
      </c>
    </row>
    <row r="238" spans="1:14" outlineLevel="1" x14ac:dyDescent="0.25">
      <c r="A238" s="611">
        <v>8125</v>
      </c>
      <c r="B238" s="612" t="s">
        <v>4705</v>
      </c>
      <c r="C238" s="613"/>
      <c r="D238" s="614"/>
      <c r="E238" s="614"/>
      <c r="F238" s="613">
        <v>1569931.5</v>
      </c>
      <c r="G238" s="614"/>
      <c r="H238" s="614" t="s">
        <v>2584</v>
      </c>
      <c r="I238" s="613">
        <v>105</v>
      </c>
      <c r="J238" s="613">
        <v>135463.18</v>
      </c>
      <c r="K238" s="613">
        <v>92395.38</v>
      </c>
      <c r="L238" s="613">
        <v>1662326.88</v>
      </c>
      <c r="N238" s="620">
        <f t="shared" si="3"/>
        <v>-1569931.5</v>
      </c>
    </row>
    <row r="239" spans="1:14" outlineLevel="1" x14ac:dyDescent="0.25">
      <c r="A239" s="611">
        <v>8140</v>
      </c>
      <c r="B239" s="612" t="s">
        <v>4706</v>
      </c>
      <c r="C239" s="613"/>
      <c r="D239" s="614"/>
      <c r="E239" s="614"/>
      <c r="F239" s="613">
        <v>1050.5</v>
      </c>
      <c r="G239" s="614"/>
      <c r="H239" s="614" t="s">
        <v>2584</v>
      </c>
      <c r="I239" s="613"/>
      <c r="J239" s="613"/>
      <c r="K239" s="613">
        <v>0</v>
      </c>
      <c r="L239" s="613">
        <v>1050.5</v>
      </c>
      <c r="N239" s="620">
        <f t="shared" si="3"/>
        <v>-1050.5</v>
      </c>
    </row>
    <row r="240" spans="1:14" outlineLevel="1" x14ac:dyDescent="0.25">
      <c r="A240" s="611">
        <v>8336</v>
      </c>
      <c r="B240" s="612" t="s">
        <v>4707</v>
      </c>
      <c r="C240" s="613"/>
      <c r="D240" s="614"/>
      <c r="E240" s="614"/>
      <c r="F240" s="613">
        <v>230610</v>
      </c>
      <c r="G240" s="614"/>
      <c r="H240" s="614" t="s">
        <v>2584</v>
      </c>
      <c r="I240" s="613">
        <v>1040</v>
      </c>
      <c r="J240" s="613">
        <v>36740</v>
      </c>
      <c r="K240" s="613">
        <v>1040</v>
      </c>
      <c r="L240" s="613">
        <v>231650</v>
      </c>
      <c r="N240" s="620">
        <f t="shared" si="3"/>
        <v>-230610</v>
      </c>
    </row>
    <row r="241" spans="1:14" outlineLevel="1" x14ac:dyDescent="0.25">
      <c r="A241" s="611">
        <v>8337</v>
      </c>
      <c r="B241" s="612" t="s">
        <v>4708</v>
      </c>
      <c r="C241" s="613"/>
      <c r="D241" s="614"/>
      <c r="E241" s="614"/>
      <c r="F241" s="613">
        <v>390.75</v>
      </c>
      <c r="G241" s="614"/>
      <c r="H241" s="614" t="s">
        <v>2584</v>
      </c>
      <c r="I241" s="613">
        <v>0</v>
      </c>
      <c r="J241" s="613">
        <v>15</v>
      </c>
      <c r="K241" s="613">
        <v>0</v>
      </c>
      <c r="L241" s="613">
        <v>390.75</v>
      </c>
      <c r="N241" s="620">
        <f t="shared" si="3"/>
        <v>-390.75</v>
      </c>
    </row>
    <row r="242" spans="1:14" outlineLevel="1" x14ac:dyDescent="0.25">
      <c r="A242" s="611">
        <v>8338</v>
      </c>
      <c r="B242" s="612" t="s">
        <v>4709</v>
      </c>
      <c r="C242" s="613"/>
      <c r="D242" s="614"/>
      <c r="E242" s="614"/>
      <c r="F242" s="613">
        <v>29821.58</v>
      </c>
      <c r="G242" s="614"/>
      <c r="H242" s="614" t="s">
        <v>2584</v>
      </c>
      <c r="I242" s="613">
        <v>0</v>
      </c>
      <c r="J242" s="613">
        <v>4504.3900000000003</v>
      </c>
      <c r="K242" s="613">
        <v>0.21</v>
      </c>
      <c r="L242" s="613">
        <v>29821.79</v>
      </c>
      <c r="N242" s="620">
        <f t="shared" si="3"/>
        <v>-29821.58</v>
      </c>
    </row>
    <row r="243" spans="1:14" outlineLevel="1" x14ac:dyDescent="0.25">
      <c r="A243" s="611">
        <v>8339</v>
      </c>
      <c r="B243" s="612" t="s">
        <v>4744</v>
      </c>
      <c r="C243" s="613"/>
      <c r="D243" s="614"/>
      <c r="E243" s="614"/>
      <c r="F243" s="613">
        <v>1950</v>
      </c>
      <c r="G243" s="614"/>
      <c r="H243" s="614" t="s">
        <v>2584</v>
      </c>
      <c r="I243" s="613">
        <v>0</v>
      </c>
      <c r="J243" s="613">
        <v>1950</v>
      </c>
      <c r="K243" s="613">
        <v>0</v>
      </c>
      <c r="L243" s="613">
        <v>1950</v>
      </c>
      <c r="N243" s="620">
        <f t="shared" si="3"/>
        <v>-1950</v>
      </c>
    </row>
    <row r="244" spans="1:14" outlineLevel="1" x14ac:dyDescent="0.25">
      <c r="A244" s="611">
        <v>8400</v>
      </c>
      <c r="B244" s="612" t="s">
        <v>2449</v>
      </c>
      <c r="C244" s="613"/>
      <c r="D244" s="614"/>
      <c r="E244" s="614"/>
      <c r="F244" s="613">
        <v>6124283.04</v>
      </c>
      <c r="G244" s="614"/>
      <c r="H244" s="614" t="s">
        <v>2584</v>
      </c>
      <c r="I244" s="613">
        <v>2907.71</v>
      </c>
      <c r="J244" s="613">
        <v>456997.45</v>
      </c>
      <c r="K244" s="613">
        <v>74340.429999999993</v>
      </c>
      <c r="L244" s="613">
        <v>6198623.4699999997</v>
      </c>
      <c r="N244" s="620">
        <f t="shared" si="3"/>
        <v>-6124283.04</v>
      </c>
    </row>
    <row r="245" spans="1:14" outlineLevel="1" x14ac:dyDescent="0.25">
      <c r="A245" s="611">
        <v>8401</v>
      </c>
      <c r="B245" s="612" t="s">
        <v>2450</v>
      </c>
      <c r="C245" s="613"/>
      <c r="D245" s="614"/>
      <c r="E245" s="614"/>
      <c r="F245" s="613">
        <v>4016101.71</v>
      </c>
      <c r="G245" s="614"/>
      <c r="H245" s="614" t="s">
        <v>2584</v>
      </c>
      <c r="I245" s="613">
        <v>7769.56</v>
      </c>
      <c r="J245" s="613">
        <v>351578.24</v>
      </c>
      <c r="K245" s="613">
        <v>18170.96</v>
      </c>
      <c r="L245" s="613">
        <v>4034272.67</v>
      </c>
      <c r="N245" s="620">
        <f t="shared" si="3"/>
        <v>-4016101.71</v>
      </c>
    </row>
    <row r="246" spans="1:14" outlineLevel="1" x14ac:dyDescent="0.25">
      <c r="A246" s="611">
        <v>8402</v>
      </c>
      <c r="B246" s="612" t="s">
        <v>2451</v>
      </c>
      <c r="C246" s="613"/>
      <c r="D246" s="614"/>
      <c r="E246" s="614"/>
      <c r="F246" s="613">
        <v>96273.19</v>
      </c>
      <c r="G246" s="614"/>
      <c r="H246" s="614" t="s">
        <v>2584</v>
      </c>
      <c r="I246" s="613">
        <v>0</v>
      </c>
      <c r="J246" s="613">
        <v>10738.5</v>
      </c>
      <c r="K246" s="613">
        <v>0</v>
      </c>
      <c r="L246" s="613">
        <v>96273.19</v>
      </c>
      <c r="N246" s="620">
        <f t="shared" si="3"/>
        <v>-96273.19</v>
      </c>
    </row>
    <row r="247" spans="1:14" outlineLevel="1" x14ac:dyDescent="0.25">
      <c r="A247" s="611">
        <v>8403</v>
      </c>
      <c r="B247" s="612" t="s">
        <v>2452</v>
      </c>
      <c r="C247" s="613"/>
      <c r="D247" s="614"/>
      <c r="E247" s="614"/>
      <c r="F247" s="613">
        <v>63396.800000000003</v>
      </c>
      <c r="G247" s="614"/>
      <c r="H247" s="614" t="s">
        <v>2584</v>
      </c>
      <c r="I247" s="613">
        <v>541.29999999999995</v>
      </c>
      <c r="J247" s="613">
        <v>7277.3</v>
      </c>
      <c r="K247" s="613">
        <v>791.3</v>
      </c>
      <c r="L247" s="613">
        <v>64188.1</v>
      </c>
      <c r="N247" s="620">
        <f t="shared" si="3"/>
        <v>-63396.800000000003</v>
      </c>
    </row>
    <row r="248" spans="1:14" outlineLevel="1" x14ac:dyDescent="0.25">
      <c r="A248" s="611">
        <v>8404</v>
      </c>
      <c r="B248" s="612" t="s">
        <v>2453</v>
      </c>
      <c r="C248" s="613"/>
      <c r="D248" s="614"/>
      <c r="E248" s="614"/>
      <c r="F248" s="613">
        <v>28843.3</v>
      </c>
      <c r="G248" s="614"/>
      <c r="H248" s="614" t="s">
        <v>2584</v>
      </c>
      <c r="I248" s="613">
        <v>1000</v>
      </c>
      <c r="J248" s="613">
        <v>1330</v>
      </c>
      <c r="K248" s="613">
        <v>1000</v>
      </c>
      <c r="L248" s="613">
        <v>29843.3</v>
      </c>
      <c r="N248" s="620">
        <f t="shared" si="3"/>
        <v>-28843.3</v>
      </c>
    </row>
    <row r="249" spans="1:14" outlineLevel="1" x14ac:dyDescent="0.25">
      <c r="A249" s="611">
        <v>8520</v>
      </c>
      <c r="B249" s="612" t="s">
        <v>2454</v>
      </c>
      <c r="C249" s="613"/>
      <c r="D249" s="614"/>
      <c r="E249" s="614"/>
      <c r="F249" s="613">
        <v>3079.6</v>
      </c>
      <c r="G249" s="614"/>
      <c r="H249" s="614" t="s">
        <v>2584</v>
      </c>
      <c r="I249" s="613">
        <v>0</v>
      </c>
      <c r="J249" s="613">
        <v>-15</v>
      </c>
      <c r="K249" s="613">
        <v>0</v>
      </c>
      <c r="L249" s="613">
        <v>3079.6</v>
      </c>
      <c r="N249" s="620">
        <f t="shared" si="3"/>
        <v>-3079.6</v>
      </c>
    </row>
    <row r="250" spans="1:14" outlineLevel="1" x14ac:dyDescent="0.25">
      <c r="A250" s="611">
        <v>8610</v>
      </c>
      <c r="B250" s="612" t="s">
        <v>4710</v>
      </c>
      <c r="C250" s="613"/>
      <c r="D250" s="614"/>
      <c r="E250" s="614"/>
      <c r="F250" s="613">
        <v>19733.96</v>
      </c>
      <c r="G250" s="614" t="s">
        <v>2701</v>
      </c>
      <c r="H250" s="614"/>
      <c r="I250" s="613">
        <v>3053.84</v>
      </c>
      <c r="J250" s="613">
        <v>913.7</v>
      </c>
      <c r="K250" s="613">
        <v>28370.42</v>
      </c>
      <c r="L250" s="613">
        <v>8636.4599999999991</v>
      </c>
      <c r="N250" s="620">
        <f t="shared" si="3"/>
        <v>19733.96</v>
      </c>
    </row>
    <row r="251" spans="1:14" outlineLevel="1" x14ac:dyDescent="0.25">
      <c r="A251" s="611">
        <v>8611</v>
      </c>
      <c r="B251" s="612" t="s">
        <v>4711</v>
      </c>
      <c r="C251" s="613"/>
      <c r="D251" s="614"/>
      <c r="E251" s="614"/>
      <c r="F251" s="613">
        <v>113605.49</v>
      </c>
      <c r="G251" s="614"/>
      <c r="H251" s="614" t="s">
        <v>2584</v>
      </c>
      <c r="I251" s="613">
        <v>0</v>
      </c>
      <c r="J251" s="613">
        <v>9814.7000000000007</v>
      </c>
      <c r="K251" s="613">
        <v>0</v>
      </c>
      <c r="L251" s="613">
        <v>113605.49</v>
      </c>
      <c r="N251" s="620">
        <f t="shared" si="3"/>
        <v>-113605.49</v>
      </c>
    </row>
    <row r="252" spans="1:14" outlineLevel="1" x14ac:dyDescent="0.25">
      <c r="A252" s="611">
        <v>8625</v>
      </c>
      <c r="B252" s="612" t="s">
        <v>4712</v>
      </c>
      <c r="C252" s="613"/>
      <c r="D252" s="614"/>
      <c r="E252" s="614"/>
      <c r="F252" s="613">
        <v>0</v>
      </c>
      <c r="G252" s="614"/>
      <c r="H252" s="614"/>
      <c r="I252" s="613"/>
      <c r="J252" s="613"/>
      <c r="K252" s="613">
        <v>0</v>
      </c>
      <c r="L252" s="613">
        <v>0</v>
      </c>
      <c r="N252" s="620">
        <f t="shared" si="3"/>
        <v>0</v>
      </c>
    </row>
    <row r="253" spans="1:14" outlineLevel="1" x14ac:dyDescent="0.25">
      <c r="A253" s="611">
        <v>8640</v>
      </c>
      <c r="B253" s="612" t="s">
        <v>4713</v>
      </c>
      <c r="C253" s="613"/>
      <c r="D253" s="614"/>
      <c r="E253" s="614"/>
      <c r="F253" s="613">
        <v>26816.55</v>
      </c>
      <c r="G253" s="614"/>
      <c r="H253" s="614" t="s">
        <v>2584</v>
      </c>
      <c r="I253" s="613">
        <v>0</v>
      </c>
      <c r="J253" s="613">
        <v>23067.279999999999</v>
      </c>
      <c r="K253" s="613">
        <v>0</v>
      </c>
      <c r="L253" s="613">
        <v>26816.55</v>
      </c>
      <c r="N253" s="620">
        <f t="shared" si="3"/>
        <v>-26816.55</v>
      </c>
    </row>
    <row r="254" spans="1:14" outlineLevel="1" x14ac:dyDescent="0.25">
      <c r="A254" s="611">
        <v>8730</v>
      </c>
      <c r="B254" s="612" t="s">
        <v>4714</v>
      </c>
      <c r="C254" s="613"/>
      <c r="D254" s="614"/>
      <c r="E254" s="614"/>
      <c r="F254" s="613">
        <v>104.17</v>
      </c>
      <c r="G254" s="614" t="s">
        <v>2701</v>
      </c>
      <c r="H254" s="614"/>
      <c r="I254" s="613"/>
      <c r="J254" s="613"/>
      <c r="K254" s="613">
        <v>104.17</v>
      </c>
      <c r="L254" s="613">
        <v>0</v>
      </c>
      <c r="N254" s="620">
        <f t="shared" si="3"/>
        <v>104.17</v>
      </c>
    </row>
    <row r="255" spans="1:14" outlineLevel="1" x14ac:dyDescent="0.25">
      <c r="A255" s="611">
        <v>8736</v>
      </c>
      <c r="B255" s="612" t="s">
        <v>4715</v>
      </c>
      <c r="C255" s="613"/>
      <c r="D255" s="614"/>
      <c r="E255" s="614"/>
      <c r="F255" s="613">
        <v>156650.35999999999</v>
      </c>
      <c r="G255" s="614" t="s">
        <v>2701</v>
      </c>
      <c r="H255" s="614"/>
      <c r="I255" s="613">
        <v>13649.66</v>
      </c>
      <c r="J255" s="613">
        <v>0.23</v>
      </c>
      <c r="K255" s="613">
        <v>157122.89000000001</v>
      </c>
      <c r="L255" s="613">
        <v>472.53</v>
      </c>
      <c r="N255" s="620">
        <f t="shared" si="3"/>
        <v>156650.35999999999</v>
      </c>
    </row>
    <row r="256" spans="1:14" outlineLevel="1" x14ac:dyDescent="0.25">
      <c r="A256" s="611">
        <v>8743</v>
      </c>
      <c r="B256" s="612" t="s">
        <v>4716</v>
      </c>
      <c r="C256" s="613"/>
      <c r="D256" s="614"/>
      <c r="E256" s="614"/>
      <c r="F256" s="613">
        <v>8992.4599999999991</v>
      </c>
      <c r="G256" s="614" t="s">
        <v>2701</v>
      </c>
      <c r="H256" s="614"/>
      <c r="I256" s="613">
        <v>726.33</v>
      </c>
      <c r="J256" s="613">
        <v>0</v>
      </c>
      <c r="K256" s="613">
        <v>8992.4599999999991</v>
      </c>
      <c r="L256" s="613">
        <v>0</v>
      </c>
      <c r="N256" s="620">
        <f t="shared" si="3"/>
        <v>8992.4599999999991</v>
      </c>
    </row>
    <row r="257" spans="1:14" outlineLevel="1" x14ac:dyDescent="0.25">
      <c r="A257" s="611">
        <v>8760</v>
      </c>
      <c r="B257" s="612" t="s">
        <v>4717</v>
      </c>
      <c r="C257" s="613"/>
      <c r="D257" s="614"/>
      <c r="E257" s="614"/>
      <c r="F257" s="613">
        <v>1111.1199999999999</v>
      </c>
      <c r="G257" s="614" t="s">
        <v>2701</v>
      </c>
      <c r="H257" s="614"/>
      <c r="I257" s="613"/>
      <c r="J257" s="613"/>
      <c r="K257" s="613">
        <v>1111.1199999999999</v>
      </c>
      <c r="L257" s="613">
        <v>0</v>
      </c>
      <c r="N257" s="620">
        <f t="shared" si="3"/>
        <v>1111.1199999999999</v>
      </c>
    </row>
    <row r="258" spans="1:14" outlineLevel="1" x14ac:dyDescent="0.25">
      <c r="A258" s="611">
        <v>8769</v>
      </c>
      <c r="B258" s="612" t="s">
        <v>4718</v>
      </c>
      <c r="C258" s="613"/>
      <c r="D258" s="614"/>
      <c r="E258" s="614"/>
      <c r="F258" s="613">
        <v>222.97</v>
      </c>
      <c r="G258" s="614" t="s">
        <v>2701</v>
      </c>
      <c r="H258" s="614"/>
      <c r="I258" s="613">
        <v>1334.09</v>
      </c>
      <c r="J258" s="613">
        <v>0</v>
      </c>
      <c r="K258" s="613">
        <v>1334.09</v>
      </c>
      <c r="L258" s="613">
        <v>1111.1199999999999</v>
      </c>
      <c r="N258" s="620">
        <f t="shared" si="3"/>
        <v>222.97</v>
      </c>
    </row>
    <row r="259" spans="1:14" outlineLevel="1" x14ac:dyDescent="0.25">
      <c r="A259" s="611">
        <v>8801</v>
      </c>
      <c r="B259" s="612" t="s">
        <v>4719</v>
      </c>
      <c r="C259" s="613"/>
      <c r="D259" s="614"/>
      <c r="E259" s="614"/>
      <c r="F259" s="613">
        <v>4651</v>
      </c>
      <c r="G259" s="614"/>
      <c r="H259" s="614" t="s">
        <v>2584</v>
      </c>
      <c r="I259" s="613"/>
      <c r="J259" s="613"/>
      <c r="K259" s="613">
        <v>0</v>
      </c>
      <c r="L259" s="613">
        <v>4651</v>
      </c>
      <c r="N259" s="620">
        <f t="shared" si="3"/>
        <v>-4651</v>
      </c>
    </row>
    <row r="260" spans="1:14" outlineLevel="1" x14ac:dyDescent="0.25">
      <c r="A260" s="611">
        <v>8807</v>
      </c>
      <c r="B260" s="612" t="s">
        <v>4720</v>
      </c>
      <c r="C260" s="613"/>
      <c r="D260" s="614"/>
      <c r="E260" s="614"/>
      <c r="F260" s="613">
        <v>0</v>
      </c>
      <c r="G260" s="614"/>
      <c r="H260" s="614"/>
      <c r="I260" s="613"/>
      <c r="J260" s="613"/>
      <c r="K260" s="613">
        <v>0</v>
      </c>
      <c r="L260" s="613">
        <v>0</v>
      </c>
      <c r="N260" s="620">
        <f t="shared" ref="N260:N267" si="4">IF(G260="S",F260,-F260)</f>
        <v>0</v>
      </c>
    </row>
    <row r="261" spans="1:14" outlineLevel="1" x14ac:dyDescent="0.25">
      <c r="A261" s="611">
        <v>8818</v>
      </c>
      <c r="B261" s="612" t="s">
        <v>4721</v>
      </c>
      <c r="C261" s="613"/>
      <c r="D261" s="614"/>
      <c r="E261" s="614"/>
      <c r="F261" s="613">
        <v>0</v>
      </c>
      <c r="G261" s="614"/>
      <c r="H261" s="614"/>
      <c r="I261" s="613"/>
      <c r="J261" s="613"/>
      <c r="K261" s="613">
        <v>0</v>
      </c>
      <c r="L261" s="613">
        <v>0</v>
      </c>
      <c r="N261" s="620">
        <f t="shared" si="4"/>
        <v>0</v>
      </c>
    </row>
    <row r="262" spans="1:14" outlineLevel="1" x14ac:dyDescent="0.25">
      <c r="A262" s="611">
        <v>8820</v>
      </c>
      <c r="B262" s="612" t="s">
        <v>4722</v>
      </c>
      <c r="C262" s="613"/>
      <c r="D262" s="614"/>
      <c r="E262" s="614"/>
      <c r="F262" s="613">
        <v>53650</v>
      </c>
      <c r="G262" s="614"/>
      <c r="H262" s="614" t="s">
        <v>2584</v>
      </c>
      <c r="I262" s="613"/>
      <c r="J262" s="613"/>
      <c r="K262" s="613">
        <v>0</v>
      </c>
      <c r="L262" s="613">
        <v>53650</v>
      </c>
      <c r="N262" s="620">
        <f t="shared" si="4"/>
        <v>-53650</v>
      </c>
    </row>
    <row r="263" spans="1:14" outlineLevel="1" x14ac:dyDescent="0.25">
      <c r="A263" s="611">
        <v>8827</v>
      </c>
      <c r="B263" s="612" t="s">
        <v>4723</v>
      </c>
      <c r="C263" s="613"/>
      <c r="D263" s="614"/>
      <c r="E263" s="614"/>
      <c r="F263" s="613">
        <v>0</v>
      </c>
      <c r="G263" s="614"/>
      <c r="H263" s="614"/>
      <c r="I263" s="613"/>
      <c r="J263" s="613"/>
      <c r="K263" s="613">
        <v>0</v>
      </c>
      <c r="L263" s="613">
        <v>0</v>
      </c>
      <c r="N263" s="620">
        <f t="shared" si="4"/>
        <v>0</v>
      </c>
    </row>
    <row r="264" spans="1:14" outlineLevel="1" x14ac:dyDescent="0.25">
      <c r="A264" s="611">
        <v>8838</v>
      </c>
      <c r="B264" s="612" t="s">
        <v>4724</v>
      </c>
      <c r="C264" s="613"/>
      <c r="D264" s="614"/>
      <c r="E264" s="614"/>
      <c r="F264" s="613">
        <v>34905.46</v>
      </c>
      <c r="G264" s="614"/>
      <c r="H264" s="614" t="s">
        <v>2584</v>
      </c>
      <c r="I264" s="613"/>
      <c r="J264" s="613"/>
      <c r="K264" s="613">
        <v>0</v>
      </c>
      <c r="L264" s="613">
        <v>34905.46</v>
      </c>
      <c r="N264" s="620">
        <f t="shared" si="4"/>
        <v>-34905.46</v>
      </c>
    </row>
    <row r="265" spans="1:14" outlineLevel="1" x14ac:dyDescent="0.25">
      <c r="A265" s="611">
        <v>8950</v>
      </c>
      <c r="B265" s="612" t="s">
        <v>4725</v>
      </c>
      <c r="C265" s="613"/>
      <c r="D265" s="614"/>
      <c r="E265" s="614"/>
      <c r="F265" s="613">
        <v>0</v>
      </c>
      <c r="G265" s="614"/>
      <c r="H265" s="614"/>
      <c r="I265" s="613"/>
      <c r="J265" s="613"/>
      <c r="K265" s="613">
        <v>0</v>
      </c>
      <c r="L265" s="613">
        <v>0</v>
      </c>
      <c r="N265" s="620">
        <f t="shared" si="4"/>
        <v>0</v>
      </c>
    </row>
    <row r="266" spans="1:14" outlineLevel="1" x14ac:dyDescent="0.25">
      <c r="A266" s="611">
        <v>8960</v>
      </c>
      <c r="B266" s="612" t="s">
        <v>4726</v>
      </c>
      <c r="C266" s="613"/>
      <c r="D266" s="614"/>
      <c r="E266" s="614"/>
      <c r="F266" s="613">
        <v>32844.9</v>
      </c>
      <c r="G266" s="614"/>
      <c r="H266" s="614" t="s">
        <v>2584</v>
      </c>
      <c r="I266" s="613">
        <v>0</v>
      </c>
      <c r="J266" s="613">
        <v>32844.9</v>
      </c>
      <c r="K266" s="613">
        <v>0</v>
      </c>
      <c r="L266" s="613">
        <v>32844.9</v>
      </c>
      <c r="N266" s="620">
        <f t="shared" si="4"/>
        <v>-32844.9</v>
      </c>
    </row>
    <row r="267" spans="1:14" outlineLevel="1" x14ac:dyDescent="0.25">
      <c r="A267" s="611">
        <v>8980</v>
      </c>
      <c r="B267" s="612" t="s">
        <v>4727</v>
      </c>
      <c r="C267" s="613"/>
      <c r="D267" s="614"/>
      <c r="E267" s="614"/>
      <c r="F267" s="613">
        <v>193345.26</v>
      </c>
      <c r="G267" s="614"/>
      <c r="H267" s="614" t="s">
        <v>2584</v>
      </c>
      <c r="I267" s="613">
        <v>0</v>
      </c>
      <c r="J267" s="613">
        <v>193345.26</v>
      </c>
      <c r="K267" s="613">
        <v>0</v>
      </c>
      <c r="L267" s="613">
        <v>193345.26</v>
      </c>
      <c r="N267" s="620">
        <f t="shared" si="4"/>
        <v>-193345.26</v>
      </c>
    </row>
    <row r="268" spans="1:14" outlineLevel="1" x14ac:dyDescent="0.25">
      <c r="A268" s="611">
        <v>9000</v>
      </c>
      <c r="B268" s="612" t="s">
        <v>4728</v>
      </c>
      <c r="C268" s="613">
        <v>0</v>
      </c>
      <c r="D268" s="614"/>
      <c r="E268" s="614"/>
      <c r="F268" s="613">
        <v>0</v>
      </c>
      <c r="G268" s="614"/>
      <c r="H268" s="614"/>
      <c r="I268" s="613"/>
      <c r="J268" s="613"/>
      <c r="K268" s="613"/>
      <c r="L268" s="613"/>
    </row>
    <row r="269" spans="1:14" outlineLevel="1" x14ac:dyDescent="0.25">
      <c r="A269" s="611">
        <v>9008</v>
      </c>
      <c r="B269" s="612" t="s">
        <v>4729</v>
      </c>
      <c r="C269" s="613">
        <v>0</v>
      </c>
      <c r="D269" s="614"/>
      <c r="E269" s="614"/>
      <c r="F269" s="613">
        <v>0</v>
      </c>
      <c r="G269" s="614"/>
      <c r="H269" s="614"/>
      <c r="I269" s="613"/>
      <c r="J269" s="613"/>
      <c r="K269" s="613"/>
      <c r="L269" s="613"/>
    </row>
    <row r="270" spans="1:14" outlineLevel="1" x14ac:dyDescent="0.25">
      <c r="A270" s="611">
        <v>9009</v>
      </c>
      <c r="B270" s="612" t="s">
        <v>4730</v>
      </c>
      <c r="C270" s="613">
        <v>0</v>
      </c>
      <c r="D270" s="614"/>
      <c r="E270" s="614"/>
      <c r="F270" s="613">
        <v>0</v>
      </c>
      <c r="G270" s="614"/>
      <c r="H270" s="614"/>
      <c r="I270" s="613"/>
      <c r="J270" s="613"/>
      <c r="K270" s="613"/>
      <c r="L270" s="613"/>
    </row>
  </sheetData>
  <mergeCells count="1">
    <mergeCell ref="A1:L1"/>
  </mergeCells>
  <conditionalFormatting sqref="A1:A1048576">
    <cfRule type="duplicateValues" dxfId="15" priority="1"/>
  </conditionalFormatting>
  <pageMargins left="0.7" right="0.7" top="0.78740157499999996" bottom="0.78740157499999996"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45C4-0725-4314-BDE6-E2DCD9C29C9D}">
  <sheetPr>
    <tabColor rgb="FF7030A0"/>
  </sheetPr>
  <dimension ref="A1:F6"/>
  <sheetViews>
    <sheetView workbookViewId="0"/>
  </sheetViews>
  <sheetFormatPr defaultColWidth="9.140625" defaultRowHeight="15" x14ac:dyDescent="0.25"/>
  <cols>
    <col min="1" max="1" width="18.28515625" bestFit="1" customWidth="1"/>
  </cols>
  <sheetData>
    <row r="1" spans="1:6" x14ac:dyDescent="0.25">
      <c r="A1" s="480" t="s">
        <v>2535</v>
      </c>
    </row>
    <row r="2" spans="1:6" x14ac:dyDescent="0.25">
      <c r="A2" s="480"/>
    </row>
    <row r="3" spans="1:6" x14ac:dyDescent="0.25">
      <c r="B3">
        <v>2023</v>
      </c>
      <c r="C3">
        <v>2024</v>
      </c>
      <c r="E3" s="539"/>
    </row>
    <row r="4" spans="1:6" x14ac:dyDescent="0.25">
      <c r="A4" t="s">
        <v>2536</v>
      </c>
      <c r="B4" s="539">
        <f>64436.47</f>
        <v>64436.47</v>
      </c>
      <c r="C4" s="539">
        <f>320117.07</f>
        <v>320117.07</v>
      </c>
      <c r="D4" s="539">
        <f>SUM(B4:C4)</f>
        <v>384553.54000000004</v>
      </c>
    </row>
    <row r="5" spans="1:6" x14ac:dyDescent="0.25">
      <c r="A5" t="s">
        <v>2534</v>
      </c>
      <c r="B5" s="539">
        <f>52739</f>
        <v>52739</v>
      </c>
      <c r="C5" s="539">
        <f>64778</f>
        <v>64778</v>
      </c>
      <c r="D5" s="539">
        <f>SUM(B5:C5)</f>
        <v>117517</v>
      </c>
    </row>
    <row r="6" spans="1:6" x14ac:dyDescent="0.25">
      <c r="A6" t="s">
        <v>255</v>
      </c>
      <c r="B6" s="539">
        <f>186885.31</f>
        <v>186885.31</v>
      </c>
      <c r="C6" s="539">
        <f>194479.07</f>
        <v>194479.07</v>
      </c>
      <c r="D6" s="539">
        <f>SUM(B6:C6)</f>
        <v>381364.38</v>
      </c>
      <c r="E6" s="539">
        <f>SUM(D5:D6)</f>
        <v>498881.38</v>
      </c>
      <c r="F6" s="539">
        <f>D4-E6</f>
        <v>-114327.83999999997</v>
      </c>
    </row>
  </sheetData>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204D-CA38-4568-9165-A02ED96EE6F4}">
  <sheetPr>
    <tabColor theme="1"/>
  </sheetPr>
  <dimension ref="A1"/>
  <sheetViews>
    <sheetView workbookViewId="0"/>
  </sheetViews>
  <sheetFormatPr defaultColWidth="11.42578125" defaultRowHeight="15" x14ac:dyDescent="0.25"/>
  <sheetData/>
  <pageMargins left="0.7" right="0.7" top="0.78740157499999996" bottom="0.78740157499999996"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D986-5528-4BA3-A3BD-91CD23901E6E}">
  <sheetPr>
    <tabColor rgb="FF7030A0"/>
    <outlinePr summaryBelow="0"/>
  </sheetPr>
  <dimension ref="A1:AV540"/>
  <sheetViews>
    <sheetView workbookViewId="0"/>
  </sheetViews>
  <sheetFormatPr defaultColWidth="11.42578125" defaultRowHeight="15" outlineLevelRow="1" outlineLevelCol="1" x14ac:dyDescent="0.25"/>
  <cols>
    <col min="1" max="1" width="7.140625" style="542" customWidth="1"/>
    <col min="2" max="2" width="9.85546875" style="542" customWidth="1"/>
    <col min="3" max="3" width="42.85546875" style="542" customWidth="1"/>
    <col min="4" max="4" width="17.28515625" style="542" customWidth="1"/>
    <col min="5" max="7" width="13.85546875" style="542" customWidth="1"/>
    <col min="8" max="8" width="16" style="542" customWidth="1"/>
    <col min="9" max="9" width="13.85546875" style="542" customWidth="1"/>
    <col min="10" max="10" width="13" style="542" customWidth="1"/>
    <col min="11" max="11" width="14.5703125" style="542" customWidth="1"/>
    <col min="12" max="12" width="6.28515625" style="542" customWidth="1"/>
    <col min="13" max="13" width="9.85546875" style="542" customWidth="1"/>
    <col min="14" max="14" width="8.42578125" style="542" customWidth="1"/>
    <col min="15" max="15" width="13.85546875" style="542" hidden="1" customWidth="1" outlineLevel="1"/>
    <col min="16" max="16" width="7.140625" style="542" hidden="1" customWidth="1" outlineLevel="1"/>
    <col min="17" max="17" width="75.42578125" style="542" customWidth="1" collapsed="1"/>
    <col min="18" max="19" width="11" style="542" hidden="1" customWidth="1" outlineLevel="1"/>
    <col min="20" max="20" width="9.42578125" style="542" hidden="1" customWidth="1" outlineLevel="1"/>
    <col min="21" max="21" width="16" style="542" hidden="1" customWidth="1" outlineLevel="1"/>
    <col min="22" max="22" width="9.7109375" style="542" hidden="1" customWidth="1" outlineLevel="1"/>
    <col min="23" max="23" width="6.28515625" style="542" hidden="1" customWidth="1" outlineLevel="1"/>
    <col min="24" max="24" width="12.28515625" style="542" hidden="1" customWidth="1" outlineLevel="1"/>
    <col min="25" max="25" width="15.28515625" style="542" hidden="1" customWidth="1" outlineLevel="1"/>
    <col min="26" max="26" width="12.42578125" style="542" hidden="1" customWidth="1" outlineLevel="1"/>
    <col min="27" max="27" width="24.140625" style="542" hidden="1" customWidth="1" outlineLevel="1"/>
    <col min="28" max="28" width="19.42578125" style="542" hidden="1" customWidth="1" outlineLevel="1"/>
    <col min="29" max="29" width="14.42578125" style="542" hidden="1" customWidth="1" outlineLevel="1"/>
    <col min="30" max="30" width="13.42578125" style="542" hidden="1" customWidth="1" outlineLevel="1"/>
    <col min="31" max="31" width="12.85546875" style="542" hidden="1" customWidth="1" outlineLevel="1"/>
    <col min="32" max="32" width="27.28515625" style="542" hidden="1" customWidth="1" outlineLevel="1"/>
    <col min="33" max="33" width="9.85546875" style="542" hidden="1" customWidth="1" outlineLevel="1"/>
    <col min="34" max="34" width="18.140625" style="542" hidden="1" customWidth="1" outlineLevel="1"/>
    <col min="35" max="35" width="8.85546875" style="542" hidden="1" customWidth="1" outlineLevel="1"/>
    <col min="36" max="36" width="30.85546875" style="542" hidden="1" customWidth="1" outlineLevel="1"/>
    <col min="37" max="37" width="18.5703125" style="542" hidden="1" customWidth="1" outlineLevel="1"/>
    <col min="38" max="38" width="24" style="542" hidden="1" customWidth="1" outlineLevel="1"/>
    <col min="39" max="39" width="21.42578125" style="542" hidden="1" customWidth="1" outlineLevel="1"/>
    <col min="40" max="40" width="19.5703125" style="542" hidden="1" customWidth="1" outlineLevel="1"/>
    <col min="41" max="41" width="11.42578125" style="542" collapsed="1"/>
    <col min="42" max="42" width="14.85546875" style="542" customWidth="1"/>
    <col min="43" max="43" width="11.42578125" style="542"/>
    <col min="44" max="44" width="15.28515625" style="542" customWidth="1"/>
    <col min="45" max="45" width="13.140625" style="542" customWidth="1"/>
    <col min="46" max="46" width="11.42578125" style="542"/>
    <col min="47" max="48" width="13.7109375" style="542" customWidth="1"/>
    <col min="49" max="16384" width="11.42578125" style="542"/>
  </cols>
  <sheetData>
    <row r="1" spans="1:48" x14ac:dyDescent="0.25">
      <c r="A1" s="572" t="s">
        <v>2540</v>
      </c>
    </row>
    <row r="2" spans="1:48" outlineLevel="1" x14ac:dyDescent="0.25">
      <c r="A2" s="543" t="s">
        <v>2541</v>
      </c>
      <c r="B2" s="543" t="s">
        <v>2542</v>
      </c>
      <c r="C2" s="543" t="s">
        <v>2543</v>
      </c>
      <c r="D2" s="543" t="s">
        <v>2544</v>
      </c>
      <c r="E2" s="543" t="s">
        <v>2545</v>
      </c>
      <c r="F2" s="543" t="s">
        <v>2546</v>
      </c>
      <c r="G2" s="543" t="s">
        <v>2547</v>
      </c>
      <c r="H2" s="543" t="s">
        <v>2548</v>
      </c>
      <c r="I2" s="543" t="s">
        <v>2549</v>
      </c>
      <c r="J2" s="543" t="s">
        <v>2550</v>
      </c>
      <c r="K2" s="543" t="s">
        <v>2551</v>
      </c>
      <c r="L2" s="543" t="s">
        <v>2552</v>
      </c>
      <c r="M2" s="543" t="s">
        <v>2553</v>
      </c>
      <c r="N2" s="543" t="s">
        <v>2554</v>
      </c>
      <c r="O2" s="543" t="s">
        <v>2555</v>
      </c>
      <c r="P2" s="543" t="s">
        <v>2556</v>
      </c>
      <c r="Q2" s="543" t="s">
        <v>2557</v>
      </c>
      <c r="R2" s="543" t="s">
        <v>2558</v>
      </c>
      <c r="S2" s="543" t="s">
        <v>2559</v>
      </c>
      <c r="T2" s="543" t="s">
        <v>2560</v>
      </c>
      <c r="U2" s="543" t="s">
        <v>2561</v>
      </c>
      <c r="V2" s="543" t="s">
        <v>2562</v>
      </c>
      <c r="W2" s="543" t="s">
        <v>2563</v>
      </c>
      <c r="X2" s="543" t="s">
        <v>2564</v>
      </c>
      <c r="Y2" s="543" t="s">
        <v>2565</v>
      </c>
      <c r="Z2" s="543" t="s">
        <v>2566</v>
      </c>
      <c r="AA2" s="543" t="s">
        <v>2567</v>
      </c>
      <c r="AB2" s="543" t="s">
        <v>2568</v>
      </c>
      <c r="AC2" s="543" t="s">
        <v>2569</v>
      </c>
      <c r="AD2" s="543" t="s">
        <v>2570</v>
      </c>
      <c r="AE2" s="543" t="s">
        <v>2571</v>
      </c>
      <c r="AF2" s="543" t="s">
        <v>2572</v>
      </c>
      <c r="AG2" s="543" t="s">
        <v>2573</v>
      </c>
      <c r="AH2" s="543" t="s">
        <v>2574</v>
      </c>
      <c r="AI2" s="543" t="s">
        <v>2575</v>
      </c>
      <c r="AJ2" s="543" t="s">
        <v>2576</v>
      </c>
      <c r="AK2" s="543" t="s">
        <v>2577</v>
      </c>
      <c r="AL2" s="543" t="s">
        <v>2578</v>
      </c>
      <c r="AM2" s="543" t="s">
        <v>2579</v>
      </c>
      <c r="AN2" s="543" t="s">
        <v>2580</v>
      </c>
      <c r="AP2" s="543" t="s">
        <v>2549</v>
      </c>
    </row>
    <row r="3" spans="1:48" outlineLevel="1" x14ac:dyDescent="0.25">
      <c r="A3" s="544" t="s">
        <v>2722</v>
      </c>
      <c r="B3" s="545">
        <v>12200</v>
      </c>
      <c r="C3" s="544" t="s">
        <v>3260</v>
      </c>
      <c r="D3" s="544" t="s">
        <v>3261</v>
      </c>
      <c r="E3" s="542" t="s">
        <v>2698</v>
      </c>
      <c r="F3" s="542" t="s">
        <v>3248</v>
      </c>
      <c r="G3" s="546">
        <v>222530</v>
      </c>
      <c r="H3" s="546"/>
      <c r="I3" s="546">
        <v>222530</v>
      </c>
      <c r="J3" s="542" t="s">
        <v>2701</v>
      </c>
      <c r="K3" s="547">
        <v>8820</v>
      </c>
      <c r="L3" s="542" t="s">
        <v>806</v>
      </c>
      <c r="M3" s="548"/>
      <c r="N3" s="549">
        <v>22</v>
      </c>
      <c r="O3" s="544" t="s">
        <v>1674</v>
      </c>
      <c r="P3" s="544" t="s">
        <v>1674</v>
      </c>
      <c r="Q3" s="544" t="s">
        <v>3262</v>
      </c>
      <c r="R3" s="544" t="s">
        <v>1674</v>
      </c>
      <c r="S3" s="544" t="s">
        <v>1674</v>
      </c>
      <c r="T3" s="550">
        <v>19</v>
      </c>
      <c r="U3" s="544" t="s">
        <v>3263</v>
      </c>
      <c r="V3" s="547">
        <v>24</v>
      </c>
      <c r="W3" s="548"/>
      <c r="Y3" s="544" t="s">
        <v>1674</v>
      </c>
      <c r="AA3" s="544" t="s">
        <v>1674</v>
      </c>
      <c r="AE3" s="551"/>
      <c r="AF3" s="544" t="s">
        <v>1674</v>
      </c>
      <c r="AG3" s="544" t="s">
        <v>1674</v>
      </c>
      <c r="AH3" s="544" t="s">
        <v>1674</v>
      </c>
      <c r="AI3" s="544" t="s">
        <v>1674</v>
      </c>
      <c r="AJ3" s="544" t="s">
        <v>1674</v>
      </c>
      <c r="AK3" s="544" t="s">
        <v>1674</v>
      </c>
      <c r="AL3" s="544" t="s">
        <v>1674</v>
      </c>
      <c r="AM3" s="544" t="s">
        <v>3260</v>
      </c>
      <c r="AN3" s="544" t="s">
        <v>1674</v>
      </c>
      <c r="AP3" s="552">
        <f t="shared" ref="AP3:AP66" si="0">IF(J3="S",+I3,-I3)</f>
        <v>222530</v>
      </c>
      <c r="AR3" s="553" t="s">
        <v>2587</v>
      </c>
      <c r="AS3" s="554" t="s">
        <v>2588</v>
      </c>
      <c r="AU3" s="553" t="s">
        <v>2587</v>
      </c>
      <c r="AV3" s="555" t="s">
        <v>2589</v>
      </c>
    </row>
    <row r="4" spans="1:48" s="581" customFormat="1" outlineLevel="1" x14ac:dyDescent="0.25">
      <c r="A4" s="579" t="s">
        <v>1674</v>
      </c>
      <c r="B4" s="580">
        <v>30701</v>
      </c>
      <c r="C4" s="579" t="s">
        <v>2787</v>
      </c>
      <c r="D4" s="579" t="s">
        <v>2788</v>
      </c>
      <c r="E4" s="581" t="s">
        <v>2789</v>
      </c>
      <c r="F4" s="581" t="s">
        <v>2790</v>
      </c>
      <c r="G4" s="582">
        <v>210240</v>
      </c>
      <c r="H4" s="582"/>
      <c r="I4" s="582">
        <v>210240</v>
      </c>
      <c r="J4" s="581" t="s">
        <v>2701</v>
      </c>
      <c r="K4" s="583">
        <v>8120</v>
      </c>
      <c r="L4" s="581" t="s">
        <v>806</v>
      </c>
      <c r="M4" s="584"/>
      <c r="N4" s="585">
        <v>-79</v>
      </c>
      <c r="O4" s="579" t="s">
        <v>1674</v>
      </c>
      <c r="P4" s="579" t="s">
        <v>1674</v>
      </c>
      <c r="Q4" s="579" t="s">
        <v>2791</v>
      </c>
      <c r="R4" s="579" t="s">
        <v>1674</v>
      </c>
      <c r="S4" s="579" t="s">
        <v>1674</v>
      </c>
      <c r="T4" s="586"/>
      <c r="U4" s="579" t="s">
        <v>2691</v>
      </c>
      <c r="V4" s="583">
        <v>193</v>
      </c>
      <c r="W4" s="584"/>
      <c r="Y4" s="579" t="s">
        <v>1674</v>
      </c>
      <c r="AA4" s="579" t="s">
        <v>1674</v>
      </c>
      <c r="AE4" s="587"/>
      <c r="AF4" s="579" t="s">
        <v>1674</v>
      </c>
      <c r="AG4" s="579" t="s">
        <v>1674</v>
      </c>
      <c r="AH4" s="579" t="s">
        <v>1674</v>
      </c>
      <c r="AI4" s="579" t="s">
        <v>1674</v>
      </c>
      <c r="AJ4" s="579" t="s">
        <v>1674</v>
      </c>
      <c r="AK4" s="579" t="s">
        <v>1674</v>
      </c>
      <c r="AL4" s="579" t="s">
        <v>1674</v>
      </c>
      <c r="AM4" s="579" t="s">
        <v>2792</v>
      </c>
      <c r="AN4" s="579" t="s">
        <v>1674</v>
      </c>
      <c r="AP4" s="588">
        <f t="shared" si="0"/>
        <v>210240</v>
      </c>
      <c r="AR4" s="589" t="s">
        <v>502</v>
      </c>
      <c r="AS4" s="590">
        <f>SUMIFS($AP$3:$AP$532,$N$3:$N$532,"&gt;=0")</f>
        <v>1471114.3400000003</v>
      </c>
      <c r="AU4" s="589" t="s">
        <v>502</v>
      </c>
      <c r="AV4" s="591">
        <f>AS4/1000</f>
        <v>1471.1143400000003</v>
      </c>
    </row>
    <row r="5" spans="1:48" s="581" customFormat="1" outlineLevel="1" x14ac:dyDescent="0.25">
      <c r="A5" s="579" t="s">
        <v>1674</v>
      </c>
      <c r="B5" s="580">
        <v>30701</v>
      </c>
      <c r="C5" s="579" t="s">
        <v>2787</v>
      </c>
      <c r="D5" s="579" t="s">
        <v>3071</v>
      </c>
      <c r="E5" s="581" t="s">
        <v>2887</v>
      </c>
      <c r="F5" s="581" t="s">
        <v>3060</v>
      </c>
      <c r="G5" s="582">
        <v>210240</v>
      </c>
      <c r="H5" s="582"/>
      <c r="I5" s="582">
        <v>210240</v>
      </c>
      <c r="J5" s="581" t="s">
        <v>2701</v>
      </c>
      <c r="K5" s="583">
        <v>8120</v>
      </c>
      <c r="L5" s="581" t="s">
        <v>806</v>
      </c>
      <c r="M5" s="584"/>
      <c r="N5" s="585">
        <v>11</v>
      </c>
      <c r="O5" s="579" t="s">
        <v>1674</v>
      </c>
      <c r="P5" s="579" t="s">
        <v>1674</v>
      </c>
      <c r="Q5" s="579" t="s">
        <v>2791</v>
      </c>
      <c r="R5" s="579" t="s">
        <v>1674</v>
      </c>
      <c r="S5" s="579" t="s">
        <v>1674</v>
      </c>
      <c r="T5" s="586"/>
      <c r="U5" s="579" t="s">
        <v>2700</v>
      </c>
      <c r="V5" s="583">
        <v>173</v>
      </c>
      <c r="W5" s="584"/>
      <c r="Y5" s="579" t="s">
        <v>1674</v>
      </c>
      <c r="AA5" s="579" t="s">
        <v>1674</v>
      </c>
      <c r="AE5" s="587"/>
      <c r="AF5" s="579" t="s">
        <v>1674</v>
      </c>
      <c r="AG5" s="579" t="s">
        <v>1674</v>
      </c>
      <c r="AH5" s="579" t="s">
        <v>1674</v>
      </c>
      <c r="AI5" s="579" t="s">
        <v>1674</v>
      </c>
      <c r="AJ5" s="579" t="s">
        <v>1674</v>
      </c>
      <c r="AK5" s="579" t="s">
        <v>1674</v>
      </c>
      <c r="AL5" s="579" t="s">
        <v>1674</v>
      </c>
      <c r="AM5" s="579" t="s">
        <v>2792</v>
      </c>
      <c r="AN5" s="579" t="s">
        <v>1674</v>
      </c>
      <c r="AP5" s="588">
        <f t="shared" si="0"/>
        <v>210240</v>
      </c>
      <c r="AR5" s="589" t="s">
        <v>500</v>
      </c>
      <c r="AS5" s="592">
        <f>SUMIFS($AP$3:$AP$532,$N$3:$N$532,"&lt;0",$N$3:$N$532,"&gt;=-30")</f>
        <v>191430.04999999993</v>
      </c>
      <c r="AU5" s="589" t="s">
        <v>500</v>
      </c>
      <c r="AV5" s="591">
        <f>AS5/1000</f>
        <v>191.43004999999994</v>
      </c>
    </row>
    <row r="6" spans="1:48" outlineLevel="1" x14ac:dyDescent="0.25">
      <c r="A6" s="544" t="s">
        <v>1674</v>
      </c>
      <c r="B6" s="545">
        <v>21203</v>
      </c>
      <c r="C6" s="544" t="s">
        <v>3088</v>
      </c>
      <c r="D6" s="544" t="s">
        <v>3089</v>
      </c>
      <c r="E6" s="542" t="s">
        <v>3078</v>
      </c>
      <c r="F6" s="542" t="s">
        <v>3079</v>
      </c>
      <c r="G6" s="546">
        <v>112467.6</v>
      </c>
      <c r="H6" s="546"/>
      <c r="I6" s="546">
        <v>112467.6</v>
      </c>
      <c r="J6" s="542" t="s">
        <v>2701</v>
      </c>
      <c r="K6" s="547">
        <v>8120</v>
      </c>
      <c r="L6" s="542" t="s">
        <v>806</v>
      </c>
      <c r="M6" s="548"/>
      <c r="N6" s="549">
        <v>15</v>
      </c>
      <c r="O6" s="544" t="s">
        <v>1674</v>
      </c>
      <c r="P6" s="544" t="s">
        <v>1674</v>
      </c>
      <c r="Q6" s="544" t="s">
        <v>3090</v>
      </c>
      <c r="R6" s="544" t="s">
        <v>1674</v>
      </c>
      <c r="S6" s="544" t="s">
        <v>1674</v>
      </c>
      <c r="T6" s="550"/>
      <c r="U6" s="544" t="s">
        <v>2700</v>
      </c>
      <c r="V6" s="547">
        <v>226</v>
      </c>
      <c r="W6" s="548"/>
      <c r="Y6" s="544" t="s">
        <v>1674</v>
      </c>
      <c r="AA6" s="544" t="s">
        <v>1674</v>
      </c>
      <c r="AE6" s="551"/>
      <c r="AF6" s="544" t="s">
        <v>1674</v>
      </c>
      <c r="AG6" s="544" t="s">
        <v>1674</v>
      </c>
      <c r="AH6" s="544" t="s">
        <v>1674</v>
      </c>
      <c r="AI6" s="544" t="s">
        <v>1674</v>
      </c>
      <c r="AJ6" s="544" t="s">
        <v>1674</v>
      </c>
      <c r="AK6" s="544" t="s">
        <v>1674</v>
      </c>
      <c r="AL6" s="544" t="s">
        <v>1674</v>
      </c>
      <c r="AM6" s="544" t="s">
        <v>3091</v>
      </c>
      <c r="AN6" s="544" t="s">
        <v>1674</v>
      </c>
      <c r="AP6" s="552">
        <f t="shared" si="0"/>
        <v>112467.6</v>
      </c>
      <c r="AR6" s="556" t="s">
        <v>498</v>
      </c>
      <c r="AS6" s="559">
        <f>SUMIFS($AP$3:$AP$532,$N$3:$N$532,"&lt;=-31",$N$3:$N$532,"&gt;-61")</f>
        <v>13947.750000000002</v>
      </c>
      <c r="AU6" s="556" t="s">
        <v>498</v>
      </c>
      <c r="AV6" s="558">
        <f>AS6/1000</f>
        <v>13.947750000000001</v>
      </c>
    </row>
    <row r="7" spans="1:48" outlineLevel="1" x14ac:dyDescent="0.25">
      <c r="A7" s="544" t="s">
        <v>1674</v>
      </c>
      <c r="B7" s="545">
        <v>22801</v>
      </c>
      <c r="C7" s="544" t="s">
        <v>2607</v>
      </c>
      <c r="D7" s="544" t="s">
        <v>3028</v>
      </c>
      <c r="E7" s="542" t="s">
        <v>3022</v>
      </c>
      <c r="F7" s="542" t="s">
        <v>2963</v>
      </c>
      <c r="G7" s="546">
        <v>69714.75</v>
      </c>
      <c r="H7" s="546"/>
      <c r="I7" s="546">
        <v>69714.75</v>
      </c>
      <c r="J7" s="542" t="s">
        <v>2701</v>
      </c>
      <c r="K7" s="547">
        <v>8125</v>
      </c>
      <c r="L7" s="542" t="s">
        <v>806</v>
      </c>
      <c r="M7" s="548"/>
      <c r="N7" s="549">
        <v>5</v>
      </c>
      <c r="O7" s="544" t="s">
        <v>1674</v>
      </c>
      <c r="P7" s="544" t="s">
        <v>1674</v>
      </c>
      <c r="Q7" s="544" t="s">
        <v>2610</v>
      </c>
      <c r="R7" s="544" t="s">
        <v>1674</v>
      </c>
      <c r="S7" s="544" t="s">
        <v>1674</v>
      </c>
      <c r="T7" s="550"/>
      <c r="U7" s="544" t="s">
        <v>2700</v>
      </c>
      <c r="V7" s="547">
        <v>102</v>
      </c>
      <c r="W7" s="548"/>
      <c r="Y7" s="544" t="s">
        <v>1674</v>
      </c>
      <c r="AA7" s="544" t="s">
        <v>1674</v>
      </c>
      <c r="AE7" s="551"/>
      <c r="AF7" s="544" t="s">
        <v>1674</v>
      </c>
      <c r="AG7" s="544" t="s">
        <v>1674</v>
      </c>
      <c r="AH7" s="544" t="s">
        <v>1674</v>
      </c>
      <c r="AI7" s="544" t="s">
        <v>1674</v>
      </c>
      <c r="AJ7" s="544" t="s">
        <v>1674</v>
      </c>
      <c r="AK7" s="544" t="s">
        <v>1674</v>
      </c>
      <c r="AL7" s="544" t="s">
        <v>1674</v>
      </c>
      <c r="AM7" s="544" t="s">
        <v>2612</v>
      </c>
      <c r="AN7" s="544" t="s">
        <v>1674</v>
      </c>
      <c r="AP7" s="552">
        <f t="shared" si="0"/>
        <v>69714.75</v>
      </c>
      <c r="AR7" s="556" t="s">
        <v>496</v>
      </c>
      <c r="AS7" s="559">
        <f>SUMIFS($AP$3:$AP$532,$N$3:$N$532,"&lt;=-61",$N$3:$N$532,"&gt;-91")</f>
        <v>284079.59999999998</v>
      </c>
      <c r="AU7" s="556" t="s">
        <v>496</v>
      </c>
      <c r="AV7" s="558">
        <f>AS7/1000</f>
        <v>284.07959999999997</v>
      </c>
    </row>
    <row r="8" spans="1:48" s="581" customFormat="1" outlineLevel="1" x14ac:dyDescent="0.25">
      <c r="A8" s="579" t="s">
        <v>1674</v>
      </c>
      <c r="B8" s="580">
        <v>30701</v>
      </c>
      <c r="C8" s="579" t="s">
        <v>2787</v>
      </c>
      <c r="D8" s="579" t="s">
        <v>2809</v>
      </c>
      <c r="E8" s="581" t="s">
        <v>2689</v>
      </c>
      <c r="F8" s="581" t="s">
        <v>2692</v>
      </c>
      <c r="G8" s="582">
        <v>65700</v>
      </c>
      <c r="H8" s="582"/>
      <c r="I8" s="582">
        <v>65700</v>
      </c>
      <c r="J8" s="581" t="s">
        <v>2701</v>
      </c>
      <c r="K8" s="583">
        <v>8120</v>
      </c>
      <c r="L8" s="581" t="s">
        <v>806</v>
      </c>
      <c r="M8" s="584"/>
      <c r="N8" s="585">
        <v>-62</v>
      </c>
      <c r="O8" s="579" t="s">
        <v>1674</v>
      </c>
      <c r="P8" s="579" t="s">
        <v>1674</v>
      </c>
      <c r="Q8" s="579" t="s">
        <v>2810</v>
      </c>
      <c r="R8" s="579" t="s">
        <v>1674</v>
      </c>
      <c r="S8" s="579" t="s">
        <v>1674</v>
      </c>
      <c r="T8" s="586"/>
      <c r="U8" s="579" t="s">
        <v>2691</v>
      </c>
      <c r="V8" s="583">
        <v>465</v>
      </c>
      <c r="W8" s="584"/>
      <c r="Y8" s="579" t="s">
        <v>1674</v>
      </c>
      <c r="AA8" s="579" t="s">
        <v>1674</v>
      </c>
      <c r="AE8" s="587"/>
      <c r="AF8" s="579" t="s">
        <v>1674</v>
      </c>
      <c r="AG8" s="579" t="s">
        <v>1674</v>
      </c>
      <c r="AH8" s="579" t="s">
        <v>1674</v>
      </c>
      <c r="AI8" s="579" t="s">
        <v>1674</v>
      </c>
      <c r="AJ8" s="579" t="s">
        <v>1674</v>
      </c>
      <c r="AK8" s="579" t="s">
        <v>1674</v>
      </c>
      <c r="AL8" s="579" t="s">
        <v>1674</v>
      </c>
      <c r="AM8" s="579" t="s">
        <v>2792</v>
      </c>
      <c r="AN8" s="579" t="s">
        <v>1674</v>
      </c>
      <c r="AP8" s="588">
        <f t="shared" si="0"/>
        <v>65700</v>
      </c>
      <c r="AR8" s="589" t="s">
        <v>494</v>
      </c>
      <c r="AS8" s="590">
        <f>SUMIFS($AP$3:$AP$532,$N$3:$N$532,"&lt;=-91")</f>
        <v>47122.62</v>
      </c>
      <c r="AU8" s="589" t="s">
        <v>494</v>
      </c>
      <c r="AV8" s="591">
        <f>AS8/1000</f>
        <v>47.122620000000005</v>
      </c>
    </row>
    <row r="9" spans="1:48" outlineLevel="1" x14ac:dyDescent="0.25">
      <c r="A9" s="544" t="s">
        <v>2722</v>
      </c>
      <c r="B9" s="545">
        <v>0</v>
      </c>
      <c r="C9" s="544" t="s">
        <v>1674</v>
      </c>
      <c r="D9" s="544" t="s">
        <v>3264</v>
      </c>
      <c r="E9" s="542" t="s">
        <v>2698</v>
      </c>
      <c r="F9" s="542" t="s">
        <v>3248</v>
      </c>
      <c r="G9" s="546">
        <v>58786</v>
      </c>
      <c r="H9" s="546"/>
      <c r="I9" s="546">
        <v>58786</v>
      </c>
      <c r="J9" s="542" t="s">
        <v>2701</v>
      </c>
      <c r="K9" s="547">
        <v>8820</v>
      </c>
      <c r="L9" s="542" t="s">
        <v>806</v>
      </c>
      <c r="M9" s="548"/>
      <c r="N9" s="549">
        <v>22</v>
      </c>
      <c r="O9" s="544" t="s">
        <v>1674</v>
      </c>
      <c r="P9" s="544" t="s">
        <v>1674</v>
      </c>
      <c r="Q9" s="544" t="s">
        <v>3265</v>
      </c>
      <c r="R9" s="544" t="s">
        <v>1674</v>
      </c>
      <c r="S9" s="544" t="s">
        <v>1674</v>
      </c>
      <c r="T9" s="550">
        <v>19</v>
      </c>
      <c r="U9" s="544" t="s">
        <v>2700</v>
      </c>
      <c r="V9" s="547">
        <v>351</v>
      </c>
      <c r="W9" s="548"/>
      <c r="Y9" s="544" t="s">
        <v>1674</v>
      </c>
      <c r="AA9" s="544" t="s">
        <v>1674</v>
      </c>
      <c r="AE9" s="551"/>
      <c r="AF9" s="544" t="s">
        <v>1674</v>
      </c>
      <c r="AG9" s="544" t="s">
        <v>1674</v>
      </c>
      <c r="AH9" s="544" t="s">
        <v>1674</v>
      </c>
      <c r="AI9" s="544" t="s">
        <v>1674</v>
      </c>
      <c r="AJ9" s="544" t="s">
        <v>1674</v>
      </c>
      <c r="AK9" s="544" t="s">
        <v>1674</v>
      </c>
      <c r="AL9" s="544" t="s">
        <v>1674</v>
      </c>
      <c r="AM9" s="544" t="s">
        <v>1674</v>
      </c>
      <c r="AN9" s="544" t="s">
        <v>1674</v>
      </c>
      <c r="AP9" s="552">
        <f t="shared" si="0"/>
        <v>58786</v>
      </c>
      <c r="AR9" s="560"/>
      <c r="AS9" s="561"/>
    </row>
    <row r="10" spans="1:48" outlineLevel="1" x14ac:dyDescent="0.25">
      <c r="A10" s="544" t="s">
        <v>1674</v>
      </c>
      <c r="B10" s="545">
        <v>0</v>
      </c>
      <c r="C10" s="544" t="s">
        <v>1674</v>
      </c>
      <c r="D10" s="544" t="s">
        <v>2884</v>
      </c>
      <c r="E10" s="542" t="s">
        <v>2882</v>
      </c>
      <c r="F10" s="542" t="s">
        <v>2883</v>
      </c>
      <c r="G10" s="546">
        <v>52560</v>
      </c>
      <c r="H10" s="546"/>
      <c r="I10" s="546">
        <v>52560</v>
      </c>
      <c r="J10" s="542" t="s">
        <v>2701</v>
      </c>
      <c r="K10" s="547">
        <v>8120</v>
      </c>
      <c r="L10" s="542" t="s">
        <v>806</v>
      </c>
      <c r="M10" s="548"/>
      <c r="N10" s="549">
        <v>-20</v>
      </c>
      <c r="O10" s="544" t="s">
        <v>1674</v>
      </c>
      <c r="P10" s="544" t="s">
        <v>1674</v>
      </c>
      <c r="Q10" s="544" t="s">
        <v>2810</v>
      </c>
      <c r="R10" s="544" t="s">
        <v>1674</v>
      </c>
      <c r="S10" s="544" t="s">
        <v>1674</v>
      </c>
      <c r="T10" s="550"/>
      <c r="U10" s="544" t="s">
        <v>2697</v>
      </c>
      <c r="V10" s="547">
        <v>604</v>
      </c>
      <c r="W10" s="548"/>
      <c r="Y10" s="544" t="s">
        <v>1674</v>
      </c>
      <c r="AA10" s="544" t="s">
        <v>1674</v>
      </c>
      <c r="AE10" s="551"/>
      <c r="AF10" s="544" t="s">
        <v>1674</v>
      </c>
      <c r="AG10" s="544" t="s">
        <v>1674</v>
      </c>
      <c r="AH10" s="544" t="s">
        <v>1674</v>
      </c>
      <c r="AI10" s="544" t="s">
        <v>1674</v>
      </c>
      <c r="AJ10" s="544" t="s">
        <v>1674</v>
      </c>
      <c r="AK10" s="544" t="s">
        <v>1674</v>
      </c>
      <c r="AL10" s="544" t="s">
        <v>1674</v>
      </c>
      <c r="AM10" s="544" t="s">
        <v>1674</v>
      </c>
      <c r="AN10" s="544" t="s">
        <v>1674</v>
      </c>
      <c r="AP10" s="552">
        <f t="shared" si="0"/>
        <v>52560</v>
      </c>
      <c r="AR10" s="556" t="s">
        <v>233</v>
      </c>
      <c r="AS10" s="561">
        <f>SUM(AS4:AS8)-AP536</f>
        <v>0</v>
      </c>
    </row>
    <row r="11" spans="1:48" outlineLevel="1" x14ac:dyDescent="0.25">
      <c r="A11" s="544" t="s">
        <v>1674</v>
      </c>
      <c r="B11" s="545">
        <v>31901</v>
      </c>
      <c r="C11" s="544" t="s">
        <v>2894</v>
      </c>
      <c r="D11" s="544" t="s">
        <v>3116</v>
      </c>
      <c r="E11" s="542" t="s">
        <v>3093</v>
      </c>
      <c r="F11" s="542" t="s">
        <v>3117</v>
      </c>
      <c r="G11" s="546">
        <v>51548.66</v>
      </c>
      <c r="H11" s="546"/>
      <c r="I11" s="546">
        <v>51548.66</v>
      </c>
      <c r="J11" s="542" t="s">
        <v>2701</v>
      </c>
      <c r="K11" s="547">
        <v>8400</v>
      </c>
      <c r="L11" s="542" t="s">
        <v>806</v>
      </c>
      <c r="M11" s="548"/>
      <c r="N11" s="549">
        <v>26</v>
      </c>
      <c r="O11" s="544" t="s">
        <v>1674</v>
      </c>
      <c r="P11" s="544" t="s">
        <v>1674</v>
      </c>
      <c r="Q11" s="544" t="s">
        <v>2897</v>
      </c>
      <c r="R11" s="544" t="s">
        <v>2898</v>
      </c>
      <c r="S11" s="544" t="s">
        <v>1674</v>
      </c>
      <c r="T11" s="550">
        <v>19</v>
      </c>
      <c r="U11" s="544" t="s">
        <v>2700</v>
      </c>
      <c r="V11" s="547">
        <v>245</v>
      </c>
      <c r="W11" s="548"/>
      <c r="Y11" s="544" t="s">
        <v>1674</v>
      </c>
      <c r="AA11" s="544" t="s">
        <v>1674</v>
      </c>
      <c r="AE11" s="551"/>
      <c r="AF11" s="544" t="s">
        <v>1674</v>
      </c>
      <c r="AG11" s="544" t="s">
        <v>1674</v>
      </c>
      <c r="AH11" s="544" t="s">
        <v>1674</v>
      </c>
      <c r="AI11" s="544" t="s">
        <v>1674</v>
      </c>
      <c r="AJ11" s="544" t="s">
        <v>1674</v>
      </c>
      <c r="AK11" s="544" t="s">
        <v>1674</v>
      </c>
      <c r="AL11" s="544" t="s">
        <v>1674</v>
      </c>
      <c r="AM11" s="544" t="s">
        <v>2899</v>
      </c>
      <c r="AN11" s="544" t="s">
        <v>1674</v>
      </c>
      <c r="AP11" s="552">
        <f t="shared" si="0"/>
        <v>51548.66</v>
      </c>
    </row>
    <row r="12" spans="1:48" outlineLevel="1" x14ac:dyDescent="0.25">
      <c r="A12" s="544" t="s">
        <v>1674</v>
      </c>
      <c r="B12" s="545">
        <v>31901</v>
      </c>
      <c r="C12" s="544" t="s">
        <v>2894</v>
      </c>
      <c r="D12" s="544" t="s">
        <v>3266</v>
      </c>
      <c r="E12" s="542" t="s">
        <v>2698</v>
      </c>
      <c r="F12" s="542" t="s">
        <v>3267</v>
      </c>
      <c r="G12" s="546">
        <v>51517.96</v>
      </c>
      <c r="H12" s="546"/>
      <c r="I12" s="546">
        <v>51517.96</v>
      </c>
      <c r="J12" s="542" t="s">
        <v>2701</v>
      </c>
      <c r="K12" s="547">
        <v>8400</v>
      </c>
      <c r="L12" s="542" t="s">
        <v>806</v>
      </c>
      <c r="M12" s="548"/>
      <c r="N12" s="549">
        <v>32</v>
      </c>
      <c r="O12" s="544" t="s">
        <v>1674</v>
      </c>
      <c r="P12" s="544" t="s">
        <v>1674</v>
      </c>
      <c r="Q12" s="544" t="s">
        <v>2897</v>
      </c>
      <c r="R12" s="544" t="s">
        <v>2898</v>
      </c>
      <c r="S12" s="544" t="s">
        <v>1674</v>
      </c>
      <c r="T12" s="550">
        <v>19</v>
      </c>
      <c r="U12" s="544" t="s">
        <v>2700</v>
      </c>
      <c r="V12" s="547">
        <v>366</v>
      </c>
      <c r="W12" s="548"/>
      <c r="Y12" s="544" t="s">
        <v>1674</v>
      </c>
      <c r="AA12" s="544" t="s">
        <v>1674</v>
      </c>
      <c r="AE12" s="551"/>
      <c r="AF12" s="544" t="s">
        <v>1674</v>
      </c>
      <c r="AG12" s="544" t="s">
        <v>1674</v>
      </c>
      <c r="AH12" s="544" t="s">
        <v>1674</v>
      </c>
      <c r="AI12" s="544" t="s">
        <v>1674</v>
      </c>
      <c r="AJ12" s="544" t="s">
        <v>1674</v>
      </c>
      <c r="AK12" s="544" t="s">
        <v>1674</v>
      </c>
      <c r="AL12" s="544" t="s">
        <v>1674</v>
      </c>
      <c r="AM12" s="544" t="s">
        <v>2899</v>
      </c>
      <c r="AN12" s="544" t="s">
        <v>1674</v>
      </c>
      <c r="AP12" s="552">
        <f t="shared" si="0"/>
        <v>51517.96</v>
      </c>
    </row>
    <row r="13" spans="1:48" outlineLevel="1" x14ac:dyDescent="0.25">
      <c r="A13" s="544" t="s">
        <v>1674</v>
      </c>
      <c r="B13" s="545">
        <v>31901</v>
      </c>
      <c r="C13" s="544" t="s">
        <v>2894</v>
      </c>
      <c r="D13" s="544" t="s">
        <v>2895</v>
      </c>
      <c r="E13" s="542" t="s">
        <v>2886</v>
      </c>
      <c r="F13" s="542" t="s">
        <v>2896</v>
      </c>
      <c r="G13" s="546">
        <v>51487.25</v>
      </c>
      <c r="H13" s="546"/>
      <c r="I13" s="546">
        <v>51487.25</v>
      </c>
      <c r="J13" s="542" t="s">
        <v>2701</v>
      </c>
      <c r="K13" s="547">
        <v>8400</v>
      </c>
      <c r="L13" s="542" t="s">
        <v>806</v>
      </c>
      <c r="M13" s="548"/>
      <c r="N13" s="549">
        <v>-9</v>
      </c>
      <c r="O13" s="544" t="s">
        <v>1674</v>
      </c>
      <c r="P13" s="544" t="s">
        <v>1674</v>
      </c>
      <c r="Q13" s="544" t="s">
        <v>2897</v>
      </c>
      <c r="R13" s="544" t="s">
        <v>2898</v>
      </c>
      <c r="S13" s="544" t="s">
        <v>1674</v>
      </c>
      <c r="T13" s="550">
        <v>19</v>
      </c>
      <c r="U13" s="544" t="s">
        <v>2697</v>
      </c>
      <c r="V13" s="547">
        <v>656</v>
      </c>
      <c r="W13" s="548"/>
      <c r="Y13" s="544" t="s">
        <v>1674</v>
      </c>
      <c r="AA13" s="544" t="s">
        <v>1674</v>
      </c>
      <c r="AE13" s="551"/>
      <c r="AF13" s="544" t="s">
        <v>1674</v>
      </c>
      <c r="AG13" s="544" t="s">
        <v>1674</v>
      </c>
      <c r="AH13" s="544" t="s">
        <v>1674</v>
      </c>
      <c r="AI13" s="544" t="s">
        <v>1674</v>
      </c>
      <c r="AJ13" s="544" t="s">
        <v>1674</v>
      </c>
      <c r="AK13" s="544" t="s">
        <v>1674</v>
      </c>
      <c r="AL13" s="544" t="s">
        <v>1674</v>
      </c>
      <c r="AM13" s="544" t="s">
        <v>2899</v>
      </c>
      <c r="AN13" s="544" t="s">
        <v>1674</v>
      </c>
      <c r="AP13" s="552">
        <f t="shared" si="0"/>
        <v>51487.25</v>
      </c>
      <c r="AR13" s="542" t="s">
        <v>2630</v>
      </c>
      <c r="AS13" s="559">
        <f>SUMIFS($AP$3:$AP$532,$AP$3:$AP$532,"&gt;0")</f>
        <v>2043594.8600000013</v>
      </c>
    </row>
    <row r="14" spans="1:48" outlineLevel="1" x14ac:dyDescent="0.25">
      <c r="A14" s="544" t="s">
        <v>1674</v>
      </c>
      <c r="B14" s="545">
        <v>31901</v>
      </c>
      <c r="C14" s="544" t="s">
        <v>2894</v>
      </c>
      <c r="D14" s="544" t="s">
        <v>2999</v>
      </c>
      <c r="E14" s="542" t="s">
        <v>2904</v>
      </c>
      <c r="F14" s="542" t="s">
        <v>3000</v>
      </c>
      <c r="G14" s="546">
        <v>51487.25</v>
      </c>
      <c r="H14" s="546"/>
      <c r="I14" s="546">
        <v>51487.25</v>
      </c>
      <c r="J14" s="542" t="s">
        <v>2701</v>
      </c>
      <c r="K14" s="547">
        <v>8400</v>
      </c>
      <c r="L14" s="542" t="s">
        <v>806</v>
      </c>
      <c r="M14" s="548"/>
      <c r="N14" s="549">
        <v>12</v>
      </c>
      <c r="O14" s="544" t="s">
        <v>1674</v>
      </c>
      <c r="P14" s="544" t="s">
        <v>1674</v>
      </c>
      <c r="Q14" s="544" t="s">
        <v>2897</v>
      </c>
      <c r="R14" s="544" t="s">
        <v>2898</v>
      </c>
      <c r="S14" s="544" t="s">
        <v>1674</v>
      </c>
      <c r="T14" s="550">
        <v>19</v>
      </c>
      <c r="U14" s="544" t="s">
        <v>2700</v>
      </c>
      <c r="V14" s="547">
        <v>26</v>
      </c>
      <c r="W14" s="548"/>
      <c r="Y14" s="544" t="s">
        <v>1674</v>
      </c>
      <c r="AA14" s="544" t="s">
        <v>1674</v>
      </c>
      <c r="AE14" s="551"/>
      <c r="AF14" s="544" t="s">
        <v>1674</v>
      </c>
      <c r="AG14" s="544" t="s">
        <v>1674</v>
      </c>
      <c r="AH14" s="544" t="s">
        <v>1674</v>
      </c>
      <c r="AI14" s="544" t="s">
        <v>1674</v>
      </c>
      <c r="AJ14" s="544" t="s">
        <v>1674</v>
      </c>
      <c r="AK14" s="544" t="s">
        <v>1674</v>
      </c>
      <c r="AL14" s="544" t="s">
        <v>1674</v>
      </c>
      <c r="AM14" s="544" t="s">
        <v>2899</v>
      </c>
      <c r="AN14" s="544" t="s">
        <v>1674</v>
      </c>
      <c r="AP14" s="552">
        <f t="shared" si="0"/>
        <v>51487.25</v>
      </c>
      <c r="AS14" s="559">
        <f>SUMIFS($AP$3:$AP$532,$AP$3:$AP$532,"&lt;0")</f>
        <v>-35900.5</v>
      </c>
    </row>
    <row r="15" spans="1:48" outlineLevel="1" x14ac:dyDescent="0.25">
      <c r="A15" s="544" t="s">
        <v>1674</v>
      </c>
      <c r="B15" s="545">
        <v>31901</v>
      </c>
      <c r="C15" s="544" t="s">
        <v>2894</v>
      </c>
      <c r="D15" s="544" t="s">
        <v>3178</v>
      </c>
      <c r="E15" s="542" t="s">
        <v>3158</v>
      </c>
      <c r="F15" s="542" t="s">
        <v>3179</v>
      </c>
      <c r="G15" s="546">
        <v>51487.25</v>
      </c>
      <c r="H15" s="546"/>
      <c r="I15" s="546">
        <v>51487.25</v>
      </c>
      <c r="J15" s="542" t="s">
        <v>2701</v>
      </c>
      <c r="K15" s="547">
        <v>8400</v>
      </c>
      <c r="L15" s="542" t="s">
        <v>806</v>
      </c>
      <c r="M15" s="548"/>
      <c r="N15" s="549">
        <v>28</v>
      </c>
      <c r="O15" s="544" t="s">
        <v>1674</v>
      </c>
      <c r="P15" s="544" t="s">
        <v>1674</v>
      </c>
      <c r="Q15" s="544" t="s">
        <v>2897</v>
      </c>
      <c r="R15" s="544" t="s">
        <v>2898</v>
      </c>
      <c r="S15" s="544" t="s">
        <v>1674</v>
      </c>
      <c r="T15" s="550">
        <v>19</v>
      </c>
      <c r="U15" s="544" t="s">
        <v>2700</v>
      </c>
      <c r="V15" s="547">
        <v>302</v>
      </c>
      <c r="W15" s="548"/>
      <c r="Y15" s="544" t="s">
        <v>1674</v>
      </c>
      <c r="AA15" s="544" t="s">
        <v>1674</v>
      </c>
      <c r="AE15" s="551"/>
      <c r="AF15" s="544" t="s">
        <v>1674</v>
      </c>
      <c r="AG15" s="544" t="s">
        <v>1674</v>
      </c>
      <c r="AH15" s="544" t="s">
        <v>1674</v>
      </c>
      <c r="AI15" s="544" t="s">
        <v>1674</v>
      </c>
      <c r="AJ15" s="544" t="s">
        <v>1674</v>
      </c>
      <c r="AK15" s="544" t="s">
        <v>1674</v>
      </c>
      <c r="AL15" s="544" t="s">
        <v>1674</v>
      </c>
      <c r="AM15" s="544" t="s">
        <v>2899</v>
      </c>
      <c r="AN15" s="544" t="s">
        <v>1674</v>
      </c>
      <c r="AP15" s="552">
        <f t="shared" si="0"/>
        <v>51487.25</v>
      </c>
    </row>
    <row r="16" spans="1:48" outlineLevel="1" x14ac:dyDescent="0.25">
      <c r="A16" s="544" t="s">
        <v>1674</v>
      </c>
      <c r="B16" s="545">
        <v>31901</v>
      </c>
      <c r="C16" s="544" t="s">
        <v>2894</v>
      </c>
      <c r="D16" s="544" t="s">
        <v>2987</v>
      </c>
      <c r="E16" s="542" t="s">
        <v>2979</v>
      </c>
      <c r="F16" s="542" t="s">
        <v>2988</v>
      </c>
      <c r="G16" s="546">
        <v>51456.55</v>
      </c>
      <c r="H16" s="546"/>
      <c r="I16" s="546">
        <v>51456.55</v>
      </c>
      <c r="J16" s="542" t="s">
        <v>2701</v>
      </c>
      <c r="K16" s="547">
        <v>8400</v>
      </c>
      <c r="L16" s="542" t="s">
        <v>806</v>
      </c>
      <c r="M16" s="548"/>
      <c r="N16" s="549">
        <v>8</v>
      </c>
      <c r="O16" s="544" t="s">
        <v>1674</v>
      </c>
      <c r="P16" s="544" t="s">
        <v>1674</v>
      </c>
      <c r="Q16" s="544" t="s">
        <v>2897</v>
      </c>
      <c r="R16" s="544" t="s">
        <v>2898</v>
      </c>
      <c r="S16" s="544" t="s">
        <v>1674</v>
      </c>
      <c r="T16" s="550">
        <v>19</v>
      </c>
      <c r="U16" s="544" t="s">
        <v>2697</v>
      </c>
      <c r="V16" s="547">
        <v>1802</v>
      </c>
      <c r="W16" s="548"/>
      <c r="Y16" s="544" t="s">
        <v>1674</v>
      </c>
      <c r="AA16" s="544" t="s">
        <v>1674</v>
      </c>
      <c r="AE16" s="551"/>
      <c r="AF16" s="544" t="s">
        <v>1674</v>
      </c>
      <c r="AG16" s="544" t="s">
        <v>1674</v>
      </c>
      <c r="AH16" s="544" t="s">
        <v>1674</v>
      </c>
      <c r="AI16" s="544" t="s">
        <v>1674</v>
      </c>
      <c r="AJ16" s="544" t="s">
        <v>1674</v>
      </c>
      <c r="AK16" s="544" t="s">
        <v>1674</v>
      </c>
      <c r="AL16" s="544" t="s">
        <v>1674</v>
      </c>
      <c r="AM16" s="544" t="s">
        <v>2899</v>
      </c>
      <c r="AN16" s="544" t="s">
        <v>1674</v>
      </c>
      <c r="AP16" s="552">
        <f t="shared" si="0"/>
        <v>51456.55</v>
      </c>
      <c r="AR16" s="542" t="s">
        <v>640</v>
      </c>
      <c r="AS16" s="562">
        <f>SUM(AS13:AS14)</f>
        <v>2007694.3600000013</v>
      </c>
    </row>
    <row r="17" spans="1:42" outlineLevel="1" x14ac:dyDescent="0.25">
      <c r="A17" s="544" t="s">
        <v>1674</v>
      </c>
      <c r="B17" s="545">
        <v>31901</v>
      </c>
      <c r="C17" s="544" t="s">
        <v>2894</v>
      </c>
      <c r="D17" s="544" t="s">
        <v>2962</v>
      </c>
      <c r="E17" s="542" t="s">
        <v>2950</v>
      </c>
      <c r="F17" s="542" t="s">
        <v>2963</v>
      </c>
      <c r="G17" s="546">
        <v>51364.45</v>
      </c>
      <c r="H17" s="546"/>
      <c r="I17" s="546">
        <v>51364.45</v>
      </c>
      <c r="J17" s="542" t="s">
        <v>2701</v>
      </c>
      <c r="K17" s="547">
        <v>8400</v>
      </c>
      <c r="L17" s="542" t="s">
        <v>806</v>
      </c>
      <c r="M17" s="548"/>
      <c r="N17" s="549">
        <v>5</v>
      </c>
      <c r="O17" s="544" t="s">
        <v>1674</v>
      </c>
      <c r="P17" s="544" t="s">
        <v>1674</v>
      </c>
      <c r="Q17" s="544" t="s">
        <v>2897</v>
      </c>
      <c r="R17" s="544" t="s">
        <v>2898</v>
      </c>
      <c r="S17" s="544" t="s">
        <v>1674</v>
      </c>
      <c r="T17" s="550">
        <v>19</v>
      </c>
      <c r="U17" s="544" t="s">
        <v>2697</v>
      </c>
      <c r="V17" s="547">
        <v>1500</v>
      </c>
      <c r="W17" s="548"/>
      <c r="Y17" s="544" t="s">
        <v>1674</v>
      </c>
      <c r="AA17" s="544" t="s">
        <v>1674</v>
      </c>
      <c r="AE17" s="551"/>
      <c r="AF17" s="544" t="s">
        <v>1674</v>
      </c>
      <c r="AG17" s="544" t="s">
        <v>1674</v>
      </c>
      <c r="AH17" s="544" t="s">
        <v>1674</v>
      </c>
      <c r="AI17" s="544" t="s">
        <v>1674</v>
      </c>
      <c r="AJ17" s="544" t="s">
        <v>1674</v>
      </c>
      <c r="AK17" s="544" t="s">
        <v>1674</v>
      </c>
      <c r="AL17" s="544" t="s">
        <v>1674</v>
      </c>
      <c r="AM17" s="544" t="s">
        <v>2899</v>
      </c>
      <c r="AN17" s="544" t="s">
        <v>1674</v>
      </c>
      <c r="AP17" s="552">
        <f t="shared" si="0"/>
        <v>51364.45</v>
      </c>
    </row>
    <row r="18" spans="1:42" outlineLevel="1" x14ac:dyDescent="0.25">
      <c r="A18" s="544" t="s">
        <v>1674</v>
      </c>
      <c r="B18" s="545">
        <v>0</v>
      </c>
      <c r="C18" s="544" t="s">
        <v>1674</v>
      </c>
      <c r="D18" s="544" t="s">
        <v>3098</v>
      </c>
      <c r="E18" s="542" t="s">
        <v>3093</v>
      </c>
      <c r="F18" s="542" t="s">
        <v>3094</v>
      </c>
      <c r="G18" s="546">
        <v>45012.84</v>
      </c>
      <c r="H18" s="546"/>
      <c r="I18" s="546">
        <v>45467.519999999997</v>
      </c>
      <c r="J18" s="542" t="s">
        <v>2701</v>
      </c>
      <c r="K18" s="547">
        <v>8401</v>
      </c>
      <c r="L18" s="542" t="s">
        <v>806</v>
      </c>
      <c r="M18" s="548"/>
      <c r="N18" s="549">
        <v>16</v>
      </c>
      <c r="O18" s="544" t="s">
        <v>1674</v>
      </c>
      <c r="P18" s="544" t="s">
        <v>1674</v>
      </c>
      <c r="Q18" s="544" t="s">
        <v>3099</v>
      </c>
      <c r="R18" s="544" t="s">
        <v>1674</v>
      </c>
      <c r="S18" s="544" t="s">
        <v>1674</v>
      </c>
      <c r="T18" s="550">
        <v>19</v>
      </c>
      <c r="U18" s="544" t="s">
        <v>2700</v>
      </c>
      <c r="V18" s="547">
        <v>238</v>
      </c>
      <c r="W18" s="548"/>
      <c r="Y18" s="544" t="s">
        <v>1674</v>
      </c>
      <c r="AA18" s="544" t="s">
        <v>1674</v>
      </c>
      <c r="AE18" s="551"/>
      <c r="AF18" s="544" t="s">
        <v>1674</v>
      </c>
      <c r="AG18" s="544" t="s">
        <v>1674</v>
      </c>
      <c r="AH18" s="544" t="s">
        <v>1674</v>
      </c>
      <c r="AI18" s="544" t="s">
        <v>1674</v>
      </c>
      <c r="AJ18" s="544" t="s">
        <v>1674</v>
      </c>
      <c r="AK18" s="544" t="s">
        <v>1674</v>
      </c>
      <c r="AL18" s="544" t="s">
        <v>1674</v>
      </c>
      <c r="AM18" s="544" t="s">
        <v>1674</v>
      </c>
      <c r="AN18" s="544" t="s">
        <v>1674</v>
      </c>
      <c r="AP18" s="552">
        <f t="shared" si="0"/>
        <v>45467.519999999997</v>
      </c>
    </row>
    <row r="19" spans="1:42" outlineLevel="1" x14ac:dyDescent="0.25">
      <c r="A19" s="544" t="s">
        <v>1674</v>
      </c>
      <c r="B19" s="545">
        <v>0</v>
      </c>
      <c r="C19" s="544" t="s">
        <v>1674</v>
      </c>
      <c r="D19" s="544" t="s">
        <v>3062</v>
      </c>
      <c r="E19" s="542" t="s">
        <v>2887</v>
      </c>
      <c r="F19" s="542" t="s">
        <v>3060</v>
      </c>
      <c r="G19" s="546">
        <v>140.12</v>
      </c>
      <c r="H19" s="546"/>
      <c r="I19" s="546">
        <v>40432.93</v>
      </c>
      <c r="J19" s="542" t="s">
        <v>2701</v>
      </c>
      <c r="K19" s="547">
        <v>8400</v>
      </c>
      <c r="L19" s="542" t="s">
        <v>806</v>
      </c>
      <c r="M19" s="548"/>
      <c r="N19" s="549">
        <v>11</v>
      </c>
      <c r="O19" s="544" t="s">
        <v>1674</v>
      </c>
      <c r="P19" s="544" t="s">
        <v>1674</v>
      </c>
      <c r="Q19" s="544" t="s">
        <v>3063</v>
      </c>
      <c r="R19" s="544" t="s">
        <v>2617</v>
      </c>
      <c r="S19" s="544" t="s">
        <v>1674</v>
      </c>
      <c r="T19" s="550">
        <v>19</v>
      </c>
      <c r="U19" s="544" t="s">
        <v>2700</v>
      </c>
      <c r="V19" s="547">
        <v>163</v>
      </c>
      <c r="W19" s="548"/>
      <c r="Y19" s="544" t="s">
        <v>1674</v>
      </c>
      <c r="AA19" s="544" t="s">
        <v>1674</v>
      </c>
      <c r="AE19" s="551"/>
      <c r="AF19" s="544" t="s">
        <v>1674</v>
      </c>
      <c r="AG19" s="544" t="s">
        <v>1674</v>
      </c>
      <c r="AH19" s="544" t="s">
        <v>1674</v>
      </c>
      <c r="AI19" s="544" t="s">
        <v>1674</v>
      </c>
      <c r="AJ19" s="544" t="s">
        <v>1674</v>
      </c>
      <c r="AK19" s="544" t="s">
        <v>1674</v>
      </c>
      <c r="AL19" s="544" t="s">
        <v>1674</v>
      </c>
      <c r="AM19" s="544" t="s">
        <v>1674</v>
      </c>
      <c r="AN19" s="544" t="s">
        <v>1674</v>
      </c>
      <c r="AP19" s="552">
        <f t="shared" si="0"/>
        <v>40432.93</v>
      </c>
    </row>
    <row r="20" spans="1:42" outlineLevel="1" x14ac:dyDescent="0.25">
      <c r="A20" s="544" t="s">
        <v>1674</v>
      </c>
      <c r="B20" s="545">
        <v>0</v>
      </c>
      <c r="C20" s="544" t="s">
        <v>1674</v>
      </c>
      <c r="D20" s="544" t="s">
        <v>2978</v>
      </c>
      <c r="E20" s="542" t="s">
        <v>2979</v>
      </c>
      <c r="F20" s="542" t="s">
        <v>2980</v>
      </c>
      <c r="G20" s="546">
        <v>37351.050000000003</v>
      </c>
      <c r="H20" s="546"/>
      <c r="I20" s="546">
        <v>39984</v>
      </c>
      <c r="J20" s="542" t="s">
        <v>2701</v>
      </c>
      <c r="K20" s="547">
        <v>8401</v>
      </c>
      <c r="L20" s="542" t="s">
        <v>806</v>
      </c>
      <c r="M20" s="548"/>
      <c r="N20" s="549">
        <v>-2</v>
      </c>
      <c r="O20" s="544" t="s">
        <v>1674</v>
      </c>
      <c r="P20" s="544" t="s">
        <v>1674</v>
      </c>
      <c r="Q20" s="544" t="s">
        <v>2754</v>
      </c>
      <c r="R20" s="544" t="s">
        <v>1674</v>
      </c>
      <c r="S20" s="544" t="s">
        <v>1674</v>
      </c>
      <c r="T20" s="550">
        <v>19</v>
      </c>
      <c r="U20" s="544" t="s">
        <v>2697</v>
      </c>
      <c r="V20" s="547">
        <v>1794</v>
      </c>
      <c r="W20" s="548"/>
      <c r="Y20" s="544" t="s">
        <v>1674</v>
      </c>
      <c r="AA20" s="544" t="s">
        <v>1674</v>
      </c>
      <c r="AE20" s="551"/>
      <c r="AF20" s="544" t="s">
        <v>1674</v>
      </c>
      <c r="AG20" s="544" t="s">
        <v>1674</v>
      </c>
      <c r="AH20" s="544" t="s">
        <v>1674</v>
      </c>
      <c r="AI20" s="544" t="s">
        <v>1674</v>
      </c>
      <c r="AJ20" s="544" t="s">
        <v>1674</v>
      </c>
      <c r="AK20" s="544" t="s">
        <v>1674</v>
      </c>
      <c r="AL20" s="544" t="s">
        <v>1674</v>
      </c>
      <c r="AM20" s="544" t="s">
        <v>1674</v>
      </c>
      <c r="AN20" s="544" t="s">
        <v>1674</v>
      </c>
      <c r="AP20" s="552">
        <f t="shared" si="0"/>
        <v>39984</v>
      </c>
    </row>
    <row r="21" spans="1:42" outlineLevel="1" x14ac:dyDescent="0.25">
      <c r="A21" s="544" t="s">
        <v>1674</v>
      </c>
      <c r="B21" s="545">
        <v>0</v>
      </c>
      <c r="C21" s="544" t="s">
        <v>1674</v>
      </c>
      <c r="D21" s="544" t="s">
        <v>2780</v>
      </c>
      <c r="E21" s="542" t="s">
        <v>2772</v>
      </c>
      <c r="F21" s="542" t="s">
        <v>2781</v>
      </c>
      <c r="G21" s="546">
        <v>26679.32</v>
      </c>
      <c r="H21" s="546"/>
      <c r="I21" s="546">
        <v>28560</v>
      </c>
      <c r="J21" s="542" t="s">
        <v>2701</v>
      </c>
      <c r="K21" s="547">
        <v>8401</v>
      </c>
      <c r="L21" s="542" t="s">
        <v>806</v>
      </c>
      <c r="M21" s="548"/>
      <c r="N21" s="549">
        <v>-94</v>
      </c>
      <c r="O21" s="544" t="s">
        <v>1674</v>
      </c>
      <c r="P21" s="544" t="s">
        <v>1674</v>
      </c>
      <c r="Q21" s="544" t="s">
        <v>2754</v>
      </c>
      <c r="R21" s="544" t="s">
        <v>1674</v>
      </c>
      <c r="S21" s="544" t="s">
        <v>1674</v>
      </c>
      <c r="T21" s="550">
        <v>19</v>
      </c>
      <c r="U21" s="544" t="s">
        <v>2688</v>
      </c>
      <c r="V21" s="547">
        <v>1446</v>
      </c>
      <c r="W21" s="548"/>
      <c r="Y21" s="544" t="s">
        <v>1674</v>
      </c>
      <c r="AA21" s="544" t="s">
        <v>1674</v>
      </c>
      <c r="AE21" s="551"/>
      <c r="AF21" s="544" t="s">
        <v>1674</v>
      </c>
      <c r="AG21" s="544" t="s">
        <v>1674</v>
      </c>
      <c r="AH21" s="544" t="s">
        <v>1674</v>
      </c>
      <c r="AI21" s="544" t="s">
        <v>1674</v>
      </c>
      <c r="AJ21" s="544" t="s">
        <v>1674</v>
      </c>
      <c r="AK21" s="544" t="s">
        <v>1674</v>
      </c>
      <c r="AL21" s="544" t="s">
        <v>1674</v>
      </c>
      <c r="AM21" s="544" t="s">
        <v>1674</v>
      </c>
      <c r="AN21" s="544" t="s">
        <v>1674</v>
      </c>
      <c r="AP21" s="552">
        <f t="shared" si="0"/>
        <v>28560</v>
      </c>
    </row>
    <row r="22" spans="1:42" outlineLevel="1" x14ac:dyDescent="0.25">
      <c r="A22" s="544" t="s">
        <v>1674</v>
      </c>
      <c r="B22" s="545">
        <v>20301</v>
      </c>
      <c r="C22" s="544" t="s">
        <v>2981</v>
      </c>
      <c r="D22" s="544" t="s">
        <v>3056</v>
      </c>
      <c r="E22" s="542" t="s">
        <v>2883</v>
      </c>
      <c r="F22" s="542" t="s">
        <v>3057</v>
      </c>
      <c r="G22" s="546">
        <v>22924.3</v>
      </c>
      <c r="H22" s="546"/>
      <c r="I22" s="546">
        <v>22924.3</v>
      </c>
      <c r="J22" s="542" t="s">
        <v>2701</v>
      </c>
      <c r="K22" s="547">
        <v>8125</v>
      </c>
      <c r="L22" s="542" t="s">
        <v>806</v>
      </c>
      <c r="M22" s="548"/>
      <c r="N22" s="549">
        <v>10</v>
      </c>
      <c r="O22" s="544" t="s">
        <v>1674</v>
      </c>
      <c r="P22" s="544" t="s">
        <v>1674</v>
      </c>
      <c r="Q22" s="544" t="s">
        <v>2983</v>
      </c>
      <c r="R22" s="544" t="s">
        <v>1674</v>
      </c>
      <c r="S22" s="544" t="s">
        <v>1674</v>
      </c>
      <c r="T22" s="550"/>
      <c r="U22" s="544" t="s">
        <v>2700</v>
      </c>
      <c r="V22" s="547">
        <v>158</v>
      </c>
      <c r="W22" s="548"/>
      <c r="Y22" s="544" t="s">
        <v>1674</v>
      </c>
      <c r="AA22" s="544" t="s">
        <v>1674</v>
      </c>
      <c r="AE22" s="551"/>
      <c r="AF22" s="544" t="s">
        <v>1674</v>
      </c>
      <c r="AG22" s="544" t="s">
        <v>1674</v>
      </c>
      <c r="AH22" s="544" t="s">
        <v>1674</v>
      </c>
      <c r="AI22" s="544" t="s">
        <v>1674</v>
      </c>
      <c r="AJ22" s="544" t="s">
        <v>1674</v>
      </c>
      <c r="AK22" s="544" t="s">
        <v>1674</v>
      </c>
      <c r="AL22" s="544" t="s">
        <v>1674</v>
      </c>
      <c r="AM22" s="544" t="s">
        <v>2985</v>
      </c>
      <c r="AN22" s="544" t="s">
        <v>1674</v>
      </c>
      <c r="AP22" s="552">
        <f t="shared" si="0"/>
        <v>22924.3</v>
      </c>
    </row>
    <row r="23" spans="1:42" outlineLevel="1" x14ac:dyDescent="0.25">
      <c r="A23" s="544" t="s">
        <v>1674</v>
      </c>
      <c r="B23" s="545">
        <v>0</v>
      </c>
      <c r="C23" s="544" t="s">
        <v>1674</v>
      </c>
      <c r="D23" s="544" t="s">
        <v>3208</v>
      </c>
      <c r="E23" s="542" t="s">
        <v>2920</v>
      </c>
      <c r="F23" s="542" t="s">
        <v>3181</v>
      </c>
      <c r="G23" s="546">
        <v>21210.080000000002</v>
      </c>
      <c r="H23" s="546"/>
      <c r="I23" s="546">
        <v>22705.200000000001</v>
      </c>
      <c r="J23" s="542" t="s">
        <v>2701</v>
      </c>
      <c r="K23" s="547">
        <v>8401</v>
      </c>
      <c r="L23" s="542" t="s">
        <v>806</v>
      </c>
      <c r="M23" s="548"/>
      <c r="N23" s="549">
        <v>19</v>
      </c>
      <c r="O23" s="544" t="s">
        <v>1674</v>
      </c>
      <c r="P23" s="544" t="s">
        <v>1674</v>
      </c>
      <c r="Q23" s="544" t="s">
        <v>2733</v>
      </c>
      <c r="R23" s="544" t="s">
        <v>1674</v>
      </c>
      <c r="S23" s="544" t="s">
        <v>1674</v>
      </c>
      <c r="T23" s="550">
        <v>19</v>
      </c>
      <c r="U23" s="544" t="s">
        <v>2700</v>
      </c>
      <c r="V23" s="547">
        <v>317</v>
      </c>
      <c r="W23" s="548"/>
      <c r="Y23" s="544" t="s">
        <v>1674</v>
      </c>
      <c r="AA23" s="544" t="s">
        <v>1674</v>
      </c>
      <c r="AE23" s="551"/>
      <c r="AF23" s="544" t="s">
        <v>1674</v>
      </c>
      <c r="AG23" s="544" t="s">
        <v>1674</v>
      </c>
      <c r="AH23" s="544" t="s">
        <v>1674</v>
      </c>
      <c r="AI23" s="544" t="s">
        <v>1674</v>
      </c>
      <c r="AJ23" s="544" t="s">
        <v>1674</v>
      </c>
      <c r="AK23" s="544" t="s">
        <v>1674</v>
      </c>
      <c r="AL23" s="544" t="s">
        <v>1674</v>
      </c>
      <c r="AM23" s="544" t="s">
        <v>1674</v>
      </c>
      <c r="AN23" s="544" t="s">
        <v>1674</v>
      </c>
      <c r="AP23" s="552">
        <f t="shared" si="0"/>
        <v>22705.200000000001</v>
      </c>
    </row>
    <row r="24" spans="1:42" outlineLevel="1" x14ac:dyDescent="0.25">
      <c r="A24" s="544" t="s">
        <v>1674</v>
      </c>
      <c r="B24" s="545">
        <v>11313</v>
      </c>
      <c r="C24" s="544" t="s">
        <v>3173</v>
      </c>
      <c r="D24" s="544" t="s">
        <v>3174</v>
      </c>
      <c r="E24" s="542" t="s">
        <v>3158</v>
      </c>
      <c r="F24" s="542" t="s">
        <v>3159</v>
      </c>
      <c r="G24" s="546">
        <v>18911.48</v>
      </c>
      <c r="H24" s="546"/>
      <c r="I24" s="546">
        <v>18911.48</v>
      </c>
      <c r="J24" s="542" t="s">
        <v>2701</v>
      </c>
      <c r="K24" s="547">
        <v>8400</v>
      </c>
      <c r="L24" s="542" t="s">
        <v>806</v>
      </c>
      <c r="M24" s="548"/>
      <c r="N24" s="549">
        <v>18</v>
      </c>
      <c r="O24" s="544" t="s">
        <v>1674</v>
      </c>
      <c r="P24" s="544" t="s">
        <v>1674</v>
      </c>
      <c r="Q24" s="544" t="s">
        <v>3175</v>
      </c>
      <c r="R24" s="544" t="s">
        <v>1674</v>
      </c>
      <c r="S24" s="544" t="s">
        <v>1674</v>
      </c>
      <c r="T24" s="550">
        <v>19</v>
      </c>
      <c r="U24" s="544" t="s">
        <v>2700</v>
      </c>
      <c r="V24" s="547">
        <v>298</v>
      </c>
      <c r="W24" s="548"/>
      <c r="Y24" s="544" t="s">
        <v>1674</v>
      </c>
      <c r="AA24" s="544" t="s">
        <v>1674</v>
      </c>
      <c r="AE24" s="551"/>
      <c r="AF24" s="544" t="s">
        <v>1674</v>
      </c>
      <c r="AG24" s="544" t="s">
        <v>1674</v>
      </c>
      <c r="AH24" s="544" t="s">
        <v>1674</v>
      </c>
      <c r="AI24" s="544" t="s">
        <v>1674</v>
      </c>
      <c r="AJ24" s="544" t="s">
        <v>1674</v>
      </c>
      <c r="AK24" s="544" t="s">
        <v>1674</v>
      </c>
      <c r="AL24" s="544" t="s">
        <v>1674</v>
      </c>
      <c r="AM24" s="544" t="s">
        <v>3176</v>
      </c>
      <c r="AN24" s="544" t="s">
        <v>1674</v>
      </c>
      <c r="AP24" s="552">
        <f t="shared" si="0"/>
        <v>18911.48</v>
      </c>
    </row>
    <row r="25" spans="1:42" outlineLevel="1" x14ac:dyDescent="0.25">
      <c r="A25" s="544" t="s">
        <v>1674</v>
      </c>
      <c r="B25" s="545">
        <v>0</v>
      </c>
      <c r="C25" s="544" t="s">
        <v>1674</v>
      </c>
      <c r="D25" s="544" t="s">
        <v>3114</v>
      </c>
      <c r="E25" s="542" t="s">
        <v>3093</v>
      </c>
      <c r="F25" s="542" t="s">
        <v>3094</v>
      </c>
      <c r="G25" s="546">
        <v>17408.04</v>
      </c>
      <c r="H25" s="546"/>
      <c r="I25" s="546">
        <v>18635.400000000001</v>
      </c>
      <c r="J25" s="542" t="s">
        <v>2701</v>
      </c>
      <c r="K25" s="547">
        <v>8401</v>
      </c>
      <c r="L25" s="542" t="s">
        <v>806</v>
      </c>
      <c r="M25" s="548"/>
      <c r="N25" s="549">
        <v>16</v>
      </c>
      <c r="O25" s="544" t="s">
        <v>1674</v>
      </c>
      <c r="P25" s="544" t="s">
        <v>1674</v>
      </c>
      <c r="Q25" s="544" t="s">
        <v>3115</v>
      </c>
      <c r="R25" s="544" t="s">
        <v>1674</v>
      </c>
      <c r="S25" s="544" t="s">
        <v>1674</v>
      </c>
      <c r="T25" s="550">
        <v>19</v>
      </c>
      <c r="U25" s="544" t="s">
        <v>2700</v>
      </c>
      <c r="V25" s="547">
        <v>249</v>
      </c>
      <c r="W25" s="548"/>
      <c r="Y25" s="544" t="s">
        <v>1674</v>
      </c>
      <c r="AA25" s="544" t="s">
        <v>1674</v>
      </c>
      <c r="AE25" s="551"/>
      <c r="AF25" s="544" t="s">
        <v>1674</v>
      </c>
      <c r="AG25" s="544" t="s">
        <v>1674</v>
      </c>
      <c r="AH25" s="544" t="s">
        <v>1674</v>
      </c>
      <c r="AI25" s="544" t="s">
        <v>1674</v>
      </c>
      <c r="AJ25" s="544" t="s">
        <v>1674</v>
      </c>
      <c r="AK25" s="544" t="s">
        <v>1674</v>
      </c>
      <c r="AL25" s="544" t="s">
        <v>1674</v>
      </c>
      <c r="AM25" s="544" t="s">
        <v>1674</v>
      </c>
      <c r="AN25" s="544" t="s">
        <v>1674</v>
      </c>
      <c r="AP25" s="552">
        <f t="shared" si="0"/>
        <v>18635.400000000001</v>
      </c>
    </row>
    <row r="26" spans="1:42" outlineLevel="1" x14ac:dyDescent="0.25">
      <c r="A26" s="544" t="s">
        <v>1674</v>
      </c>
      <c r="B26" s="545">
        <v>0</v>
      </c>
      <c r="C26" s="544" t="s">
        <v>1674</v>
      </c>
      <c r="D26" s="544" t="s">
        <v>3212</v>
      </c>
      <c r="E26" s="542" t="s">
        <v>2920</v>
      </c>
      <c r="F26" s="542" t="s">
        <v>3181</v>
      </c>
      <c r="G26" s="546">
        <v>16350.6</v>
      </c>
      <c r="H26" s="546"/>
      <c r="I26" s="546">
        <v>16350.6</v>
      </c>
      <c r="J26" s="542" t="s">
        <v>2701</v>
      </c>
      <c r="K26" s="547">
        <v>8400</v>
      </c>
      <c r="L26" s="542" t="s">
        <v>806</v>
      </c>
      <c r="M26" s="548"/>
      <c r="N26" s="549">
        <v>19</v>
      </c>
      <c r="O26" s="544" t="s">
        <v>1674</v>
      </c>
      <c r="P26" s="544" t="s">
        <v>1674</v>
      </c>
      <c r="Q26" s="544" t="s">
        <v>3213</v>
      </c>
      <c r="R26" s="544" t="s">
        <v>1674</v>
      </c>
      <c r="S26" s="544" t="s">
        <v>1674</v>
      </c>
      <c r="T26" s="550">
        <v>19</v>
      </c>
      <c r="U26" s="544" t="s">
        <v>2700</v>
      </c>
      <c r="V26" s="547">
        <v>327</v>
      </c>
      <c r="W26" s="548"/>
      <c r="Y26" s="544" t="s">
        <v>1674</v>
      </c>
      <c r="AA26" s="544" t="s">
        <v>1674</v>
      </c>
      <c r="AE26" s="551"/>
      <c r="AF26" s="544" t="s">
        <v>1674</v>
      </c>
      <c r="AG26" s="544" t="s">
        <v>1674</v>
      </c>
      <c r="AH26" s="544" t="s">
        <v>1674</v>
      </c>
      <c r="AI26" s="544" t="s">
        <v>1674</v>
      </c>
      <c r="AJ26" s="544" t="s">
        <v>1674</v>
      </c>
      <c r="AK26" s="544" t="s">
        <v>1674</v>
      </c>
      <c r="AL26" s="544" t="s">
        <v>1674</v>
      </c>
      <c r="AM26" s="544" t="s">
        <v>1674</v>
      </c>
      <c r="AN26" s="544" t="s">
        <v>1674</v>
      </c>
      <c r="AP26" s="552">
        <f t="shared" si="0"/>
        <v>16350.6</v>
      </c>
    </row>
    <row r="27" spans="1:42" outlineLevel="1" x14ac:dyDescent="0.25">
      <c r="A27" s="544" t="s">
        <v>1674</v>
      </c>
      <c r="B27" s="545">
        <v>0</v>
      </c>
      <c r="C27" s="544" t="s">
        <v>1674</v>
      </c>
      <c r="D27" s="544" t="s">
        <v>2777</v>
      </c>
      <c r="E27" s="542" t="s">
        <v>2698</v>
      </c>
      <c r="G27" s="546"/>
      <c r="H27" s="546">
        <v>9.52</v>
      </c>
      <c r="I27" s="546">
        <v>15470</v>
      </c>
      <c r="J27" s="542" t="s">
        <v>2701</v>
      </c>
      <c r="K27" s="547">
        <v>8736</v>
      </c>
      <c r="L27" s="542" t="s">
        <v>806</v>
      </c>
      <c r="M27" s="548"/>
      <c r="N27" s="549">
        <v>0</v>
      </c>
      <c r="O27" s="544" t="s">
        <v>1674</v>
      </c>
      <c r="P27" s="544" t="s">
        <v>1674</v>
      </c>
      <c r="Q27" s="544" t="s">
        <v>2699</v>
      </c>
      <c r="R27" s="544" t="s">
        <v>1674</v>
      </c>
      <c r="S27" s="544" t="s">
        <v>1674</v>
      </c>
      <c r="T27" s="550">
        <v>19</v>
      </c>
      <c r="U27" s="544" t="s">
        <v>2700</v>
      </c>
      <c r="V27" s="547">
        <v>1609</v>
      </c>
      <c r="W27" s="548"/>
      <c r="Y27" s="544" t="s">
        <v>1674</v>
      </c>
      <c r="AA27" s="544" t="s">
        <v>1674</v>
      </c>
      <c r="AE27" s="551"/>
      <c r="AF27" s="544" t="s">
        <v>1674</v>
      </c>
      <c r="AG27" s="544" t="s">
        <v>1674</v>
      </c>
      <c r="AH27" s="544" t="s">
        <v>1674</v>
      </c>
      <c r="AI27" s="544" t="s">
        <v>1674</v>
      </c>
      <c r="AJ27" s="544" t="s">
        <v>1674</v>
      </c>
      <c r="AK27" s="544" t="s">
        <v>1674</v>
      </c>
      <c r="AL27" s="544" t="s">
        <v>1674</v>
      </c>
      <c r="AM27" s="544" t="s">
        <v>1674</v>
      </c>
      <c r="AN27" s="544" t="s">
        <v>1674</v>
      </c>
      <c r="AP27" s="552">
        <f t="shared" si="0"/>
        <v>15470</v>
      </c>
    </row>
    <row r="28" spans="1:42" outlineLevel="1" x14ac:dyDescent="0.25">
      <c r="A28" s="544" t="s">
        <v>1674</v>
      </c>
      <c r="B28" s="545">
        <v>21206</v>
      </c>
      <c r="C28" s="544" t="s">
        <v>3153</v>
      </c>
      <c r="D28" s="544" t="s">
        <v>3154</v>
      </c>
      <c r="E28" s="542" t="s">
        <v>2912</v>
      </c>
      <c r="F28" s="542" t="s">
        <v>3119</v>
      </c>
      <c r="G28" s="546">
        <v>13980</v>
      </c>
      <c r="H28" s="546"/>
      <c r="I28" s="546">
        <v>13980</v>
      </c>
      <c r="J28" s="542" t="s">
        <v>2701</v>
      </c>
      <c r="K28" s="547">
        <v>8125</v>
      </c>
      <c r="L28" s="542" t="s">
        <v>806</v>
      </c>
      <c r="M28" s="548"/>
      <c r="N28" s="549">
        <v>17</v>
      </c>
      <c r="O28" s="544" t="s">
        <v>1674</v>
      </c>
      <c r="P28" s="544" t="s">
        <v>1674</v>
      </c>
      <c r="Q28" s="544" t="s">
        <v>3155</v>
      </c>
      <c r="R28" s="544" t="s">
        <v>1674</v>
      </c>
      <c r="S28" s="544" t="s">
        <v>1674</v>
      </c>
      <c r="T28" s="550"/>
      <c r="U28" s="544" t="s">
        <v>2700</v>
      </c>
      <c r="V28" s="547">
        <v>267</v>
      </c>
      <c r="W28" s="548"/>
      <c r="Y28" s="544" t="s">
        <v>1674</v>
      </c>
      <c r="AA28" s="544" t="s">
        <v>1674</v>
      </c>
      <c r="AE28" s="551"/>
      <c r="AF28" s="544" t="s">
        <v>1674</v>
      </c>
      <c r="AG28" s="544" t="s">
        <v>1674</v>
      </c>
      <c r="AH28" s="544" t="s">
        <v>1674</v>
      </c>
      <c r="AI28" s="544" t="s">
        <v>1674</v>
      </c>
      <c r="AJ28" s="544" t="s">
        <v>1674</v>
      </c>
      <c r="AK28" s="544" t="s">
        <v>1674</v>
      </c>
      <c r="AL28" s="544" t="s">
        <v>1674</v>
      </c>
      <c r="AM28" s="544" t="s">
        <v>3156</v>
      </c>
      <c r="AN28" s="544" t="s">
        <v>1674</v>
      </c>
      <c r="AP28" s="552">
        <f t="shared" si="0"/>
        <v>13980</v>
      </c>
    </row>
    <row r="29" spans="1:42" outlineLevel="1" x14ac:dyDescent="0.25">
      <c r="A29" s="544" t="s">
        <v>1674</v>
      </c>
      <c r="B29" s="545">
        <v>0</v>
      </c>
      <c r="C29" s="544" t="s">
        <v>1674</v>
      </c>
      <c r="D29" s="544" t="s">
        <v>2756</v>
      </c>
      <c r="E29" s="542" t="s">
        <v>2698</v>
      </c>
      <c r="G29" s="546"/>
      <c r="H29" s="546">
        <v>9.52</v>
      </c>
      <c r="I29" s="546">
        <v>13566</v>
      </c>
      <c r="J29" s="542" t="s">
        <v>2701</v>
      </c>
      <c r="K29" s="547">
        <v>8736</v>
      </c>
      <c r="L29" s="542" t="s">
        <v>806</v>
      </c>
      <c r="M29" s="548"/>
      <c r="N29" s="549">
        <v>0</v>
      </c>
      <c r="O29" s="544" t="s">
        <v>1674</v>
      </c>
      <c r="P29" s="544" t="s">
        <v>1674</v>
      </c>
      <c r="Q29" s="544" t="s">
        <v>2699</v>
      </c>
      <c r="R29" s="544" t="s">
        <v>1674</v>
      </c>
      <c r="S29" s="544" t="s">
        <v>1674</v>
      </c>
      <c r="T29" s="550">
        <v>19</v>
      </c>
      <c r="U29" s="544" t="s">
        <v>2700</v>
      </c>
      <c r="V29" s="547">
        <v>1603</v>
      </c>
      <c r="W29" s="548"/>
      <c r="Y29" s="544" t="s">
        <v>1674</v>
      </c>
      <c r="AA29" s="544" t="s">
        <v>1674</v>
      </c>
      <c r="AE29" s="551"/>
      <c r="AF29" s="544" t="s">
        <v>1674</v>
      </c>
      <c r="AG29" s="544" t="s">
        <v>1674</v>
      </c>
      <c r="AH29" s="544" t="s">
        <v>1674</v>
      </c>
      <c r="AI29" s="544" t="s">
        <v>1674</v>
      </c>
      <c r="AJ29" s="544" t="s">
        <v>1674</v>
      </c>
      <c r="AK29" s="544" t="s">
        <v>1674</v>
      </c>
      <c r="AL29" s="544" t="s">
        <v>1674</v>
      </c>
      <c r="AM29" s="544" t="s">
        <v>1674</v>
      </c>
      <c r="AN29" s="544" t="s">
        <v>1674</v>
      </c>
      <c r="AP29" s="552">
        <f t="shared" si="0"/>
        <v>13566</v>
      </c>
    </row>
    <row r="30" spans="1:42" s="581" customFormat="1" outlineLevel="1" x14ac:dyDescent="0.25">
      <c r="A30" s="579" t="s">
        <v>1674</v>
      </c>
      <c r="B30" s="580">
        <v>30701</v>
      </c>
      <c r="C30" s="579" t="s">
        <v>2787</v>
      </c>
      <c r="D30" s="579" t="s">
        <v>2881</v>
      </c>
      <c r="E30" s="581" t="s">
        <v>2882</v>
      </c>
      <c r="F30" s="581" t="s">
        <v>2883</v>
      </c>
      <c r="G30" s="582">
        <v>13140</v>
      </c>
      <c r="H30" s="582"/>
      <c r="I30" s="582">
        <v>13140</v>
      </c>
      <c r="J30" s="581" t="s">
        <v>2701</v>
      </c>
      <c r="K30" s="583">
        <v>8120</v>
      </c>
      <c r="L30" s="581" t="s">
        <v>806</v>
      </c>
      <c r="M30" s="584"/>
      <c r="N30" s="585">
        <v>-20</v>
      </c>
      <c r="O30" s="579" t="s">
        <v>1674</v>
      </c>
      <c r="P30" s="579" t="s">
        <v>1674</v>
      </c>
      <c r="Q30" s="579" t="s">
        <v>2810</v>
      </c>
      <c r="R30" s="579" t="s">
        <v>1674</v>
      </c>
      <c r="S30" s="579" t="s">
        <v>1674</v>
      </c>
      <c r="T30" s="586"/>
      <c r="U30" s="579" t="s">
        <v>2697</v>
      </c>
      <c r="V30" s="583">
        <v>602</v>
      </c>
      <c r="W30" s="584"/>
      <c r="Y30" s="579" t="s">
        <v>1674</v>
      </c>
      <c r="AA30" s="579" t="s">
        <v>1674</v>
      </c>
      <c r="AE30" s="587"/>
      <c r="AF30" s="579" t="s">
        <v>1674</v>
      </c>
      <c r="AG30" s="579" t="s">
        <v>1674</v>
      </c>
      <c r="AH30" s="579" t="s">
        <v>1674</v>
      </c>
      <c r="AI30" s="579" t="s">
        <v>1674</v>
      </c>
      <c r="AJ30" s="579" t="s">
        <v>1674</v>
      </c>
      <c r="AK30" s="579" t="s">
        <v>1674</v>
      </c>
      <c r="AL30" s="579" t="s">
        <v>1674</v>
      </c>
      <c r="AM30" s="579" t="s">
        <v>2792</v>
      </c>
      <c r="AN30" s="579" t="s">
        <v>1674</v>
      </c>
      <c r="AP30" s="588">
        <f t="shared" si="0"/>
        <v>13140</v>
      </c>
    </row>
    <row r="31" spans="1:42" outlineLevel="1" x14ac:dyDescent="0.25">
      <c r="A31" s="544" t="s">
        <v>1674</v>
      </c>
      <c r="B31" s="545">
        <v>0</v>
      </c>
      <c r="C31" s="544" t="s">
        <v>1674</v>
      </c>
      <c r="D31" s="544" t="s">
        <v>2773</v>
      </c>
      <c r="E31" s="542" t="s">
        <v>2698</v>
      </c>
      <c r="G31" s="546"/>
      <c r="H31" s="546">
        <v>9.52</v>
      </c>
      <c r="I31" s="546">
        <v>12614</v>
      </c>
      <c r="J31" s="542" t="s">
        <v>2701</v>
      </c>
      <c r="K31" s="547">
        <v>8736</v>
      </c>
      <c r="L31" s="542" t="s">
        <v>806</v>
      </c>
      <c r="M31" s="548"/>
      <c r="N31" s="549">
        <v>0</v>
      </c>
      <c r="O31" s="544" t="s">
        <v>1674</v>
      </c>
      <c r="P31" s="544" t="s">
        <v>1674</v>
      </c>
      <c r="Q31" s="544" t="s">
        <v>2699</v>
      </c>
      <c r="R31" s="544" t="s">
        <v>1674</v>
      </c>
      <c r="S31" s="544" t="s">
        <v>1674</v>
      </c>
      <c r="T31" s="550">
        <v>19</v>
      </c>
      <c r="U31" s="544" t="s">
        <v>2700</v>
      </c>
      <c r="V31" s="547">
        <v>1605</v>
      </c>
      <c r="W31" s="548"/>
      <c r="Y31" s="544" t="s">
        <v>1674</v>
      </c>
      <c r="AA31" s="544" t="s">
        <v>1674</v>
      </c>
      <c r="AE31" s="551"/>
      <c r="AF31" s="544" t="s">
        <v>1674</v>
      </c>
      <c r="AG31" s="544" t="s">
        <v>1674</v>
      </c>
      <c r="AH31" s="544" t="s">
        <v>1674</v>
      </c>
      <c r="AI31" s="544" t="s">
        <v>1674</v>
      </c>
      <c r="AJ31" s="544" t="s">
        <v>1674</v>
      </c>
      <c r="AK31" s="544" t="s">
        <v>1674</v>
      </c>
      <c r="AL31" s="544" t="s">
        <v>1674</v>
      </c>
      <c r="AM31" s="544" t="s">
        <v>1674</v>
      </c>
      <c r="AN31" s="544" t="s">
        <v>1674</v>
      </c>
      <c r="AP31" s="552">
        <f t="shared" si="0"/>
        <v>12614</v>
      </c>
    </row>
    <row r="32" spans="1:42" outlineLevel="1" x14ac:dyDescent="0.25">
      <c r="A32" s="544" t="s">
        <v>1674</v>
      </c>
      <c r="B32" s="545">
        <v>0</v>
      </c>
      <c r="C32" s="544" t="s">
        <v>1674</v>
      </c>
      <c r="D32" s="544" t="s">
        <v>2919</v>
      </c>
      <c r="E32" s="542" t="s">
        <v>2838</v>
      </c>
      <c r="F32" s="542" t="s">
        <v>2920</v>
      </c>
      <c r="G32" s="546">
        <v>11712.17</v>
      </c>
      <c r="H32" s="546"/>
      <c r="I32" s="546">
        <v>12537.84</v>
      </c>
      <c r="J32" s="542" t="s">
        <v>2701</v>
      </c>
      <c r="K32" s="547">
        <v>8401</v>
      </c>
      <c r="L32" s="542" t="s">
        <v>806</v>
      </c>
      <c r="M32" s="548"/>
      <c r="N32" s="549">
        <v>-11</v>
      </c>
      <c r="O32" s="544" t="s">
        <v>1674</v>
      </c>
      <c r="P32" s="544" t="s">
        <v>1674</v>
      </c>
      <c r="Q32" s="544" t="s">
        <v>2921</v>
      </c>
      <c r="R32" s="544" t="s">
        <v>1674</v>
      </c>
      <c r="S32" s="544" t="s">
        <v>1674</v>
      </c>
      <c r="T32" s="550">
        <v>19</v>
      </c>
      <c r="U32" s="544" t="s">
        <v>2697</v>
      </c>
      <c r="V32" s="547">
        <v>1140</v>
      </c>
      <c r="W32" s="548"/>
      <c r="Y32" s="544" t="s">
        <v>1674</v>
      </c>
      <c r="AA32" s="544" t="s">
        <v>1674</v>
      </c>
      <c r="AE32" s="551"/>
      <c r="AF32" s="544" t="s">
        <v>1674</v>
      </c>
      <c r="AG32" s="544" t="s">
        <v>1674</v>
      </c>
      <c r="AH32" s="544" t="s">
        <v>1674</v>
      </c>
      <c r="AI32" s="544" t="s">
        <v>1674</v>
      </c>
      <c r="AJ32" s="544" t="s">
        <v>1674</v>
      </c>
      <c r="AK32" s="544" t="s">
        <v>1674</v>
      </c>
      <c r="AL32" s="544" t="s">
        <v>1674</v>
      </c>
      <c r="AM32" s="544" t="s">
        <v>1674</v>
      </c>
      <c r="AN32" s="544" t="s">
        <v>1674</v>
      </c>
      <c r="AP32" s="552">
        <f t="shared" si="0"/>
        <v>12537.84</v>
      </c>
    </row>
    <row r="33" spans="1:42" outlineLevel="1" x14ac:dyDescent="0.25">
      <c r="A33" s="544" t="s">
        <v>1674</v>
      </c>
      <c r="B33" s="545">
        <v>0</v>
      </c>
      <c r="C33" s="544" t="s">
        <v>1674</v>
      </c>
      <c r="D33" s="544" t="s">
        <v>2763</v>
      </c>
      <c r="E33" s="542" t="s">
        <v>2764</v>
      </c>
      <c r="F33" s="542" t="s">
        <v>2765</v>
      </c>
      <c r="G33" s="546">
        <v>10671.73</v>
      </c>
      <c r="H33" s="546"/>
      <c r="I33" s="546">
        <v>11424</v>
      </c>
      <c r="J33" s="542" t="s">
        <v>2701</v>
      </c>
      <c r="K33" s="547">
        <v>8401</v>
      </c>
      <c r="L33" s="542" t="s">
        <v>806</v>
      </c>
      <c r="M33" s="548"/>
      <c r="N33" s="549">
        <v>-152</v>
      </c>
      <c r="O33" s="544" t="s">
        <v>1674</v>
      </c>
      <c r="P33" s="544" t="s">
        <v>1674</v>
      </c>
      <c r="Q33" s="544" t="s">
        <v>2754</v>
      </c>
      <c r="R33" s="544" t="s">
        <v>1674</v>
      </c>
      <c r="S33" s="544" t="s">
        <v>1674</v>
      </c>
      <c r="T33" s="550">
        <v>19</v>
      </c>
      <c r="U33" s="544" t="s">
        <v>2685</v>
      </c>
      <c r="V33" s="547">
        <v>187</v>
      </c>
      <c r="W33" s="548"/>
      <c r="Y33" s="544" t="s">
        <v>1674</v>
      </c>
      <c r="AA33" s="544" t="s">
        <v>1674</v>
      </c>
      <c r="AE33" s="551"/>
      <c r="AF33" s="544" t="s">
        <v>1674</v>
      </c>
      <c r="AG33" s="544" t="s">
        <v>1674</v>
      </c>
      <c r="AH33" s="544" t="s">
        <v>1674</v>
      </c>
      <c r="AI33" s="544" t="s">
        <v>1674</v>
      </c>
      <c r="AJ33" s="544" t="s">
        <v>1674</v>
      </c>
      <c r="AK33" s="544" t="s">
        <v>1674</v>
      </c>
      <c r="AL33" s="544" t="s">
        <v>1674</v>
      </c>
      <c r="AM33" s="544" t="s">
        <v>1674</v>
      </c>
      <c r="AN33" s="544" t="s">
        <v>1674</v>
      </c>
      <c r="AP33" s="552">
        <f t="shared" si="0"/>
        <v>11424</v>
      </c>
    </row>
    <row r="34" spans="1:42" outlineLevel="1" x14ac:dyDescent="0.25">
      <c r="A34" s="544" t="s">
        <v>1674</v>
      </c>
      <c r="B34" s="545">
        <v>0</v>
      </c>
      <c r="C34" s="544" t="s">
        <v>1674</v>
      </c>
      <c r="D34" s="544" t="s">
        <v>3095</v>
      </c>
      <c r="E34" s="542" t="s">
        <v>3093</v>
      </c>
      <c r="F34" s="542" t="s">
        <v>3094</v>
      </c>
      <c r="G34" s="546">
        <v>10605.04</v>
      </c>
      <c r="H34" s="546"/>
      <c r="I34" s="546">
        <v>11352.6</v>
      </c>
      <c r="J34" s="542" t="s">
        <v>2701</v>
      </c>
      <c r="K34" s="547">
        <v>8401</v>
      </c>
      <c r="L34" s="542" t="s">
        <v>806</v>
      </c>
      <c r="M34" s="548"/>
      <c r="N34" s="549">
        <v>16</v>
      </c>
      <c r="O34" s="544" t="s">
        <v>1674</v>
      </c>
      <c r="P34" s="544" t="s">
        <v>1674</v>
      </c>
      <c r="Q34" s="544" t="s">
        <v>2733</v>
      </c>
      <c r="R34" s="544" t="s">
        <v>1674</v>
      </c>
      <c r="S34" s="544" t="s">
        <v>1674</v>
      </c>
      <c r="T34" s="550">
        <v>19</v>
      </c>
      <c r="U34" s="544" t="s">
        <v>2700</v>
      </c>
      <c r="V34" s="547">
        <v>235</v>
      </c>
      <c r="W34" s="548"/>
      <c r="Y34" s="544" t="s">
        <v>1674</v>
      </c>
      <c r="AA34" s="544" t="s">
        <v>1674</v>
      </c>
      <c r="AE34" s="551"/>
      <c r="AF34" s="544" t="s">
        <v>1674</v>
      </c>
      <c r="AG34" s="544" t="s">
        <v>1674</v>
      </c>
      <c r="AH34" s="544" t="s">
        <v>1674</v>
      </c>
      <c r="AI34" s="544" t="s">
        <v>1674</v>
      </c>
      <c r="AJ34" s="544" t="s">
        <v>1674</v>
      </c>
      <c r="AK34" s="544" t="s">
        <v>1674</v>
      </c>
      <c r="AL34" s="544" t="s">
        <v>1674</v>
      </c>
      <c r="AM34" s="544" t="s">
        <v>1674</v>
      </c>
      <c r="AN34" s="544" t="s">
        <v>1674</v>
      </c>
      <c r="AP34" s="552">
        <f t="shared" si="0"/>
        <v>11352.6</v>
      </c>
    </row>
    <row r="35" spans="1:42" outlineLevel="1" x14ac:dyDescent="0.25">
      <c r="A35" s="544" t="s">
        <v>1674</v>
      </c>
      <c r="B35" s="545">
        <v>0</v>
      </c>
      <c r="C35" s="544" t="s">
        <v>1674</v>
      </c>
      <c r="D35" s="544" t="s">
        <v>3124</v>
      </c>
      <c r="E35" s="542" t="s">
        <v>2912</v>
      </c>
      <c r="F35" s="542" t="s">
        <v>3119</v>
      </c>
      <c r="G35" s="546">
        <v>10605.04</v>
      </c>
      <c r="H35" s="546"/>
      <c r="I35" s="546">
        <v>11352.6</v>
      </c>
      <c r="J35" s="542" t="s">
        <v>2701</v>
      </c>
      <c r="K35" s="547">
        <v>8401</v>
      </c>
      <c r="L35" s="542" t="s">
        <v>806</v>
      </c>
      <c r="M35" s="548"/>
      <c r="N35" s="549">
        <v>17</v>
      </c>
      <c r="O35" s="544" t="s">
        <v>1674</v>
      </c>
      <c r="P35" s="544" t="s">
        <v>1674</v>
      </c>
      <c r="Q35" s="544" t="s">
        <v>2733</v>
      </c>
      <c r="R35" s="544" t="s">
        <v>1674</v>
      </c>
      <c r="S35" s="544" t="s">
        <v>1674</v>
      </c>
      <c r="T35" s="550">
        <v>19</v>
      </c>
      <c r="U35" s="544" t="s">
        <v>2700</v>
      </c>
      <c r="V35" s="547">
        <v>262</v>
      </c>
      <c r="W35" s="548"/>
      <c r="Y35" s="544" t="s">
        <v>1674</v>
      </c>
      <c r="AA35" s="544" t="s">
        <v>1674</v>
      </c>
      <c r="AE35" s="551"/>
      <c r="AF35" s="544" t="s">
        <v>1674</v>
      </c>
      <c r="AG35" s="544" t="s">
        <v>1674</v>
      </c>
      <c r="AH35" s="544" t="s">
        <v>1674</v>
      </c>
      <c r="AI35" s="544" t="s">
        <v>1674</v>
      </c>
      <c r="AJ35" s="544" t="s">
        <v>1674</v>
      </c>
      <c r="AK35" s="544" t="s">
        <v>1674</v>
      </c>
      <c r="AL35" s="544" t="s">
        <v>1674</v>
      </c>
      <c r="AM35" s="544" t="s">
        <v>1674</v>
      </c>
      <c r="AN35" s="544" t="s">
        <v>1674</v>
      </c>
      <c r="AP35" s="552">
        <f t="shared" si="0"/>
        <v>11352.6</v>
      </c>
    </row>
    <row r="36" spans="1:42" outlineLevel="1" x14ac:dyDescent="0.25">
      <c r="A36" s="544" t="s">
        <v>1674</v>
      </c>
      <c r="B36" s="545">
        <v>0</v>
      </c>
      <c r="C36" s="544" t="s">
        <v>1674</v>
      </c>
      <c r="D36" s="544" t="s">
        <v>2739</v>
      </c>
      <c r="E36" s="542" t="s">
        <v>2698</v>
      </c>
      <c r="G36" s="546"/>
      <c r="H36" s="546">
        <v>9.52</v>
      </c>
      <c r="I36" s="546">
        <v>10710</v>
      </c>
      <c r="J36" s="542" t="s">
        <v>2701</v>
      </c>
      <c r="K36" s="547">
        <v>8736</v>
      </c>
      <c r="L36" s="542" t="s">
        <v>806</v>
      </c>
      <c r="M36" s="548"/>
      <c r="N36" s="549">
        <v>0</v>
      </c>
      <c r="O36" s="544" t="s">
        <v>1674</v>
      </c>
      <c r="P36" s="544" t="s">
        <v>1674</v>
      </c>
      <c r="Q36" s="544" t="s">
        <v>2699</v>
      </c>
      <c r="R36" s="544" t="s">
        <v>1674</v>
      </c>
      <c r="S36" s="544" t="s">
        <v>1674</v>
      </c>
      <c r="T36" s="550">
        <v>19</v>
      </c>
      <c r="U36" s="544" t="s">
        <v>2700</v>
      </c>
      <c r="V36" s="547">
        <v>1599</v>
      </c>
      <c r="W36" s="548"/>
      <c r="Y36" s="544" t="s">
        <v>1674</v>
      </c>
      <c r="AA36" s="544" t="s">
        <v>1674</v>
      </c>
      <c r="AE36" s="551"/>
      <c r="AF36" s="544" t="s">
        <v>1674</v>
      </c>
      <c r="AG36" s="544" t="s">
        <v>1674</v>
      </c>
      <c r="AH36" s="544" t="s">
        <v>1674</v>
      </c>
      <c r="AI36" s="544" t="s">
        <v>1674</v>
      </c>
      <c r="AJ36" s="544" t="s">
        <v>1674</v>
      </c>
      <c r="AK36" s="544" t="s">
        <v>1674</v>
      </c>
      <c r="AL36" s="544" t="s">
        <v>1674</v>
      </c>
      <c r="AM36" s="544" t="s">
        <v>1674</v>
      </c>
      <c r="AN36" s="544" t="s">
        <v>1674</v>
      </c>
      <c r="AP36" s="552">
        <f t="shared" si="0"/>
        <v>10710</v>
      </c>
    </row>
    <row r="37" spans="1:42" outlineLevel="1" x14ac:dyDescent="0.25">
      <c r="A37" s="544" t="s">
        <v>1674</v>
      </c>
      <c r="B37" s="545">
        <v>0</v>
      </c>
      <c r="C37" s="544" t="s">
        <v>1674</v>
      </c>
      <c r="D37" s="544" t="s">
        <v>2770</v>
      </c>
      <c r="E37" s="542" t="s">
        <v>2698</v>
      </c>
      <c r="G37" s="546"/>
      <c r="H37" s="546">
        <v>9.52</v>
      </c>
      <c r="I37" s="546">
        <v>10710</v>
      </c>
      <c r="J37" s="542" t="s">
        <v>2701</v>
      </c>
      <c r="K37" s="547">
        <v>8736</v>
      </c>
      <c r="L37" s="542" t="s">
        <v>806</v>
      </c>
      <c r="M37" s="548"/>
      <c r="N37" s="549">
        <v>0</v>
      </c>
      <c r="O37" s="544" t="s">
        <v>1674</v>
      </c>
      <c r="P37" s="544" t="s">
        <v>1674</v>
      </c>
      <c r="Q37" s="544" t="s">
        <v>2699</v>
      </c>
      <c r="R37" s="544" t="s">
        <v>1674</v>
      </c>
      <c r="S37" s="544" t="s">
        <v>1674</v>
      </c>
      <c r="T37" s="550">
        <v>19</v>
      </c>
      <c r="U37" s="544" t="s">
        <v>2700</v>
      </c>
      <c r="V37" s="547">
        <v>1607</v>
      </c>
      <c r="W37" s="548"/>
      <c r="Y37" s="544" t="s">
        <v>1674</v>
      </c>
      <c r="AA37" s="544" t="s">
        <v>1674</v>
      </c>
      <c r="AE37" s="551"/>
      <c r="AF37" s="544" t="s">
        <v>1674</v>
      </c>
      <c r="AG37" s="544" t="s">
        <v>1674</v>
      </c>
      <c r="AH37" s="544" t="s">
        <v>1674</v>
      </c>
      <c r="AI37" s="544" t="s">
        <v>1674</v>
      </c>
      <c r="AJ37" s="544" t="s">
        <v>1674</v>
      </c>
      <c r="AK37" s="544" t="s">
        <v>1674</v>
      </c>
      <c r="AL37" s="544" t="s">
        <v>1674</v>
      </c>
      <c r="AM37" s="544" t="s">
        <v>1674</v>
      </c>
      <c r="AN37" s="544" t="s">
        <v>1674</v>
      </c>
      <c r="AP37" s="552">
        <f t="shared" si="0"/>
        <v>10710</v>
      </c>
    </row>
    <row r="38" spans="1:42" outlineLevel="1" x14ac:dyDescent="0.25">
      <c r="A38" s="544" t="s">
        <v>1674</v>
      </c>
      <c r="B38" s="545">
        <v>0</v>
      </c>
      <c r="C38" s="544" t="s">
        <v>1674</v>
      </c>
      <c r="D38" s="544" t="s">
        <v>3245</v>
      </c>
      <c r="E38" s="542" t="s">
        <v>2920</v>
      </c>
      <c r="F38" s="542" t="s">
        <v>3181</v>
      </c>
      <c r="G38" s="546">
        <v>8849.4699999999993</v>
      </c>
      <c r="H38" s="546"/>
      <c r="I38" s="546">
        <v>8849.4699999999993</v>
      </c>
      <c r="J38" s="542" t="s">
        <v>2701</v>
      </c>
      <c r="K38" s="547">
        <v>8338</v>
      </c>
      <c r="L38" s="542" t="s">
        <v>806</v>
      </c>
      <c r="M38" s="548"/>
      <c r="N38" s="549">
        <v>19</v>
      </c>
      <c r="O38" s="544" t="s">
        <v>1674</v>
      </c>
      <c r="P38" s="544" t="s">
        <v>1674</v>
      </c>
      <c r="Q38" s="544" t="s">
        <v>2830</v>
      </c>
      <c r="R38" s="544" t="s">
        <v>1674</v>
      </c>
      <c r="S38" s="544" t="s">
        <v>1674</v>
      </c>
      <c r="T38" s="550"/>
      <c r="U38" s="544" t="s">
        <v>2700</v>
      </c>
      <c r="V38" s="547">
        <v>306</v>
      </c>
      <c r="W38" s="548"/>
      <c r="Y38" s="544" t="s">
        <v>1674</v>
      </c>
      <c r="AA38" s="544" t="s">
        <v>1674</v>
      </c>
      <c r="AE38" s="551"/>
      <c r="AF38" s="544" t="s">
        <v>1674</v>
      </c>
      <c r="AG38" s="544" t="s">
        <v>1674</v>
      </c>
      <c r="AH38" s="544" t="s">
        <v>1674</v>
      </c>
      <c r="AI38" s="544" t="s">
        <v>1674</v>
      </c>
      <c r="AJ38" s="544" t="s">
        <v>1674</v>
      </c>
      <c r="AK38" s="544" t="s">
        <v>1674</v>
      </c>
      <c r="AL38" s="544" t="s">
        <v>1674</v>
      </c>
      <c r="AM38" s="544" t="s">
        <v>1674</v>
      </c>
      <c r="AN38" s="544" t="s">
        <v>1674</v>
      </c>
      <c r="AP38" s="552">
        <f t="shared" si="0"/>
        <v>8849.4699999999993</v>
      </c>
    </row>
    <row r="39" spans="1:42" outlineLevel="1" x14ac:dyDescent="0.25">
      <c r="A39" s="544" t="s">
        <v>1674</v>
      </c>
      <c r="B39" s="545">
        <v>0</v>
      </c>
      <c r="C39" s="544" t="s">
        <v>1674</v>
      </c>
      <c r="D39" s="544" t="s">
        <v>2723</v>
      </c>
      <c r="E39" s="542" t="s">
        <v>2698</v>
      </c>
      <c r="G39" s="546"/>
      <c r="H39" s="546">
        <v>9.52</v>
      </c>
      <c r="I39" s="546">
        <v>8806</v>
      </c>
      <c r="J39" s="542" t="s">
        <v>2701</v>
      </c>
      <c r="K39" s="547">
        <v>8736</v>
      </c>
      <c r="L39" s="542" t="s">
        <v>806</v>
      </c>
      <c r="M39" s="548"/>
      <c r="N39" s="549">
        <v>0</v>
      </c>
      <c r="O39" s="544" t="s">
        <v>1674</v>
      </c>
      <c r="P39" s="544" t="s">
        <v>1674</v>
      </c>
      <c r="Q39" s="544" t="s">
        <v>2699</v>
      </c>
      <c r="R39" s="544" t="s">
        <v>1674</v>
      </c>
      <c r="S39" s="544" t="s">
        <v>1674</v>
      </c>
      <c r="T39" s="550">
        <v>19</v>
      </c>
      <c r="U39" s="544" t="s">
        <v>2700</v>
      </c>
      <c r="V39" s="547">
        <v>1597</v>
      </c>
      <c r="W39" s="548"/>
      <c r="Y39" s="544" t="s">
        <v>1674</v>
      </c>
      <c r="AA39" s="544" t="s">
        <v>1674</v>
      </c>
      <c r="AE39" s="551"/>
      <c r="AF39" s="544" t="s">
        <v>1674</v>
      </c>
      <c r="AG39" s="544" t="s">
        <v>1674</v>
      </c>
      <c r="AH39" s="544" t="s">
        <v>1674</v>
      </c>
      <c r="AI39" s="544" t="s">
        <v>1674</v>
      </c>
      <c r="AJ39" s="544" t="s">
        <v>1674</v>
      </c>
      <c r="AK39" s="544" t="s">
        <v>1674</v>
      </c>
      <c r="AL39" s="544" t="s">
        <v>1674</v>
      </c>
      <c r="AM39" s="544" t="s">
        <v>1674</v>
      </c>
      <c r="AN39" s="544" t="s">
        <v>1674</v>
      </c>
      <c r="AP39" s="552">
        <f t="shared" si="0"/>
        <v>8806</v>
      </c>
    </row>
    <row r="40" spans="1:42" outlineLevel="1" x14ac:dyDescent="0.25">
      <c r="A40" s="544" t="s">
        <v>1674</v>
      </c>
      <c r="B40" s="545">
        <v>0</v>
      </c>
      <c r="C40" s="544" t="s">
        <v>1674</v>
      </c>
      <c r="D40" s="544" t="s">
        <v>2727</v>
      </c>
      <c r="E40" s="542" t="s">
        <v>2698</v>
      </c>
      <c r="G40" s="546"/>
      <c r="H40" s="546">
        <v>9.52</v>
      </c>
      <c r="I40" s="546">
        <v>8806</v>
      </c>
      <c r="J40" s="542" t="s">
        <v>2701</v>
      </c>
      <c r="K40" s="547">
        <v>8736</v>
      </c>
      <c r="L40" s="542" t="s">
        <v>806</v>
      </c>
      <c r="M40" s="548"/>
      <c r="N40" s="549">
        <v>0</v>
      </c>
      <c r="O40" s="544" t="s">
        <v>1674</v>
      </c>
      <c r="P40" s="544" t="s">
        <v>1674</v>
      </c>
      <c r="Q40" s="544" t="s">
        <v>2699</v>
      </c>
      <c r="R40" s="544" t="s">
        <v>1674</v>
      </c>
      <c r="S40" s="544" t="s">
        <v>1674</v>
      </c>
      <c r="T40" s="550">
        <v>19</v>
      </c>
      <c r="U40" s="544" t="s">
        <v>2700</v>
      </c>
      <c r="V40" s="547">
        <v>1601</v>
      </c>
      <c r="W40" s="548"/>
      <c r="Y40" s="544" t="s">
        <v>1674</v>
      </c>
      <c r="AA40" s="544" t="s">
        <v>1674</v>
      </c>
      <c r="AE40" s="551"/>
      <c r="AF40" s="544" t="s">
        <v>1674</v>
      </c>
      <c r="AG40" s="544" t="s">
        <v>1674</v>
      </c>
      <c r="AH40" s="544" t="s">
        <v>1674</v>
      </c>
      <c r="AI40" s="544" t="s">
        <v>1674</v>
      </c>
      <c r="AJ40" s="544" t="s">
        <v>1674</v>
      </c>
      <c r="AK40" s="544" t="s">
        <v>1674</v>
      </c>
      <c r="AL40" s="544" t="s">
        <v>1674</v>
      </c>
      <c r="AM40" s="544" t="s">
        <v>1674</v>
      </c>
      <c r="AN40" s="544" t="s">
        <v>1674</v>
      </c>
      <c r="AP40" s="552">
        <f t="shared" si="0"/>
        <v>8806</v>
      </c>
    </row>
    <row r="41" spans="1:42" outlineLevel="1" x14ac:dyDescent="0.25">
      <c r="A41" s="544" t="s">
        <v>1674</v>
      </c>
      <c r="B41" s="545">
        <v>0</v>
      </c>
      <c r="C41" s="544" t="s">
        <v>1674</v>
      </c>
      <c r="D41" s="544" t="s">
        <v>2717</v>
      </c>
      <c r="E41" s="542" t="s">
        <v>2698</v>
      </c>
      <c r="G41" s="546"/>
      <c r="H41" s="546">
        <v>9.52</v>
      </c>
      <c r="I41" s="546">
        <v>7854</v>
      </c>
      <c r="J41" s="542" t="s">
        <v>2701</v>
      </c>
      <c r="K41" s="547">
        <v>8736</v>
      </c>
      <c r="L41" s="542" t="s">
        <v>806</v>
      </c>
      <c r="M41" s="548"/>
      <c r="N41" s="549">
        <v>0</v>
      </c>
      <c r="O41" s="544" t="s">
        <v>1674</v>
      </c>
      <c r="P41" s="544" t="s">
        <v>1674</v>
      </c>
      <c r="Q41" s="544" t="s">
        <v>2699</v>
      </c>
      <c r="R41" s="544" t="s">
        <v>1674</v>
      </c>
      <c r="S41" s="544" t="s">
        <v>1674</v>
      </c>
      <c r="T41" s="550">
        <v>19</v>
      </c>
      <c r="U41" s="544" t="s">
        <v>2700</v>
      </c>
      <c r="V41" s="547">
        <v>1595</v>
      </c>
      <c r="W41" s="548"/>
      <c r="Y41" s="544" t="s">
        <v>1674</v>
      </c>
      <c r="AA41" s="544" t="s">
        <v>1674</v>
      </c>
      <c r="AE41" s="551"/>
      <c r="AF41" s="544" t="s">
        <v>1674</v>
      </c>
      <c r="AG41" s="544" t="s">
        <v>1674</v>
      </c>
      <c r="AH41" s="544" t="s">
        <v>1674</v>
      </c>
      <c r="AI41" s="544" t="s">
        <v>1674</v>
      </c>
      <c r="AJ41" s="544" t="s">
        <v>1674</v>
      </c>
      <c r="AK41" s="544" t="s">
        <v>1674</v>
      </c>
      <c r="AL41" s="544" t="s">
        <v>1674</v>
      </c>
      <c r="AM41" s="544" t="s">
        <v>1674</v>
      </c>
      <c r="AN41" s="544" t="s">
        <v>1674</v>
      </c>
      <c r="AP41" s="552">
        <f t="shared" si="0"/>
        <v>7854</v>
      </c>
    </row>
    <row r="42" spans="1:42" outlineLevel="1" x14ac:dyDescent="0.25">
      <c r="A42" s="544" t="s">
        <v>1674</v>
      </c>
      <c r="B42" s="545">
        <v>22403</v>
      </c>
      <c r="C42" s="544" t="s">
        <v>3036</v>
      </c>
      <c r="D42" s="544" t="s">
        <v>3037</v>
      </c>
      <c r="E42" s="542" t="s">
        <v>3033</v>
      </c>
      <c r="F42" s="542" t="s">
        <v>2988</v>
      </c>
      <c r="G42" s="546">
        <v>7625</v>
      </c>
      <c r="H42" s="546"/>
      <c r="I42" s="546">
        <v>7625</v>
      </c>
      <c r="J42" s="542" t="s">
        <v>2701</v>
      </c>
      <c r="K42" s="547">
        <v>8125</v>
      </c>
      <c r="L42" s="542" t="s">
        <v>806</v>
      </c>
      <c r="M42" s="548"/>
      <c r="N42" s="549">
        <v>8</v>
      </c>
      <c r="O42" s="544" t="s">
        <v>1674</v>
      </c>
      <c r="P42" s="544" t="s">
        <v>1674</v>
      </c>
      <c r="Q42" s="544" t="s">
        <v>3038</v>
      </c>
      <c r="R42" s="544" t="s">
        <v>1674</v>
      </c>
      <c r="S42" s="544" t="s">
        <v>1674</v>
      </c>
      <c r="T42" s="550"/>
      <c r="U42" s="544" t="s">
        <v>2700</v>
      </c>
      <c r="V42" s="547">
        <v>126</v>
      </c>
      <c r="W42" s="548"/>
      <c r="Y42" s="544" t="s">
        <v>1674</v>
      </c>
      <c r="AA42" s="544" t="s">
        <v>1674</v>
      </c>
      <c r="AE42" s="551"/>
      <c r="AF42" s="544" t="s">
        <v>1674</v>
      </c>
      <c r="AG42" s="544" t="s">
        <v>1674</v>
      </c>
      <c r="AH42" s="544" t="s">
        <v>1674</v>
      </c>
      <c r="AI42" s="544" t="s">
        <v>1674</v>
      </c>
      <c r="AJ42" s="544" t="s">
        <v>1674</v>
      </c>
      <c r="AK42" s="544" t="s">
        <v>1674</v>
      </c>
      <c r="AL42" s="544" t="s">
        <v>1674</v>
      </c>
      <c r="AM42" s="544" t="s">
        <v>3039</v>
      </c>
      <c r="AN42" s="544" t="s">
        <v>1674</v>
      </c>
      <c r="AP42" s="552">
        <f t="shared" si="0"/>
        <v>7625</v>
      </c>
    </row>
    <row r="43" spans="1:42" outlineLevel="1" x14ac:dyDescent="0.25">
      <c r="A43" s="544" t="s">
        <v>1674</v>
      </c>
      <c r="B43" s="545">
        <v>30803</v>
      </c>
      <c r="C43" s="544" t="s">
        <v>2925</v>
      </c>
      <c r="D43" s="544" t="s">
        <v>3029</v>
      </c>
      <c r="E43" s="542" t="s">
        <v>3022</v>
      </c>
      <c r="F43" s="542" t="s">
        <v>2963</v>
      </c>
      <c r="G43" s="546">
        <v>6929.37</v>
      </c>
      <c r="H43" s="546"/>
      <c r="I43" s="546">
        <v>6929.37</v>
      </c>
      <c r="J43" s="542" t="s">
        <v>2701</v>
      </c>
      <c r="K43" s="547">
        <v>8400</v>
      </c>
      <c r="L43" s="542" t="s">
        <v>806</v>
      </c>
      <c r="M43" s="548"/>
      <c r="N43" s="549">
        <v>5</v>
      </c>
      <c r="O43" s="544" t="s">
        <v>1674</v>
      </c>
      <c r="P43" s="544" t="s">
        <v>1674</v>
      </c>
      <c r="Q43" s="544" t="s">
        <v>3030</v>
      </c>
      <c r="R43" s="544" t="s">
        <v>1674</v>
      </c>
      <c r="S43" s="544" t="s">
        <v>1674</v>
      </c>
      <c r="T43" s="550">
        <v>19</v>
      </c>
      <c r="U43" s="544" t="s">
        <v>2700</v>
      </c>
      <c r="V43" s="547">
        <v>96</v>
      </c>
      <c r="W43" s="548"/>
      <c r="Y43" s="544" t="s">
        <v>1674</v>
      </c>
      <c r="AA43" s="544" t="s">
        <v>1674</v>
      </c>
      <c r="AE43" s="551"/>
      <c r="AF43" s="544" t="s">
        <v>1674</v>
      </c>
      <c r="AG43" s="544" t="s">
        <v>1674</v>
      </c>
      <c r="AH43" s="544" t="s">
        <v>1674</v>
      </c>
      <c r="AI43" s="544" t="s">
        <v>1674</v>
      </c>
      <c r="AJ43" s="544" t="s">
        <v>1674</v>
      </c>
      <c r="AK43" s="544" t="s">
        <v>1674</v>
      </c>
      <c r="AL43" s="544" t="s">
        <v>1674</v>
      </c>
      <c r="AM43" s="544" t="s">
        <v>2928</v>
      </c>
      <c r="AN43" s="544" t="s">
        <v>1674</v>
      </c>
      <c r="AP43" s="552">
        <f t="shared" si="0"/>
        <v>6929.37</v>
      </c>
    </row>
    <row r="44" spans="1:42" outlineLevel="1" x14ac:dyDescent="0.25">
      <c r="A44" s="544" t="s">
        <v>1674</v>
      </c>
      <c r="B44" s="545">
        <v>0</v>
      </c>
      <c r="C44" s="544" t="s">
        <v>1674</v>
      </c>
      <c r="D44" s="544" t="s">
        <v>2783</v>
      </c>
      <c r="E44" s="542" t="s">
        <v>2784</v>
      </c>
      <c r="F44" s="542" t="s">
        <v>2785</v>
      </c>
      <c r="G44" s="546">
        <v>5921.06</v>
      </c>
      <c r="H44" s="546"/>
      <c r="I44" s="546">
        <v>6354.6</v>
      </c>
      <c r="J44" s="542" t="s">
        <v>2701</v>
      </c>
      <c r="K44" s="547">
        <v>8401</v>
      </c>
      <c r="L44" s="542" t="s">
        <v>806</v>
      </c>
      <c r="M44" s="548"/>
      <c r="N44" s="549">
        <v>-87</v>
      </c>
      <c r="O44" s="544" t="s">
        <v>1674</v>
      </c>
      <c r="P44" s="544" t="s">
        <v>1674</v>
      </c>
      <c r="Q44" s="544" t="s">
        <v>2786</v>
      </c>
      <c r="R44" s="544" t="s">
        <v>1674</v>
      </c>
      <c r="S44" s="544" t="s">
        <v>1674</v>
      </c>
      <c r="T44" s="550">
        <v>19</v>
      </c>
      <c r="U44" s="544" t="s">
        <v>2691</v>
      </c>
      <c r="V44" s="547">
        <v>54</v>
      </c>
      <c r="W44" s="548"/>
      <c r="Y44" s="544" t="s">
        <v>1674</v>
      </c>
      <c r="AA44" s="544" t="s">
        <v>1674</v>
      </c>
      <c r="AE44" s="551"/>
      <c r="AF44" s="544" t="s">
        <v>1674</v>
      </c>
      <c r="AG44" s="544" t="s">
        <v>1674</v>
      </c>
      <c r="AH44" s="544" t="s">
        <v>1674</v>
      </c>
      <c r="AI44" s="544" t="s">
        <v>1674</v>
      </c>
      <c r="AJ44" s="544" t="s">
        <v>1674</v>
      </c>
      <c r="AK44" s="544" t="s">
        <v>1674</v>
      </c>
      <c r="AL44" s="544" t="s">
        <v>1674</v>
      </c>
      <c r="AM44" s="544" t="s">
        <v>1674</v>
      </c>
      <c r="AN44" s="544" t="s">
        <v>1674</v>
      </c>
      <c r="AP44" s="552">
        <f t="shared" si="0"/>
        <v>6354.6</v>
      </c>
    </row>
    <row r="45" spans="1:42" outlineLevel="1" x14ac:dyDescent="0.25">
      <c r="A45" s="544" t="s">
        <v>1674</v>
      </c>
      <c r="B45" s="545">
        <v>0</v>
      </c>
      <c r="C45" s="544" t="s">
        <v>1674</v>
      </c>
      <c r="D45" s="544" t="s">
        <v>2847</v>
      </c>
      <c r="E45" s="542" t="s">
        <v>2848</v>
      </c>
      <c r="F45" s="542" t="s">
        <v>2695</v>
      </c>
      <c r="G45" s="546">
        <v>5921.06</v>
      </c>
      <c r="H45" s="546"/>
      <c r="I45" s="546">
        <v>6354.6</v>
      </c>
      <c r="J45" s="542" t="s">
        <v>2701</v>
      </c>
      <c r="K45" s="547">
        <v>8401</v>
      </c>
      <c r="L45" s="542" t="s">
        <v>806</v>
      </c>
      <c r="M45" s="548"/>
      <c r="N45" s="549">
        <v>-33</v>
      </c>
      <c r="O45" s="544" t="s">
        <v>1674</v>
      </c>
      <c r="P45" s="544" t="s">
        <v>1674</v>
      </c>
      <c r="Q45" s="544" t="s">
        <v>2786</v>
      </c>
      <c r="R45" s="544" t="s">
        <v>1674</v>
      </c>
      <c r="S45" s="544" t="s">
        <v>1674</v>
      </c>
      <c r="T45" s="550">
        <v>19</v>
      </c>
      <c r="U45" s="544" t="s">
        <v>2694</v>
      </c>
      <c r="V45" s="547">
        <v>446</v>
      </c>
      <c r="W45" s="548"/>
      <c r="Y45" s="544" t="s">
        <v>1674</v>
      </c>
      <c r="AA45" s="544" t="s">
        <v>1674</v>
      </c>
      <c r="AE45" s="551"/>
      <c r="AF45" s="544" t="s">
        <v>1674</v>
      </c>
      <c r="AG45" s="544" t="s">
        <v>1674</v>
      </c>
      <c r="AH45" s="544" t="s">
        <v>1674</v>
      </c>
      <c r="AI45" s="544" t="s">
        <v>1674</v>
      </c>
      <c r="AJ45" s="544" t="s">
        <v>1674</v>
      </c>
      <c r="AK45" s="544" t="s">
        <v>1674</v>
      </c>
      <c r="AL45" s="544" t="s">
        <v>1674</v>
      </c>
      <c r="AM45" s="544" t="s">
        <v>1674</v>
      </c>
      <c r="AN45" s="544" t="s">
        <v>1674</v>
      </c>
      <c r="AP45" s="552">
        <f t="shared" si="0"/>
        <v>6354.6</v>
      </c>
    </row>
    <row r="46" spans="1:42" outlineLevel="1" x14ac:dyDescent="0.25">
      <c r="A46" s="544" t="s">
        <v>1674</v>
      </c>
      <c r="B46" s="545">
        <v>0</v>
      </c>
      <c r="C46" s="544" t="s">
        <v>1674</v>
      </c>
      <c r="D46" s="544" t="s">
        <v>3072</v>
      </c>
      <c r="E46" s="542" t="s">
        <v>2902</v>
      </c>
      <c r="F46" s="542" t="s">
        <v>3000</v>
      </c>
      <c r="G46" s="546">
        <v>5921.06</v>
      </c>
      <c r="H46" s="546"/>
      <c r="I46" s="546">
        <v>6354.6</v>
      </c>
      <c r="J46" s="542" t="s">
        <v>2701</v>
      </c>
      <c r="K46" s="547">
        <v>8401</v>
      </c>
      <c r="L46" s="542" t="s">
        <v>806</v>
      </c>
      <c r="M46" s="548"/>
      <c r="N46" s="549">
        <v>12</v>
      </c>
      <c r="O46" s="544" t="s">
        <v>1674</v>
      </c>
      <c r="P46" s="544" t="s">
        <v>1674</v>
      </c>
      <c r="Q46" s="544" t="s">
        <v>2786</v>
      </c>
      <c r="R46" s="544" t="s">
        <v>1674</v>
      </c>
      <c r="S46" s="544" t="s">
        <v>1674</v>
      </c>
      <c r="T46" s="550">
        <v>19</v>
      </c>
      <c r="U46" s="544" t="s">
        <v>2700</v>
      </c>
      <c r="V46" s="547">
        <v>198</v>
      </c>
      <c r="W46" s="548"/>
      <c r="Y46" s="544" t="s">
        <v>1674</v>
      </c>
      <c r="AA46" s="544" t="s">
        <v>1674</v>
      </c>
      <c r="AE46" s="551"/>
      <c r="AF46" s="544" t="s">
        <v>1674</v>
      </c>
      <c r="AG46" s="544" t="s">
        <v>1674</v>
      </c>
      <c r="AH46" s="544" t="s">
        <v>1674</v>
      </c>
      <c r="AI46" s="544" t="s">
        <v>1674</v>
      </c>
      <c r="AJ46" s="544" t="s">
        <v>1674</v>
      </c>
      <c r="AK46" s="544" t="s">
        <v>1674</v>
      </c>
      <c r="AL46" s="544" t="s">
        <v>1674</v>
      </c>
      <c r="AM46" s="544" t="s">
        <v>1674</v>
      </c>
      <c r="AN46" s="544" t="s">
        <v>1674</v>
      </c>
      <c r="AP46" s="552">
        <f t="shared" si="0"/>
        <v>6354.6</v>
      </c>
    </row>
    <row r="47" spans="1:42" outlineLevel="1" x14ac:dyDescent="0.25">
      <c r="A47" s="544" t="s">
        <v>1674</v>
      </c>
      <c r="B47" s="545">
        <v>10229</v>
      </c>
      <c r="C47" s="544" t="s">
        <v>2590</v>
      </c>
      <c r="D47" s="544" t="s">
        <v>3080</v>
      </c>
      <c r="E47" s="542" t="s">
        <v>3078</v>
      </c>
      <c r="F47" s="542" t="s">
        <v>3079</v>
      </c>
      <c r="G47" s="546">
        <v>6339.73</v>
      </c>
      <c r="H47" s="546"/>
      <c r="I47" s="546">
        <v>6339.73</v>
      </c>
      <c r="J47" s="542" t="s">
        <v>2701</v>
      </c>
      <c r="K47" s="547">
        <v>8400</v>
      </c>
      <c r="L47" s="542" t="s">
        <v>806</v>
      </c>
      <c r="M47" s="548"/>
      <c r="N47" s="549">
        <v>15</v>
      </c>
      <c r="O47" s="544" t="s">
        <v>1674</v>
      </c>
      <c r="P47" s="544" t="s">
        <v>1674</v>
      </c>
      <c r="Q47" s="544" t="s">
        <v>2593</v>
      </c>
      <c r="R47" s="544" t="s">
        <v>1674</v>
      </c>
      <c r="S47" s="544" t="s">
        <v>1674</v>
      </c>
      <c r="T47" s="550">
        <v>19</v>
      </c>
      <c r="U47" s="544" t="s">
        <v>2700</v>
      </c>
      <c r="V47" s="547">
        <v>210</v>
      </c>
      <c r="W47" s="548"/>
      <c r="Y47" s="544" t="s">
        <v>1674</v>
      </c>
      <c r="AA47" s="544" t="s">
        <v>1674</v>
      </c>
      <c r="AE47" s="551"/>
      <c r="AF47" s="544" t="s">
        <v>2595</v>
      </c>
      <c r="AG47" s="544" t="s">
        <v>2596</v>
      </c>
      <c r="AH47" s="544" t="s">
        <v>2597</v>
      </c>
      <c r="AI47" s="544" t="s">
        <v>1674</v>
      </c>
      <c r="AJ47" s="544" t="s">
        <v>2598</v>
      </c>
      <c r="AK47" s="544" t="s">
        <v>1674</v>
      </c>
      <c r="AL47" s="544" t="s">
        <v>1674</v>
      </c>
      <c r="AM47" s="544" t="s">
        <v>2599</v>
      </c>
      <c r="AN47" s="544" t="s">
        <v>2600</v>
      </c>
      <c r="AP47" s="552">
        <f t="shared" si="0"/>
        <v>6339.73</v>
      </c>
    </row>
    <row r="48" spans="1:42" outlineLevel="1" x14ac:dyDescent="0.25">
      <c r="A48" s="544" t="s">
        <v>1674</v>
      </c>
      <c r="B48" s="545">
        <v>0</v>
      </c>
      <c r="C48" s="544" t="s">
        <v>1674</v>
      </c>
      <c r="D48" s="544" t="s">
        <v>2751</v>
      </c>
      <c r="E48" s="542" t="s">
        <v>2752</v>
      </c>
      <c r="F48" s="542" t="s">
        <v>2753</v>
      </c>
      <c r="G48" s="546">
        <v>5340.72</v>
      </c>
      <c r="H48" s="546"/>
      <c r="I48" s="546">
        <v>6097.56</v>
      </c>
      <c r="J48" s="542" t="s">
        <v>2701</v>
      </c>
      <c r="K48" s="547">
        <v>8401</v>
      </c>
      <c r="L48" s="542" t="s">
        <v>806</v>
      </c>
      <c r="M48" s="548"/>
      <c r="N48" s="549">
        <v>-191</v>
      </c>
      <c r="O48" s="544" t="s">
        <v>1674</v>
      </c>
      <c r="P48" s="544" t="s">
        <v>1674</v>
      </c>
      <c r="Q48" s="544" t="s">
        <v>2754</v>
      </c>
      <c r="R48" s="544" t="s">
        <v>1674</v>
      </c>
      <c r="S48" s="544" t="s">
        <v>1674</v>
      </c>
      <c r="T48" s="550">
        <v>19</v>
      </c>
      <c r="U48" s="544" t="s">
        <v>2679</v>
      </c>
      <c r="V48" s="547">
        <v>1404</v>
      </c>
      <c r="W48" s="548"/>
      <c r="Y48" s="544" t="s">
        <v>1674</v>
      </c>
      <c r="AA48" s="544" t="s">
        <v>1674</v>
      </c>
      <c r="AE48" s="551"/>
      <c r="AF48" s="544" t="s">
        <v>1674</v>
      </c>
      <c r="AG48" s="544" t="s">
        <v>1674</v>
      </c>
      <c r="AH48" s="544" t="s">
        <v>1674</v>
      </c>
      <c r="AI48" s="544" t="s">
        <v>1674</v>
      </c>
      <c r="AJ48" s="544" t="s">
        <v>1674</v>
      </c>
      <c r="AK48" s="544" t="s">
        <v>1674</v>
      </c>
      <c r="AL48" s="544" t="s">
        <v>1674</v>
      </c>
      <c r="AM48" s="544" t="s">
        <v>1674</v>
      </c>
      <c r="AN48" s="544" t="s">
        <v>1674</v>
      </c>
      <c r="AP48" s="552">
        <f t="shared" si="0"/>
        <v>6097.56</v>
      </c>
    </row>
    <row r="49" spans="1:42" outlineLevel="1" x14ac:dyDescent="0.25">
      <c r="A49" s="544" t="s">
        <v>1674</v>
      </c>
      <c r="B49" s="545">
        <v>0</v>
      </c>
      <c r="C49" s="544" t="s">
        <v>1674</v>
      </c>
      <c r="D49" s="544" t="s">
        <v>3247</v>
      </c>
      <c r="E49" s="542" t="s">
        <v>2698</v>
      </c>
      <c r="F49" s="542" t="s">
        <v>3248</v>
      </c>
      <c r="G49" s="546">
        <v>5102.47</v>
      </c>
      <c r="H49" s="546"/>
      <c r="I49" s="546">
        <v>5462.1</v>
      </c>
      <c r="J49" s="542" t="s">
        <v>2701</v>
      </c>
      <c r="K49" s="547">
        <v>8401</v>
      </c>
      <c r="L49" s="542" t="s">
        <v>806</v>
      </c>
      <c r="M49" s="548"/>
      <c r="N49" s="549">
        <v>22</v>
      </c>
      <c r="O49" s="544" t="s">
        <v>1674</v>
      </c>
      <c r="P49" s="544" t="s">
        <v>1674</v>
      </c>
      <c r="Q49" s="544" t="s">
        <v>2909</v>
      </c>
      <c r="R49" s="544" t="s">
        <v>1674</v>
      </c>
      <c r="S49" s="544" t="s">
        <v>1674</v>
      </c>
      <c r="T49" s="550">
        <v>19</v>
      </c>
      <c r="U49" s="544" t="s">
        <v>2700</v>
      </c>
      <c r="V49" s="547">
        <v>360</v>
      </c>
      <c r="W49" s="548"/>
      <c r="Y49" s="544" t="s">
        <v>1674</v>
      </c>
      <c r="AA49" s="544" t="s">
        <v>1674</v>
      </c>
      <c r="AE49" s="551"/>
      <c r="AF49" s="544" t="s">
        <v>1674</v>
      </c>
      <c r="AG49" s="544" t="s">
        <v>1674</v>
      </c>
      <c r="AH49" s="544" t="s">
        <v>1674</v>
      </c>
      <c r="AI49" s="544" t="s">
        <v>1674</v>
      </c>
      <c r="AJ49" s="544" t="s">
        <v>1674</v>
      </c>
      <c r="AK49" s="544" t="s">
        <v>1674</v>
      </c>
      <c r="AL49" s="544" t="s">
        <v>1674</v>
      </c>
      <c r="AM49" s="544" t="s">
        <v>1674</v>
      </c>
      <c r="AN49" s="544" t="s">
        <v>1674</v>
      </c>
      <c r="AP49" s="552">
        <f t="shared" si="0"/>
        <v>5462.1</v>
      </c>
    </row>
    <row r="50" spans="1:42" outlineLevel="1" x14ac:dyDescent="0.25">
      <c r="A50" s="544" t="s">
        <v>1674</v>
      </c>
      <c r="B50" s="545">
        <v>0</v>
      </c>
      <c r="C50" s="544" t="s">
        <v>1674</v>
      </c>
      <c r="D50" s="544" t="s">
        <v>3111</v>
      </c>
      <c r="E50" s="542" t="s">
        <v>3093</v>
      </c>
      <c r="F50" s="542" t="s">
        <v>3094</v>
      </c>
      <c r="G50" s="546">
        <v>5035.72</v>
      </c>
      <c r="H50" s="546"/>
      <c r="I50" s="546">
        <v>5390.7</v>
      </c>
      <c r="J50" s="542" t="s">
        <v>2701</v>
      </c>
      <c r="K50" s="547">
        <v>8401</v>
      </c>
      <c r="L50" s="542" t="s">
        <v>806</v>
      </c>
      <c r="M50" s="548"/>
      <c r="N50" s="549">
        <v>16</v>
      </c>
      <c r="O50" s="544" t="s">
        <v>1674</v>
      </c>
      <c r="P50" s="544" t="s">
        <v>1674</v>
      </c>
      <c r="Q50" s="544" t="s">
        <v>3112</v>
      </c>
      <c r="R50" s="544" t="s">
        <v>1674</v>
      </c>
      <c r="S50" s="544" t="s">
        <v>1674</v>
      </c>
      <c r="T50" s="550">
        <v>19</v>
      </c>
      <c r="U50" s="544" t="s">
        <v>2700</v>
      </c>
      <c r="V50" s="547">
        <v>242</v>
      </c>
      <c r="W50" s="548"/>
      <c r="Y50" s="544" t="s">
        <v>1674</v>
      </c>
      <c r="AA50" s="544" t="s">
        <v>1674</v>
      </c>
      <c r="AE50" s="551"/>
      <c r="AF50" s="544" t="s">
        <v>1674</v>
      </c>
      <c r="AG50" s="544" t="s">
        <v>1674</v>
      </c>
      <c r="AH50" s="544" t="s">
        <v>1674</v>
      </c>
      <c r="AI50" s="544" t="s">
        <v>1674</v>
      </c>
      <c r="AJ50" s="544" t="s">
        <v>1674</v>
      </c>
      <c r="AK50" s="544" t="s">
        <v>1674</v>
      </c>
      <c r="AL50" s="544" t="s">
        <v>1674</v>
      </c>
      <c r="AM50" s="544" t="s">
        <v>1674</v>
      </c>
      <c r="AN50" s="544" t="s">
        <v>1674</v>
      </c>
      <c r="AP50" s="552">
        <f t="shared" si="0"/>
        <v>5390.7</v>
      </c>
    </row>
    <row r="51" spans="1:42" outlineLevel="1" x14ac:dyDescent="0.25">
      <c r="A51" s="544" t="s">
        <v>1674</v>
      </c>
      <c r="B51" s="545">
        <v>30203</v>
      </c>
      <c r="C51" s="544" t="s">
        <v>3238</v>
      </c>
      <c r="D51" s="544" t="s">
        <v>3239</v>
      </c>
      <c r="E51" s="542" t="s">
        <v>2920</v>
      </c>
      <c r="F51" s="542" t="s">
        <v>3181</v>
      </c>
      <c r="G51" s="546">
        <v>4530.09</v>
      </c>
      <c r="H51" s="546"/>
      <c r="I51" s="546">
        <v>4530.09</v>
      </c>
      <c r="J51" s="542" t="s">
        <v>2701</v>
      </c>
      <c r="K51" s="547">
        <v>8338</v>
      </c>
      <c r="L51" s="542" t="s">
        <v>806</v>
      </c>
      <c r="M51" s="548"/>
      <c r="N51" s="549">
        <v>19</v>
      </c>
      <c r="O51" s="544" t="s">
        <v>1674</v>
      </c>
      <c r="P51" s="544" t="s">
        <v>1674</v>
      </c>
      <c r="Q51" s="544" t="s">
        <v>3240</v>
      </c>
      <c r="R51" s="544" t="s">
        <v>1674</v>
      </c>
      <c r="S51" s="544" t="s">
        <v>1674</v>
      </c>
      <c r="T51" s="550"/>
      <c r="U51" s="544" t="s">
        <v>2700</v>
      </c>
      <c r="V51" s="547">
        <v>307</v>
      </c>
      <c r="W51" s="548"/>
      <c r="Y51" s="544" t="s">
        <v>1674</v>
      </c>
      <c r="AA51" s="544" t="s">
        <v>1674</v>
      </c>
      <c r="AE51" s="551"/>
      <c r="AF51" s="544" t="s">
        <v>1674</v>
      </c>
      <c r="AG51" s="544" t="s">
        <v>1674</v>
      </c>
      <c r="AH51" s="544" t="s">
        <v>1674</v>
      </c>
      <c r="AI51" s="544" t="s">
        <v>1674</v>
      </c>
      <c r="AJ51" s="544" t="s">
        <v>1674</v>
      </c>
      <c r="AK51" s="544" t="s">
        <v>1674</v>
      </c>
      <c r="AL51" s="544" t="s">
        <v>1674</v>
      </c>
      <c r="AM51" s="544" t="s">
        <v>3241</v>
      </c>
      <c r="AN51" s="544" t="s">
        <v>1674</v>
      </c>
      <c r="AP51" s="552">
        <f t="shared" si="0"/>
        <v>4530.09</v>
      </c>
    </row>
    <row r="52" spans="1:42" outlineLevel="1" x14ac:dyDescent="0.25">
      <c r="A52" s="544" t="s">
        <v>1674</v>
      </c>
      <c r="B52" s="545">
        <v>0</v>
      </c>
      <c r="C52" s="544" t="s">
        <v>1674</v>
      </c>
      <c r="D52" s="544" t="s">
        <v>3052</v>
      </c>
      <c r="E52" s="542" t="s">
        <v>3041</v>
      </c>
      <c r="F52" s="542" t="s">
        <v>3042</v>
      </c>
      <c r="G52" s="546">
        <v>13.8</v>
      </c>
      <c r="H52" s="546"/>
      <c r="I52" s="546">
        <v>4200</v>
      </c>
      <c r="J52" s="542" t="s">
        <v>2701</v>
      </c>
      <c r="K52" s="547">
        <v>8125</v>
      </c>
      <c r="L52" s="542" t="s">
        <v>806</v>
      </c>
      <c r="M52" s="548"/>
      <c r="N52" s="549">
        <v>9</v>
      </c>
      <c r="O52" s="544" t="s">
        <v>1674</v>
      </c>
      <c r="P52" s="544" t="s">
        <v>1674</v>
      </c>
      <c r="Q52" s="544" t="s">
        <v>3053</v>
      </c>
      <c r="R52" s="544" t="s">
        <v>2617</v>
      </c>
      <c r="S52" s="544" t="s">
        <v>1674</v>
      </c>
      <c r="T52" s="550"/>
      <c r="U52" s="544" t="s">
        <v>2700</v>
      </c>
      <c r="V52" s="547">
        <v>129</v>
      </c>
      <c r="W52" s="548"/>
      <c r="Y52" s="544" t="s">
        <v>1674</v>
      </c>
      <c r="AA52" s="544" t="s">
        <v>1674</v>
      </c>
      <c r="AE52" s="551"/>
      <c r="AF52" s="544" t="s">
        <v>1674</v>
      </c>
      <c r="AG52" s="544" t="s">
        <v>1674</v>
      </c>
      <c r="AH52" s="544" t="s">
        <v>1674</v>
      </c>
      <c r="AI52" s="544" t="s">
        <v>1674</v>
      </c>
      <c r="AJ52" s="544" t="s">
        <v>1674</v>
      </c>
      <c r="AK52" s="544" t="s">
        <v>1674</v>
      </c>
      <c r="AL52" s="544" t="s">
        <v>1674</v>
      </c>
      <c r="AM52" s="544" t="s">
        <v>1674</v>
      </c>
      <c r="AN52" s="544" t="s">
        <v>1674</v>
      </c>
      <c r="AP52" s="552">
        <f t="shared" si="0"/>
        <v>4200</v>
      </c>
    </row>
    <row r="53" spans="1:42" outlineLevel="1" x14ac:dyDescent="0.25">
      <c r="A53" s="544" t="s">
        <v>1674</v>
      </c>
      <c r="B53" s="545">
        <v>0</v>
      </c>
      <c r="C53" s="544" t="s">
        <v>1674</v>
      </c>
      <c r="D53" s="544" t="s">
        <v>3220</v>
      </c>
      <c r="E53" s="542" t="s">
        <v>2920</v>
      </c>
      <c r="F53" s="542" t="s">
        <v>3181</v>
      </c>
      <c r="G53" s="546">
        <v>23.8</v>
      </c>
      <c r="H53" s="546"/>
      <c r="I53" s="546">
        <v>4002.21</v>
      </c>
      <c r="J53" s="542" t="s">
        <v>2701</v>
      </c>
      <c r="K53" s="547">
        <v>8400</v>
      </c>
      <c r="L53" s="542" t="s">
        <v>806</v>
      </c>
      <c r="M53" s="548"/>
      <c r="N53" s="549">
        <v>19</v>
      </c>
      <c r="O53" s="544" t="s">
        <v>1674</v>
      </c>
      <c r="P53" s="544" t="s">
        <v>1674</v>
      </c>
      <c r="Q53" s="544" t="s">
        <v>3139</v>
      </c>
      <c r="R53" s="544" t="s">
        <v>1674</v>
      </c>
      <c r="S53" s="544" t="s">
        <v>1674</v>
      </c>
      <c r="T53" s="550">
        <v>19</v>
      </c>
      <c r="U53" s="544" t="s">
        <v>2700</v>
      </c>
      <c r="V53" s="547">
        <v>344</v>
      </c>
      <c r="W53" s="548"/>
      <c r="Y53" s="544" t="s">
        <v>1674</v>
      </c>
      <c r="AA53" s="544" t="s">
        <v>1674</v>
      </c>
      <c r="AE53" s="551"/>
      <c r="AF53" s="544" t="s">
        <v>1674</v>
      </c>
      <c r="AG53" s="544" t="s">
        <v>1674</v>
      </c>
      <c r="AH53" s="544" t="s">
        <v>1674</v>
      </c>
      <c r="AI53" s="544" t="s">
        <v>1674</v>
      </c>
      <c r="AJ53" s="544" t="s">
        <v>1674</v>
      </c>
      <c r="AK53" s="544" t="s">
        <v>1674</v>
      </c>
      <c r="AL53" s="544" t="s">
        <v>1674</v>
      </c>
      <c r="AM53" s="544" t="s">
        <v>1674</v>
      </c>
      <c r="AN53" s="544" t="s">
        <v>1674</v>
      </c>
      <c r="AP53" s="552">
        <f t="shared" si="0"/>
        <v>4002.21</v>
      </c>
    </row>
    <row r="54" spans="1:42" outlineLevel="1" x14ac:dyDescent="0.25">
      <c r="A54" s="544" t="s">
        <v>1674</v>
      </c>
      <c r="B54" s="545">
        <v>0</v>
      </c>
      <c r="C54" s="544" t="s">
        <v>1674</v>
      </c>
      <c r="D54" s="544" t="s">
        <v>3008</v>
      </c>
      <c r="E54" s="542" t="s">
        <v>2851</v>
      </c>
      <c r="F54" s="542" t="s">
        <v>3002</v>
      </c>
      <c r="G54" s="546">
        <v>500</v>
      </c>
      <c r="H54" s="546"/>
      <c r="I54" s="546">
        <v>3994.4</v>
      </c>
      <c r="J54" s="542" t="s">
        <v>2701</v>
      </c>
      <c r="K54" s="547">
        <v>8125</v>
      </c>
      <c r="L54" s="542" t="s">
        <v>806</v>
      </c>
      <c r="M54" s="548"/>
      <c r="N54" s="549">
        <v>3</v>
      </c>
      <c r="O54" s="544" t="s">
        <v>1674</v>
      </c>
      <c r="P54" s="544" t="s">
        <v>1674</v>
      </c>
      <c r="Q54" s="544" t="s">
        <v>3011</v>
      </c>
      <c r="R54" s="544" t="s">
        <v>1674</v>
      </c>
      <c r="S54" s="544" t="s">
        <v>1674</v>
      </c>
      <c r="T54" s="550"/>
      <c r="U54" s="544" t="s">
        <v>2700</v>
      </c>
      <c r="V54" s="547">
        <v>34</v>
      </c>
      <c r="W54" s="548"/>
      <c r="Y54" s="544" t="s">
        <v>1674</v>
      </c>
      <c r="AA54" s="544" t="s">
        <v>1674</v>
      </c>
      <c r="AE54" s="551"/>
      <c r="AF54" s="544" t="s">
        <v>1674</v>
      </c>
      <c r="AG54" s="544" t="s">
        <v>1674</v>
      </c>
      <c r="AH54" s="544" t="s">
        <v>1674</v>
      </c>
      <c r="AI54" s="544" t="s">
        <v>1674</v>
      </c>
      <c r="AJ54" s="544" t="s">
        <v>1674</v>
      </c>
      <c r="AK54" s="544" t="s">
        <v>1674</v>
      </c>
      <c r="AL54" s="544" t="s">
        <v>1674</v>
      </c>
      <c r="AM54" s="544" t="s">
        <v>1674</v>
      </c>
      <c r="AN54" s="544" t="s">
        <v>1674</v>
      </c>
      <c r="AP54" s="552">
        <f t="shared" si="0"/>
        <v>3994.4</v>
      </c>
    </row>
    <row r="55" spans="1:42" outlineLevel="1" x14ac:dyDescent="0.25">
      <c r="A55" s="544" t="s">
        <v>1674</v>
      </c>
      <c r="B55" s="545">
        <v>11206</v>
      </c>
      <c r="C55" s="544" t="s">
        <v>3132</v>
      </c>
      <c r="D55" s="544" t="s">
        <v>3133</v>
      </c>
      <c r="E55" s="542" t="s">
        <v>2912</v>
      </c>
      <c r="F55" s="542" t="s">
        <v>3119</v>
      </c>
      <c r="G55" s="546">
        <v>3978.41</v>
      </c>
      <c r="H55" s="546"/>
      <c r="I55" s="546">
        <v>3978.41</v>
      </c>
      <c r="J55" s="542" t="s">
        <v>2701</v>
      </c>
      <c r="K55" s="547">
        <v>8400</v>
      </c>
      <c r="L55" s="542" t="s">
        <v>806</v>
      </c>
      <c r="M55" s="548"/>
      <c r="N55" s="549">
        <v>17</v>
      </c>
      <c r="O55" s="544" t="s">
        <v>1674</v>
      </c>
      <c r="P55" s="544" t="s">
        <v>1674</v>
      </c>
      <c r="Q55" s="544" t="s">
        <v>3134</v>
      </c>
      <c r="R55" s="544" t="s">
        <v>2898</v>
      </c>
      <c r="S55" s="544" t="s">
        <v>1674</v>
      </c>
      <c r="T55" s="550">
        <v>19</v>
      </c>
      <c r="U55" s="544" t="s">
        <v>2700</v>
      </c>
      <c r="V55" s="547">
        <v>276</v>
      </c>
      <c r="W55" s="548"/>
      <c r="Y55" s="544" t="s">
        <v>1674</v>
      </c>
      <c r="AA55" s="544" t="s">
        <v>1674</v>
      </c>
      <c r="AE55" s="551"/>
      <c r="AF55" s="544" t="s">
        <v>1674</v>
      </c>
      <c r="AG55" s="544" t="s">
        <v>1674</v>
      </c>
      <c r="AH55" s="544" t="s">
        <v>1674</v>
      </c>
      <c r="AI55" s="544" t="s">
        <v>1674</v>
      </c>
      <c r="AJ55" s="544" t="s">
        <v>1674</v>
      </c>
      <c r="AK55" s="544" t="s">
        <v>1674</v>
      </c>
      <c r="AL55" s="544" t="s">
        <v>1674</v>
      </c>
      <c r="AM55" s="544" t="s">
        <v>3135</v>
      </c>
      <c r="AN55" s="544" t="s">
        <v>1674</v>
      </c>
      <c r="AP55" s="552">
        <f t="shared" si="0"/>
        <v>3978.41</v>
      </c>
    </row>
    <row r="56" spans="1:42" outlineLevel="1" x14ac:dyDescent="0.25">
      <c r="A56" s="544" t="s">
        <v>1674</v>
      </c>
      <c r="B56" s="545">
        <v>0</v>
      </c>
      <c r="C56" s="544" t="s">
        <v>1674</v>
      </c>
      <c r="D56" s="544" t="s">
        <v>3136</v>
      </c>
      <c r="E56" s="542" t="s">
        <v>2912</v>
      </c>
      <c r="F56" s="542" t="s">
        <v>3119</v>
      </c>
      <c r="G56" s="546">
        <v>3978.41</v>
      </c>
      <c r="H56" s="546"/>
      <c r="I56" s="546">
        <v>3978.41</v>
      </c>
      <c r="J56" s="542" t="s">
        <v>2701</v>
      </c>
      <c r="K56" s="547">
        <v>8400</v>
      </c>
      <c r="L56" s="542" t="s">
        <v>806</v>
      </c>
      <c r="M56" s="548"/>
      <c r="N56" s="549">
        <v>17</v>
      </c>
      <c r="O56" s="544" t="s">
        <v>1674</v>
      </c>
      <c r="P56" s="544" t="s">
        <v>1674</v>
      </c>
      <c r="Q56" s="544" t="s">
        <v>3134</v>
      </c>
      <c r="R56" s="544" t="s">
        <v>2898</v>
      </c>
      <c r="S56" s="544" t="s">
        <v>1674</v>
      </c>
      <c r="T56" s="550">
        <v>19</v>
      </c>
      <c r="U56" s="544" t="s">
        <v>2700</v>
      </c>
      <c r="V56" s="547">
        <v>277</v>
      </c>
      <c r="W56" s="548"/>
      <c r="Y56" s="544" t="s">
        <v>1674</v>
      </c>
      <c r="AA56" s="544" t="s">
        <v>1674</v>
      </c>
      <c r="AE56" s="551"/>
      <c r="AF56" s="544" t="s">
        <v>1674</v>
      </c>
      <c r="AG56" s="544" t="s">
        <v>1674</v>
      </c>
      <c r="AH56" s="544" t="s">
        <v>1674</v>
      </c>
      <c r="AI56" s="544" t="s">
        <v>1674</v>
      </c>
      <c r="AJ56" s="544" t="s">
        <v>1674</v>
      </c>
      <c r="AK56" s="544" t="s">
        <v>1674</v>
      </c>
      <c r="AL56" s="544" t="s">
        <v>1674</v>
      </c>
      <c r="AM56" s="544" t="s">
        <v>1674</v>
      </c>
      <c r="AN56" s="544" t="s">
        <v>1674</v>
      </c>
      <c r="AP56" s="552">
        <f t="shared" si="0"/>
        <v>3978.41</v>
      </c>
    </row>
    <row r="57" spans="1:42" outlineLevel="1" x14ac:dyDescent="0.25">
      <c r="A57" s="544" t="s">
        <v>1674</v>
      </c>
      <c r="B57" s="545">
        <v>0</v>
      </c>
      <c r="C57" s="544" t="s">
        <v>1674</v>
      </c>
      <c r="D57" s="544" t="s">
        <v>3137</v>
      </c>
      <c r="E57" s="542" t="s">
        <v>2912</v>
      </c>
      <c r="F57" s="542" t="s">
        <v>3119</v>
      </c>
      <c r="G57" s="546">
        <v>3978.41</v>
      </c>
      <c r="H57" s="546"/>
      <c r="I57" s="546">
        <v>3978.41</v>
      </c>
      <c r="J57" s="542" t="s">
        <v>2701</v>
      </c>
      <c r="K57" s="547">
        <v>8400</v>
      </c>
      <c r="L57" s="542" t="s">
        <v>806</v>
      </c>
      <c r="M57" s="548"/>
      <c r="N57" s="549">
        <v>17</v>
      </c>
      <c r="O57" s="544" t="s">
        <v>1674</v>
      </c>
      <c r="P57" s="544" t="s">
        <v>1674</v>
      </c>
      <c r="Q57" s="544" t="s">
        <v>3134</v>
      </c>
      <c r="R57" s="544" t="s">
        <v>2898</v>
      </c>
      <c r="S57" s="544" t="s">
        <v>1674</v>
      </c>
      <c r="T57" s="550">
        <v>19</v>
      </c>
      <c r="U57" s="544" t="s">
        <v>2700</v>
      </c>
      <c r="V57" s="547">
        <v>278</v>
      </c>
      <c r="W57" s="548"/>
      <c r="Y57" s="544" t="s">
        <v>1674</v>
      </c>
      <c r="AA57" s="544" t="s">
        <v>1674</v>
      </c>
      <c r="AE57" s="551"/>
      <c r="AF57" s="544" t="s">
        <v>1674</v>
      </c>
      <c r="AG57" s="544" t="s">
        <v>1674</v>
      </c>
      <c r="AH57" s="544" t="s">
        <v>1674</v>
      </c>
      <c r="AI57" s="544" t="s">
        <v>1674</v>
      </c>
      <c r="AJ57" s="544" t="s">
        <v>1674</v>
      </c>
      <c r="AK57" s="544" t="s">
        <v>1674</v>
      </c>
      <c r="AL57" s="544" t="s">
        <v>1674</v>
      </c>
      <c r="AM57" s="544" t="s">
        <v>1674</v>
      </c>
      <c r="AN57" s="544" t="s">
        <v>1674</v>
      </c>
      <c r="AP57" s="552">
        <f t="shared" si="0"/>
        <v>3978.41</v>
      </c>
    </row>
    <row r="58" spans="1:42" outlineLevel="1" x14ac:dyDescent="0.25">
      <c r="A58" s="544" t="s">
        <v>1674</v>
      </c>
      <c r="B58" s="545">
        <v>0</v>
      </c>
      <c r="C58" s="544" t="s">
        <v>1674</v>
      </c>
      <c r="D58" s="544" t="s">
        <v>3140</v>
      </c>
      <c r="E58" s="542" t="s">
        <v>2912</v>
      </c>
      <c r="F58" s="542" t="s">
        <v>3119</v>
      </c>
      <c r="G58" s="546">
        <v>3978.41</v>
      </c>
      <c r="H58" s="546"/>
      <c r="I58" s="546">
        <v>3978.41</v>
      </c>
      <c r="J58" s="542" t="s">
        <v>2701</v>
      </c>
      <c r="K58" s="547">
        <v>8400</v>
      </c>
      <c r="L58" s="542" t="s">
        <v>806</v>
      </c>
      <c r="M58" s="548"/>
      <c r="N58" s="549">
        <v>17</v>
      </c>
      <c r="O58" s="544" t="s">
        <v>1674</v>
      </c>
      <c r="P58" s="544" t="s">
        <v>1674</v>
      </c>
      <c r="Q58" s="544" t="s">
        <v>3134</v>
      </c>
      <c r="R58" s="544" t="s">
        <v>2898</v>
      </c>
      <c r="S58" s="544" t="s">
        <v>1674</v>
      </c>
      <c r="T58" s="550">
        <v>19</v>
      </c>
      <c r="U58" s="544" t="s">
        <v>2700</v>
      </c>
      <c r="V58" s="547">
        <v>281</v>
      </c>
      <c r="W58" s="548"/>
      <c r="Y58" s="544" t="s">
        <v>1674</v>
      </c>
      <c r="AA58" s="544" t="s">
        <v>1674</v>
      </c>
      <c r="AE58" s="551"/>
      <c r="AF58" s="544" t="s">
        <v>1674</v>
      </c>
      <c r="AG58" s="544" t="s">
        <v>1674</v>
      </c>
      <c r="AH58" s="544" t="s">
        <v>1674</v>
      </c>
      <c r="AI58" s="544" t="s">
        <v>1674</v>
      </c>
      <c r="AJ58" s="544" t="s">
        <v>1674</v>
      </c>
      <c r="AK58" s="544" t="s">
        <v>1674</v>
      </c>
      <c r="AL58" s="544" t="s">
        <v>1674</v>
      </c>
      <c r="AM58" s="544" t="s">
        <v>1674</v>
      </c>
      <c r="AN58" s="544" t="s">
        <v>1674</v>
      </c>
      <c r="AP58" s="552">
        <f t="shared" si="0"/>
        <v>3978.41</v>
      </c>
    </row>
    <row r="59" spans="1:42" outlineLevel="1" x14ac:dyDescent="0.25">
      <c r="A59" s="544" t="s">
        <v>1674</v>
      </c>
      <c r="B59" s="545">
        <v>0</v>
      </c>
      <c r="C59" s="544" t="s">
        <v>1674</v>
      </c>
      <c r="D59" s="544" t="s">
        <v>3141</v>
      </c>
      <c r="E59" s="542" t="s">
        <v>2912</v>
      </c>
      <c r="F59" s="542" t="s">
        <v>3119</v>
      </c>
      <c r="G59" s="546">
        <v>3978.41</v>
      </c>
      <c r="H59" s="546"/>
      <c r="I59" s="546">
        <v>3978.41</v>
      </c>
      <c r="J59" s="542" t="s">
        <v>2701</v>
      </c>
      <c r="K59" s="547">
        <v>8400</v>
      </c>
      <c r="L59" s="542" t="s">
        <v>806</v>
      </c>
      <c r="M59" s="548"/>
      <c r="N59" s="549">
        <v>17</v>
      </c>
      <c r="O59" s="544" t="s">
        <v>1674</v>
      </c>
      <c r="P59" s="544" t="s">
        <v>1674</v>
      </c>
      <c r="Q59" s="544" t="s">
        <v>3134</v>
      </c>
      <c r="R59" s="544" t="s">
        <v>2898</v>
      </c>
      <c r="S59" s="544" t="s">
        <v>1674</v>
      </c>
      <c r="T59" s="550">
        <v>19</v>
      </c>
      <c r="U59" s="544" t="s">
        <v>2700</v>
      </c>
      <c r="V59" s="547">
        <v>282</v>
      </c>
      <c r="W59" s="548"/>
      <c r="Y59" s="544" t="s">
        <v>1674</v>
      </c>
      <c r="AA59" s="544" t="s">
        <v>1674</v>
      </c>
      <c r="AE59" s="551"/>
      <c r="AF59" s="544" t="s">
        <v>1674</v>
      </c>
      <c r="AG59" s="544" t="s">
        <v>1674</v>
      </c>
      <c r="AH59" s="544" t="s">
        <v>1674</v>
      </c>
      <c r="AI59" s="544" t="s">
        <v>1674</v>
      </c>
      <c r="AJ59" s="544" t="s">
        <v>1674</v>
      </c>
      <c r="AK59" s="544" t="s">
        <v>1674</v>
      </c>
      <c r="AL59" s="544" t="s">
        <v>1674</v>
      </c>
      <c r="AM59" s="544" t="s">
        <v>1674</v>
      </c>
      <c r="AN59" s="544" t="s">
        <v>1674</v>
      </c>
      <c r="AP59" s="552">
        <f t="shared" si="0"/>
        <v>3978.41</v>
      </c>
    </row>
    <row r="60" spans="1:42" outlineLevel="1" x14ac:dyDescent="0.25">
      <c r="A60" s="544" t="s">
        <v>1674</v>
      </c>
      <c r="B60" s="545">
        <v>0</v>
      </c>
      <c r="C60" s="544" t="s">
        <v>1674</v>
      </c>
      <c r="D60" s="544" t="s">
        <v>3144</v>
      </c>
      <c r="E60" s="542" t="s">
        <v>2912</v>
      </c>
      <c r="F60" s="542" t="s">
        <v>3119</v>
      </c>
      <c r="G60" s="546">
        <v>3978.41</v>
      </c>
      <c r="H60" s="546"/>
      <c r="I60" s="546">
        <v>3978.41</v>
      </c>
      <c r="J60" s="542" t="s">
        <v>2701</v>
      </c>
      <c r="K60" s="547">
        <v>8400</v>
      </c>
      <c r="L60" s="542" t="s">
        <v>806</v>
      </c>
      <c r="M60" s="548"/>
      <c r="N60" s="549">
        <v>17</v>
      </c>
      <c r="O60" s="544" t="s">
        <v>1674</v>
      </c>
      <c r="P60" s="544" t="s">
        <v>1674</v>
      </c>
      <c r="Q60" s="544" t="s">
        <v>3134</v>
      </c>
      <c r="R60" s="544" t="s">
        <v>2898</v>
      </c>
      <c r="S60" s="544" t="s">
        <v>1674</v>
      </c>
      <c r="T60" s="550">
        <v>19</v>
      </c>
      <c r="U60" s="544" t="s">
        <v>2700</v>
      </c>
      <c r="V60" s="547">
        <v>285</v>
      </c>
      <c r="W60" s="548"/>
      <c r="Y60" s="544" t="s">
        <v>1674</v>
      </c>
      <c r="AA60" s="544" t="s">
        <v>1674</v>
      </c>
      <c r="AE60" s="551"/>
      <c r="AF60" s="544" t="s">
        <v>1674</v>
      </c>
      <c r="AG60" s="544" t="s">
        <v>1674</v>
      </c>
      <c r="AH60" s="544" t="s">
        <v>1674</v>
      </c>
      <c r="AI60" s="544" t="s">
        <v>1674</v>
      </c>
      <c r="AJ60" s="544" t="s">
        <v>1674</v>
      </c>
      <c r="AK60" s="544" t="s">
        <v>1674</v>
      </c>
      <c r="AL60" s="544" t="s">
        <v>1674</v>
      </c>
      <c r="AM60" s="544" t="s">
        <v>1674</v>
      </c>
      <c r="AN60" s="544" t="s">
        <v>1674</v>
      </c>
      <c r="AP60" s="552">
        <f t="shared" si="0"/>
        <v>3978.41</v>
      </c>
    </row>
    <row r="61" spans="1:42" outlineLevel="1" x14ac:dyDescent="0.25">
      <c r="A61" s="544" t="s">
        <v>1674</v>
      </c>
      <c r="B61" s="545">
        <v>0</v>
      </c>
      <c r="C61" s="544" t="s">
        <v>1674</v>
      </c>
      <c r="D61" s="544" t="s">
        <v>3221</v>
      </c>
      <c r="E61" s="542" t="s">
        <v>2920</v>
      </c>
      <c r="F61" s="542" t="s">
        <v>3181</v>
      </c>
      <c r="G61" s="546">
        <v>3978.41</v>
      </c>
      <c r="H61" s="546"/>
      <c r="I61" s="546">
        <v>3978.41</v>
      </c>
      <c r="J61" s="542" t="s">
        <v>2701</v>
      </c>
      <c r="K61" s="547">
        <v>8400</v>
      </c>
      <c r="L61" s="542" t="s">
        <v>806</v>
      </c>
      <c r="M61" s="548"/>
      <c r="N61" s="549">
        <v>19</v>
      </c>
      <c r="O61" s="544" t="s">
        <v>1674</v>
      </c>
      <c r="P61" s="544" t="s">
        <v>1674</v>
      </c>
      <c r="Q61" s="544" t="s">
        <v>3134</v>
      </c>
      <c r="R61" s="544" t="s">
        <v>2898</v>
      </c>
      <c r="S61" s="544" t="s">
        <v>1674</v>
      </c>
      <c r="T61" s="550">
        <v>19</v>
      </c>
      <c r="U61" s="544" t="s">
        <v>2700</v>
      </c>
      <c r="V61" s="547">
        <v>345</v>
      </c>
      <c r="W61" s="548"/>
      <c r="Y61" s="544" t="s">
        <v>1674</v>
      </c>
      <c r="AA61" s="544" t="s">
        <v>1674</v>
      </c>
      <c r="AE61" s="551"/>
      <c r="AF61" s="544" t="s">
        <v>1674</v>
      </c>
      <c r="AG61" s="544" t="s">
        <v>1674</v>
      </c>
      <c r="AH61" s="544" t="s">
        <v>1674</v>
      </c>
      <c r="AI61" s="544" t="s">
        <v>1674</v>
      </c>
      <c r="AJ61" s="544" t="s">
        <v>1674</v>
      </c>
      <c r="AK61" s="544" t="s">
        <v>1674</v>
      </c>
      <c r="AL61" s="544" t="s">
        <v>1674</v>
      </c>
      <c r="AM61" s="544" t="s">
        <v>1674</v>
      </c>
      <c r="AN61" s="544" t="s">
        <v>1674</v>
      </c>
      <c r="AP61" s="552">
        <f t="shared" si="0"/>
        <v>3978.41</v>
      </c>
    </row>
    <row r="62" spans="1:42" outlineLevel="1" x14ac:dyDescent="0.25">
      <c r="A62" s="544" t="s">
        <v>1674</v>
      </c>
      <c r="B62" s="545">
        <v>0</v>
      </c>
      <c r="C62" s="544" t="s">
        <v>1674</v>
      </c>
      <c r="D62" s="544" t="s">
        <v>3123</v>
      </c>
      <c r="E62" s="542" t="s">
        <v>2912</v>
      </c>
      <c r="F62" s="542" t="s">
        <v>3119</v>
      </c>
      <c r="G62" s="546">
        <v>3962.7</v>
      </c>
      <c r="H62" s="546"/>
      <c r="I62" s="546">
        <v>3962.7</v>
      </c>
      <c r="J62" s="542" t="s">
        <v>2701</v>
      </c>
      <c r="K62" s="547">
        <v>8400</v>
      </c>
      <c r="L62" s="542" t="s">
        <v>806</v>
      </c>
      <c r="M62" s="548"/>
      <c r="N62" s="549">
        <v>17</v>
      </c>
      <c r="O62" s="544" t="s">
        <v>1674</v>
      </c>
      <c r="P62" s="544" t="s">
        <v>1674</v>
      </c>
      <c r="Q62" s="544" t="s">
        <v>2992</v>
      </c>
      <c r="R62" s="544" t="s">
        <v>1674</v>
      </c>
      <c r="S62" s="544" t="s">
        <v>1674</v>
      </c>
      <c r="T62" s="550">
        <v>19</v>
      </c>
      <c r="U62" s="544" t="s">
        <v>2700</v>
      </c>
      <c r="V62" s="547">
        <v>272</v>
      </c>
      <c r="W62" s="548"/>
      <c r="Y62" s="544" t="s">
        <v>1674</v>
      </c>
      <c r="AA62" s="544" t="s">
        <v>1674</v>
      </c>
      <c r="AE62" s="551"/>
      <c r="AF62" s="544" t="s">
        <v>1674</v>
      </c>
      <c r="AG62" s="544" t="s">
        <v>1674</v>
      </c>
      <c r="AH62" s="544" t="s">
        <v>1674</v>
      </c>
      <c r="AI62" s="544" t="s">
        <v>1674</v>
      </c>
      <c r="AJ62" s="544" t="s">
        <v>1674</v>
      </c>
      <c r="AK62" s="544" t="s">
        <v>1674</v>
      </c>
      <c r="AL62" s="544" t="s">
        <v>1674</v>
      </c>
      <c r="AM62" s="544" t="s">
        <v>1674</v>
      </c>
      <c r="AN62" s="544" t="s">
        <v>1674</v>
      </c>
      <c r="AP62" s="552">
        <f t="shared" si="0"/>
        <v>3962.7</v>
      </c>
    </row>
    <row r="63" spans="1:42" outlineLevel="1" x14ac:dyDescent="0.25">
      <c r="A63" s="544" t="s">
        <v>1674</v>
      </c>
      <c r="B63" s="545">
        <v>0</v>
      </c>
      <c r="C63" s="544" t="s">
        <v>1674</v>
      </c>
      <c r="D63" s="544" t="s">
        <v>3143</v>
      </c>
      <c r="E63" s="542" t="s">
        <v>2912</v>
      </c>
      <c r="F63" s="542" t="s">
        <v>3119</v>
      </c>
      <c r="G63" s="546">
        <v>3921.57</v>
      </c>
      <c r="H63" s="546"/>
      <c r="I63" s="546">
        <v>3921.57</v>
      </c>
      <c r="J63" s="542" t="s">
        <v>2701</v>
      </c>
      <c r="K63" s="547">
        <v>8400</v>
      </c>
      <c r="L63" s="542" t="s">
        <v>806</v>
      </c>
      <c r="M63" s="548"/>
      <c r="N63" s="549">
        <v>17</v>
      </c>
      <c r="O63" s="544" t="s">
        <v>1674</v>
      </c>
      <c r="P63" s="544" t="s">
        <v>1674</v>
      </c>
      <c r="Q63" s="544" t="s">
        <v>3134</v>
      </c>
      <c r="R63" s="544" t="s">
        <v>2898</v>
      </c>
      <c r="S63" s="544" t="s">
        <v>1674</v>
      </c>
      <c r="T63" s="550">
        <v>19</v>
      </c>
      <c r="U63" s="544" t="s">
        <v>2700</v>
      </c>
      <c r="V63" s="547">
        <v>284</v>
      </c>
      <c r="W63" s="548"/>
      <c r="Y63" s="544" t="s">
        <v>1674</v>
      </c>
      <c r="AA63" s="544" t="s">
        <v>1674</v>
      </c>
      <c r="AE63" s="551"/>
      <c r="AF63" s="544" t="s">
        <v>1674</v>
      </c>
      <c r="AG63" s="544" t="s">
        <v>1674</v>
      </c>
      <c r="AH63" s="544" t="s">
        <v>1674</v>
      </c>
      <c r="AI63" s="544" t="s">
        <v>1674</v>
      </c>
      <c r="AJ63" s="544" t="s">
        <v>1674</v>
      </c>
      <c r="AK63" s="544" t="s">
        <v>1674</v>
      </c>
      <c r="AL63" s="544" t="s">
        <v>1674</v>
      </c>
      <c r="AM63" s="544" t="s">
        <v>1674</v>
      </c>
      <c r="AN63" s="544" t="s">
        <v>1674</v>
      </c>
      <c r="AP63" s="552">
        <f t="shared" si="0"/>
        <v>3921.57</v>
      </c>
    </row>
    <row r="64" spans="1:42" outlineLevel="1" x14ac:dyDescent="0.25">
      <c r="A64" s="544" t="s">
        <v>1674</v>
      </c>
      <c r="B64" s="545">
        <v>0</v>
      </c>
      <c r="C64" s="544" t="s">
        <v>1674</v>
      </c>
      <c r="D64" s="544" t="s">
        <v>3249</v>
      </c>
      <c r="E64" s="542" t="s">
        <v>2698</v>
      </c>
      <c r="F64" s="542" t="s">
        <v>3248</v>
      </c>
      <c r="G64" s="546">
        <v>3592.49</v>
      </c>
      <c r="H64" s="546"/>
      <c r="I64" s="546">
        <v>3855.6</v>
      </c>
      <c r="J64" s="542" t="s">
        <v>2701</v>
      </c>
      <c r="K64" s="547">
        <v>8401</v>
      </c>
      <c r="L64" s="542" t="s">
        <v>806</v>
      </c>
      <c r="M64" s="548"/>
      <c r="N64" s="549">
        <v>22</v>
      </c>
      <c r="O64" s="544" t="s">
        <v>1674</v>
      </c>
      <c r="P64" s="544" t="s">
        <v>1674</v>
      </c>
      <c r="Q64" s="544" t="s">
        <v>3250</v>
      </c>
      <c r="R64" s="544" t="s">
        <v>1674</v>
      </c>
      <c r="S64" s="544" t="s">
        <v>1674</v>
      </c>
      <c r="T64" s="550">
        <v>19</v>
      </c>
      <c r="U64" s="544" t="s">
        <v>2700</v>
      </c>
      <c r="V64" s="547">
        <v>363</v>
      </c>
      <c r="W64" s="548"/>
      <c r="Y64" s="544" t="s">
        <v>1674</v>
      </c>
      <c r="AA64" s="544" t="s">
        <v>1674</v>
      </c>
      <c r="AE64" s="551"/>
      <c r="AF64" s="544" t="s">
        <v>1674</v>
      </c>
      <c r="AG64" s="544" t="s">
        <v>1674</v>
      </c>
      <c r="AH64" s="544" t="s">
        <v>1674</v>
      </c>
      <c r="AI64" s="544" t="s">
        <v>1674</v>
      </c>
      <c r="AJ64" s="544" t="s">
        <v>1674</v>
      </c>
      <c r="AK64" s="544" t="s">
        <v>1674</v>
      </c>
      <c r="AL64" s="544" t="s">
        <v>1674</v>
      </c>
      <c r="AM64" s="544" t="s">
        <v>1674</v>
      </c>
      <c r="AN64" s="544" t="s">
        <v>1674</v>
      </c>
      <c r="AP64" s="552">
        <f t="shared" si="0"/>
        <v>3855.6</v>
      </c>
    </row>
    <row r="65" spans="1:42" outlineLevel="1" x14ac:dyDescent="0.25">
      <c r="A65" s="544" t="s">
        <v>1674</v>
      </c>
      <c r="B65" s="545">
        <v>0</v>
      </c>
      <c r="C65" s="544" t="s">
        <v>1674</v>
      </c>
      <c r="D65" s="544" t="s">
        <v>3234</v>
      </c>
      <c r="E65" s="542" t="s">
        <v>2920</v>
      </c>
      <c r="F65" s="542" t="s">
        <v>3181</v>
      </c>
      <c r="G65" s="546">
        <v>3555.13</v>
      </c>
      <c r="H65" s="546"/>
      <c r="I65" s="546">
        <v>3799.08</v>
      </c>
      <c r="J65" s="542" t="s">
        <v>2701</v>
      </c>
      <c r="K65" s="547">
        <v>8401</v>
      </c>
      <c r="L65" s="542" t="s">
        <v>806</v>
      </c>
      <c r="M65" s="548"/>
      <c r="N65" s="549">
        <v>19</v>
      </c>
      <c r="O65" s="544" t="s">
        <v>1674</v>
      </c>
      <c r="P65" s="544" t="s">
        <v>1674</v>
      </c>
      <c r="Q65" s="544" t="s">
        <v>3235</v>
      </c>
      <c r="R65" s="544" t="s">
        <v>3205</v>
      </c>
      <c r="S65" s="544" t="s">
        <v>1674</v>
      </c>
      <c r="T65" s="550">
        <v>19</v>
      </c>
      <c r="U65" s="544" t="s">
        <v>2700</v>
      </c>
      <c r="V65" s="547">
        <v>340</v>
      </c>
      <c r="W65" s="548"/>
      <c r="Y65" s="544" t="s">
        <v>1674</v>
      </c>
      <c r="AA65" s="544" t="s">
        <v>1674</v>
      </c>
      <c r="AE65" s="551"/>
      <c r="AF65" s="544" t="s">
        <v>1674</v>
      </c>
      <c r="AG65" s="544" t="s">
        <v>1674</v>
      </c>
      <c r="AH65" s="544" t="s">
        <v>1674</v>
      </c>
      <c r="AI65" s="544" t="s">
        <v>1674</v>
      </c>
      <c r="AJ65" s="544" t="s">
        <v>1674</v>
      </c>
      <c r="AK65" s="544" t="s">
        <v>1674</v>
      </c>
      <c r="AL65" s="544" t="s">
        <v>1674</v>
      </c>
      <c r="AM65" s="544" t="s">
        <v>1674</v>
      </c>
      <c r="AN65" s="544" t="s">
        <v>1674</v>
      </c>
      <c r="AP65" s="552">
        <f t="shared" si="0"/>
        <v>3799.08</v>
      </c>
    </row>
    <row r="66" spans="1:42" outlineLevel="1" x14ac:dyDescent="0.25">
      <c r="A66" s="544" t="s">
        <v>1674</v>
      </c>
      <c r="B66" s="545">
        <v>0</v>
      </c>
      <c r="C66" s="544" t="s">
        <v>1674</v>
      </c>
      <c r="D66" s="544" t="s">
        <v>3121</v>
      </c>
      <c r="E66" s="542" t="s">
        <v>2912</v>
      </c>
      <c r="F66" s="542" t="s">
        <v>3119</v>
      </c>
      <c r="G66" s="546">
        <v>3763.49</v>
      </c>
      <c r="H66" s="546"/>
      <c r="I66" s="546">
        <v>3763.49</v>
      </c>
      <c r="J66" s="542" t="s">
        <v>2701</v>
      </c>
      <c r="K66" s="547">
        <v>8400</v>
      </c>
      <c r="L66" s="542" t="s">
        <v>806</v>
      </c>
      <c r="M66" s="548"/>
      <c r="N66" s="549">
        <v>17</v>
      </c>
      <c r="O66" s="544" t="s">
        <v>1674</v>
      </c>
      <c r="P66" s="544" t="s">
        <v>1674</v>
      </c>
      <c r="Q66" s="544" t="s">
        <v>2992</v>
      </c>
      <c r="R66" s="544" t="s">
        <v>1674</v>
      </c>
      <c r="S66" s="544" t="s">
        <v>1674</v>
      </c>
      <c r="T66" s="550">
        <v>19</v>
      </c>
      <c r="U66" s="544" t="s">
        <v>2700</v>
      </c>
      <c r="V66" s="547">
        <v>270</v>
      </c>
      <c r="W66" s="548"/>
      <c r="Y66" s="544" t="s">
        <v>1674</v>
      </c>
      <c r="AA66" s="544" t="s">
        <v>1674</v>
      </c>
      <c r="AE66" s="551"/>
      <c r="AF66" s="544" t="s">
        <v>1674</v>
      </c>
      <c r="AG66" s="544" t="s">
        <v>1674</v>
      </c>
      <c r="AH66" s="544" t="s">
        <v>1674</v>
      </c>
      <c r="AI66" s="544" t="s">
        <v>1674</v>
      </c>
      <c r="AJ66" s="544" t="s">
        <v>1674</v>
      </c>
      <c r="AK66" s="544" t="s">
        <v>1674</v>
      </c>
      <c r="AL66" s="544" t="s">
        <v>1674</v>
      </c>
      <c r="AM66" s="544" t="s">
        <v>1674</v>
      </c>
      <c r="AN66" s="544" t="s">
        <v>1674</v>
      </c>
      <c r="AP66" s="552">
        <f t="shared" si="0"/>
        <v>3763.49</v>
      </c>
    </row>
    <row r="67" spans="1:42" outlineLevel="1" x14ac:dyDescent="0.25">
      <c r="A67" s="544" t="s">
        <v>1674</v>
      </c>
      <c r="B67" s="545">
        <v>0</v>
      </c>
      <c r="C67" s="544" t="s">
        <v>1674</v>
      </c>
      <c r="D67" s="544" t="s">
        <v>2982</v>
      </c>
      <c r="E67" s="542" t="s">
        <v>2979</v>
      </c>
      <c r="F67" s="542" t="s">
        <v>2980</v>
      </c>
      <c r="G67" s="546">
        <v>565</v>
      </c>
      <c r="H67" s="546"/>
      <c r="I67" s="546">
        <v>3618</v>
      </c>
      <c r="J67" s="542" t="s">
        <v>2701</v>
      </c>
      <c r="K67" s="547">
        <v>8125</v>
      </c>
      <c r="L67" s="542" t="s">
        <v>806</v>
      </c>
      <c r="M67" s="548"/>
      <c r="N67" s="549">
        <v>-2</v>
      </c>
      <c r="O67" s="544" t="s">
        <v>1674</v>
      </c>
      <c r="P67" s="544" t="s">
        <v>1674</v>
      </c>
      <c r="Q67" s="544" t="s">
        <v>2986</v>
      </c>
      <c r="R67" s="544" t="s">
        <v>1674</v>
      </c>
      <c r="S67" s="544" t="s">
        <v>1674</v>
      </c>
      <c r="T67" s="550"/>
      <c r="U67" s="544" t="s">
        <v>2697</v>
      </c>
      <c r="V67" s="547">
        <v>1800</v>
      </c>
      <c r="W67" s="548"/>
      <c r="Y67" s="544" t="s">
        <v>1674</v>
      </c>
      <c r="AA67" s="544" t="s">
        <v>1674</v>
      </c>
      <c r="AE67" s="551"/>
      <c r="AF67" s="544" t="s">
        <v>1674</v>
      </c>
      <c r="AG67" s="544" t="s">
        <v>1674</v>
      </c>
      <c r="AH67" s="544" t="s">
        <v>1674</v>
      </c>
      <c r="AI67" s="544" t="s">
        <v>1674</v>
      </c>
      <c r="AJ67" s="544" t="s">
        <v>1674</v>
      </c>
      <c r="AK67" s="544" t="s">
        <v>1674</v>
      </c>
      <c r="AL67" s="544" t="s">
        <v>1674</v>
      </c>
      <c r="AM67" s="544" t="s">
        <v>1674</v>
      </c>
      <c r="AN67" s="544" t="s">
        <v>1674</v>
      </c>
      <c r="AP67" s="552">
        <f t="shared" ref="AP67:AP130" si="1">IF(J67="S",+I67,-I67)</f>
        <v>3618</v>
      </c>
    </row>
    <row r="68" spans="1:42" outlineLevel="1" x14ac:dyDescent="0.25">
      <c r="A68" s="544" t="s">
        <v>1674</v>
      </c>
      <c r="B68" s="545">
        <v>0</v>
      </c>
      <c r="C68" s="544" t="s">
        <v>1674</v>
      </c>
      <c r="D68" s="544" t="s">
        <v>2775</v>
      </c>
      <c r="E68" s="542" t="s">
        <v>2683</v>
      </c>
      <c r="F68" s="542" t="s">
        <v>2686</v>
      </c>
      <c r="G68" s="546">
        <v>3293.24</v>
      </c>
      <c r="H68" s="546"/>
      <c r="I68" s="546">
        <v>3534.3</v>
      </c>
      <c r="J68" s="542" t="s">
        <v>2701</v>
      </c>
      <c r="K68" s="547">
        <v>8401</v>
      </c>
      <c r="L68" s="542" t="s">
        <v>806</v>
      </c>
      <c r="M68" s="548"/>
      <c r="N68" s="549">
        <v>-123</v>
      </c>
      <c r="O68" s="544" t="s">
        <v>1674</v>
      </c>
      <c r="P68" s="544" t="s">
        <v>1674</v>
      </c>
      <c r="Q68" s="544" t="s">
        <v>2776</v>
      </c>
      <c r="R68" s="544" t="s">
        <v>1674</v>
      </c>
      <c r="S68" s="544" t="s">
        <v>1674</v>
      </c>
      <c r="T68" s="550">
        <v>19</v>
      </c>
      <c r="U68" s="544" t="s">
        <v>2685</v>
      </c>
      <c r="V68" s="547">
        <v>1643</v>
      </c>
      <c r="W68" s="548"/>
      <c r="Y68" s="544" t="s">
        <v>1674</v>
      </c>
      <c r="AA68" s="544" t="s">
        <v>1674</v>
      </c>
      <c r="AE68" s="551"/>
      <c r="AF68" s="544" t="s">
        <v>1674</v>
      </c>
      <c r="AG68" s="544" t="s">
        <v>1674</v>
      </c>
      <c r="AH68" s="544" t="s">
        <v>1674</v>
      </c>
      <c r="AI68" s="544" t="s">
        <v>1674</v>
      </c>
      <c r="AJ68" s="544" t="s">
        <v>1674</v>
      </c>
      <c r="AK68" s="544" t="s">
        <v>1674</v>
      </c>
      <c r="AL68" s="544" t="s">
        <v>1674</v>
      </c>
      <c r="AM68" s="544" t="s">
        <v>1674</v>
      </c>
      <c r="AN68" s="544" t="s">
        <v>1674</v>
      </c>
      <c r="AP68" s="552">
        <f t="shared" si="1"/>
        <v>3534.3</v>
      </c>
    </row>
    <row r="69" spans="1:42" outlineLevel="1" x14ac:dyDescent="0.25">
      <c r="A69" s="544" t="s">
        <v>1674</v>
      </c>
      <c r="B69" s="545">
        <v>10214</v>
      </c>
      <c r="C69" s="544" t="s">
        <v>3198</v>
      </c>
      <c r="D69" s="544" t="s">
        <v>3199</v>
      </c>
      <c r="E69" s="542" t="s">
        <v>2920</v>
      </c>
      <c r="F69" s="542" t="s">
        <v>3181</v>
      </c>
      <c r="G69" s="546">
        <v>3421.85</v>
      </c>
      <c r="H69" s="546"/>
      <c r="I69" s="546">
        <v>3421.85</v>
      </c>
      <c r="J69" s="542" t="s">
        <v>2701</v>
      </c>
      <c r="K69" s="547">
        <v>8400</v>
      </c>
      <c r="L69" s="542" t="s">
        <v>806</v>
      </c>
      <c r="M69" s="548"/>
      <c r="N69" s="549">
        <v>19</v>
      </c>
      <c r="O69" s="544" t="s">
        <v>1674</v>
      </c>
      <c r="P69" s="544" t="s">
        <v>1674</v>
      </c>
      <c r="Q69" s="544" t="s">
        <v>3200</v>
      </c>
      <c r="R69" s="544" t="s">
        <v>1674</v>
      </c>
      <c r="S69" s="544" t="s">
        <v>1674</v>
      </c>
      <c r="T69" s="550">
        <v>19</v>
      </c>
      <c r="U69" s="544" t="s">
        <v>2700</v>
      </c>
      <c r="V69" s="547">
        <v>318</v>
      </c>
      <c r="W69" s="548"/>
      <c r="Y69" s="544" t="s">
        <v>1674</v>
      </c>
      <c r="AA69" s="544" t="s">
        <v>1674</v>
      </c>
      <c r="AE69" s="551"/>
      <c r="AF69" s="544" t="s">
        <v>1674</v>
      </c>
      <c r="AG69" s="544" t="s">
        <v>1674</v>
      </c>
      <c r="AH69" s="544" t="s">
        <v>1674</v>
      </c>
      <c r="AI69" s="544" t="s">
        <v>1674</v>
      </c>
      <c r="AJ69" s="544" t="s">
        <v>1674</v>
      </c>
      <c r="AK69" s="544" t="s">
        <v>1674</v>
      </c>
      <c r="AL69" s="544" t="s">
        <v>1674</v>
      </c>
      <c r="AM69" s="544" t="s">
        <v>3201</v>
      </c>
      <c r="AN69" s="544" t="s">
        <v>1674</v>
      </c>
      <c r="AP69" s="552">
        <f t="shared" si="1"/>
        <v>3421.85</v>
      </c>
    </row>
    <row r="70" spans="1:42" outlineLevel="1" x14ac:dyDescent="0.25">
      <c r="A70" s="544" t="s">
        <v>1674</v>
      </c>
      <c r="B70" s="545">
        <v>22506</v>
      </c>
      <c r="C70" s="544" t="s">
        <v>2859</v>
      </c>
      <c r="D70" s="544" t="s">
        <v>3012</v>
      </c>
      <c r="E70" s="542" t="s">
        <v>2851</v>
      </c>
      <c r="F70" s="542" t="s">
        <v>3002</v>
      </c>
      <c r="G70" s="546">
        <v>3417</v>
      </c>
      <c r="H70" s="546"/>
      <c r="I70" s="546">
        <v>3417</v>
      </c>
      <c r="J70" s="542" t="s">
        <v>2701</v>
      </c>
      <c r="K70" s="547">
        <v>8125</v>
      </c>
      <c r="L70" s="542" t="s">
        <v>806</v>
      </c>
      <c r="M70" s="548"/>
      <c r="N70" s="549">
        <v>3</v>
      </c>
      <c r="O70" s="544" t="s">
        <v>1674</v>
      </c>
      <c r="P70" s="544" t="s">
        <v>1674</v>
      </c>
      <c r="Q70" s="544" t="s">
        <v>3013</v>
      </c>
      <c r="R70" s="544" t="s">
        <v>1674</v>
      </c>
      <c r="S70" s="544" t="s">
        <v>1674</v>
      </c>
      <c r="T70" s="550"/>
      <c r="U70" s="544" t="s">
        <v>2700</v>
      </c>
      <c r="V70" s="547">
        <v>62</v>
      </c>
      <c r="W70" s="548"/>
      <c r="Y70" s="544" t="s">
        <v>1674</v>
      </c>
      <c r="AA70" s="544" t="s">
        <v>1674</v>
      </c>
      <c r="AE70" s="551"/>
      <c r="AF70" s="544" t="s">
        <v>1674</v>
      </c>
      <c r="AG70" s="544" t="s">
        <v>1674</v>
      </c>
      <c r="AH70" s="544" t="s">
        <v>1674</v>
      </c>
      <c r="AI70" s="544" t="s">
        <v>1674</v>
      </c>
      <c r="AJ70" s="544" t="s">
        <v>1674</v>
      </c>
      <c r="AK70" s="544" t="s">
        <v>1674</v>
      </c>
      <c r="AL70" s="544" t="s">
        <v>1674</v>
      </c>
      <c r="AM70" s="544" t="s">
        <v>2863</v>
      </c>
      <c r="AN70" s="544" t="s">
        <v>1674</v>
      </c>
      <c r="AP70" s="552">
        <f t="shared" si="1"/>
        <v>3417</v>
      </c>
    </row>
    <row r="71" spans="1:42" outlineLevel="1" x14ac:dyDescent="0.25">
      <c r="A71" s="544" t="s">
        <v>1674</v>
      </c>
      <c r="B71" s="545">
        <v>22506</v>
      </c>
      <c r="C71" s="544" t="s">
        <v>2859</v>
      </c>
      <c r="D71" s="544" t="s">
        <v>3058</v>
      </c>
      <c r="E71" s="542" t="s">
        <v>2883</v>
      </c>
      <c r="F71" s="542" t="s">
        <v>3057</v>
      </c>
      <c r="G71" s="546">
        <v>3417</v>
      </c>
      <c r="H71" s="546"/>
      <c r="I71" s="546">
        <v>3417</v>
      </c>
      <c r="J71" s="542" t="s">
        <v>2701</v>
      </c>
      <c r="K71" s="547">
        <v>8125</v>
      </c>
      <c r="L71" s="542" t="s">
        <v>806</v>
      </c>
      <c r="M71" s="548"/>
      <c r="N71" s="549">
        <v>10</v>
      </c>
      <c r="O71" s="544" t="s">
        <v>1674</v>
      </c>
      <c r="P71" s="544" t="s">
        <v>1674</v>
      </c>
      <c r="Q71" s="544" t="s">
        <v>3013</v>
      </c>
      <c r="R71" s="544" t="s">
        <v>1674</v>
      </c>
      <c r="S71" s="544" t="s">
        <v>1674</v>
      </c>
      <c r="T71" s="550"/>
      <c r="U71" s="544" t="s">
        <v>2700</v>
      </c>
      <c r="V71" s="547">
        <v>157</v>
      </c>
      <c r="W71" s="548"/>
      <c r="Y71" s="544" t="s">
        <v>1674</v>
      </c>
      <c r="AA71" s="544" t="s">
        <v>1674</v>
      </c>
      <c r="AE71" s="551"/>
      <c r="AF71" s="544" t="s">
        <v>1674</v>
      </c>
      <c r="AG71" s="544" t="s">
        <v>1674</v>
      </c>
      <c r="AH71" s="544" t="s">
        <v>1674</v>
      </c>
      <c r="AI71" s="544" t="s">
        <v>1674</v>
      </c>
      <c r="AJ71" s="544" t="s">
        <v>1674</v>
      </c>
      <c r="AK71" s="544" t="s">
        <v>1674</v>
      </c>
      <c r="AL71" s="544" t="s">
        <v>1674</v>
      </c>
      <c r="AM71" s="544" t="s">
        <v>2863</v>
      </c>
      <c r="AN71" s="544" t="s">
        <v>1674</v>
      </c>
      <c r="AP71" s="552">
        <f t="shared" si="1"/>
        <v>3417</v>
      </c>
    </row>
    <row r="72" spans="1:42" outlineLevel="1" x14ac:dyDescent="0.25">
      <c r="A72" s="544" t="s">
        <v>1674</v>
      </c>
      <c r="B72" s="545">
        <v>0</v>
      </c>
      <c r="C72" s="544" t="s">
        <v>1674</v>
      </c>
      <c r="D72" s="544" t="s">
        <v>2811</v>
      </c>
      <c r="E72" s="542" t="s">
        <v>2812</v>
      </c>
      <c r="F72" s="542" t="s">
        <v>2813</v>
      </c>
      <c r="G72" s="546">
        <v>3188.15</v>
      </c>
      <c r="H72" s="546"/>
      <c r="I72" s="546">
        <v>3195.15</v>
      </c>
      <c r="J72" s="542" t="s">
        <v>2701</v>
      </c>
      <c r="K72" s="547">
        <v>8401</v>
      </c>
      <c r="L72" s="542" t="s">
        <v>806</v>
      </c>
      <c r="M72" s="548"/>
      <c r="N72" s="549">
        <v>-58</v>
      </c>
      <c r="O72" s="544" t="s">
        <v>1674</v>
      </c>
      <c r="P72" s="544" t="s">
        <v>1674</v>
      </c>
      <c r="Q72" s="544" t="s">
        <v>2786</v>
      </c>
      <c r="R72" s="544" t="s">
        <v>1674</v>
      </c>
      <c r="S72" s="544" t="s">
        <v>1674</v>
      </c>
      <c r="T72" s="550">
        <v>19</v>
      </c>
      <c r="U72" s="544" t="s">
        <v>2694</v>
      </c>
      <c r="V72" s="547">
        <v>79</v>
      </c>
      <c r="W72" s="548"/>
      <c r="Y72" s="544" t="s">
        <v>1674</v>
      </c>
      <c r="AA72" s="544" t="s">
        <v>1674</v>
      </c>
      <c r="AE72" s="551"/>
      <c r="AF72" s="544" t="s">
        <v>1674</v>
      </c>
      <c r="AG72" s="544" t="s">
        <v>1674</v>
      </c>
      <c r="AH72" s="544" t="s">
        <v>1674</v>
      </c>
      <c r="AI72" s="544" t="s">
        <v>1674</v>
      </c>
      <c r="AJ72" s="544" t="s">
        <v>1674</v>
      </c>
      <c r="AK72" s="544" t="s">
        <v>1674</v>
      </c>
      <c r="AL72" s="544" t="s">
        <v>1674</v>
      </c>
      <c r="AM72" s="544" t="s">
        <v>1674</v>
      </c>
      <c r="AN72" s="544" t="s">
        <v>1674</v>
      </c>
      <c r="AP72" s="552">
        <f t="shared" si="1"/>
        <v>3195.15</v>
      </c>
    </row>
    <row r="73" spans="1:42" outlineLevel="1" x14ac:dyDescent="0.25">
      <c r="A73" s="544" t="s">
        <v>1674</v>
      </c>
      <c r="B73" s="545">
        <v>30803</v>
      </c>
      <c r="C73" s="544" t="s">
        <v>2925</v>
      </c>
      <c r="D73" s="544" t="s">
        <v>2926</v>
      </c>
      <c r="E73" s="542" t="s">
        <v>2838</v>
      </c>
      <c r="F73" s="542" t="s">
        <v>2920</v>
      </c>
      <c r="G73" s="546">
        <v>3079.72</v>
      </c>
      <c r="H73" s="546"/>
      <c r="I73" s="546">
        <v>3079.72</v>
      </c>
      <c r="J73" s="542" t="s">
        <v>2701</v>
      </c>
      <c r="K73" s="547">
        <v>8400</v>
      </c>
      <c r="L73" s="542" t="s">
        <v>806</v>
      </c>
      <c r="M73" s="548"/>
      <c r="N73" s="549">
        <v>-11</v>
      </c>
      <c r="O73" s="544" t="s">
        <v>1674</v>
      </c>
      <c r="P73" s="544" t="s">
        <v>1674</v>
      </c>
      <c r="Q73" s="544" t="s">
        <v>2927</v>
      </c>
      <c r="R73" s="544" t="s">
        <v>1674</v>
      </c>
      <c r="S73" s="544" t="s">
        <v>1674</v>
      </c>
      <c r="T73" s="550">
        <v>19</v>
      </c>
      <c r="U73" s="544" t="s">
        <v>2697</v>
      </c>
      <c r="V73" s="547">
        <v>1152</v>
      </c>
      <c r="W73" s="548"/>
      <c r="Y73" s="544" t="s">
        <v>1674</v>
      </c>
      <c r="AA73" s="544" t="s">
        <v>1674</v>
      </c>
      <c r="AE73" s="551"/>
      <c r="AF73" s="544" t="s">
        <v>1674</v>
      </c>
      <c r="AG73" s="544" t="s">
        <v>1674</v>
      </c>
      <c r="AH73" s="544" t="s">
        <v>1674</v>
      </c>
      <c r="AI73" s="544" t="s">
        <v>1674</v>
      </c>
      <c r="AJ73" s="544" t="s">
        <v>1674</v>
      </c>
      <c r="AK73" s="544" t="s">
        <v>1674</v>
      </c>
      <c r="AL73" s="544" t="s">
        <v>1674</v>
      </c>
      <c r="AM73" s="544" t="s">
        <v>2928</v>
      </c>
      <c r="AN73" s="544" t="s">
        <v>1674</v>
      </c>
      <c r="AP73" s="552">
        <f t="shared" si="1"/>
        <v>3079.72</v>
      </c>
    </row>
    <row r="74" spans="1:42" outlineLevel="1" x14ac:dyDescent="0.25">
      <c r="A74" s="544" t="s">
        <v>1674</v>
      </c>
      <c r="B74" s="545">
        <v>0</v>
      </c>
      <c r="C74" s="544" t="s">
        <v>1674</v>
      </c>
      <c r="D74" s="544" t="s">
        <v>3055</v>
      </c>
      <c r="E74" s="542" t="s">
        <v>3041</v>
      </c>
      <c r="F74" s="542" t="s">
        <v>3042</v>
      </c>
      <c r="G74" s="546">
        <v>17.52</v>
      </c>
      <c r="H74" s="546"/>
      <c r="I74" s="546">
        <v>3000</v>
      </c>
      <c r="J74" s="542" t="s">
        <v>2701</v>
      </c>
      <c r="K74" s="547">
        <v>8125</v>
      </c>
      <c r="L74" s="542" t="s">
        <v>806</v>
      </c>
      <c r="M74" s="548"/>
      <c r="N74" s="549">
        <v>9</v>
      </c>
      <c r="O74" s="544" t="s">
        <v>1674</v>
      </c>
      <c r="P74" s="544" t="s">
        <v>1674</v>
      </c>
      <c r="Q74" s="544" t="s">
        <v>3053</v>
      </c>
      <c r="R74" s="544" t="s">
        <v>2617</v>
      </c>
      <c r="S74" s="544" t="s">
        <v>1674</v>
      </c>
      <c r="T74" s="550"/>
      <c r="U74" s="544" t="s">
        <v>2700</v>
      </c>
      <c r="V74" s="547">
        <v>131</v>
      </c>
      <c r="W74" s="548"/>
      <c r="Y74" s="544" t="s">
        <v>1674</v>
      </c>
      <c r="AA74" s="544" t="s">
        <v>1674</v>
      </c>
      <c r="AE74" s="551"/>
      <c r="AF74" s="544" t="s">
        <v>1674</v>
      </c>
      <c r="AG74" s="544" t="s">
        <v>1674</v>
      </c>
      <c r="AH74" s="544" t="s">
        <v>1674</v>
      </c>
      <c r="AI74" s="544" t="s">
        <v>1674</v>
      </c>
      <c r="AJ74" s="544" t="s">
        <v>1674</v>
      </c>
      <c r="AK74" s="544" t="s">
        <v>1674</v>
      </c>
      <c r="AL74" s="544" t="s">
        <v>1674</v>
      </c>
      <c r="AM74" s="544" t="s">
        <v>1674</v>
      </c>
      <c r="AN74" s="544" t="s">
        <v>1674</v>
      </c>
      <c r="AP74" s="552">
        <f t="shared" si="1"/>
        <v>3000</v>
      </c>
    </row>
    <row r="75" spans="1:42" outlineLevel="1" x14ac:dyDescent="0.25">
      <c r="A75" s="544" t="s">
        <v>1674</v>
      </c>
      <c r="B75" s="545">
        <v>0</v>
      </c>
      <c r="C75" s="544" t="s">
        <v>1674</v>
      </c>
      <c r="D75" s="544" t="s">
        <v>3122</v>
      </c>
      <c r="E75" s="542" t="s">
        <v>2912</v>
      </c>
      <c r="F75" s="542" t="s">
        <v>3119</v>
      </c>
      <c r="G75" s="546">
        <v>2824.94</v>
      </c>
      <c r="H75" s="546"/>
      <c r="I75" s="546">
        <v>2824.94</v>
      </c>
      <c r="J75" s="542" t="s">
        <v>2701</v>
      </c>
      <c r="K75" s="547">
        <v>8400</v>
      </c>
      <c r="L75" s="542" t="s">
        <v>806</v>
      </c>
      <c r="M75" s="548"/>
      <c r="N75" s="549">
        <v>17</v>
      </c>
      <c r="O75" s="544" t="s">
        <v>1674</v>
      </c>
      <c r="P75" s="544" t="s">
        <v>1674</v>
      </c>
      <c r="Q75" s="544" t="s">
        <v>2992</v>
      </c>
      <c r="R75" s="544" t="s">
        <v>1674</v>
      </c>
      <c r="S75" s="544" t="s">
        <v>1674</v>
      </c>
      <c r="T75" s="550">
        <v>19</v>
      </c>
      <c r="U75" s="544" t="s">
        <v>2700</v>
      </c>
      <c r="V75" s="547">
        <v>271</v>
      </c>
      <c r="W75" s="548"/>
      <c r="Y75" s="544" t="s">
        <v>1674</v>
      </c>
      <c r="AA75" s="544" t="s">
        <v>1674</v>
      </c>
      <c r="AE75" s="551"/>
      <c r="AF75" s="544" t="s">
        <v>1674</v>
      </c>
      <c r="AG75" s="544" t="s">
        <v>1674</v>
      </c>
      <c r="AH75" s="544" t="s">
        <v>1674</v>
      </c>
      <c r="AI75" s="544" t="s">
        <v>1674</v>
      </c>
      <c r="AJ75" s="544" t="s">
        <v>1674</v>
      </c>
      <c r="AK75" s="544" t="s">
        <v>1674</v>
      </c>
      <c r="AL75" s="544" t="s">
        <v>1674</v>
      </c>
      <c r="AM75" s="544" t="s">
        <v>1674</v>
      </c>
      <c r="AN75" s="544" t="s">
        <v>1674</v>
      </c>
      <c r="AP75" s="552">
        <f t="shared" si="1"/>
        <v>2824.94</v>
      </c>
    </row>
    <row r="76" spans="1:42" outlineLevel="1" x14ac:dyDescent="0.25">
      <c r="A76" s="544" t="s">
        <v>1674</v>
      </c>
      <c r="B76" s="545">
        <v>0</v>
      </c>
      <c r="C76" s="544" t="s">
        <v>1674</v>
      </c>
      <c r="D76" s="544" t="s">
        <v>3120</v>
      </c>
      <c r="E76" s="542" t="s">
        <v>2912</v>
      </c>
      <c r="F76" s="542" t="s">
        <v>3119</v>
      </c>
      <c r="G76" s="546">
        <v>2791.38</v>
      </c>
      <c r="H76" s="546"/>
      <c r="I76" s="546">
        <v>2791.38</v>
      </c>
      <c r="J76" s="542" t="s">
        <v>2701</v>
      </c>
      <c r="K76" s="547">
        <v>8400</v>
      </c>
      <c r="L76" s="542" t="s">
        <v>806</v>
      </c>
      <c r="M76" s="548"/>
      <c r="N76" s="549">
        <v>17</v>
      </c>
      <c r="O76" s="544" t="s">
        <v>1674</v>
      </c>
      <c r="P76" s="544" t="s">
        <v>1674</v>
      </c>
      <c r="Q76" s="544" t="s">
        <v>2992</v>
      </c>
      <c r="R76" s="544" t="s">
        <v>1674</v>
      </c>
      <c r="S76" s="544" t="s">
        <v>1674</v>
      </c>
      <c r="T76" s="550">
        <v>19</v>
      </c>
      <c r="U76" s="544" t="s">
        <v>2700</v>
      </c>
      <c r="V76" s="547">
        <v>269</v>
      </c>
      <c r="W76" s="548"/>
      <c r="Y76" s="544" t="s">
        <v>1674</v>
      </c>
      <c r="AA76" s="544" t="s">
        <v>1674</v>
      </c>
      <c r="AE76" s="551"/>
      <c r="AF76" s="544" t="s">
        <v>1674</v>
      </c>
      <c r="AG76" s="544" t="s">
        <v>1674</v>
      </c>
      <c r="AH76" s="544" t="s">
        <v>1674</v>
      </c>
      <c r="AI76" s="544" t="s">
        <v>1674</v>
      </c>
      <c r="AJ76" s="544" t="s">
        <v>1674</v>
      </c>
      <c r="AK76" s="544" t="s">
        <v>1674</v>
      </c>
      <c r="AL76" s="544" t="s">
        <v>1674</v>
      </c>
      <c r="AM76" s="544" t="s">
        <v>1674</v>
      </c>
      <c r="AN76" s="544" t="s">
        <v>1674</v>
      </c>
      <c r="AP76" s="552">
        <f t="shared" si="1"/>
        <v>2791.38</v>
      </c>
    </row>
    <row r="77" spans="1:42" outlineLevel="1" x14ac:dyDescent="0.25">
      <c r="A77" s="544" t="s">
        <v>1674</v>
      </c>
      <c r="B77" s="545">
        <v>10208</v>
      </c>
      <c r="C77" s="544" t="s">
        <v>2989</v>
      </c>
      <c r="D77" s="544" t="s">
        <v>3059</v>
      </c>
      <c r="E77" s="542" t="s">
        <v>2887</v>
      </c>
      <c r="F77" s="542" t="s">
        <v>3060</v>
      </c>
      <c r="G77" s="546">
        <v>2682.32</v>
      </c>
      <c r="H77" s="546"/>
      <c r="I77" s="546">
        <v>2682.32</v>
      </c>
      <c r="J77" s="542" t="s">
        <v>2701</v>
      </c>
      <c r="K77" s="547">
        <v>8400</v>
      </c>
      <c r="L77" s="542" t="s">
        <v>806</v>
      </c>
      <c r="M77" s="548"/>
      <c r="N77" s="549">
        <v>11</v>
      </c>
      <c r="O77" s="544" t="s">
        <v>1674</v>
      </c>
      <c r="P77" s="544" t="s">
        <v>1674</v>
      </c>
      <c r="Q77" s="544" t="s">
        <v>2992</v>
      </c>
      <c r="R77" s="544" t="s">
        <v>1674</v>
      </c>
      <c r="S77" s="544" t="s">
        <v>1674</v>
      </c>
      <c r="T77" s="550">
        <v>19</v>
      </c>
      <c r="U77" s="544" t="s">
        <v>2700</v>
      </c>
      <c r="V77" s="547">
        <v>171</v>
      </c>
      <c r="W77" s="548"/>
      <c r="Y77" s="544" t="s">
        <v>1674</v>
      </c>
      <c r="AA77" s="544" t="s">
        <v>1674</v>
      </c>
      <c r="AE77" s="551"/>
      <c r="AF77" s="544" t="s">
        <v>2993</v>
      </c>
      <c r="AG77" s="544" t="s">
        <v>2994</v>
      </c>
      <c r="AH77" s="544" t="s">
        <v>2995</v>
      </c>
      <c r="AI77" s="544" t="s">
        <v>1674</v>
      </c>
      <c r="AJ77" s="544" t="s">
        <v>2996</v>
      </c>
      <c r="AK77" s="544" t="s">
        <v>1674</v>
      </c>
      <c r="AL77" s="544" t="s">
        <v>1674</v>
      </c>
      <c r="AM77" s="544" t="s">
        <v>2997</v>
      </c>
      <c r="AN77" s="544" t="s">
        <v>2998</v>
      </c>
      <c r="AP77" s="552">
        <f t="shared" si="1"/>
        <v>2682.32</v>
      </c>
    </row>
    <row r="78" spans="1:42" outlineLevel="1" x14ac:dyDescent="0.25">
      <c r="A78" s="544" t="s">
        <v>1674</v>
      </c>
      <c r="B78" s="545">
        <v>10208</v>
      </c>
      <c r="C78" s="544" t="s">
        <v>2989</v>
      </c>
      <c r="D78" s="544" t="s">
        <v>3157</v>
      </c>
      <c r="E78" s="542" t="s">
        <v>3158</v>
      </c>
      <c r="F78" s="542" t="s">
        <v>3159</v>
      </c>
      <c r="G78" s="546">
        <v>2682.32</v>
      </c>
      <c r="H78" s="546"/>
      <c r="I78" s="546">
        <v>2682.32</v>
      </c>
      <c r="J78" s="542" t="s">
        <v>2701</v>
      </c>
      <c r="K78" s="547">
        <v>8400</v>
      </c>
      <c r="L78" s="542" t="s">
        <v>806</v>
      </c>
      <c r="M78" s="548"/>
      <c r="N78" s="549">
        <v>18</v>
      </c>
      <c r="O78" s="544" t="s">
        <v>1674</v>
      </c>
      <c r="P78" s="544" t="s">
        <v>1674</v>
      </c>
      <c r="Q78" s="544" t="s">
        <v>2992</v>
      </c>
      <c r="R78" s="544" t="s">
        <v>1674</v>
      </c>
      <c r="S78" s="544" t="s">
        <v>1674</v>
      </c>
      <c r="T78" s="550">
        <v>19</v>
      </c>
      <c r="U78" s="544" t="s">
        <v>2700</v>
      </c>
      <c r="V78" s="547">
        <v>299</v>
      </c>
      <c r="W78" s="548"/>
      <c r="Y78" s="544" t="s">
        <v>1674</v>
      </c>
      <c r="AA78" s="544" t="s">
        <v>1674</v>
      </c>
      <c r="AE78" s="551"/>
      <c r="AF78" s="544" t="s">
        <v>2993</v>
      </c>
      <c r="AG78" s="544" t="s">
        <v>2994</v>
      </c>
      <c r="AH78" s="544" t="s">
        <v>2995</v>
      </c>
      <c r="AI78" s="544" t="s">
        <v>1674</v>
      </c>
      <c r="AJ78" s="544" t="s">
        <v>2996</v>
      </c>
      <c r="AK78" s="544" t="s">
        <v>1674</v>
      </c>
      <c r="AL78" s="544" t="s">
        <v>1674</v>
      </c>
      <c r="AM78" s="544" t="s">
        <v>2997</v>
      </c>
      <c r="AN78" s="544" t="s">
        <v>2998</v>
      </c>
      <c r="AP78" s="552">
        <f t="shared" si="1"/>
        <v>2682.32</v>
      </c>
    </row>
    <row r="79" spans="1:42" outlineLevel="1" x14ac:dyDescent="0.25">
      <c r="A79" s="544" t="s">
        <v>1674</v>
      </c>
      <c r="B79" s="545">
        <v>0</v>
      </c>
      <c r="C79" s="544" t="s">
        <v>1674</v>
      </c>
      <c r="D79" s="544" t="s">
        <v>3160</v>
      </c>
      <c r="E79" s="542" t="s">
        <v>3158</v>
      </c>
      <c r="F79" s="542" t="s">
        <v>3159</v>
      </c>
      <c r="G79" s="546">
        <v>2682.32</v>
      </c>
      <c r="H79" s="546"/>
      <c r="I79" s="546">
        <v>2682.32</v>
      </c>
      <c r="J79" s="542" t="s">
        <v>2701</v>
      </c>
      <c r="K79" s="547">
        <v>8400</v>
      </c>
      <c r="L79" s="542" t="s">
        <v>806</v>
      </c>
      <c r="M79" s="548"/>
      <c r="N79" s="549">
        <v>18</v>
      </c>
      <c r="O79" s="544" t="s">
        <v>1674</v>
      </c>
      <c r="P79" s="544" t="s">
        <v>1674</v>
      </c>
      <c r="Q79" s="544" t="s">
        <v>2992</v>
      </c>
      <c r="R79" s="544" t="s">
        <v>1674</v>
      </c>
      <c r="S79" s="544" t="s">
        <v>1674</v>
      </c>
      <c r="T79" s="550">
        <v>19</v>
      </c>
      <c r="U79" s="544" t="s">
        <v>2700</v>
      </c>
      <c r="V79" s="547">
        <v>300</v>
      </c>
      <c r="W79" s="548"/>
      <c r="Y79" s="544" t="s">
        <v>1674</v>
      </c>
      <c r="AA79" s="544" t="s">
        <v>1674</v>
      </c>
      <c r="AE79" s="551"/>
      <c r="AF79" s="544" t="s">
        <v>1674</v>
      </c>
      <c r="AG79" s="544" t="s">
        <v>1674</v>
      </c>
      <c r="AH79" s="544" t="s">
        <v>1674</v>
      </c>
      <c r="AI79" s="544" t="s">
        <v>1674</v>
      </c>
      <c r="AJ79" s="544" t="s">
        <v>1674</v>
      </c>
      <c r="AK79" s="544" t="s">
        <v>1674</v>
      </c>
      <c r="AL79" s="544" t="s">
        <v>1674</v>
      </c>
      <c r="AM79" s="544" t="s">
        <v>1674</v>
      </c>
      <c r="AN79" s="544" t="s">
        <v>1674</v>
      </c>
      <c r="AP79" s="552">
        <f t="shared" si="1"/>
        <v>2682.32</v>
      </c>
    </row>
    <row r="80" spans="1:42" outlineLevel="1" x14ac:dyDescent="0.25">
      <c r="A80" s="544" t="s">
        <v>1674</v>
      </c>
      <c r="B80" s="545">
        <v>10208</v>
      </c>
      <c r="C80" s="544" t="s">
        <v>2989</v>
      </c>
      <c r="D80" s="544" t="s">
        <v>3118</v>
      </c>
      <c r="E80" s="542" t="s">
        <v>2912</v>
      </c>
      <c r="F80" s="542" t="s">
        <v>3119</v>
      </c>
      <c r="G80" s="546">
        <v>2612.17</v>
      </c>
      <c r="H80" s="546"/>
      <c r="I80" s="546">
        <v>2612.17</v>
      </c>
      <c r="J80" s="542" t="s">
        <v>2701</v>
      </c>
      <c r="K80" s="547">
        <v>8400</v>
      </c>
      <c r="L80" s="542" t="s">
        <v>806</v>
      </c>
      <c r="M80" s="548"/>
      <c r="N80" s="549">
        <v>17</v>
      </c>
      <c r="O80" s="544" t="s">
        <v>1674</v>
      </c>
      <c r="P80" s="544" t="s">
        <v>1674</v>
      </c>
      <c r="Q80" s="544" t="s">
        <v>2992</v>
      </c>
      <c r="R80" s="544" t="s">
        <v>1674</v>
      </c>
      <c r="S80" s="544" t="s">
        <v>1674</v>
      </c>
      <c r="T80" s="550">
        <v>19</v>
      </c>
      <c r="U80" s="544" t="s">
        <v>2700</v>
      </c>
      <c r="V80" s="547">
        <v>268</v>
      </c>
      <c r="W80" s="548"/>
      <c r="Y80" s="544" t="s">
        <v>1674</v>
      </c>
      <c r="AA80" s="544" t="s">
        <v>1674</v>
      </c>
      <c r="AE80" s="551"/>
      <c r="AF80" s="544" t="s">
        <v>2993</v>
      </c>
      <c r="AG80" s="544" t="s">
        <v>2994</v>
      </c>
      <c r="AH80" s="544" t="s">
        <v>2995</v>
      </c>
      <c r="AI80" s="544" t="s">
        <v>1674</v>
      </c>
      <c r="AJ80" s="544" t="s">
        <v>2996</v>
      </c>
      <c r="AK80" s="544" t="s">
        <v>1674</v>
      </c>
      <c r="AL80" s="544" t="s">
        <v>1674</v>
      </c>
      <c r="AM80" s="544" t="s">
        <v>2997</v>
      </c>
      <c r="AN80" s="544" t="s">
        <v>2998</v>
      </c>
      <c r="AP80" s="552">
        <f t="shared" si="1"/>
        <v>2612.17</v>
      </c>
    </row>
    <row r="81" spans="1:42" outlineLevel="1" x14ac:dyDescent="0.25">
      <c r="A81" s="544" t="s">
        <v>1674</v>
      </c>
      <c r="B81" s="545">
        <v>31501</v>
      </c>
      <c r="C81" s="544" t="s">
        <v>2826</v>
      </c>
      <c r="D81" s="544" t="s">
        <v>3299</v>
      </c>
      <c r="E81" s="542" t="s">
        <v>3295</v>
      </c>
      <c r="F81" s="542" t="s">
        <v>3296</v>
      </c>
      <c r="G81" s="546">
        <v>2527.98</v>
      </c>
      <c r="H81" s="546"/>
      <c r="I81" s="546">
        <v>2527.98</v>
      </c>
      <c r="J81" s="542" t="s">
        <v>2701</v>
      </c>
      <c r="K81" s="547">
        <v>8338</v>
      </c>
      <c r="L81" s="542" t="s">
        <v>806</v>
      </c>
      <c r="M81" s="548"/>
      <c r="N81" s="549">
        <v>30</v>
      </c>
      <c r="O81" s="544" t="s">
        <v>1674</v>
      </c>
      <c r="P81" s="544" t="s">
        <v>1674</v>
      </c>
      <c r="Q81" s="544" t="s">
        <v>2830</v>
      </c>
      <c r="R81" s="544" t="s">
        <v>1674</v>
      </c>
      <c r="S81" s="544" t="s">
        <v>1674</v>
      </c>
      <c r="T81" s="550"/>
      <c r="U81" s="544" t="s">
        <v>2700</v>
      </c>
      <c r="V81" s="547">
        <v>378</v>
      </c>
      <c r="W81" s="548"/>
      <c r="Y81" s="544" t="s">
        <v>1674</v>
      </c>
      <c r="AA81" s="544" t="s">
        <v>1674</v>
      </c>
      <c r="AE81" s="551"/>
      <c r="AF81" s="544" t="s">
        <v>1674</v>
      </c>
      <c r="AG81" s="544" t="s">
        <v>1674</v>
      </c>
      <c r="AH81" s="544" t="s">
        <v>1674</v>
      </c>
      <c r="AI81" s="544" t="s">
        <v>1674</v>
      </c>
      <c r="AJ81" s="544" t="s">
        <v>1674</v>
      </c>
      <c r="AK81" s="544" t="s">
        <v>1674</v>
      </c>
      <c r="AL81" s="544" t="s">
        <v>1674</v>
      </c>
      <c r="AM81" s="544" t="s">
        <v>2831</v>
      </c>
      <c r="AN81" s="544" t="s">
        <v>1674</v>
      </c>
      <c r="AP81" s="552">
        <f t="shared" si="1"/>
        <v>2527.98</v>
      </c>
    </row>
    <row r="82" spans="1:42" outlineLevel="1" x14ac:dyDescent="0.25">
      <c r="A82" s="544" t="s">
        <v>1674</v>
      </c>
      <c r="B82" s="545">
        <v>0</v>
      </c>
      <c r="C82" s="544" t="s">
        <v>1674</v>
      </c>
      <c r="D82" s="544" t="s">
        <v>2815</v>
      </c>
      <c r="E82" s="542" t="s">
        <v>2816</v>
      </c>
      <c r="F82" s="542" t="s">
        <v>2817</v>
      </c>
      <c r="G82" s="546">
        <v>1639.34</v>
      </c>
      <c r="H82" s="546"/>
      <c r="I82" s="546">
        <v>2400.94</v>
      </c>
      <c r="J82" s="542" t="s">
        <v>2701</v>
      </c>
      <c r="K82" s="547">
        <v>8400</v>
      </c>
      <c r="L82" s="542" t="s">
        <v>806</v>
      </c>
      <c r="M82" s="548"/>
      <c r="N82" s="549">
        <v>-54</v>
      </c>
      <c r="O82" s="544" t="s">
        <v>1674</v>
      </c>
      <c r="P82" s="544" t="s">
        <v>1674</v>
      </c>
      <c r="Q82" s="544" t="s">
        <v>2818</v>
      </c>
      <c r="R82" s="544" t="s">
        <v>1674</v>
      </c>
      <c r="S82" s="544" t="s">
        <v>1674</v>
      </c>
      <c r="T82" s="550">
        <v>19</v>
      </c>
      <c r="U82" s="544" t="s">
        <v>2694</v>
      </c>
      <c r="V82" s="547">
        <v>107</v>
      </c>
      <c r="W82" s="548"/>
      <c r="Y82" s="544" t="s">
        <v>1674</v>
      </c>
      <c r="AA82" s="544" t="s">
        <v>1674</v>
      </c>
      <c r="AE82" s="551"/>
      <c r="AF82" s="544" t="s">
        <v>1674</v>
      </c>
      <c r="AG82" s="544" t="s">
        <v>1674</v>
      </c>
      <c r="AH82" s="544" t="s">
        <v>1674</v>
      </c>
      <c r="AI82" s="544" t="s">
        <v>1674</v>
      </c>
      <c r="AJ82" s="544" t="s">
        <v>1674</v>
      </c>
      <c r="AK82" s="544" t="s">
        <v>1674</v>
      </c>
      <c r="AL82" s="544" t="s">
        <v>1674</v>
      </c>
      <c r="AM82" s="544" t="s">
        <v>1674</v>
      </c>
      <c r="AN82" s="544" t="s">
        <v>1674</v>
      </c>
      <c r="AP82" s="552">
        <f t="shared" si="1"/>
        <v>2400.94</v>
      </c>
    </row>
    <row r="83" spans="1:42" outlineLevel="1" x14ac:dyDescent="0.25">
      <c r="A83" s="544" t="s">
        <v>1674</v>
      </c>
      <c r="B83" s="545">
        <v>0</v>
      </c>
      <c r="C83" s="544" t="s">
        <v>1674</v>
      </c>
      <c r="D83" s="544" t="s">
        <v>3035</v>
      </c>
      <c r="E83" s="542" t="s">
        <v>3033</v>
      </c>
      <c r="F83" s="542" t="s">
        <v>2988</v>
      </c>
      <c r="G83" s="546">
        <v>1639.34</v>
      </c>
      <c r="H83" s="546"/>
      <c r="I83" s="546">
        <v>2400.94</v>
      </c>
      <c r="J83" s="542" t="s">
        <v>2701</v>
      </c>
      <c r="K83" s="547">
        <v>8400</v>
      </c>
      <c r="L83" s="542" t="s">
        <v>806</v>
      </c>
      <c r="M83" s="548"/>
      <c r="N83" s="549">
        <v>8</v>
      </c>
      <c r="O83" s="544" t="s">
        <v>1674</v>
      </c>
      <c r="P83" s="544" t="s">
        <v>1674</v>
      </c>
      <c r="Q83" s="544" t="s">
        <v>2818</v>
      </c>
      <c r="R83" s="544" t="s">
        <v>1674</v>
      </c>
      <c r="S83" s="544" t="s">
        <v>1674</v>
      </c>
      <c r="T83" s="550">
        <v>19</v>
      </c>
      <c r="U83" s="544" t="s">
        <v>2700</v>
      </c>
      <c r="V83" s="547">
        <v>109</v>
      </c>
      <c r="W83" s="548"/>
      <c r="Y83" s="544" t="s">
        <v>1674</v>
      </c>
      <c r="AA83" s="544" t="s">
        <v>1674</v>
      </c>
      <c r="AE83" s="551"/>
      <c r="AF83" s="544" t="s">
        <v>1674</v>
      </c>
      <c r="AG83" s="544" t="s">
        <v>1674</v>
      </c>
      <c r="AH83" s="544" t="s">
        <v>1674</v>
      </c>
      <c r="AI83" s="544" t="s">
        <v>1674</v>
      </c>
      <c r="AJ83" s="544" t="s">
        <v>1674</v>
      </c>
      <c r="AK83" s="544" t="s">
        <v>1674</v>
      </c>
      <c r="AL83" s="544" t="s">
        <v>1674</v>
      </c>
      <c r="AM83" s="544" t="s">
        <v>1674</v>
      </c>
      <c r="AN83" s="544" t="s">
        <v>1674</v>
      </c>
      <c r="AP83" s="552">
        <f t="shared" si="1"/>
        <v>2400.94</v>
      </c>
    </row>
    <row r="84" spans="1:42" outlineLevel="1" x14ac:dyDescent="0.25">
      <c r="A84" s="544" t="s">
        <v>1674</v>
      </c>
      <c r="B84" s="545">
        <v>0</v>
      </c>
      <c r="C84" s="544" t="s">
        <v>1674</v>
      </c>
      <c r="D84" s="544" t="s">
        <v>3025</v>
      </c>
      <c r="E84" s="542" t="s">
        <v>3022</v>
      </c>
      <c r="F84" s="542" t="s">
        <v>2963</v>
      </c>
      <c r="G84" s="546">
        <v>2258.5</v>
      </c>
      <c r="H84" s="546"/>
      <c r="I84" s="546">
        <v>2384.7600000000002</v>
      </c>
      <c r="J84" s="542" t="s">
        <v>2701</v>
      </c>
      <c r="K84" s="547">
        <v>8401</v>
      </c>
      <c r="L84" s="542" t="s">
        <v>806</v>
      </c>
      <c r="M84" s="548"/>
      <c r="N84" s="549">
        <v>5</v>
      </c>
      <c r="O84" s="544" t="s">
        <v>1674</v>
      </c>
      <c r="P84" s="544" t="s">
        <v>1674</v>
      </c>
      <c r="Q84" s="544" t="s">
        <v>3026</v>
      </c>
      <c r="R84" s="544" t="s">
        <v>1674</v>
      </c>
      <c r="S84" s="544" t="s">
        <v>1674</v>
      </c>
      <c r="T84" s="550">
        <v>19</v>
      </c>
      <c r="U84" s="544" t="s">
        <v>2700</v>
      </c>
      <c r="V84" s="547">
        <v>88</v>
      </c>
      <c r="W84" s="548"/>
      <c r="Y84" s="544" t="s">
        <v>1674</v>
      </c>
      <c r="AA84" s="544" t="s">
        <v>1674</v>
      </c>
      <c r="AE84" s="551"/>
      <c r="AF84" s="544" t="s">
        <v>1674</v>
      </c>
      <c r="AG84" s="544" t="s">
        <v>1674</v>
      </c>
      <c r="AH84" s="544" t="s">
        <v>1674</v>
      </c>
      <c r="AI84" s="544" t="s">
        <v>1674</v>
      </c>
      <c r="AJ84" s="544" t="s">
        <v>1674</v>
      </c>
      <c r="AK84" s="544" t="s">
        <v>1674</v>
      </c>
      <c r="AL84" s="544" t="s">
        <v>1674</v>
      </c>
      <c r="AM84" s="544" t="s">
        <v>1674</v>
      </c>
      <c r="AN84" s="544" t="s">
        <v>1674</v>
      </c>
      <c r="AP84" s="552">
        <f t="shared" si="1"/>
        <v>2384.7600000000002</v>
      </c>
    </row>
    <row r="85" spans="1:42" outlineLevel="1" x14ac:dyDescent="0.25">
      <c r="A85" s="544" t="s">
        <v>1674</v>
      </c>
      <c r="B85" s="545">
        <v>0</v>
      </c>
      <c r="C85" s="544" t="s">
        <v>1674</v>
      </c>
      <c r="D85" s="544" t="s">
        <v>2642</v>
      </c>
      <c r="E85" s="542" t="s">
        <v>2698</v>
      </c>
      <c r="G85" s="546"/>
      <c r="H85" s="546">
        <v>19.04</v>
      </c>
      <c r="I85" s="546">
        <v>2380</v>
      </c>
      <c r="J85" s="542" t="s">
        <v>2701</v>
      </c>
      <c r="K85" s="547">
        <v>8736</v>
      </c>
      <c r="L85" s="542" t="s">
        <v>806</v>
      </c>
      <c r="M85" s="548"/>
      <c r="N85" s="549">
        <v>0</v>
      </c>
      <c r="O85" s="544" t="s">
        <v>1674</v>
      </c>
      <c r="P85" s="544" t="s">
        <v>1674</v>
      </c>
      <c r="Q85" s="544" t="s">
        <v>2699</v>
      </c>
      <c r="R85" s="544" t="s">
        <v>1674</v>
      </c>
      <c r="S85" s="544" t="s">
        <v>1674</v>
      </c>
      <c r="T85" s="550">
        <v>19</v>
      </c>
      <c r="U85" s="544" t="s">
        <v>2700</v>
      </c>
      <c r="V85" s="547">
        <v>1593</v>
      </c>
      <c r="W85" s="548"/>
      <c r="Y85" s="544" t="s">
        <v>1674</v>
      </c>
      <c r="AA85" s="544" t="s">
        <v>1674</v>
      </c>
      <c r="AE85" s="551"/>
      <c r="AF85" s="544" t="s">
        <v>1674</v>
      </c>
      <c r="AG85" s="544" t="s">
        <v>1674</v>
      </c>
      <c r="AH85" s="544" t="s">
        <v>1674</v>
      </c>
      <c r="AI85" s="544" t="s">
        <v>1674</v>
      </c>
      <c r="AJ85" s="544" t="s">
        <v>1674</v>
      </c>
      <c r="AK85" s="544" t="s">
        <v>1674</v>
      </c>
      <c r="AL85" s="544" t="s">
        <v>1674</v>
      </c>
      <c r="AM85" s="544" t="s">
        <v>1674</v>
      </c>
      <c r="AN85" s="544" t="s">
        <v>1674</v>
      </c>
      <c r="AP85" s="552">
        <f t="shared" si="1"/>
        <v>2380</v>
      </c>
    </row>
    <row r="86" spans="1:42" outlineLevel="1" x14ac:dyDescent="0.25">
      <c r="A86" s="544" t="s">
        <v>1674</v>
      </c>
      <c r="B86" s="545">
        <v>0</v>
      </c>
      <c r="C86" s="544" t="s">
        <v>1674</v>
      </c>
      <c r="D86" s="544" t="s">
        <v>3237</v>
      </c>
      <c r="E86" s="542" t="s">
        <v>2920</v>
      </c>
      <c r="F86" s="542" t="s">
        <v>3181</v>
      </c>
      <c r="G86" s="546">
        <v>2133.08</v>
      </c>
      <c r="H86" s="546"/>
      <c r="I86" s="546">
        <v>2377.0300000000002</v>
      </c>
      <c r="J86" s="542" t="s">
        <v>2701</v>
      </c>
      <c r="K86" s="547">
        <v>8401</v>
      </c>
      <c r="L86" s="542" t="s">
        <v>806</v>
      </c>
      <c r="M86" s="548"/>
      <c r="N86" s="549">
        <v>19</v>
      </c>
      <c r="O86" s="544" t="s">
        <v>1674</v>
      </c>
      <c r="P86" s="544" t="s">
        <v>1674</v>
      </c>
      <c r="Q86" s="544" t="s">
        <v>3235</v>
      </c>
      <c r="R86" s="544" t="s">
        <v>3205</v>
      </c>
      <c r="S86" s="544" t="s">
        <v>1674</v>
      </c>
      <c r="T86" s="550">
        <v>19</v>
      </c>
      <c r="U86" s="544" t="s">
        <v>2700</v>
      </c>
      <c r="V86" s="547">
        <v>342</v>
      </c>
      <c r="W86" s="548"/>
      <c r="Y86" s="544" t="s">
        <v>1674</v>
      </c>
      <c r="AA86" s="544" t="s">
        <v>1674</v>
      </c>
      <c r="AE86" s="551"/>
      <c r="AF86" s="544" t="s">
        <v>1674</v>
      </c>
      <c r="AG86" s="544" t="s">
        <v>1674</v>
      </c>
      <c r="AH86" s="544" t="s">
        <v>1674</v>
      </c>
      <c r="AI86" s="544" t="s">
        <v>1674</v>
      </c>
      <c r="AJ86" s="544" t="s">
        <v>1674</v>
      </c>
      <c r="AK86" s="544" t="s">
        <v>1674</v>
      </c>
      <c r="AL86" s="544" t="s">
        <v>1674</v>
      </c>
      <c r="AM86" s="544" t="s">
        <v>1674</v>
      </c>
      <c r="AN86" s="544" t="s">
        <v>1674</v>
      </c>
      <c r="AP86" s="552">
        <f t="shared" si="1"/>
        <v>2377.0300000000002</v>
      </c>
    </row>
    <row r="87" spans="1:42" outlineLevel="1" x14ac:dyDescent="0.25">
      <c r="A87" s="544" t="s">
        <v>1674</v>
      </c>
      <c r="B87" s="545">
        <v>10900</v>
      </c>
      <c r="C87" s="544" t="s">
        <v>3129</v>
      </c>
      <c r="D87" s="544" t="s">
        <v>3167</v>
      </c>
      <c r="E87" s="542" t="s">
        <v>3158</v>
      </c>
      <c r="F87" s="542" t="s">
        <v>3159</v>
      </c>
      <c r="G87" s="546">
        <v>2338.35</v>
      </c>
      <c r="H87" s="546"/>
      <c r="I87" s="546">
        <v>2338.35</v>
      </c>
      <c r="J87" s="542" t="s">
        <v>2701</v>
      </c>
      <c r="K87" s="547">
        <v>8400</v>
      </c>
      <c r="L87" s="542" t="s">
        <v>806</v>
      </c>
      <c r="M87" s="548"/>
      <c r="N87" s="549">
        <v>18</v>
      </c>
      <c r="O87" s="544" t="s">
        <v>1674</v>
      </c>
      <c r="P87" s="544" t="s">
        <v>1674</v>
      </c>
      <c r="Q87" s="544" t="s">
        <v>3131</v>
      </c>
      <c r="R87" s="544" t="s">
        <v>1674</v>
      </c>
      <c r="S87" s="544" t="s">
        <v>1674</v>
      </c>
      <c r="T87" s="550">
        <v>19</v>
      </c>
      <c r="U87" s="544" t="s">
        <v>2700</v>
      </c>
      <c r="V87" s="547">
        <v>295</v>
      </c>
      <c r="W87" s="548"/>
      <c r="Y87" s="544" t="s">
        <v>1674</v>
      </c>
      <c r="AA87" s="544" t="s">
        <v>1674</v>
      </c>
      <c r="AE87" s="551"/>
      <c r="AF87" s="544" t="s">
        <v>1674</v>
      </c>
      <c r="AG87" s="544" t="s">
        <v>1674</v>
      </c>
      <c r="AH87" s="544" t="s">
        <v>1674</v>
      </c>
      <c r="AI87" s="544" t="s">
        <v>1674</v>
      </c>
      <c r="AJ87" s="544" t="s">
        <v>1674</v>
      </c>
      <c r="AK87" s="544" t="s">
        <v>1674</v>
      </c>
      <c r="AL87" s="544" t="s">
        <v>1674</v>
      </c>
      <c r="AM87" s="544" t="s">
        <v>3129</v>
      </c>
      <c r="AN87" s="544" t="s">
        <v>1674</v>
      </c>
      <c r="AP87" s="552">
        <f t="shared" si="1"/>
        <v>2338.35</v>
      </c>
    </row>
    <row r="88" spans="1:42" outlineLevel="1" x14ac:dyDescent="0.25">
      <c r="A88" s="544" t="s">
        <v>1674</v>
      </c>
      <c r="B88" s="545">
        <v>0</v>
      </c>
      <c r="C88" s="544" t="s">
        <v>1674</v>
      </c>
      <c r="D88" s="544" t="s">
        <v>3138</v>
      </c>
      <c r="E88" s="542" t="s">
        <v>2912</v>
      </c>
      <c r="F88" s="542" t="s">
        <v>3119</v>
      </c>
      <c r="G88" s="546">
        <v>35.700000000000003</v>
      </c>
      <c r="H88" s="546"/>
      <c r="I88" s="546">
        <v>2024.9</v>
      </c>
      <c r="J88" s="542" t="s">
        <v>2701</v>
      </c>
      <c r="K88" s="547">
        <v>8400</v>
      </c>
      <c r="L88" s="542" t="s">
        <v>806</v>
      </c>
      <c r="M88" s="548"/>
      <c r="N88" s="549">
        <v>17</v>
      </c>
      <c r="O88" s="544" t="s">
        <v>1674</v>
      </c>
      <c r="P88" s="544" t="s">
        <v>1674</v>
      </c>
      <c r="Q88" s="544" t="s">
        <v>3139</v>
      </c>
      <c r="R88" s="544" t="s">
        <v>1674</v>
      </c>
      <c r="S88" s="544" t="s">
        <v>1674</v>
      </c>
      <c r="T88" s="550">
        <v>19</v>
      </c>
      <c r="U88" s="544" t="s">
        <v>2700</v>
      </c>
      <c r="V88" s="547">
        <v>280</v>
      </c>
      <c r="W88" s="548"/>
      <c r="Y88" s="544" t="s">
        <v>1674</v>
      </c>
      <c r="AA88" s="544" t="s">
        <v>1674</v>
      </c>
      <c r="AE88" s="551"/>
      <c r="AF88" s="544" t="s">
        <v>1674</v>
      </c>
      <c r="AG88" s="544" t="s">
        <v>1674</v>
      </c>
      <c r="AH88" s="544" t="s">
        <v>1674</v>
      </c>
      <c r="AI88" s="544" t="s">
        <v>1674</v>
      </c>
      <c r="AJ88" s="544" t="s">
        <v>1674</v>
      </c>
      <c r="AK88" s="544" t="s">
        <v>1674</v>
      </c>
      <c r="AL88" s="544" t="s">
        <v>1674</v>
      </c>
      <c r="AM88" s="544" t="s">
        <v>1674</v>
      </c>
      <c r="AN88" s="544" t="s">
        <v>1674</v>
      </c>
      <c r="AP88" s="552">
        <f t="shared" si="1"/>
        <v>2024.9</v>
      </c>
    </row>
    <row r="89" spans="1:42" outlineLevel="1" x14ac:dyDescent="0.25">
      <c r="A89" s="544" t="s">
        <v>1674</v>
      </c>
      <c r="B89" s="545">
        <v>0</v>
      </c>
      <c r="C89" s="544" t="s">
        <v>1674</v>
      </c>
      <c r="D89" s="544" t="s">
        <v>3142</v>
      </c>
      <c r="E89" s="542" t="s">
        <v>2912</v>
      </c>
      <c r="F89" s="542" t="s">
        <v>3119</v>
      </c>
      <c r="G89" s="546">
        <v>1989.2</v>
      </c>
      <c r="H89" s="546"/>
      <c r="I89" s="546">
        <v>1989.2</v>
      </c>
      <c r="J89" s="542" t="s">
        <v>2701</v>
      </c>
      <c r="K89" s="547">
        <v>8400</v>
      </c>
      <c r="L89" s="542" t="s">
        <v>806</v>
      </c>
      <c r="M89" s="548"/>
      <c r="N89" s="549">
        <v>17</v>
      </c>
      <c r="O89" s="544" t="s">
        <v>1674</v>
      </c>
      <c r="P89" s="544" t="s">
        <v>1674</v>
      </c>
      <c r="Q89" s="544" t="s">
        <v>3134</v>
      </c>
      <c r="R89" s="544" t="s">
        <v>2898</v>
      </c>
      <c r="S89" s="544" t="s">
        <v>1674</v>
      </c>
      <c r="T89" s="550">
        <v>19</v>
      </c>
      <c r="U89" s="544" t="s">
        <v>2700</v>
      </c>
      <c r="V89" s="547">
        <v>283</v>
      </c>
      <c r="W89" s="548"/>
      <c r="Y89" s="544" t="s">
        <v>1674</v>
      </c>
      <c r="AA89" s="544" t="s">
        <v>1674</v>
      </c>
      <c r="AE89" s="551"/>
      <c r="AF89" s="544" t="s">
        <v>1674</v>
      </c>
      <c r="AG89" s="544" t="s">
        <v>1674</v>
      </c>
      <c r="AH89" s="544" t="s">
        <v>1674</v>
      </c>
      <c r="AI89" s="544" t="s">
        <v>1674</v>
      </c>
      <c r="AJ89" s="544" t="s">
        <v>1674</v>
      </c>
      <c r="AK89" s="544" t="s">
        <v>1674</v>
      </c>
      <c r="AL89" s="544" t="s">
        <v>1674</v>
      </c>
      <c r="AM89" s="544" t="s">
        <v>1674</v>
      </c>
      <c r="AN89" s="544" t="s">
        <v>1674</v>
      </c>
      <c r="AP89" s="552">
        <f t="shared" si="1"/>
        <v>1989.2</v>
      </c>
    </row>
    <row r="90" spans="1:42" outlineLevel="1" x14ac:dyDescent="0.25">
      <c r="A90" s="544" t="s">
        <v>1674</v>
      </c>
      <c r="B90" s="545">
        <v>11206</v>
      </c>
      <c r="C90" s="544" t="s">
        <v>3132</v>
      </c>
      <c r="D90" s="544" t="s">
        <v>3172</v>
      </c>
      <c r="E90" s="542" t="s">
        <v>3158</v>
      </c>
      <c r="F90" s="542" t="s">
        <v>3159</v>
      </c>
      <c r="G90" s="546">
        <v>1989.2</v>
      </c>
      <c r="H90" s="546"/>
      <c r="I90" s="546">
        <v>1989.2</v>
      </c>
      <c r="J90" s="542" t="s">
        <v>2701</v>
      </c>
      <c r="K90" s="547">
        <v>8400</v>
      </c>
      <c r="L90" s="542" t="s">
        <v>806</v>
      </c>
      <c r="M90" s="548"/>
      <c r="N90" s="549">
        <v>18</v>
      </c>
      <c r="O90" s="544" t="s">
        <v>1674</v>
      </c>
      <c r="P90" s="544" t="s">
        <v>1674</v>
      </c>
      <c r="Q90" s="544" t="s">
        <v>3134</v>
      </c>
      <c r="R90" s="544" t="s">
        <v>2898</v>
      </c>
      <c r="S90" s="544" t="s">
        <v>1674</v>
      </c>
      <c r="T90" s="550">
        <v>19</v>
      </c>
      <c r="U90" s="544" t="s">
        <v>2700</v>
      </c>
      <c r="V90" s="547">
        <v>301</v>
      </c>
      <c r="W90" s="548"/>
      <c r="Y90" s="544" t="s">
        <v>1674</v>
      </c>
      <c r="AA90" s="544" t="s">
        <v>1674</v>
      </c>
      <c r="AE90" s="551"/>
      <c r="AF90" s="544" t="s">
        <v>1674</v>
      </c>
      <c r="AG90" s="544" t="s">
        <v>1674</v>
      </c>
      <c r="AH90" s="544" t="s">
        <v>1674</v>
      </c>
      <c r="AI90" s="544" t="s">
        <v>1674</v>
      </c>
      <c r="AJ90" s="544" t="s">
        <v>1674</v>
      </c>
      <c r="AK90" s="544" t="s">
        <v>1674</v>
      </c>
      <c r="AL90" s="544" t="s">
        <v>1674</v>
      </c>
      <c r="AM90" s="544" t="s">
        <v>3135</v>
      </c>
      <c r="AN90" s="544" t="s">
        <v>1674</v>
      </c>
      <c r="AP90" s="552">
        <f t="shared" si="1"/>
        <v>1989.2</v>
      </c>
    </row>
    <row r="91" spans="1:42" outlineLevel="1" x14ac:dyDescent="0.25">
      <c r="A91" s="544" t="s">
        <v>1674</v>
      </c>
      <c r="B91" s="545">
        <v>0</v>
      </c>
      <c r="C91" s="544" t="s">
        <v>1674</v>
      </c>
      <c r="D91" s="544" t="s">
        <v>3222</v>
      </c>
      <c r="E91" s="542" t="s">
        <v>2920</v>
      </c>
      <c r="F91" s="542" t="s">
        <v>3181</v>
      </c>
      <c r="G91" s="546">
        <v>1989.2</v>
      </c>
      <c r="H91" s="546"/>
      <c r="I91" s="546">
        <v>1989.2</v>
      </c>
      <c r="J91" s="542" t="s">
        <v>2701</v>
      </c>
      <c r="K91" s="547">
        <v>8400</v>
      </c>
      <c r="L91" s="542" t="s">
        <v>806</v>
      </c>
      <c r="M91" s="548"/>
      <c r="N91" s="549">
        <v>19</v>
      </c>
      <c r="O91" s="544" t="s">
        <v>1674</v>
      </c>
      <c r="P91" s="544" t="s">
        <v>1674</v>
      </c>
      <c r="Q91" s="544" t="s">
        <v>3134</v>
      </c>
      <c r="R91" s="544" t="s">
        <v>2898</v>
      </c>
      <c r="S91" s="544" t="s">
        <v>1674</v>
      </c>
      <c r="T91" s="550">
        <v>19</v>
      </c>
      <c r="U91" s="544" t="s">
        <v>2700</v>
      </c>
      <c r="V91" s="547">
        <v>346</v>
      </c>
      <c r="W91" s="548"/>
      <c r="Y91" s="544" t="s">
        <v>1674</v>
      </c>
      <c r="AA91" s="544" t="s">
        <v>1674</v>
      </c>
      <c r="AE91" s="551"/>
      <c r="AF91" s="544" t="s">
        <v>1674</v>
      </c>
      <c r="AG91" s="544" t="s">
        <v>1674</v>
      </c>
      <c r="AH91" s="544" t="s">
        <v>1674</v>
      </c>
      <c r="AI91" s="544" t="s">
        <v>1674</v>
      </c>
      <c r="AJ91" s="544" t="s">
        <v>1674</v>
      </c>
      <c r="AK91" s="544" t="s">
        <v>1674</v>
      </c>
      <c r="AL91" s="544" t="s">
        <v>1674</v>
      </c>
      <c r="AM91" s="544" t="s">
        <v>1674</v>
      </c>
      <c r="AN91" s="544" t="s">
        <v>1674</v>
      </c>
      <c r="AP91" s="552">
        <f t="shared" si="1"/>
        <v>1989.2</v>
      </c>
    </row>
    <row r="92" spans="1:42" outlineLevel="1" x14ac:dyDescent="0.25">
      <c r="A92" s="544" t="s">
        <v>1674</v>
      </c>
      <c r="B92" s="545">
        <v>0</v>
      </c>
      <c r="C92" s="544" t="s">
        <v>1674</v>
      </c>
      <c r="D92" s="544" t="s">
        <v>3223</v>
      </c>
      <c r="E92" s="542" t="s">
        <v>2920</v>
      </c>
      <c r="F92" s="542" t="s">
        <v>3181</v>
      </c>
      <c r="G92" s="546">
        <v>1989.2</v>
      </c>
      <c r="H92" s="546"/>
      <c r="I92" s="546">
        <v>1989.2</v>
      </c>
      <c r="J92" s="542" t="s">
        <v>2701</v>
      </c>
      <c r="K92" s="547">
        <v>8400</v>
      </c>
      <c r="L92" s="542" t="s">
        <v>806</v>
      </c>
      <c r="M92" s="548"/>
      <c r="N92" s="549">
        <v>19</v>
      </c>
      <c r="O92" s="544" t="s">
        <v>1674</v>
      </c>
      <c r="P92" s="544" t="s">
        <v>1674</v>
      </c>
      <c r="Q92" s="544" t="s">
        <v>3134</v>
      </c>
      <c r="R92" s="544" t="s">
        <v>2898</v>
      </c>
      <c r="S92" s="544" t="s">
        <v>1674</v>
      </c>
      <c r="T92" s="550">
        <v>19</v>
      </c>
      <c r="U92" s="544" t="s">
        <v>2700</v>
      </c>
      <c r="V92" s="547">
        <v>347</v>
      </c>
      <c r="W92" s="548"/>
      <c r="Y92" s="544" t="s">
        <v>1674</v>
      </c>
      <c r="AA92" s="544" t="s">
        <v>1674</v>
      </c>
      <c r="AE92" s="551"/>
      <c r="AF92" s="544" t="s">
        <v>1674</v>
      </c>
      <c r="AG92" s="544" t="s">
        <v>1674</v>
      </c>
      <c r="AH92" s="544" t="s">
        <v>1674</v>
      </c>
      <c r="AI92" s="544" t="s">
        <v>1674</v>
      </c>
      <c r="AJ92" s="544" t="s">
        <v>1674</v>
      </c>
      <c r="AK92" s="544" t="s">
        <v>1674</v>
      </c>
      <c r="AL92" s="544" t="s">
        <v>1674</v>
      </c>
      <c r="AM92" s="544" t="s">
        <v>1674</v>
      </c>
      <c r="AN92" s="544" t="s">
        <v>1674</v>
      </c>
      <c r="AP92" s="552">
        <f t="shared" si="1"/>
        <v>1989.2</v>
      </c>
    </row>
    <row r="93" spans="1:42" outlineLevel="1" x14ac:dyDescent="0.25">
      <c r="A93" s="544" t="s">
        <v>1674</v>
      </c>
      <c r="B93" s="545">
        <v>0</v>
      </c>
      <c r="C93" s="544" t="s">
        <v>1674</v>
      </c>
      <c r="D93" s="544" t="s">
        <v>3040</v>
      </c>
      <c r="E93" s="542" t="s">
        <v>3041</v>
      </c>
      <c r="F93" s="542" t="s">
        <v>3042</v>
      </c>
      <c r="G93" s="546">
        <v>1767.51</v>
      </c>
      <c r="H93" s="546"/>
      <c r="I93" s="546">
        <v>1892.1</v>
      </c>
      <c r="J93" s="542" t="s">
        <v>2701</v>
      </c>
      <c r="K93" s="547">
        <v>8401</v>
      </c>
      <c r="L93" s="542" t="s">
        <v>806</v>
      </c>
      <c r="M93" s="548"/>
      <c r="N93" s="549">
        <v>9</v>
      </c>
      <c r="O93" s="544" t="s">
        <v>1674</v>
      </c>
      <c r="P93" s="544" t="s">
        <v>1674</v>
      </c>
      <c r="Q93" s="544" t="s">
        <v>2733</v>
      </c>
      <c r="R93" s="544" t="s">
        <v>1674</v>
      </c>
      <c r="S93" s="544" t="s">
        <v>1674</v>
      </c>
      <c r="T93" s="550">
        <v>19</v>
      </c>
      <c r="U93" s="544" t="s">
        <v>2700</v>
      </c>
      <c r="V93" s="547">
        <v>135</v>
      </c>
      <c r="W93" s="548"/>
      <c r="Y93" s="544" t="s">
        <v>1674</v>
      </c>
      <c r="AA93" s="544" t="s">
        <v>1674</v>
      </c>
      <c r="AE93" s="551"/>
      <c r="AF93" s="544" t="s">
        <v>1674</v>
      </c>
      <c r="AG93" s="544" t="s">
        <v>1674</v>
      </c>
      <c r="AH93" s="544" t="s">
        <v>1674</v>
      </c>
      <c r="AI93" s="544" t="s">
        <v>1674</v>
      </c>
      <c r="AJ93" s="544" t="s">
        <v>1674</v>
      </c>
      <c r="AK93" s="544" t="s">
        <v>1674</v>
      </c>
      <c r="AL93" s="544" t="s">
        <v>1674</v>
      </c>
      <c r="AM93" s="544" t="s">
        <v>1674</v>
      </c>
      <c r="AN93" s="544" t="s">
        <v>1674</v>
      </c>
      <c r="AP93" s="552">
        <f t="shared" si="1"/>
        <v>1892.1</v>
      </c>
    </row>
    <row r="94" spans="1:42" outlineLevel="1" x14ac:dyDescent="0.25">
      <c r="A94" s="544" t="s">
        <v>1674</v>
      </c>
      <c r="B94" s="545">
        <v>0</v>
      </c>
      <c r="C94" s="544" t="s">
        <v>1674</v>
      </c>
      <c r="D94" s="544" t="s">
        <v>3242</v>
      </c>
      <c r="E94" s="542" t="s">
        <v>2920</v>
      </c>
      <c r="F94" s="542" t="s">
        <v>3181</v>
      </c>
      <c r="G94" s="546">
        <v>1783.84</v>
      </c>
      <c r="H94" s="546"/>
      <c r="I94" s="546">
        <v>1783.84</v>
      </c>
      <c r="J94" s="542" t="s">
        <v>2701</v>
      </c>
      <c r="K94" s="547">
        <v>8338</v>
      </c>
      <c r="L94" s="542" t="s">
        <v>806</v>
      </c>
      <c r="M94" s="548"/>
      <c r="N94" s="549">
        <v>19</v>
      </c>
      <c r="O94" s="544" t="s">
        <v>1674</v>
      </c>
      <c r="P94" s="544" t="s">
        <v>1674</v>
      </c>
      <c r="Q94" s="544" t="s">
        <v>3240</v>
      </c>
      <c r="R94" s="544" t="s">
        <v>1674</v>
      </c>
      <c r="S94" s="544" t="s">
        <v>1674</v>
      </c>
      <c r="T94" s="550"/>
      <c r="U94" s="544" t="s">
        <v>2700</v>
      </c>
      <c r="V94" s="547">
        <v>308</v>
      </c>
      <c r="W94" s="548"/>
      <c r="Y94" s="544" t="s">
        <v>1674</v>
      </c>
      <c r="AA94" s="544" t="s">
        <v>1674</v>
      </c>
      <c r="AE94" s="551"/>
      <c r="AF94" s="544" t="s">
        <v>1674</v>
      </c>
      <c r="AG94" s="544" t="s">
        <v>1674</v>
      </c>
      <c r="AH94" s="544" t="s">
        <v>1674</v>
      </c>
      <c r="AI94" s="544" t="s">
        <v>1674</v>
      </c>
      <c r="AJ94" s="544" t="s">
        <v>1674</v>
      </c>
      <c r="AK94" s="544" t="s">
        <v>1674</v>
      </c>
      <c r="AL94" s="544" t="s">
        <v>1674</v>
      </c>
      <c r="AM94" s="544" t="s">
        <v>1674</v>
      </c>
      <c r="AN94" s="544" t="s">
        <v>1674</v>
      </c>
      <c r="AP94" s="552">
        <f t="shared" si="1"/>
        <v>1783.84</v>
      </c>
    </row>
    <row r="95" spans="1:42" outlineLevel="1" x14ac:dyDescent="0.25">
      <c r="A95" s="544" t="s">
        <v>1674</v>
      </c>
      <c r="B95" s="545">
        <v>31501</v>
      </c>
      <c r="C95" s="544" t="s">
        <v>2826</v>
      </c>
      <c r="D95" s="544" t="s">
        <v>3244</v>
      </c>
      <c r="E95" s="542" t="s">
        <v>2920</v>
      </c>
      <c r="F95" s="542" t="s">
        <v>3181</v>
      </c>
      <c r="G95" s="546">
        <v>1572.37</v>
      </c>
      <c r="H95" s="546"/>
      <c r="I95" s="546">
        <v>1572.37</v>
      </c>
      <c r="J95" s="542" t="s">
        <v>2701</v>
      </c>
      <c r="K95" s="547">
        <v>8338</v>
      </c>
      <c r="L95" s="542" t="s">
        <v>806</v>
      </c>
      <c r="M95" s="548"/>
      <c r="N95" s="549">
        <v>19</v>
      </c>
      <c r="O95" s="544" t="s">
        <v>1674</v>
      </c>
      <c r="P95" s="544" t="s">
        <v>1674</v>
      </c>
      <c r="Q95" s="544" t="s">
        <v>2830</v>
      </c>
      <c r="R95" s="544" t="s">
        <v>1674</v>
      </c>
      <c r="S95" s="544" t="s">
        <v>1674</v>
      </c>
      <c r="T95" s="550"/>
      <c r="U95" s="544" t="s">
        <v>2700</v>
      </c>
      <c r="V95" s="547">
        <v>305</v>
      </c>
      <c r="W95" s="548"/>
      <c r="Y95" s="544" t="s">
        <v>1674</v>
      </c>
      <c r="AA95" s="544" t="s">
        <v>1674</v>
      </c>
      <c r="AE95" s="551"/>
      <c r="AF95" s="544" t="s">
        <v>1674</v>
      </c>
      <c r="AG95" s="544" t="s">
        <v>1674</v>
      </c>
      <c r="AH95" s="544" t="s">
        <v>1674</v>
      </c>
      <c r="AI95" s="544" t="s">
        <v>1674</v>
      </c>
      <c r="AJ95" s="544" t="s">
        <v>1674</v>
      </c>
      <c r="AK95" s="544" t="s">
        <v>1674</v>
      </c>
      <c r="AL95" s="544" t="s">
        <v>1674</v>
      </c>
      <c r="AM95" s="544" t="s">
        <v>2831</v>
      </c>
      <c r="AN95" s="544" t="s">
        <v>1674</v>
      </c>
      <c r="AP95" s="552">
        <f t="shared" si="1"/>
        <v>1572.37</v>
      </c>
    </row>
    <row r="96" spans="1:42" outlineLevel="1" x14ac:dyDescent="0.25">
      <c r="A96" s="544" t="s">
        <v>1674</v>
      </c>
      <c r="B96" s="545">
        <v>0</v>
      </c>
      <c r="C96" s="544" t="s">
        <v>1674</v>
      </c>
      <c r="D96" s="544" t="s">
        <v>3018</v>
      </c>
      <c r="E96" s="542" t="s">
        <v>3015</v>
      </c>
      <c r="F96" s="542" t="s">
        <v>3016</v>
      </c>
      <c r="G96" s="546">
        <v>806.82</v>
      </c>
      <c r="H96" s="546"/>
      <c r="I96" s="546">
        <v>1568.42</v>
      </c>
      <c r="J96" s="542" t="s">
        <v>2701</v>
      </c>
      <c r="K96" s="547">
        <v>8400</v>
      </c>
      <c r="L96" s="542" t="s">
        <v>806</v>
      </c>
      <c r="M96" s="548"/>
      <c r="N96" s="549">
        <v>4</v>
      </c>
      <c r="O96" s="544" t="s">
        <v>1674</v>
      </c>
      <c r="P96" s="544" t="s">
        <v>1674</v>
      </c>
      <c r="Q96" s="544" t="s">
        <v>3017</v>
      </c>
      <c r="R96" s="544" t="s">
        <v>1674</v>
      </c>
      <c r="S96" s="544" t="s">
        <v>1674</v>
      </c>
      <c r="T96" s="550">
        <v>19</v>
      </c>
      <c r="U96" s="544" t="s">
        <v>2700</v>
      </c>
      <c r="V96" s="547">
        <v>70</v>
      </c>
      <c r="W96" s="548"/>
      <c r="Y96" s="544" t="s">
        <v>1674</v>
      </c>
      <c r="AA96" s="544" t="s">
        <v>1674</v>
      </c>
      <c r="AE96" s="551"/>
      <c r="AF96" s="544" t="s">
        <v>1674</v>
      </c>
      <c r="AG96" s="544" t="s">
        <v>1674</v>
      </c>
      <c r="AH96" s="544" t="s">
        <v>1674</v>
      </c>
      <c r="AI96" s="544" t="s">
        <v>1674</v>
      </c>
      <c r="AJ96" s="544" t="s">
        <v>1674</v>
      </c>
      <c r="AK96" s="544" t="s">
        <v>1674</v>
      </c>
      <c r="AL96" s="544" t="s">
        <v>1674</v>
      </c>
      <c r="AM96" s="544" t="s">
        <v>1674</v>
      </c>
      <c r="AN96" s="544" t="s">
        <v>1674</v>
      </c>
      <c r="AP96" s="552">
        <f t="shared" si="1"/>
        <v>1568.42</v>
      </c>
    </row>
    <row r="97" spans="1:42" outlineLevel="1" x14ac:dyDescent="0.25">
      <c r="A97" s="544" t="s">
        <v>1674</v>
      </c>
      <c r="B97" s="545">
        <v>30803</v>
      </c>
      <c r="C97" s="544" t="s">
        <v>2925</v>
      </c>
      <c r="D97" s="544" t="s">
        <v>3243</v>
      </c>
      <c r="E97" s="542" t="s">
        <v>2920</v>
      </c>
      <c r="F97" s="542" t="s">
        <v>3181</v>
      </c>
      <c r="G97" s="546">
        <v>1539.86</v>
      </c>
      <c r="H97" s="546"/>
      <c r="I97" s="546">
        <v>1539.86</v>
      </c>
      <c r="J97" s="542" t="s">
        <v>2701</v>
      </c>
      <c r="K97" s="547">
        <v>8400</v>
      </c>
      <c r="L97" s="542" t="s">
        <v>806</v>
      </c>
      <c r="M97" s="548"/>
      <c r="N97" s="549">
        <v>19</v>
      </c>
      <c r="O97" s="544" t="s">
        <v>1674</v>
      </c>
      <c r="P97" s="544" t="s">
        <v>1674</v>
      </c>
      <c r="Q97" s="544" t="s">
        <v>3030</v>
      </c>
      <c r="R97" s="544" t="s">
        <v>1674</v>
      </c>
      <c r="S97" s="544" t="s">
        <v>1674</v>
      </c>
      <c r="T97" s="550">
        <v>19</v>
      </c>
      <c r="U97" s="544" t="s">
        <v>2700</v>
      </c>
      <c r="V97" s="547">
        <v>336</v>
      </c>
      <c r="W97" s="548"/>
      <c r="Y97" s="544" t="s">
        <v>1674</v>
      </c>
      <c r="AA97" s="544" t="s">
        <v>1674</v>
      </c>
      <c r="AE97" s="551"/>
      <c r="AF97" s="544" t="s">
        <v>1674</v>
      </c>
      <c r="AG97" s="544" t="s">
        <v>1674</v>
      </c>
      <c r="AH97" s="544" t="s">
        <v>1674</v>
      </c>
      <c r="AI97" s="544" t="s">
        <v>1674</v>
      </c>
      <c r="AJ97" s="544" t="s">
        <v>1674</v>
      </c>
      <c r="AK97" s="544" t="s">
        <v>1674</v>
      </c>
      <c r="AL97" s="544" t="s">
        <v>1674</v>
      </c>
      <c r="AM97" s="544" t="s">
        <v>2928</v>
      </c>
      <c r="AN97" s="544" t="s">
        <v>1674</v>
      </c>
      <c r="AP97" s="552">
        <f t="shared" si="1"/>
        <v>1539.86</v>
      </c>
    </row>
    <row r="98" spans="1:42" outlineLevel="1" x14ac:dyDescent="0.25">
      <c r="A98" s="544" t="s">
        <v>1674</v>
      </c>
      <c r="B98" s="545">
        <v>10208</v>
      </c>
      <c r="C98" s="544" t="s">
        <v>2989</v>
      </c>
      <c r="D98" s="544" t="s">
        <v>3192</v>
      </c>
      <c r="E98" s="542" t="s">
        <v>2920</v>
      </c>
      <c r="F98" s="542" t="s">
        <v>3181</v>
      </c>
      <c r="G98" s="546">
        <v>1515.82</v>
      </c>
      <c r="H98" s="546"/>
      <c r="I98" s="546">
        <v>1515.82</v>
      </c>
      <c r="J98" s="542" t="s">
        <v>2701</v>
      </c>
      <c r="K98" s="547">
        <v>8400</v>
      </c>
      <c r="L98" s="542" t="s">
        <v>806</v>
      </c>
      <c r="M98" s="548"/>
      <c r="N98" s="549">
        <v>19</v>
      </c>
      <c r="O98" s="544" t="s">
        <v>1674</v>
      </c>
      <c r="P98" s="544" t="s">
        <v>1674</v>
      </c>
      <c r="Q98" s="544" t="s">
        <v>2992</v>
      </c>
      <c r="R98" s="544" t="s">
        <v>1674</v>
      </c>
      <c r="S98" s="544" t="s">
        <v>1674</v>
      </c>
      <c r="T98" s="550">
        <v>19</v>
      </c>
      <c r="U98" s="544" t="s">
        <v>2700</v>
      </c>
      <c r="V98" s="547">
        <v>330</v>
      </c>
      <c r="W98" s="548"/>
      <c r="Y98" s="544" t="s">
        <v>1674</v>
      </c>
      <c r="AA98" s="544" t="s">
        <v>1674</v>
      </c>
      <c r="AE98" s="551"/>
      <c r="AF98" s="544" t="s">
        <v>2993</v>
      </c>
      <c r="AG98" s="544" t="s">
        <v>2994</v>
      </c>
      <c r="AH98" s="544" t="s">
        <v>2995</v>
      </c>
      <c r="AI98" s="544" t="s">
        <v>1674</v>
      </c>
      <c r="AJ98" s="544" t="s">
        <v>2996</v>
      </c>
      <c r="AK98" s="544" t="s">
        <v>1674</v>
      </c>
      <c r="AL98" s="544" t="s">
        <v>1674</v>
      </c>
      <c r="AM98" s="544" t="s">
        <v>2997</v>
      </c>
      <c r="AN98" s="544" t="s">
        <v>2998</v>
      </c>
      <c r="AP98" s="552">
        <f t="shared" si="1"/>
        <v>1515.82</v>
      </c>
    </row>
    <row r="99" spans="1:42" outlineLevel="1" x14ac:dyDescent="0.25">
      <c r="A99" s="544" t="s">
        <v>1674</v>
      </c>
      <c r="B99" s="545">
        <v>20206</v>
      </c>
      <c r="C99" s="544" t="s">
        <v>2793</v>
      </c>
      <c r="D99" s="544" t="s">
        <v>3177</v>
      </c>
      <c r="E99" s="542" t="s">
        <v>3158</v>
      </c>
      <c r="F99" s="542" t="s">
        <v>3159</v>
      </c>
      <c r="G99" s="546">
        <v>1340</v>
      </c>
      <c r="H99" s="546"/>
      <c r="I99" s="546">
        <v>1340</v>
      </c>
      <c r="J99" s="542" t="s">
        <v>2701</v>
      </c>
      <c r="K99" s="547">
        <v>8336</v>
      </c>
      <c r="L99" s="542" t="s">
        <v>806</v>
      </c>
      <c r="M99" s="548"/>
      <c r="N99" s="549">
        <v>18</v>
      </c>
      <c r="O99" s="544" t="s">
        <v>1674</v>
      </c>
      <c r="P99" s="544" t="s">
        <v>1674</v>
      </c>
      <c r="Q99" s="544" t="s">
        <v>2796</v>
      </c>
      <c r="R99" s="544" t="s">
        <v>1674</v>
      </c>
      <c r="S99" s="544" t="s">
        <v>1674</v>
      </c>
      <c r="T99" s="550"/>
      <c r="U99" s="544" t="s">
        <v>2700</v>
      </c>
      <c r="V99" s="547">
        <v>303</v>
      </c>
      <c r="W99" s="548"/>
      <c r="Y99" s="544" t="s">
        <v>1674</v>
      </c>
      <c r="AA99" s="544" t="s">
        <v>1674</v>
      </c>
      <c r="AE99" s="551"/>
      <c r="AF99" s="544" t="s">
        <v>1674</v>
      </c>
      <c r="AG99" s="544" t="s">
        <v>1674</v>
      </c>
      <c r="AH99" s="544" t="s">
        <v>1674</v>
      </c>
      <c r="AI99" s="544" t="s">
        <v>1674</v>
      </c>
      <c r="AJ99" s="544" t="s">
        <v>1674</v>
      </c>
      <c r="AK99" s="544" t="s">
        <v>1674</v>
      </c>
      <c r="AL99" s="544" t="s">
        <v>1674</v>
      </c>
      <c r="AM99" s="544" t="s">
        <v>2798</v>
      </c>
      <c r="AN99" s="544" t="s">
        <v>1674</v>
      </c>
      <c r="AP99" s="552">
        <f t="shared" si="1"/>
        <v>1340</v>
      </c>
    </row>
    <row r="100" spans="1:42" outlineLevel="1" x14ac:dyDescent="0.25">
      <c r="A100" s="544" t="s">
        <v>1674</v>
      </c>
      <c r="B100" s="545">
        <v>10241</v>
      </c>
      <c r="C100" s="544" t="s">
        <v>3202</v>
      </c>
      <c r="D100" s="544" t="s">
        <v>3203</v>
      </c>
      <c r="E100" s="542" t="s">
        <v>2920</v>
      </c>
      <c r="F100" s="542" t="s">
        <v>3181</v>
      </c>
      <c r="G100" s="546">
        <v>1304.6199999999999</v>
      </c>
      <c r="H100" s="546"/>
      <c r="I100" s="546">
        <v>1304.6199999999999</v>
      </c>
      <c r="J100" s="542" t="s">
        <v>2701</v>
      </c>
      <c r="K100" s="547">
        <v>8401</v>
      </c>
      <c r="L100" s="542" t="s">
        <v>806</v>
      </c>
      <c r="M100" s="548"/>
      <c r="N100" s="549">
        <v>19</v>
      </c>
      <c r="O100" s="544" t="s">
        <v>1674</v>
      </c>
      <c r="P100" s="544" t="s">
        <v>1674</v>
      </c>
      <c r="Q100" s="544" t="s">
        <v>3204</v>
      </c>
      <c r="R100" s="544" t="s">
        <v>3205</v>
      </c>
      <c r="S100" s="544" t="s">
        <v>1674</v>
      </c>
      <c r="T100" s="550">
        <v>19</v>
      </c>
      <c r="U100" s="544" t="s">
        <v>2700</v>
      </c>
      <c r="V100" s="547">
        <v>311</v>
      </c>
      <c r="W100" s="548"/>
      <c r="Y100" s="544" t="s">
        <v>1674</v>
      </c>
      <c r="AA100" s="544" t="s">
        <v>1674</v>
      </c>
      <c r="AE100" s="551"/>
      <c r="AF100" s="544" t="s">
        <v>1674</v>
      </c>
      <c r="AG100" s="544" t="s">
        <v>1674</v>
      </c>
      <c r="AH100" s="544" t="s">
        <v>1674</v>
      </c>
      <c r="AI100" s="544" t="s">
        <v>1674</v>
      </c>
      <c r="AJ100" s="544" t="s">
        <v>1674</v>
      </c>
      <c r="AK100" s="544" t="s">
        <v>1674</v>
      </c>
      <c r="AL100" s="544" t="s">
        <v>1674</v>
      </c>
      <c r="AM100" s="544" t="s">
        <v>3206</v>
      </c>
      <c r="AN100" s="544" t="s">
        <v>1674</v>
      </c>
      <c r="AP100" s="552">
        <f t="shared" si="1"/>
        <v>1304.6199999999999</v>
      </c>
    </row>
    <row r="101" spans="1:42" outlineLevel="1" x14ac:dyDescent="0.25">
      <c r="A101" s="544" t="s">
        <v>1674</v>
      </c>
      <c r="B101" s="545">
        <v>0</v>
      </c>
      <c r="C101" s="544" t="s">
        <v>1674</v>
      </c>
      <c r="D101" s="544" t="s">
        <v>3207</v>
      </c>
      <c r="E101" s="542" t="s">
        <v>2920</v>
      </c>
      <c r="F101" s="542" t="s">
        <v>3181</v>
      </c>
      <c r="G101" s="546">
        <v>1304.6199999999999</v>
      </c>
      <c r="H101" s="546"/>
      <c r="I101" s="546">
        <v>1304.6199999999999</v>
      </c>
      <c r="J101" s="542" t="s">
        <v>2701</v>
      </c>
      <c r="K101" s="547">
        <v>8401</v>
      </c>
      <c r="L101" s="542" t="s">
        <v>806</v>
      </c>
      <c r="M101" s="548"/>
      <c r="N101" s="549">
        <v>19</v>
      </c>
      <c r="O101" s="544" t="s">
        <v>1674</v>
      </c>
      <c r="P101" s="544" t="s">
        <v>1674</v>
      </c>
      <c r="Q101" s="544" t="s">
        <v>3204</v>
      </c>
      <c r="R101" s="544" t="s">
        <v>3205</v>
      </c>
      <c r="S101" s="544" t="s">
        <v>1674</v>
      </c>
      <c r="T101" s="550">
        <v>19</v>
      </c>
      <c r="U101" s="544" t="s">
        <v>2700</v>
      </c>
      <c r="V101" s="547">
        <v>312</v>
      </c>
      <c r="W101" s="548"/>
      <c r="Y101" s="544" t="s">
        <v>1674</v>
      </c>
      <c r="AA101" s="544" t="s">
        <v>1674</v>
      </c>
      <c r="AE101" s="551"/>
      <c r="AF101" s="544" t="s">
        <v>1674</v>
      </c>
      <c r="AG101" s="544" t="s">
        <v>1674</v>
      </c>
      <c r="AH101" s="544" t="s">
        <v>1674</v>
      </c>
      <c r="AI101" s="544" t="s">
        <v>1674</v>
      </c>
      <c r="AJ101" s="544" t="s">
        <v>1674</v>
      </c>
      <c r="AK101" s="544" t="s">
        <v>1674</v>
      </c>
      <c r="AL101" s="544" t="s">
        <v>1674</v>
      </c>
      <c r="AM101" s="544" t="s">
        <v>1674</v>
      </c>
      <c r="AN101" s="544" t="s">
        <v>1674</v>
      </c>
      <c r="AP101" s="552">
        <f t="shared" si="1"/>
        <v>1304.6199999999999</v>
      </c>
    </row>
    <row r="102" spans="1:42" outlineLevel="1" x14ac:dyDescent="0.25">
      <c r="A102" s="544" t="s">
        <v>1674</v>
      </c>
      <c r="B102" s="545">
        <v>10200</v>
      </c>
      <c r="C102" s="544" t="s">
        <v>2774</v>
      </c>
      <c r="D102" s="544" t="s">
        <v>3021</v>
      </c>
      <c r="E102" s="542" t="s">
        <v>3022</v>
      </c>
      <c r="F102" s="542" t="s">
        <v>2963</v>
      </c>
      <c r="G102" s="546">
        <v>1290.76</v>
      </c>
      <c r="H102" s="546"/>
      <c r="I102" s="546">
        <v>1290.76</v>
      </c>
      <c r="J102" s="542" t="s">
        <v>2701</v>
      </c>
      <c r="K102" s="547">
        <v>8402</v>
      </c>
      <c r="L102" s="542" t="s">
        <v>806</v>
      </c>
      <c r="M102" s="548"/>
      <c r="N102" s="549">
        <v>5</v>
      </c>
      <c r="O102" s="544" t="s">
        <v>1674</v>
      </c>
      <c r="P102" s="544" t="s">
        <v>1674</v>
      </c>
      <c r="Q102" s="544" t="s">
        <v>3023</v>
      </c>
      <c r="R102" s="544" t="s">
        <v>1674</v>
      </c>
      <c r="S102" s="544" t="s">
        <v>1674</v>
      </c>
      <c r="T102" s="550">
        <v>19</v>
      </c>
      <c r="U102" s="544" t="s">
        <v>2700</v>
      </c>
      <c r="V102" s="547">
        <v>101</v>
      </c>
      <c r="W102" s="548"/>
      <c r="Y102" s="544" t="s">
        <v>1674</v>
      </c>
      <c r="AA102" s="544" t="s">
        <v>1674</v>
      </c>
      <c r="AE102" s="551"/>
      <c r="AF102" s="544" t="s">
        <v>1674</v>
      </c>
      <c r="AG102" s="544" t="s">
        <v>1674</v>
      </c>
      <c r="AH102" s="544" t="s">
        <v>1674</v>
      </c>
      <c r="AI102" s="544" t="s">
        <v>1674</v>
      </c>
      <c r="AJ102" s="544" t="s">
        <v>1674</v>
      </c>
      <c r="AK102" s="544" t="s">
        <v>1674</v>
      </c>
      <c r="AL102" s="544" t="s">
        <v>1674</v>
      </c>
      <c r="AM102" s="544" t="s">
        <v>2774</v>
      </c>
      <c r="AN102" s="544" t="s">
        <v>1674</v>
      </c>
      <c r="AP102" s="552">
        <f t="shared" si="1"/>
        <v>1290.76</v>
      </c>
    </row>
    <row r="103" spans="1:42" outlineLevel="1" x14ac:dyDescent="0.25">
      <c r="A103" s="544" t="s">
        <v>1674</v>
      </c>
      <c r="B103" s="545">
        <v>10510</v>
      </c>
      <c r="C103" s="544" t="s">
        <v>3106</v>
      </c>
      <c r="D103" s="544" t="s">
        <v>3163</v>
      </c>
      <c r="E103" s="542" t="s">
        <v>3158</v>
      </c>
      <c r="F103" s="542" t="s">
        <v>3159</v>
      </c>
      <c r="G103" s="546">
        <v>1234.92</v>
      </c>
      <c r="H103" s="546"/>
      <c r="I103" s="546">
        <v>1234.92</v>
      </c>
      <c r="J103" s="542" t="s">
        <v>2701</v>
      </c>
      <c r="K103" s="547">
        <v>8400</v>
      </c>
      <c r="L103" s="542" t="s">
        <v>806</v>
      </c>
      <c r="M103" s="548"/>
      <c r="N103" s="549">
        <v>18</v>
      </c>
      <c r="O103" s="544" t="s">
        <v>1674</v>
      </c>
      <c r="P103" s="544" t="s">
        <v>1674</v>
      </c>
      <c r="Q103" s="544" t="s">
        <v>3108</v>
      </c>
      <c r="R103" s="544" t="s">
        <v>1674</v>
      </c>
      <c r="S103" s="544" t="s">
        <v>1674</v>
      </c>
      <c r="T103" s="550">
        <v>19</v>
      </c>
      <c r="U103" s="544" t="s">
        <v>2700</v>
      </c>
      <c r="V103" s="547">
        <v>291</v>
      </c>
      <c r="W103" s="548"/>
      <c r="Y103" s="544" t="s">
        <v>1674</v>
      </c>
      <c r="AA103" s="544" t="s">
        <v>1674</v>
      </c>
      <c r="AE103" s="551"/>
      <c r="AF103" s="544" t="s">
        <v>1674</v>
      </c>
      <c r="AG103" s="544" t="s">
        <v>1674</v>
      </c>
      <c r="AH103" s="544" t="s">
        <v>1674</v>
      </c>
      <c r="AI103" s="544" t="s">
        <v>1674</v>
      </c>
      <c r="AJ103" s="544" t="s">
        <v>1674</v>
      </c>
      <c r="AK103" s="544" t="s">
        <v>1674</v>
      </c>
      <c r="AL103" s="544" t="s">
        <v>1674</v>
      </c>
      <c r="AM103" s="544" t="s">
        <v>3109</v>
      </c>
      <c r="AN103" s="544" t="s">
        <v>1674</v>
      </c>
      <c r="AP103" s="552">
        <f t="shared" si="1"/>
        <v>1234.92</v>
      </c>
    </row>
    <row r="104" spans="1:42" outlineLevel="1" x14ac:dyDescent="0.25">
      <c r="A104" s="544" t="s">
        <v>1674</v>
      </c>
      <c r="B104" s="545">
        <v>0</v>
      </c>
      <c r="C104" s="544" t="s">
        <v>1674</v>
      </c>
      <c r="D104" s="544" t="s">
        <v>3081</v>
      </c>
      <c r="E104" s="542" t="s">
        <v>3078</v>
      </c>
      <c r="F104" s="542" t="s">
        <v>3079</v>
      </c>
      <c r="G104" s="546">
        <v>380.8</v>
      </c>
      <c r="H104" s="546"/>
      <c r="I104" s="546">
        <v>1184.76</v>
      </c>
      <c r="J104" s="542" t="s">
        <v>2701</v>
      </c>
      <c r="K104" s="547">
        <v>8400</v>
      </c>
      <c r="L104" s="542" t="s">
        <v>806</v>
      </c>
      <c r="M104" s="548"/>
      <c r="N104" s="549">
        <v>15</v>
      </c>
      <c r="O104" s="544" t="s">
        <v>1674</v>
      </c>
      <c r="P104" s="544" t="s">
        <v>1674</v>
      </c>
      <c r="Q104" s="544" t="s">
        <v>3017</v>
      </c>
      <c r="R104" s="544" t="s">
        <v>2622</v>
      </c>
      <c r="S104" s="544" t="s">
        <v>1674</v>
      </c>
      <c r="T104" s="550">
        <v>19</v>
      </c>
      <c r="U104" s="544" t="s">
        <v>2700</v>
      </c>
      <c r="V104" s="547">
        <v>216</v>
      </c>
      <c r="W104" s="548"/>
      <c r="Y104" s="544" t="s">
        <v>1674</v>
      </c>
      <c r="AA104" s="544" t="s">
        <v>1674</v>
      </c>
      <c r="AE104" s="551"/>
      <c r="AF104" s="544" t="s">
        <v>1674</v>
      </c>
      <c r="AG104" s="544" t="s">
        <v>1674</v>
      </c>
      <c r="AH104" s="544" t="s">
        <v>1674</v>
      </c>
      <c r="AI104" s="544" t="s">
        <v>1674</v>
      </c>
      <c r="AJ104" s="544" t="s">
        <v>1674</v>
      </c>
      <c r="AK104" s="544" t="s">
        <v>1674</v>
      </c>
      <c r="AL104" s="544" t="s">
        <v>1674</v>
      </c>
      <c r="AM104" s="544" t="s">
        <v>1674</v>
      </c>
      <c r="AN104" s="544" t="s">
        <v>1674</v>
      </c>
      <c r="AP104" s="552">
        <f t="shared" si="1"/>
        <v>1184.76</v>
      </c>
    </row>
    <row r="105" spans="1:42" outlineLevel="1" x14ac:dyDescent="0.25">
      <c r="A105" s="544" t="s">
        <v>1674</v>
      </c>
      <c r="B105" s="545">
        <v>0</v>
      </c>
      <c r="C105" s="544" t="s">
        <v>1674</v>
      </c>
      <c r="D105" s="544" t="s">
        <v>2931</v>
      </c>
      <c r="E105" s="542" t="s">
        <v>2844</v>
      </c>
      <c r="F105" s="542" t="s">
        <v>2930</v>
      </c>
      <c r="G105" s="546">
        <v>685.44</v>
      </c>
      <c r="H105" s="546"/>
      <c r="I105" s="546">
        <v>1142.4000000000001</v>
      </c>
      <c r="J105" s="542" t="s">
        <v>2701</v>
      </c>
      <c r="K105" s="547">
        <v>8400</v>
      </c>
      <c r="L105" s="542" t="s">
        <v>806</v>
      </c>
      <c r="M105" s="548"/>
      <c r="N105" s="549">
        <v>-10</v>
      </c>
      <c r="O105" s="544" t="s">
        <v>1674</v>
      </c>
      <c r="P105" s="544" t="s">
        <v>1674</v>
      </c>
      <c r="Q105" s="544" t="s">
        <v>2818</v>
      </c>
      <c r="R105" s="544" t="s">
        <v>1674</v>
      </c>
      <c r="S105" s="544" t="s">
        <v>1674</v>
      </c>
      <c r="T105" s="550">
        <v>19</v>
      </c>
      <c r="U105" s="544" t="s">
        <v>2697</v>
      </c>
      <c r="V105" s="547">
        <v>1244</v>
      </c>
      <c r="W105" s="548"/>
      <c r="Y105" s="544" t="s">
        <v>1674</v>
      </c>
      <c r="AA105" s="544" t="s">
        <v>1674</v>
      </c>
      <c r="AE105" s="551"/>
      <c r="AF105" s="544" t="s">
        <v>1674</v>
      </c>
      <c r="AG105" s="544" t="s">
        <v>1674</v>
      </c>
      <c r="AH105" s="544" t="s">
        <v>1674</v>
      </c>
      <c r="AI105" s="544" t="s">
        <v>1674</v>
      </c>
      <c r="AJ105" s="544" t="s">
        <v>1674</v>
      </c>
      <c r="AK105" s="544" t="s">
        <v>1674</v>
      </c>
      <c r="AL105" s="544" t="s">
        <v>1674</v>
      </c>
      <c r="AM105" s="544" t="s">
        <v>1674</v>
      </c>
      <c r="AN105" s="544" t="s">
        <v>1674</v>
      </c>
      <c r="AP105" s="552">
        <f t="shared" si="1"/>
        <v>1142.4000000000001</v>
      </c>
    </row>
    <row r="106" spans="1:42" outlineLevel="1" x14ac:dyDescent="0.25">
      <c r="A106" s="544" t="s">
        <v>1674</v>
      </c>
      <c r="B106" s="545">
        <v>0</v>
      </c>
      <c r="C106" s="544" t="s">
        <v>1674</v>
      </c>
      <c r="D106" s="544" t="s">
        <v>3006</v>
      </c>
      <c r="E106" s="542" t="s">
        <v>2851</v>
      </c>
      <c r="F106" s="542" t="s">
        <v>3002</v>
      </c>
      <c r="G106" s="546">
        <v>685.44</v>
      </c>
      <c r="H106" s="546"/>
      <c r="I106" s="546">
        <v>1142.4000000000001</v>
      </c>
      <c r="J106" s="542" t="s">
        <v>2701</v>
      </c>
      <c r="K106" s="547">
        <v>8400</v>
      </c>
      <c r="L106" s="542" t="s">
        <v>806</v>
      </c>
      <c r="M106" s="548"/>
      <c r="N106" s="549">
        <v>3</v>
      </c>
      <c r="O106" s="544" t="s">
        <v>1674</v>
      </c>
      <c r="P106" s="544" t="s">
        <v>1674</v>
      </c>
      <c r="Q106" s="544" t="s">
        <v>2818</v>
      </c>
      <c r="R106" s="544" t="s">
        <v>1674</v>
      </c>
      <c r="S106" s="544" t="s">
        <v>1674</v>
      </c>
      <c r="T106" s="550">
        <v>19</v>
      </c>
      <c r="U106" s="544" t="s">
        <v>2700</v>
      </c>
      <c r="V106" s="547">
        <v>38</v>
      </c>
      <c r="W106" s="548"/>
      <c r="Y106" s="544" t="s">
        <v>1674</v>
      </c>
      <c r="AA106" s="544" t="s">
        <v>1674</v>
      </c>
      <c r="AE106" s="551"/>
      <c r="AF106" s="544" t="s">
        <v>1674</v>
      </c>
      <c r="AG106" s="544" t="s">
        <v>1674</v>
      </c>
      <c r="AH106" s="544" t="s">
        <v>1674</v>
      </c>
      <c r="AI106" s="544" t="s">
        <v>1674</v>
      </c>
      <c r="AJ106" s="544" t="s">
        <v>1674</v>
      </c>
      <c r="AK106" s="544" t="s">
        <v>1674</v>
      </c>
      <c r="AL106" s="544" t="s">
        <v>1674</v>
      </c>
      <c r="AM106" s="544" t="s">
        <v>1674</v>
      </c>
      <c r="AN106" s="544" t="s">
        <v>1674</v>
      </c>
      <c r="AP106" s="552">
        <f t="shared" si="1"/>
        <v>1142.4000000000001</v>
      </c>
    </row>
    <row r="107" spans="1:42" outlineLevel="1" x14ac:dyDescent="0.25">
      <c r="A107" s="544" t="s">
        <v>1674</v>
      </c>
      <c r="B107" s="545">
        <v>0</v>
      </c>
      <c r="C107" s="544" t="s">
        <v>1674</v>
      </c>
      <c r="D107" s="544" t="s">
        <v>3231</v>
      </c>
      <c r="E107" s="542" t="s">
        <v>2920</v>
      </c>
      <c r="F107" s="542" t="s">
        <v>3181</v>
      </c>
      <c r="G107" s="546">
        <v>685.44</v>
      </c>
      <c r="H107" s="546"/>
      <c r="I107" s="546">
        <v>1142.4000000000001</v>
      </c>
      <c r="J107" s="542" t="s">
        <v>2701</v>
      </c>
      <c r="K107" s="547">
        <v>8400</v>
      </c>
      <c r="L107" s="542" t="s">
        <v>806</v>
      </c>
      <c r="M107" s="548"/>
      <c r="N107" s="549">
        <v>19</v>
      </c>
      <c r="O107" s="544" t="s">
        <v>1674</v>
      </c>
      <c r="P107" s="544" t="s">
        <v>1674</v>
      </c>
      <c r="Q107" s="544" t="s">
        <v>2818</v>
      </c>
      <c r="R107" s="544" t="s">
        <v>1674</v>
      </c>
      <c r="S107" s="544" t="s">
        <v>1674</v>
      </c>
      <c r="T107" s="550">
        <v>19</v>
      </c>
      <c r="U107" s="544" t="s">
        <v>2700</v>
      </c>
      <c r="V107" s="547">
        <v>314</v>
      </c>
      <c r="W107" s="548"/>
      <c r="Y107" s="544" t="s">
        <v>1674</v>
      </c>
      <c r="AA107" s="544" t="s">
        <v>1674</v>
      </c>
      <c r="AE107" s="551"/>
      <c r="AF107" s="544" t="s">
        <v>1674</v>
      </c>
      <c r="AG107" s="544" t="s">
        <v>1674</v>
      </c>
      <c r="AH107" s="544" t="s">
        <v>1674</v>
      </c>
      <c r="AI107" s="544" t="s">
        <v>1674</v>
      </c>
      <c r="AJ107" s="544" t="s">
        <v>1674</v>
      </c>
      <c r="AK107" s="544" t="s">
        <v>1674</v>
      </c>
      <c r="AL107" s="544" t="s">
        <v>1674</v>
      </c>
      <c r="AM107" s="544" t="s">
        <v>1674</v>
      </c>
      <c r="AN107" s="544" t="s">
        <v>1674</v>
      </c>
      <c r="AP107" s="552">
        <f t="shared" si="1"/>
        <v>1142.4000000000001</v>
      </c>
    </row>
    <row r="108" spans="1:42" outlineLevel="1" x14ac:dyDescent="0.25">
      <c r="A108" s="544" t="s">
        <v>1674</v>
      </c>
      <c r="B108" s="545">
        <v>11203</v>
      </c>
      <c r="C108" s="544" t="s">
        <v>2841</v>
      </c>
      <c r="D108" s="544" t="s">
        <v>2842</v>
      </c>
      <c r="E108" s="542" t="s">
        <v>2843</v>
      </c>
      <c r="F108" s="542" t="s">
        <v>2844</v>
      </c>
      <c r="G108" s="546">
        <v>1128.1199999999999</v>
      </c>
      <c r="H108" s="546"/>
      <c r="I108" s="546">
        <v>1128.1199999999999</v>
      </c>
      <c r="J108" s="542" t="s">
        <v>2701</v>
      </c>
      <c r="K108" s="547">
        <v>8400</v>
      </c>
      <c r="L108" s="542" t="s">
        <v>806</v>
      </c>
      <c r="M108" s="548"/>
      <c r="N108" s="549">
        <v>-40</v>
      </c>
      <c r="O108" s="544" t="s">
        <v>1674</v>
      </c>
      <c r="P108" s="544" t="s">
        <v>1674</v>
      </c>
      <c r="Q108" s="544" t="s">
        <v>2845</v>
      </c>
      <c r="R108" s="544" t="s">
        <v>1674</v>
      </c>
      <c r="S108" s="544" t="s">
        <v>1674</v>
      </c>
      <c r="T108" s="550">
        <v>19</v>
      </c>
      <c r="U108" s="544" t="s">
        <v>2694</v>
      </c>
      <c r="V108" s="547">
        <v>343</v>
      </c>
      <c r="W108" s="548"/>
      <c r="Y108" s="544" t="s">
        <v>1674</v>
      </c>
      <c r="AA108" s="544" t="s">
        <v>1674</v>
      </c>
      <c r="AE108" s="551"/>
      <c r="AF108" s="544" t="s">
        <v>1674</v>
      </c>
      <c r="AG108" s="544" t="s">
        <v>1674</v>
      </c>
      <c r="AH108" s="544" t="s">
        <v>1674</v>
      </c>
      <c r="AI108" s="544" t="s">
        <v>1674</v>
      </c>
      <c r="AJ108" s="544" t="s">
        <v>1674</v>
      </c>
      <c r="AK108" s="544" t="s">
        <v>1674</v>
      </c>
      <c r="AL108" s="544" t="s">
        <v>1674</v>
      </c>
      <c r="AM108" s="544" t="s">
        <v>2846</v>
      </c>
      <c r="AN108" s="544" t="s">
        <v>1674</v>
      </c>
      <c r="AP108" s="552">
        <f t="shared" si="1"/>
        <v>1128.1199999999999</v>
      </c>
    </row>
    <row r="109" spans="1:42" outlineLevel="1" x14ac:dyDescent="0.25">
      <c r="A109" s="544" t="s">
        <v>1674</v>
      </c>
      <c r="B109" s="545">
        <v>0</v>
      </c>
      <c r="C109" s="544" t="s">
        <v>1674</v>
      </c>
      <c r="D109" s="544" t="s">
        <v>3227</v>
      </c>
      <c r="E109" s="542" t="s">
        <v>2920</v>
      </c>
      <c r="F109" s="542" t="s">
        <v>3181</v>
      </c>
      <c r="G109" s="546">
        <v>1072.19</v>
      </c>
      <c r="H109" s="546"/>
      <c r="I109" s="546">
        <v>1072.19</v>
      </c>
      <c r="J109" s="542" t="s">
        <v>2701</v>
      </c>
      <c r="K109" s="547">
        <v>8402</v>
      </c>
      <c r="L109" s="542" t="s">
        <v>806</v>
      </c>
      <c r="M109" s="548"/>
      <c r="N109" s="549">
        <v>19</v>
      </c>
      <c r="O109" s="544" t="s">
        <v>1674</v>
      </c>
      <c r="P109" s="544" t="s">
        <v>1674</v>
      </c>
      <c r="Q109" s="544" t="s">
        <v>3225</v>
      </c>
      <c r="R109" s="544" t="s">
        <v>1674</v>
      </c>
      <c r="S109" s="544" t="s">
        <v>1674</v>
      </c>
      <c r="T109" s="550">
        <v>19</v>
      </c>
      <c r="U109" s="544" t="s">
        <v>2700</v>
      </c>
      <c r="V109" s="547">
        <v>350</v>
      </c>
      <c r="W109" s="548"/>
      <c r="Y109" s="544" t="s">
        <v>1674</v>
      </c>
      <c r="AA109" s="544" t="s">
        <v>1674</v>
      </c>
      <c r="AE109" s="551"/>
      <c r="AF109" s="544" t="s">
        <v>1674</v>
      </c>
      <c r="AG109" s="544" t="s">
        <v>1674</v>
      </c>
      <c r="AH109" s="544" t="s">
        <v>1674</v>
      </c>
      <c r="AI109" s="544" t="s">
        <v>1674</v>
      </c>
      <c r="AJ109" s="544" t="s">
        <v>1674</v>
      </c>
      <c r="AK109" s="544" t="s">
        <v>1674</v>
      </c>
      <c r="AL109" s="544" t="s">
        <v>1674</v>
      </c>
      <c r="AM109" s="544" t="s">
        <v>1674</v>
      </c>
      <c r="AN109" s="544" t="s">
        <v>1674</v>
      </c>
      <c r="AP109" s="552">
        <f t="shared" si="1"/>
        <v>1072.19</v>
      </c>
    </row>
    <row r="110" spans="1:42" outlineLevel="1" x14ac:dyDescent="0.25">
      <c r="A110" s="544" t="s">
        <v>1674</v>
      </c>
      <c r="B110" s="545">
        <v>10606</v>
      </c>
      <c r="C110" s="544" t="s">
        <v>3082</v>
      </c>
      <c r="D110" s="544" t="s">
        <v>3083</v>
      </c>
      <c r="E110" s="542" t="s">
        <v>3078</v>
      </c>
      <c r="F110" s="542" t="s">
        <v>3079</v>
      </c>
      <c r="G110" s="546">
        <v>1035.3</v>
      </c>
      <c r="H110" s="546"/>
      <c r="I110" s="546">
        <v>1035.3</v>
      </c>
      <c r="J110" s="542" t="s">
        <v>2701</v>
      </c>
      <c r="K110" s="547">
        <v>8400</v>
      </c>
      <c r="L110" s="542" t="s">
        <v>806</v>
      </c>
      <c r="M110" s="548"/>
      <c r="N110" s="549">
        <v>15</v>
      </c>
      <c r="O110" s="544" t="s">
        <v>1674</v>
      </c>
      <c r="P110" s="544" t="s">
        <v>1674</v>
      </c>
      <c r="Q110" s="544" t="s">
        <v>3084</v>
      </c>
      <c r="R110" s="544" t="s">
        <v>1674</v>
      </c>
      <c r="S110" s="544" t="s">
        <v>1674</v>
      </c>
      <c r="T110" s="550">
        <v>19</v>
      </c>
      <c r="U110" s="544" t="s">
        <v>2700</v>
      </c>
      <c r="V110" s="547">
        <v>218</v>
      </c>
      <c r="W110" s="548"/>
      <c r="Y110" s="544" t="s">
        <v>1674</v>
      </c>
      <c r="AA110" s="544" t="s">
        <v>1674</v>
      </c>
      <c r="AE110" s="551"/>
      <c r="AF110" s="544" t="s">
        <v>1674</v>
      </c>
      <c r="AG110" s="544" t="s">
        <v>1674</v>
      </c>
      <c r="AH110" s="544" t="s">
        <v>1674</v>
      </c>
      <c r="AI110" s="544" t="s">
        <v>1674</v>
      </c>
      <c r="AJ110" s="544" t="s">
        <v>1674</v>
      </c>
      <c r="AK110" s="544" t="s">
        <v>1674</v>
      </c>
      <c r="AL110" s="544" t="s">
        <v>1674</v>
      </c>
      <c r="AM110" s="544" t="s">
        <v>3085</v>
      </c>
      <c r="AN110" s="544" t="s">
        <v>1674</v>
      </c>
      <c r="AP110" s="552">
        <f t="shared" si="1"/>
        <v>1035.3</v>
      </c>
    </row>
    <row r="111" spans="1:42" outlineLevel="1" x14ac:dyDescent="0.25">
      <c r="A111" s="544" t="s">
        <v>1674</v>
      </c>
      <c r="B111" s="545">
        <v>11800</v>
      </c>
      <c r="C111" s="544" t="s">
        <v>2581</v>
      </c>
      <c r="D111" s="544" t="s">
        <v>2804</v>
      </c>
      <c r="E111" s="542" t="s">
        <v>2803</v>
      </c>
      <c r="F111" s="542" t="s">
        <v>2805</v>
      </c>
      <c r="G111" s="546">
        <v>1011.5</v>
      </c>
      <c r="H111" s="546"/>
      <c r="I111" s="546">
        <v>1011.5</v>
      </c>
      <c r="J111" s="542" t="s">
        <v>2701</v>
      </c>
      <c r="K111" s="547">
        <v>8403</v>
      </c>
      <c r="L111" s="542" t="s">
        <v>806</v>
      </c>
      <c r="M111" s="548"/>
      <c r="N111" s="549">
        <v>-68</v>
      </c>
      <c r="O111" s="544" t="s">
        <v>1674</v>
      </c>
      <c r="P111" s="544" t="s">
        <v>1674</v>
      </c>
      <c r="Q111" s="544" t="s">
        <v>2720</v>
      </c>
      <c r="R111" s="544" t="s">
        <v>1674</v>
      </c>
      <c r="S111" s="544" t="s">
        <v>1674</v>
      </c>
      <c r="T111" s="550">
        <v>19</v>
      </c>
      <c r="U111" s="544" t="s">
        <v>2691</v>
      </c>
      <c r="V111" s="547">
        <v>354</v>
      </c>
      <c r="W111" s="548"/>
      <c r="Y111" s="544" t="s">
        <v>1674</v>
      </c>
      <c r="AA111" s="544" t="s">
        <v>1674</v>
      </c>
      <c r="AE111" s="551"/>
      <c r="AF111" s="544" t="s">
        <v>1674</v>
      </c>
      <c r="AG111" s="544" t="s">
        <v>1674</v>
      </c>
      <c r="AH111" s="544" t="s">
        <v>1674</v>
      </c>
      <c r="AI111" s="544" t="s">
        <v>1674</v>
      </c>
      <c r="AJ111" s="544" t="s">
        <v>1674</v>
      </c>
      <c r="AK111" s="544" t="s">
        <v>1674</v>
      </c>
      <c r="AL111" s="544" t="s">
        <v>1674</v>
      </c>
      <c r="AM111" s="544" t="s">
        <v>2581</v>
      </c>
      <c r="AN111" s="544" t="s">
        <v>1674</v>
      </c>
      <c r="AP111" s="552">
        <f t="shared" si="1"/>
        <v>1011.5</v>
      </c>
    </row>
    <row r="112" spans="1:42" outlineLevel="1" x14ac:dyDescent="0.25">
      <c r="A112" s="544" t="s">
        <v>1674</v>
      </c>
      <c r="B112" s="545">
        <v>11800</v>
      </c>
      <c r="C112" s="544" t="s">
        <v>2581</v>
      </c>
      <c r="D112" s="544" t="s">
        <v>2889</v>
      </c>
      <c r="E112" s="542" t="s">
        <v>2886</v>
      </c>
      <c r="F112" s="542" t="s">
        <v>2887</v>
      </c>
      <c r="G112" s="546">
        <v>1011.5</v>
      </c>
      <c r="H112" s="546"/>
      <c r="I112" s="546">
        <v>1011.5</v>
      </c>
      <c r="J112" s="542" t="s">
        <v>2701</v>
      </c>
      <c r="K112" s="547">
        <v>8403</v>
      </c>
      <c r="L112" s="542" t="s">
        <v>806</v>
      </c>
      <c r="M112" s="548"/>
      <c r="N112" s="549">
        <v>-19</v>
      </c>
      <c r="O112" s="544" t="s">
        <v>1674</v>
      </c>
      <c r="P112" s="544" t="s">
        <v>1674</v>
      </c>
      <c r="Q112" s="544" t="s">
        <v>2720</v>
      </c>
      <c r="R112" s="544" t="s">
        <v>1674</v>
      </c>
      <c r="S112" s="544" t="s">
        <v>1674</v>
      </c>
      <c r="T112" s="550">
        <v>19</v>
      </c>
      <c r="U112" s="544" t="s">
        <v>2697</v>
      </c>
      <c r="V112" s="547">
        <v>646</v>
      </c>
      <c r="W112" s="548"/>
      <c r="Y112" s="544" t="s">
        <v>1674</v>
      </c>
      <c r="AA112" s="544" t="s">
        <v>1674</v>
      </c>
      <c r="AE112" s="551"/>
      <c r="AF112" s="544" t="s">
        <v>1674</v>
      </c>
      <c r="AG112" s="544" t="s">
        <v>1674</v>
      </c>
      <c r="AH112" s="544" t="s">
        <v>1674</v>
      </c>
      <c r="AI112" s="544" t="s">
        <v>1674</v>
      </c>
      <c r="AJ112" s="544" t="s">
        <v>1674</v>
      </c>
      <c r="AK112" s="544" t="s">
        <v>1674</v>
      </c>
      <c r="AL112" s="544" t="s">
        <v>1674</v>
      </c>
      <c r="AM112" s="544" t="s">
        <v>2581</v>
      </c>
      <c r="AN112" s="544" t="s">
        <v>1674</v>
      </c>
      <c r="AP112" s="552">
        <f t="shared" si="1"/>
        <v>1011.5</v>
      </c>
    </row>
    <row r="113" spans="1:42" outlineLevel="1" x14ac:dyDescent="0.25">
      <c r="A113" s="544" t="s">
        <v>1674</v>
      </c>
      <c r="B113" s="545">
        <v>11800</v>
      </c>
      <c r="C113" s="544" t="s">
        <v>2581</v>
      </c>
      <c r="D113" s="544" t="s">
        <v>3285</v>
      </c>
      <c r="E113" s="542" t="s">
        <v>3269</v>
      </c>
      <c r="F113" s="542" t="s">
        <v>3270</v>
      </c>
      <c r="G113" s="546">
        <v>1011.5</v>
      </c>
      <c r="H113" s="546"/>
      <c r="I113" s="546">
        <v>1011.5</v>
      </c>
      <c r="J113" s="542" t="s">
        <v>2701</v>
      </c>
      <c r="K113" s="547">
        <v>8403</v>
      </c>
      <c r="L113" s="542" t="s">
        <v>806</v>
      </c>
      <c r="M113" s="548"/>
      <c r="N113" s="549">
        <v>29</v>
      </c>
      <c r="O113" s="544" t="s">
        <v>1674</v>
      </c>
      <c r="P113" s="544" t="s">
        <v>1674</v>
      </c>
      <c r="Q113" s="544" t="s">
        <v>2720</v>
      </c>
      <c r="R113" s="544" t="s">
        <v>1674</v>
      </c>
      <c r="S113" s="544" t="s">
        <v>1674</v>
      </c>
      <c r="T113" s="550">
        <v>19</v>
      </c>
      <c r="U113" s="544" t="s">
        <v>2700</v>
      </c>
      <c r="V113" s="547">
        <v>371</v>
      </c>
      <c r="W113" s="548"/>
      <c r="Y113" s="544" t="s">
        <v>1674</v>
      </c>
      <c r="AA113" s="544" t="s">
        <v>1674</v>
      </c>
      <c r="AE113" s="551"/>
      <c r="AF113" s="544" t="s">
        <v>1674</v>
      </c>
      <c r="AG113" s="544" t="s">
        <v>1674</v>
      </c>
      <c r="AH113" s="544" t="s">
        <v>1674</v>
      </c>
      <c r="AI113" s="544" t="s">
        <v>1674</v>
      </c>
      <c r="AJ113" s="544" t="s">
        <v>1674</v>
      </c>
      <c r="AK113" s="544" t="s">
        <v>1674</v>
      </c>
      <c r="AL113" s="544" t="s">
        <v>1674</v>
      </c>
      <c r="AM113" s="544" t="s">
        <v>2581</v>
      </c>
      <c r="AN113" s="544" t="s">
        <v>1674</v>
      </c>
      <c r="AP113" s="552">
        <f t="shared" si="1"/>
        <v>1011.5</v>
      </c>
    </row>
    <row r="114" spans="1:42" outlineLevel="1" x14ac:dyDescent="0.25">
      <c r="A114" s="544" t="s">
        <v>1674</v>
      </c>
      <c r="B114" s="545">
        <v>0</v>
      </c>
      <c r="C114" s="544" t="s">
        <v>1674</v>
      </c>
      <c r="D114" s="544" t="s">
        <v>3286</v>
      </c>
      <c r="E114" s="542" t="s">
        <v>3269</v>
      </c>
      <c r="F114" s="542" t="s">
        <v>3270</v>
      </c>
      <c r="G114" s="546">
        <v>1011.5</v>
      </c>
      <c r="H114" s="546"/>
      <c r="I114" s="546">
        <v>1011.5</v>
      </c>
      <c r="J114" s="542" t="s">
        <v>2701</v>
      </c>
      <c r="K114" s="547">
        <v>8403</v>
      </c>
      <c r="L114" s="542" t="s">
        <v>806</v>
      </c>
      <c r="M114" s="548"/>
      <c r="N114" s="549">
        <v>29</v>
      </c>
      <c r="O114" s="544" t="s">
        <v>1674</v>
      </c>
      <c r="P114" s="544" t="s">
        <v>1674</v>
      </c>
      <c r="Q114" s="544" t="s">
        <v>2720</v>
      </c>
      <c r="R114" s="544" t="s">
        <v>1674</v>
      </c>
      <c r="S114" s="544" t="s">
        <v>1674</v>
      </c>
      <c r="T114" s="550">
        <v>19</v>
      </c>
      <c r="U114" s="544" t="s">
        <v>2700</v>
      </c>
      <c r="V114" s="547">
        <v>372</v>
      </c>
      <c r="W114" s="548"/>
      <c r="Y114" s="544" t="s">
        <v>1674</v>
      </c>
      <c r="AA114" s="544" t="s">
        <v>1674</v>
      </c>
      <c r="AE114" s="551"/>
      <c r="AF114" s="544" t="s">
        <v>1674</v>
      </c>
      <c r="AG114" s="544" t="s">
        <v>1674</v>
      </c>
      <c r="AH114" s="544" t="s">
        <v>1674</v>
      </c>
      <c r="AI114" s="544" t="s">
        <v>1674</v>
      </c>
      <c r="AJ114" s="544" t="s">
        <v>1674</v>
      </c>
      <c r="AK114" s="544" t="s">
        <v>1674</v>
      </c>
      <c r="AL114" s="544" t="s">
        <v>1674</v>
      </c>
      <c r="AM114" s="544" t="s">
        <v>1674</v>
      </c>
      <c r="AN114" s="544" t="s">
        <v>1674</v>
      </c>
      <c r="AP114" s="552">
        <f t="shared" si="1"/>
        <v>1011.5</v>
      </c>
    </row>
    <row r="115" spans="1:42" outlineLevel="1" x14ac:dyDescent="0.25">
      <c r="A115" s="544" t="s">
        <v>1674</v>
      </c>
      <c r="B115" s="545">
        <v>0</v>
      </c>
      <c r="C115" s="544" t="s">
        <v>1674</v>
      </c>
      <c r="D115" s="544" t="s">
        <v>3287</v>
      </c>
      <c r="E115" s="542" t="s">
        <v>3269</v>
      </c>
      <c r="F115" s="542" t="s">
        <v>3270</v>
      </c>
      <c r="G115" s="546">
        <v>1011.5</v>
      </c>
      <c r="H115" s="546"/>
      <c r="I115" s="546">
        <v>1011.5</v>
      </c>
      <c r="J115" s="542" t="s">
        <v>2701</v>
      </c>
      <c r="K115" s="547">
        <v>8403</v>
      </c>
      <c r="L115" s="542" t="s">
        <v>806</v>
      </c>
      <c r="M115" s="548"/>
      <c r="N115" s="549">
        <v>29</v>
      </c>
      <c r="O115" s="544" t="s">
        <v>1674</v>
      </c>
      <c r="P115" s="544" t="s">
        <v>1674</v>
      </c>
      <c r="Q115" s="544" t="s">
        <v>2645</v>
      </c>
      <c r="R115" s="544" t="s">
        <v>1674</v>
      </c>
      <c r="S115" s="544" t="s">
        <v>1674</v>
      </c>
      <c r="T115" s="550">
        <v>19</v>
      </c>
      <c r="U115" s="544" t="s">
        <v>3279</v>
      </c>
      <c r="V115" s="547">
        <v>7</v>
      </c>
      <c r="W115" s="548"/>
      <c r="Y115" s="544" t="s">
        <v>1674</v>
      </c>
      <c r="AA115" s="544" t="s">
        <v>1674</v>
      </c>
      <c r="AE115" s="551"/>
      <c r="AF115" s="544" t="s">
        <v>1674</v>
      </c>
      <c r="AG115" s="544" t="s">
        <v>1674</v>
      </c>
      <c r="AH115" s="544" t="s">
        <v>1674</v>
      </c>
      <c r="AI115" s="544" t="s">
        <v>1674</v>
      </c>
      <c r="AJ115" s="544" t="s">
        <v>1674</v>
      </c>
      <c r="AK115" s="544" t="s">
        <v>1674</v>
      </c>
      <c r="AL115" s="544" t="s">
        <v>1674</v>
      </c>
      <c r="AM115" s="544" t="s">
        <v>1674</v>
      </c>
      <c r="AN115" s="544" t="s">
        <v>1674</v>
      </c>
      <c r="AP115" s="552">
        <f t="shared" si="1"/>
        <v>1011.5</v>
      </c>
    </row>
    <row r="116" spans="1:42" outlineLevel="1" x14ac:dyDescent="0.25">
      <c r="A116" s="544" t="s">
        <v>1674</v>
      </c>
      <c r="B116" s="545">
        <v>11602</v>
      </c>
      <c r="C116" s="544" t="s">
        <v>2758</v>
      </c>
      <c r="D116" s="544" t="s">
        <v>3224</v>
      </c>
      <c r="E116" s="542" t="s">
        <v>2920</v>
      </c>
      <c r="F116" s="542" t="s">
        <v>3181</v>
      </c>
      <c r="G116" s="546">
        <v>965.8</v>
      </c>
      <c r="H116" s="546"/>
      <c r="I116" s="546">
        <v>965.8</v>
      </c>
      <c r="J116" s="542" t="s">
        <v>2701</v>
      </c>
      <c r="K116" s="547">
        <v>8400</v>
      </c>
      <c r="L116" s="542" t="s">
        <v>806</v>
      </c>
      <c r="M116" s="548"/>
      <c r="N116" s="549">
        <v>19</v>
      </c>
      <c r="O116" s="544" t="s">
        <v>1674</v>
      </c>
      <c r="P116" s="544" t="s">
        <v>1674</v>
      </c>
      <c r="Q116" s="544" t="s">
        <v>2761</v>
      </c>
      <c r="R116" s="544" t="s">
        <v>1674</v>
      </c>
      <c r="S116" s="544" t="s">
        <v>1674</v>
      </c>
      <c r="T116" s="550">
        <v>19</v>
      </c>
      <c r="U116" s="544" t="s">
        <v>2700</v>
      </c>
      <c r="V116" s="547">
        <v>335</v>
      </c>
      <c r="W116" s="548"/>
      <c r="Y116" s="544" t="s">
        <v>1674</v>
      </c>
      <c r="AA116" s="544" t="s">
        <v>1674</v>
      </c>
      <c r="AE116" s="551"/>
      <c r="AF116" s="544" t="s">
        <v>1674</v>
      </c>
      <c r="AG116" s="544" t="s">
        <v>1674</v>
      </c>
      <c r="AH116" s="544" t="s">
        <v>1674</v>
      </c>
      <c r="AI116" s="544" t="s">
        <v>1674</v>
      </c>
      <c r="AJ116" s="544" t="s">
        <v>1674</v>
      </c>
      <c r="AK116" s="544" t="s">
        <v>1674</v>
      </c>
      <c r="AL116" s="544" t="s">
        <v>1674</v>
      </c>
      <c r="AM116" s="544" t="s">
        <v>2762</v>
      </c>
      <c r="AN116" s="544" t="s">
        <v>1674</v>
      </c>
      <c r="AP116" s="552">
        <f t="shared" si="1"/>
        <v>965.8</v>
      </c>
    </row>
    <row r="117" spans="1:42" outlineLevel="1" x14ac:dyDescent="0.25">
      <c r="A117" s="544" t="s">
        <v>1674</v>
      </c>
      <c r="B117" s="545">
        <v>0</v>
      </c>
      <c r="C117" s="544" t="s">
        <v>1674</v>
      </c>
      <c r="D117" s="544" t="s">
        <v>3246</v>
      </c>
      <c r="E117" s="542" t="s">
        <v>2920</v>
      </c>
      <c r="F117" s="542" t="s">
        <v>3181</v>
      </c>
      <c r="G117" s="546">
        <v>180</v>
      </c>
      <c r="H117" s="546"/>
      <c r="I117" s="546">
        <v>920</v>
      </c>
      <c r="J117" s="542" t="s">
        <v>2701</v>
      </c>
      <c r="K117" s="547">
        <v>8120</v>
      </c>
      <c r="L117" s="542" t="s">
        <v>806</v>
      </c>
      <c r="M117" s="548"/>
      <c r="N117" s="549">
        <v>19</v>
      </c>
      <c r="O117" s="544" t="s">
        <v>1674</v>
      </c>
      <c r="P117" s="544" t="s">
        <v>1674</v>
      </c>
      <c r="Q117" s="544" t="s">
        <v>2976</v>
      </c>
      <c r="R117" s="544" t="s">
        <v>2622</v>
      </c>
      <c r="S117" s="544" t="s">
        <v>1674</v>
      </c>
      <c r="T117" s="550"/>
      <c r="U117" s="544" t="s">
        <v>2700</v>
      </c>
      <c r="V117" s="547">
        <v>334</v>
      </c>
      <c r="W117" s="548"/>
      <c r="Y117" s="544" t="s">
        <v>1674</v>
      </c>
      <c r="AA117" s="544" t="s">
        <v>1674</v>
      </c>
      <c r="AE117" s="551"/>
      <c r="AF117" s="544" t="s">
        <v>1674</v>
      </c>
      <c r="AG117" s="544" t="s">
        <v>1674</v>
      </c>
      <c r="AH117" s="544" t="s">
        <v>1674</v>
      </c>
      <c r="AI117" s="544" t="s">
        <v>1674</v>
      </c>
      <c r="AJ117" s="544" t="s">
        <v>1674</v>
      </c>
      <c r="AK117" s="544" t="s">
        <v>1674</v>
      </c>
      <c r="AL117" s="544" t="s">
        <v>1674</v>
      </c>
      <c r="AM117" s="544" t="s">
        <v>1674</v>
      </c>
      <c r="AN117" s="544" t="s">
        <v>1674</v>
      </c>
      <c r="AP117" s="552">
        <f t="shared" si="1"/>
        <v>920</v>
      </c>
    </row>
    <row r="118" spans="1:42" outlineLevel="1" x14ac:dyDescent="0.25">
      <c r="A118" s="544" t="s">
        <v>1674</v>
      </c>
      <c r="B118" s="545">
        <v>11701</v>
      </c>
      <c r="C118" s="544" t="s">
        <v>3225</v>
      </c>
      <c r="D118" s="544" t="s">
        <v>3226</v>
      </c>
      <c r="E118" s="542" t="s">
        <v>2920</v>
      </c>
      <c r="F118" s="542" t="s">
        <v>3181</v>
      </c>
      <c r="G118" s="546">
        <v>860.37</v>
      </c>
      <c r="H118" s="546"/>
      <c r="I118" s="546">
        <v>860.37</v>
      </c>
      <c r="J118" s="542" t="s">
        <v>2701</v>
      </c>
      <c r="K118" s="547">
        <v>8402</v>
      </c>
      <c r="L118" s="542" t="s">
        <v>806</v>
      </c>
      <c r="M118" s="548"/>
      <c r="N118" s="549">
        <v>19</v>
      </c>
      <c r="O118" s="544" t="s">
        <v>1674</v>
      </c>
      <c r="P118" s="544" t="s">
        <v>1674</v>
      </c>
      <c r="Q118" s="544" t="s">
        <v>3225</v>
      </c>
      <c r="R118" s="544" t="s">
        <v>1674</v>
      </c>
      <c r="S118" s="544" t="s">
        <v>1674</v>
      </c>
      <c r="T118" s="550">
        <v>19</v>
      </c>
      <c r="U118" s="544" t="s">
        <v>2700</v>
      </c>
      <c r="V118" s="547">
        <v>348</v>
      </c>
      <c r="W118" s="548"/>
      <c r="Y118" s="544" t="s">
        <v>1674</v>
      </c>
      <c r="AA118" s="544" t="s">
        <v>1674</v>
      </c>
      <c r="AE118" s="551"/>
      <c r="AF118" s="544" t="s">
        <v>1674</v>
      </c>
      <c r="AG118" s="544" t="s">
        <v>1674</v>
      </c>
      <c r="AH118" s="544" t="s">
        <v>1674</v>
      </c>
      <c r="AI118" s="544" t="s">
        <v>1674</v>
      </c>
      <c r="AJ118" s="544" t="s">
        <v>1674</v>
      </c>
      <c r="AK118" s="544" t="s">
        <v>1674</v>
      </c>
      <c r="AL118" s="544" t="s">
        <v>1674</v>
      </c>
      <c r="AM118" s="544" t="s">
        <v>3225</v>
      </c>
      <c r="AN118" s="544" t="s">
        <v>1674</v>
      </c>
      <c r="AP118" s="552">
        <f t="shared" si="1"/>
        <v>860.37</v>
      </c>
    </row>
    <row r="119" spans="1:42" outlineLevel="1" x14ac:dyDescent="0.25">
      <c r="A119" s="544" t="s">
        <v>1674</v>
      </c>
      <c r="B119" s="545">
        <v>0</v>
      </c>
      <c r="C119" s="544" t="s">
        <v>1674</v>
      </c>
      <c r="D119" s="544" t="s">
        <v>2975</v>
      </c>
      <c r="E119" s="542" t="s">
        <v>2965</v>
      </c>
      <c r="F119" s="542" t="s">
        <v>2969</v>
      </c>
      <c r="G119" s="546">
        <v>90</v>
      </c>
      <c r="H119" s="546"/>
      <c r="I119" s="546">
        <v>830</v>
      </c>
      <c r="J119" s="542" t="s">
        <v>2701</v>
      </c>
      <c r="K119" s="547">
        <v>8120</v>
      </c>
      <c r="L119" s="542" t="s">
        <v>806</v>
      </c>
      <c r="M119" s="548"/>
      <c r="N119" s="549">
        <v>-4</v>
      </c>
      <c r="O119" s="544" t="s">
        <v>1674</v>
      </c>
      <c r="P119" s="544" t="s">
        <v>1674</v>
      </c>
      <c r="Q119" s="544" t="s">
        <v>2976</v>
      </c>
      <c r="R119" s="544" t="s">
        <v>2622</v>
      </c>
      <c r="S119" s="544" t="s">
        <v>1674</v>
      </c>
      <c r="T119" s="550"/>
      <c r="U119" s="544" t="s">
        <v>2697</v>
      </c>
      <c r="V119" s="547">
        <v>1596</v>
      </c>
      <c r="W119" s="548"/>
      <c r="Y119" s="544" t="s">
        <v>1674</v>
      </c>
      <c r="AA119" s="544" t="s">
        <v>1674</v>
      </c>
      <c r="AE119" s="551"/>
      <c r="AF119" s="544" t="s">
        <v>1674</v>
      </c>
      <c r="AG119" s="544" t="s">
        <v>1674</v>
      </c>
      <c r="AH119" s="544" t="s">
        <v>1674</v>
      </c>
      <c r="AI119" s="544" t="s">
        <v>1674</v>
      </c>
      <c r="AJ119" s="544" t="s">
        <v>1674</v>
      </c>
      <c r="AK119" s="544" t="s">
        <v>1674</v>
      </c>
      <c r="AL119" s="544" t="s">
        <v>1674</v>
      </c>
      <c r="AM119" s="544" t="s">
        <v>1674</v>
      </c>
      <c r="AN119" s="544" t="s">
        <v>1674</v>
      </c>
      <c r="AP119" s="552">
        <f t="shared" si="1"/>
        <v>830</v>
      </c>
    </row>
    <row r="120" spans="1:42" outlineLevel="1" x14ac:dyDescent="0.25">
      <c r="A120" s="544" t="s">
        <v>1674</v>
      </c>
      <c r="B120" s="545">
        <v>10237</v>
      </c>
      <c r="C120" s="544" t="s">
        <v>2750</v>
      </c>
      <c r="D120" s="544" t="s">
        <v>2806</v>
      </c>
      <c r="E120" s="542" t="s">
        <v>2807</v>
      </c>
      <c r="F120" s="542" t="s">
        <v>2808</v>
      </c>
      <c r="G120" s="546">
        <v>773.5</v>
      </c>
      <c r="H120" s="546"/>
      <c r="I120" s="546">
        <v>773.5</v>
      </c>
      <c r="J120" s="542" t="s">
        <v>2701</v>
      </c>
      <c r="K120" s="547">
        <v>8403</v>
      </c>
      <c r="L120" s="542" t="s">
        <v>806</v>
      </c>
      <c r="M120" s="548"/>
      <c r="N120" s="549">
        <v>-66</v>
      </c>
      <c r="O120" s="544" t="s">
        <v>1674</v>
      </c>
      <c r="P120" s="544" t="s">
        <v>1674</v>
      </c>
      <c r="Q120" s="544" t="s">
        <v>2754</v>
      </c>
      <c r="R120" s="544" t="s">
        <v>1674</v>
      </c>
      <c r="S120" s="544" t="s">
        <v>1674</v>
      </c>
      <c r="T120" s="550">
        <v>19</v>
      </c>
      <c r="U120" s="544" t="s">
        <v>2691</v>
      </c>
      <c r="V120" s="547">
        <v>405</v>
      </c>
      <c r="W120" s="548"/>
      <c r="Y120" s="544" t="s">
        <v>1674</v>
      </c>
      <c r="AA120" s="544" t="s">
        <v>1674</v>
      </c>
      <c r="AE120" s="551"/>
      <c r="AF120" s="544" t="s">
        <v>1674</v>
      </c>
      <c r="AG120" s="544" t="s">
        <v>1674</v>
      </c>
      <c r="AH120" s="544" t="s">
        <v>1674</v>
      </c>
      <c r="AI120" s="544" t="s">
        <v>1674</v>
      </c>
      <c r="AJ120" s="544" t="s">
        <v>1674</v>
      </c>
      <c r="AK120" s="544" t="s">
        <v>1674</v>
      </c>
      <c r="AL120" s="544" t="s">
        <v>1674</v>
      </c>
      <c r="AM120" s="544" t="s">
        <v>2755</v>
      </c>
      <c r="AN120" s="544" t="s">
        <v>1674</v>
      </c>
      <c r="AP120" s="552">
        <f t="shared" si="1"/>
        <v>773.5</v>
      </c>
    </row>
    <row r="121" spans="1:42" outlineLevel="1" x14ac:dyDescent="0.25">
      <c r="A121" s="544" t="s">
        <v>1674</v>
      </c>
      <c r="B121" s="545">
        <v>11600</v>
      </c>
      <c r="C121" s="544" t="s">
        <v>2782</v>
      </c>
      <c r="D121" s="544" t="s">
        <v>2885</v>
      </c>
      <c r="E121" s="542" t="s">
        <v>2886</v>
      </c>
      <c r="F121" s="542" t="s">
        <v>2887</v>
      </c>
      <c r="G121" s="546">
        <v>773.5</v>
      </c>
      <c r="H121" s="546"/>
      <c r="I121" s="546">
        <v>773.5</v>
      </c>
      <c r="J121" s="542" t="s">
        <v>2701</v>
      </c>
      <c r="K121" s="547">
        <v>8403</v>
      </c>
      <c r="L121" s="542" t="s">
        <v>806</v>
      </c>
      <c r="M121" s="548"/>
      <c r="N121" s="549">
        <v>-19</v>
      </c>
      <c r="O121" s="544" t="s">
        <v>1674</v>
      </c>
      <c r="P121" s="544" t="s">
        <v>1674</v>
      </c>
      <c r="Q121" s="544" t="s">
        <v>2786</v>
      </c>
      <c r="R121" s="544" t="s">
        <v>1674</v>
      </c>
      <c r="S121" s="544" t="s">
        <v>1674</v>
      </c>
      <c r="T121" s="550">
        <v>19</v>
      </c>
      <c r="U121" s="544" t="s">
        <v>2697</v>
      </c>
      <c r="V121" s="547">
        <v>658</v>
      </c>
      <c r="W121" s="548"/>
      <c r="Y121" s="544" t="s">
        <v>1674</v>
      </c>
      <c r="AA121" s="544" t="s">
        <v>1674</v>
      </c>
      <c r="AE121" s="551"/>
      <c r="AF121" s="544" t="s">
        <v>1674</v>
      </c>
      <c r="AG121" s="544" t="s">
        <v>1674</v>
      </c>
      <c r="AH121" s="544" t="s">
        <v>1674</v>
      </c>
      <c r="AI121" s="544" t="s">
        <v>1674</v>
      </c>
      <c r="AJ121" s="544" t="s">
        <v>1674</v>
      </c>
      <c r="AK121" s="544" t="s">
        <v>1674</v>
      </c>
      <c r="AL121" s="544" t="s">
        <v>1674</v>
      </c>
      <c r="AM121" s="544" t="s">
        <v>2782</v>
      </c>
      <c r="AN121" s="544" t="s">
        <v>1674</v>
      </c>
      <c r="AP121" s="552">
        <f t="shared" si="1"/>
        <v>773.5</v>
      </c>
    </row>
    <row r="122" spans="1:42" outlineLevel="1" x14ac:dyDescent="0.25">
      <c r="A122" s="544" t="s">
        <v>1674</v>
      </c>
      <c r="B122" s="545">
        <v>0</v>
      </c>
      <c r="C122" s="544" t="s">
        <v>1674</v>
      </c>
      <c r="D122" s="544" t="s">
        <v>2888</v>
      </c>
      <c r="E122" s="542" t="s">
        <v>2886</v>
      </c>
      <c r="F122" s="542" t="s">
        <v>2887</v>
      </c>
      <c r="G122" s="546">
        <v>773.5</v>
      </c>
      <c r="H122" s="546"/>
      <c r="I122" s="546">
        <v>773.5</v>
      </c>
      <c r="J122" s="542" t="s">
        <v>2701</v>
      </c>
      <c r="K122" s="547">
        <v>8403</v>
      </c>
      <c r="L122" s="542" t="s">
        <v>806</v>
      </c>
      <c r="M122" s="548"/>
      <c r="N122" s="549">
        <v>-19</v>
      </c>
      <c r="O122" s="544" t="s">
        <v>1674</v>
      </c>
      <c r="P122" s="544" t="s">
        <v>1674</v>
      </c>
      <c r="Q122" s="544" t="s">
        <v>2786</v>
      </c>
      <c r="R122" s="544" t="s">
        <v>1674</v>
      </c>
      <c r="S122" s="544" t="s">
        <v>1674</v>
      </c>
      <c r="T122" s="550">
        <v>19</v>
      </c>
      <c r="U122" s="544" t="s">
        <v>2697</v>
      </c>
      <c r="V122" s="547">
        <v>659</v>
      </c>
      <c r="W122" s="548"/>
      <c r="Y122" s="544" t="s">
        <v>1674</v>
      </c>
      <c r="AA122" s="544" t="s">
        <v>1674</v>
      </c>
      <c r="AE122" s="551"/>
      <c r="AF122" s="544" t="s">
        <v>1674</v>
      </c>
      <c r="AG122" s="544" t="s">
        <v>1674</v>
      </c>
      <c r="AH122" s="544" t="s">
        <v>1674</v>
      </c>
      <c r="AI122" s="544" t="s">
        <v>1674</v>
      </c>
      <c r="AJ122" s="544" t="s">
        <v>1674</v>
      </c>
      <c r="AK122" s="544" t="s">
        <v>1674</v>
      </c>
      <c r="AL122" s="544" t="s">
        <v>1674</v>
      </c>
      <c r="AM122" s="544" t="s">
        <v>1674</v>
      </c>
      <c r="AN122" s="544" t="s">
        <v>1674</v>
      </c>
      <c r="AP122" s="552">
        <f t="shared" si="1"/>
        <v>773.5</v>
      </c>
    </row>
    <row r="123" spans="1:42" outlineLevel="1" x14ac:dyDescent="0.25">
      <c r="A123" s="544" t="s">
        <v>1674</v>
      </c>
      <c r="B123" s="545">
        <v>10237</v>
      </c>
      <c r="C123" s="544" t="s">
        <v>2750</v>
      </c>
      <c r="D123" s="544" t="s">
        <v>2949</v>
      </c>
      <c r="E123" s="542" t="s">
        <v>2950</v>
      </c>
      <c r="F123" s="542" t="s">
        <v>2951</v>
      </c>
      <c r="G123" s="546">
        <v>773.5</v>
      </c>
      <c r="H123" s="546"/>
      <c r="I123" s="546">
        <v>773.5</v>
      </c>
      <c r="J123" s="542" t="s">
        <v>2701</v>
      </c>
      <c r="K123" s="547">
        <v>8403</v>
      </c>
      <c r="L123" s="542" t="s">
        <v>806</v>
      </c>
      <c r="M123" s="548"/>
      <c r="N123" s="549">
        <v>-5</v>
      </c>
      <c r="O123" s="544" t="s">
        <v>1674</v>
      </c>
      <c r="P123" s="544" t="s">
        <v>1674</v>
      </c>
      <c r="Q123" s="544" t="s">
        <v>2754</v>
      </c>
      <c r="R123" s="544" t="s">
        <v>1674</v>
      </c>
      <c r="S123" s="544" t="s">
        <v>1674</v>
      </c>
      <c r="T123" s="550">
        <v>19</v>
      </c>
      <c r="U123" s="544" t="s">
        <v>2697</v>
      </c>
      <c r="V123" s="547">
        <v>1504</v>
      </c>
      <c r="W123" s="548"/>
      <c r="Y123" s="544" t="s">
        <v>1674</v>
      </c>
      <c r="AA123" s="544" t="s">
        <v>1674</v>
      </c>
      <c r="AE123" s="551"/>
      <c r="AF123" s="544" t="s">
        <v>1674</v>
      </c>
      <c r="AG123" s="544" t="s">
        <v>1674</v>
      </c>
      <c r="AH123" s="544" t="s">
        <v>1674</v>
      </c>
      <c r="AI123" s="544" t="s">
        <v>1674</v>
      </c>
      <c r="AJ123" s="544" t="s">
        <v>1674</v>
      </c>
      <c r="AK123" s="544" t="s">
        <v>1674</v>
      </c>
      <c r="AL123" s="544" t="s">
        <v>1674</v>
      </c>
      <c r="AM123" s="544" t="s">
        <v>2755</v>
      </c>
      <c r="AN123" s="544" t="s">
        <v>1674</v>
      </c>
      <c r="AP123" s="552">
        <f t="shared" si="1"/>
        <v>773.5</v>
      </c>
    </row>
    <row r="124" spans="1:42" outlineLevel="1" x14ac:dyDescent="0.25">
      <c r="A124" s="544" t="s">
        <v>1674</v>
      </c>
      <c r="B124" s="545">
        <v>0</v>
      </c>
      <c r="C124" s="544" t="s">
        <v>1674</v>
      </c>
      <c r="D124" s="544" t="s">
        <v>2952</v>
      </c>
      <c r="E124" s="542" t="s">
        <v>2950</v>
      </c>
      <c r="F124" s="542" t="s">
        <v>2951</v>
      </c>
      <c r="G124" s="546">
        <v>773.5</v>
      </c>
      <c r="H124" s="546"/>
      <c r="I124" s="546">
        <v>773.5</v>
      </c>
      <c r="J124" s="542" t="s">
        <v>2701</v>
      </c>
      <c r="K124" s="547">
        <v>8403</v>
      </c>
      <c r="L124" s="542" t="s">
        <v>806</v>
      </c>
      <c r="M124" s="548"/>
      <c r="N124" s="549">
        <v>-5</v>
      </c>
      <c r="O124" s="544" t="s">
        <v>1674</v>
      </c>
      <c r="P124" s="544" t="s">
        <v>1674</v>
      </c>
      <c r="Q124" s="544" t="s">
        <v>2754</v>
      </c>
      <c r="R124" s="544" t="s">
        <v>1674</v>
      </c>
      <c r="S124" s="544" t="s">
        <v>1674</v>
      </c>
      <c r="T124" s="550">
        <v>19</v>
      </c>
      <c r="U124" s="544" t="s">
        <v>2697</v>
      </c>
      <c r="V124" s="547">
        <v>1505</v>
      </c>
      <c r="W124" s="548"/>
      <c r="Y124" s="544" t="s">
        <v>1674</v>
      </c>
      <c r="AA124" s="544" t="s">
        <v>1674</v>
      </c>
      <c r="AE124" s="551"/>
      <c r="AF124" s="544" t="s">
        <v>1674</v>
      </c>
      <c r="AG124" s="544" t="s">
        <v>1674</v>
      </c>
      <c r="AH124" s="544" t="s">
        <v>1674</v>
      </c>
      <c r="AI124" s="544" t="s">
        <v>1674</v>
      </c>
      <c r="AJ124" s="544" t="s">
        <v>1674</v>
      </c>
      <c r="AK124" s="544" t="s">
        <v>1674</v>
      </c>
      <c r="AL124" s="544" t="s">
        <v>1674</v>
      </c>
      <c r="AM124" s="544" t="s">
        <v>1674</v>
      </c>
      <c r="AN124" s="544" t="s">
        <v>1674</v>
      </c>
      <c r="AP124" s="552">
        <f t="shared" si="1"/>
        <v>773.5</v>
      </c>
    </row>
    <row r="125" spans="1:42" outlineLevel="1" x14ac:dyDescent="0.25">
      <c r="A125" s="544" t="s">
        <v>1674</v>
      </c>
      <c r="B125" s="545">
        <v>0</v>
      </c>
      <c r="C125" s="544" t="s">
        <v>1674</v>
      </c>
      <c r="D125" s="544" t="s">
        <v>2953</v>
      </c>
      <c r="E125" s="542" t="s">
        <v>2950</v>
      </c>
      <c r="F125" s="542" t="s">
        <v>2951</v>
      </c>
      <c r="G125" s="546">
        <v>773.5</v>
      </c>
      <c r="H125" s="546"/>
      <c r="I125" s="546">
        <v>773.5</v>
      </c>
      <c r="J125" s="542" t="s">
        <v>2701</v>
      </c>
      <c r="K125" s="547">
        <v>8403</v>
      </c>
      <c r="L125" s="542" t="s">
        <v>806</v>
      </c>
      <c r="M125" s="548"/>
      <c r="N125" s="549">
        <v>-5</v>
      </c>
      <c r="O125" s="544" t="s">
        <v>1674</v>
      </c>
      <c r="P125" s="544" t="s">
        <v>1674</v>
      </c>
      <c r="Q125" s="544" t="s">
        <v>2754</v>
      </c>
      <c r="R125" s="544" t="s">
        <v>1674</v>
      </c>
      <c r="S125" s="544" t="s">
        <v>1674</v>
      </c>
      <c r="T125" s="550">
        <v>19</v>
      </c>
      <c r="U125" s="544" t="s">
        <v>2697</v>
      </c>
      <c r="V125" s="547">
        <v>1506</v>
      </c>
      <c r="W125" s="548"/>
      <c r="Y125" s="544" t="s">
        <v>1674</v>
      </c>
      <c r="AA125" s="544" t="s">
        <v>1674</v>
      </c>
      <c r="AE125" s="551"/>
      <c r="AF125" s="544" t="s">
        <v>1674</v>
      </c>
      <c r="AG125" s="544" t="s">
        <v>1674</v>
      </c>
      <c r="AH125" s="544" t="s">
        <v>1674</v>
      </c>
      <c r="AI125" s="544" t="s">
        <v>1674</v>
      </c>
      <c r="AJ125" s="544" t="s">
        <v>1674</v>
      </c>
      <c r="AK125" s="544" t="s">
        <v>1674</v>
      </c>
      <c r="AL125" s="544" t="s">
        <v>1674</v>
      </c>
      <c r="AM125" s="544" t="s">
        <v>1674</v>
      </c>
      <c r="AN125" s="544" t="s">
        <v>1674</v>
      </c>
      <c r="AP125" s="552">
        <f t="shared" si="1"/>
        <v>773.5</v>
      </c>
    </row>
    <row r="126" spans="1:42" outlineLevel="1" x14ac:dyDescent="0.25">
      <c r="A126" s="544" t="s">
        <v>1674</v>
      </c>
      <c r="B126" s="545">
        <v>0</v>
      </c>
      <c r="C126" s="544" t="s">
        <v>1674</v>
      </c>
      <c r="D126" s="544" t="s">
        <v>3277</v>
      </c>
      <c r="E126" s="542" t="s">
        <v>3269</v>
      </c>
      <c r="F126" s="542" t="s">
        <v>3270</v>
      </c>
      <c r="G126" s="546">
        <v>773.5</v>
      </c>
      <c r="H126" s="546"/>
      <c r="I126" s="546">
        <v>773.5</v>
      </c>
      <c r="J126" s="542" t="s">
        <v>2701</v>
      </c>
      <c r="K126" s="547">
        <v>8403</v>
      </c>
      <c r="L126" s="542" t="s">
        <v>806</v>
      </c>
      <c r="M126" s="548"/>
      <c r="N126" s="549">
        <v>29</v>
      </c>
      <c r="O126" s="544" t="s">
        <v>1674</v>
      </c>
      <c r="P126" s="544" t="s">
        <v>1674</v>
      </c>
      <c r="Q126" s="544" t="s">
        <v>3278</v>
      </c>
      <c r="R126" s="544" t="s">
        <v>1674</v>
      </c>
      <c r="S126" s="544" t="s">
        <v>1674</v>
      </c>
      <c r="T126" s="550">
        <v>19</v>
      </c>
      <c r="U126" s="544" t="s">
        <v>3279</v>
      </c>
      <c r="V126" s="547">
        <v>6</v>
      </c>
      <c r="W126" s="548"/>
      <c r="Y126" s="544" t="s">
        <v>1674</v>
      </c>
      <c r="AA126" s="544" t="s">
        <v>1674</v>
      </c>
      <c r="AE126" s="551"/>
      <c r="AF126" s="544" t="s">
        <v>1674</v>
      </c>
      <c r="AG126" s="544" t="s">
        <v>1674</v>
      </c>
      <c r="AH126" s="544" t="s">
        <v>1674</v>
      </c>
      <c r="AI126" s="544" t="s">
        <v>1674</v>
      </c>
      <c r="AJ126" s="544" t="s">
        <v>1674</v>
      </c>
      <c r="AK126" s="544" t="s">
        <v>1674</v>
      </c>
      <c r="AL126" s="544" t="s">
        <v>1674</v>
      </c>
      <c r="AM126" s="544" t="s">
        <v>1674</v>
      </c>
      <c r="AN126" s="544" t="s">
        <v>1674</v>
      </c>
      <c r="AP126" s="552">
        <f t="shared" si="1"/>
        <v>773.5</v>
      </c>
    </row>
    <row r="127" spans="1:42" outlineLevel="1" x14ac:dyDescent="0.25">
      <c r="A127" s="544" t="s">
        <v>1674</v>
      </c>
      <c r="B127" s="545">
        <v>0</v>
      </c>
      <c r="C127" s="544" t="s">
        <v>1674</v>
      </c>
      <c r="D127" s="544" t="s">
        <v>3280</v>
      </c>
      <c r="E127" s="542" t="s">
        <v>3269</v>
      </c>
      <c r="F127" s="542" t="s">
        <v>3270</v>
      </c>
      <c r="G127" s="546">
        <v>773.5</v>
      </c>
      <c r="H127" s="546"/>
      <c r="I127" s="546">
        <v>773.5</v>
      </c>
      <c r="J127" s="542" t="s">
        <v>2701</v>
      </c>
      <c r="K127" s="547">
        <v>8403</v>
      </c>
      <c r="L127" s="542" t="s">
        <v>806</v>
      </c>
      <c r="M127" s="548"/>
      <c r="N127" s="549">
        <v>29</v>
      </c>
      <c r="O127" s="544" t="s">
        <v>1674</v>
      </c>
      <c r="P127" s="544" t="s">
        <v>1674</v>
      </c>
      <c r="Q127" s="544" t="s">
        <v>3281</v>
      </c>
      <c r="R127" s="544" t="s">
        <v>1674</v>
      </c>
      <c r="S127" s="544" t="s">
        <v>1674</v>
      </c>
      <c r="T127" s="550">
        <v>19</v>
      </c>
      <c r="U127" s="544" t="s">
        <v>3279</v>
      </c>
      <c r="V127" s="547">
        <v>8</v>
      </c>
      <c r="W127" s="548"/>
      <c r="Y127" s="544" t="s">
        <v>1674</v>
      </c>
      <c r="AA127" s="544" t="s">
        <v>1674</v>
      </c>
      <c r="AE127" s="551"/>
      <c r="AF127" s="544" t="s">
        <v>1674</v>
      </c>
      <c r="AG127" s="544" t="s">
        <v>1674</v>
      </c>
      <c r="AH127" s="544" t="s">
        <v>1674</v>
      </c>
      <c r="AI127" s="544" t="s">
        <v>1674</v>
      </c>
      <c r="AJ127" s="544" t="s">
        <v>1674</v>
      </c>
      <c r="AK127" s="544" t="s">
        <v>1674</v>
      </c>
      <c r="AL127" s="544" t="s">
        <v>1674</v>
      </c>
      <c r="AM127" s="544" t="s">
        <v>1674</v>
      </c>
      <c r="AN127" s="544" t="s">
        <v>1674</v>
      </c>
      <c r="AP127" s="552">
        <f t="shared" si="1"/>
        <v>773.5</v>
      </c>
    </row>
    <row r="128" spans="1:42" outlineLevel="1" x14ac:dyDescent="0.25">
      <c r="A128" s="544" t="s">
        <v>1674</v>
      </c>
      <c r="B128" s="545">
        <v>0</v>
      </c>
      <c r="C128" s="544" t="s">
        <v>1674</v>
      </c>
      <c r="D128" s="544" t="s">
        <v>3282</v>
      </c>
      <c r="E128" s="542" t="s">
        <v>3269</v>
      </c>
      <c r="F128" s="542" t="s">
        <v>3270</v>
      </c>
      <c r="G128" s="546">
        <v>773.5</v>
      </c>
      <c r="H128" s="546"/>
      <c r="I128" s="546">
        <v>773.5</v>
      </c>
      <c r="J128" s="542" t="s">
        <v>2701</v>
      </c>
      <c r="K128" s="547">
        <v>8403</v>
      </c>
      <c r="L128" s="542" t="s">
        <v>806</v>
      </c>
      <c r="M128" s="548"/>
      <c r="N128" s="549">
        <v>29</v>
      </c>
      <c r="O128" s="544" t="s">
        <v>1674</v>
      </c>
      <c r="P128" s="544" t="s">
        <v>1674</v>
      </c>
      <c r="Q128" s="544" t="s">
        <v>3281</v>
      </c>
      <c r="R128" s="544" t="s">
        <v>1674</v>
      </c>
      <c r="S128" s="544" t="s">
        <v>1674</v>
      </c>
      <c r="T128" s="550">
        <v>19</v>
      </c>
      <c r="U128" s="544" t="s">
        <v>3279</v>
      </c>
      <c r="V128" s="547">
        <v>1</v>
      </c>
      <c r="W128" s="548"/>
      <c r="Y128" s="544" t="s">
        <v>1674</v>
      </c>
      <c r="AA128" s="544" t="s">
        <v>1674</v>
      </c>
      <c r="AE128" s="551"/>
      <c r="AF128" s="544" t="s">
        <v>1674</v>
      </c>
      <c r="AG128" s="544" t="s">
        <v>1674</v>
      </c>
      <c r="AH128" s="544" t="s">
        <v>1674</v>
      </c>
      <c r="AI128" s="544" t="s">
        <v>1674</v>
      </c>
      <c r="AJ128" s="544" t="s">
        <v>1674</v>
      </c>
      <c r="AK128" s="544" t="s">
        <v>1674</v>
      </c>
      <c r="AL128" s="544" t="s">
        <v>1674</v>
      </c>
      <c r="AM128" s="544" t="s">
        <v>1674</v>
      </c>
      <c r="AN128" s="544" t="s">
        <v>1674</v>
      </c>
      <c r="AP128" s="552">
        <f t="shared" si="1"/>
        <v>773.5</v>
      </c>
    </row>
    <row r="129" spans="1:42" outlineLevel="1" x14ac:dyDescent="0.25">
      <c r="A129" s="544" t="s">
        <v>1674</v>
      </c>
      <c r="B129" s="545">
        <v>0</v>
      </c>
      <c r="C129" s="544" t="s">
        <v>1674</v>
      </c>
      <c r="D129" s="544" t="s">
        <v>3283</v>
      </c>
      <c r="E129" s="542" t="s">
        <v>3269</v>
      </c>
      <c r="F129" s="542" t="s">
        <v>3270</v>
      </c>
      <c r="G129" s="546">
        <v>773.5</v>
      </c>
      <c r="H129" s="546"/>
      <c r="I129" s="546">
        <v>773.5</v>
      </c>
      <c r="J129" s="542" t="s">
        <v>2701</v>
      </c>
      <c r="K129" s="547">
        <v>8403</v>
      </c>
      <c r="L129" s="542" t="s">
        <v>806</v>
      </c>
      <c r="M129" s="548"/>
      <c r="N129" s="549">
        <v>29</v>
      </c>
      <c r="O129" s="544" t="s">
        <v>1674</v>
      </c>
      <c r="P129" s="544" t="s">
        <v>1674</v>
      </c>
      <c r="Q129" s="544" t="s">
        <v>3281</v>
      </c>
      <c r="R129" s="544" t="s">
        <v>1674</v>
      </c>
      <c r="S129" s="544" t="s">
        <v>1674</v>
      </c>
      <c r="T129" s="550">
        <v>19</v>
      </c>
      <c r="U129" s="544" t="s">
        <v>3279</v>
      </c>
      <c r="V129" s="547">
        <v>2</v>
      </c>
      <c r="W129" s="548"/>
      <c r="Y129" s="544" t="s">
        <v>1674</v>
      </c>
      <c r="AA129" s="544" t="s">
        <v>1674</v>
      </c>
      <c r="AE129" s="551"/>
      <c r="AF129" s="544" t="s">
        <v>1674</v>
      </c>
      <c r="AG129" s="544" t="s">
        <v>1674</v>
      </c>
      <c r="AH129" s="544" t="s">
        <v>1674</v>
      </c>
      <c r="AI129" s="544" t="s">
        <v>1674</v>
      </c>
      <c r="AJ129" s="544" t="s">
        <v>1674</v>
      </c>
      <c r="AK129" s="544" t="s">
        <v>1674</v>
      </c>
      <c r="AL129" s="544" t="s">
        <v>1674</v>
      </c>
      <c r="AM129" s="544" t="s">
        <v>1674</v>
      </c>
      <c r="AN129" s="544" t="s">
        <v>1674</v>
      </c>
      <c r="AP129" s="552">
        <f t="shared" si="1"/>
        <v>773.5</v>
      </c>
    </row>
    <row r="130" spans="1:42" outlineLevel="1" x14ac:dyDescent="0.25">
      <c r="A130" s="544" t="s">
        <v>1674</v>
      </c>
      <c r="B130" s="545">
        <v>11813</v>
      </c>
      <c r="C130" s="544" t="s">
        <v>2814</v>
      </c>
      <c r="D130" s="544" t="s">
        <v>2929</v>
      </c>
      <c r="E130" s="542" t="s">
        <v>2844</v>
      </c>
      <c r="F130" s="542" t="s">
        <v>2930</v>
      </c>
      <c r="G130" s="546">
        <v>761.6</v>
      </c>
      <c r="H130" s="546"/>
      <c r="I130" s="546">
        <v>761.6</v>
      </c>
      <c r="J130" s="542" t="s">
        <v>2701</v>
      </c>
      <c r="K130" s="547">
        <v>8400</v>
      </c>
      <c r="L130" s="542" t="s">
        <v>806</v>
      </c>
      <c r="M130" s="548"/>
      <c r="N130" s="549">
        <v>-10</v>
      </c>
      <c r="O130" s="544" t="s">
        <v>1674</v>
      </c>
      <c r="P130" s="544" t="s">
        <v>1674</v>
      </c>
      <c r="Q130" s="544" t="s">
        <v>2818</v>
      </c>
      <c r="R130" s="544" t="s">
        <v>2622</v>
      </c>
      <c r="S130" s="544" t="s">
        <v>1674</v>
      </c>
      <c r="T130" s="550">
        <v>19</v>
      </c>
      <c r="U130" s="544" t="s">
        <v>2697</v>
      </c>
      <c r="V130" s="547">
        <v>1237</v>
      </c>
      <c r="W130" s="548"/>
      <c r="Y130" s="544" t="s">
        <v>1674</v>
      </c>
      <c r="AA130" s="544" t="s">
        <v>1674</v>
      </c>
      <c r="AE130" s="551"/>
      <c r="AF130" s="544" t="s">
        <v>1674</v>
      </c>
      <c r="AG130" s="544" t="s">
        <v>1674</v>
      </c>
      <c r="AH130" s="544" t="s">
        <v>1674</v>
      </c>
      <c r="AI130" s="544" t="s">
        <v>1674</v>
      </c>
      <c r="AJ130" s="544" t="s">
        <v>1674</v>
      </c>
      <c r="AK130" s="544" t="s">
        <v>1674</v>
      </c>
      <c r="AL130" s="544" t="s">
        <v>1674</v>
      </c>
      <c r="AM130" s="544" t="s">
        <v>2819</v>
      </c>
      <c r="AN130" s="544" t="s">
        <v>1674</v>
      </c>
      <c r="AP130" s="552">
        <f t="shared" si="1"/>
        <v>761.6</v>
      </c>
    </row>
    <row r="131" spans="1:42" outlineLevel="1" x14ac:dyDescent="0.25">
      <c r="A131" s="544" t="s">
        <v>1674</v>
      </c>
      <c r="B131" s="545">
        <v>32001</v>
      </c>
      <c r="C131" s="544" t="s">
        <v>3073</v>
      </c>
      <c r="D131" s="544" t="s">
        <v>3074</v>
      </c>
      <c r="E131" s="542" t="s">
        <v>2902</v>
      </c>
      <c r="F131" s="542" t="s">
        <v>3000</v>
      </c>
      <c r="G131" s="546">
        <v>746.25</v>
      </c>
      <c r="H131" s="546"/>
      <c r="I131" s="546">
        <v>746.25</v>
      </c>
      <c r="J131" s="542" t="s">
        <v>2701</v>
      </c>
      <c r="K131" s="547">
        <v>8120</v>
      </c>
      <c r="L131" s="542" t="s">
        <v>806</v>
      </c>
      <c r="M131" s="548"/>
      <c r="N131" s="549">
        <v>12</v>
      </c>
      <c r="O131" s="544" t="s">
        <v>1674</v>
      </c>
      <c r="P131" s="544" t="s">
        <v>1674</v>
      </c>
      <c r="Q131" s="544" t="s">
        <v>3075</v>
      </c>
      <c r="R131" s="544" t="s">
        <v>1674</v>
      </c>
      <c r="S131" s="544" t="s">
        <v>1674</v>
      </c>
      <c r="T131" s="550"/>
      <c r="U131" s="544" t="s">
        <v>2700</v>
      </c>
      <c r="V131" s="547">
        <v>199</v>
      </c>
      <c r="W131" s="548"/>
      <c r="Y131" s="544" t="s">
        <v>1674</v>
      </c>
      <c r="AA131" s="544" t="s">
        <v>1674</v>
      </c>
      <c r="AE131" s="551"/>
      <c r="AF131" s="544" t="s">
        <v>1674</v>
      </c>
      <c r="AG131" s="544" t="s">
        <v>1674</v>
      </c>
      <c r="AH131" s="544" t="s">
        <v>1674</v>
      </c>
      <c r="AI131" s="544" t="s">
        <v>1674</v>
      </c>
      <c r="AJ131" s="544" t="s">
        <v>1674</v>
      </c>
      <c r="AK131" s="544" t="s">
        <v>1674</v>
      </c>
      <c r="AL131" s="544" t="s">
        <v>1674</v>
      </c>
      <c r="AM131" s="544" t="s">
        <v>3076</v>
      </c>
      <c r="AN131" s="544" t="s">
        <v>1674</v>
      </c>
      <c r="AP131" s="552">
        <f t="shared" ref="AP131:AP194" si="2">IF(J131="S",+I131,-I131)</f>
        <v>746.25</v>
      </c>
    </row>
    <row r="132" spans="1:42" outlineLevel="1" x14ac:dyDescent="0.25">
      <c r="A132" s="544" t="s">
        <v>1674</v>
      </c>
      <c r="B132" s="545">
        <v>11602</v>
      </c>
      <c r="C132" s="544" t="s">
        <v>2758</v>
      </c>
      <c r="D132" s="544" t="s">
        <v>3020</v>
      </c>
      <c r="E132" s="542" t="s">
        <v>3015</v>
      </c>
      <c r="F132" s="542" t="s">
        <v>3016</v>
      </c>
      <c r="G132" s="546">
        <v>688.06</v>
      </c>
      <c r="H132" s="546"/>
      <c r="I132" s="546">
        <v>688.06</v>
      </c>
      <c r="J132" s="542" t="s">
        <v>2701</v>
      </c>
      <c r="K132" s="547">
        <v>8400</v>
      </c>
      <c r="L132" s="542" t="s">
        <v>806</v>
      </c>
      <c r="M132" s="548"/>
      <c r="N132" s="549">
        <v>4</v>
      </c>
      <c r="O132" s="544" t="s">
        <v>1674</v>
      </c>
      <c r="P132" s="544" t="s">
        <v>1674</v>
      </c>
      <c r="Q132" s="544" t="s">
        <v>2761</v>
      </c>
      <c r="R132" s="544" t="s">
        <v>2622</v>
      </c>
      <c r="S132" s="544" t="s">
        <v>1674</v>
      </c>
      <c r="T132" s="550">
        <v>19</v>
      </c>
      <c r="U132" s="544" t="s">
        <v>2700</v>
      </c>
      <c r="V132" s="547">
        <v>83</v>
      </c>
      <c r="W132" s="548"/>
      <c r="Y132" s="544" t="s">
        <v>1674</v>
      </c>
      <c r="AA132" s="544" t="s">
        <v>1674</v>
      </c>
      <c r="AE132" s="551"/>
      <c r="AF132" s="544" t="s">
        <v>1674</v>
      </c>
      <c r="AG132" s="544" t="s">
        <v>1674</v>
      </c>
      <c r="AH132" s="544" t="s">
        <v>1674</v>
      </c>
      <c r="AI132" s="544" t="s">
        <v>1674</v>
      </c>
      <c r="AJ132" s="544" t="s">
        <v>1674</v>
      </c>
      <c r="AK132" s="544" t="s">
        <v>1674</v>
      </c>
      <c r="AL132" s="544" t="s">
        <v>1674</v>
      </c>
      <c r="AM132" s="544" t="s">
        <v>2762</v>
      </c>
      <c r="AN132" s="544" t="s">
        <v>1674</v>
      </c>
      <c r="AP132" s="552">
        <f t="shared" si="2"/>
        <v>688.06</v>
      </c>
    </row>
    <row r="133" spans="1:42" outlineLevel="1" x14ac:dyDescent="0.25">
      <c r="A133" s="544" t="s">
        <v>1674</v>
      </c>
      <c r="B133" s="545">
        <v>0</v>
      </c>
      <c r="C133" s="544" t="s">
        <v>1674</v>
      </c>
      <c r="D133" s="544" t="s">
        <v>2923</v>
      </c>
      <c r="E133" s="542" t="s">
        <v>2838</v>
      </c>
      <c r="F133" s="542" t="s">
        <v>2920</v>
      </c>
      <c r="G133" s="546">
        <v>685.44</v>
      </c>
      <c r="H133" s="546"/>
      <c r="I133" s="546">
        <v>685.44</v>
      </c>
      <c r="J133" s="542" t="s">
        <v>2701</v>
      </c>
      <c r="K133" s="547">
        <v>8400</v>
      </c>
      <c r="L133" s="542" t="s">
        <v>806</v>
      </c>
      <c r="M133" s="548"/>
      <c r="N133" s="549">
        <v>-11</v>
      </c>
      <c r="O133" s="544" t="s">
        <v>1674</v>
      </c>
      <c r="P133" s="544" t="s">
        <v>1674</v>
      </c>
      <c r="Q133" s="544" t="s">
        <v>2818</v>
      </c>
      <c r="R133" s="544" t="s">
        <v>2622</v>
      </c>
      <c r="S133" s="544" t="s">
        <v>1674</v>
      </c>
      <c r="T133" s="550">
        <v>19</v>
      </c>
      <c r="U133" s="544" t="s">
        <v>2697</v>
      </c>
      <c r="V133" s="547">
        <v>1151</v>
      </c>
      <c r="W133" s="548"/>
      <c r="Y133" s="544" t="s">
        <v>1674</v>
      </c>
      <c r="AA133" s="544" t="s">
        <v>1674</v>
      </c>
      <c r="AE133" s="551"/>
      <c r="AF133" s="544" t="s">
        <v>1674</v>
      </c>
      <c r="AG133" s="544" t="s">
        <v>1674</v>
      </c>
      <c r="AH133" s="544" t="s">
        <v>1674</v>
      </c>
      <c r="AI133" s="544" t="s">
        <v>1674</v>
      </c>
      <c r="AJ133" s="544" t="s">
        <v>1674</v>
      </c>
      <c r="AK133" s="544" t="s">
        <v>1674</v>
      </c>
      <c r="AL133" s="544" t="s">
        <v>1674</v>
      </c>
      <c r="AM133" s="544" t="s">
        <v>1674</v>
      </c>
      <c r="AN133" s="544" t="s">
        <v>1674</v>
      </c>
      <c r="AP133" s="552">
        <f t="shared" si="2"/>
        <v>685.44</v>
      </c>
    </row>
    <row r="134" spans="1:42" outlineLevel="1" x14ac:dyDescent="0.25">
      <c r="A134" s="544" t="s">
        <v>1674</v>
      </c>
      <c r="B134" s="545">
        <v>0</v>
      </c>
      <c r="C134" s="544" t="s">
        <v>1674</v>
      </c>
      <c r="D134" s="544" t="s">
        <v>3087</v>
      </c>
      <c r="E134" s="542" t="s">
        <v>3078</v>
      </c>
      <c r="F134" s="542" t="s">
        <v>3079</v>
      </c>
      <c r="G134" s="546">
        <v>25</v>
      </c>
      <c r="H134" s="546"/>
      <c r="I134" s="546">
        <v>685</v>
      </c>
      <c r="J134" s="542" t="s">
        <v>2701</v>
      </c>
      <c r="K134" s="547">
        <v>8336</v>
      </c>
      <c r="L134" s="542" t="s">
        <v>806</v>
      </c>
      <c r="M134" s="548"/>
      <c r="N134" s="549">
        <v>15</v>
      </c>
      <c r="O134" s="544" t="s">
        <v>1674</v>
      </c>
      <c r="P134" s="544" t="s">
        <v>1674</v>
      </c>
      <c r="Q134" s="544" t="s">
        <v>2801</v>
      </c>
      <c r="R134" s="544" t="s">
        <v>1674</v>
      </c>
      <c r="S134" s="544" t="s">
        <v>1674</v>
      </c>
      <c r="T134" s="550"/>
      <c r="U134" s="544" t="s">
        <v>2700</v>
      </c>
      <c r="V134" s="547">
        <v>230</v>
      </c>
      <c r="W134" s="548"/>
      <c r="Y134" s="544" t="s">
        <v>1674</v>
      </c>
      <c r="AA134" s="544" t="s">
        <v>1674</v>
      </c>
      <c r="AE134" s="551"/>
      <c r="AF134" s="544" t="s">
        <v>1674</v>
      </c>
      <c r="AG134" s="544" t="s">
        <v>1674</v>
      </c>
      <c r="AH134" s="544" t="s">
        <v>1674</v>
      </c>
      <c r="AI134" s="544" t="s">
        <v>1674</v>
      </c>
      <c r="AJ134" s="544" t="s">
        <v>1674</v>
      </c>
      <c r="AK134" s="544" t="s">
        <v>1674</v>
      </c>
      <c r="AL134" s="544" t="s">
        <v>1674</v>
      </c>
      <c r="AM134" s="544" t="s">
        <v>1674</v>
      </c>
      <c r="AN134" s="544" t="s">
        <v>1674</v>
      </c>
      <c r="AP134" s="552">
        <f t="shared" si="2"/>
        <v>685</v>
      </c>
    </row>
    <row r="135" spans="1:42" outlineLevel="1" x14ac:dyDescent="0.25">
      <c r="A135" s="544" t="s">
        <v>1674</v>
      </c>
      <c r="B135" s="545">
        <v>10500</v>
      </c>
      <c r="C135" s="544" t="s">
        <v>2918</v>
      </c>
      <c r="D135" s="544" t="s">
        <v>3125</v>
      </c>
      <c r="E135" s="542" t="s">
        <v>2912</v>
      </c>
      <c r="F135" s="542" t="s">
        <v>3119</v>
      </c>
      <c r="G135" s="546">
        <v>666.4</v>
      </c>
      <c r="H135" s="546"/>
      <c r="I135" s="546">
        <v>666.4</v>
      </c>
      <c r="J135" s="542" t="s">
        <v>2701</v>
      </c>
      <c r="K135" s="547">
        <v>8400</v>
      </c>
      <c r="L135" s="542" t="s">
        <v>806</v>
      </c>
      <c r="M135" s="548"/>
      <c r="N135" s="549">
        <v>17</v>
      </c>
      <c r="O135" s="544" t="s">
        <v>1674</v>
      </c>
      <c r="P135" s="544" t="s">
        <v>1674</v>
      </c>
      <c r="Q135" s="544" t="s">
        <v>3126</v>
      </c>
      <c r="R135" s="544" t="s">
        <v>2622</v>
      </c>
      <c r="S135" s="544" t="s">
        <v>1674</v>
      </c>
      <c r="T135" s="550">
        <v>19</v>
      </c>
      <c r="U135" s="544" t="s">
        <v>2700</v>
      </c>
      <c r="V135" s="547">
        <v>263</v>
      </c>
      <c r="W135" s="548"/>
      <c r="Y135" s="544" t="s">
        <v>1674</v>
      </c>
      <c r="AA135" s="544" t="s">
        <v>1674</v>
      </c>
      <c r="AE135" s="551"/>
      <c r="AF135" s="544" t="s">
        <v>1674</v>
      </c>
      <c r="AG135" s="544" t="s">
        <v>1674</v>
      </c>
      <c r="AH135" s="544" t="s">
        <v>1674</v>
      </c>
      <c r="AI135" s="544" t="s">
        <v>1674</v>
      </c>
      <c r="AJ135" s="544" t="s">
        <v>1674</v>
      </c>
      <c r="AK135" s="544" t="s">
        <v>1674</v>
      </c>
      <c r="AL135" s="544" t="s">
        <v>1674</v>
      </c>
      <c r="AM135" s="544" t="s">
        <v>2918</v>
      </c>
      <c r="AN135" s="544" t="s">
        <v>1674</v>
      </c>
      <c r="AP135" s="552">
        <f t="shared" si="2"/>
        <v>666.4</v>
      </c>
    </row>
    <row r="136" spans="1:42" outlineLevel="1" x14ac:dyDescent="0.25">
      <c r="A136" s="544" t="s">
        <v>1674</v>
      </c>
      <c r="B136" s="545">
        <v>0</v>
      </c>
      <c r="C136" s="544" t="s">
        <v>1674</v>
      </c>
      <c r="D136" s="544" t="s">
        <v>2821</v>
      </c>
      <c r="E136" s="542" t="s">
        <v>2822</v>
      </c>
      <c r="F136" s="542" t="s">
        <v>2823</v>
      </c>
      <c r="G136" s="546">
        <v>543.59</v>
      </c>
      <c r="H136" s="546"/>
      <c r="I136" s="546">
        <v>654.74</v>
      </c>
      <c r="J136" s="542" t="s">
        <v>2701</v>
      </c>
      <c r="K136" s="547">
        <v>8400</v>
      </c>
      <c r="L136" s="542" t="s">
        <v>806</v>
      </c>
      <c r="M136" s="548"/>
      <c r="N136" s="549">
        <v>-51</v>
      </c>
      <c r="O136" s="544" t="s">
        <v>1674</v>
      </c>
      <c r="P136" s="544" t="s">
        <v>1674</v>
      </c>
      <c r="Q136" s="544" t="s">
        <v>2824</v>
      </c>
      <c r="R136" s="544" t="s">
        <v>1674</v>
      </c>
      <c r="S136" s="544" t="s">
        <v>1674</v>
      </c>
      <c r="T136" s="550">
        <v>19</v>
      </c>
      <c r="U136" s="544" t="s">
        <v>2694</v>
      </c>
      <c r="V136" s="547">
        <v>180</v>
      </c>
      <c r="W136" s="548"/>
      <c r="Y136" s="544" t="s">
        <v>1674</v>
      </c>
      <c r="AA136" s="544" t="s">
        <v>1674</v>
      </c>
      <c r="AE136" s="551"/>
      <c r="AF136" s="544" t="s">
        <v>1674</v>
      </c>
      <c r="AG136" s="544" t="s">
        <v>1674</v>
      </c>
      <c r="AH136" s="544" t="s">
        <v>1674</v>
      </c>
      <c r="AI136" s="544" t="s">
        <v>1674</v>
      </c>
      <c r="AJ136" s="544" t="s">
        <v>1674</v>
      </c>
      <c r="AK136" s="544" t="s">
        <v>1674</v>
      </c>
      <c r="AL136" s="544" t="s">
        <v>1674</v>
      </c>
      <c r="AM136" s="544" t="s">
        <v>1674</v>
      </c>
      <c r="AN136" s="544" t="s">
        <v>1674</v>
      </c>
      <c r="AP136" s="552">
        <f t="shared" si="2"/>
        <v>654.74</v>
      </c>
    </row>
    <row r="137" spans="1:42" outlineLevel="1" x14ac:dyDescent="0.25">
      <c r="A137" s="544" t="s">
        <v>1674</v>
      </c>
      <c r="B137" s="545">
        <v>10400</v>
      </c>
      <c r="C137" s="544" t="s">
        <v>2730</v>
      </c>
      <c r="D137" s="544" t="s">
        <v>3161</v>
      </c>
      <c r="E137" s="542" t="s">
        <v>3158</v>
      </c>
      <c r="F137" s="542" t="s">
        <v>3159</v>
      </c>
      <c r="G137" s="546">
        <v>618.79999999999995</v>
      </c>
      <c r="H137" s="546"/>
      <c r="I137" s="546">
        <v>618.79999999999995</v>
      </c>
      <c r="J137" s="542" t="s">
        <v>2701</v>
      </c>
      <c r="K137" s="547">
        <v>8400</v>
      </c>
      <c r="L137" s="542" t="s">
        <v>806</v>
      </c>
      <c r="M137" s="548"/>
      <c r="N137" s="549">
        <v>18</v>
      </c>
      <c r="O137" s="544" t="s">
        <v>1674</v>
      </c>
      <c r="P137" s="544" t="s">
        <v>1674</v>
      </c>
      <c r="Q137" s="544" t="s">
        <v>3162</v>
      </c>
      <c r="R137" s="544" t="s">
        <v>1674</v>
      </c>
      <c r="S137" s="544" t="s">
        <v>1674</v>
      </c>
      <c r="T137" s="550">
        <v>19</v>
      </c>
      <c r="U137" s="544" t="s">
        <v>2700</v>
      </c>
      <c r="V137" s="547">
        <v>289</v>
      </c>
      <c r="W137" s="548"/>
      <c r="Y137" s="544" t="s">
        <v>1674</v>
      </c>
      <c r="AA137" s="544" t="s">
        <v>1674</v>
      </c>
      <c r="AE137" s="551"/>
      <c r="AF137" s="544" t="s">
        <v>1674</v>
      </c>
      <c r="AG137" s="544" t="s">
        <v>1674</v>
      </c>
      <c r="AH137" s="544" t="s">
        <v>1674</v>
      </c>
      <c r="AI137" s="544" t="s">
        <v>1674</v>
      </c>
      <c r="AJ137" s="544" t="s">
        <v>1674</v>
      </c>
      <c r="AK137" s="544" t="s">
        <v>1674</v>
      </c>
      <c r="AL137" s="544" t="s">
        <v>1674</v>
      </c>
      <c r="AM137" s="544" t="s">
        <v>2730</v>
      </c>
      <c r="AN137" s="544" t="s">
        <v>1674</v>
      </c>
      <c r="AP137" s="552">
        <f t="shared" si="2"/>
        <v>618.79999999999995</v>
      </c>
    </row>
    <row r="138" spans="1:42" outlineLevel="1" x14ac:dyDescent="0.25">
      <c r="A138" s="544" t="s">
        <v>1674</v>
      </c>
      <c r="B138" s="545">
        <v>0</v>
      </c>
      <c r="C138" s="544" t="s">
        <v>1674</v>
      </c>
      <c r="D138" s="544" t="s">
        <v>3169</v>
      </c>
      <c r="E138" s="542" t="s">
        <v>3158</v>
      </c>
      <c r="F138" s="542" t="s">
        <v>3159</v>
      </c>
      <c r="G138" s="546">
        <v>489.09</v>
      </c>
      <c r="H138" s="546"/>
      <c r="I138" s="546">
        <v>599.76</v>
      </c>
      <c r="J138" s="542" t="s">
        <v>2701</v>
      </c>
      <c r="K138" s="547">
        <v>8400</v>
      </c>
      <c r="L138" s="542" t="s">
        <v>806</v>
      </c>
      <c r="M138" s="548"/>
      <c r="N138" s="549">
        <v>18</v>
      </c>
      <c r="O138" s="544" t="s">
        <v>1674</v>
      </c>
      <c r="P138" s="544" t="s">
        <v>1674</v>
      </c>
      <c r="Q138" s="544" t="s">
        <v>3170</v>
      </c>
      <c r="R138" s="544" t="s">
        <v>1674</v>
      </c>
      <c r="S138" s="544" t="s">
        <v>1674</v>
      </c>
      <c r="T138" s="550">
        <v>19</v>
      </c>
      <c r="U138" s="544" t="s">
        <v>2700</v>
      </c>
      <c r="V138" s="547">
        <v>297</v>
      </c>
      <c r="W138" s="548"/>
      <c r="Y138" s="544" t="s">
        <v>1674</v>
      </c>
      <c r="AA138" s="544" t="s">
        <v>1674</v>
      </c>
      <c r="AE138" s="551"/>
      <c r="AF138" s="544" t="s">
        <v>1674</v>
      </c>
      <c r="AG138" s="544" t="s">
        <v>1674</v>
      </c>
      <c r="AH138" s="544" t="s">
        <v>1674</v>
      </c>
      <c r="AI138" s="544" t="s">
        <v>1674</v>
      </c>
      <c r="AJ138" s="544" t="s">
        <v>1674</v>
      </c>
      <c r="AK138" s="544" t="s">
        <v>1674</v>
      </c>
      <c r="AL138" s="544" t="s">
        <v>1674</v>
      </c>
      <c r="AM138" s="544" t="s">
        <v>1674</v>
      </c>
      <c r="AN138" s="544" t="s">
        <v>1674</v>
      </c>
      <c r="AP138" s="552">
        <f t="shared" si="2"/>
        <v>599.76</v>
      </c>
    </row>
    <row r="139" spans="1:42" outlineLevel="1" x14ac:dyDescent="0.25">
      <c r="A139" s="544" t="s">
        <v>1674</v>
      </c>
      <c r="B139" s="545">
        <v>10237</v>
      </c>
      <c r="C139" s="544" t="s">
        <v>2750</v>
      </c>
      <c r="D139" s="544" t="s">
        <v>2849</v>
      </c>
      <c r="E139" s="542" t="s">
        <v>2850</v>
      </c>
      <c r="F139" s="542" t="s">
        <v>2851</v>
      </c>
      <c r="G139" s="546">
        <v>595</v>
      </c>
      <c r="H139" s="546"/>
      <c r="I139" s="546">
        <v>595</v>
      </c>
      <c r="J139" s="542" t="s">
        <v>2701</v>
      </c>
      <c r="K139" s="547">
        <v>8404</v>
      </c>
      <c r="L139" s="542" t="s">
        <v>806</v>
      </c>
      <c r="M139" s="548"/>
      <c r="N139" s="549">
        <v>-27</v>
      </c>
      <c r="O139" s="544" t="s">
        <v>1674</v>
      </c>
      <c r="P139" s="544" t="s">
        <v>1674</v>
      </c>
      <c r="Q139" s="544" t="s">
        <v>2754</v>
      </c>
      <c r="R139" s="544" t="s">
        <v>1674</v>
      </c>
      <c r="S139" s="544" t="s">
        <v>1674</v>
      </c>
      <c r="T139" s="550">
        <v>19</v>
      </c>
      <c r="U139" s="544" t="s">
        <v>2697</v>
      </c>
      <c r="V139" s="547">
        <v>115</v>
      </c>
      <c r="W139" s="548"/>
      <c r="Y139" s="544" t="s">
        <v>1674</v>
      </c>
      <c r="AA139" s="544" t="s">
        <v>1674</v>
      </c>
      <c r="AE139" s="551"/>
      <c r="AF139" s="544" t="s">
        <v>1674</v>
      </c>
      <c r="AG139" s="544" t="s">
        <v>1674</v>
      </c>
      <c r="AH139" s="544" t="s">
        <v>1674</v>
      </c>
      <c r="AI139" s="544" t="s">
        <v>1674</v>
      </c>
      <c r="AJ139" s="544" t="s">
        <v>1674</v>
      </c>
      <c r="AK139" s="544" t="s">
        <v>1674</v>
      </c>
      <c r="AL139" s="544" t="s">
        <v>1674</v>
      </c>
      <c r="AM139" s="544" t="s">
        <v>2755</v>
      </c>
      <c r="AN139" s="544" t="s">
        <v>1674</v>
      </c>
      <c r="AP139" s="552">
        <f t="shared" si="2"/>
        <v>595</v>
      </c>
    </row>
    <row r="140" spans="1:42" outlineLevel="1" x14ac:dyDescent="0.25">
      <c r="A140" s="544" t="s">
        <v>1674</v>
      </c>
      <c r="B140" s="545">
        <v>0</v>
      </c>
      <c r="C140" s="544" t="s">
        <v>1674</v>
      </c>
      <c r="D140" s="544" t="s">
        <v>2852</v>
      </c>
      <c r="E140" s="542" t="s">
        <v>2850</v>
      </c>
      <c r="F140" s="542" t="s">
        <v>2851</v>
      </c>
      <c r="G140" s="546">
        <v>595</v>
      </c>
      <c r="H140" s="546"/>
      <c r="I140" s="546">
        <v>595</v>
      </c>
      <c r="J140" s="542" t="s">
        <v>2701</v>
      </c>
      <c r="K140" s="547">
        <v>8404</v>
      </c>
      <c r="L140" s="542" t="s">
        <v>806</v>
      </c>
      <c r="M140" s="548"/>
      <c r="N140" s="549">
        <v>-27</v>
      </c>
      <c r="O140" s="544" t="s">
        <v>1674</v>
      </c>
      <c r="P140" s="544" t="s">
        <v>1674</v>
      </c>
      <c r="Q140" s="544" t="s">
        <v>2754</v>
      </c>
      <c r="R140" s="544" t="s">
        <v>1674</v>
      </c>
      <c r="S140" s="544" t="s">
        <v>1674</v>
      </c>
      <c r="T140" s="550">
        <v>19</v>
      </c>
      <c r="U140" s="544" t="s">
        <v>2697</v>
      </c>
      <c r="V140" s="547">
        <v>116</v>
      </c>
      <c r="W140" s="548"/>
      <c r="Y140" s="544" t="s">
        <v>1674</v>
      </c>
      <c r="AA140" s="544" t="s">
        <v>1674</v>
      </c>
      <c r="AE140" s="551"/>
      <c r="AF140" s="544" t="s">
        <v>1674</v>
      </c>
      <c r="AG140" s="544" t="s">
        <v>1674</v>
      </c>
      <c r="AH140" s="544" t="s">
        <v>1674</v>
      </c>
      <c r="AI140" s="544" t="s">
        <v>1674</v>
      </c>
      <c r="AJ140" s="544" t="s">
        <v>1674</v>
      </c>
      <c r="AK140" s="544" t="s">
        <v>1674</v>
      </c>
      <c r="AL140" s="544" t="s">
        <v>1674</v>
      </c>
      <c r="AM140" s="544" t="s">
        <v>1674</v>
      </c>
      <c r="AN140" s="544" t="s">
        <v>1674</v>
      </c>
      <c r="AP140" s="552">
        <f t="shared" si="2"/>
        <v>595</v>
      </c>
    </row>
    <row r="141" spans="1:42" outlineLevel="1" x14ac:dyDescent="0.25">
      <c r="A141" s="544" t="s">
        <v>1674</v>
      </c>
      <c r="B141" s="545">
        <v>0</v>
      </c>
      <c r="C141" s="544" t="s">
        <v>1674</v>
      </c>
      <c r="D141" s="544" t="s">
        <v>2853</v>
      </c>
      <c r="E141" s="542" t="s">
        <v>2850</v>
      </c>
      <c r="F141" s="542" t="s">
        <v>2851</v>
      </c>
      <c r="G141" s="546">
        <v>595</v>
      </c>
      <c r="H141" s="546"/>
      <c r="I141" s="546">
        <v>595</v>
      </c>
      <c r="J141" s="542" t="s">
        <v>2701</v>
      </c>
      <c r="K141" s="547">
        <v>8404</v>
      </c>
      <c r="L141" s="542" t="s">
        <v>806</v>
      </c>
      <c r="M141" s="548"/>
      <c r="N141" s="549">
        <v>-27</v>
      </c>
      <c r="O141" s="544" t="s">
        <v>1674</v>
      </c>
      <c r="P141" s="544" t="s">
        <v>1674</v>
      </c>
      <c r="Q141" s="544" t="s">
        <v>2754</v>
      </c>
      <c r="R141" s="544" t="s">
        <v>1674</v>
      </c>
      <c r="S141" s="544" t="s">
        <v>1674</v>
      </c>
      <c r="T141" s="550">
        <v>19</v>
      </c>
      <c r="U141" s="544" t="s">
        <v>2697</v>
      </c>
      <c r="V141" s="547">
        <v>117</v>
      </c>
      <c r="W141" s="548"/>
      <c r="Y141" s="544" t="s">
        <v>1674</v>
      </c>
      <c r="AA141" s="544" t="s">
        <v>1674</v>
      </c>
      <c r="AE141" s="551"/>
      <c r="AF141" s="544" t="s">
        <v>1674</v>
      </c>
      <c r="AG141" s="544" t="s">
        <v>1674</v>
      </c>
      <c r="AH141" s="544" t="s">
        <v>1674</v>
      </c>
      <c r="AI141" s="544" t="s">
        <v>1674</v>
      </c>
      <c r="AJ141" s="544" t="s">
        <v>1674</v>
      </c>
      <c r="AK141" s="544" t="s">
        <v>1674</v>
      </c>
      <c r="AL141" s="544" t="s">
        <v>1674</v>
      </c>
      <c r="AM141" s="544" t="s">
        <v>1674</v>
      </c>
      <c r="AN141" s="544" t="s">
        <v>1674</v>
      </c>
      <c r="AP141" s="552">
        <f t="shared" si="2"/>
        <v>595</v>
      </c>
    </row>
    <row r="142" spans="1:42" outlineLevel="1" x14ac:dyDescent="0.25">
      <c r="A142" s="544" t="s">
        <v>1674</v>
      </c>
      <c r="B142" s="545">
        <v>10800</v>
      </c>
      <c r="C142" s="544" t="s">
        <v>2967</v>
      </c>
      <c r="D142" s="544" t="s">
        <v>2968</v>
      </c>
      <c r="E142" s="542" t="s">
        <v>2965</v>
      </c>
      <c r="F142" s="542" t="s">
        <v>2969</v>
      </c>
      <c r="G142" s="546">
        <v>595</v>
      </c>
      <c r="H142" s="546"/>
      <c r="I142" s="546">
        <v>595</v>
      </c>
      <c r="J142" s="542" t="s">
        <v>2701</v>
      </c>
      <c r="K142" s="547">
        <v>8404</v>
      </c>
      <c r="L142" s="542" t="s">
        <v>806</v>
      </c>
      <c r="M142" s="548"/>
      <c r="N142" s="549">
        <v>-4</v>
      </c>
      <c r="O142" s="544" t="s">
        <v>1674</v>
      </c>
      <c r="P142" s="544" t="s">
        <v>1674</v>
      </c>
      <c r="Q142" s="544" t="s">
        <v>2970</v>
      </c>
      <c r="R142" s="544" t="s">
        <v>1674</v>
      </c>
      <c r="S142" s="544" t="s">
        <v>1674</v>
      </c>
      <c r="T142" s="550">
        <v>19</v>
      </c>
      <c r="U142" s="544" t="s">
        <v>2697</v>
      </c>
      <c r="V142" s="547">
        <v>1599</v>
      </c>
      <c r="W142" s="548"/>
      <c r="Y142" s="544" t="s">
        <v>1674</v>
      </c>
      <c r="AA142" s="544" t="s">
        <v>1674</v>
      </c>
      <c r="AE142" s="551"/>
      <c r="AF142" s="544" t="s">
        <v>1674</v>
      </c>
      <c r="AG142" s="544" t="s">
        <v>1674</v>
      </c>
      <c r="AH142" s="544" t="s">
        <v>1674</v>
      </c>
      <c r="AI142" s="544" t="s">
        <v>1674</v>
      </c>
      <c r="AJ142" s="544" t="s">
        <v>1674</v>
      </c>
      <c r="AK142" s="544" t="s">
        <v>1674</v>
      </c>
      <c r="AL142" s="544" t="s">
        <v>1674</v>
      </c>
      <c r="AM142" s="544" t="s">
        <v>2967</v>
      </c>
      <c r="AN142" s="544" t="s">
        <v>1674</v>
      </c>
      <c r="AP142" s="552">
        <f t="shared" si="2"/>
        <v>595</v>
      </c>
    </row>
    <row r="143" spans="1:42" outlineLevel="1" x14ac:dyDescent="0.25">
      <c r="A143" s="544" t="s">
        <v>1674</v>
      </c>
      <c r="B143" s="545">
        <v>0</v>
      </c>
      <c r="C143" s="544" t="s">
        <v>1674</v>
      </c>
      <c r="D143" s="544" t="s">
        <v>2971</v>
      </c>
      <c r="E143" s="542" t="s">
        <v>2965</v>
      </c>
      <c r="F143" s="542" t="s">
        <v>2969</v>
      </c>
      <c r="G143" s="546">
        <v>595</v>
      </c>
      <c r="H143" s="546"/>
      <c r="I143" s="546">
        <v>595</v>
      </c>
      <c r="J143" s="542" t="s">
        <v>2701</v>
      </c>
      <c r="K143" s="547">
        <v>8404</v>
      </c>
      <c r="L143" s="542" t="s">
        <v>806</v>
      </c>
      <c r="M143" s="548"/>
      <c r="N143" s="549">
        <v>-4</v>
      </c>
      <c r="O143" s="544" t="s">
        <v>1674</v>
      </c>
      <c r="P143" s="544" t="s">
        <v>1674</v>
      </c>
      <c r="Q143" s="544" t="s">
        <v>2970</v>
      </c>
      <c r="R143" s="544" t="s">
        <v>1674</v>
      </c>
      <c r="S143" s="544" t="s">
        <v>1674</v>
      </c>
      <c r="T143" s="550">
        <v>19</v>
      </c>
      <c r="U143" s="544" t="s">
        <v>2697</v>
      </c>
      <c r="V143" s="547">
        <v>1600</v>
      </c>
      <c r="W143" s="548"/>
      <c r="Y143" s="544" t="s">
        <v>1674</v>
      </c>
      <c r="AA143" s="544" t="s">
        <v>1674</v>
      </c>
      <c r="AE143" s="551"/>
      <c r="AF143" s="544" t="s">
        <v>1674</v>
      </c>
      <c r="AG143" s="544" t="s">
        <v>1674</v>
      </c>
      <c r="AH143" s="544" t="s">
        <v>1674</v>
      </c>
      <c r="AI143" s="544" t="s">
        <v>1674</v>
      </c>
      <c r="AJ143" s="544" t="s">
        <v>1674</v>
      </c>
      <c r="AK143" s="544" t="s">
        <v>1674</v>
      </c>
      <c r="AL143" s="544" t="s">
        <v>1674</v>
      </c>
      <c r="AM143" s="544" t="s">
        <v>1674</v>
      </c>
      <c r="AN143" s="544" t="s">
        <v>1674</v>
      </c>
      <c r="AP143" s="552">
        <f t="shared" si="2"/>
        <v>595</v>
      </c>
    </row>
    <row r="144" spans="1:42" outlineLevel="1" x14ac:dyDescent="0.25">
      <c r="A144" s="544" t="s">
        <v>1674</v>
      </c>
      <c r="B144" s="545">
        <v>0</v>
      </c>
      <c r="C144" s="544" t="s">
        <v>1674</v>
      </c>
      <c r="D144" s="544" t="s">
        <v>2972</v>
      </c>
      <c r="E144" s="542" t="s">
        <v>2965</v>
      </c>
      <c r="F144" s="542" t="s">
        <v>2969</v>
      </c>
      <c r="G144" s="546">
        <v>595</v>
      </c>
      <c r="H144" s="546"/>
      <c r="I144" s="546">
        <v>595</v>
      </c>
      <c r="J144" s="542" t="s">
        <v>2701</v>
      </c>
      <c r="K144" s="547">
        <v>8404</v>
      </c>
      <c r="L144" s="542" t="s">
        <v>806</v>
      </c>
      <c r="M144" s="548"/>
      <c r="N144" s="549">
        <v>-4</v>
      </c>
      <c r="O144" s="544" t="s">
        <v>1674</v>
      </c>
      <c r="P144" s="544" t="s">
        <v>1674</v>
      </c>
      <c r="Q144" s="544" t="s">
        <v>2970</v>
      </c>
      <c r="R144" s="544" t="s">
        <v>1674</v>
      </c>
      <c r="S144" s="544" t="s">
        <v>1674</v>
      </c>
      <c r="T144" s="550">
        <v>19</v>
      </c>
      <c r="U144" s="544" t="s">
        <v>2697</v>
      </c>
      <c r="V144" s="547">
        <v>1601</v>
      </c>
      <c r="W144" s="548"/>
      <c r="Y144" s="544" t="s">
        <v>1674</v>
      </c>
      <c r="AA144" s="544" t="s">
        <v>1674</v>
      </c>
      <c r="AE144" s="551"/>
      <c r="AF144" s="544" t="s">
        <v>1674</v>
      </c>
      <c r="AG144" s="544" t="s">
        <v>1674</v>
      </c>
      <c r="AH144" s="544" t="s">
        <v>1674</v>
      </c>
      <c r="AI144" s="544" t="s">
        <v>1674</v>
      </c>
      <c r="AJ144" s="544" t="s">
        <v>1674</v>
      </c>
      <c r="AK144" s="544" t="s">
        <v>1674</v>
      </c>
      <c r="AL144" s="544" t="s">
        <v>1674</v>
      </c>
      <c r="AM144" s="544" t="s">
        <v>1674</v>
      </c>
      <c r="AN144" s="544" t="s">
        <v>1674</v>
      </c>
      <c r="AP144" s="552">
        <f t="shared" si="2"/>
        <v>595</v>
      </c>
    </row>
    <row r="145" spans="1:42" outlineLevel="1" x14ac:dyDescent="0.25">
      <c r="A145" s="544" t="s">
        <v>1674</v>
      </c>
      <c r="B145" s="545">
        <v>10500</v>
      </c>
      <c r="C145" s="544" t="s">
        <v>2918</v>
      </c>
      <c r="D145" s="544" t="s">
        <v>3273</v>
      </c>
      <c r="E145" s="542" t="s">
        <v>3269</v>
      </c>
      <c r="F145" s="542" t="s">
        <v>3270</v>
      </c>
      <c r="G145" s="546">
        <v>595</v>
      </c>
      <c r="H145" s="546"/>
      <c r="I145" s="546">
        <v>595</v>
      </c>
      <c r="J145" s="542" t="s">
        <v>2701</v>
      </c>
      <c r="K145" s="547">
        <v>8404</v>
      </c>
      <c r="L145" s="542" t="s">
        <v>806</v>
      </c>
      <c r="M145" s="548"/>
      <c r="N145" s="549">
        <v>29</v>
      </c>
      <c r="O145" s="544" t="s">
        <v>1674</v>
      </c>
      <c r="P145" s="544" t="s">
        <v>1674</v>
      </c>
      <c r="Q145" s="544" t="s">
        <v>2921</v>
      </c>
      <c r="R145" s="544" t="s">
        <v>1674</v>
      </c>
      <c r="S145" s="544" t="s">
        <v>1674</v>
      </c>
      <c r="T145" s="550">
        <v>19</v>
      </c>
      <c r="U145" s="544" t="s">
        <v>2700</v>
      </c>
      <c r="V145" s="547">
        <v>377</v>
      </c>
      <c r="W145" s="548"/>
      <c r="Y145" s="544" t="s">
        <v>1674</v>
      </c>
      <c r="AA145" s="544" t="s">
        <v>1674</v>
      </c>
      <c r="AE145" s="551"/>
      <c r="AF145" s="544" t="s">
        <v>1674</v>
      </c>
      <c r="AG145" s="544" t="s">
        <v>1674</v>
      </c>
      <c r="AH145" s="544" t="s">
        <v>1674</v>
      </c>
      <c r="AI145" s="544" t="s">
        <v>1674</v>
      </c>
      <c r="AJ145" s="544" t="s">
        <v>1674</v>
      </c>
      <c r="AK145" s="544" t="s">
        <v>1674</v>
      </c>
      <c r="AL145" s="544" t="s">
        <v>1674</v>
      </c>
      <c r="AM145" s="544" t="s">
        <v>2918</v>
      </c>
      <c r="AN145" s="544" t="s">
        <v>1674</v>
      </c>
      <c r="AP145" s="552">
        <f t="shared" si="2"/>
        <v>595</v>
      </c>
    </row>
    <row r="146" spans="1:42" outlineLevel="1" x14ac:dyDescent="0.25">
      <c r="A146" s="544" t="s">
        <v>1674</v>
      </c>
      <c r="B146" s="545">
        <v>11000</v>
      </c>
      <c r="C146" s="544" t="s">
        <v>2900</v>
      </c>
      <c r="D146" s="544" t="s">
        <v>3274</v>
      </c>
      <c r="E146" s="542" t="s">
        <v>3269</v>
      </c>
      <c r="F146" s="542" t="s">
        <v>3270</v>
      </c>
      <c r="G146" s="546">
        <v>595</v>
      </c>
      <c r="H146" s="546"/>
      <c r="I146" s="546">
        <v>595</v>
      </c>
      <c r="J146" s="542" t="s">
        <v>2701</v>
      </c>
      <c r="K146" s="547">
        <v>8404</v>
      </c>
      <c r="L146" s="542" t="s">
        <v>806</v>
      </c>
      <c r="M146" s="548"/>
      <c r="N146" s="549">
        <v>29</v>
      </c>
      <c r="O146" s="544" t="s">
        <v>1674</v>
      </c>
      <c r="P146" s="544" t="s">
        <v>1674</v>
      </c>
      <c r="Q146" s="544" t="s">
        <v>3250</v>
      </c>
      <c r="R146" s="544" t="s">
        <v>1674</v>
      </c>
      <c r="S146" s="544" t="s">
        <v>1674</v>
      </c>
      <c r="T146" s="550">
        <v>19</v>
      </c>
      <c r="U146" s="544" t="s">
        <v>2700</v>
      </c>
      <c r="V146" s="547">
        <v>373</v>
      </c>
      <c r="W146" s="548"/>
      <c r="Y146" s="544" t="s">
        <v>1674</v>
      </c>
      <c r="AA146" s="544" t="s">
        <v>1674</v>
      </c>
      <c r="AE146" s="551"/>
      <c r="AF146" s="544" t="s">
        <v>1674</v>
      </c>
      <c r="AG146" s="544" t="s">
        <v>1674</v>
      </c>
      <c r="AH146" s="544" t="s">
        <v>1674</v>
      </c>
      <c r="AI146" s="544" t="s">
        <v>1674</v>
      </c>
      <c r="AJ146" s="544" t="s">
        <v>1674</v>
      </c>
      <c r="AK146" s="544" t="s">
        <v>1674</v>
      </c>
      <c r="AL146" s="544" t="s">
        <v>1674</v>
      </c>
      <c r="AM146" s="544" t="s">
        <v>2900</v>
      </c>
      <c r="AN146" s="544" t="s">
        <v>1674</v>
      </c>
      <c r="AP146" s="552">
        <f t="shared" si="2"/>
        <v>595</v>
      </c>
    </row>
    <row r="147" spans="1:42" outlineLevel="1" x14ac:dyDescent="0.25">
      <c r="A147" s="544" t="s">
        <v>1674</v>
      </c>
      <c r="B147" s="545">
        <v>11200</v>
      </c>
      <c r="C147" s="544" t="s">
        <v>2871</v>
      </c>
      <c r="D147" s="544" t="s">
        <v>3275</v>
      </c>
      <c r="E147" s="542" t="s">
        <v>3269</v>
      </c>
      <c r="F147" s="542" t="s">
        <v>3270</v>
      </c>
      <c r="G147" s="546">
        <v>595</v>
      </c>
      <c r="H147" s="546"/>
      <c r="I147" s="546">
        <v>595</v>
      </c>
      <c r="J147" s="542" t="s">
        <v>2701</v>
      </c>
      <c r="K147" s="547">
        <v>8404</v>
      </c>
      <c r="L147" s="542" t="s">
        <v>806</v>
      </c>
      <c r="M147" s="548"/>
      <c r="N147" s="549">
        <v>29</v>
      </c>
      <c r="O147" s="544" t="s">
        <v>1674</v>
      </c>
      <c r="P147" s="544" t="s">
        <v>1674</v>
      </c>
      <c r="Q147" s="544" t="s">
        <v>2914</v>
      </c>
      <c r="R147" s="544" t="s">
        <v>1674</v>
      </c>
      <c r="S147" s="544" t="s">
        <v>1674</v>
      </c>
      <c r="T147" s="550">
        <v>19</v>
      </c>
      <c r="U147" s="544" t="s">
        <v>2700</v>
      </c>
      <c r="V147" s="547">
        <v>375</v>
      </c>
      <c r="W147" s="548"/>
      <c r="Y147" s="544" t="s">
        <v>1674</v>
      </c>
      <c r="AA147" s="544" t="s">
        <v>1674</v>
      </c>
      <c r="AE147" s="551"/>
      <c r="AF147" s="544" t="s">
        <v>1674</v>
      </c>
      <c r="AG147" s="544" t="s">
        <v>1674</v>
      </c>
      <c r="AH147" s="544" t="s">
        <v>1674</v>
      </c>
      <c r="AI147" s="544" t="s">
        <v>1674</v>
      </c>
      <c r="AJ147" s="544" t="s">
        <v>1674</v>
      </c>
      <c r="AK147" s="544" t="s">
        <v>1674</v>
      </c>
      <c r="AL147" s="544" t="s">
        <v>1674</v>
      </c>
      <c r="AM147" s="544" t="s">
        <v>2871</v>
      </c>
      <c r="AN147" s="544" t="s">
        <v>1674</v>
      </c>
      <c r="AP147" s="552">
        <f t="shared" si="2"/>
        <v>595</v>
      </c>
    </row>
    <row r="148" spans="1:42" outlineLevel="1" x14ac:dyDescent="0.25">
      <c r="A148" s="544" t="s">
        <v>1674</v>
      </c>
      <c r="B148" s="545">
        <v>0</v>
      </c>
      <c r="C148" s="544" t="s">
        <v>1674</v>
      </c>
      <c r="D148" s="544" t="s">
        <v>3276</v>
      </c>
      <c r="E148" s="542" t="s">
        <v>3269</v>
      </c>
      <c r="F148" s="542" t="s">
        <v>3270</v>
      </c>
      <c r="G148" s="546">
        <v>595</v>
      </c>
      <c r="H148" s="546"/>
      <c r="I148" s="546">
        <v>595</v>
      </c>
      <c r="J148" s="542" t="s">
        <v>2701</v>
      </c>
      <c r="K148" s="547">
        <v>8404</v>
      </c>
      <c r="L148" s="542" t="s">
        <v>806</v>
      </c>
      <c r="M148" s="548"/>
      <c r="N148" s="549">
        <v>29</v>
      </c>
      <c r="O148" s="544" t="s">
        <v>1674</v>
      </c>
      <c r="P148" s="544" t="s">
        <v>1674</v>
      </c>
      <c r="Q148" s="544" t="s">
        <v>2914</v>
      </c>
      <c r="R148" s="544" t="s">
        <v>1674</v>
      </c>
      <c r="S148" s="544" t="s">
        <v>1674</v>
      </c>
      <c r="T148" s="550">
        <v>19</v>
      </c>
      <c r="U148" s="544" t="s">
        <v>2700</v>
      </c>
      <c r="V148" s="547">
        <v>376</v>
      </c>
      <c r="W148" s="548"/>
      <c r="Y148" s="544" t="s">
        <v>1674</v>
      </c>
      <c r="AA148" s="544" t="s">
        <v>1674</v>
      </c>
      <c r="AE148" s="551"/>
      <c r="AF148" s="544" t="s">
        <v>1674</v>
      </c>
      <c r="AG148" s="544" t="s">
        <v>1674</v>
      </c>
      <c r="AH148" s="544" t="s">
        <v>1674</v>
      </c>
      <c r="AI148" s="544" t="s">
        <v>1674</v>
      </c>
      <c r="AJ148" s="544" t="s">
        <v>1674</v>
      </c>
      <c r="AK148" s="544" t="s">
        <v>1674</v>
      </c>
      <c r="AL148" s="544" t="s">
        <v>1674</v>
      </c>
      <c r="AM148" s="544" t="s">
        <v>1674</v>
      </c>
      <c r="AN148" s="544" t="s">
        <v>1674</v>
      </c>
      <c r="AP148" s="552">
        <f t="shared" si="2"/>
        <v>595</v>
      </c>
    </row>
    <row r="149" spans="1:42" outlineLevel="1" x14ac:dyDescent="0.25">
      <c r="A149" s="544" t="s">
        <v>1674</v>
      </c>
      <c r="B149" s="545">
        <v>22203</v>
      </c>
      <c r="C149" s="544" t="s">
        <v>2934</v>
      </c>
      <c r="D149" s="544" t="s">
        <v>2935</v>
      </c>
      <c r="E149" s="542" t="s">
        <v>2844</v>
      </c>
      <c r="F149" s="542" t="s">
        <v>2930</v>
      </c>
      <c r="G149" s="546">
        <v>544.5</v>
      </c>
      <c r="H149" s="546"/>
      <c r="I149" s="546">
        <v>544.5</v>
      </c>
      <c r="J149" s="542" t="s">
        <v>2701</v>
      </c>
      <c r="K149" s="547">
        <v>8125</v>
      </c>
      <c r="L149" s="542" t="s">
        <v>806</v>
      </c>
      <c r="M149" s="548"/>
      <c r="N149" s="549">
        <v>-10</v>
      </c>
      <c r="O149" s="544" t="s">
        <v>1674</v>
      </c>
      <c r="P149" s="544" t="s">
        <v>1674</v>
      </c>
      <c r="Q149" s="544" t="s">
        <v>2936</v>
      </c>
      <c r="R149" s="544" t="s">
        <v>1674</v>
      </c>
      <c r="S149" s="544" t="s">
        <v>1674</v>
      </c>
      <c r="T149" s="550"/>
      <c r="U149" s="544" t="s">
        <v>2697</v>
      </c>
      <c r="V149" s="547">
        <v>1240</v>
      </c>
      <c r="W149" s="548"/>
      <c r="Y149" s="544" t="s">
        <v>1674</v>
      </c>
      <c r="AA149" s="544" t="s">
        <v>1674</v>
      </c>
      <c r="AE149" s="551"/>
      <c r="AF149" s="544" t="s">
        <v>1674</v>
      </c>
      <c r="AG149" s="544" t="s">
        <v>1674</v>
      </c>
      <c r="AH149" s="544" t="s">
        <v>1674</v>
      </c>
      <c r="AI149" s="544" t="s">
        <v>1674</v>
      </c>
      <c r="AJ149" s="544" t="s">
        <v>1674</v>
      </c>
      <c r="AK149" s="544" t="s">
        <v>1674</v>
      </c>
      <c r="AL149" s="544" t="s">
        <v>1674</v>
      </c>
      <c r="AM149" s="544" t="s">
        <v>2937</v>
      </c>
      <c r="AN149" s="544" t="s">
        <v>1674</v>
      </c>
      <c r="AP149" s="552">
        <f t="shared" si="2"/>
        <v>544.5</v>
      </c>
    </row>
    <row r="150" spans="1:42" outlineLevel="1" x14ac:dyDescent="0.25">
      <c r="A150" s="544" t="s">
        <v>1674</v>
      </c>
      <c r="B150" s="545">
        <v>11900</v>
      </c>
      <c r="C150" s="544" t="s">
        <v>2854</v>
      </c>
      <c r="D150" s="544" t="s">
        <v>3232</v>
      </c>
      <c r="E150" s="542" t="s">
        <v>2920</v>
      </c>
      <c r="F150" s="542" t="s">
        <v>3181</v>
      </c>
      <c r="G150" s="546">
        <v>524.79</v>
      </c>
      <c r="H150" s="546"/>
      <c r="I150" s="546">
        <v>524.79</v>
      </c>
      <c r="J150" s="542" t="s">
        <v>2701</v>
      </c>
      <c r="K150" s="547">
        <v>8400</v>
      </c>
      <c r="L150" s="542" t="s">
        <v>806</v>
      </c>
      <c r="M150" s="548"/>
      <c r="N150" s="549">
        <v>19</v>
      </c>
      <c r="O150" s="544" t="s">
        <v>1674</v>
      </c>
      <c r="P150" s="544" t="s">
        <v>1674</v>
      </c>
      <c r="Q150" s="544" t="s">
        <v>2857</v>
      </c>
      <c r="R150" s="544" t="s">
        <v>1674</v>
      </c>
      <c r="S150" s="544" t="s">
        <v>1674</v>
      </c>
      <c r="T150" s="550">
        <v>19</v>
      </c>
      <c r="U150" s="544" t="s">
        <v>2700</v>
      </c>
      <c r="V150" s="547">
        <v>332</v>
      </c>
      <c r="W150" s="548"/>
      <c r="Y150" s="544" t="s">
        <v>1674</v>
      </c>
      <c r="AA150" s="544" t="s">
        <v>1674</v>
      </c>
      <c r="AE150" s="551"/>
      <c r="AF150" s="544" t="s">
        <v>1674</v>
      </c>
      <c r="AG150" s="544" t="s">
        <v>1674</v>
      </c>
      <c r="AH150" s="544" t="s">
        <v>1674</v>
      </c>
      <c r="AI150" s="544" t="s">
        <v>1674</v>
      </c>
      <c r="AJ150" s="544" t="s">
        <v>1674</v>
      </c>
      <c r="AK150" s="544" t="s">
        <v>1674</v>
      </c>
      <c r="AL150" s="544" t="s">
        <v>1674</v>
      </c>
      <c r="AM150" s="544" t="s">
        <v>2854</v>
      </c>
      <c r="AN150" s="544" t="s">
        <v>1674</v>
      </c>
      <c r="AP150" s="552">
        <f t="shared" si="2"/>
        <v>524.79</v>
      </c>
    </row>
    <row r="151" spans="1:42" outlineLevel="1" x14ac:dyDescent="0.25">
      <c r="A151" s="544" t="s">
        <v>1674</v>
      </c>
      <c r="B151" s="545">
        <v>31501</v>
      </c>
      <c r="C151" s="544" t="s">
        <v>2826</v>
      </c>
      <c r="D151" s="544" t="s">
        <v>2880</v>
      </c>
      <c r="E151" s="542" t="s">
        <v>2866</v>
      </c>
      <c r="F151" s="542" t="s">
        <v>2867</v>
      </c>
      <c r="G151" s="546">
        <v>500</v>
      </c>
      <c r="H151" s="546"/>
      <c r="I151" s="546">
        <v>500</v>
      </c>
      <c r="J151" s="542" t="s">
        <v>2701</v>
      </c>
      <c r="K151" s="547">
        <v>8338</v>
      </c>
      <c r="L151" s="542" t="s">
        <v>806</v>
      </c>
      <c r="M151" s="548"/>
      <c r="N151" s="549">
        <v>-23</v>
      </c>
      <c r="O151" s="544" t="s">
        <v>1674</v>
      </c>
      <c r="P151" s="544" t="s">
        <v>1674</v>
      </c>
      <c r="Q151" s="544" t="s">
        <v>2830</v>
      </c>
      <c r="R151" s="544" t="s">
        <v>1674</v>
      </c>
      <c r="S151" s="544" t="s">
        <v>1674</v>
      </c>
      <c r="T151" s="550"/>
      <c r="U151" s="544" t="s">
        <v>2697</v>
      </c>
      <c r="V151" s="547">
        <v>545</v>
      </c>
      <c r="W151" s="548"/>
      <c r="Y151" s="544" t="s">
        <v>1674</v>
      </c>
      <c r="AA151" s="544" t="s">
        <v>1674</v>
      </c>
      <c r="AE151" s="551"/>
      <c r="AF151" s="544" t="s">
        <v>1674</v>
      </c>
      <c r="AG151" s="544" t="s">
        <v>1674</v>
      </c>
      <c r="AH151" s="544" t="s">
        <v>1674</v>
      </c>
      <c r="AI151" s="544" t="s">
        <v>1674</v>
      </c>
      <c r="AJ151" s="544" t="s">
        <v>1674</v>
      </c>
      <c r="AK151" s="544" t="s">
        <v>1674</v>
      </c>
      <c r="AL151" s="544" t="s">
        <v>1674</v>
      </c>
      <c r="AM151" s="544" t="s">
        <v>2831</v>
      </c>
      <c r="AN151" s="544" t="s">
        <v>1674</v>
      </c>
      <c r="AP151" s="552">
        <f t="shared" si="2"/>
        <v>500</v>
      </c>
    </row>
    <row r="152" spans="1:42" outlineLevel="1" x14ac:dyDescent="0.25">
      <c r="A152" s="544" t="s">
        <v>1674</v>
      </c>
      <c r="B152" s="545">
        <v>31501</v>
      </c>
      <c r="C152" s="544" t="s">
        <v>2826</v>
      </c>
      <c r="D152" s="544" t="s">
        <v>2945</v>
      </c>
      <c r="E152" s="542" t="s">
        <v>2941</v>
      </c>
      <c r="F152" s="542" t="s">
        <v>2896</v>
      </c>
      <c r="G152" s="546">
        <v>500</v>
      </c>
      <c r="H152" s="546"/>
      <c r="I152" s="546">
        <v>500</v>
      </c>
      <c r="J152" s="542" t="s">
        <v>2701</v>
      </c>
      <c r="K152" s="547">
        <v>8338</v>
      </c>
      <c r="L152" s="542" t="s">
        <v>806</v>
      </c>
      <c r="M152" s="548"/>
      <c r="N152" s="549">
        <v>-9</v>
      </c>
      <c r="O152" s="544" t="s">
        <v>1674</v>
      </c>
      <c r="P152" s="544" t="s">
        <v>1674</v>
      </c>
      <c r="Q152" s="544" t="s">
        <v>2830</v>
      </c>
      <c r="R152" s="544" t="s">
        <v>1674</v>
      </c>
      <c r="S152" s="544" t="s">
        <v>1674</v>
      </c>
      <c r="T152" s="550"/>
      <c r="U152" s="544" t="s">
        <v>2697</v>
      </c>
      <c r="V152" s="547">
        <v>1341</v>
      </c>
      <c r="W152" s="548"/>
      <c r="Y152" s="544" t="s">
        <v>1674</v>
      </c>
      <c r="AA152" s="544" t="s">
        <v>1674</v>
      </c>
      <c r="AE152" s="551"/>
      <c r="AF152" s="544" t="s">
        <v>1674</v>
      </c>
      <c r="AG152" s="544" t="s">
        <v>1674</v>
      </c>
      <c r="AH152" s="544" t="s">
        <v>1674</v>
      </c>
      <c r="AI152" s="544" t="s">
        <v>1674</v>
      </c>
      <c r="AJ152" s="544" t="s">
        <v>1674</v>
      </c>
      <c r="AK152" s="544" t="s">
        <v>1674</v>
      </c>
      <c r="AL152" s="544" t="s">
        <v>1674</v>
      </c>
      <c r="AM152" s="544" t="s">
        <v>2831</v>
      </c>
      <c r="AN152" s="544" t="s">
        <v>1674</v>
      </c>
      <c r="AP152" s="552">
        <f t="shared" si="2"/>
        <v>500</v>
      </c>
    </row>
    <row r="153" spans="1:42" outlineLevel="1" x14ac:dyDescent="0.25">
      <c r="A153" s="544" t="s">
        <v>1674</v>
      </c>
      <c r="B153" s="545">
        <v>31501</v>
      </c>
      <c r="C153" s="544" t="s">
        <v>2826</v>
      </c>
      <c r="D153" s="544" t="s">
        <v>3031</v>
      </c>
      <c r="E153" s="542" t="s">
        <v>3022</v>
      </c>
      <c r="F153" s="542" t="s">
        <v>2963</v>
      </c>
      <c r="G153" s="546">
        <v>500</v>
      </c>
      <c r="H153" s="546"/>
      <c r="I153" s="546">
        <v>500</v>
      </c>
      <c r="J153" s="542" t="s">
        <v>2701</v>
      </c>
      <c r="K153" s="547">
        <v>8338</v>
      </c>
      <c r="L153" s="542" t="s">
        <v>806</v>
      </c>
      <c r="M153" s="548"/>
      <c r="N153" s="549">
        <v>5</v>
      </c>
      <c r="O153" s="544" t="s">
        <v>1674</v>
      </c>
      <c r="P153" s="544" t="s">
        <v>1674</v>
      </c>
      <c r="Q153" s="544" t="s">
        <v>2830</v>
      </c>
      <c r="R153" s="544" t="s">
        <v>1674</v>
      </c>
      <c r="S153" s="544" t="s">
        <v>1674</v>
      </c>
      <c r="T153" s="550"/>
      <c r="U153" s="544" t="s">
        <v>2700</v>
      </c>
      <c r="V153" s="547">
        <v>100</v>
      </c>
      <c r="W153" s="548"/>
      <c r="Y153" s="544" t="s">
        <v>1674</v>
      </c>
      <c r="AA153" s="544" t="s">
        <v>1674</v>
      </c>
      <c r="AE153" s="551"/>
      <c r="AF153" s="544" t="s">
        <v>1674</v>
      </c>
      <c r="AG153" s="544" t="s">
        <v>1674</v>
      </c>
      <c r="AH153" s="544" t="s">
        <v>1674</v>
      </c>
      <c r="AI153" s="544" t="s">
        <v>1674</v>
      </c>
      <c r="AJ153" s="544" t="s">
        <v>1674</v>
      </c>
      <c r="AK153" s="544" t="s">
        <v>1674</v>
      </c>
      <c r="AL153" s="544" t="s">
        <v>1674</v>
      </c>
      <c r="AM153" s="544" t="s">
        <v>2831</v>
      </c>
      <c r="AN153" s="544" t="s">
        <v>1674</v>
      </c>
      <c r="AP153" s="552">
        <f t="shared" si="2"/>
        <v>500</v>
      </c>
    </row>
    <row r="154" spans="1:42" outlineLevel="1" x14ac:dyDescent="0.25">
      <c r="A154" s="544" t="s">
        <v>1674</v>
      </c>
      <c r="B154" s="545">
        <v>0</v>
      </c>
      <c r="C154" s="544" t="s">
        <v>1674</v>
      </c>
      <c r="D154" s="544" t="s">
        <v>3086</v>
      </c>
      <c r="E154" s="542" t="s">
        <v>3078</v>
      </c>
      <c r="F154" s="542" t="s">
        <v>3079</v>
      </c>
      <c r="G154" s="546">
        <v>411.98</v>
      </c>
      <c r="H154" s="546"/>
      <c r="I154" s="546">
        <v>499.56</v>
      </c>
      <c r="J154" s="542" t="s">
        <v>2701</v>
      </c>
      <c r="K154" s="547">
        <v>8400</v>
      </c>
      <c r="L154" s="542" t="s">
        <v>806</v>
      </c>
      <c r="M154" s="548"/>
      <c r="N154" s="549">
        <v>15</v>
      </c>
      <c r="O154" s="544" t="s">
        <v>1674</v>
      </c>
      <c r="P154" s="544" t="s">
        <v>1674</v>
      </c>
      <c r="Q154" s="544" t="s">
        <v>2873</v>
      </c>
      <c r="R154" s="544" t="s">
        <v>1674</v>
      </c>
      <c r="S154" s="544" t="s">
        <v>1674</v>
      </c>
      <c r="T154" s="550">
        <v>19</v>
      </c>
      <c r="U154" s="544" t="s">
        <v>2700</v>
      </c>
      <c r="V154" s="547">
        <v>220</v>
      </c>
      <c r="W154" s="548"/>
      <c r="Y154" s="544" t="s">
        <v>1674</v>
      </c>
      <c r="AA154" s="544" t="s">
        <v>1674</v>
      </c>
      <c r="AE154" s="551"/>
      <c r="AF154" s="544" t="s">
        <v>1674</v>
      </c>
      <c r="AG154" s="544" t="s">
        <v>1674</v>
      </c>
      <c r="AH154" s="544" t="s">
        <v>1674</v>
      </c>
      <c r="AI154" s="544" t="s">
        <v>1674</v>
      </c>
      <c r="AJ154" s="544" t="s">
        <v>1674</v>
      </c>
      <c r="AK154" s="544" t="s">
        <v>1674</v>
      </c>
      <c r="AL154" s="544" t="s">
        <v>1674</v>
      </c>
      <c r="AM154" s="544" t="s">
        <v>1674</v>
      </c>
      <c r="AN154" s="544" t="s">
        <v>1674</v>
      </c>
      <c r="AP154" s="552">
        <f t="shared" si="2"/>
        <v>499.56</v>
      </c>
    </row>
    <row r="155" spans="1:42" outlineLevel="1" x14ac:dyDescent="0.25">
      <c r="A155" s="544" t="s">
        <v>1674</v>
      </c>
      <c r="B155" s="545">
        <v>11103</v>
      </c>
      <c r="C155" s="544" t="s">
        <v>3168</v>
      </c>
      <c r="D155" s="544" t="s">
        <v>3219</v>
      </c>
      <c r="E155" s="542" t="s">
        <v>2920</v>
      </c>
      <c r="F155" s="542" t="s">
        <v>3181</v>
      </c>
      <c r="G155" s="546">
        <v>481.95</v>
      </c>
      <c r="H155" s="546"/>
      <c r="I155" s="546">
        <v>481.95</v>
      </c>
      <c r="J155" s="542" t="s">
        <v>2701</v>
      </c>
      <c r="K155" s="547">
        <v>8400</v>
      </c>
      <c r="L155" s="542" t="s">
        <v>806</v>
      </c>
      <c r="M155" s="548"/>
      <c r="N155" s="549">
        <v>19</v>
      </c>
      <c r="O155" s="544" t="s">
        <v>1674</v>
      </c>
      <c r="P155" s="544" t="s">
        <v>1674</v>
      </c>
      <c r="Q155" s="544" t="s">
        <v>3170</v>
      </c>
      <c r="R155" s="544" t="s">
        <v>1674</v>
      </c>
      <c r="S155" s="544" t="s">
        <v>1674</v>
      </c>
      <c r="T155" s="550">
        <v>19</v>
      </c>
      <c r="U155" s="544" t="s">
        <v>2700</v>
      </c>
      <c r="V155" s="547">
        <v>326</v>
      </c>
      <c r="W155" s="548"/>
      <c r="Y155" s="544" t="s">
        <v>1674</v>
      </c>
      <c r="AA155" s="544" t="s">
        <v>1674</v>
      </c>
      <c r="AE155" s="551"/>
      <c r="AF155" s="544" t="s">
        <v>1674</v>
      </c>
      <c r="AG155" s="544" t="s">
        <v>1674</v>
      </c>
      <c r="AH155" s="544" t="s">
        <v>1674</v>
      </c>
      <c r="AI155" s="544" t="s">
        <v>1674</v>
      </c>
      <c r="AJ155" s="544" t="s">
        <v>1674</v>
      </c>
      <c r="AK155" s="544" t="s">
        <v>1674</v>
      </c>
      <c r="AL155" s="544" t="s">
        <v>1674</v>
      </c>
      <c r="AM155" s="544" t="s">
        <v>3171</v>
      </c>
      <c r="AN155" s="544" t="s">
        <v>1674</v>
      </c>
      <c r="AP155" s="552">
        <f t="shared" si="2"/>
        <v>481.95</v>
      </c>
    </row>
    <row r="156" spans="1:42" outlineLevel="1" x14ac:dyDescent="0.25">
      <c r="A156" s="544" t="s">
        <v>1674</v>
      </c>
      <c r="B156" s="545">
        <v>10900</v>
      </c>
      <c r="C156" s="544" t="s">
        <v>3129</v>
      </c>
      <c r="D156" s="544" t="s">
        <v>3130</v>
      </c>
      <c r="E156" s="542" t="s">
        <v>2912</v>
      </c>
      <c r="F156" s="542" t="s">
        <v>3119</v>
      </c>
      <c r="G156" s="546">
        <v>473.03</v>
      </c>
      <c r="H156" s="546"/>
      <c r="I156" s="546">
        <v>473.03</v>
      </c>
      <c r="J156" s="542" t="s">
        <v>2701</v>
      </c>
      <c r="K156" s="547">
        <v>8400</v>
      </c>
      <c r="L156" s="542" t="s">
        <v>806</v>
      </c>
      <c r="M156" s="548"/>
      <c r="N156" s="549">
        <v>17</v>
      </c>
      <c r="O156" s="544" t="s">
        <v>1674</v>
      </c>
      <c r="P156" s="544" t="s">
        <v>1674</v>
      </c>
      <c r="Q156" s="544" t="s">
        <v>3131</v>
      </c>
      <c r="R156" s="544" t="s">
        <v>1674</v>
      </c>
      <c r="S156" s="544" t="s">
        <v>1674</v>
      </c>
      <c r="T156" s="550">
        <v>19</v>
      </c>
      <c r="U156" s="544" t="s">
        <v>2700</v>
      </c>
      <c r="V156" s="547">
        <v>265</v>
      </c>
      <c r="W156" s="548"/>
      <c r="Y156" s="544" t="s">
        <v>1674</v>
      </c>
      <c r="AA156" s="544" t="s">
        <v>1674</v>
      </c>
      <c r="AE156" s="551"/>
      <c r="AF156" s="544" t="s">
        <v>1674</v>
      </c>
      <c r="AG156" s="544" t="s">
        <v>1674</v>
      </c>
      <c r="AH156" s="544" t="s">
        <v>1674</v>
      </c>
      <c r="AI156" s="544" t="s">
        <v>1674</v>
      </c>
      <c r="AJ156" s="544" t="s">
        <v>1674</v>
      </c>
      <c r="AK156" s="544" t="s">
        <v>1674</v>
      </c>
      <c r="AL156" s="544" t="s">
        <v>1674</v>
      </c>
      <c r="AM156" s="544" t="s">
        <v>3129</v>
      </c>
      <c r="AN156" s="544" t="s">
        <v>1674</v>
      </c>
      <c r="AP156" s="552">
        <f t="shared" si="2"/>
        <v>473.03</v>
      </c>
    </row>
    <row r="157" spans="1:42" outlineLevel="1" x14ac:dyDescent="0.25">
      <c r="A157" s="544" t="s">
        <v>1674</v>
      </c>
      <c r="B157" s="545">
        <v>0</v>
      </c>
      <c r="C157" s="544" t="s">
        <v>1674</v>
      </c>
      <c r="D157" s="544" t="s">
        <v>2910</v>
      </c>
      <c r="E157" s="542" t="s">
        <v>2911</v>
      </c>
      <c r="F157" s="542" t="s">
        <v>2912</v>
      </c>
      <c r="G157" s="546">
        <v>464.1</v>
      </c>
      <c r="H157" s="546"/>
      <c r="I157" s="546">
        <v>464.1</v>
      </c>
      <c r="J157" s="542" t="s">
        <v>2701</v>
      </c>
      <c r="K157" s="547">
        <v>8400</v>
      </c>
      <c r="L157" s="542" t="s">
        <v>806</v>
      </c>
      <c r="M157" s="548"/>
      <c r="N157" s="549">
        <v>-13</v>
      </c>
      <c r="O157" s="544" t="s">
        <v>1674</v>
      </c>
      <c r="P157" s="544" t="s">
        <v>1674</v>
      </c>
      <c r="Q157" s="544" t="s">
        <v>2839</v>
      </c>
      <c r="R157" s="544" t="s">
        <v>1674</v>
      </c>
      <c r="S157" s="544" t="s">
        <v>1674</v>
      </c>
      <c r="T157" s="550">
        <v>19</v>
      </c>
      <c r="U157" s="544" t="s">
        <v>2697</v>
      </c>
      <c r="V157" s="547">
        <v>1019</v>
      </c>
      <c r="W157" s="548"/>
      <c r="Y157" s="544" t="s">
        <v>1674</v>
      </c>
      <c r="AA157" s="544" t="s">
        <v>1674</v>
      </c>
      <c r="AE157" s="551"/>
      <c r="AF157" s="544" t="s">
        <v>1674</v>
      </c>
      <c r="AG157" s="544" t="s">
        <v>1674</v>
      </c>
      <c r="AH157" s="544" t="s">
        <v>1674</v>
      </c>
      <c r="AI157" s="544" t="s">
        <v>1674</v>
      </c>
      <c r="AJ157" s="544" t="s">
        <v>1674</v>
      </c>
      <c r="AK157" s="544" t="s">
        <v>1674</v>
      </c>
      <c r="AL157" s="544" t="s">
        <v>1674</v>
      </c>
      <c r="AM157" s="544" t="s">
        <v>1674</v>
      </c>
      <c r="AN157" s="544" t="s">
        <v>1674</v>
      </c>
      <c r="AP157" s="552">
        <f t="shared" si="2"/>
        <v>464.1</v>
      </c>
    </row>
    <row r="158" spans="1:42" outlineLevel="1" x14ac:dyDescent="0.25">
      <c r="A158" s="544" t="s">
        <v>1674</v>
      </c>
      <c r="B158" s="545">
        <v>10100</v>
      </c>
      <c r="C158" s="544" t="s">
        <v>2864</v>
      </c>
      <c r="D158" s="544" t="s">
        <v>3092</v>
      </c>
      <c r="E158" s="542" t="s">
        <v>3093</v>
      </c>
      <c r="F158" s="542" t="s">
        <v>3094</v>
      </c>
      <c r="G158" s="546">
        <v>459.34</v>
      </c>
      <c r="H158" s="546"/>
      <c r="I158" s="546">
        <v>459.34</v>
      </c>
      <c r="J158" s="542" t="s">
        <v>2701</v>
      </c>
      <c r="K158" s="547">
        <v>8400</v>
      </c>
      <c r="L158" s="542" t="s">
        <v>806</v>
      </c>
      <c r="M158" s="548"/>
      <c r="N158" s="549">
        <v>16</v>
      </c>
      <c r="O158" s="544" t="s">
        <v>1674</v>
      </c>
      <c r="P158" s="544" t="s">
        <v>1674</v>
      </c>
      <c r="Q158" s="544" t="s">
        <v>2868</v>
      </c>
      <c r="R158" s="544" t="s">
        <v>1674</v>
      </c>
      <c r="S158" s="544" t="s">
        <v>1674</v>
      </c>
      <c r="T158" s="550">
        <v>19</v>
      </c>
      <c r="U158" s="544" t="s">
        <v>2700</v>
      </c>
      <c r="V158" s="547">
        <v>256</v>
      </c>
      <c r="W158" s="548"/>
      <c r="Y158" s="544" t="s">
        <v>1674</v>
      </c>
      <c r="AA158" s="544" t="s">
        <v>1674</v>
      </c>
      <c r="AE158" s="551"/>
      <c r="AF158" s="544" t="s">
        <v>1674</v>
      </c>
      <c r="AG158" s="544" t="s">
        <v>1674</v>
      </c>
      <c r="AH158" s="544" t="s">
        <v>1674</v>
      </c>
      <c r="AI158" s="544" t="s">
        <v>1674</v>
      </c>
      <c r="AJ158" s="544" t="s">
        <v>1674</v>
      </c>
      <c r="AK158" s="544" t="s">
        <v>1674</v>
      </c>
      <c r="AL158" s="544" t="s">
        <v>1674</v>
      </c>
      <c r="AM158" s="544" t="s">
        <v>2864</v>
      </c>
      <c r="AN158" s="544" t="s">
        <v>1674</v>
      </c>
      <c r="AP158" s="552">
        <f t="shared" si="2"/>
        <v>459.34</v>
      </c>
    </row>
    <row r="159" spans="1:42" outlineLevel="1" x14ac:dyDescent="0.25">
      <c r="A159" s="544" t="s">
        <v>1674</v>
      </c>
      <c r="B159" s="545">
        <v>0</v>
      </c>
      <c r="C159" s="544" t="s">
        <v>1674</v>
      </c>
      <c r="D159" s="544" t="s">
        <v>3215</v>
      </c>
      <c r="E159" s="542" t="s">
        <v>2920</v>
      </c>
      <c r="F159" s="542" t="s">
        <v>3181</v>
      </c>
      <c r="G159" s="546">
        <v>28.56</v>
      </c>
      <c r="H159" s="546"/>
      <c r="I159" s="546">
        <v>438.87</v>
      </c>
      <c r="J159" s="542" t="s">
        <v>2701</v>
      </c>
      <c r="K159" s="547">
        <v>8400</v>
      </c>
      <c r="L159" s="542" t="s">
        <v>806</v>
      </c>
      <c r="M159" s="548"/>
      <c r="N159" s="549">
        <v>19</v>
      </c>
      <c r="O159" s="544" t="s">
        <v>1674</v>
      </c>
      <c r="P159" s="544" t="s">
        <v>1674</v>
      </c>
      <c r="Q159" s="544" t="s">
        <v>3218</v>
      </c>
      <c r="R159" s="544" t="s">
        <v>1674</v>
      </c>
      <c r="S159" s="544" t="s">
        <v>1674</v>
      </c>
      <c r="T159" s="550">
        <v>19</v>
      </c>
      <c r="U159" s="544" t="s">
        <v>2700</v>
      </c>
      <c r="V159" s="547">
        <v>322</v>
      </c>
      <c r="W159" s="548"/>
      <c r="Y159" s="544" t="s">
        <v>1674</v>
      </c>
      <c r="AA159" s="544" t="s">
        <v>1674</v>
      </c>
      <c r="AE159" s="551"/>
      <c r="AF159" s="544" t="s">
        <v>1674</v>
      </c>
      <c r="AG159" s="544" t="s">
        <v>1674</v>
      </c>
      <c r="AH159" s="544" t="s">
        <v>1674</v>
      </c>
      <c r="AI159" s="544" t="s">
        <v>1674</v>
      </c>
      <c r="AJ159" s="544" t="s">
        <v>1674</v>
      </c>
      <c r="AK159" s="544" t="s">
        <v>1674</v>
      </c>
      <c r="AL159" s="544" t="s">
        <v>1674</v>
      </c>
      <c r="AM159" s="544" t="s">
        <v>1674</v>
      </c>
      <c r="AN159" s="544" t="s">
        <v>1674</v>
      </c>
      <c r="AP159" s="552">
        <f t="shared" si="2"/>
        <v>438.87</v>
      </c>
    </row>
    <row r="160" spans="1:42" outlineLevel="1" x14ac:dyDescent="0.25">
      <c r="A160" s="544" t="s">
        <v>1674</v>
      </c>
      <c r="B160" s="545">
        <v>11401</v>
      </c>
      <c r="C160" s="544" t="s">
        <v>3043</v>
      </c>
      <c r="D160" s="544" t="s">
        <v>3044</v>
      </c>
      <c r="E160" s="542" t="s">
        <v>3041</v>
      </c>
      <c r="F160" s="542" t="s">
        <v>3042</v>
      </c>
      <c r="G160" s="546">
        <v>427.81</v>
      </c>
      <c r="H160" s="546"/>
      <c r="I160" s="546">
        <v>427.81</v>
      </c>
      <c r="J160" s="542" t="s">
        <v>2701</v>
      </c>
      <c r="K160" s="547">
        <v>8400</v>
      </c>
      <c r="L160" s="542" t="s">
        <v>806</v>
      </c>
      <c r="M160" s="548"/>
      <c r="N160" s="549">
        <v>9</v>
      </c>
      <c r="O160" s="544" t="s">
        <v>1674</v>
      </c>
      <c r="P160" s="544" t="s">
        <v>1674</v>
      </c>
      <c r="Q160" s="544" t="s">
        <v>3045</v>
      </c>
      <c r="R160" s="544" t="s">
        <v>1674</v>
      </c>
      <c r="S160" s="544" t="s">
        <v>1674</v>
      </c>
      <c r="T160" s="550">
        <v>19</v>
      </c>
      <c r="U160" s="544" t="s">
        <v>2700</v>
      </c>
      <c r="V160" s="547">
        <v>137</v>
      </c>
      <c r="W160" s="548"/>
      <c r="Y160" s="544" t="s">
        <v>1674</v>
      </c>
      <c r="AA160" s="544" t="s">
        <v>1674</v>
      </c>
      <c r="AE160" s="551"/>
      <c r="AF160" s="544" t="s">
        <v>3046</v>
      </c>
      <c r="AG160" s="544" t="s">
        <v>3047</v>
      </c>
      <c r="AH160" s="544" t="s">
        <v>3048</v>
      </c>
      <c r="AI160" s="544" t="s">
        <v>1674</v>
      </c>
      <c r="AJ160" s="544" t="s">
        <v>3049</v>
      </c>
      <c r="AK160" s="544" t="s">
        <v>1674</v>
      </c>
      <c r="AL160" s="544" t="s">
        <v>1674</v>
      </c>
      <c r="AM160" s="544" t="s">
        <v>3050</v>
      </c>
      <c r="AN160" s="544" t="s">
        <v>1674</v>
      </c>
      <c r="AP160" s="552">
        <f t="shared" si="2"/>
        <v>427.81</v>
      </c>
    </row>
    <row r="161" spans="1:42" outlineLevel="1" x14ac:dyDescent="0.25">
      <c r="A161" s="544" t="s">
        <v>1674</v>
      </c>
      <c r="B161" s="545">
        <v>10208</v>
      </c>
      <c r="C161" s="544" t="s">
        <v>2989</v>
      </c>
      <c r="D161" s="544" t="s">
        <v>2990</v>
      </c>
      <c r="E161" s="542" t="s">
        <v>2904</v>
      </c>
      <c r="F161" s="542" t="s">
        <v>2991</v>
      </c>
      <c r="G161" s="546">
        <v>373.42</v>
      </c>
      <c r="H161" s="546"/>
      <c r="I161" s="546">
        <v>373.42</v>
      </c>
      <c r="J161" s="542" t="s">
        <v>2701</v>
      </c>
      <c r="K161" s="547">
        <v>8400</v>
      </c>
      <c r="L161" s="542" t="s">
        <v>806</v>
      </c>
      <c r="M161" s="548"/>
      <c r="N161" s="549">
        <v>2</v>
      </c>
      <c r="O161" s="544" t="s">
        <v>1674</v>
      </c>
      <c r="P161" s="544" t="s">
        <v>1674</v>
      </c>
      <c r="Q161" s="544" t="s">
        <v>2992</v>
      </c>
      <c r="R161" s="544" t="s">
        <v>1674</v>
      </c>
      <c r="S161" s="544" t="s">
        <v>1674</v>
      </c>
      <c r="T161" s="550">
        <v>19</v>
      </c>
      <c r="U161" s="544" t="s">
        <v>2700</v>
      </c>
      <c r="V161" s="547">
        <v>15</v>
      </c>
      <c r="W161" s="548"/>
      <c r="Y161" s="544" t="s">
        <v>1674</v>
      </c>
      <c r="AA161" s="544" t="s">
        <v>1674</v>
      </c>
      <c r="AE161" s="551"/>
      <c r="AF161" s="544" t="s">
        <v>2993</v>
      </c>
      <c r="AG161" s="544" t="s">
        <v>2994</v>
      </c>
      <c r="AH161" s="544" t="s">
        <v>2995</v>
      </c>
      <c r="AI161" s="544" t="s">
        <v>1674</v>
      </c>
      <c r="AJ161" s="544" t="s">
        <v>2996</v>
      </c>
      <c r="AK161" s="544" t="s">
        <v>1674</v>
      </c>
      <c r="AL161" s="544" t="s">
        <v>1674</v>
      </c>
      <c r="AM161" s="544" t="s">
        <v>2997</v>
      </c>
      <c r="AN161" s="544" t="s">
        <v>2998</v>
      </c>
      <c r="AP161" s="552">
        <f t="shared" si="2"/>
        <v>373.42</v>
      </c>
    </row>
    <row r="162" spans="1:42" outlineLevel="1" x14ac:dyDescent="0.25">
      <c r="A162" s="544" t="s">
        <v>1674</v>
      </c>
      <c r="B162" s="545">
        <v>0</v>
      </c>
      <c r="C162" s="544" t="s">
        <v>1674</v>
      </c>
      <c r="D162" s="544" t="s">
        <v>3166</v>
      </c>
      <c r="E162" s="542" t="s">
        <v>3158</v>
      </c>
      <c r="F162" s="542" t="s">
        <v>3159</v>
      </c>
      <c r="G162" s="546">
        <v>335.58</v>
      </c>
      <c r="H162" s="546"/>
      <c r="I162" s="546">
        <v>335.58</v>
      </c>
      <c r="J162" s="542" t="s">
        <v>2701</v>
      </c>
      <c r="K162" s="547">
        <v>8400</v>
      </c>
      <c r="L162" s="542" t="s">
        <v>806</v>
      </c>
      <c r="M162" s="548"/>
      <c r="N162" s="549">
        <v>18</v>
      </c>
      <c r="O162" s="544" t="s">
        <v>1674</v>
      </c>
      <c r="P162" s="544" t="s">
        <v>1674</v>
      </c>
      <c r="Q162" s="544" t="s">
        <v>2737</v>
      </c>
      <c r="R162" s="544" t="s">
        <v>1674</v>
      </c>
      <c r="S162" s="544" t="s">
        <v>1674</v>
      </c>
      <c r="T162" s="550">
        <v>19</v>
      </c>
      <c r="U162" s="544" t="s">
        <v>2700</v>
      </c>
      <c r="V162" s="547">
        <v>294</v>
      </c>
      <c r="W162" s="548"/>
      <c r="Y162" s="544" t="s">
        <v>1674</v>
      </c>
      <c r="AA162" s="544" t="s">
        <v>1674</v>
      </c>
      <c r="AE162" s="551"/>
      <c r="AF162" s="544" t="s">
        <v>1674</v>
      </c>
      <c r="AG162" s="544" t="s">
        <v>1674</v>
      </c>
      <c r="AH162" s="544" t="s">
        <v>1674</v>
      </c>
      <c r="AI162" s="544" t="s">
        <v>1674</v>
      </c>
      <c r="AJ162" s="544" t="s">
        <v>1674</v>
      </c>
      <c r="AK162" s="544" t="s">
        <v>1674</v>
      </c>
      <c r="AL162" s="544" t="s">
        <v>1674</v>
      </c>
      <c r="AM162" s="544" t="s">
        <v>1674</v>
      </c>
      <c r="AN162" s="544" t="s">
        <v>1674</v>
      </c>
      <c r="AP162" s="552">
        <f t="shared" si="2"/>
        <v>335.58</v>
      </c>
    </row>
    <row r="163" spans="1:42" outlineLevel="1" x14ac:dyDescent="0.25">
      <c r="A163" s="544" t="s">
        <v>1674</v>
      </c>
      <c r="B163" s="545">
        <v>0</v>
      </c>
      <c r="C163" s="544" t="s">
        <v>1674</v>
      </c>
      <c r="D163" s="544" t="s">
        <v>3209</v>
      </c>
      <c r="E163" s="542" t="s">
        <v>2920</v>
      </c>
      <c r="F163" s="542" t="s">
        <v>3181</v>
      </c>
      <c r="G163" s="546">
        <v>21.42</v>
      </c>
      <c r="H163" s="546"/>
      <c r="I163" s="546">
        <v>329.15</v>
      </c>
      <c r="J163" s="542" t="s">
        <v>2701</v>
      </c>
      <c r="K163" s="547">
        <v>8400</v>
      </c>
      <c r="L163" s="542" t="s">
        <v>806</v>
      </c>
      <c r="M163" s="548"/>
      <c r="N163" s="549">
        <v>19</v>
      </c>
      <c r="O163" s="544" t="s">
        <v>1674</v>
      </c>
      <c r="P163" s="544" t="s">
        <v>1674</v>
      </c>
      <c r="Q163" s="544" t="s">
        <v>3211</v>
      </c>
      <c r="R163" s="544" t="s">
        <v>1674</v>
      </c>
      <c r="S163" s="544" t="s">
        <v>1674</v>
      </c>
      <c r="T163" s="550">
        <v>19</v>
      </c>
      <c r="U163" s="544" t="s">
        <v>2700</v>
      </c>
      <c r="V163" s="547">
        <v>320</v>
      </c>
      <c r="W163" s="548"/>
      <c r="Y163" s="544" t="s">
        <v>1674</v>
      </c>
      <c r="AA163" s="544" t="s">
        <v>1674</v>
      </c>
      <c r="AE163" s="551"/>
      <c r="AF163" s="544" t="s">
        <v>1674</v>
      </c>
      <c r="AG163" s="544" t="s">
        <v>1674</v>
      </c>
      <c r="AH163" s="544" t="s">
        <v>1674</v>
      </c>
      <c r="AI163" s="544" t="s">
        <v>1674</v>
      </c>
      <c r="AJ163" s="544" t="s">
        <v>1674</v>
      </c>
      <c r="AK163" s="544" t="s">
        <v>1674</v>
      </c>
      <c r="AL163" s="544" t="s">
        <v>1674</v>
      </c>
      <c r="AM163" s="544" t="s">
        <v>1674</v>
      </c>
      <c r="AN163" s="544" t="s">
        <v>1674</v>
      </c>
      <c r="AP163" s="552">
        <f t="shared" si="2"/>
        <v>329.15</v>
      </c>
    </row>
    <row r="164" spans="1:42" outlineLevel="1" x14ac:dyDescent="0.25">
      <c r="A164" s="544" t="s">
        <v>1674</v>
      </c>
      <c r="B164" s="545">
        <v>0</v>
      </c>
      <c r="C164" s="544" t="s">
        <v>1674</v>
      </c>
      <c r="D164" s="544" t="s">
        <v>2901</v>
      </c>
      <c r="E164" s="542" t="s">
        <v>2904</v>
      </c>
      <c r="G164" s="546"/>
      <c r="H164" s="546">
        <v>3588.6</v>
      </c>
      <c r="I164" s="546">
        <v>267</v>
      </c>
      <c r="J164" s="542" t="s">
        <v>2701</v>
      </c>
      <c r="K164" s="547">
        <v>1200</v>
      </c>
      <c r="L164" s="542" t="s">
        <v>806</v>
      </c>
      <c r="M164" s="548"/>
      <c r="N164" s="549">
        <v>0</v>
      </c>
      <c r="O164" s="544" t="s">
        <v>1674</v>
      </c>
      <c r="P164" s="544" t="s">
        <v>1674</v>
      </c>
      <c r="Q164" s="544" t="s">
        <v>2905</v>
      </c>
      <c r="R164" s="544" t="s">
        <v>1674</v>
      </c>
      <c r="S164" s="544" t="s">
        <v>1674</v>
      </c>
      <c r="T164" s="550"/>
      <c r="U164" s="544" t="s">
        <v>2700</v>
      </c>
      <c r="V164" s="547">
        <v>523</v>
      </c>
      <c r="W164" s="548"/>
      <c r="Y164" s="544" t="s">
        <v>1674</v>
      </c>
      <c r="AA164" s="544" t="s">
        <v>1674</v>
      </c>
      <c r="AE164" s="551"/>
      <c r="AF164" s="544" t="s">
        <v>1674</v>
      </c>
      <c r="AG164" s="544" t="s">
        <v>1674</v>
      </c>
      <c r="AH164" s="544" t="s">
        <v>1674</v>
      </c>
      <c r="AI164" s="544" t="s">
        <v>1674</v>
      </c>
      <c r="AJ164" s="544" t="s">
        <v>1674</v>
      </c>
      <c r="AK164" s="544" t="s">
        <v>1674</v>
      </c>
      <c r="AL164" s="544" t="s">
        <v>1674</v>
      </c>
      <c r="AM164" s="544" t="s">
        <v>1674</v>
      </c>
      <c r="AN164" s="544" t="s">
        <v>1674</v>
      </c>
      <c r="AP164" s="552">
        <f t="shared" si="2"/>
        <v>267</v>
      </c>
    </row>
    <row r="165" spans="1:42" outlineLevel="1" x14ac:dyDescent="0.25">
      <c r="A165" s="544" t="s">
        <v>1674</v>
      </c>
      <c r="B165" s="545">
        <v>10510</v>
      </c>
      <c r="C165" s="544" t="s">
        <v>3106</v>
      </c>
      <c r="D165" s="544" t="s">
        <v>3107</v>
      </c>
      <c r="E165" s="542" t="s">
        <v>3093</v>
      </c>
      <c r="F165" s="542" t="s">
        <v>3094</v>
      </c>
      <c r="G165" s="546">
        <v>243.65</v>
      </c>
      <c r="H165" s="546"/>
      <c r="I165" s="546">
        <v>243.65</v>
      </c>
      <c r="J165" s="542" t="s">
        <v>2701</v>
      </c>
      <c r="K165" s="547">
        <v>8400</v>
      </c>
      <c r="L165" s="542" t="s">
        <v>806</v>
      </c>
      <c r="M165" s="548"/>
      <c r="N165" s="549">
        <v>16</v>
      </c>
      <c r="O165" s="544" t="s">
        <v>1674</v>
      </c>
      <c r="P165" s="544" t="s">
        <v>1674</v>
      </c>
      <c r="Q165" s="544" t="s">
        <v>3108</v>
      </c>
      <c r="R165" s="544" t="s">
        <v>1674</v>
      </c>
      <c r="S165" s="544" t="s">
        <v>1674</v>
      </c>
      <c r="T165" s="550">
        <v>19</v>
      </c>
      <c r="U165" s="544" t="s">
        <v>2700</v>
      </c>
      <c r="V165" s="547">
        <v>239</v>
      </c>
      <c r="W165" s="548"/>
      <c r="Y165" s="544" t="s">
        <v>1674</v>
      </c>
      <c r="AA165" s="544" t="s">
        <v>1674</v>
      </c>
      <c r="AE165" s="551"/>
      <c r="AF165" s="544" t="s">
        <v>1674</v>
      </c>
      <c r="AG165" s="544" t="s">
        <v>1674</v>
      </c>
      <c r="AH165" s="544" t="s">
        <v>1674</v>
      </c>
      <c r="AI165" s="544" t="s">
        <v>1674</v>
      </c>
      <c r="AJ165" s="544" t="s">
        <v>1674</v>
      </c>
      <c r="AK165" s="544" t="s">
        <v>1674</v>
      </c>
      <c r="AL165" s="544" t="s">
        <v>1674</v>
      </c>
      <c r="AM165" s="544" t="s">
        <v>3109</v>
      </c>
      <c r="AN165" s="544" t="s">
        <v>1674</v>
      </c>
      <c r="AP165" s="552">
        <f t="shared" si="2"/>
        <v>243.65</v>
      </c>
    </row>
    <row r="166" spans="1:42" outlineLevel="1" x14ac:dyDescent="0.25">
      <c r="A166" s="544" t="s">
        <v>1674</v>
      </c>
      <c r="B166" s="545">
        <v>0</v>
      </c>
      <c r="C166" s="544" t="s">
        <v>1674</v>
      </c>
      <c r="D166" s="544" t="s">
        <v>3294</v>
      </c>
      <c r="E166" s="542" t="s">
        <v>3295</v>
      </c>
      <c r="F166" s="542" t="s">
        <v>3296</v>
      </c>
      <c r="G166" s="546">
        <v>179.45</v>
      </c>
      <c r="H166" s="546"/>
      <c r="I166" s="546">
        <v>240.7</v>
      </c>
      <c r="J166" s="542" t="s">
        <v>2701</v>
      </c>
      <c r="K166" s="547">
        <v>8520</v>
      </c>
      <c r="L166" s="542" t="s">
        <v>806</v>
      </c>
      <c r="M166" s="548"/>
      <c r="N166" s="549">
        <v>30</v>
      </c>
      <c r="O166" s="544" t="s">
        <v>1674</v>
      </c>
      <c r="P166" s="544" t="s">
        <v>1674</v>
      </c>
      <c r="Q166" s="544" t="s">
        <v>3297</v>
      </c>
      <c r="R166" s="544" t="s">
        <v>1674</v>
      </c>
      <c r="S166" s="544" t="s">
        <v>1674</v>
      </c>
      <c r="T166" s="550">
        <v>19</v>
      </c>
      <c r="U166" s="544" t="s">
        <v>2700</v>
      </c>
      <c r="V166" s="547">
        <v>1727</v>
      </c>
      <c r="W166" s="548"/>
      <c r="Y166" s="544" t="s">
        <v>1674</v>
      </c>
      <c r="AA166" s="544" t="s">
        <v>1674</v>
      </c>
      <c r="AE166" s="551"/>
      <c r="AF166" s="544" t="s">
        <v>1674</v>
      </c>
      <c r="AG166" s="544" t="s">
        <v>1674</v>
      </c>
      <c r="AH166" s="544" t="s">
        <v>1674</v>
      </c>
      <c r="AI166" s="544" t="s">
        <v>1674</v>
      </c>
      <c r="AJ166" s="544" t="s">
        <v>1674</v>
      </c>
      <c r="AK166" s="544" t="s">
        <v>1674</v>
      </c>
      <c r="AL166" s="544" t="s">
        <v>1674</v>
      </c>
      <c r="AM166" s="544" t="s">
        <v>1674</v>
      </c>
      <c r="AN166" s="544" t="s">
        <v>1674</v>
      </c>
      <c r="AP166" s="552">
        <f t="shared" si="2"/>
        <v>240.7</v>
      </c>
    </row>
    <row r="167" spans="1:42" outlineLevel="1" x14ac:dyDescent="0.25">
      <c r="A167" s="544" t="s">
        <v>1674</v>
      </c>
      <c r="B167" s="545">
        <v>10600</v>
      </c>
      <c r="C167" s="544" t="s">
        <v>2946</v>
      </c>
      <c r="D167" s="544" t="s">
        <v>3127</v>
      </c>
      <c r="E167" s="542" t="s">
        <v>2912</v>
      </c>
      <c r="F167" s="542" t="s">
        <v>3119</v>
      </c>
      <c r="G167" s="546">
        <v>230.27</v>
      </c>
      <c r="H167" s="546"/>
      <c r="I167" s="546">
        <v>230.27</v>
      </c>
      <c r="J167" s="542" t="s">
        <v>2701</v>
      </c>
      <c r="K167" s="547">
        <v>8400</v>
      </c>
      <c r="L167" s="542" t="s">
        <v>806</v>
      </c>
      <c r="M167" s="548"/>
      <c r="N167" s="549">
        <v>17</v>
      </c>
      <c r="O167" s="544" t="s">
        <v>1674</v>
      </c>
      <c r="P167" s="544" t="s">
        <v>1674</v>
      </c>
      <c r="Q167" s="544" t="s">
        <v>3128</v>
      </c>
      <c r="R167" s="544" t="s">
        <v>1674</v>
      </c>
      <c r="S167" s="544" t="s">
        <v>1674</v>
      </c>
      <c r="T167" s="550">
        <v>19</v>
      </c>
      <c r="U167" s="544" t="s">
        <v>2700</v>
      </c>
      <c r="V167" s="547">
        <v>264</v>
      </c>
      <c r="W167" s="548"/>
      <c r="Y167" s="544" t="s">
        <v>1674</v>
      </c>
      <c r="AA167" s="544" t="s">
        <v>1674</v>
      </c>
      <c r="AE167" s="551"/>
      <c r="AF167" s="544" t="s">
        <v>1674</v>
      </c>
      <c r="AG167" s="544" t="s">
        <v>1674</v>
      </c>
      <c r="AH167" s="544" t="s">
        <v>1674</v>
      </c>
      <c r="AI167" s="544" t="s">
        <v>1674</v>
      </c>
      <c r="AJ167" s="544" t="s">
        <v>1674</v>
      </c>
      <c r="AK167" s="544" t="s">
        <v>1674</v>
      </c>
      <c r="AL167" s="544" t="s">
        <v>1674</v>
      </c>
      <c r="AM167" s="544" t="s">
        <v>2946</v>
      </c>
      <c r="AN167" s="544" t="s">
        <v>1674</v>
      </c>
      <c r="AP167" s="552">
        <f t="shared" si="2"/>
        <v>230.27</v>
      </c>
    </row>
    <row r="168" spans="1:42" outlineLevel="1" x14ac:dyDescent="0.25">
      <c r="A168" s="544" t="s">
        <v>1674</v>
      </c>
      <c r="B168" s="545">
        <v>12800</v>
      </c>
      <c r="C168" s="544" t="s">
        <v>3150</v>
      </c>
      <c r="D168" s="544" t="s">
        <v>3151</v>
      </c>
      <c r="E168" s="542" t="s">
        <v>2912</v>
      </c>
      <c r="F168" s="542" t="s">
        <v>3119</v>
      </c>
      <c r="G168" s="546">
        <v>226.1</v>
      </c>
      <c r="H168" s="546"/>
      <c r="I168" s="546">
        <v>226.1</v>
      </c>
      <c r="J168" s="542" t="s">
        <v>2701</v>
      </c>
      <c r="K168" s="547">
        <v>8400</v>
      </c>
      <c r="L168" s="542" t="s">
        <v>806</v>
      </c>
      <c r="M168" s="548"/>
      <c r="N168" s="549">
        <v>17</v>
      </c>
      <c r="O168" s="544" t="s">
        <v>1674</v>
      </c>
      <c r="P168" s="544" t="s">
        <v>1674</v>
      </c>
      <c r="Q168" s="544" t="s">
        <v>3152</v>
      </c>
      <c r="R168" s="544" t="s">
        <v>1674</v>
      </c>
      <c r="S168" s="544" t="s">
        <v>1674</v>
      </c>
      <c r="T168" s="550">
        <v>19</v>
      </c>
      <c r="U168" s="544" t="s">
        <v>2700</v>
      </c>
      <c r="V168" s="547">
        <v>273</v>
      </c>
      <c r="W168" s="548"/>
      <c r="Y168" s="544" t="s">
        <v>1674</v>
      </c>
      <c r="AA168" s="544" t="s">
        <v>1674</v>
      </c>
      <c r="AE168" s="551"/>
      <c r="AF168" s="544" t="s">
        <v>1674</v>
      </c>
      <c r="AG168" s="544" t="s">
        <v>1674</v>
      </c>
      <c r="AH168" s="544" t="s">
        <v>1674</v>
      </c>
      <c r="AI168" s="544" t="s">
        <v>1674</v>
      </c>
      <c r="AJ168" s="544" t="s">
        <v>1674</v>
      </c>
      <c r="AK168" s="544" t="s">
        <v>1674</v>
      </c>
      <c r="AL168" s="544" t="s">
        <v>1674</v>
      </c>
      <c r="AM168" s="544" t="s">
        <v>3150</v>
      </c>
      <c r="AN168" s="544" t="s">
        <v>1674</v>
      </c>
      <c r="AP168" s="552">
        <f t="shared" si="2"/>
        <v>226.1</v>
      </c>
    </row>
    <row r="169" spans="1:42" outlineLevel="1" x14ac:dyDescent="0.25">
      <c r="A169" s="544" t="s">
        <v>1674</v>
      </c>
      <c r="B169" s="545">
        <v>0</v>
      </c>
      <c r="C169" s="544" t="s">
        <v>1674</v>
      </c>
      <c r="D169" s="544" t="s">
        <v>3193</v>
      </c>
      <c r="E169" s="542" t="s">
        <v>2920</v>
      </c>
      <c r="F169" s="542" t="s">
        <v>3181</v>
      </c>
      <c r="G169" s="546">
        <v>226.1</v>
      </c>
      <c r="H169" s="546"/>
      <c r="I169" s="546">
        <v>226.1</v>
      </c>
      <c r="J169" s="542" t="s">
        <v>2701</v>
      </c>
      <c r="K169" s="547">
        <v>8400</v>
      </c>
      <c r="L169" s="542" t="s">
        <v>806</v>
      </c>
      <c r="M169" s="548"/>
      <c r="N169" s="549">
        <v>19</v>
      </c>
      <c r="O169" s="544" t="s">
        <v>1674</v>
      </c>
      <c r="P169" s="544" t="s">
        <v>1674</v>
      </c>
      <c r="Q169" s="544" t="s">
        <v>2992</v>
      </c>
      <c r="R169" s="544" t="s">
        <v>2617</v>
      </c>
      <c r="S169" s="544" t="s">
        <v>1674</v>
      </c>
      <c r="T169" s="550">
        <v>19</v>
      </c>
      <c r="U169" s="544" t="s">
        <v>2700</v>
      </c>
      <c r="V169" s="547">
        <v>331</v>
      </c>
      <c r="W169" s="548"/>
      <c r="Y169" s="544" t="s">
        <v>1674</v>
      </c>
      <c r="AA169" s="544" t="s">
        <v>1674</v>
      </c>
      <c r="AE169" s="551"/>
      <c r="AF169" s="544" t="s">
        <v>1674</v>
      </c>
      <c r="AG169" s="544" t="s">
        <v>1674</v>
      </c>
      <c r="AH169" s="544" t="s">
        <v>1674</v>
      </c>
      <c r="AI169" s="544" t="s">
        <v>1674</v>
      </c>
      <c r="AJ169" s="544" t="s">
        <v>1674</v>
      </c>
      <c r="AK169" s="544" t="s">
        <v>1674</v>
      </c>
      <c r="AL169" s="544" t="s">
        <v>1674</v>
      </c>
      <c r="AM169" s="544" t="s">
        <v>1674</v>
      </c>
      <c r="AN169" s="544" t="s">
        <v>1674</v>
      </c>
      <c r="AP169" s="552">
        <f t="shared" si="2"/>
        <v>226.1</v>
      </c>
    </row>
    <row r="170" spans="1:42" outlineLevel="1" x14ac:dyDescent="0.25">
      <c r="A170" s="544" t="s">
        <v>1674</v>
      </c>
      <c r="B170" s="545">
        <v>0</v>
      </c>
      <c r="C170" s="544" t="s">
        <v>1674</v>
      </c>
      <c r="D170" s="544" t="s">
        <v>3146</v>
      </c>
      <c r="E170" s="542" t="s">
        <v>2912</v>
      </c>
      <c r="F170" s="542" t="s">
        <v>3119</v>
      </c>
      <c r="G170" s="546">
        <v>14.28</v>
      </c>
      <c r="H170" s="546"/>
      <c r="I170" s="546">
        <v>224.2</v>
      </c>
      <c r="J170" s="542" t="s">
        <v>2701</v>
      </c>
      <c r="K170" s="547">
        <v>8400</v>
      </c>
      <c r="L170" s="542" t="s">
        <v>806</v>
      </c>
      <c r="M170" s="548"/>
      <c r="N170" s="549">
        <v>17</v>
      </c>
      <c r="O170" s="544" t="s">
        <v>1674</v>
      </c>
      <c r="P170" s="544" t="s">
        <v>1674</v>
      </c>
      <c r="Q170" s="544" t="s">
        <v>3149</v>
      </c>
      <c r="R170" s="544" t="s">
        <v>1674</v>
      </c>
      <c r="S170" s="544" t="s">
        <v>1674</v>
      </c>
      <c r="T170" s="550">
        <v>19</v>
      </c>
      <c r="U170" s="544" t="s">
        <v>2700</v>
      </c>
      <c r="V170" s="547">
        <v>275</v>
      </c>
      <c r="W170" s="548"/>
      <c r="Y170" s="544" t="s">
        <v>1674</v>
      </c>
      <c r="AA170" s="544" t="s">
        <v>1674</v>
      </c>
      <c r="AE170" s="551"/>
      <c r="AF170" s="544" t="s">
        <v>1674</v>
      </c>
      <c r="AG170" s="544" t="s">
        <v>1674</v>
      </c>
      <c r="AH170" s="544" t="s">
        <v>1674</v>
      </c>
      <c r="AI170" s="544" t="s">
        <v>1674</v>
      </c>
      <c r="AJ170" s="544" t="s">
        <v>1674</v>
      </c>
      <c r="AK170" s="544" t="s">
        <v>1674</v>
      </c>
      <c r="AL170" s="544" t="s">
        <v>1674</v>
      </c>
      <c r="AM170" s="544" t="s">
        <v>1674</v>
      </c>
      <c r="AN170" s="544" t="s">
        <v>1674</v>
      </c>
      <c r="AP170" s="552">
        <f t="shared" si="2"/>
        <v>224.2</v>
      </c>
    </row>
    <row r="171" spans="1:42" outlineLevel="1" x14ac:dyDescent="0.25">
      <c r="A171" s="544" t="s">
        <v>1674</v>
      </c>
      <c r="B171" s="545">
        <v>0</v>
      </c>
      <c r="C171" s="544" t="s">
        <v>1674</v>
      </c>
      <c r="D171" s="544" t="s">
        <v>2837</v>
      </c>
      <c r="E171" s="542" t="s">
        <v>2835</v>
      </c>
      <c r="F171" s="542" t="s">
        <v>2838</v>
      </c>
      <c r="G171" s="546">
        <v>14.28</v>
      </c>
      <c r="H171" s="546"/>
      <c r="I171" s="546">
        <v>214.2</v>
      </c>
      <c r="J171" s="542" t="s">
        <v>2701</v>
      </c>
      <c r="K171" s="547">
        <v>8400</v>
      </c>
      <c r="L171" s="542" t="s">
        <v>806</v>
      </c>
      <c r="M171" s="548"/>
      <c r="N171" s="549">
        <v>-41</v>
      </c>
      <c r="O171" s="544" t="s">
        <v>1674</v>
      </c>
      <c r="P171" s="544" t="s">
        <v>1674</v>
      </c>
      <c r="Q171" s="544" t="s">
        <v>2840</v>
      </c>
      <c r="R171" s="544" t="s">
        <v>1674</v>
      </c>
      <c r="S171" s="544" t="s">
        <v>1674</v>
      </c>
      <c r="T171" s="550">
        <v>19</v>
      </c>
      <c r="U171" s="544" t="s">
        <v>2694</v>
      </c>
      <c r="V171" s="547">
        <v>322</v>
      </c>
      <c r="W171" s="548"/>
      <c r="Y171" s="544" t="s">
        <v>1674</v>
      </c>
      <c r="AA171" s="544" t="s">
        <v>1674</v>
      </c>
      <c r="AE171" s="551"/>
      <c r="AF171" s="544" t="s">
        <v>1674</v>
      </c>
      <c r="AG171" s="544" t="s">
        <v>1674</v>
      </c>
      <c r="AH171" s="544" t="s">
        <v>1674</v>
      </c>
      <c r="AI171" s="544" t="s">
        <v>1674</v>
      </c>
      <c r="AJ171" s="544" t="s">
        <v>1674</v>
      </c>
      <c r="AK171" s="544" t="s">
        <v>1674</v>
      </c>
      <c r="AL171" s="544" t="s">
        <v>1674</v>
      </c>
      <c r="AM171" s="544" t="s">
        <v>1674</v>
      </c>
      <c r="AN171" s="544" t="s">
        <v>1674</v>
      </c>
      <c r="AP171" s="552">
        <f t="shared" si="2"/>
        <v>214.2</v>
      </c>
    </row>
    <row r="172" spans="1:42" outlineLevel="1" x14ac:dyDescent="0.25">
      <c r="A172" s="544" t="s">
        <v>1674</v>
      </c>
      <c r="B172" s="545">
        <v>0</v>
      </c>
      <c r="C172" s="544" t="s">
        <v>1674</v>
      </c>
      <c r="D172" s="544" t="s">
        <v>2855</v>
      </c>
      <c r="E172" s="542" t="s">
        <v>2817</v>
      </c>
      <c r="F172" s="542" t="s">
        <v>2856</v>
      </c>
      <c r="G172" s="546">
        <v>14.28</v>
      </c>
      <c r="H172" s="546"/>
      <c r="I172" s="546">
        <v>211.82</v>
      </c>
      <c r="J172" s="542" t="s">
        <v>2701</v>
      </c>
      <c r="K172" s="547">
        <v>8400</v>
      </c>
      <c r="L172" s="542" t="s">
        <v>806</v>
      </c>
      <c r="M172" s="548"/>
      <c r="N172" s="549">
        <v>-24</v>
      </c>
      <c r="O172" s="544" t="s">
        <v>1674</v>
      </c>
      <c r="P172" s="544" t="s">
        <v>1674</v>
      </c>
      <c r="Q172" s="544" t="s">
        <v>2858</v>
      </c>
      <c r="R172" s="544" t="s">
        <v>1674</v>
      </c>
      <c r="S172" s="544" t="s">
        <v>1674</v>
      </c>
      <c r="T172" s="550">
        <v>19</v>
      </c>
      <c r="U172" s="544" t="s">
        <v>2697</v>
      </c>
      <c r="V172" s="547">
        <v>429</v>
      </c>
      <c r="W172" s="548"/>
      <c r="Y172" s="544" t="s">
        <v>1674</v>
      </c>
      <c r="AA172" s="544" t="s">
        <v>1674</v>
      </c>
      <c r="AE172" s="551"/>
      <c r="AF172" s="544" t="s">
        <v>1674</v>
      </c>
      <c r="AG172" s="544" t="s">
        <v>1674</v>
      </c>
      <c r="AH172" s="544" t="s">
        <v>1674</v>
      </c>
      <c r="AI172" s="544" t="s">
        <v>1674</v>
      </c>
      <c r="AJ172" s="544" t="s">
        <v>1674</v>
      </c>
      <c r="AK172" s="544" t="s">
        <v>1674</v>
      </c>
      <c r="AL172" s="544" t="s">
        <v>1674</v>
      </c>
      <c r="AM172" s="544" t="s">
        <v>1674</v>
      </c>
      <c r="AN172" s="544" t="s">
        <v>1674</v>
      </c>
      <c r="AP172" s="552">
        <f t="shared" si="2"/>
        <v>211.82</v>
      </c>
    </row>
    <row r="173" spans="1:42" outlineLevel="1" x14ac:dyDescent="0.25">
      <c r="A173" s="544" t="s">
        <v>1674</v>
      </c>
      <c r="B173" s="545">
        <v>0</v>
      </c>
      <c r="C173" s="544" t="s">
        <v>1674</v>
      </c>
      <c r="D173" s="544" t="s">
        <v>3001</v>
      </c>
      <c r="E173" s="542" t="s">
        <v>2851</v>
      </c>
      <c r="F173" s="542" t="s">
        <v>3002</v>
      </c>
      <c r="G173" s="546">
        <v>14.28</v>
      </c>
      <c r="H173" s="546"/>
      <c r="I173" s="546">
        <v>209.44</v>
      </c>
      <c r="J173" s="542" t="s">
        <v>2701</v>
      </c>
      <c r="K173" s="547">
        <v>8400</v>
      </c>
      <c r="L173" s="542" t="s">
        <v>806</v>
      </c>
      <c r="M173" s="548"/>
      <c r="N173" s="549">
        <v>3</v>
      </c>
      <c r="O173" s="544" t="s">
        <v>1674</v>
      </c>
      <c r="P173" s="544" t="s">
        <v>1674</v>
      </c>
      <c r="Q173" s="544" t="s">
        <v>3003</v>
      </c>
      <c r="R173" s="544" t="s">
        <v>1674</v>
      </c>
      <c r="S173" s="544" t="s">
        <v>1674</v>
      </c>
      <c r="T173" s="550">
        <v>19</v>
      </c>
      <c r="U173" s="544" t="s">
        <v>2700</v>
      </c>
      <c r="V173" s="547">
        <v>59</v>
      </c>
      <c r="W173" s="548"/>
      <c r="Y173" s="544" t="s">
        <v>1674</v>
      </c>
      <c r="AA173" s="544" t="s">
        <v>1674</v>
      </c>
      <c r="AE173" s="551"/>
      <c r="AF173" s="544" t="s">
        <v>1674</v>
      </c>
      <c r="AG173" s="544" t="s">
        <v>1674</v>
      </c>
      <c r="AH173" s="544" t="s">
        <v>1674</v>
      </c>
      <c r="AI173" s="544" t="s">
        <v>1674</v>
      </c>
      <c r="AJ173" s="544" t="s">
        <v>1674</v>
      </c>
      <c r="AK173" s="544" t="s">
        <v>1674</v>
      </c>
      <c r="AL173" s="544" t="s">
        <v>1674</v>
      </c>
      <c r="AM173" s="544" t="s">
        <v>1674</v>
      </c>
      <c r="AN173" s="544" t="s">
        <v>1674</v>
      </c>
      <c r="AP173" s="552">
        <f t="shared" si="2"/>
        <v>209.44</v>
      </c>
    </row>
    <row r="174" spans="1:42" outlineLevel="1" x14ac:dyDescent="0.25">
      <c r="A174" s="544" t="s">
        <v>1674</v>
      </c>
      <c r="B174" s="545">
        <v>0</v>
      </c>
      <c r="C174" s="544" t="s">
        <v>1674</v>
      </c>
      <c r="D174" s="544" t="s">
        <v>3077</v>
      </c>
      <c r="E174" s="542" t="s">
        <v>3078</v>
      </c>
      <c r="F174" s="542" t="s">
        <v>3079</v>
      </c>
      <c r="G174" s="546">
        <v>14.28</v>
      </c>
      <c r="H174" s="546"/>
      <c r="I174" s="546">
        <v>209.44</v>
      </c>
      <c r="J174" s="542" t="s">
        <v>2701</v>
      </c>
      <c r="K174" s="547">
        <v>8400</v>
      </c>
      <c r="L174" s="542" t="s">
        <v>806</v>
      </c>
      <c r="M174" s="548"/>
      <c r="N174" s="549">
        <v>15</v>
      </c>
      <c r="O174" s="544" t="s">
        <v>1674</v>
      </c>
      <c r="P174" s="544" t="s">
        <v>1674</v>
      </c>
      <c r="Q174" s="544" t="s">
        <v>3003</v>
      </c>
      <c r="R174" s="544" t="s">
        <v>1674</v>
      </c>
      <c r="S174" s="544" t="s">
        <v>1674</v>
      </c>
      <c r="T174" s="550">
        <v>19</v>
      </c>
      <c r="U174" s="544" t="s">
        <v>2700</v>
      </c>
      <c r="V174" s="547">
        <v>232</v>
      </c>
      <c r="W174" s="548"/>
      <c r="Y174" s="544" t="s">
        <v>1674</v>
      </c>
      <c r="AA174" s="544" t="s">
        <v>1674</v>
      </c>
      <c r="AE174" s="551"/>
      <c r="AF174" s="544" t="s">
        <v>1674</v>
      </c>
      <c r="AG174" s="544" t="s">
        <v>1674</v>
      </c>
      <c r="AH174" s="544" t="s">
        <v>1674</v>
      </c>
      <c r="AI174" s="544" t="s">
        <v>1674</v>
      </c>
      <c r="AJ174" s="544" t="s">
        <v>1674</v>
      </c>
      <c r="AK174" s="544" t="s">
        <v>1674</v>
      </c>
      <c r="AL174" s="544" t="s">
        <v>1674</v>
      </c>
      <c r="AM174" s="544" t="s">
        <v>1674</v>
      </c>
      <c r="AN174" s="544" t="s">
        <v>1674</v>
      </c>
      <c r="AP174" s="552">
        <f t="shared" si="2"/>
        <v>209.44</v>
      </c>
    </row>
    <row r="175" spans="1:42" outlineLevel="1" x14ac:dyDescent="0.25">
      <c r="A175" s="544" t="s">
        <v>1674</v>
      </c>
      <c r="B175" s="545">
        <v>0</v>
      </c>
      <c r="C175" s="544" t="s">
        <v>1674</v>
      </c>
      <c r="D175" s="544" t="s">
        <v>3180</v>
      </c>
      <c r="E175" s="542" t="s">
        <v>2920</v>
      </c>
      <c r="F175" s="542" t="s">
        <v>3181</v>
      </c>
      <c r="G175" s="546">
        <v>14.28</v>
      </c>
      <c r="H175" s="546"/>
      <c r="I175" s="546">
        <v>209.44</v>
      </c>
      <c r="J175" s="542" t="s">
        <v>2701</v>
      </c>
      <c r="K175" s="547">
        <v>8400</v>
      </c>
      <c r="L175" s="542" t="s">
        <v>806</v>
      </c>
      <c r="M175" s="548"/>
      <c r="N175" s="549">
        <v>19</v>
      </c>
      <c r="O175" s="544" t="s">
        <v>1674</v>
      </c>
      <c r="P175" s="544" t="s">
        <v>1674</v>
      </c>
      <c r="Q175" s="544" t="s">
        <v>3003</v>
      </c>
      <c r="R175" s="544" t="s">
        <v>1674</v>
      </c>
      <c r="S175" s="544" t="s">
        <v>1674</v>
      </c>
      <c r="T175" s="550">
        <v>19</v>
      </c>
      <c r="U175" s="544" t="s">
        <v>2700</v>
      </c>
      <c r="V175" s="547">
        <v>338</v>
      </c>
      <c r="W175" s="548"/>
      <c r="Y175" s="544" t="s">
        <v>1674</v>
      </c>
      <c r="AA175" s="544" t="s">
        <v>1674</v>
      </c>
      <c r="AE175" s="551"/>
      <c r="AF175" s="544" t="s">
        <v>1674</v>
      </c>
      <c r="AG175" s="544" t="s">
        <v>1674</v>
      </c>
      <c r="AH175" s="544" t="s">
        <v>1674</v>
      </c>
      <c r="AI175" s="544" t="s">
        <v>1674</v>
      </c>
      <c r="AJ175" s="544" t="s">
        <v>1674</v>
      </c>
      <c r="AK175" s="544" t="s">
        <v>1674</v>
      </c>
      <c r="AL175" s="544" t="s">
        <v>1674</v>
      </c>
      <c r="AM175" s="544" t="s">
        <v>1674</v>
      </c>
      <c r="AN175" s="544" t="s">
        <v>1674</v>
      </c>
      <c r="AP175" s="552">
        <f t="shared" si="2"/>
        <v>209.44</v>
      </c>
    </row>
    <row r="176" spans="1:42" outlineLevel="1" x14ac:dyDescent="0.25">
      <c r="A176" s="544" t="s">
        <v>1674</v>
      </c>
      <c r="B176" s="545">
        <v>11800</v>
      </c>
      <c r="C176" s="544" t="s">
        <v>2581</v>
      </c>
      <c r="D176" s="544" t="s">
        <v>2875</v>
      </c>
      <c r="E176" s="542" t="s">
        <v>2866</v>
      </c>
      <c r="F176" s="542" t="s">
        <v>2867</v>
      </c>
      <c r="G176" s="546">
        <v>192.78</v>
      </c>
      <c r="H176" s="546"/>
      <c r="I176" s="546">
        <v>192.78</v>
      </c>
      <c r="J176" s="542" t="s">
        <v>2701</v>
      </c>
      <c r="K176" s="547">
        <v>8400</v>
      </c>
      <c r="L176" s="542" t="s">
        <v>806</v>
      </c>
      <c r="M176" s="548"/>
      <c r="N176" s="549">
        <v>-23</v>
      </c>
      <c r="O176" s="544" t="s">
        <v>1674</v>
      </c>
      <c r="P176" s="544" t="s">
        <v>1674</v>
      </c>
      <c r="Q176" s="544" t="s">
        <v>2585</v>
      </c>
      <c r="R176" s="544" t="s">
        <v>2622</v>
      </c>
      <c r="S176" s="544" t="s">
        <v>1674</v>
      </c>
      <c r="T176" s="550">
        <v>19</v>
      </c>
      <c r="U176" s="544" t="s">
        <v>2697</v>
      </c>
      <c r="V176" s="547">
        <v>517</v>
      </c>
      <c r="W176" s="548"/>
      <c r="Y176" s="544" t="s">
        <v>1674</v>
      </c>
      <c r="AA176" s="544" t="s">
        <v>1674</v>
      </c>
      <c r="AE176" s="551"/>
      <c r="AF176" s="544" t="s">
        <v>1674</v>
      </c>
      <c r="AG176" s="544" t="s">
        <v>1674</v>
      </c>
      <c r="AH176" s="544" t="s">
        <v>1674</v>
      </c>
      <c r="AI176" s="544" t="s">
        <v>1674</v>
      </c>
      <c r="AJ176" s="544" t="s">
        <v>1674</v>
      </c>
      <c r="AK176" s="544" t="s">
        <v>1674</v>
      </c>
      <c r="AL176" s="544" t="s">
        <v>1674</v>
      </c>
      <c r="AM176" s="544" t="s">
        <v>2581</v>
      </c>
      <c r="AN176" s="544" t="s">
        <v>1674</v>
      </c>
      <c r="AP176" s="552">
        <f t="shared" si="2"/>
        <v>192.78</v>
      </c>
    </row>
    <row r="177" spans="1:42" outlineLevel="1" x14ac:dyDescent="0.25">
      <c r="A177" s="544" t="s">
        <v>1674</v>
      </c>
      <c r="B177" s="545">
        <v>0</v>
      </c>
      <c r="C177" s="544" t="s">
        <v>1674</v>
      </c>
      <c r="D177" s="544" t="s">
        <v>3032</v>
      </c>
      <c r="E177" s="542" t="s">
        <v>3033</v>
      </c>
      <c r="F177" s="542" t="s">
        <v>2988</v>
      </c>
      <c r="G177" s="546">
        <v>14.28</v>
      </c>
      <c r="H177" s="546"/>
      <c r="I177" s="546">
        <v>189.45</v>
      </c>
      <c r="J177" s="542" t="s">
        <v>2701</v>
      </c>
      <c r="K177" s="547">
        <v>8400</v>
      </c>
      <c r="L177" s="542" t="s">
        <v>806</v>
      </c>
      <c r="M177" s="548"/>
      <c r="N177" s="549">
        <v>8</v>
      </c>
      <c r="O177" s="544" t="s">
        <v>1674</v>
      </c>
      <c r="P177" s="544" t="s">
        <v>1674</v>
      </c>
      <c r="Q177" s="544" t="s">
        <v>3034</v>
      </c>
      <c r="R177" s="544" t="s">
        <v>1674</v>
      </c>
      <c r="S177" s="544" t="s">
        <v>1674</v>
      </c>
      <c r="T177" s="550">
        <v>19</v>
      </c>
      <c r="U177" s="544" t="s">
        <v>2700</v>
      </c>
      <c r="V177" s="547">
        <v>122</v>
      </c>
      <c r="W177" s="548"/>
      <c r="Y177" s="544" t="s">
        <v>1674</v>
      </c>
      <c r="AA177" s="544" t="s">
        <v>1674</v>
      </c>
      <c r="AE177" s="551"/>
      <c r="AF177" s="544" t="s">
        <v>1674</v>
      </c>
      <c r="AG177" s="544" t="s">
        <v>1674</v>
      </c>
      <c r="AH177" s="544" t="s">
        <v>1674</v>
      </c>
      <c r="AI177" s="544" t="s">
        <v>1674</v>
      </c>
      <c r="AJ177" s="544" t="s">
        <v>1674</v>
      </c>
      <c r="AK177" s="544" t="s">
        <v>1674</v>
      </c>
      <c r="AL177" s="544" t="s">
        <v>1674</v>
      </c>
      <c r="AM177" s="544" t="s">
        <v>1674</v>
      </c>
      <c r="AN177" s="544" t="s">
        <v>1674</v>
      </c>
      <c r="AP177" s="552">
        <f t="shared" si="2"/>
        <v>189.45</v>
      </c>
    </row>
    <row r="178" spans="1:42" outlineLevel="1" x14ac:dyDescent="0.25">
      <c r="A178" s="544" t="s">
        <v>1674</v>
      </c>
      <c r="B178" s="545">
        <v>0</v>
      </c>
      <c r="C178" s="544" t="s">
        <v>1674</v>
      </c>
      <c r="D178" s="544" t="s">
        <v>3188</v>
      </c>
      <c r="E178" s="542" t="s">
        <v>2920</v>
      </c>
      <c r="F178" s="542" t="s">
        <v>3181</v>
      </c>
      <c r="G178" s="546">
        <v>14.28</v>
      </c>
      <c r="H178" s="546"/>
      <c r="I178" s="546">
        <v>189.45</v>
      </c>
      <c r="J178" s="542" t="s">
        <v>2701</v>
      </c>
      <c r="K178" s="547">
        <v>8400</v>
      </c>
      <c r="L178" s="542" t="s">
        <v>806</v>
      </c>
      <c r="M178" s="548"/>
      <c r="N178" s="549">
        <v>19</v>
      </c>
      <c r="O178" s="544" t="s">
        <v>1674</v>
      </c>
      <c r="P178" s="544" t="s">
        <v>1674</v>
      </c>
      <c r="Q178" s="544" t="s">
        <v>3191</v>
      </c>
      <c r="R178" s="544" t="s">
        <v>1674</v>
      </c>
      <c r="S178" s="544" t="s">
        <v>1674</v>
      </c>
      <c r="T178" s="550">
        <v>19</v>
      </c>
      <c r="U178" s="544" t="s">
        <v>2700</v>
      </c>
      <c r="V178" s="547">
        <v>310</v>
      </c>
      <c r="W178" s="548"/>
      <c r="Y178" s="544" t="s">
        <v>1674</v>
      </c>
      <c r="AA178" s="544" t="s">
        <v>1674</v>
      </c>
      <c r="AE178" s="551"/>
      <c r="AF178" s="544" t="s">
        <v>1674</v>
      </c>
      <c r="AG178" s="544" t="s">
        <v>1674</v>
      </c>
      <c r="AH178" s="544" t="s">
        <v>1674</v>
      </c>
      <c r="AI178" s="544" t="s">
        <v>1674</v>
      </c>
      <c r="AJ178" s="544" t="s">
        <v>1674</v>
      </c>
      <c r="AK178" s="544" t="s">
        <v>1674</v>
      </c>
      <c r="AL178" s="544" t="s">
        <v>1674</v>
      </c>
      <c r="AM178" s="544" t="s">
        <v>1674</v>
      </c>
      <c r="AN178" s="544" t="s">
        <v>1674</v>
      </c>
      <c r="AP178" s="552">
        <f t="shared" si="2"/>
        <v>189.45</v>
      </c>
    </row>
    <row r="179" spans="1:42" outlineLevel="1" x14ac:dyDescent="0.25">
      <c r="A179" s="544" t="s">
        <v>1674</v>
      </c>
      <c r="B179" s="545">
        <v>10832</v>
      </c>
      <c r="C179" s="544" t="s">
        <v>2734</v>
      </c>
      <c r="D179" s="544" t="s">
        <v>3164</v>
      </c>
      <c r="E179" s="542" t="s">
        <v>3158</v>
      </c>
      <c r="F179" s="542" t="s">
        <v>3159</v>
      </c>
      <c r="G179" s="546">
        <v>167.79</v>
      </c>
      <c r="H179" s="546"/>
      <c r="I179" s="546">
        <v>167.79</v>
      </c>
      <c r="J179" s="542" t="s">
        <v>2701</v>
      </c>
      <c r="K179" s="547">
        <v>8400</v>
      </c>
      <c r="L179" s="542" t="s">
        <v>806</v>
      </c>
      <c r="M179" s="548"/>
      <c r="N179" s="549">
        <v>18</v>
      </c>
      <c r="O179" s="544" t="s">
        <v>1674</v>
      </c>
      <c r="P179" s="544" t="s">
        <v>1674</v>
      </c>
      <c r="Q179" s="544" t="s">
        <v>2737</v>
      </c>
      <c r="R179" s="544" t="s">
        <v>1674</v>
      </c>
      <c r="S179" s="544" t="s">
        <v>1674</v>
      </c>
      <c r="T179" s="550">
        <v>19</v>
      </c>
      <c r="U179" s="544" t="s">
        <v>2700</v>
      </c>
      <c r="V179" s="547">
        <v>292</v>
      </c>
      <c r="W179" s="548"/>
      <c r="Y179" s="544" t="s">
        <v>1674</v>
      </c>
      <c r="AA179" s="544" t="s">
        <v>1674</v>
      </c>
      <c r="AE179" s="551"/>
      <c r="AF179" s="544" t="s">
        <v>1674</v>
      </c>
      <c r="AG179" s="544" t="s">
        <v>1674</v>
      </c>
      <c r="AH179" s="544" t="s">
        <v>1674</v>
      </c>
      <c r="AI179" s="544" t="s">
        <v>1674</v>
      </c>
      <c r="AJ179" s="544" t="s">
        <v>1674</v>
      </c>
      <c r="AK179" s="544" t="s">
        <v>1674</v>
      </c>
      <c r="AL179" s="544" t="s">
        <v>1674</v>
      </c>
      <c r="AM179" s="544" t="s">
        <v>2738</v>
      </c>
      <c r="AN179" s="544" t="s">
        <v>1674</v>
      </c>
      <c r="AP179" s="552">
        <f t="shared" si="2"/>
        <v>167.79</v>
      </c>
    </row>
    <row r="180" spans="1:42" outlineLevel="1" x14ac:dyDescent="0.25">
      <c r="A180" s="544" t="s">
        <v>1674</v>
      </c>
      <c r="B180" s="545">
        <v>0</v>
      </c>
      <c r="C180" s="544" t="s">
        <v>1674</v>
      </c>
      <c r="D180" s="544" t="s">
        <v>3165</v>
      </c>
      <c r="E180" s="542" t="s">
        <v>3158</v>
      </c>
      <c r="F180" s="542" t="s">
        <v>3159</v>
      </c>
      <c r="G180" s="546">
        <v>167.79</v>
      </c>
      <c r="H180" s="546"/>
      <c r="I180" s="546">
        <v>167.79</v>
      </c>
      <c r="J180" s="542" t="s">
        <v>2701</v>
      </c>
      <c r="K180" s="547">
        <v>8400</v>
      </c>
      <c r="L180" s="542" t="s">
        <v>806</v>
      </c>
      <c r="M180" s="548"/>
      <c r="N180" s="549">
        <v>18</v>
      </c>
      <c r="O180" s="544" t="s">
        <v>1674</v>
      </c>
      <c r="P180" s="544" t="s">
        <v>1674</v>
      </c>
      <c r="Q180" s="544" t="s">
        <v>2737</v>
      </c>
      <c r="R180" s="544" t="s">
        <v>1674</v>
      </c>
      <c r="S180" s="544" t="s">
        <v>1674</v>
      </c>
      <c r="T180" s="550">
        <v>19</v>
      </c>
      <c r="U180" s="544" t="s">
        <v>2700</v>
      </c>
      <c r="V180" s="547">
        <v>293</v>
      </c>
      <c r="W180" s="548"/>
      <c r="Y180" s="544" t="s">
        <v>1674</v>
      </c>
      <c r="AA180" s="544" t="s">
        <v>1674</v>
      </c>
      <c r="AE180" s="551"/>
      <c r="AF180" s="544" t="s">
        <v>1674</v>
      </c>
      <c r="AG180" s="544" t="s">
        <v>1674</v>
      </c>
      <c r="AH180" s="544" t="s">
        <v>1674</v>
      </c>
      <c r="AI180" s="544" t="s">
        <v>1674</v>
      </c>
      <c r="AJ180" s="544" t="s">
        <v>1674</v>
      </c>
      <c r="AK180" s="544" t="s">
        <v>1674</v>
      </c>
      <c r="AL180" s="544" t="s">
        <v>1674</v>
      </c>
      <c r="AM180" s="544" t="s">
        <v>1674</v>
      </c>
      <c r="AN180" s="544" t="s">
        <v>1674</v>
      </c>
      <c r="AP180" s="552">
        <f t="shared" si="2"/>
        <v>167.79</v>
      </c>
    </row>
    <row r="181" spans="1:42" outlineLevel="1" x14ac:dyDescent="0.25">
      <c r="A181" s="544" t="s">
        <v>1674</v>
      </c>
      <c r="B181" s="545">
        <v>10400</v>
      </c>
      <c r="C181" s="544" t="s">
        <v>2730</v>
      </c>
      <c r="D181" s="544" t="s">
        <v>2731</v>
      </c>
      <c r="E181" s="542" t="s">
        <v>2732</v>
      </c>
      <c r="F181" s="542" t="s">
        <v>2668</v>
      </c>
      <c r="G181" s="546">
        <v>142.80000000000001</v>
      </c>
      <c r="H181" s="546"/>
      <c r="I181" s="546">
        <v>142.80000000000001</v>
      </c>
      <c r="J181" s="542" t="s">
        <v>2701</v>
      </c>
      <c r="K181" s="547">
        <v>8404</v>
      </c>
      <c r="L181" s="542" t="s">
        <v>806</v>
      </c>
      <c r="M181" s="548"/>
      <c r="N181" s="549">
        <v>-306</v>
      </c>
      <c r="O181" s="544" t="s">
        <v>1674</v>
      </c>
      <c r="P181" s="544" t="s">
        <v>1674</v>
      </c>
      <c r="Q181" s="544" t="s">
        <v>2733</v>
      </c>
      <c r="R181" s="544" t="s">
        <v>1674</v>
      </c>
      <c r="S181" s="544" t="s">
        <v>1674</v>
      </c>
      <c r="T181" s="550">
        <v>19</v>
      </c>
      <c r="U181" s="544" t="s">
        <v>2667</v>
      </c>
      <c r="V181" s="547">
        <v>1665</v>
      </c>
      <c r="W181" s="548"/>
      <c r="Y181" s="544" t="s">
        <v>1674</v>
      </c>
      <c r="AA181" s="544" t="s">
        <v>1674</v>
      </c>
      <c r="AE181" s="551"/>
      <c r="AF181" s="544" t="s">
        <v>1674</v>
      </c>
      <c r="AG181" s="544" t="s">
        <v>1674</v>
      </c>
      <c r="AH181" s="544" t="s">
        <v>1674</v>
      </c>
      <c r="AI181" s="544" t="s">
        <v>1674</v>
      </c>
      <c r="AJ181" s="544" t="s">
        <v>1674</v>
      </c>
      <c r="AK181" s="544" t="s">
        <v>1674</v>
      </c>
      <c r="AL181" s="544" t="s">
        <v>1674</v>
      </c>
      <c r="AM181" s="544" t="s">
        <v>2730</v>
      </c>
      <c r="AN181" s="544" t="s">
        <v>1674</v>
      </c>
      <c r="AP181" s="552">
        <f t="shared" si="2"/>
        <v>142.80000000000001</v>
      </c>
    </row>
    <row r="182" spans="1:42" outlineLevel="1" x14ac:dyDescent="0.25">
      <c r="A182" s="544" t="s">
        <v>1674</v>
      </c>
      <c r="B182" s="545">
        <v>10400</v>
      </c>
      <c r="C182" s="544" t="s">
        <v>2730</v>
      </c>
      <c r="D182" s="544" t="s">
        <v>3268</v>
      </c>
      <c r="E182" s="542" t="s">
        <v>3269</v>
      </c>
      <c r="F182" s="542" t="s">
        <v>3270</v>
      </c>
      <c r="G182" s="546">
        <v>142.80000000000001</v>
      </c>
      <c r="H182" s="546"/>
      <c r="I182" s="546">
        <v>142.80000000000001</v>
      </c>
      <c r="J182" s="542" t="s">
        <v>2701</v>
      </c>
      <c r="K182" s="547">
        <v>8404</v>
      </c>
      <c r="L182" s="542" t="s">
        <v>806</v>
      </c>
      <c r="M182" s="548"/>
      <c r="N182" s="549">
        <v>29</v>
      </c>
      <c r="O182" s="544" t="s">
        <v>1674</v>
      </c>
      <c r="P182" s="544" t="s">
        <v>1674</v>
      </c>
      <c r="Q182" s="544" t="s">
        <v>2733</v>
      </c>
      <c r="R182" s="544" t="s">
        <v>1674</v>
      </c>
      <c r="S182" s="544" t="s">
        <v>1674</v>
      </c>
      <c r="T182" s="550">
        <v>19</v>
      </c>
      <c r="U182" s="544" t="s">
        <v>2700</v>
      </c>
      <c r="V182" s="547">
        <v>369</v>
      </c>
      <c r="W182" s="548"/>
      <c r="Y182" s="544" t="s">
        <v>1674</v>
      </c>
      <c r="AA182" s="544" t="s">
        <v>1674</v>
      </c>
      <c r="AE182" s="551"/>
      <c r="AF182" s="544" t="s">
        <v>1674</v>
      </c>
      <c r="AG182" s="544" t="s">
        <v>1674</v>
      </c>
      <c r="AH182" s="544" t="s">
        <v>1674</v>
      </c>
      <c r="AI182" s="544" t="s">
        <v>1674</v>
      </c>
      <c r="AJ182" s="544" t="s">
        <v>1674</v>
      </c>
      <c r="AK182" s="544" t="s">
        <v>1674</v>
      </c>
      <c r="AL182" s="544" t="s">
        <v>1674</v>
      </c>
      <c r="AM182" s="544" t="s">
        <v>2730</v>
      </c>
      <c r="AN182" s="544" t="s">
        <v>1674</v>
      </c>
      <c r="AP182" s="552">
        <f t="shared" si="2"/>
        <v>142.80000000000001</v>
      </c>
    </row>
    <row r="183" spans="1:42" outlineLevel="1" x14ac:dyDescent="0.25">
      <c r="A183" s="544" t="s">
        <v>1674</v>
      </c>
      <c r="B183" s="545">
        <v>0</v>
      </c>
      <c r="C183" s="544" t="s">
        <v>1674</v>
      </c>
      <c r="D183" s="544" t="s">
        <v>3271</v>
      </c>
      <c r="E183" s="542" t="s">
        <v>3269</v>
      </c>
      <c r="F183" s="542" t="s">
        <v>3270</v>
      </c>
      <c r="G183" s="546">
        <v>142.80000000000001</v>
      </c>
      <c r="H183" s="546"/>
      <c r="I183" s="546">
        <v>142.80000000000001</v>
      </c>
      <c r="J183" s="542" t="s">
        <v>2701</v>
      </c>
      <c r="K183" s="547">
        <v>8404</v>
      </c>
      <c r="L183" s="542" t="s">
        <v>806</v>
      </c>
      <c r="M183" s="548"/>
      <c r="N183" s="549">
        <v>29</v>
      </c>
      <c r="O183" s="544" t="s">
        <v>1674</v>
      </c>
      <c r="P183" s="544" t="s">
        <v>1674</v>
      </c>
      <c r="Q183" s="544" t="s">
        <v>2733</v>
      </c>
      <c r="R183" s="544" t="s">
        <v>1674</v>
      </c>
      <c r="S183" s="544" t="s">
        <v>1674</v>
      </c>
      <c r="T183" s="550">
        <v>19</v>
      </c>
      <c r="U183" s="544" t="s">
        <v>2700</v>
      </c>
      <c r="V183" s="547">
        <v>370</v>
      </c>
      <c r="W183" s="548"/>
      <c r="Y183" s="544" t="s">
        <v>1674</v>
      </c>
      <c r="AA183" s="544" t="s">
        <v>1674</v>
      </c>
      <c r="AE183" s="551"/>
      <c r="AF183" s="544" t="s">
        <v>1674</v>
      </c>
      <c r="AG183" s="544" t="s">
        <v>1674</v>
      </c>
      <c r="AH183" s="544" t="s">
        <v>1674</v>
      </c>
      <c r="AI183" s="544" t="s">
        <v>1674</v>
      </c>
      <c r="AJ183" s="544" t="s">
        <v>1674</v>
      </c>
      <c r="AK183" s="544" t="s">
        <v>1674</v>
      </c>
      <c r="AL183" s="544" t="s">
        <v>1674</v>
      </c>
      <c r="AM183" s="544" t="s">
        <v>1674</v>
      </c>
      <c r="AN183" s="544" t="s">
        <v>1674</v>
      </c>
      <c r="AP183" s="552">
        <f t="shared" si="2"/>
        <v>142.80000000000001</v>
      </c>
    </row>
    <row r="184" spans="1:42" outlineLevel="1" x14ac:dyDescent="0.25">
      <c r="A184" s="544" t="s">
        <v>1674</v>
      </c>
      <c r="B184" s="545">
        <v>0</v>
      </c>
      <c r="C184" s="544" t="s">
        <v>1674</v>
      </c>
      <c r="D184" s="544" t="s">
        <v>3272</v>
      </c>
      <c r="E184" s="542" t="s">
        <v>3269</v>
      </c>
      <c r="F184" s="542" t="s">
        <v>3270</v>
      </c>
      <c r="G184" s="546">
        <v>142.80000000000001</v>
      </c>
      <c r="H184" s="546"/>
      <c r="I184" s="546">
        <v>142.80000000000001</v>
      </c>
      <c r="J184" s="542" t="s">
        <v>2701</v>
      </c>
      <c r="K184" s="547">
        <v>8404</v>
      </c>
      <c r="L184" s="542" t="s">
        <v>806</v>
      </c>
      <c r="M184" s="548"/>
      <c r="N184" s="549">
        <v>29</v>
      </c>
      <c r="O184" s="544" t="s">
        <v>1674</v>
      </c>
      <c r="P184" s="544" t="s">
        <v>1674</v>
      </c>
      <c r="Q184" s="544" t="s">
        <v>2733</v>
      </c>
      <c r="R184" s="544" t="s">
        <v>1674</v>
      </c>
      <c r="S184" s="544" t="s">
        <v>1674</v>
      </c>
      <c r="T184" s="550">
        <v>19</v>
      </c>
      <c r="U184" s="544" t="s">
        <v>2700</v>
      </c>
      <c r="V184" s="547">
        <v>374</v>
      </c>
      <c r="W184" s="548"/>
      <c r="Y184" s="544" t="s">
        <v>1674</v>
      </c>
      <c r="AA184" s="544" t="s">
        <v>1674</v>
      </c>
      <c r="AE184" s="551"/>
      <c r="AF184" s="544" t="s">
        <v>1674</v>
      </c>
      <c r="AG184" s="544" t="s">
        <v>1674</v>
      </c>
      <c r="AH184" s="544" t="s">
        <v>1674</v>
      </c>
      <c r="AI184" s="544" t="s">
        <v>1674</v>
      </c>
      <c r="AJ184" s="544" t="s">
        <v>1674</v>
      </c>
      <c r="AK184" s="544" t="s">
        <v>1674</v>
      </c>
      <c r="AL184" s="544" t="s">
        <v>1674</v>
      </c>
      <c r="AM184" s="544" t="s">
        <v>1674</v>
      </c>
      <c r="AN184" s="544" t="s">
        <v>1674</v>
      </c>
      <c r="AP184" s="552">
        <f t="shared" si="2"/>
        <v>142.80000000000001</v>
      </c>
    </row>
    <row r="185" spans="1:42" outlineLevel="1" x14ac:dyDescent="0.25">
      <c r="A185" s="544" t="s">
        <v>1674</v>
      </c>
      <c r="B185" s="545">
        <v>0</v>
      </c>
      <c r="C185" s="544" t="s">
        <v>1674</v>
      </c>
      <c r="D185" s="544" t="s">
        <v>3252</v>
      </c>
      <c r="E185" s="542" t="s">
        <v>2698</v>
      </c>
      <c r="F185" s="542" t="s">
        <v>3248</v>
      </c>
      <c r="G185" s="546">
        <v>7.14</v>
      </c>
      <c r="H185" s="546"/>
      <c r="I185" s="546">
        <v>142.36000000000001</v>
      </c>
      <c r="J185" s="542" t="s">
        <v>2701</v>
      </c>
      <c r="K185" s="547">
        <v>8401</v>
      </c>
      <c r="L185" s="542" t="s">
        <v>806</v>
      </c>
      <c r="M185" s="548"/>
      <c r="N185" s="549">
        <v>22</v>
      </c>
      <c r="O185" s="544" t="s">
        <v>1674</v>
      </c>
      <c r="P185" s="544" t="s">
        <v>1674</v>
      </c>
      <c r="Q185" s="544" t="s">
        <v>3259</v>
      </c>
      <c r="R185" s="544" t="s">
        <v>1674</v>
      </c>
      <c r="S185" s="544" t="s">
        <v>1674</v>
      </c>
      <c r="T185" s="550">
        <v>19</v>
      </c>
      <c r="U185" s="544" t="s">
        <v>2700</v>
      </c>
      <c r="V185" s="547">
        <v>365</v>
      </c>
      <c r="W185" s="548"/>
      <c r="Y185" s="544" t="s">
        <v>1674</v>
      </c>
      <c r="AA185" s="544" t="s">
        <v>1674</v>
      </c>
      <c r="AE185" s="551"/>
      <c r="AF185" s="544" t="s">
        <v>1674</v>
      </c>
      <c r="AG185" s="544" t="s">
        <v>1674</v>
      </c>
      <c r="AH185" s="544" t="s">
        <v>1674</v>
      </c>
      <c r="AI185" s="544" t="s">
        <v>1674</v>
      </c>
      <c r="AJ185" s="544" t="s">
        <v>1674</v>
      </c>
      <c r="AK185" s="544" t="s">
        <v>1674</v>
      </c>
      <c r="AL185" s="544" t="s">
        <v>1674</v>
      </c>
      <c r="AM185" s="544" t="s">
        <v>1674</v>
      </c>
      <c r="AN185" s="544" t="s">
        <v>1674</v>
      </c>
      <c r="AP185" s="552">
        <f t="shared" si="2"/>
        <v>142.36000000000001</v>
      </c>
    </row>
    <row r="186" spans="1:42" outlineLevel="1" x14ac:dyDescent="0.25">
      <c r="A186" s="544" t="s">
        <v>1674</v>
      </c>
      <c r="B186" s="545">
        <v>0</v>
      </c>
      <c r="C186" s="544" t="s">
        <v>1674</v>
      </c>
      <c r="D186" s="544" t="s">
        <v>3004</v>
      </c>
      <c r="E186" s="542" t="s">
        <v>2851</v>
      </c>
      <c r="F186" s="542" t="s">
        <v>3002</v>
      </c>
      <c r="G186" s="546">
        <v>7.14</v>
      </c>
      <c r="H186" s="546"/>
      <c r="I186" s="546">
        <v>118.29</v>
      </c>
      <c r="J186" s="542" t="s">
        <v>2701</v>
      </c>
      <c r="K186" s="547">
        <v>8400</v>
      </c>
      <c r="L186" s="542" t="s">
        <v>806</v>
      </c>
      <c r="M186" s="548"/>
      <c r="N186" s="549">
        <v>3</v>
      </c>
      <c r="O186" s="544" t="s">
        <v>1674</v>
      </c>
      <c r="P186" s="544" t="s">
        <v>1674</v>
      </c>
      <c r="Q186" s="544" t="s">
        <v>3005</v>
      </c>
      <c r="R186" s="544" t="s">
        <v>1674</v>
      </c>
      <c r="S186" s="544" t="s">
        <v>1674</v>
      </c>
      <c r="T186" s="550">
        <v>19</v>
      </c>
      <c r="U186" s="544" t="s">
        <v>2700</v>
      </c>
      <c r="V186" s="547">
        <v>57</v>
      </c>
      <c r="W186" s="548"/>
      <c r="Y186" s="544" t="s">
        <v>1674</v>
      </c>
      <c r="AA186" s="544" t="s">
        <v>1674</v>
      </c>
      <c r="AE186" s="551"/>
      <c r="AF186" s="544" t="s">
        <v>1674</v>
      </c>
      <c r="AG186" s="544" t="s">
        <v>1674</v>
      </c>
      <c r="AH186" s="544" t="s">
        <v>1674</v>
      </c>
      <c r="AI186" s="544" t="s">
        <v>1674</v>
      </c>
      <c r="AJ186" s="544" t="s">
        <v>1674</v>
      </c>
      <c r="AK186" s="544" t="s">
        <v>1674</v>
      </c>
      <c r="AL186" s="544" t="s">
        <v>1674</v>
      </c>
      <c r="AM186" s="544" t="s">
        <v>1674</v>
      </c>
      <c r="AN186" s="544" t="s">
        <v>1674</v>
      </c>
      <c r="AP186" s="552">
        <f t="shared" si="2"/>
        <v>118.29</v>
      </c>
    </row>
    <row r="187" spans="1:42" outlineLevel="1" x14ac:dyDescent="0.25">
      <c r="A187" s="544" t="s">
        <v>1674</v>
      </c>
      <c r="B187" s="545">
        <v>0</v>
      </c>
      <c r="C187" s="544" t="s">
        <v>1674</v>
      </c>
      <c r="D187" s="544" t="s">
        <v>2710</v>
      </c>
      <c r="E187" s="542" t="s">
        <v>2711</v>
      </c>
      <c r="F187" s="542" t="s">
        <v>2712</v>
      </c>
      <c r="G187" s="546">
        <v>5.95</v>
      </c>
      <c r="H187" s="546"/>
      <c r="I187" s="546">
        <v>113.05</v>
      </c>
      <c r="J187" s="542" t="s">
        <v>2701</v>
      </c>
      <c r="K187" s="547">
        <v>8400</v>
      </c>
      <c r="L187" s="542" t="s">
        <v>806</v>
      </c>
      <c r="M187" s="548"/>
      <c r="N187" s="549">
        <v>-362</v>
      </c>
      <c r="O187" s="544" t="s">
        <v>1674</v>
      </c>
      <c r="P187" s="544" t="s">
        <v>1674</v>
      </c>
      <c r="Q187" s="544" t="s">
        <v>2716</v>
      </c>
      <c r="R187" s="544" t="s">
        <v>1674</v>
      </c>
      <c r="S187" s="544" t="s">
        <v>1674</v>
      </c>
      <c r="T187" s="550">
        <v>19</v>
      </c>
      <c r="U187" s="544" t="s">
        <v>2714</v>
      </c>
      <c r="V187" s="547">
        <v>46</v>
      </c>
      <c r="W187" s="548"/>
      <c r="Y187" s="544" t="s">
        <v>1674</v>
      </c>
      <c r="AA187" s="544" t="s">
        <v>1674</v>
      </c>
      <c r="AE187" s="551"/>
      <c r="AF187" s="544" t="s">
        <v>1674</v>
      </c>
      <c r="AG187" s="544" t="s">
        <v>1674</v>
      </c>
      <c r="AH187" s="544" t="s">
        <v>1674</v>
      </c>
      <c r="AI187" s="544" t="s">
        <v>1674</v>
      </c>
      <c r="AJ187" s="544" t="s">
        <v>1674</v>
      </c>
      <c r="AK187" s="544" t="s">
        <v>1674</v>
      </c>
      <c r="AL187" s="544" t="s">
        <v>1674</v>
      </c>
      <c r="AM187" s="544" t="s">
        <v>1674</v>
      </c>
      <c r="AN187" s="544" t="s">
        <v>1674</v>
      </c>
      <c r="AP187" s="552">
        <f t="shared" si="2"/>
        <v>113.05</v>
      </c>
    </row>
    <row r="188" spans="1:42" outlineLevel="1" x14ac:dyDescent="0.25">
      <c r="A188" s="544" t="s">
        <v>1674</v>
      </c>
      <c r="B188" s="545">
        <v>10211</v>
      </c>
      <c r="C188" s="544" t="s">
        <v>3194</v>
      </c>
      <c r="D188" s="544" t="s">
        <v>3195</v>
      </c>
      <c r="E188" s="542" t="s">
        <v>2920</v>
      </c>
      <c r="F188" s="542" t="s">
        <v>3181</v>
      </c>
      <c r="G188" s="546">
        <v>108.77</v>
      </c>
      <c r="H188" s="546"/>
      <c r="I188" s="546">
        <v>108.77</v>
      </c>
      <c r="J188" s="542" t="s">
        <v>2701</v>
      </c>
      <c r="K188" s="547">
        <v>8400</v>
      </c>
      <c r="L188" s="542" t="s">
        <v>806</v>
      </c>
      <c r="M188" s="548"/>
      <c r="N188" s="549">
        <v>19</v>
      </c>
      <c r="O188" s="544" t="s">
        <v>1674</v>
      </c>
      <c r="P188" s="544" t="s">
        <v>1674</v>
      </c>
      <c r="Q188" s="544" t="s">
        <v>3196</v>
      </c>
      <c r="R188" s="544" t="s">
        <v>1674</v>
      </c>
      <c r="S188" s="544" t="s">
        <v>1674</v>
      </c>
      <c r="T188" s="550">
        <v>19</v>
      </c>
      <c r="U188" s="544" t="s">
        <v>2700</v>
      </c>
      <c r="V188" s="547">
        <v>325</v>
      </c>
      <c r="W188" s="548"/>
      <c r="Y188" s="544" t="s">
        <v>1674</v>
      </c>
      <c r="AA188" s="544" t="s">
        <v>1674</v>
      </c>
      <c r="AE188" s="551"/>
      <c r="AF188" s="544" t="s">
        <v>1674</v>
      </c>
      <c r="AG188" s="544" t="s">
        <v>1674</v>
      </c>
      <c r="AH188" s="544" t="s">
        <v>1674</v>
      </c>
      <c r="AI188" s="544" t="s">
        <v>1674</v>
      </c>
      <c r="AJ188" s="544" t="s">
        <v>1674</v>
      </c>
      <c r="AK188" s="544" t="s">
        <v>1674</v>
      </c>
      <c r="AL188" s="544" t="s">
        <v>1674</v>
      </c>
      <c r="AM188" s="544" t="s">
        <v>3197</v>
      </c>
      <c r="AN188" s="544" t="s">
        <v>1674</v>
      </c>
      <c r="AP188" s="552">
        <f t="shared" si="2"/>
        <v>108.77</v>
      </c>
    </row>
    <row r="189" spans="1:42" outlineLevel="1" x14ac:dyDescent="0.25">
      <c r="A189" s="544" t="s">
        <v>1674</v>
      </c>
      <c r="B189" s="545">
        <v>0</v>
      </c>
      <c r="C189" s="544" t="s">
        <v>1674</v>
      </c>
      <c r="D189" s="544" t="s">
        <v>3014</v>
      </c>
      <c r="E189" s="542" t="s">
        <v>3015</v>
      </c>
      <c r="F189" s="542" t="s">
        <v>3016</v>
      </c>
      <c r="G189" s="546">
        <v>7.14</v>
      </c>
      <c r="H189" s="546"/>
      <c r="I189" s="546">
        <v>104.72</v>
      </c>
      <c r="J189" s="542" t="s">
        <v>2701</v>
      </c>
      <c r="K189" s="547">
        <v>8400</v>
      </c>
      <c r="L189" s="542" t="s">
        <v>806</v>
      </c>
      <c r="M189" s="548"/>
      <c r="N189" s="549">
        <v>4</v>
      </c>
      <c r="O189" s="544" t="s">
        <v>1674</v>
      </c>
      <c r="P189" s="544" t="s">
        <v>1674</v>
      </c>
      <c r="Q189" s="544" t="s">
        <v>3003</v>
      </c>
      <c r="R189" s="544" t="s">
        <v>1674</v>
      </c>
      <c r="S189" s="544" t="s">
        <v>1674</v>
      </c>
      <c r="T189" s="550">
        <v>19</v>
      </c>
      <c r="U189" s="544" t="s">
        <v>2700</v>
      </c>
      <c r="V189" s="547">
        <v>85</v>
      </c>
      <c r="W189" s="548"/>
      <c r="Y189" s="544" t="s">
        <v>1674</v>
      </c>
      <c r="AA189" s="544" t="s">
        <v>1674</v>
      </c>
      <c r="AE189" s="551"/>
      <c r="AF189" s="544" t="s">
        <v>1674</v>
      </c>
      <c r="AG189" s="544" t="s">
        <v>1674</v>
      </c>
      <c r="AH189" s="544" t="s">
        <v>1674</v>
      </c>
      <c r="AI189" s="544" t="s">
        <v>1674</v>
      </c>
      <c r="AJ189" s="544" t="s">
        <v>1674</v>
      </c>
      <c r="AK189" s="544" t="s">
        <v>1674</v>
      </c>
      <c r="AL189" s="544" t="s">
        <v>1674</v>
      </c>
      <c r="AM189" s="544" t="s">
        <v>1674</v>
      </c>
      <c r="AN189" s="544" t="s">
        <v>1674</v>
      </c>
      <c r="AP189" s="552">
        <f t="shared" si="2"/>
        <v>104.72</v>
      </c>
    </row>
    <row r="190" spans="1:42" outlineLevel="1" x14ac:dyDescent="0.25">
      <c r="A190" s="544" t="s">
        <v>1674</v>
      </c>
      <c r="B190" s="545">
        <v>11900</v>
      </c>
      <c r="C190" s="544" t="s">
        <v>2854</v>
      </c>
      <c r="D190" s="544" t="s">
        <v>2878</v>
      </c>
      <c r="E190" s="542" t="s">
        <v>2866</v>
      </c>
      <c r="F190" s="542" t="s">
        <v>2867</v>
      </c>
      <c r="G190" s="546">
        <v>98.77</v>
      </c>
      <c r="H190" s="546"/>
      <c r="I190" s="546">
        <v>98.77</v>
      </c>
      <c r="J190" s="542" t="s">
        <v>2701</v>
      </c>
      <c r="K190" s="547">
        <v>8400</v>
      </c>
      <c r="L190" s="542" t="s">
        <v>806</v>
      </c>
      <c r="M190" s="548"/>
      <c r="N190" s="549">
        <v>-23</v>
      </c>
      <c r="O190" s="544" t="s">
        <v>1674</v>
      </c>
      <c r="P190" s="544" t="s">
        <v>1674</v>
      </c>
      <c r="Q190" s="544" t="s">
        <v>2857</v>
      </c>
      <c r="R190" s="544" t="s">
        <v>2622</v>
      </c>
      <c r="S190" s="544" t="s">
        <v>1674</v>
      </c>
      <c r="T190" s="550">
        <v>19</v>
      </c>
      <c r="U190" s="544" t="s">
        <v>2697</v>
      </c>
      <c r="V190" s="547">
        <v>511</v>
      </c>
      <c r="W190" s="548"/>
      <c r="Y190" s="544" t="s">
        <v>1674</v>
      </c>
      <c r="AA190" s="544" t="s">
        <v>1674</v>
      </c>
      <c r="AE190" s="551"/>
      <c r="AF190" s="544" t="s">
        <v>1674</v>
      </c>
      <c r="AG190" s="544" t="s">
        <v>1674</v>
      </c>
      <c r="AH190" s="544" t="s">
        <v>1674</v>
      </c>
      <c r="AI190" s="544" t="s">
        <v>1674</v>
      </c>
      <c r="AJ190" s="544" t="s">
        <v>1674</v>
      </c>
      <c r="AK190" s="544" t="s">
        <v>1674</v>
      </c>
      <c r="AL190" s="544" t="s">
        <v>1674</v>
      </c>
      <c r="AM190" s="544" t="s">
        <v>2854</v>
      </c>
      <c r="AN190" s="544" t="s">
        <v>1674</v>
      </c>
      <c r="AP190" s="552">
        <f t="shared" si="2"/>
        <v>98.77</v>
      </c>
    </row>
    <row r="191" spans="1:42" outlineLevel="1" x14ac:dyDescent="0.25">
      <c r="A191" s="544" t="s">
        <v>1674</v>
      </c>
      <c r="B191" s="545">
        <v>0</v>
      </c>
      <c r="C191" s="544" t="s">
        <v>1674</v>
      </c>
      <c r="D191" s="544" t="s">
        <v>2879</v>
      </c>
      <c r="E191" s="542" t="s">
        <v>2866</v>
      </c>
      <c r="F191" s="542" t="s">
        <v>2867</v>
      </c>
      <c r="G191" s="546">
        <v>98.77</v>
      </c>
      <c r="H191" s="546"/>
      <c r="I191" s="546">
        <v>98.77</v>
      </c>
      <c r="J191" s="542" t="s">
        <v>2701</v>
      </c>
      <c r="K191" s="547">
        <v>8400</v>
      </c>
      <c r="L191" s="542" t="s">
        <v>806</v>
      </c>
      <c r="M191" s="548"/>
      <c r="N191" s="549">
        <v>-23</v>
      </c>
      <c r="O191" s="544" t="s">
        <v>1674</v>
      </c>
      <c r="P191" s="544" t="s">
        <v>1674</v>
      </c>
      <c r="Q191" s="544" t="s">
        <v>2857</v>
      </c>
      <c r="R191" s="544" t="s">
        <v>2622</v>
      </c>
      <c r="S191" s="544" t="s">
        <v>1674</v>
      </c>
      <c r="T191" s="550">
        <v>19</v>
      </c>
      <c r="U191" s="544" t="s">
        <v>2697</v>
      </c>
      <c r="V191" s="547">
        <v>512</v>
      </c>
      <c r="W191" s="548"/>
      <c r="Y191" s="544" t="s">
        <v>1674</v>
      </c>
      <c r="AA191" s="544" t="s">
        <v>1674</v>
      </c>
      <c r="AE191" s="551"/>
      <c r="AF191" s="544" t="s">
        <v>1674</v>
      </c>
      <c r="AG191" s="544" t="s">
        <v>1674</v>
      </c>
      <c r="AH191" s="544" t="s">
        <v>1674</v>
      </c>
      <c r="AI191" s="544" t="s">
        <v>1674</v>
      </c>
      <c r="AJ191" s="544" t="s">
        <v>1674</v>
      </c>
      <c r="AK191" s="544" t="s">
        <v>1674</v>
      </c>
      <c r="AL191" s="544" t="s">
        <v>1674</v>
      </c>
      <c r="AM191" s="544" t="s">
        <v>1674</v>
      </c>
      <c r="AN191" s="544" t="s">
        <v>1674</v>
      </c>
      <c r="AP191" s="552">
        <f t="shared" si="2"/>
        <v>98.77</v>
      </c>
    </row>
    <row r="192" spans="1:42" outlineLevel="1" x14ac:dyDescent="0.25">
      <c r="A192" s="544" t="s">
        <v>1674</v>
      </c>
      <c r="B192" s="545">
        <v>10100</v>
      </c>
      <c r="C192" s="544" t="s">
        <v>2864</v>
      </c>
      <c r="D192" s="544" t="s">
        <v>2865</v>
      </c>
      <c r="E192" s="542" t="s">
        <v>2866</v>
      </c>
      <c r="F192" s="542" t="s">
        <v>2867</v>
      </c>
      <c r="G192" s="546">
        <v>97.58</v>
      </c>
      <c r="H192" s="546"/>
      <c r="I192" s="546">
        <v>97.58</v>
      </c>
      <c r="J192" s="542" t="s">
        <v>2701</v>
      </c>
      <c r="K192" s="547">
        <v>8400</v>
      </c>
      <c r="L192" s="542" t="s">
        <v>806</v>
      </c>
      <c r="M192" s="548"/>
      <c r="N192" s="549">
        <v>-23</v>
      </c>
      <c r="O192" s="544" t="s">
        <v>1674</v>
      </c>
      <c r="P192" s="544" t="s">
        <v>1674</v>
      </c>
      <c r="Q192" s="544" t="s">
        <v>2868</v>
      </c>
      <c r="R192" s="544" t="s">
        <v>2622</v>
      </c>
      <c r="S192" s="544" t="s">
        <v>1674</v>
      </c>
      <c r="T192" s="550">
        <v>19</v>
      </c>
      <c r="U192" s="544" t="s">
        <v>2697</v>
      </c>
      <c r="V192" s="547">
        <v>516</v>
      </c>
      <c r="W192" s="548"/>
      <c r="Y192" s="544" t="s">
        <v>1674</v>
      </c>
      <c r="AA192" s="544" t="s">
        <v>1674</v>
      </c>
      <c r="AE192" s="551"/>
      <c r="AF192" s="544" t="s">
        <v>1674</v>
      </c>
      <c r="AG192" s="544" t="s">
        <v>1674</v>
      </c>
      <c r="AH192" s="544" t="s">
        <v>1674</v>
      </c>
      <c r="AI192" s="544" t="s">
        <v>1674</v>
      </c>
      <c r="AJ192" s="544" t="s">
        <v>1674</v>
      </c>
      <c r="AK192" s="544" t="s">
        <v>1674</v>
      </c>
      <c r="AL192" s="544" t="s">
        <v>1674</v>
      </c>
      <c r="AM192" s="544" t="s">
        <v>2864</v>
      </c>
      <c r="AN192" s="544" t="s">
        <v>1674</v>
      </c>
      <c r="AP192" s="552">
        <f t="shared" si="2"/>
        <v>97.58</v>
      </c>
    </row>
    <row r="193" spans="1:42" outlineLevel="1" x14ac:dyDescent="0.25">
      <c r="A193" s="544" t="s">
        <v>1674</v>
      </c>
      <c r="B193" s="545">
        <v>0</v>
      </c>
      <c r="C193" s="544" t="s">
        <v>1674</v>
      </c>
      <c r="D193" s="544" t="s">
        <v>2869</v>
      </c>
      <c r="E193" s="542" t="s">
        <v>2866</v>
      </c>
      <c r="F193" s="542" t="s">
        <v>2867</v>
      </c>
      <c r="G193" s="546">
        <v>97.58</v>
      </c>
      <c r="H193" s="546"/>
      <c r="I193" s="546">
        <v>97.58</v>
      </c>
      <c r="J193" s="542" t="s">
        <v>2701</v>
      </c>
      <c r="K193" s="547">
        <v>8400</v>
      </c>
      <c r="L193" s="542" t="s">
        <v>806</v>
      </c>
      <c r="M193" s="548"/>
      <c r="N193" s="549">
        <v>-23</v>
      </c>
      <c r="O193" s="544" t="s">
        <v>1674</v>
      </c>
      <c r="P193" s="544" t="s">
        <v>1674</v>
      </c>
      <c r="Q193" s="544" t="s">
        <v>2868</v>
      </c>
      <c r="R193" s="544" t="s">
        <v>2622</v>
      </c>
      <c r="S193" s="544" t="s">
        <v>1674</v>
      </c>
      <c r="T193" s="550">
        <v>19</v>
      </c>
      <c r="U193" s="544" t="s">
        <v>2697</v>
      </c>
      <c r="V193" s="547">
        <v>522</v>
      </c>
      <c r="W193" s="548"/>
      <c r="Y193" s="544" t="s">
        <v>1674</v>
      </c>
      <c r="AA193" s="544" t="s">
        <v>1674</v>
      </c>
      <c r="AE193" s="551"/>
      <c r="AF193" s="544" t="s">
        <v>1674</v>
      </c>
      <c r="AG193" s="544" t="s">
        <v>1674</v>
      </c>
      <c r="AH193" s="544" t="s">
        <v>1674</v>
      </c>
      <c r="AI193" s="544" t="s">
        <v>1674</v>
      </c>
      <c r="AJ193" s="544" t="s">
        <v>1674</v>
      </c>
      <c r="AK193" s="544" t="s">
        <v>1674</v>
      </c>
      <c r="AL193" s="544" t="s">
        <v>1674</v>
      </c>
      <c r="AM193" s="544" t="s">
        <v>1674</v>
      </c>
      <c r="AN193" s="544" t="s">
        <v>1674</v>
      </c>
      <c r="AP193" s="552">
        <f t="shared" si="2"/>
        <v>97.58</v>
      </c>
    </row>
    <row r="194" spans="1:42" outlineLevel="1" x14ac:dyDescent="0.25">
      <c r="A194" s="544" t="s">
        <v>1674</v>
      </c>
      <c r="B194" s="545">
        <v>0</v>
      </c>
      <c r="C194" s="544" t="s">
        <v>1674</v>
      </c>
      <c r="D194" s="544" t="s">
        <v>2870</v>
      </c>
      <c r="E194" s="542" t="s">
        <v>2866</v>
      </c>
      <c r="F194" s="542" t="s">
        <v>2867</v>
      </c>
      <c r="G194" s="546">
        <v>97.58</v>
      </c>
      <c r="H194" s="546"/>
      <c r="I194" s="546">
        <v>97.58</v>
      </c>
      <c r="J194" s="542" t="s">
        <v>2701</v>
      </c>
      <c r="K194" s="547">
        <v>8400</v>
      </c>
      <c r="L194" s="542" t="s">
        <v>806</v>
      </c>
      <c r="M194" s="548"/>
      <c r="N194" s="549">
        <v>-23</v>
      </c>
      <c r="O194" s="544" t="s">
        <v>1674</v>
      </c>
      <c r="P194" s="544" t="s">
        <v>1674</v>
      </c>
      <c r="Q194" s="544" t="s">
        <v>2868</v>
      </c>
      <c r="R194" s="544" t="s">
        <v>2622</v>
      </c>
      <c r="S194" s="544" t="s">
        <v>1674</v>
      </c>
      <c r="T194" s="550">
        <v>19</v>
      </c>
      <c r="U194" s="544" t="s">
        <v>2697</v>
      </c>
      <c r="V194" s="547">
        <v>524</v>
      </c>
      <c r="W194" s="548"/>
      <c r="Y194" s="544" t="s">
        <v>1674</v>
      </c>
      <c r="AA194" s="544" t="s">
        <v>1674</v>
      </c>
      <c r="AE194" s="551"/>
      <c r="AF194" s="544" t="s">
        <v>1674</v>
      </c>
      <c r="AG194" s="544" t="s">
        <v>1674</v>
      </c>
      <c r="AH194" s="544" t="s">
        <v>1674</v>
      </c>
      <c r="AI194" s="544" t="s">
        <v>1674</v>
      </c>
      <c r="AJ194" s="544" t="s">
        <v>1674</v>
      </c>
      <c r="AK194" s="544" t="s">
        <v>1674</v>
      </c>
      <c r="AL194" s="544" t="s">
        <v>1674</v>
      </c>
      <c r="AM194" s="544" t="s">
        <v>1674</v>
      </c>
      <c r="AN194" s="544" t="s">
        <v>1674</v>
      </c>
      <c r="AP194" s="552">
        <f t="shared" si="2"/>
        <v>97.58</v>
      </c>
    </row>
    <row r="195" spans="1:42" outlineLevel="1" x14ac:dyDescent="0.25">
      <c r="A195" s="544" t="s">
        <v>1674</v>
      </c>
      <c r="B195" s="545">
        <v>0</v>
      </c>
      <c r="C195" s="544" t="s">
        <v>1674</v>
      </c>
      <c r="D195" s="544" t="s">
        <v>3228</v>
      </c>
      <c r="E195" s="542" t="s">
        <v>2920</v>
      </c>
      <c r="F195" s="542" t="s">
        <v>3181</v>
      </c>
      <c r="G195" s="546">
        <v>7.14</v>
      </c>
      <c r="H195" s="546"/>
      <c r="I195" s="546">
        <v>96.15</v>
      </c>
      <c r="J195" s="542" t="s">
        <v>2701</v>
      </c>
      <c r="K195" s="547">
        <v>8400</v>
      </c>
      <c r="L195" s="542" t="s">
        <v>806</v>
      </c>
      <c r="M195" s="548"/>
      <c r="N195" s="549">
        <v>19</v>
      </c>
      <c r="O195" s="544" t="s">
        <v>1674</v>
      </c>
      <c r="P195" s="544" t="s">
        <v>1674</v>
      </c>
      <c r="Q195" s="544" t="s">
        <v>3230</v>
      </c>
      <c r="R195" s="544" t="s">
        <v>1674</v>
      </c>
      <c r="S195" s="544" t="s">
        <v>1674</v>
      </c>
      <c r="T195" s="550">
        <v>19</v>
      </c>
      <c r="U195" s="544" t="s">
        <v>2700</v>
      </c>
      <c r="V195" s="547">
        <v>324</v>
      </c>
      <c r="W195" s="548"/>
      <c r="Y195" s="544" t="s">
        <v>1674</v>
      </c>
      <c r="AA195" s="544" t="s">
        <v>1674</v>
      </c>
      <c r="AE195" s="551"/>
      <c r="AF195" s="544" t="s">
        <v>1674</v>
      </c>
      <c r="AG195" s="544" t="s">
        <v>1674</v>
      </c>
      <c r="AH195" s="544" t="s">
        <v>1674</v>
      </c>
      <c r="AI195" s="544" t="s">
        <v>1674</v>
      </c>
      <c r="AJ195" s="544" t="s">
        <v>1674</v>
      </c>
      <c r="AK195" s="544" t="s">
        <v>1674</v>
      </c>
      <c r="AL195" s="544" t="s">
        <v>1674</v>
      </c>
      <c r="AM195" s="544" t="s">
        <v>1674</v>
      </c>
      <c r="AN195" s="544" t="s">
        <v>1674</v>
      </c>
      <c r="AP195" s="552">
        <f t="shared" ref="AP195:AP258" si="3">IF(J195="S",+I195,-I195)</f>
        <v>96.15</v>
      </c>
    </row>
    <row r="196" spans="1:42" outlineLevel="1" x14ac:dyDescent="0.25">
      <c r="A196" s="544" t="s">
        <v>1674</v>
      </c>
      <c r="B196" s="545">
        <v>0</v>
      </c>
      <c r="C196" s="544" t="s">
        <v>1674</v>
      </c>
      <c r="D196" s="544" t="s">
        <v>3183</v>
      </c>
      <c r="E196" s="542" t="s">
        <v>2920</v>
      </c>
      <c r="F196" s="542" t="s">
        <v>3181</v>
      </c>
      <c r="G196" s="546">
        <v>7.14</v>
      </c>
      <c r="H196" s="546"/>
      <c r="I196" s="546">
        <v>94.72</v>
      </c>
      <c r="J196" s="542" t="s">
        <v>2701</v>
      </c>
      <c r="K196" s="547">
        <v>8400</v>
      </c>
      <c r="L196" s="542" t="s">
        <v>806</v>
      </c>
      <c r="M196" s="548"/>
      <c r="N196" s="549">
        <v>19</v>
      </c>
      <c r="O196" s="544" t="s">
        <v>1674</v>
      </c>
      <c r="P196" s="544" t="s">
        <v>1674</v>
      </c>
      <c r="Q196" s="544" t="s">
        <v>3186</v>
      </c>
      <c r="R196" s="544" t="s">
        <v>1674</v>
      </c>
      <c r="S196" s="544" t="s">
        <v>1674</v>
      </c>
      <c r="T196" s="550">
        <v>19</v>
      </c>
      <c r="U196" s="544" t="s">
        <v>2700</v>
      </c>
      <c r="V196" s="547">
        <v>329</v>
      </c>
      <c r="W196" s="548"/>
      <c r="Y196" s="544" t="s">
        <v>1674</v>
      </c>
      <c r="AA196" s="544" t="s">
        <v>1674</v>
      </c>
      <c r="AE196" s="551"/>
      <c r="AF196" s="544" t="s">
        <v>1674</v>
      </c>
      <c r="AG196" s="544" t="s">
        <v>1674</v>
      </c>
      <c r="AH196" s="544" t="s">
        <v>1674</v>
      </c>
      <c r="AI196" s="544" t="s">
        <v>1674</v>
      </c>
      <c r="AJ196" s="544" t="s">
        <v>1674</v>
      </c>
      <c r="AK196" s="544" t="s">
        <v>1674</v>
      </c>
      <c r="AL196" s="544" t="s">
        <v>1674</v>
      </c>
      <c r="AM196" s="544" t="s">
        <v>1674</v>
      </c>
      <c r="AN196" s="544" t="s">
        <v>1674</v>
      </c>
      <c r="AP196" s="552">
        <f t="shared" si="3"/>
        <v>94.72</v>
      </c>
    </row>
    <row r="197" spans="1:42" outlineLevel="1" x14ac:dyDescent="0.25">
      <c r="A197" s="544" t="s">
        <v>1674</v>
      </c>
      <c r="B197" s="545">
        <v>0</v>
      </c>
      <c r="C197" s="544" t="s">
        <v>1674</v>
      </c>
      <c r="D197" s="544" t="s">
        <v>2940</v>
      </c>
      <c r="E197" s="542" t="s">
        <v>2942</v>
      </c>
      <c r="G197" s="546"/>
      <c r="H197" s="546">
        <v>142.12</v>
      </c>
      <c r="I197" s="546">
        <v>88.2</v>
      </c>
      <c r="J197" s="542" t="s">
        <v>2701</v>
      </c>
      <c r="K197" s="547">
        <v>8743</v>
      </c>
      <c r="L197" s="542" t="s">
        <v>806</v>
      </c>
      <c r="M197" s="548"/>
      <c r="N197" s="549">
        <v>0</v>
      </c>
      <c r="O197" s="544" t="s">
        <v>1674</v>
      </c>
      <c r="P197" s="544" t="s">
        <v>1674</v>
      </c>
      <c r="Q197" s="544" t="s">
        <v>2944</v>
      </c>
      <c r="R197" s="544" t="s">
        <v>1674</v>
      </c>
      <c r="S197" s="544" t="s">
        <v>1674</v>
      </c>
      <c r="T197" s="550"/>
      <c r="U197" s="544" t="s">
        <v>2697</v>
      </c>
      <c r="V197" s="547">
        <v>1365</v>
      </c>
      <c r="W197" s="548"/>
      <c r="Y197" s="544" t="s">
        <v>1674</v>
      </c>
      <c r="AA197" s="544" t="s">
        <v>1674</v>
      </c>
      <c r="AE197" s="551"/>
      <c r="AF197" s="544" t="s">
        <v>1674</v>
      </c>
      <c r="AG197" s="544" t="s">
        <v>1674</v>
      </c>
      <c r="AH197" s="544" t="s">
        <v>1674</v>
      </c>
      <c r="AI197" s="544" t="s">
        <v>1674</v>
      </c>
      <c r="AJ197" s="544" t="s">
        <v>1674</v>
      </c>
      <c r="AK197" s="544" t="s">
        <v>1674</v>
      </c>
      <c r="AL197" s="544" t="s">
        <v>1674</v>
      </c>
      <c r="AM197" s="544" t="s">
        <v>1674</v>
      </c>
      <c r="AN197" s="544" t="s">
        <v>1674</v>
      </c>
      <c r="AP197" s="552">
        <f t="shared" si="3"/>
        <v>88.2</v>
      </c>
    </row>
    <row r="198" spans="1:42" outlineLevel="1" x14ac:dyDescent="0.25">
      <c r="A198" s="544" t="s">
        <v>1674</v>
      </c>
      <c r="B198" s="545">
        <v>11200</v>
      </c>
      <c r="C198" s="544" t="s">
        <v>2871</v>
      </c>
      <c r="D198" s="544" t="s">
        <v>2872</v>
      </c>
      <c r="E198" s="542" t="s">
        <v>2866</v>
      </c>
      <c r="F198" s="542" t="s">
        <v>2867</v>
      </c>
      <c r="G198" s="546">
        <v>87.58</v>
      </c>
      <c r="H198" s="546"/>
      <c r="I198" s="546">
        <v>87.58</v>
      </c>
      <c r="J198" s="542" t="s">
        <v>2701</v>
      </c>
      <c r="K198" s="547">
        <v>8400</v>
      </c>
      <c r="L198" s="542" t="s">
        <v>806</v>
      </c>
      <c r="M198" s="548"/>
      <c r="N198" s="549">
        <v>-23</v>
      </c>
      <c r="O198" s="544" t="s">
        <v>1674</v>
      </c>
      <c r="P198" s="544" t="s">
        <v>1674</v>
      </c>
      <c r="Q198" s="544" t="s">
        <v>2873</v>
      </c>
      <c r="R198" s="544" t="s">
        <v>2622</v>
      </c>
      <c r="S198" s="544" t="s">
        <v>1674</v>
      </c>
      <c r="T198" s="550">
        <v>19</v>
      </c>
      <c r="U198" s="544" t="s">
        <v>2697</v>
      </c>
      <c r="V198" s="547">
        <v>514</v>
      </c>
      <c r="W198" s="548"/>
      <c r="Y198" s="544" t="s">
        <v>1674</v>
      </c>
      <c r="AA198" s="544" t="s">
        <v>1674</v>
      </c>
      <c r="AE198" s="551"/>
      <c r="AF198" s="544" t="s">
        <v>1674</v>
      </c>
      <c r="AG198" s="544" t="s">
        <v>1674</v>
      </c>
      <c r="AH198" s="544" t="s">
        <v>1674</v>
      </c>
      <c r="AI198" s="544" t="s">
        <v>1674</v>
      </c>
      <c r="AJ198" s="544" t="s">
        <v>1674</v>
      </c>
      <c r="AK198" s="544" t="s">
        <v>1674</v>
      </c>
      <c r="AL198" s="544" t="s">
        <v>1674</v>
      </c>
      <c r="AM198" s="544" t="s">
        <v>2871</v>
      </c>
      <c r="AN198" s="544" t="s">
        <v>1674</v>
      </c>
      <c r="AP198" s="552">
        <f t="shared" si="3"/>
        <v>87.58</v>
      </c>
    </row>
    <row r="199" spans="1:42" outlineLevel="1" x14ac:dyDescent="0.25">
      <c r="A199" s="544" t="s">
        <v>1674</v>
      </c>
      <c r="B199" s="545">
        <v>0</v>
      </c>
      <c r="C199" s="544" t="s">
        <v>1674</v>
      </c>
      <c r="D199" s="544" t="s">
        <v>2874</v>
      </c>
      <c r="E199" s="542" t="s">
        <v>2866</v>
      </c>
      <c r="F199" s="542" t="s">
        <v>2867</v>
      </c>
      <c r="G199" s="546">
        <v>87.58</v>
      </c>
      <c r="H199" s="546"/>
      <c r="I199" s="546">
        <v>87.58</v>
      </c>
      <c r="J199" s="542" t="s">
        <v>2701</v>
      </c>
      <c r="K199" s="547">
        <v>8400</v>
      </c>
      <c r="L199" s="542" t="s">
        <v>806</v>
      </c>
      <c r="M199" s="548"/>
      <c r="N199" s="549">
        <v>-23</v>
      </c>
      <c r="O199" s="544" t="s">
        <v>1674</v>
      </c>
      <c r="P199" s="544" t="s">
        <v>1674</v>
      </c>
      <c r="Q199" s="544" t="s">
        <v>2873</v>
      </c>
      <c r="R199" s="544" t="s">
        <v>2622</v>
      </c>
      <c r="S199" s="544" t="s">
        <v>1674</v>
      </c>
      <c r="T199" s="550">
        <v>19</v>
      </c>
      <c r="U199" s="544" t="s">
        <v>2697</v>
      </c>
      <c r="V199" s="547">
        <v>519</v>
      </c>
      <c r="W199" s="548"/>
      <c r="Y199" s="544" t="s">
        <v>1674</v>
      </c>
      <c r="AA199" s="544" t="s">
        <v>1674</v>
      </c>
      <c r="AE199" s="551"/>
      <c r="AF199" s="544" t="s">
        <v>1674</v>
      </c>
      <c r="AG199" s="544" t="s">
        <v>1674</v>
      </c>
      <c r="AH199" s="544" t="s">
        <v>1674</v>
      </c>
      <c r="AI199" s="544" t="s">
        <v>1674</v>
      </c>
      <c r="AJ199" s="544" t="s">
        <v>1674</v>
      </c>
      <c r="AK199" s="544" t="s">
        <v>1674</v>
      </c>
      <c r="AL199" s="544" t="s">
        <v>1674</v>
      </c>
      <c r="AM199" s="544" t="s">
        <v>1674</v>
      </c>
      <c r="AN199" s="544" t="s">
        <v>1674</v>
      </c>
      <c r="AP199" s="552">
        <f t="shared" si="3"/>
        <v>87.58</v>
      </c>
    </row>
    <row r="200" spans="1:42" outlineLevel="1" x14ac:dyDescent="0.25">
      <c r="A200" s="544" t="s">
        <v>1674</v>
      </c>
      <c r="B200" s="545">
        <v>11813</v>
      </c>
      <c r="C200" s="544" t="s">
        <v>2814</v>
      </c>
      <c r="D200" s="544" t="s">
        <v>2922</v>
      </c>
      <c r="E200" s="542" t="s">
        <v>2838</v>
      </c>
      <c r="F200" s="542" t="s">
        <v>2920</v>
      </c>
      <c r="G200" s="546">
        <v>76.16</v>
      </c>
      <c r="H200" s="546"/>
      <c r="I200" s="546">
        <v>76.16</v>
      </c>
      <c r="J200" s="542" t="s">
        <v>2701</v>
      </c>
      <c r="K200" s="547">
        <v>8400</v>
      </c>
      <c r="L200" s="542" t="s">
        <v>806</v>
      </c>
      <c r="M200" s="548"/>
      <c r="N200" s="549">
        <v>-11</v>
      </c>
      <c r="O200" s="544" t="s">
        <v>1674</v>
      </c>
      <c r="P200" s="544" t="s">
        <v>1674</v>
      </c>
      <c r="Q200" s="544" t="s">
        <v>2818</v>
      </c>
      <c r="R200" s="544" t="s">
        <v>2622</v>
      </c>
      <c r="S200" s="544" t="s">
        <v>1674</v>
      </c>
      <c r="T200" s="550">
        <v>19</v>
      </c>
      <c r="U200" s="544" t="s">
        <v>2697</v>
      </c>
      <c r="V200" s="547">
        <v>1150</v>
      </c>
      <c r="W200" s="548"/>
      <c r="Y200" s="544" t="s">
        <v>1674</v>
      </c>
      <c r="AA200" s="544" t="s">
        <v>1674</v>
      </c>
      <c r="AE200" s="551"/>
      <c r="AF200" s="544" t="s">
        <v>1674</v>
      </c>
      <c r="AG200" s="544" t="s">
        <v>1674</v>
      </c>
      <c r="AH200" s="544" t="s">
        <v>1674</v>
      </c>
      <c r="AI200" s="544" t="s">
        <v>1674</v>
      </c>
      <c r="AJ200" s="544" t="s">
        <v>1674</v>
      </c>
      <c r="AK200" s="544" t="s">
        <v>1674</v>
      </c>
      <c r="AL200" s="544" t="s">
        <v>1674</v>
      </c>
      <c r="AM200" s="544" t="s">
        <v>2819</v>
      </c>
      <c r="AN200" s="544" t="s">
        <v>1674</v>
      </c>
      <c r="AP200" s="552">
        <f t="shared" si="3"/>
        <v>76.16</v>
      </c>
    </row>
    <row r="201" spans="1:42" outlineLevel="1" x14ac:dyDescent="0.25">
      <c r="A201" s="544" t="s">
        <v>1674</v>
      </c>
      <c r="B201" s="545">
        <v>0</v>
      </c>
      <c r="C201" s="544" t="s">
        <v>1674</v>
      </c>
      <c r="D201" s="544" t="s">
        <v>2876</v>
      </c>
      <c r="E201" s="542" t="s">
        <v>2838</v>
      </c>
      <c r="G201" s="546"/>
      <c r="H201" s="546">
        <v>706.36</v>
      </c>
      <c r="I201" s="546">
        <v>55.24</v>
      </c>
      <c r="J201" s="542" t="s">
        <v>2701</v>
      </c>
      <c r="K201" s="547">
        <v>1200</v>
      </c>
      <c r="L201" s="542" t="s">
        <v>806</v>
      </c>
      <c r="M201" s="548"/>
      <c r="N201" s="549">
        <v>0</v>
      </c>
      <c r="O201" s="544" t="s">
        <v>1674</v>
      </c>
      <c r="P201" s="544" t="s">
        <v>1674</v>
      </c>
      <c r="Q201" s="544" t="s">
        <v>2877</v>
      </c>
      <c r="R201" s="544" t="s">
        <v>1674</v>
      </c>
      <c r="S201" s="544" t="s">
        <v>1674</v>
      </c>
      <c r="T201" s="550"/>
      <c r="U201" s="544" t="s">
        <v>2697</v>
      </c>
      <c r="V201" s="547">
        <v>1106</v>
      </c>
      <c r="W201" s="548"/>
      <c r="Y201" s="544" t="s">
        <v>1674</v>
      </c>
      <c r="AA201" s="544" t="s">
        <v>1674</v>
      </c>
      <c r="AE201" s="551"/>
      <c r="AF201" s="544" t="s">
        <v>1674</v>
      </c>
      <c r="AG201" s="544" t="s">
        <v>1674</v>
      </c>
      <c r="AH201" s="544" t="s">
        <v>1674</v>
      </c>
      <c r="AI201" s="544" t="s">
        <v>1674</v>
      </c>
      <c r="AJ201" s="544" t="s">
        <v>1674</v>
      </c>
      <c r="AK201" s="544" t="s">
        <v>1674</v>
      </c>
      <c r="AL201" s="544" t="s">
        <v>1674</v>
      </c>
      <c r="AM201" s="544" t="s">
        <v>1674</v>
      </c>
      <c r="AN201" s="544" t="s">
        <v>1674</v>
      </c>
      <c r="AP201" s="552">
        <f t="shared" si="3"/>
        <v>55.24</v>
      </c>
    </row>
    <row r="202" spans="1:42" outlineLevel="1" x14ac:dyDescent="0.25">
      <c r="A202" s="544" t="s">
        <v>2722</v>
      </c>
      <c r="B202" s="545">
        <v>31204</v>
      </c>
      <c r="C202" s="544" t="s">
        <v>2766</v>
      </c>
      <c r="D202" s="544" t="s">
        <v>2767</v>
      </c>
      <c r="E202" s="542" t="s">
        <v>2764</v>
      </c>
      <c r="F202" s="542" t="s">
        <v>2765</v>
      </c>
      <c r="G202" s="546">
        <v>1</v>
      </c>
      <c r="H202" s="546"/>
      <c r="I202" s="546">
        <v>1</v>
      </c>
      <c r="J202" s="542" t="s">
        <v>2701</v>
      </c>
      <c r="K202" s="547">
        <v>8807</v>
      </c>
      <c r="L202" s="542" t="s">
        <v>806</v>
      </c>
      <c r="M202" s="548"/>
      <c r="N202" s="549">
        <v>-152</v>
      </c>
      <c r="O202" s="544" t="s">
        <v>1674</v>
      </c>
      <c r="P202" s="544" t="s">
        <v>1674</v>
      </c>
      <c r="Q202" s="544" t="s">
        <v>2768</v>
      </c>
      <c r="R202" s="544" t="s">
        <v>2622</v>
      </c>
      <c r="S202" s="544" t="s">
        <v>1674</v>
      </c>
      <c r="T202" s="550"/>
      <c r="U202" s="544" t="s">
        <v>2685</v>
      </c>
      <c r="V202" s="547">
        <v>201</v>
      </c>
      <c r="W202" s="548"/>
      <c r="Y202" s="544" t="s">
        <v>1674</v>
      </c>
      <c r="AA202" s="544" t="s">
        <v>1674</v>
      </c>
      <c r="AE202" s="551"/>
      <c r="AF202" s="544" t="s">
        <v>1674</v>
      </c>
      <c r="AG202" s="544" t="s">
        <v>1674</v>
      </c>
      <c r="AH202" s="544" t="s">
        <v>1674</v>
      </c>
      <c r="AI202" s="544" t="s">
        <v>1674</v>
      </c>
      <c r="AJ202" s="544" t="s">
        <v>1674</v>
      </c>
      <c r="AK202" s="544" t="s">
        <v>1674</v>
      </c>
      <c r="AL202" s="544" t="s">
        <v>1674</v>
      </c>
      <c r="AM202" s="544" t="s">
        <v>2769</v>
      </c>
      <c r="AN202" s="544" t="s">
        <v>1674</v>
      </c>
      <c r="AP202" s="552">
        <f t="shared" si="3"/>
        <v>1</v>
      </c>
    </row>
    <row r="203" spans="1:42" outlineLevel="1" x14ac:dyDescent="0.25">
      <c r="A203" s="544" t="s">
        <v>1674</v>
      </c>
      <c r="B203" s="545">
        <v>0</v>
      </c>
      <c r="C203" s="544" t="s">
        <v>1674</v>
      </c>
      <c r="D203" s="544" t="s">
        <v>2827</v>
      </c>
      <c r="E203" s="542" t="s">
        <v>2832</v>
      </c>
      <c r="G203" s="546"/>
      <c r="H203" s="546">
        <v>499.88</v>
      </c>
      <c r="I203" s="546">
        <v>0.12</v>
      </c>
      <c r="J203" s="542" t="s">
        <v>2701</v>
      </c>
      <c r="K203" s="547">
        <v>1200</v>
      </c>
      <c r="L203" s="542" t="s">
        <v>806</v>
      </c>
      <c r="M203" s="548"/>
      <c r="N203" s="549">
        <v>0</v>
      </c>
      <c r="O203" s="544" t="s">
        <v>1674</v>
      </c>
      <c r="P203" s="544" t="s">
        <v>1674</v>
      </c>
      <c r="Q203" s="544" t="s">
        <v>2833</v>
      </c>
      <c r="R203" s="544" t="s">
        <v>1674</v>
      </c>
      <c r="S203" s="544" t="s">
        <v>1674</v>
      </c>
      <c r="T203" s="550"/>
      <c r="U203" s="544" t="s">
        <v>2697</v>
      </c>
      <c r="V203" s="547">
        <v>1832</v>
      </c>
      <c r="W203" s="548"/>
      <c r="Y203" s="544" t="s">
        <v>1674</v>
      </c>
      <c r="AA203" s="544" t="s">
        <v>1674</v>
      </c>
      <c r="AE203" s="551"/>
      <c r="AF203" s="544" t="s">
        <v>1674</v>
      </c>
      <c r="AG203" s="544" t="s">
        <v>1674</v>
      </c>
      <c r="AH203" s="544" t="s">
        <v>1674</v>
      </c>
      <c r="AI203" s="544" t="s">
        <v>1674</v>
      </c>
      <c r="AJ203" s="544" t="s">
        <v>1674</v>
      </c>
      <c r="AK203" s="544" t="s">
        <v>1674</v>
      </c>
      <c r="AL203" s="544" t="s">
        <v>1674</v>
      </c>
      <c r="AM203" s="544" t="s">
        <v>1674</v>
      </c>
      <c r="AN203" s="544" t="s">
        <v>1674</v>
      </c>
      <c r="AP203" s="552">
        <f t="shared" si="3"/>
        <v>0.12</v>
      </c>
    </row>
    <row r="204" spans="1:42" outlineLevel="1" x14ac:dyDescent="0.25">
      <c r="A204" s="544" t="s">
        <v>1674</v>
      </c>
      <c r="B204" s="545">
        <v>11800</v>
      </c>
      <c r="C204" s="544" t="s">
        <v>2581</v>
      </c>
      <c r="D204" s="544" t="s">
        <v>2613</v>
      </c>
      <c r="E204" s="542" t="s">
        <v>2614</v>
      </c>
      <c r="G204" s="546"/>
      <c r="H204" s="546">
        <v>27.63</v>
      </c>
      <c r="I204" s="546"/>
      <c r="J204" s="542" t="s">
        <v>806</v>
      </c>
      <c r="K204" s="547">
        <v>8400</v>
      </c>
      <c r="L204" s="542" t="s">
        <v>806</v>
      </c>
      <c r="M204" s="548"/>
      <c r="N204" s="549">
        <v>0</v>
      </c>
      <c r="O204" s="544" t="s">
        <v>1674</v>
      </c>
      <c r="P204" s="544" t="s">
        <v>1674</v>
      </c>
      <c r="Q204" s="544" t="s">
        <v>2615</v>
      </c>
      <c r="R204" s="544" t="s">
        <v>1674</v>
      </c>
      <c r="S204" s="544" t="s">
        <v>1674</v>
      </c>
      <c r="T204" s="550">
        <v>19</v>
      </c>
      <c r="U204" s="544" t="s">
        <v>2616</v>
      </c>
      <c r="V204" s="547">
        <v>1439</v>
      </c>
      <c r="W204" s="548"/>
      <c r="Y204" s="544" t="s">
        <v>1674</v>
      </c>
      <c r="AA204" s="544" t="s">
        <v>1674</v>
      </c>
      <c r="AE204" s="551"/>
      <c r="AF204" s="544" t="s">
        <v>1674</v>
      </c>
      <c r="AG204" s="544" t="s">
        <v>1674</v>
      </c>
      <c r="AH204" s="544" t="s">
        <v>1674</v>
      </c>
      <c r="AI204" s="544" t="s">
        <v>1674</v>
      </c>
      <c r="AJ204" s="544" t="s">
        <v>1674</v>
      </c>
      <c r="AK204" s="544" t="s">
        <v>1674</v>
      </c>
      <c r="AL204" s="544" t="s">
        <v>1674</v>
      </c>
      <c r="AM204" s="544" t="s">
        <v>2581</v>
      </c>
      <c r="AN204" s="544" t="s">
        <v>1674</v>
      </c>
      <c r="AP204" s="552">
        <f t="shared" si="3"/>
        <v>0</v>
      </c>
    </row>
    <row r="205" spans="1:42" outlineLevel="1" x14ac:dyDescent="0.25">
      <c r="A205" s="544" t="s">
        <v>1674</v>
      </c>
      <c r="B205" s="545">
        <v>0</v>
      </c>
      <c r="C205" s="544" t="s">
        <v>1674</v>
      </c>
      <c r="D205" s="544" t="s">
        <v>2613</v>
      </c>
      <c r="E205" s="542" t="s">
        <v>2614</v>
      </c>
      <c r="G205" s="546"/>
      <c r="H205" s="546">
        <v>1.46</v>
      </c>
      <c r="I205" s="546"/>
      <c r="J205" s="542" t="s">
        <v>806</v>
      </c>
      <c r="K205" s="547">
        <v>8400</v>
      </c>
      <c r="L205" s="542" t="s">
        <v>806</v>
      </c>
      <c r="M205" s="548"/>
      <c r="N205" s="549">
        <v>0</v>
      </c>
      <c r="O205" s="544" t="s">
        <v>1674</v>
      </c>
      <c r="P205" s="544" t="s">
        <v>1674</v>
      </c>
      <c r="Q205" s="544" t="s">
        <v>2615</v>
      </c>
      <c r="R205" s="544" t="s">
        <v>2617</v>
      </c>
      <c r="S205" s="544" t="s">
        <v>1674</v>
      </c>
      <c r="T205" s="550">
        <v>19</v>
      </c>
      <c r="U205" s="544" t="s">
        <v>2616</v>
      </c>
      <c r="V205" s="547">
        <v>1440</v>
      </c>
      <c r="W205" s="548"/>
      <c r="Y205" s="544" t="s">
        <v>1674</v>
      </c>
      <c r="AA205" s="544" t="s">
        <v>1674</v>
      </c>
      <c r="AE205" s="551"/>
      <c r="AF205" s="544" t="s">
        <v>1674</v>
      </c>
      <c r="AG205" s="544" t="s">
        <v>1674</v>
      </c>
      <c r="AH205" s="544" t="s">
        <v>1674</v>
      </c>
      <c r="AI205" s="544" t="s">
        <v>1674</v>
      </c>
      <c r="AJ205" s="544" t="s">
        <v>1674</v>
      </c>
      <c r="AK205" s="544" t="s">
        <v>1674</v>
      </c>
      <c r="AL205" s="544" t="s">
        <v>1674</v>
      </c>
      <c r="AM205" s="544" t="s">
        <v>1674</v>
      </c>
      <c r="AN205" s="544" t="s">
        <v>1674</v>
      </c>
      <c r="AP205" s="552">
        <f t="shared" si="3"/>
        <v>0</v>
      </c>
    </row>
    <row r="206" spans="1:42" outlineLevel="1" x14ac:dyDescent="0.25">
      <c r="A206" s="544" t="s">
        <v>1674</v>
      </c>
      <c r="B206" s="545">
        <v>10801</v>
      </c>
      <c r="C206" s="544" t="s">
        <v>2618</v>
      </c>
      <c r="D206" s="544" t="s">
        <v>2619</v>
      </c>
      <c r="E206" s="542" t="s">
        <v>2620</v>
      </c>
      <c r="G206" s="546"/>
      <c r="H206" s="546">
        <v>214.2</v>
      </c>
      <c r="I206" s="546"/>
      <c r="J206" s="542" t="s">
        <v>806</v>
      </c>
      <c r="K206" s="547">
        <v>8400</v>
      </c>
      <c r="L206" s="542" t="s">
        <v>806</v>
      </c>
      <c r="M206" s="548"/>
      <c r="N206" s="549">
        <v>0</v>
      </c>
      <c r="O206" s="544" t="s">
        <v>1674</v>
      </c>
      <c r="P206" s="544" t="s">
        <v>1674</v>
      </c>
      <c r="Q206" s="544" t="s">
        <v>2621</v>
      </c>
      <c r="R206" s="544" t="s">
        <v>2622</v>
      </c>
      <c r="S206" s="544" t="s">
        <v>1674</v>
      </c>
      <c r="T206" s="550">
        <v>19</v>
      </c>
      <c r="U206" s="544" t="s">
        <v>2623</v>
      </c>
      <c r="V206" s="547">
        <v>129</v>
      </c>
      <c r="W206" s="548"/>
      <c r="Y206" s="544" t="s">
        <v>1674</v>
      </c>
      <c r="AA206" s="544" t="s">
        <v>1674</v>
      </c>
      <c r="AE206" s="551"/>
      <c r="AF206" s="544" t="s">
        <v>1674</v>
      </c>
      <c r="AG206" s="544" t="s">
        <v>1674</v>
      </c>
      <c r="AH206" s="544" t="s">
        <v>1674</v>
      </c>
      <c r="AI206" s="544" t="s">
        <v>1674</v>
      </c>
      <c r="AJ206" s="544" t="s">
        <v>1674</v>
      </c>
      <c r="AK206" s="544" t="s">
        <v>1674</v>
      </c>
      <c r="AL206" s="544" t="s">
        <v>1674</v>
      </c>
      <c r="AM206" s="544" t="s">
        <v>2624</v>
      </c>
      <c r="AN206" s="544" t="s">
        <v>1674</v>
      </c>
      <c r="AP206" s="552">
        <f t="shared" si="3"/>
        <v>0</v>
      </c>
    </row>
    <row r="207" spans="1:42" outlineLevel="1" x14ac:dyDescent="0.25">
      <c r="A207" s="544" t="s">
        <v>1674</v>
      </c>
      <c r="B207" s="545">
        <v>0</v>
      </c>
      <c r="C207" s="544" t="s">
        <v>1674</v>
      </c>
      <c r="D207" s="544" t="s">
        <v>2619</v>
      </c>
      <c r="E207" s="542" t="s">
        <v>2620</v>
      </c>
      <c r="G207" s="546"/>
      <c r="H207" s="546">
        <v>1846.88</v>
      </c>
      <c r="I207" s="546"/>
      <c r="J207" s="542" t="s">
        <v>806</v>
      </c>
      <c r="K207" s="547">
        <v>8400</v>
      </c>
      <c r="L207" s="542" t="s">
        <v>806</v>
      </c>
      <c r="M207" s="548"/>
      <c r="N207" s="549">
        <v>0</v>
      </c>
      <c r="O207" s="544" t="s">
        <v>1674</v>
      </c>
      <c r="P207" s="544" t="s">
        <v>1674</v>
      </c>
      <c r="Q207" s="544" t="s">
        <v>2621</v>
      </c>
      <c r="R207" s="544" t="s">
        <v>1674</v>
      </c>
      <c r="S207" s="544" t="s">
        <v>1674</v>
      </c>
      <c r="T207" s="550">
        <v>19</v>
      </c>
      <c r="U207" s="544" t="s">
        <v>2623</v>
      </c>
      <c r="V207" s="547">
        <v>130</v>
      </c>
      <c r="W207" s="548"/>
      <c r="Y207" s="544" t="s">
        <v>1674</v>
      </c>
      <c r="AA207" s="544" t="s">
        <v>1674</v>
      </c>
      <c r="AE207" s="551"/>
      <c r="AF207" s="544" t="s">
        <v>1674</v>
      </c>
      <c r="AG207" s="544" t="s">
        <v>1674</v>
      </c>
      <c r="AH207" s="544" t="s">
        <v>1674</v>
      </c>
      <c r="AI207" s="544" t="s">
        <v>1674</v>
      </c>
      <c r="AJ207" s="544" t="s">
        <v>1674</v>
      </c>
      <c r="AK207" s="544" t="s">
        <v>1674</v>
      </c>
      <c r="AL207" s="544" t="s">
        <v>1674</v>
      </c>
      <c r="AM207" s="544" t="s">
        <v>1674</v>
      </c>
      <c r="AN207" s="544" t="s">
        <v>1674</v>
      </c>
      <c r="AP207" s="552">
        <f t="shared" si="3"/>
        <v>0</v>
      </c>
    </row>
    <row r="208" spans="1:42" outlineLevel="1" x14ac:dyDescent="0.25">
      <c r="A208" s="544" t="s">
        <v>1674</v>
      </c>
      <c r="B208" s="545">
        <v>21402</v>
      </c>
      <c r="C208" s="544" t="s">
        <v>2626</v>
      </c>
      <c r="D208" s="544" t="s">
        <v>2627</v>
      </c>
      <c r="E208" s="542" t="s">
        <v>2620</v>
      </c>
      <c r="F208" s="542" t="s">
        <v>2625</v>
      </c>
      <c r="G208" s="546">
        <v>6674</v>
      </c>
      <c r="H208" s="546"/>
      <c r="I208" s="546"/>
      <c r="J208" s="542" t="s">
        <v>806</v>
      </c>
      <c r="K208" s="547">
        <v>8125</v>
      </c>
      <c r="L208" s="542" t="s">
        <v>806</v>
      </c>
      <c r="M208" s="548"/>
      <c r="N208" s="549">
        <v>-724</v>
      </c>
      <c r="O208" s="544" t="s">
        <v>1674</v>
      </c>
      <c r="P208" s="544" t="s">
        <v>1674</v>
      </c>
      <c r="Q208" s="544" t="s">
        <v>2628</v>
      </c>
      <c r="R208" s="544" t="s">
        <v>1674</v>
      </c>
      <c r="S208" s="544" t="s">
        <v>1674</v>
      </c>
      <c r="T208" s="550"/>
      <c r="U208" s="544" t="s">
        <v>2623</v>
      </c>
      <c r="V208" s="547">
        <v>145</v>
      </c>
      <c r="W208" s="548"/>
      <c r="Y208" s="544" t="s">
        <v>1674</v>
      </c>
      <c r="AA208" s="544" t="s">
        <v>1674</v>
      </c>
      <c r="AE208" s="551"/>
      <c r="AF208" s="544" t="s">
        <v>1674</v>
      </c>
      <c r="AG208" s="544" t="s">
        <v>1674</v>
      </c>
      <c r="AH208" s="544" t="s">
        <v>1674</v>
      </c>
      <c r="AI208" s="544" t="s">
        <v>1674</v>
      </c>
      <c r="AJ208" s="544" t="s">
        <v>1674</v>
      </c>
      <c r="AK208" s="544" t="s">
        <v>1674</v>
      </c>
      <c r="AL208" s="544" t="s">
        <v>1674</v>
      </c>
      <c r="AM208" s="544" t="s">
        <v>2629</v>
      </c>
      <c r="AN208" s="544" t="s">
        <v>1674</v>
      </c>
      <c r="AP208" s="552">
        <f t="shared" si="3"/>
        <v>0</v>
      </c>
    </row>
    <row r="209" spans="1:42" outlineLevel="1" x14ac:dyDescent="0.25">
      <c r="A209" s="544" t="s">
        <v>1674</v>
      </c>
      <c r="B209" s="545">
        <v>11800</v>
      </c>
      <c r="C209" s="544" t="s">
        <v>2581</v>
      </c>
      <c r="D209" s="544" t="s">
        <v>2642</v>
      </c>
      <c r="E209" s="542" t="s">
        <v>2643</v>
      </c>
      <c r="F209" s="542" t="s">
        <v>2644</v>
      </c>
      <c r="G209" s="546">
        <v>34391</v>
      </c>
      <c r="H209" s="546"/>
      <c r="I209" s="546"/>
      <c r="J209" s="542" t="s">
        <v>806</v>
      </c>
      <c r="K209" s="547">
        <v>8820</v>
      </c>
      <c r="L209" s="542" t="s">
        <v>806</v>
      </c>
      <c r="M209" s="548"/>
      <c r="N209" s="549">
        <v>-580</v>
      </c>
      <c r="O209" s="544" t="s">
        <v>1674</v>
      </c>
      <c r="P209" s="544" t="s">
        <v>1674</v>
      </c>
      <c r="Q209" s="544" t="s">
        <v>2645</v>
      </c>
      <c r="R209" s="544" t="s">
        <v>1674</v>
      </c>
      <c r="S209" s="544" t="s">
        <v>1674</v>
      </c>
      <c r="T209" s="550">
        <v>19</v>
      </c>
      <c r="U209" s="544" t="s">
        <v>2646</v>
      </c>
      <c r="V209" s="547">
        <v>27</v>
      </c>
      <c r="W209" s="548"/>
      <c r="Y209" s="544" t="s">
        <v>1674</v>
      </c>
      <c r="AA209" s="544" t="s">
        <v>1674</v>
      </c>
      <c r="AE209" s="551"/>
      <c r="AF209" s="544" t="s">
        <v>1674</v>
      </c>
      <c r="AG209" s="544" t="s">
        <v>1674</v>
      </c>
      <c r="AH209" s="544" t="s">
        <v>1674</v>
      </c>
      <c r="AI209" s="544" t="s">
        <v>1674</v>
      </c>
      <c r="AJ209" s="544" t="s">
        <v>1674</v>
      </c>
      <c r="AK209" s="544" t="s">
        <v>1674</v>
      </c>
      <c r="AL209" s="544" t="s">
        <v>1674</v>
      </c>
      <c r="AM209" s="544" t="s">
        <v>2581</v>
      </c>
      <c r="AN209" s="544" t="s">
        <v>1674</v>
      </c>
      <c r="AP209" s="552">
        <f t="shared" si="3"/>
        <v>0</v>
      </c>
    </row>
    <row r="210" spans="1:42" outlineLevel="1" x14ac:dyDescent="0.25">
      <c r="A210" s="544" t="s">
        <v>1674</v>
      </c>
      <c r="B210" s="545">
        <v>0</v>
      </c>
      <c r="C210" s="544" t="s">
        <v>1674</v>
      </c>
      <c r="D210" s="544" t="s">
        <v>2642</v>
      </c>
      <c r="E210" s="542" t="s">
        <v>2643</v>
      </c>
      <c r="F210" s="542" t="s">
        <v>2644</v>
      </c>
      <c r="G210" s="546">
        <v>6069</v>
      </c>
      <c r="H210" s="546"/>
      <c r="I210" s="546"/>
      <c r="J210" s="542" t="s">
        <v>806</v>
      </c>
      <c r="K210" s="547">
        <v>8820</v>
      </c>
      <c r="L210" s="542" t="s">
        <v>806</v>
      </c>
      <c r="M210" s="548"/>
      <c r="N210" s="549">
        <v>-580</v>
      </c>
      <c r="O210" s="544" t="s">
        <v>1674</v>
      </c>
      <c r="P210" s="544" t="s">
        <v>1674</v>
      </c>
      <c r="Q210" s="544" t="s">
        <v>2645</v>
      </c>
      <c r="R210" s="544" t="s">
        <v>1674</v>
      </c>
      <c r="S210" s="544" t="s">
        <v>1674</v>
      </c>
      <c r="T210" s="550">
        <v>19</v>
      </c>
      <c r="U210" s="544" t="s">
        <v>2646</v>
      </c>
      <c r="V210" s="547">
        <v>28</v>
      </c>
      <c r="W210" s="548"/>
      <c r="Y210" s="544" t="s">
        <v>1674</v>
      </c>
      <c r="AA210" s="544" t="s">
        <v>1674</v>
      </c>
      <c r="AE210" s="551"/>
      <c r="AF210" s="544" t="s">
        <v>1674</v>
      </c>
      <c r="AG210" s="544" t="s">
        <v>1674</v>
      </c>
      <c r="AH210" s="544" t="s">
        <v>1674</v>
      </c>
      <c r="AI210" s="544" t="s">
        <v>1674</v>
      </c>
      <c r="AJ210" s="544" t="s">
        <v>1674</v>
      </c>
      <c r="AK210" s="544" t="s">
        <v>1674</v>
      </c>
      <c r="AL210" s="544" t="s">
        <v>1674</v>
      </c>
      <c r="AM210" s="544" t="s">
        <v>1674</v>
      </c>
      <c r="AN210" s="544" t="s">
        <v>1674</v>
      </c>
      <c r="AP210" s="552">
        <f t="shared" si="3"/>
        <v>0</v>
      </c>
    </row>
    <row r="211" spans="1:42" outlineLevel="1" x14ac:dyDescent="0.25">
      <c r="A211" s="544" t="s">
        <v>1674</v>
      </c>
      <c r="B211" s="545">
        <v>0</v>
      </c>
      <c r="C211" s="544" t="s">
        <v>1674</v>
      </c>
      <c r="D211" s="544" t="s">
        <v>2642</v>
      </c>
      <c r="E211" s="542" t="s">
        <v>2647</v>
      </c>
      <c r="G211" s="546"/>
      <c r="H211" s="546">
        <v>1904</v>
      </c>
      <c r="I211" s="546"/>
      <c r="J211" s="542" t="s">
        <v>806</v>
      </c>
      <c r="K211" s="547">
        <v>1200</v>
      </c>
      <c r="L211" s="542" t="s">
        <v>806</v>
      </c>
      <c r="M211" s="548"/>
      <c r="N211" s="549">
        <v>0</v>
      </c>
      <c r="O211" s="544" t="s">
        <v>1674</v>
      </c>
      <c r="P211" s="544" t="s">
        <v>1674</v>
      </c>
      <c r="Q211" s="544" t="s">
        <v>2648</v>
      </c>
      <c r="R211" s="544" t="s">
        <v>1674</v>
      </c>
      <c r="S211" s="544" t="s">
        <v>1674</v>
      </c>
      <c r="T211" s="550"/>
      <c r="U211" s="544" t="s">
        <v>2649</v>
      </c>
      <c r="V211" s="547">
        <v>1473</v>
      </c>
      <c r="W211" s="548"/>
      <c r="Y211" s="544" t="s">
        <v>1674</v>
      </c>
      <c r="AA211" s="544" t="s">
        <v>1674</v>
      </c>
      <c r="AE211" s="551"/>
      <c r="AF211" s="544" t="s">
        <v>1674</v>
      </c>
      <c r="AG211" s="544" t="s">
        <v>1674</v>
      </c>
      <c r="AH211" s="544" t="s">
        <v>1674</v>
      </c>
      <c r="AI211" s="544" t="s">
        <v>1674</v>
      </c>
      <c r="AJ211" s="544" t="s">
        <v>1674</v>
      </c>
      <c r="AK211" s="544" t="s">
        <v>1674</v>
      </c>
      <c r="AL211" s="544" t="s">
        <v>1674</v>
      </c>
      <c r="AM211" s="544" t="s">
        <v>1674</v>
      </c>
      <c r="AN211" s="544" t="s">
        <v>1674</v>
      </c>
      <c r="AP211" s="552">
        <f t="shared" si="3"/>
        <v>0</v>
      </c>
    </row>
    <row r="212" spans="1:42" outlineLevel="1" x14ac:dyDescent="0.25">
      <c r="A212" s="544" t="s">
        <v>1674</v>
      </c>
      <c r="B212" s="545">
        <v>0</v>
      </c>
      <c r="C212" s="544" t="s">
        <v>1674</v>
      </c>
      <c r="D212" s="544" t="s">
        <v>2642</v>
      </c>
      <c r="E212" s="542" t="s">
        <v>2647</v>
      </c>
      <c r="G212" s="546"/>
      <c r="H212" s="546">
        <v>1904</v>
      </c>
      <c r="I212" s="546"/>
      <c r="J212" s="542" t="s">
        <v>806</v>
      </c>
      <c r="K212" s="547">
        <v>1200</v>
      </c>
      <c r="L212" s="542" t="s">
        <v>806</v>
      </c>
      <c r="M212" s="548"/>
      <c r="N212" s="549">
        <v>0</v>
      </c>
      <c r="O212" s="544" t="s">
        <v>1674</v>
      </c>
      <c r="P212" s="544" t="s">
        <v>1674</v>
      </c>
      <c r="Q212" s="544" t="s">
        <v>2648</v>
      </c>
      <c r="R212" s="544" t="s">
        <v>1674</v>
      </c>
      <c r="S212" s="544" t="s">
        <v>1674</v>
      </c>
      <c r="T212" s="550"/>
      <c r="U212" s="544" t="s">
        <v>2649</v>
      </c>
      <c r="V212" s="547">
        <v>1474</v>
      </c>
      <c r="W212" s="548"/>
      <c r="Y212" s="544" t="s">
        <v>1674</v>
      </c>
      <c r="AA212" s="544" t="s">
        <v>1674</v>
      </c>
      <c r="AE212" s="551"/>
      <c r="AF212" s="544" t="s">
        <v>1674</v>
      </c>
      <c r="AG212" s="544" t="s">
        <v>1674</v>
      </c>
      <c r="AH212" s="544" t="s">
        <v>1674</v>
      </c>
      <c r="AI212" s="544" t="s">
        <v>1674</v>
      </c>
      <c r="AJ212" s="544" t="s">
        <v>1674</v>
      </c>
      <c r="AK212" s="544" t="s">
        <v>1674</v>
      </c>
      <c r="AL212" s="544" t="s">
        <v>1674</v>
      </c>
      <c r="AM212" s="544" t="s">
        <v>1674</v>
      </c>
      <c r="AN212" s="544" t="s">
        <v>1674</v>
      </c>
      <c r="AP212" s="552">
        <f t="shared" si="3"/>
        <v>0</v>
      </c>
    </row>
    <row r="213" spans="1:42" outlineLevel="1" x14ac:dyDescent="0.25">
      <c r="A213" s="544" t="s">
        <v>1674</v>
      </c>
      <c r="B213" s="545">
        <v>0</v>
      </c>
      <c r="C213" s="544" t="s">
        <v>1674</v>
      </c>
      <c r="D213" s="544" t="s">
        <v>2642</v>
      </c>
      <c r="E213" s="542" t="s">
        <v>2647</v>
      </c>
      <c r="G213" s="546"/>
      <c r="H213" s="546">
        <v>1884.96</v>
      </c>
      <c r="I213" s="546"/>
      <c r="J213" s="542" t="s">
        <v>806</v>
      </c>
      <c r="K213" s="547">
        <v>1200</v>
      </c>
      <c r="L213" s="542" t="s">
        <v>806</v>
      </c>
      <c r="M213" s="548"/>
      <c r="N213" s="549">
        <v>0</v>
      </c>
      <c r="O213" s="544" t="s">
        <v>1674</v>
      </c>
      <c r="P213" s="544" t="s">
        <v>1674</v>
      </c>
      <c r="Q213" s="544" t="s">
        <v>2648</v>
      </c>
      <c r="R213" s="544" t="s">
        <v>1674</v>
      </c>
      <c r="S213" s="544" t="s">
        <v>1674</v>
      </c>
      <c r="T213" s="550"/>
      <c r="U213" s="544" t="s">
        <v>2649</v>
      </c>
      <c r="V213" s="547">
        <v>1475</v>
      </c>
      <c r="W213" s="548"/>
      <c r="Y213" s="544" t="s">
        <v>1674</v>
      </c>
      <c r="AA213" s="544" t="s">
        <v>1674</v>
      </c>
      <c r="AE213" s="551"/>
      <c r="AF213" s="544" t="s">
        <v>1674</v>
      </c>
      <c r="AG213" s="544" t="s">
        <v>1674</v>
      </c>
      <c r="AH213" s="544" t="s">
        <v>1674</v>
      </c>
      <c r="AI213" s="544" t="s">
        <v>1674</v>
      </c>
      <c r="AJ213" s="544" t="s">
        <v>1674</v>
      </c>
      <c r="AK213" s="544" t="s">
        <v>1674</v>
      </c>
      <c r="AL213" s="544" t="s">
        <v>1674</v>
      </c>
      <c r="AM213" s="544" t="s">
        <v>1674</v>
      </c>
      <c r="AN213" s="544" t="s">
        <v>1674</v>
      </c>
      <c r="AP213" s="552">
        <f t="shared" si="3"/>
        <v>0</v>
      </c>
    </row>
    <row r="214" spans="1:42" outlineLevel="1" x14ac:dyDescent="0.25">
      <c r="A214" s="544" t="s">
        <v>1674</v>
      </c>
      <c r="B214" s="545">
        <v>0</v>
      </c>
      <c r="C214" s="544" t="s">
        <v>1674</v>
      </c>
      <c r="D214" s="544" t="s">
        <v>2642</v>
      </c>
      <c r="E214" s="542" t="s">
        <v>2647</v>
      </c>
      <c r="G214" s="546"/>
      <c r="H214" s="546">
        <v>19.04</v>
      </c>
      <c r="I214" s="546"/>
      <c r="J214" s="542" t="s">
        <v>806</v>
      </c>
      <c r="K214" s="547">
        <v>8736</v>
      </c>
      <c r="L214" s="542" t="s">
        <v>806</v>
      </c>
      <c r="M214" s="548"/>
      <c r="N214" s="549">
        <v>0</v>
      </c>
      <c r="O214" s="544" t="s">
        <v>1674</v>
      </c>
      <c r="P214" s="544" t="s">
        <v>1674</v>
      </c>
      <c r="Q214" s="544" t="s">
        <v>2648</v>
      </c>
      <c r="R214" s="544" t="s">
        <v>1674</v>
      </c>
      <c r="S214" s="544" t="s">
        <v>1674</v>
      </c>
      <c r="T214" s="550">
        <v>19</v>
      </c>
      <c r="U214" s="544" t="s">
        <v>2649</v>
      </c>
      <c r="V214" s="547">
        <v>1475</v>
      </c>
      <c r="W214" s="548"/>
      <c r="Y214" s="544" t="s">
        <v>1674</v>
      </c>
      <c r="AA214" s="544" t="s">
        <v>1674</v>
      </c>
      <c r="AE214" s="551"/>
      <c r="AF214" s="544" t="s">
        <v>1674</v>
      </c>
      <c r="AG214" s="544" t="s">
        <v>1674</v>
      </c>
      <c r="AH214" s="544" t="s">
        <v>1674</v>
      </c>
      <c r="AI214" s="544" t="s">
        <v>1674</v>
      </c>
      <c r="AJ214" s="544" t="s">
        <v>1674</v>
      </c>
      <c r="AK214" s="544" t="s">
        <v>1674</v>
      </c>
      <c r="AL214" s="544" t="s">
        <v>1674</v>
      </c>
      <c r="AM214" s="544" t="s">
        <v>1674</v>
      </c>
      <c r="AN214" s="544" t="s">
        <v>1674</v>
      </c>
      <c r="AP214" s="552">
        <f t="shared" si="3"/>
        <v>0</v>
      </c>
    </row>
    <row r="215" spans="1:42" outlineLevel="1" x14ac:dyDescent="0.25">
      <c r="A215" s="544" t="s">
        <v>1674</v>
      </c>
      <c r="B215" s="545">
        <v>0</v>
      </c>
      <c r="C215" s="544" t="s">
        <v>1674</v>
      </c>
      <c r="D215" s="544" t="s">
        <v>2642</v>
      </c>
      <c r="E215" s="542" t="s">
        <v>2650</v>
      </c>
      <c r="G215" s="546"/>
      <c r="H215" s="546">
        <v>1884.96</v>
      </c>
      <c r="I215" s="546"/>
      <c r="J215" s="542" t="s">
        <v>806</v>
      </c>
      <c r="K215" s="547">
        <v>1200</v>
      </c>
      <c r="L215" s="542" t="s">
        <v>806</v>
      </c>
      <c r="M215" s="548"/>
      <c r="N215" s="549">
        <v>0</v>
      </c>
      <c r="O215" s="544" t="s">
        <v>1674</v>
      </c>
      <c r="P215" s="544" t="s">
        <v>1674</v>
      </c>
      <c r="Q215" s="544" t="s">
        <v>2651</v>
      </c>
      <c r="R215" s="544" t="s">
        <v>1674</v>
      </c>
      <c r="S215" s="544" t="s">
        <v>1674</v>
      </c>
      <c r="T215" s="550"/>
      <c r="U215" s="544" t="s">
        <v>2652</v>
      </c>
      <c r="V215" s="547">
        <v>1628</v>
      </c>
      <c r="W215" s="548"/>
      <c r="Y215" s="544" t="s">
        <v>1674</v>
      </c>
      <c r="AA215" s="544" t="s">
        <v>1674</v>
      </c>
      <c r="AE215" s="551"/>
      <c r="AF215" s="544" t="s">
        <v>1674</v>
      </c>
      <c r="AG215" s="544" t="s">
        <v>1674</v>
      </c>
      <c r="AH215" s="544" t="s">
        <v>1674</v>
      </c>
      <c r="AI215" s="544" t="s">
        <v>1674</v>
      </c>
      <c r="AJ215" s="544" t="s">
        <v>1674</v>
      </c>
      <c r="AK215" s="544" t="s">
        <v>1674</v>
      </c>
      <c r="AL215" s="544" t="s">
        <v>1674</v>
      </c>
      <c r="AM215" s="544" t="s">
        <v>1674</v>
      </c>
      <c r="AN215" s="544" t="s">
        <v>1674</v>
      </c>
      <c r="AP215" s="552">
        <f t="shared" si="3"/>
        <v>0</v>
      </c>
    </row>
    <row r="216" spans="1:42" outlineLevel="1" x14ac:dyDescent="0.25">
      <c r="A216" s="544" t="s">
        <v>1674</v>
      </c>
      <c r="B216" s="545">
        <v>0</v>
      </c>
      <c r="C216" s="544" t="s">
        <v>1674</v>
      </c>
      <c r="D216" s="544" t="s">
        <v>2642</v>
      </c>
      <c r="E216" s="542" t="s">
        <v>2650</v>
      </c>
      <c r="G216" s="546"/>
      <c r="H216" s="546">
        <v>19.04</v>
      </c>
      <c r="I216" s="546"/>
      <c r="J216" s="542" t="s">
        <v>806</v>
      </c>
      <c r="K216" s="547">
        <v>8736</v>
      </c>
      <c r="L216" s="542" t="s">
        <v>806</v>
      </c>
      <c r="M216" s="548"/>
      <c r="N216" s="549">
        <v>0</v>
      </c>
      <c r="O216" s="544" t="s">
        <v>1674</v>
      </c>
      <c r="P216" s="544" t="s">
        <v>1674</v>
      </c>
      <c r="Q216" s="544" t="s">
        <v>2651</v>
      </c>
      <c r="R216" s="544" t="s">
        <v>1674</v>
      </c>
      <c r="S216" s="544" t="s">
        <v>1674</v>
      </c>
      <c r="T216" s="550">
        <v>19</v>
      </c>
      <c r="U216" s="544" t="s">
        <v>2652</v>
      </c>
      <c r="V216" s="547">
        <v>1628</v>
      </c>
      <c r="W216" s="548"/>
      <c r="Y216" s="544" t="s">
        <v>1674</v>
      </c>
      <c r="AA216" s="544" t="s">
        <v>1674</v>
      </c>
      <c r="AE216" s="551"/>
      <c r="AF216" s="544" t="s">
        <v>1674</v>
      </c>
      <c r="AG216" s="544" t="s">
        <v>1674</v>
      </c>
      <c r="AH216" s="544" t="s">
        <v>1674</v>
      </c>
      <c r="AI216" s="544" t="s">
        <v>1674</v>
      </c>
      <c r="AJ216" s="544" t="s">
        <v>1674</v>
      </c>
      <c r="AK216" s="544" t="s">
        <v>1674</v>
      </c>
      <c r="AL216" s="544" t="s">
        <v>1674</v>
      </c>
      <c r="AM216" s="544" t="s">
        <v>1674</v>
      </c>
      <c r="AN216" s="544" t="s">
        <v>1674</v>
      </c>
      <c r="AP216" s="552">
        <f t="shared" si="3"/>
        <v>0</v>
      </c>
    </row>
    <row r="217" spans="1:42" outlineLevel="1" x14ac:dyDescent="0.25">
      <c r="A217" s="544" t="s">
        <v>1674</v>
      </c>
      <c r="B217" s="545">
        <v>0</v>
      </c>
      <c r="C217" s="544" t="s">
        <v>1674</v>
      </c>
      <c r="D217" s="544" t="s">
        <v>2642</v>
      </c>
      <c r="E217" s="542" t="s">
        <v>2653</v>
      </c>
      <c r="G217" s="546"/>
      <c r="H217" s="546">
        <v>1884.96</v>
      </c>
      <c r="I217" s="546"/>
      <c r="J217" s="542" t="s">
        <v>806</v>
      </c>
      <c r="K217" s="547">
        <v>1200</v>
      </c>
      <c r="L217" s="542" t="s">
        <v>806</v>
      </c>
      <c r="M217" s="548"/>
      <c r="N217" s="549">
        <v>0</v>
      </c>
      <c r="O217" s="544" t="s">
        <v>1674</v>
      </c>
      <c r="P217" s="544" t="s">
        <v>1674</v>
      </c>
      <c r="Q217" s="544" t="s">
        <v>2654</v>
      </c>
      <c r="R217" s="544" t="s">
        <v>1674</v>
      </c>
      <c r="S217" s="544" t="s">
        <v>1674</v>
      </c>
      <c r="T217" s="550"/>
      <c r="U217" s="544" t="s">
        <v>2655</v>
      </c>
      <c r="V217" s="547">
        <v>725</v>
      </c>
      <c r="W217" s="548"/>
      <c r="Y217" s="544" t="s">
        <v>1674</v>
      </c>
      <c r="AA217" s="544" t="s">
        <v>1674</v>
      </c>
      <c r="AE217" s="551"/>
      <c r="AF217" s="544" t="s">
        <v>1674</v>
      </c>
      <c r="AG217" s="544" t="s">
        <v>1674</v>
      </c>
      <c r="AH217" s="544" t="s">
        <v>1674</v>
      </c>
      <c r="AI217" s="544" t="s">
        <v>1674</v>
      </c>
      <c r="AJ217" s="544" t="s">
        <v>1674</v>
      </c>
      <c r="AK217" s="544" t="s">
        <v>1674</v>
      </c>
      <c r="AL217" s="544" t="s">
        <v>1674</v>
      </c>
      <c r="AM217" s="544" t="s">
        <v>1674</v>
      </c>
      <c r="AN217" s="544" t="s">
        <v>1674</v>
      </c>
      <c r="AP217" s="552">
        <f t="shared" si="3"/>
        <v>0</v>
      </c>
    </row>
    <row r="218" spans="1:42" outlineLevel="1" x14ac:dyDescent="0.25">
      <c r="A218" s="544" t="s">
        <v>1674</v>
      </c>
      <c r="B218" s="545">
        <v>0</v>
      </c>
      <c r="C218" s="544" t="s">
        <v>1674</v>
      </c>
      <c r="D218" s="544" t="s">
        <v>2642</v>
      </c>
      <c r="E218" s="542" t="s">
        <v>2653</v>
      </c>
      <c r="G218" s="546"/>
      <c r="H218" s="546">
        <v>19.04</v>
      </c>
      <c r="I218" s="546"/>
      <c r="J218" s="542" t="s">
        <v>806</v>
      </c>
      <c r="K218" s="547">
        <v>8736</v>
      </c>
      <c r="L218" s="542" t="s">
        <v>806</v>
      </c>
      <c r="M218" s="548"/>
      <c r="N218" s="549">
        <v>0</v>
      </c>
      <c r="O218" s="544" t="s">
        <v>1674</v>
      </c>
      <c r="P218" s="544" t="s">
        <v>1674</v>
      </c>
      <c r="Q218" s="544" t="s">
        <v>2654</v>
      </c>
      <c r="R218" s="544" t="s">
        <v>1674</v>
      </c>
      <c r="S218" s="544" t="s">
        <v>1674</v>
      </c>
      <c r="T218" s="550">
        <v>19</v>
      </c>
      <c r="U218" s="544" t="s">
        <v>2655</v>
      </c>
      <c r="V218" s="547">
        <v>725</v>
      </c>
      <c r="W218" s="548"/>
      <c r="Y218" s="544" t="s">
        <v>1674</v>
      </c>
      <c r="AA218" s="544" t="s">
        <v>1674</v>
      </c>
      <c r="AE218" s="551"/>
      <c r="AF218" s="544" t="s">
        <v>1674</v>
      </c>
      <c r="AG218" s="544" t="s">
        <v>1674</v>
      </c>
      <c r="AH218" s="544" t="s">
        <v>1674</v>
      </c>
      <c r="AI218" s="544" t="s">
        <v>1674</v>
      </c>
      <c r="AJ218" s="544" t="s">
        <v>1674</v>
      </c>
      <c r="AK218" s="544" t="s">
        <v>1674</v>
      </c>
      <c r="AL218" s="544" t="s">
        <v>1674</v>
      </c>
      <c r="AM218" s="544" t="s">
        <v>1674</v>
      </c>
      <c r="AN218" s="544" t="s">
        <v>1674</v>
      </c>
      <c r="AP218" s="552">
        <f t="shared" si="3"/>
        <v>0</v>
      </c>
    </row>
    <row r="219" spans="1:42" outlineLevel="1" x14ac:dyDescent="0.25">
      <c r="A219" s="544" t="s">
        <v>1674</v>
      </c>
      <c r="B219" s="545">
        <v>0</v>
      </c>
      <c r="C219" s="544" t="s">
        <v>1674</v>
      </c>
      <c r="D219" s="544" t="s">
        <v>2642</v>
      </c>
      <c r="E219" s="542" t="s">
        <v>2656</v>
      </c>
      <c r="G219" s="546"/>
      <c r="H219" s="546">
        <v>1884.96</v>
      </c>
      <c r="I219" s="546"/>
      <c r="J219" s="542" t="s">
        <v>806</v>
      </c>
      <c r="K219" s="547">
        <v>1200</v>
      </c>
      <c r="L219" s="542" t="s">
        <v>806</v>
      </c>
      <c r="M219" s="548"/>
      <c r="N219" s="549">
        <v>0</v>
      </c>
      <c r="O219" s="544" t="s">
        <v>1674</v>
      </c>
      <c r="P219" s="544" t="s">
        <v>1674</v>
      </c>
      <c r="Q219" s="544" t="s">
        <v>2657</v>
      </c>
      <c r="R219" s="544" t="s">
        <v>1674</v>
      </c>
      <c r="S219" s="544" t="s">
        <v>1674</v>
      </c>
      <c r="T219" s="550"/>
      <c r="U219" s="544" t="s">
        <v>2658</v>
      </c>
      <c r="V219" s="547">
        <v>1499</v>
      </c>
      <c r="W219" s="548"/>
      <c r="Y219" s="544" t="s">
        <v>1674</v>
      </c>
      <c r="AA219" s="544" t="s">
        <v>1674</v>
      </c>
      <c r="AE219" s="551"/>
      <c r="AF219" s="544" t="s">
        <v>1674</v>
      </c>
      <c r="AG219" s="544" t="s">
        <v>1674</v>
      </c>
      <c r="AH219" s="544" t="s">
        <v>1674</v>
      </c>
      <c r="AI219" s="544" t="s">
        <v>1674</v>
      </c>
      <c r="AJ219" s="544" t="s">
        <v>1674</v>
      </c>
      <c r="AK219" s="544" t="s">
        <v>1674</v>
      </c>
      <c r="AL219" s="544" t="s">
        <v>1674</v>
      </c>
      <c r="AM219" s="544" t="s">
        <v>1674</v>
      </c>
      <c r="AN219" s="544" t="s">
        <v>1674</v>
      </c>
      <c r="AP219" s="552">
        <f t="shared" si="3"/>
        <v>0</v>
      </c>
    </row>
    <row r="220" spans="1:42" outlineLevel="1" x14ac:dyDescent="0.25">
      <c r="A220" s="544" t="s">
        <v>1674</v>
      </c>
      <c r="B220" s="545">
        <v>0</v>
      </c>
      <c r="C220" s="544" t="s">
        <v>1674</v>
      </c>
      <c r="D220" s="544" t="s">
        <v>2642</v>
      </c>
      <c r="E220" s="542" t="s">
        <v>2656</v>
      </c>
      <c r="G220" s="546"/>
      <c r="H220" s="546">
        <v>19.04</v>
      </c>
      <c r="I220" s="546"/>
      <c r="J220" s="542" t="s">
        <v>806</v>
      </c>
      <c r="K220" s="547">
        <v>8736</v>
      </c>
      <c r="L220" s="542" t="s">
        <v>806</v>
      </c>
      <c r="M220" s="548"/>
      <c r="N220" s="549">
        <v>0</v>
      </c>
      <c r="O220" s="544" t="s">
        <v>1674</v>
      </c>
      <c r="P220" s="544" t="s">
        <v>1674</v>
      </c>
      <c r="Q220" s="544" t="s">
        <v>2657</v>
      </c>
      <c r="R220" s="544" t="s">
        <v>1674</v>
      </c>
      <c r="S220" s="544" t="s">
        <v>1674</v>
      </c>
      <c r="T220" s="550">
        <v>19</v>
      </c>
      <c r="U220" s="544" t="s">
        <v>2658</v>
      </c>
      <c r="V220" s="547">
        <v>1499</v>
      </c>
      <c r="W220" s="548"/>
      <c r="Y220" s="544" t="s">
        <v>1674</v>
      </c>
      <c r="AA220" s="544" t="s">
        <v>1674</v>
      </c>
      <c r="AE220" s="551"/>
      <c r="AF220" s="544" t="s">
        <v>1674</v>
      </c>
      <c r="AG220" s="544" t="s">
        <v>1674</v>
      </c>
      <c r="AH220" s="544" t="s">
        <v>1674</v>
      </c>
      <c r="AI220" s="544" t="s">
        <v>1674</v>
      </c>
      <c r="AJ220" s="544" t="s">
        <v>1674</v>
      </c>
      <c r="AK220" s="544" t="s">
        <v>1674</v>
      </c>
      <c r="AL220" s="544" t="s">
        <v>1674</v>
      </c>
      <c r="AM220" s="544" t="s">
        <v>1674</v>
      </c>
      <c r="AN220" s="544" t="s">
        <v>1674</v>
      </c>
      <c r="AP220" s="552">
        <f t="shared" si="3"/>
        <v>0</v>
      </c>
    </row>
    <row r="221" spans="1:42" outlineLevel="1" x14ac:dyDescent="0.25">
      <c r="A221" s="544" t="s">
        <v>1674</v>
      </c>
      <c r="B221" s="545">
        <v>0</v>
      </c>
      <c r="C221" s="544" t="s">
        <v>1674</v>
      </c>
      <c r="D221" s="544" t="s">
        <v>2642</v>
      </c>
      <c r="E221" s="542" t="s">
        <v>2659</v>
      </c>
      <c r="G221" s="546"/>
      <c r="H221" s="546">
        <v>1884.96</v>
      </c>
      <c r="I221" s="546"/>
      <c r="J221" s="542" t="s">
        <v>806</v>
      </c>
      <c r="K221" s="547">
        <v>1200</v>
      </c>
      <c r="L221" s="542" t="s">
        <v>806</v>
      </c>
      <c r="M221" s="548"/>
      <c r="N221" s="549">
        <v>0</v>
      </c>
      <c r="O221" s="544" t="s">
        <v>1674</v>
      </c>
      <c r="P221" s="544" t="s">
        <v>1674</v>
      </c>
      <c r="Q221" s="544" t="s">
        <v>2660</v>
      </c>
      <c r="R221" s="544" t="s">
        <v>1674</v>
      </c>
      <c r="S221" s="544" t="s">
        <v>1674</v>
      </c>
      <c r="T221" s="550"/>
      <c r="U221" s="544" t="s">
        <v>2661</v>
      </c>
      <c r="V221" s="547">
        <v>1439</v>
      </c>
      <c r="W221" s="548"/>
      <c r="Y221" s="544" t="s">
        <v>1674</v>
      </c>
      <c r="AA221" s="544" t="s">
        <v>1674</v>
      </c>
      <c r="AE221" s="551"/>
      <c r="AF221" s="544" t="s">
        <v>1674</v>
      </c>
      <c r="AG221" s="544" t="s">
        <v>1674</v>
      </c>
      <c r="AH221" s="544" t="s">
        <v>1674</v>
      </c>
      <c r="AI221" s="544" t="s">
        <v>1674</v>
      </c>
      <c r="AJ221" s="544" t="s">
        <v>1674</v>
      </c>
      <c r="AK221" s="544" t="s">
        <v>1674</v>
      </c>
      <c r="AL221" s="544" t="s">
        <v>1674</v>
      </c>
      <c r="AM221" s="544" t="s">
        <v>1674</v>
      </c>
      <c r="AN221" s="544" t="s">
        <v>1674</v>
      </c>
      <c r="AP221" s="552">
        <f t="shared" si="3"/>
        <v>0</v>
      </c>
    </row>
    <row r="222" spans="1:42" outlineLevel="1" x14ac:dyDescent="0.25">
      <c r="A222" s="544" t="s">
        <v>1674</v>
      </c>
      <c r="B222" s="545">
        <v>0</v>
      </c>
      <c r="C222" s="544" t="s">
        <v>1674</v>
      </c>
      <c r="D222" s="544" t="s">
        <v>2642</v>
      </c>
      <c r="E222" s="542" t="s">
        <v>2659</v>
      </c>
      <c r="G222" s="546"/>
      <c r="H222" s="546">
        <v>19.04</v>
      </c>
      <c r="I222" s="546"/>
      <c r="J222" s="542" t="s">
        <v>806</v>
      </c>
      <c r="K222" s="547">
        <v>8736</v>
      </c>
      <c r="L222" s="542" t="s">
        <v>806</v>
      </c>
      <c r="M222" s="548"/>
      <c r="N222" s="549">
        <v>0</v>
      </c>
      <c r="O222" s="544" t="s">
        <v>1674</v>
      </c>
      <c r="P222" s="544" t="s">
        <v>1674</v>
      </c>
      <c r="Q222" s="544" t="s">
        <v>2660</v>
      </c>
      <c r="R222" s="544" t="s">
        <v>1674</v>
      </c>
      <c r="S222" s="544" t="s">
        <v>1674</v>
      </c>
      <c r="T222" s="550">
        <v>19</v>
      </c>
      <c r="U222" s="544" t="s">
        <v>2661</v>
      </c>
      <c r="V222" s="547">
        <v>1439</v>
      </c>
      <c r="W222" s="548"/>
      <c r="Y222" s="544" t="s">
        <v>1674</v>
      </c>
      <c r="AA222" s="544" t="s">
        <v>1674</v>
      </c>
      <c r="AE222" s="551"/>
      <c r="AF222" s="544" t="s">
        <v>1674</v>
      </c>
      <c r="AG222" s="544" t="s">
        <v>1674</v>
      </c>
      <c r="AH222" s="544" t="s">
        <v>1674</v>
      </c>
      <c r="AI222" s="544" t="s">
        <v>1674</v>
      </c>
      <c r="AJ222" s="544" t="s">
        <v>1674</v>
      </c>
      <c r="AK222" s="544" t="s">
        <v>1674</v>
      </c>
      <c r="AL222" s="544" t="s">
        <v>1674</v>
      </c>
      <c r="AM222" s="544" t="s">
        <v>1674</v>
      </c>
      <c r="AN222" s="544" t="s">
        <v>1674</v>
      </c>
      <c r="AP222" s="552">
        <f t="shared" si="3"/>
        <v>0</v>
      </c>
    </row>
    <row r="223" spans="1:42" outlineLevel="1" x14ac:dyDescent="0.25">
      <c r="A223" s="544" t="s">
        <v>1674</v>
      </c>
      <c r="B223" s="545">
        <v>0</v>
      </c>
      <c r="C223" s="544" t="s">
        <v>1674</v>
      </c>
      <c r="D223" s="544" t="s">
        <v>2642</v>
      </c>
      <c r="E223" s="542" t="s">
        <v>2662</v>
      </c>
      <c r="G223" s="546"/>
      <c r="H223" s="546">
        <v>1884.96</v>
      </c>
      <c r="I223" s="546"/>
      <c r="J223" s="542" t="s">
        <v>806</v>
      </c>
      <c r="K223" s="547">
        <v>1200</v>
      </c>
      <c r="L223" s="542" t="s">
        <v>806</v>
      </c>
      <c r="M223" s="548"/>
      <c r="N223" s="549">
        <v>0</v>
      </c>
      <c r="O223" s="544" t="s">
        <v>1674</v>
      </c>
      <c r="P223" s="544" t="s">
        <v>1674</v>
      </c>
      <c r="Q223" s="544" t="s">
        <v>2663</v>
      </c>
      <c r="R223" s="544" t="s">
        <v>1674</v>
      </c>
      <c r="S223" s="544" t="s">
        <v>1674</v>
      </c>
      <c r="T223" s="550"/>
      <c r="U223" s="544" t="s">
        <v>2664</v>
      </c>
      <c r="V223" s="547">
        <v>823</v>
      </c>
      <c r="W223" s="548"/>
      <c r="Y223" s="544" t="s">
        <v>1674</v>
      </c>
      <c r="AA223" s="544" t="s">
        <v>1674</v>
      </c>
      <c r="AE223" s="551"/>
      <c r="AF223" s="544" t="s">
        <v>1674</v>
      </c>
      <c r="AG223" s="544" t="s">
        <v>1674</v>
      </c>
      <c r="AH223" s="544" t="s">
        <v>1674</v>
      </c>
      <c r="AI223" s="544" t="s">
        <v>1674</v>
      </c>
      <c r="AJ223" s="544" t="s">
        <v>1674</v>
      </c>
      <c r="AK223" s="544" t="s">
        <v>1674</v>
      </c>
      <c r="AL223" s="544" t="s">
        <v>1674</v>
      </c>
      <c r="AM223" s="544" t="s">
        <v>1674</v>
      </c>
      <c r="AN223" s="544" t="s">
        <v>1674</v>
      </c>
      <c r="AP223" s="552">
        <f t="shared" si="3"/>
        <v>0</v>
      </c>
    </row>
    <row r="224" spans="1:42" outlineLevel="1" x14ac:dyDescent="0.25">
      <c r="A224" s="544" t="s">
        <v>1674</v>
      </c>
      <c r="B224" s="545">
        <v>0</v>
      </c>
      <c r="C224" s="544" t="s">
        <v>1674</v>
      </c>
      <c r="D224" s="544" t="s">
        <v>2642</v>
      </c>
      <c r="E224" s="542" t="s">
        <v>2662</v>
      </c>
      <c r="G224" s="546"/>
      <c r="H224" s="546">
        <v>19.04</v>
      </c>
      <c r="I224" s="546"/>
      <c r="J224" s="542" t="s">
        <v>806</v>
      </c>
      <c r="K224" s="547">
        <v>8736</v>
      </c>
      <c r="L224" s="542" t="s">
        <v>806</v>
      </c>
      <c r="M224" s="548"/>
      <c r="N224" s="549">
        <v>0</v>
      </c>
      <c r="O224" s="544" t="s">
        <v>1674</v>
      </c>
      <c r="P224" s="544" t="s">
        <v>1674</v>
      </c>
      <c r="Q224" s="544" t="s">
        <v>2663</v>
      </c>
      <c r="R224" s="544" t="s">
        <v>1674</v>
      </c>
      <c r="S224" s="544" t="s">
        <v>1674</v>
      </c>
      <c r="T224" s="550">
        <v>19</v>
      </c>
      <c r="U224" s="544" t="s">
        <v>2664</v>
      </c>
      <c r="V224" s="547">
        <v>823</v>
      </c>
      <c r="W224" s="548"/>
      <c r="Y224" s="544" t="s">
        <v>1674</v>
      </c>
      <c r="AA224" s="544" t="s">
        <v>1674</v>
      </c>
      <c r="AE224" s="551"/>
      <c r="AF224" s="544" t="s">
        <v>1674</v>
      </c>
      <c r="AG224" s="544" t="s">
        <v>1674</v>
      </c>
      <c r="AH224" s="544" t="s">
        <v>1674</v>
      </c>
      <c r="AI224" s="544" t="s">
        <v>1674</v>
      </c>
      <c r="AJ224" s="544" t="s">
        <v>1674</v>
      </c>
      <c r="AK224" s="544" t="s">
        <v>1674</v>
      </c>
      <c r="AL224" s="544" t="s">
        <v>1674</v>
      </c>
      <c r="AM224" s="544" t="s">
        <v>1674</v>
      </c>
      <c r="AN224" s="544" t="s">
        <v>1674</v>
      </c>
      <c r="AP224" s="552">
        <f t="shared" si="3"/>
        <v>0</v>
      </c>
    </row>
    <row r="225" spans="1:42" outlineLevel="1" x14ac:dyDescent="0.25">
      <c r="A225" s="544" t="s">
        <v>1674</v>
      </c>
      <c r="B225" s="545">
        <v>0</v>
      </c>
      <c r="C225" s="544" t="s">
        <v>1674</v>
      </c>
      <c r="D225" s="544" t="s">
        <v>2642</v>
      </c>
      <c r="E225" s="542" t="s">
        <v>2665</v>
      </c>
      <c r="G225" s="546"/>
      <c r="H225" s="546">
        <v>1884.96</v>
      </c>
      <c r="I225" s="546"/>
      <c r="J225" s="542" t="s">
        <v>806</v>
      </c>
      <c r="K225" s="547">
        <v>1200</v>
      </c>
      <c r="L225" s="542" t="s">
        <v>806</v>
      </c>
      <c r="M225" s="548"/>
      <c r="N225" s="549">
        <v>0</v>
      </c>
      <c r="O225" s="544" t="s">
        <v>1674</v>
      </c>
      <c r="P225" s="544" t="s">
        <v>1674</v>
      </c>
      <c r="Q225" s="544" t="s">
        <v>2666</v>
      </c>
      <c r="R225" s="544" t="s">
        <v>1674</v>
      </c>
      <c r="S225" s="544" t="s">
        <v>1674</v>
      </c>
      <c r="T225" s="550"/>
      <c r="U225" s="544" t="s">
        <v>2667</v>
      </c>
      <c r="V225" s="547">
        <v>1709</v>
      </c>
      <c r="W225" s="548"/>
      <c r="Y225" s="544" t="s">
        <v>1674</v>
      </c>
      <c r="AA225" s="544" t="s">
        <v>1674</v>
      </c>
      <c r="AE225" s="551"/>
      <c r="AF225" s="544" t="s">
        <v>1674</v>
      </c>
      <c r="AG225" s="544" t="s">
        <v>1674</v>
      </c>
      <c r="AH225" s="544" t="s">
        <v>1674</v>
      </c>
      <c r="AI225" s="544" t="s">
        <v>1674</v>
      </c>
      <c r="AJ225" s="544" t="s">
        <v>1674</v>
      </c>
      <c r="AK225" s="544" t="s">
        <v>1674</v>
      </c>
      <c r="AL225" s="544" t="s">
        <v>1674</v>
      </c>
      <c r="AM225" s="544" t="s">
        <v>1674</v>
      </c>
      <c r="AN225" s="544" t="s">
        <v>1674</v>
      </c>
      <c r="AP225" s="552">
        <f t="shared" si="3"/>
        <v>0</v>
      </c>
    </row>
    <row r="226" spans="1:42" outlineLevel="1" x14ac:dyDescent="0.25">
      <c r="A226" s="544" t="s">
        <v>1674</v>
      </c>
      <c r="B226" s="545">
        <v>0</v>
      </c>
      <c r="C226" s="544" t="s">
        <v>1674</v>
      </c>
      <c r="D226" s="544" t="s">
        <v>2642</v>
      </c>
      <c r="E226" s="542" t="s">
        <v>2665</v>
      </c>
      <c r="G226" s="546"/>
      <c r="H226" s="546">
        <v>19.04</v>
      </c>
      <c r="I226" s="546"/>
      <c r="J226" s="542" t="s">
        <v>806</v>
      </c>
      <c r="K226" s="547">
        <v>8736</v>
      </c>
      <c r="L226" s="542" t="s">
        <v>806</v>
      </c>
      <c r="M226" s="548"/>
      <c r="N226" s="549">
        <v>0</v>
      </c>
      <c r="O226" s="544" t="s">
        <v>1674</v>
      </c>
      <c r="P226" s="544" t="s">
        <v>1674</v>
      </c>
      <c r="Q226" s="544" t="s">
        <v>2666</v>
      </c>
      <c r="R226" s="544" t="s">
        <v>1674</v>
      </c>
      <c r="S226" s="544" t="s">
        <v>1674</v>
      </c>
      <c r="T226" s="550">
        <v>19</v>
      </c>
      <c r="U226" s="544" t="s">
        <v>2667</v>
      </c>
      <c r="V226" s="547">
        <v>1709</v>
      </c>
      <c r="W226" s="548"/>
      <c r="Y226" s="544" t="s">
        <v>1674</v>
      </c>
      <c r="AA226" s="544" t="s">
        <v>1674</v>
      </c>
      <c r="AE226" s="551"/>
      <c r="AF226" s="544" t="s">
        <v>1674</v>
      </c>
      <c r="AG226" s="544" t="s">
        <v>1674</v>
      </c>
      <c r="AH226" s="544" t="s">
        <v>1674</v>
      </c>
      <c r="AI226" s="544" t="s">
        <v>1674</v>
      </c>
      <c r="AJ226" s="544" t="s">
        <v>1674</v>
      </c>
      <c r="AK226" s="544" t="s">
        <v>1674</v>
      </c>
      <c r="AL226" s="544" t="s">
        <v>1674</v>
      </c>
      <c r="AM226" s="544" t="s">
        <v>1674</v>
      </c>
      <c r="AN226" s="544" t="s">
        <v>1674</v>
      </c>
      <c r="AP226" s="552">
        <f t="shared" si="3"/>
        <v>0</v>
      </c>
    </row>
    <row r="227" spans="1:42" outlineLevel="1" x14ac:dyDescent="0.25">
      <c r="A227" s="544" t="s">
        <v>1674</v>
      </c>
      <c r="B227" s="545">
        <v>0</v>
      </c>
      <c r="C227" s="544" t="s">
        <v>1674</v>
      </c>
      <c r="D227" s="544" t="s">
        <v>2642</v>
      </c>
      <c r="E227" s="542" t="s">
        <v>2668</v>
      </c>
      <c r="G227" s="546"/>
      <c r="H227" s="546">
        <v>1884.96</v>
      </c>
      <c r="I227" s="546"/>
      <c r="J227" s="542" t="s">
        <v>806</v>
      </c>
      <c r="K227" s="547">
        <v>1200</v>
      </c>
      <c r="L227" s="542" t="s">
        <v>806</v>
      </c>
      <c r="M227" s="548"/>
      <c r="N227" s="549">
        <v>0</v>
      </c>
      <c r="O227" s="544" t="s">
        <v>1674</v>
      </c>
      <c r="P227" s="544" t="s">
        <v>1674</v>
      </c>
      <c r="Q227" s="544" t="s">
        <v>2669</v>
      </c>
      <c r="R227" s="544" t="s">
        <v>1674</v>
      </c>
      <c r="S227" s="544" t="s">
        <v>1674</v>
      </c>
      <c r="T227" s="550"/>
      <c r="U227" s="544" t="s">
        <v>2670</v>
      </c>
      <c r="V227" s="547">
        <v>1600</v>
      </c>
      <c r="W227" s="548"/>
      <c r="Y227" s="544" t="s">
        <v>1674</v>
      </c>
      <c r="AA227" s="544" t="s">
        <v>1674</v>
      </c>
      <c r="AE227" s="551"/>
      <c r="AF227" s="544" t="s">
        <v>1674</v>
      </c>
      <c r="AG227" s="544" t="s">
        <v>1674</v>
      </c>
      <c r="AH227" s="544" t="s">
        <v>1674</v>
      </c>
      <c r="AI227" s="544" t="s">
        <v>1674</v>
      </c>
      <c r="AJ227" s="544" t="s">
        <v>1674</v>
      </c>
      <c r="AK227" s="544" t="s">
        <v>1674</v>
      </c>
      <c r="AL227" s="544" t="s">
        <v>1674</v>
      </c>
      <c r="AM227" s="544" t="s">
        <v>1674</v>
      </c>
      <c r="AN227" s="544" t="s">
        <v>1674</v>
      </c>
      <c r="AP227" s="552">
        <f t="shared" si="3"/>
        <v>0</v>
      </c>
    </row>
    <row r="228" spans="1:42" outlineLevel="1" x14ac:dyDescent="0.25">
      <c r="A228" s="544" t="s">
        <v>1674</v>
      </c>
      <c r="B228" s="545">
        <v>0</v>
      </c>
      <c r="C228" s="544" t="s">
        <v>1674</v>
      </c>
      <c r="D228" s="544" t="s">
        <v>2642</v>
      </c>
      <c r="E228" s="542" t="s">
        <v>2668</v>
      </c>
      <c r="G228" s="546"/>
      <c r="H228" s="546">
        <v>19.04</v>
      </c>
      <c r="I228" s="546"/>
      <c r="J228" s="542" t="s">
        <v>806</v>
      </c>
      <c r="K228" s="547">
        <v>8736</v>
      </c>
      <c r="L228" s="542" t="s">
        <v>806</v>
      </c>
      <c r="M228" s="548"/>
      <c r="N228" s="549">
        <v>0</v>
      </c>
      <c r="O228" s="544" t="s">
        <v>1674</v>
      </c>
      <c r="P228" s="544" t="s">
        <v>1674</v>
      </c>
      <c r="Q228" s="544" t="s">
        <v>2669</v>
      </c>
      <c r="R228" s="544" t="s">
        <v>1674</v>
      </c>
      <c r="S228" s="544" t="s">
        <v>1674</v>
      </c>
      <c r="T228" s="550">
        <v>19</v>
      </c>
      <c r="U228" s="544" t="s">
        <v>2670</v>
      </c>
      <c r="V228" s="547">
        <v>1600</v>
      </c>
      <c r="W228" s="548"/>
      <c r="Y228" s="544" t="s">
        <v>1674</v>
      </c>
      <c r="AA228" s="544" t="s">
        <v>1674</v>
      </c>
      <c r="AE228" s="551"/>
      <c r="AF228" s="544" t="s">
        <v>1674</v>
      </c>
      <c r="AG228" s="544" t="s">
        <v>1674</v>
      </c>
      <c r="AH228" s="544" t="s">
        <v>1674</v>
      </c>
      <c r="AI228" s="544" t="s">
        <v>1674</v>
      </c>
      <c r="AJ228" s="544" t="s">
        <v>1674</v>
      </c>
      <c r="AK228" s="544" t="s">
        <v>1674</v>
      </c>
      <c r="AL228" s="544" t="s">
        <v>1674</v>
      </c>
      <c r="AM228" s="544" t="s">
        <v>1674</v>
      </c>
      <c r="AN228" s="544" t="s">
        <v>1674</v>
      </c>
      <c r="AP228" s="552">
        <f t="shared" si="3"/>
        <v>0</v>
      </c>
    </row>
    <row r="229" spans="1:42" outlineLevel="1" x14ac:dyDescent="0.25">
      <c r="A229" s="544" t="s">
        <v>1674</v>
      </c>
      <c r="B229" s="545">
        <v>0</v>
      </c>
      <c r="C229" s="544" t="s">
        <v>1674</v>
      </c>
      <c r="D229" s="544" t="s">
        <v>2642</v>
      </c>
      <c r="E229" s="542" t="s">
        <v>2671</v>
      </c>
      <c r="G229" s="546"/>
      <c r="H229" s="546">
        <v>1884.96</v>
      </c>
      <c r="I229" s="546"/>
      <c r="J229" s="542" t="s">
        <v>806</v>
      </c>
      <c r="K229" s="547">
        <v>1200</v>
      </c>
      <c r="L229" s="542" t="s">
        <v>806</v>
      </c>
      <c r="M229" s="548"/>
      <c r="N229" s="549">
        <v>0</v>
      </c>
      <c r="O229" s="544" t="s">
        <v>1674</v>
      </c>
      <c r="P229" s="544" t="s">
        <v>1674</v>
      </c>
      <c r="Q229" s="544" t="s">
        <v>2672</v>
      </c>
      <c r="R229" s="544" t="s">
        <v>1674</v>
      </c>
      <c r="S229" s="544" t="s">
        <v>1674</v>
      </c>
      <c r="T229" s="550"/>
      <c r="U229" s="544" t="s">
        <v>2673</v>
      </c>
      <c r="V229" s="547">
        <v>1677</v>
      </c>
      <c r="W229" s="548"/>
      <c r="Y229" s="544" t="s">
        <v>1674</v>
      </c>
      <c r="AA229" s="544" t="s">
        <v>1674</v>
      </c>
      <c r="AE229" s="551"/>
      <c r="AF229" s="544" t="s">
        <v>1674</v>
      </c>
      <c r="AG229" s="544" t="s">
        <v>1674</v>
      </c>
      <c r="AH229" s="544" t="s">
        <v>1674</v>
      </c>
      <c r="AI229" s="544" t="s">
        <v>1674</v>
      </c>
      <c r="AJ229" s="544" t="s">
        <v>1674</v>
      </c>
      <c r="AK229" s="544" t="s">
        <v>1674</v>
      </c>
      <c r="AL229" s="544" t="s">
        <v>1674</v>
      </c>
      <c r="AM229" s="544" t="s">
        <v>1674</v>
      </c>
      <c r="AN229" s="544" t="s">
        <v>1674</v>
      </c>
      <c r="AP229" s="552">
        <f t="shared" si="3"/>
        <v>0</v>
      </c>
    </row>
    <row r="230" spans="1:42" outlineLevel="1" x14ac:dyDescent="0.25">
      <c r="A230" s="544" t="s">
        <v>1674</v>
      </c>
      <c r="B230" s="545">
        <v>0</v>
      </c>
      <c r="C230" s="544" t="s">
        <v>1674</v>
      </c>
      <c r="D230" s="544" t="s">
        <v>2642</v>
      </c>
      <c r="E230" s="542" t="s">
        <v>2671</v>
      </c>
      <c r="G230" s="546"/>
      <c r="H230" s="546">
        <v>19.04</v>
      </c>
      <c r="I230" s="546"/>
      <c r="J230" s="542" t="s">
        <v>806</v>
      </c>
      <c r="K230" s="547">
        <v>8736</v>
      </c>
      <c r="L230" s="542" t="s">
        <v>806</v>
      </c>
      <c r="M230" s="548"/>
      <c r="N230" s="549">
        <v>0</v>
      </c>
      <c r="O230" s="544" t="s">
        <v>1674</v>
      </c>
      <c r="P230" s="544" t="s">
        <v>1674</v>
      </c>
      <c r="Q230" s="544" t="s">
        <v>2672</v>
      </c>
      <c r="R230" s="544" t="s">
        <v>1674</v>
      </c>
      <c r="S230" s="544" t="s">
        <v>1674</v>
      </c>
      <c r="T230" s="550">
        <v>19</v>
      </c>
      <c r="U230" s="544" t="s">
        <v>2673</v>
      </c>
      <c r="V230" s="547">
        <v>1677</v>
      </c>
      <c r="W230" s="548"/>
      <c r="Y230" s="544" t="s">
        <v>1674</v>
      </c>
      <c r="AA230" s="544" t="s">
        <v>1674</v>
      </c>
      <c r="AE230" s="551"/>
      <c r="AF230" s="544" t="s">
        <v>1674</v>
      </c>
      <c r="AG230" s="544" t="s">
        <v>1674</v>
      </c>
      <c r="AH230" s="544" t="s">
        <v>1674</v>
      </c>
      <c r="AI230" s="544" t="s">
        <v>1674</v>
      </c>
      <c r="AJ230" s="544" t="s">
        <v>1674</v>
      </c>
      <c r="AK230" s="544" t="s">
        <v>1674</v>
      </c>
      <c r="AL230" s="544" t="s">
        <v>1674</v>
      </c>
      <c r="AM230" s="544" t="s">
        <v>1674</v>
      </c>
      <c r="AN230" s="544" t="s">
        <v>1674</v>
      </c>
      <c r="AP230" s="552">
        <f t="shared" si="3"/>
        <v>0</v>
      </c>
    </row>
    <row r="231" spans="1:42" outlineLevel="1" x14ac:dyDescent="0.25">
      <c r="A231" s="544" t="s">
        <v>1674</v>
      </c>
      <c r="B231" s="545">
        <v>0</v>
      </c>
      <c r="C231" s="544" t="s">
        <v>1674</v>
      </c>
      <c r="D231" s="544" t="s">
        <v>2642</v>
      </c>
      <c r="E231" s="542" t="s">
        <v>2674</v>
      </c>
      <c r="G231" s="546"/>
      <c r="H231" s="546">
        <v>1884.96</v>
      </c>
      <c r="I231" s="546"/>
      <c r="J231" s="542" t="s">
        <v>806</v>
      </c>
      <c r="K231" s="547">
        <v>1200</v>
      </c>
      <c r="L231" s="542" t="s">
        <v>806</v>
      </c>
      <c r="M231" s="548"/>
      <c r="N231" s="549">
        <v>0</v>
      </c>
      <c r="O231" s="544" t="s">
        <v>1674</v>
      </c>
      <c r="P231" s="544" t="s">
        <v>1674</v>
      </c>
      <c r="Q231" s="544" t="s">
        <v>2675</v>
      </c>
      <c r="R231" s="544" t="s">
        <v>1674</v>
      </c>
      <c r="S231" s="544" t="s">
        <v>1674</v>
      </c>
      <c r="T231" s="550"/>
      <c r="U231" s="544" t="s">
        <v>2676</v>
      </c>
      <c r="V231" s="547">
        <v>1533</v>
      </c>
      <c r="W231" s="548"/>
      <c r="Y231" s="544" t="s">
        <v>1674</v>
      </c>
      <c r="AA231" s="544" t="s">
        <v>1674</v>
      </c>
      <c r="AE231" s="551"/>
      <c r="AF231" s="544" t="s">
        <v>1674</v>
      </c>
      <c r="AG231" s="544" t="s">
        <v>1674</v>
      </c>
      <c r="AH231" s="544" t="s">
        <v>1674</v>
      </c>
      <c r="AI231" s="544" t="s">
        <v>1674</v>
      </c>
      <c r="AJ231" s="544" t="s">
        <v>1674</v>
      </c>
      <c r="AK231" s="544" t="s">
        <v>1674</v>
      </c>
      <c r="AL231" s="544" t="s">
        <v>1674</v>
      </c>
      <c r="AM231" s="544" t="s">
        <v>1674</v>
      </c>
      <c r="AN231" s="544" t="s">
        <v>1674</v>
      </c>
      <c r="AP231" s="552">
        <f t="shared" si="3"/>
        <v>0</v>
      </c>
    </row>
    <row r="232" spans="1:42" outlineLevel="1" x14ac:dyDescent="0.25">
      <c r="A232" s="544" t="s">
        <v>1674</v>
      </c>
      <c r="B232" s="545">
        <v>0</v>
      </c>
      <c r="C232" s="544" t="s">
        <v>1674</v>
      </c>
      <c r="D232" s="544" t="s">
        <v>2642</v>
      </c>
      <c r="E232" s="542" t="s">
        <v>2674</v>
      </c>
      <c r="G232" s="546"/>
      <c r="H232" s="546">
        <v>19.04</v>
      </c>
      <c r="I232" s="546"/>
      <c r="J232" s="542" t="s">
        <v>806</v>
      </c>
      <c r="K232" s="547">
        <v>8736</v>
      </c>
      <c r="L232" s="542" t="s">
        <v>806</v>
      </c>
      <c r="M232" s="548"/>
      <c r="N232" s="549">
        <v>0</v>
      </c>
      <c r="O232" s="544" t="s">
        <v>1674</v>
      </c>
      <c r="P232" s="544" t="s">
        <v>1674</v>
      </c>
      <c r="Q232" s="544" t="s">
        <v>2675</v>
      </c>
      <c r="R232" s="544" t="s">
        <v>1674</v>
      </c>
      <c r="S232" s="544" t="s">
        <v>1674</v>
      </c>
      <c r="T232" s="550">
        <v>19</v>
      </c>
      <c r="U232" s="544" t="s">
        <v>2676</v>
      </c>
      <c r="V232" s="547">
        <v>1533</v>
      </c>
      <c r="W232" s="548"/>
      <c r="Y232" s="544" t="s">
        <v>1674</v>
      </c>
      <c r="AA232" s="544" t="s">
        <v>1674</v>
      </c>
      <c r="AE232" s="551"/>
      <c r="AF232" s="544" t="s">
        <v>1674</v>
      </c>
      <c r="AG232" s="544" t="s">
        <v>1674</v>
      </c>
      <c r="AH232" s="544" t="s">
        <v>1674</v>
      </c>
      <c r="AI232" s="544" t="s">
        <v>1674</v>
      </c>
      <c r="AJ232" s="544" t="s">
        <v>1674</v>
      </c>
      <c r="AK232" s="544" t="s">
        <v>1674</v>
      </c>
      <c r="AL232" s="544" t="s">
        <v>1674</v>
      </c>
      <c r="AM232" s="544" t="s">
        <v>1674</v>
      </c>
      <c r="AN232" s="544" t="s">
        <v>1674</v>
      </c>
      <c r="AP232" s="552">
        <f t="shared" si="3"/>
        <v>0</v>
      </c>
    </row>
    <row r="233" spans="1:42" outlineLevel="1" x14ac:dyDescent="0.25">
      <c r="A233" s="544" t="s">
        <v>1674</v>
      </c>
      <c r="B233" s="545">
        <v>0</v>
      </c>
      <c r="C233" s="544" t="s">
        <v>1674</v>
      </c>
      <c r="D233" s="544" t="s">
        <v>2642</v>
      </c>
      <c r="E233" s="542" t="s">
        <v>2677</v>
      </c>
      <c r="G233" s="546"/>
      <c r="H233" s="546">
        <v>1884.96</v>
      </c>
      <c r="I233" s="546"/>
      <c r="J233" s="542" t="s">
        <v>806</v>
      </c>
      <c r="K233" s="547">
        <v>1200</v>
      </c>
      <c r="L233" s="542" t="s">
        <v>806</v>
      </c>
      <c r="M233" s="548"/>
      <c r="N233" s="549">
        <v>0</v>
      </c>
      <c r="O233" s="544" t="s">
        <v>1674</v>
      </c>
      <c r="P233" s="544" t="s">
        <v>1674</v>
      </c>
      <c r="Q233" s="544" t="s">
        <v>2678</v>
      </c>
      <c r="R233" s="544" t="s">
        <v>1674</v>
      </c>
      <c r="S233" s="544" t="s">
        <v>1674</v>
      </c>
      <c r="T233" s="550"/>
      <c r="U233" s="544" t="s">
        <v>2679</v>
      </c>
      <c r="V233" s="547">
        <v>1737</v>
      </c>
      <c r="W233" s="548"/>
      <c r="Y233" s="544" t="s">
        <v>1674</v>
      </c>
      <c r="AA233" s="544" t="s">
        <v>1674</v>
      </c>
      <c r="AE233" s="551"/>
      <c r="AF233" s="544" t="s">
        <v>1674</v>
      </c>
      <c r="AG233" s="544" t="s">
        <v>1674</v>
      </c>
      <c r="AH233" s="544" t="s">
        <v>1674</v>
      </c>
      <c r="AI233" s="544" t="s">
        <v>1674</v>
      </c>
      <c r="AJ233" s="544" t="s">
        <v>1674</v>
      </c>
      <c r="AK233" s="544" t="s">
        <v>1674</v>
      </c>
      <c r="AL233" s="544" t="s">
        <v>1674</v>
      </c>
      <c r="AM233" s="544" t="s">
        <v>1674</v>
      </c>
      <c r="AN233" s="544" t="s">
        <v>1674</v>
      </c>
      <c r="AP233" s="552">
        <f t="shared" si="3"/>
        <v>0</v>
      </c>
    </row>
    <row r="234" spans="1:42" outlineLevel="1" x14ac:dyDescent="0.25">
      <c r="A234" s="544" t="s">
        <v>1674</v>
      </c>
      <c r="B234" s="545">
        <v>0</v>
      </c>
      <c r="C234" s="544" t="s">
        <v>1674</v>
      </c>
      <c r="D234" s="544" t="s">
        <v>2642</v>
      </c>
      <c r="E234" s="542" t="s">
        <v>2677</v>
      </c>
      <c r="G234" s="546"/>
      <c r="H234" s="546">
        <v>19.04</v>
      </c>
      <c r="I234" s="546"/>
      <c r="J234" s="542" t="s">
        <v>806</v>
      </c>
      <c r="K234" s="547">
        <v>8736</v>
      </c>
      <c r="L234" s="542" t="s">
        <v>806</v>
      </c>
      <c r="M234" s="548"/>
      <c r="N234" s="549">
        <v>0</v>
      </c>
      <c r="O234" s="544" t="s">
        <v>1674</v>
      </c>
      <c r="P234" s="544" t="s">
        <v>1674</v>
      </c>
      <c r="Q234" s="544" t="s">
        <v>2678</v>
      </c>
      <c r="R234" s="544" t="s">
        <v>1674</v>
      </c>
      <c r="S234" s="544" t="s">
        <v>1674</v>
      </c>
      <c r="T234" s="550">
        <v>19</v>
      </c>
      <c r="U234" s="544" t="s">
        <v>2679</v>
      </c>
      <c r="V234" s="547">
        <v>1737</v>
      </c>
      <c r="W234" s="548"/>
      <c r="Y234" s="544" t="s">
        <v>1674</v>
      </c>
      <c r="AA234" s="544" t="s">
        <v>1674</v>
      </c>
      <c r="AE234" s="551"/>
      <c r="AF234" s="544" t="s">
        <v>1674</v>
      </c>
      <c r="AG234" s="544" t="s">
        <v>1674</v>
      </c>
      <c r="AH234" s="544" t="s">
        <v>1674</v>
      </c>
      <c r="AI234" s="544" t="s">
        <v>1674</v>
      </c>
      <c r="AJ234" s="544" t="s">
        <v>1674</v>
      </c>
      <c r="AK234" s="544" t="s">
        <v>1674</v>
      </c>
      <c r="AL234" s="544" t="s">
        <v>1674</v>
      </c>
      <c r="AM234" s="544" t="s">
        <v>1674</v>
      </c>
      <c r="AN234" s="544" t="s">
        <v>1674</v>
      </c>
      <c r="AP234" s="552">
        <f t="shared" si="3"/>
        <v>0</v>
      </c>
    </row>
    <row r="235" spans="1:42" outlineLevel="1" x14ac:dyDescent="0.25">
      <c r="A235" s="544" t="s">
        <v>1674</v>
      </c>
      <c r="B235" s="545">
        <v>0</v>
      </c>
      <c r="C235" s="544" t="s">
        <v>1674</v>
      </c>
      <c r="D235" s="544" t="s">
        <v>2642</v>
      </c>
      <c r="E235" s="542" t="s">
        <v>2680</v>
      </c>
      <c r="G235" s="546"/>
      <c r="H235" s="546">
        <v>1884.96</v>
      </c>
      <c r="I235" s="546"/>
      <c r="J235" s="542" t="s">
        <v>806</v>
      </c>
      <c r="K235" s="547">
        <v>1200</v>
      </c>
      <c r="L235" s="542" t="s">
        <v>806</v>
      </c>
      <c r="M235" s="548"/>
      <c r="N235" s="549">
        <v>0</v>
      </c>
      <c r="O235" s="544" t="s">
        <v>1674</v>
      </c>
      <c r="P235" s="544" t="s">
        <v>1674</v>
      </c>
      <c r="Q235" s="544" t="s">
        <v>2681</v>
      </c>
      <c r="R235" s="544" t="s">
        <v>1674</v>
      </c>
      <c r="S235" s="544" t="s">
        <v>1674</v>
      </c>
      <c r="T235" s="550"/>
      <c r="U235" s="544" t="s">
        <v>2682</v>
      </c>
      <c r="V235" s="547">
        <v>1589</v>
      </c>
      <c r="W235" s="548"/>
      <c r="Y235" s="544" t="s">
        <v>1674</v>
      </c>
      <c r="AA235" s="544" t="s">
        <v>1674</v>
      </c>
      <c r="AE235" s="551"/>
      <c r="AF235" s="544" t="s">
        <v>1674</v>
      </c>
      <c r="AG235" s="544" t="s">
        <v>1674</v>
      </c>
      <c r="AH235" s="544" t="s">
        <v>1674</v>
      </c>
      <c r="AI235" s="544" t="s">
        <v>1674</v>
      </c>
      <c r="AJ235" s="544" t="s">
        <v>1674</v>
      </c>
      <c r="AK235" s="544" t="s">
        <v>1674</v>
      </c>
      <c r="AL235" s="544" t="s">
        <v>1674</v>
      </c>
      <c r="AM235" s="544" t="s">
        <v>1674</v>
      </c>
      <c r="AN235" s="544" t="s">
        <v>1674</v>
      </c>
      <c r="AP235" s="552">
        <f t="shared" si="3"/>
        <v>0</v>
      </c>
    </row>
    <row r="236" spans="1:42" outlineLevel="1" x14ac:dyDescent="0.25">
      <c r="A236" s="544" t="s">
        <v>1674</v>
      </c>
      <c r="B236" s="545">
        <v>0</v>
      </c>
      <c r="C236" s="544" t="s">
        <v>1674</v>
      </c>
      <c r="D236" s="544" t="s">
        <v>2642</v>
      </c>
      <c r="E236" s="542" t="s">
        <v>2680</v>
      </c>
      <c r="G236" s="546"/>
      <c r="H236" s="546">
        <v>19.04</v>
      </c>
      <c r="I236" s="546"/>
      <c r="J236" s="542" t="s">
        <v>806</v>
      </c>
      <c r="K236" s="547">
        <v>8736</v>
      </c>
      <c r="L236" s="542" t="s">
        <v>806</v>
      </c>
      <c r="M236" s="548"/>
      <c r="N236" s="549">
        <v>0</v>
      </c>
      <c r="O236" s="544" t="s">
        <v>1674</v>
      </c>
      <c r="P236" s="544" t="s">
        <v>1674</v>
      </c>
      <c r="Q236" s="544" t="s">
        <v>2681</v>
      </c>
      <c r="R236" s="544" t="s">
        <v>1674</v>
      </c>
      <c r="S236" s="544" t="s">
        <v>1674</v>
      </c>
      <c r="T236" s="550">
        <v>19</v>
      </c>
      <c r="U236" s="544" t="s">
        <v>2682</v>
      </c>
      <c r="V236" s="547">
        <v>1589</v>
      </c>
      <c r="W236" s="548"/>
      <c r="Y236" s="544" t="s">
        <v>1674</v>
      </c>
      <c r="AA236" s="544" t="s">
        <v>1674</v>
      </c>
      <c r="AE236" s="551"/>
      <c r="AF236" s="544" t="s">
        <v>1674</v>
      </c>
      <c r="AG236" s="544" t="s">
        <v>1674</v>
      </c>
      <c r="AH236" s="544" t="s">
        <v>1674</v>
      </c>
      <c r="AI236" s="544" t="s">
        <v>1674</v>
      </c>
      <c r="AJ236" s="544" t="s">
        <v>1674</v>
      </c>
      <c r="AK236" s="544" t="s">
        <v>1674</v>
      </c>
      <c r="AL236" s="544" t="s">
        <v>1674</v>
      </c>
      <c r="AM236" s="544" t="s">
        <v>1674</v>
      </c>
      <c r="AN236" s="544" t="s">
        <v>1674</v>
      </c>
      <c r="AP236" s="552">
        <f t="shared" si="3"/>
        <v>0</v>
      </c>
    </row>
    <row r="237" spans="1:42" outlineLevel="1" x14ac:dyDescent="0.25">
      <c r="A237" s="544" t="s">
        <v>1674</v>
      </c>
      <c r="B237" s="545">
        <v>0</v>
      </c>
      <c r="C237" s="544" t="s">
        <v>1674</v>
      </c>
      <c r="D237" s="544" t="s">
        <v>2642</v>
      </c>
      <c r="E237" s="542" t="s">
        <v>2683</v>
      </c>
      <c r="G237" s="546"/>
      <c r="H237" s="546">
        <v>1884.96</v>
      </c>
      <c r="I237" s="546"/>
      <c r="J237" s="542" t="s">
        <v>806</v>
      </c>
      <c r="K237" s="547">
        <v>1200</v>
      </c>
      <c r="L237" s="542" t="s">
        <v>806</v>
      </c>
      <c r="M237" s="548"/>
      <c r="N237" s="549">
        <v>0</v>
      </c>
      <c r="O237" s="544" t="s">
        <v>1674</v>
      </c>
      <c r="P237" s="544" t="s">
        <v>1674</v>
      </c>
      <c r="Q237" s="544" t="s">
        <v>2684</v>
      </c>
      <c r="R237" s="544" t="s">
        <v>1674</v>
      </c>
      <c r="S237" s="544" t="s">
        <v>1674</v>
      </c>
      <c r="T237" s="550"/>
      <c r="U237" s="544" t="s">
        <v>2685</v>
      </c>
      <c r="V237" s="547">
        <v>1704</v>
      </c>
      <c r="W237" s="548"/>
      <c r="Y237" s="544" t="s">
        <v>1674</v>
      </c>
      <c r="AA237" s="544" t="s">
        <v>1674</v>
      </c>
      <c r="AE237" s="551"/>
      <c r="AF237" s="544" t="s">
        <v>1674</v>
      </c>
      <c r="AG237" s="544" t="s">
        <v>1674</v>
      </c>
      <c r="AH237" s="544" t="s">
        <v>1674</v>
      </c>
      <c r="AI237" s="544" t="s">
        <v>1674</v>
      </c>
      <c r="AJ237" s="544" t="s">
        <v>1674</v>
      </c>
      <c r="AK237" s="544" t="s">
        <v>1674</v>
      </c>
      <c r="AL237" s="544" t="s">
        <v>1674</v>
      </c>
      <c r="AM237" s="544" t="s">
        <v>1674</v>
      </c>
      <c r="AN237" s="544" t="s">
        <v>1674</v>
      </c>
      <c r="AP237" s="552">
        <f t="shared" si="3"/>
        <v>0</v>
      </c>
    </row>
    <row r="238" spans="1:42" outlineLevel="1" x14ac:dyDescent="0.25">
      <c r="A238" s="544" t="s">
        <v>1674</v>
      </c>
      <c r="B238" s="545">
        <v>0</v>
      </c>
      <c r="C238" s="544" t="s">
        <v>1674</v>
      </c>
      <c r="D238" s="544" t="s">
        <v>2642</v>
      </c>
      <c r="E238" s="542" t="s">
        <v>2683</v>
      </c>
      <c r="G238" s="546"/>
      <c r="H238" s="546">
        <v>19.04</v>
      </c>
      <c r="I238" s="546"/>
      <c r="J238" s="542" t="s">
        <v>806</v>
      </c>
      <c r="K238" s="547">
        <v>8736</v>
      </c>
      <c r="L238" s="542" t="s">
        <v>806</v>
      </c>
      <c r="M238" s="548"/>
      <c r="N238" s="549">
        <v>0</v>
      </c>
      <c r="O238" s="544" t="s">
        <v>1674</v>
      </c>
      <c r="P238" s="544" t="s">
        <v>1674</v>
      </c>
      <c r="Q238" s="544" t="s">
        <v>2684</v>
      </c>
      <c r="R238" s="544" t="s">
        <v>1674</v>
      </c>
      <c r="S238" s="544" t="s">
        <v>1674</v>
      </c>
      <c r="T238" s="550">
        <v>19</v>
      </c>
      <c r="U238" s="544" t="s">
        <v>2685</v>
      </c>
      <c r="V238" s="547">
        <v>1704</v>
      </c>
      <c r="W238" s="548"/>
      <c r="Y238" s="544" t="s">
        <v>1674</v>
      </c>
      <c r="AA238" s="544" t="s">
        <v>1674</v>
      </c>
      <c r="AE238" s="551"/>
      <c r="AF238" s="544" t="s">
        <v>1674</v>
      </c>
      <c r="AG238" s="544" t="s">
        <v>1674</v>
      </c>
      <c r="AH238" s="544" t="s">
        <v>1674</v>
      </c>
      <c r="AI238" s="544" t="s">
        <v>1674</v>
      </c>
      <c r="AJ238" s="544" t="s">
        <v>1674</v>
      </c>
      <c r="AK238" s="544" t="s">
        <v>1674</v>
      </c>
      <c r="AL238" s="544" t="s">
        <v>1674</v>
      </c>
      <c r="AM238" s="544" t="s">
        <v>1674</v>
      </c>
      <c r="AN238" s="544" t="s">
        <v>1674</v>
      </c>
      <c r="AP238" s="552">
        <f t="shared" si="3"/>
        <v>0</v>
      </c>
    </row>
    <row r="239" spans="1:42" outlineLevel="1" x14ac:dyDescent="0.25">
      <c r="A239" s="544" t="s">
        <v>1674</v>
      </c>
      <c r="B239" s="545">
        <v>0</v>
      </c>
      <c r="C239" s="544" t="s">
        <v>1674</v>
      </c>
      <c r="D239" s="544" t="s">
        <v>2642</v>
      </c>
      <c r="E239" s="542" t="s">
        <v>2686</v>
      </c>
      <c r="G239" s="546"/>
      <c r="H239" s="546">
        <v>1884.96</v>
      </c>
      <c r="I239" s="546"/>
      <c r="J239" s="542" t="s">
        <v>806</v>
      </c>
      <c r="K239" s="547">
        <v>1200</v>
      </c>
      <c r="L239" s="542" t="s">
        <v>806</v>
      </c>
      <c r="M239" s="548"/>
      <c r="N239" s="549">
        <v>0</v>
      </c>
      <c r="O239" s="544" t="s">
        <v>1674</v>
      </c>
      <c r="P239" s="544" t="s">
        <v>1674</v>
      </c>
      <c r="Q239" s="544" t="s">
        <v>2687</v>
      </c>
      <c r="R239" s="544" t="s">
        <v>1674</v>
      </c>
      <c r="S239" s="544" t="s">
        <v>1674</v>
      </c>
      <c r="T239" s="550"/>
      <c r="U239" s="544" t="s">
        <v>2688</v>
      </c>
      <c r="V239" s="547">
        <v>1499</v>
      </c>
      <c r="W239" s="548"/>
      <c r="Y239" s="544" t="s">
        <v>1674</v>
      </c>
      <c r="AA239" s="544" t="s">
        <v>1674</v>
      </c>
      <c r="AE239" s="551"/>
      <c r="AF239" s="544" t="s">
        <v>1674</v>
      </c>
      <c r="AG239" s="544" t="s">
        <v>1674</v>
      </c>
      <c r="AH239" s="544" t="s">
        <v>1674</v>
      </c>
      <c r="AI239" s="544" t="s">
        <v>1674</v>
      </c>
      <c r="AJ239" s="544" t="s">
        <v>1674</v>
      </c>
      <c r="AK239" s="544" t="s">
        <v>1674</v>
      </c>
      <c r="AL239" s="544" t="s">
        <v>1674</v>
      </c>
      <c r="AM239" s="544" t="s">
        <v>1674</v>
      </c>
      <c r="AN239" s="544" t="s">
        <v>1674</v>
      </c>
      <c r="AP239" s="552">
        <f t="shared" si="3"/>
        <v>0</v>
      </c>
    </row>
    <row r="240" spans="1:42" outlineLevel="1" x14ac:dyDescent="0.25">
      <c r="A240" s="544" t="s">
        <v>1674</v>
      </c>
      <c r="B240" s="545">
        <v>0</v>
      </c>
      <c r="C240" s="544" t="s">
        <v>1674</v>
      </c>
      <c r="D240" s="544" t="s">
        <v>2642</v>
      </c>
      <c r="E240" s="542" t="s">
        <v>2686</v>
      </c>
      <c r="G240" s="546"/>
      <c r="H240" s="546">
        <v>19.04</v>
      </c>
      <c r="I240" s="546"/>
      <c r="J240" s="542" t="s">
        <v>806</v>
      </c>
      <c r="K240" s="547">
        <v>8736</v>
      </c>
      <c r="L240" s="542" t="s">
        <v>806</v>
      </c>
      <c r="M240" s="548"/>
      <c r="N240" s="549">
        <v>0</v>
      </c>
      <c r="O240" s="544" t="s">
        <v>1674</v>
      </c>
      <c r="P240" s="544" t="s">
        <v>1674</v>
      </c>
      <c r="Q240" s="544" t="s">
        <v>2687</v>
      </c>
      <c r="R240" s="544" t="s">
        <v>1674</v>
      </c>
      <c r="S240" s="544" t="s">
        <v>1674</v>
      </c>
      <c r="T240" s="550">
        <v>19</v>
      </c>
      <c r="U240" s="544" t="s">
        <v>2688</v>
      </c>
      <c r="V240" s="547">
        <v>1499</v>
      </c>
      <c r="W240" s="548"/>
      <c r="Y240" s="544" t="s">
        <v>1674</v>
      </c>
      <c r="AA240" s="544" t="s">
        <v>1674</v>
      </c>
      <c r="AE240" s="551"/>
      <c r="AF240" s="544" t="s">
        <v>1674</v>
      </c>
      <c r="AG240" s="544" t="s">
        <v>1674</v>
      </c>
      <c r="AH240" s="544" t="s">
        <v>1674</v>
      </c>
      <c r="AI240" s="544" t="s">
        <v>1674</v>
      </c>
      <c r="AJ240" s="544" t="s">
        <v>1674</v>
      </c>
      <c r="AK240" s="544" t="s">
        <v>1674</v>
      </c>
      <c r="AL240" s="544" t="s">
        <v>1674</v>
      </c>
      <c r="AM240" s="544" t="s">
        <v>1674</v>
      </c>
      <c r="AN240" s="544" t="s">
        <v>1674</v>
      </c>
      <c r="AP240" s="552">
        <f t="shared" si="3"/>
        <v>0</v>
      </c>
    </row>
    <row r="241" spans="1:42" outlineLevel="1" x14ac:dyDescent="0.25">
      <c r="A241" s="544" t="s">
        <v>1674</v>
      </c>
      <c r="B241" s="545">
        <v>0</v>
      </c>
      <c r="C241" s="544" t="s">
        <v>1674</v>
      </c>
      <c r="D241" s="544" t="s">
        <v>2642</v>
      </c>
      <c r="E241" s="542" t="s">
        <v>2689</v>
      </c>
      <c r="G241" s="546"/>
      <c r="H241" s="546">
        <v>1884.96</v>
      </c>
      <c r="I241" s="546"/>
      <c r="J241" s="542" t="s">
        <v>806</v>
      </c>
      <c r="K241" s="547">
        <v>1200</v>
      </c>
      <c r="L241" s="542" t="s">
        <v>806</v>
      </c>
      <c r="M241" s="548"/>
      <c r="N241" s="549">
        <v>0</v>
      </c>
      <c r="O241" s="544" t="s">
        <v>1674</v>
      </c>
      <c r="P241" s="544" t="s">
        <v>1674</v>
      </c>
      <c r="Q241" s="544" t="s">
        <v>2690</v>
      </c>
      <c r="R241" s="544" t="s">
        <v>1674</v>
      </c>
      <c r="S241" s="544" t="s">
        <v>1674</v>
      </c>
      <c r="T241" s="550"/>
      <c r="U241" s="544" t="s">
        <v>2691</v>
      </c>
      <c r="V241" s="547">
        <v>1728</v>
      </c>
      <c r="W241" s="548"/>
      <c r="Y241" s="544" t="s">
        <v>1674</v>
      </c>
      <c r="AA241" s="544" t="s">
        <v>1674</v>
      </c>
      <c r="AE241" s="551"/>
      <c r="AF241" s="544" t="s">
        <v>1674</v>
      </c>
      <c r="AG241" s="544" t="s">
        <v>1674</v>
      </c>
      <c r="AH241" s="544" t="s">
        <v>1674</v>
      </c>
      <c r="AI241" s="544" t="s">
        <v>1674</v>
      </c>
      <c r="AJ241" s="544" t="s">
        <v>1674</v>
      </c>
      <c r="AK241" s="544" t="s">
        <v>1674</v>
      </c>
      <c r="AL241" s="544" t="s">
        <v>1674</v>
      </c>
      <c r="AM241" s="544" t="s">
        <v>1674</v>
      </c>
      <c r="AN241" s="544" t="s">
        <v>1674</v>
      </c>
      <c r="AP241" s="552">
        <f t="shared" si="3"/>
        <v>0</v>
      </c>
    </row>
    <row r="242" spans="1:42" outlineLevel="1" x14ac:dyDescent="0.25">
      <c r="A242" s="544" t="s">
        <v>1674</v>
      </c>
      <c r="B242" s="545">
        <v>0</v>
      </c>
      <c r="C242" s="544" t="s">
        <v>1674</v>
      </c>
      <c r="D242" s="544" t="s">
        <v>2642</v>
      </c>
      <c r="E242" s="542" t="s">
        <v>2689</v>
      </c>
      <c r="G242" s="546"/>
      <c r="H242" s="546">
        <v>19.04</v>
      </c>
      <c r="I242" s="546"/>
      <c r="J242" s="542" t="s">
        <v>806</v>
      </c>
      <c r="K242" s="547">
        <v>8736</v>
      </c>
      <c r="L242" s="542" t="s">
        <v>806</v>
      </c>
      <c r="M242" s="548"/>
      <c r="N242" s="549">
        <v>0</v>
      </c>
      <c r="O242" s="544" t="s">
        <v>1674</v>
      </c>
      <c r="P242" s="544" t="s">
        <v>1674</v>
      </c>
      <c r="Q242" s="544" t="s">
        <v>2690</v>
      </c>
      <c r="R242" s="544" t="s">
        <v>1674</v>
      </c>
      <c r="S242" s="544" t="s">
        <v>1674</v>
      </c>
      <c r="T242" s="550">
        <v>19</v>
      </c>
      <c r="U242" s="544" t="s">
        <v>2691</v>
      </c>
      <c r="V242" s="547">
        <v>1729</v>
      </c>
      <c r="W242" s="548"/>
      <c r="Y242" s="544" t="s">
        <v>1674</v>
      </c>
      <c r="AA242" s="544" t="s">
        <v>1674</v>
      </c>
      <c r="AE242" s="551"/>
      <c r="AF242" s="544" t="s">
        <v>1674</v>
      </c>
      <c r="AG242" s="544" t="s">
        <v>1674</v>
      </c>
      <c r="AH242" s="544" t="s">
        <v>1674</v>
      </c>
      <c r="AI242" s="544" t="s">
        <v>1674</v>
      </c>
      <c r="AJ242" s="544" t="s">
        <v>1674</v>
      </c>
      <c r="AK242" s="544" t="s">
        <v>1674</v>
      </c>
      <c r="AL242" s="544" t="s">
        <v>1674</v>
      </c>
      <c r="AM242" s="544" t="s">
        <v>1674</v>
      </c>
      <c r="AN242" s="544" t="s">
        <v>1674</v>
      </c>
      <c r="AP242" s="552">
        <f t="shared" si="3"/>
        <v>0</v>
      </c>
    </row>
    <row r="243" spans="1:42" outlineLevel="1" x14ac:dyDescent="0.25">
      <c r="A243" s="544" t="s">
        <v>1674</v>
      </c>
      <c r="B243" s="545">
        <v>0</v>
      </c>
      <c r="C243" s="544" t="s">
        <v>1674</v>
      </c>
      <c r="D243" s="544" t="s">
        <v>2642</v>
      </c>
      <c r="E243" s="542" t="s">
        <v>2692</v>
      </c>
      <c r="G243" s="546"/>
      <c r="H243" s="546">
        <v>1884.96</v>
      </c>
      <c r="I243" s="546"/>
      <c r="J243" s="542" t="s">
        <v>806</v>
      </c>
      <c r="K243" s="547">
        <v>1200</v>
      </c>
      <c r="L243" s="542" t="s">
        <v>806</v>
      </c>
      <c r="M243" s="548"/>
      <c r="N243" s="549">
        <v>0</v>
      </c>
      <c r="O243" s="544" t="s">
        <v>1674</v>
      </c>
      <c r="P243" s="544" t="s">
        <v>1674</v>
      </c>
      <c r="Q243" s="544" t="s">
        <v>2693</v>
      </c>
      <c r="R243" s="544" t="s">
        <v>1674</v>
      </c>
      <c r="S243" s="544" t="s">
        <v>1674</v>
      </c>
      <c r="T243" s="550"/>
      <c r="U243" s="544" t="s">
        <v>2694</v>
      </c>
      <c r="V243" s="547">
        <v>1848</v>
      </c>
      <c r="W243" s="548"/>
      <c r="Y243" s="544" t="s">
        <v>1674</v>
      </c>
      <c r="AA243" s="544" t="s">
        <v>1674</v>
      </c>
      <c r="AE243" s="551"/>
      <c r="AF243" s="544" t="s">
        <v>1674</v>
      </c>
      <c r="AG243" s="544" t="s">
        <v>1674</v>
      </c>
      <c r="AH243" s="544" t="s">
        <v>1674</v>
      </c>
      <c r="AI243" s="544" t="s">
        <v>1674</v>
      </c>
      <c r="AJ243" s="544" t="s">
        <v>1674</v>
      </c>
      <c r="AK243" s="544" t="s">
        <v>1674</v>
      </c>
      <c r="AL243" s="544" t="s">
        <v>1674</v>
      </c>
      <c r="AM243" s="544" t="s">
        <v>1674</v>
      </c>
      <c r="AN243" s="544" t="s">
        <v>1674</v>
      </c>
      <c r="AP243" s="552">
        <f t="shared" si="3"/>
        <v>0</v>
      </c>
    </row>
    <row r="244" spans="1:42" outlineLevel="1" x14ac:dyDescent="0.25">
      <c r="A244" s="544" t="s">
        <v>1674</v>
      </c>
      <c r="B244" s="545">
        <v>0</v>
      </c>
      <c r="C244" s="544" t="s">
        <v>1674</v>
      </c>
      <c r="D244" s="544" t="s">
        <v>2642</v>
      </c>
      <c r="E244" s="542" t="s">
        <v>2692</v>
      </c>
      <c r="G244" s="546"/>
      <c r="H244" s="546">
        <v>19.04</v>
      </c>
      <c r="I244" s="546"/>
      <c r="J244" s="542" t="s">
        <v>806</v>
      </c>
      <c r="K244" s="547">
        <v>8736</v>
      </c>
      <c r="L244" s="542" t="s">
        <v>806</v>
      </c>
      <c r="M244" s="548"/>
      <c r="N244" s="549">
        <v>0</v>
      </c>
      <c r="O244" s="544" t="s">
        <v>1674</v>
      </c>
      <c r="P244" s="544" t="s">
        <v>1674</v>
      </c>
      <c r="Q244" s="544" t="s">
        <v>2693</v>
      </c>
      <c r="R244" s="544" t="s">
        <v>1674</v>
      </c>
      <c r="S244" s="544" t="s">
        <v>1674</v>
      </c>
      <c r="T244" s="550">
        <v>19</v>
      </c>
      <c r="U244" s="544" t="s">
        <v>2694</v>
      </c>
      <c r="V244" s="547">
        <v>1849</v>
      </c>
      <c r="W244" s="548"/>
      <c r="Y244" s="544" t="s">
        <v>1674</v>
      </c>
      <c r="AA244" s="544" t="s">
        <v>1674</v>
      </c>
      <c r="AE244" s="551"/>
      <c r="AF244" s="544" t="s">
        <v>1674</v>
      </c>
      <c r="AG244" s="544" t="s">
        <v>1674</v>
      </c>
      <c r="AH244" s="544" t="s">
        <v>1674</v>
      </c>
      <c r="AI244" s="544" t="s">
        <v>1674</v>
      </c>
      <c r="AJ244" s="544" t="s">
        <v>1674</v>
      </c>
      <c r="AK244" s="544" t="s">
        <v>1674</v>
      </c>
      <c r="AL244" s="544" t="s">
        <v>1674</v>
      </c>
      <c r="AM244" s="544" t="s">
        <v>1674</v>
      </c>
      <c r="AN244" s="544" t="s">
        <v>1674</v>
      </c>
      <c r="AP244" s="552">
        <f t="shared" si="3"/>
        <v>0</v>
      </c>
    </row>
    <row r="245" spans="1:42" outlineLevel="1" x14ac:dyDescent="0.25">
      <c r="A245" s="544" t="s">
        <v>1674</v>
      </c>
      <c r="B245" s="545">
        <v>0</v>
      </c>
      <c r="C245" s="544" t="s">
        <v>1674</v>
      </c>
      <c r="D245" s="544" t="s">
        <v>2642</v>
      </c>
      <c r="E245" s="542" t="s">
        <v>2695</v>
      </c>
      <c r="G245" s="546"/>
      <c r="H245" s="546">
        <v>1884.96</v>
      </c>
      <c r="I245" s="546"/>
      <c r="J245" s="542" t="s">
        <v>806</v>
      </c>
      <c r="K245" s="547">
        <v>1200</v>
      </c>
      <c r="L245" s="542" t="s">
        <v>806</v>
      </c>
      <c r="M245" s="548"/>
      <c r="N245" s="549">
        <v>0</v>
      </c>
      <c r="O245" s="544" t="s">
        <v>1674</v>
      </c>
      <c r="P245" s="544" t="s">
        <v>1674</v>
      </c>
      <c r="Q245" s="544" t="s">
        <v>2696</v>
      </c>
      <c r="R245" s="544" t="s">
        <v>1674</v>
      </c>
      <c r="S245" s="544" t="s">
        <v>1674</v>
      </c>
      <c r="T245" s="550"/>
      <c r="U245" s="544" t="s">
        <v>2697</v>
      </c>
      <c r="V245" s="547">
        <v>1651</v>
      </c>
      <c r="W245" s="548"/>
      <c r="Y245" s="544" t="s">
        <v>1674</v>
      </c>
      <c r="AA245" s="544" t="s">
        <v>1674</v>
      </c>
      <c r="AE245" s="551"/>
      <c r="AF245" s="544" t="s">
        <v>1674</v>
      </c>
      <c r="AG245" s="544" t="s">
        <v>1674</v>
      </c>
      <c r="AH245" s="544" t="s">
        <v>1674</v>
      </c>
      <c r="AI245" s="544" t="s">
        <v>1674</v>
      </c>
      <c r="AJ245" s="544" t="s">
        <v>1674</v>
      </c>
      <c r="AK245" s="544" t="s">
        <v>1674</v>
      </c>
      <c r="AL245" s="544" t="s">
        <v>1674</v>
      </c>
      <c r="AM245" s="544" t="s">
        <v>1674</v>
      </c>
      <c r="AN245" s="544" t="s">
        <v>1674</v>
      </c>
      <c r="AP245" s="552">
        <f t="shared" si="3"/>
        <v>0</v>
      </c>
    </row>
    <row r="246" spans="1:42" outlineLevel="1" x14ac:dyDescent="0.25">
      <c r="A246" s="544" t="s">
        <v>1674</v>
      </c>
      <c r="B246" s="545">
        <v>0</v>
      </c>
      <c r="C246" s="544" t="s">
        <v>1674</v>
      </c>
      <c r="D246" s="544" t="s">
        <v>2642</v>
      </c>
      <c r="E246" s="542" t="s">
        <v>2695</v>
      </c>
      <c r="G246" s="546"/>
      <c r="H246" s="546">
        <v>19.04</v>
      </c>
      <c r="I246" s="546"/>
      <c r="J246" s="542" t="s">
        <v>806</v>
      </c>
      <c r="K246" s="547">
        <v>8736</v>
      </c>
      <c r="L246" s="542" t="s">
        <v>806</v>
      </c>
      <c r="M246" s="548"/>
      <c r="N246" s="549">
        <v>0</v>
      </c>
      <c r="O246" s="544" t="s">
        <v>1674</v>
      </c>
      <c r="P246" s="544" t="s">
        <v>1674</v>
      </c>
      <c r="Q246" s="544" t="s">
        <v>2696</v>
      </c>
      <c r="R246" s="544" t="s">
        <v>1674</v>
      </c>
      <c r="S246" s="544" t="s">
        <v>1674</v>
      </c>
      <c r="T246" s="550">
        <v>19</v>
      </c>
      <c r="U246" s="544" t="s">
        <v>2697</v>
      </c>
      <c r="V246" s="547">
        <v>1652</v>
      </c>
      <c r="W246" s="548"/>
      <c r="Y246" s="544" t="s">
        <v>1674</v>
      </c>
      <c r="AA246" s="544" t="s">
        <v>1674</v>
      </c>
      <c r="AE246" s="551"/>
      <c r="AF246" s="544" t="s">
        <v>1674</v>
      </c>
      <c r="AG246" s="544" t="s">
        <v>1674</v>
      </c>
      <c r="AH246" s="544" t="s">
        <v>1674</v>
      </c>
      <c r="AI246" s="544" t="s">
        <v>1674</v>
      </c>
      <c r="AJ246" s="544" t="s">
        <v>1674</v>
      </c>
      <c r="AK246" s="544" t="s">
        <v>1674</v>
      </c>
      <c r="AL246" s="544" t="s">
        <v>1674</v>
      </c>
      <c r="AM246" s="544" t="s">
        <v>1674</v>
      </c>
      <c r="AN246" s="544" t="s">
        <v>1674</v>
      </c>
      <c r="AP246" s="552">
        <f t="shared" si="3"/>
        <v>0</v>
      </c>
    </row>
    <row r="247" spans="1:42" outlineLevel="1" x14ac:dyDescent="0.25">
      <c r="A247" s="544" t="s">
        <v>1674</v>
      </c>
      <c r="B247" s="545">
        <v>0</v>
      </c>
      <c r="C247" s="544" t="s">
        <v>1674</v>
      </c>
      <c r="D247" s="544" t="s">
        <v>2642</v>
      </c>
      <c r="E247" s="542" t="s">
        <v>2698</v>
      </c>
      <c r="G247" s="546"/>
      <c r="H247" s="546">
        <v>1884.96</v>
      </c>
      <c r="I247" s="546"/>
      <c r="J247" s="542" t="s">
        <v>806</v>
      </c>
      <c r="K247" s="547">
        <v>1200</v>
      </c>
      <c r="L247" s="542" t="s">
        <v>806</v>
      </c>
      <c r="M247" s="548"/>
      <c r="N247" s="549">
        <v>0</v>
      </c>
      <c r="O247" s="544" t="s">
        <v>1674</v>
      </c>
      <c r="P247" s="544" t="s">
        <v>1674</v>
      </c>
      <c r="Q247" s="544" t="s">
        <v>2699</v>
      </c>
      <c r="R247" s="544" t="s">
        <v>1674</v>
      </c>
      <c r="S247" s="544" t="s">
        <v>1674</v>
      </c>
      <c r="T247" s="550"/>
      <c r="U247" s="544" t="s">
        <v>2700</v>
      </c>
      <c r="V247" s="547">
        <v>1592</v>
      </c>
      <c r="W247" s="548"/>
      <c r="Y247" s="544" t="s">
        <v>1674</v>
      </c>
      <c r="AA247" s="544" t="s">
        <v>1674</v>
      </c>
      <c r="AE247" s="551"/>
      <c r="AF247" s="544" t="s">
        <v>1674</v>
      </c>
      <c r="AG247" s="544" t="s">
        <v>1674</v>
      </c>
      <c r="AH247" s="544" t="s">
        <v>1674</v>
      </c>
      <c r="AI247" s="544" t="s">
        <v>1674</v>
      </c>
      <c r="AJ247" s="544" t="s">
        <v>1674</v>
      </c>
      <c r="AK247" s="544" t="s">
        <v>1674</v>
      </c>
      <c r="AL247" s="544" t="s">
        <v>1674</v>
      </c>
      <c r="AM247" s="544" t="s">
        <v>1674</v>
      </c>
      <c r="AN247" s="544" t="s">
        <v>1674</v>
      </c>
      <c r="AP247" s="552">
        <f t="shared" si="3"/>
        <v>0</v>
      </c>
    </row>
    <row r="248" spans="1:42" outlineLevel="1" x14ac:dyDescent="0.25">
      <c r="A248" s="544" t="s">
        <v>1674</v>
      </c>
      <c r="B248" s="545">
        <v>11911</v>
      </c>
      <c r="C248" s="544" t="s">
        <v>2709</v>
      </c>
      <c r="D248" s="544" t="s">
        <v>2710</v>
      </c>
      <c r="E248" s="542" t="s">
        <v>2711</v>
      </c>
      <c r="F248" s="542" t="s">
        <v>2712</v>
      </c>
      <c r="G248" s="546">
        <v>107.1</v>
      </c>
      <c r="H248" s="546"/>
      <c r="I248" s="546"/>
      <c r="J248" s="542" t="s">
        <v>806</v>
      </c>
      <c r="K248" s="547">
        <v>8400</v>
      </c>
      <c r="L248" s="542" t="s">
        <v>806</v>
      </c>
      <c r="M248" s="548"/>
      <c r="N248" s="549">
        <v>-362</v>
      </c>
      <c r="O248" s="544" t="s">
        <v>1674</v>
      </c>
      <c r="P248" s="544" t="s">
        <v>1674</v>
      </c>
      <c r="Q248" s="544" t="s">
        <v>2713</v>
      </c>
      <c r="R248" s="544" t="s">
        <v>2622</v>
      </c>
      <c r="S248" s="544" t="s">
        <v>1674</v>
      </c>
      <c r="T248" s="550">
        <v>19</v>
      </c>
      <c r="U248" s="544" t="s">
        <v>2714</v>
      </c>
      <c r="V248" s="547">
        <v>45</v>
      </c>
      <c r="W248" s="548"/>
      <c r="Y248" s="544" t="s">
        <v>1674</v>
      </c>
      <c r="AA248" s="544" t="s">
        <v>1674</v>
      </c>
      <c r="AE248" s="551"/>
      <c r="AF248" s="544" t="s">
        <v>1674</v>
      </c>
      <c r="AG248" s="544" t="s">
        <v>1674</v>
      </c>
      <c r="AH248" s="544" t="s">
        <v>1674</v>
      </c>
      <c r="AI248" s="544" t="s">
        <v>1674</v>
      </c>
      <c r="AJ248" s="544" t="s">
        <v>1674</v>
      </c>
      <c r="AK248" s="544" t="s">
        <v>1674</v>
      </c>
      <c r="AL248" s="544" t="s">
        <v>1674</v>
      </c>
      <c r="AM248" s="544" t="s">
        <v>2715</v>
      </c>
      <c r="AN248" s="544" t="s">
        <v>1674</v>
      </c>
      <c r="AP248" s="552">
        <f t="shared" si="3"/>
        <v>0</v>
      </c>
    </row>
    <row r="249" spans="1:42" outlineLevel="1" x14ac:dyDescent="0.25">
      <c r="A249" s="544" t="s">
        <v>1674</v>
      </c>
      <c r="B249" s="545">
        <v>11800</v>
      </c>
      <c r="C249" s="544" t="s">
        <v>2581</v>
      </c>
      <c r="D249" s="544" t="s">
        <v>2717</v>
      </c>
      <c r="E249" s="542" t="s">
        <v>2718</v>
      </c>
      <c r="F249" s="542" t="s">
        <v>2719</v>
      </c>
      <c r="G249" s="546">
        <v>17195.5</v>
      </c>
      <c r="H249" s="546"/>
      <c r="I249" s="546"/>
      <c r="J249" s="542" t="s">
        <v>806</v>
      </c>
      <c r="K249" s="547">
        <v>8820</v>
      </c>
      <c r="L249" s="542" t="s">
        <v>806</v>
      </c>
      <c r="M249" s="548"/>
      <c r="N249" s="549">
        <v>-348</v>
      </c>
      <c r="O249" s="544" t="s">
        <v>1674</v>
      </c>
      <c r="P249" s="544" t="s">
        <v>1674</v>
      </c>
      <c r="Q249" s="544" t="s">
        <v>2720</v>
      </c>
      <c r="R249" s="544" t="s">
        <v>2622</v>
      </c>
      <c r="S249" s="544" t="s">
        <v>1674</v>
      </c>
      <c r="T249" s="550">
        <v>19</v>
      </c>
      <c r="U249" s="544" t="s">
        <v>2714</v>
      </c>
      <c r="V249" s="547">
        <v>371</v>
      </c>
      <c r="W249" s="548"/>
      <c r="Y249" s="544" t="s">
        <v>1674</v>
      </c>
      <c r="AA249" s="544" t="s">
        <v>1674</v>
      </c>
      <c r="AE249" s="551"/>
      <c r="AF249" s="544" t="s">
        <v>1674</v>
      </c>
      <c r="AG249" s="544" t="s">
        <v>1674</v>
      </c>
      <c r="AH249" s="544" t="s">
        <v>1674</v>
      </c>
      <c r="AI249" s="544" t="s">
        <v>1674</v>
      </c>
      <c r="AJ249" s="544" t="s">
        <v>1674</v>
      </c>
      <c r="AK249" s="544" t="s">
        <v>1674</v>
      </c>
      <c r="AL249" s="544" t="s">
        <v>1674</v>
      </c>
      <c r="AM249" s="544" t="s">
        <v>2581</v>
      </c>
      <c r="AN249" s="544" t="s">
        <v>1674</v>
      </c>
      <c r="AP249" s="552">
        <f t="shared" si="3"/>
        <v>0</v>
      </c>
    </row>
    <row r="250" spans="1:42" outlineLevel="1" x14ac:dyDescent="0.25">
      <c r="A250" s="544" t="s">
        <v>1674</v>
      </c>
      <c r="B250" s="545">
        <v>0</v>
      </c>
      <c r="C250" s="544" t="s">
        <v>1674</v>
      </c>
      <c r="D250" s="544" t="s">
        <v>2717</v>
      </c>
      <c r="E250" s="542" t="s">
        <v>2718</v>
      </c>
      <c r="F250" s="542" t="s">
        <v>2719</v>
      </c>
      <c r="G250" s="546">
        <v>1785</v>
      </c>
      <c r="H250" s="546"/>
      <c r="I250" s="546"/>
      <c r="J250" s="542" t="s">
        <v>806</v>
      </c>
      <c r="K250" s="547">
        <v>8820</v>
      </c>
      <c r="L250" s="542" t="s">
        <v>806</v>
      </c>
      <c r="M250" s="548"/>
      <c r="N250" s="549">
        <v>-348</v>
      </c>
      <c r="O250" s="544" t="s">
        <v>1674</v>
      </c>
      <c r="P250" s="544" t="s">
        <v>1674</v>
      </c>
      <c r="Q250" s="544" t="s">
        <v>2720</v>
      </c>
      <c r="R250" s="544" t="s">
        <v>1674</v>
      </c>
      <c r="S250" s="544" t="s">
        <v>1674</v>
      </c>
      <c r="T250" s="550">
        <v>19</v>
      </c>
      <c r="U250" s="544" t="s">
        <v>2714</v>
      </c>
      <c r="V250" s="547">
        <v>372</v>
      </c>
      <c r="W250" s="548"/>
      <c r="Y250" s="544" t="s">
        <v>1674</v>
      </c>
      <c r="AA250" s="544" t="s">
        <v>1674</v>
      </c>
      <c r="AE250" s="551"/>
      <c r="AF250" s="544" t="s">
        <v>1674</v>
      </c>
      <c r="AG250" s="544" t="s">
        <v>1674</v>
      </c>
      <c r="AH250" s="544" t="s">
        <v>1674</v>
      </c>
      <c r="AI250" s="544" t="s">
        <v>1674</v>
      </c>
      <c r="AJ250" s="544" t="s">
        <v>1674</v>
      </c>
      <c r="AK250" s="544" t="s">
        <v>1674</v>
      </c>
      <c r="AL250" s="544" t="s">
        <v>1674</v>
      </c>
      <c r="AM250" s="544" t="s">
        <v>1674</v>
      </c>
      <c r="AN250" s="544" t="s">
        <v>1674</v>
      </c>
      <c r="AP250" s="552">
        <f t="shared" si="3"/>
        <v>0</v>
      </c>
    </row>
    <row r="251" spans="1:42" outlineLevel="1" x14ac:dyDescent="0.25">
      <c r="A251" s="544" t="s">
        <v>1674</v>
      </c>
      <c r="B251" s="545">
        <v>0</v>
      </c>
      <c r="C251" s="544" t="s">
        <v>1674</v>
      </c>
      <c r="D251" s="544" t="s">
        <v>2717</v>
      </c>
      <c r="E251" s="542" t="s">
        <v>2718</v>
      </c>
      <c r="F251" s="542" t="s">
        <v>2719</v>
      </c>
      <c r="G251" s="546">
        <v>1249.5</v>
      </c>
      <c r="H251" s="546"/>
      <c r="I251" s="546"/>
      <c r="J251" s="542" t="s">
        <v>806</v>
      </c>
      <c r="K251" s="547">
        <v>8820</v>
      </c>
      <c r="L251" s="542" t="s">
        <v>806</v>
      </c>
      <c r="M251" s="548"/>
      <c r="N251" s="549">
        <v>-348</v>
      </c>
      <c r="O251" s="544" t="s">
        <v>1674</v>
      </c>
      <c r="P251" s="544" t="s">
        <v>1674</v>
      </c>
      <c r="Q251" s="544" t="s">
        <v>2720</v>
      </c>
      <c r="R251" s="544" t="s">
        <v>1674</v>
      </c>
      <c r="S251" s="544" t="s">
        <v>1674</v>
      </c>
      <c r="T251" s="550">
        <v>19</v>
      </c>
      <c r="U251" s="544" t="s">
        <v>2714</v>
      </c>
      <c r="V251" s="547">
        <v>373</v>
      </c>
      <c r="W251" s="548"/>
      <c r="Y251" s="544" t="s">
        <v>1674</v>
      </c>
      <c r="AA251" s="544" t="s">
        <v>1674</v>
      </c>
      <c r="AE251" s="551"/>
      <c r="AF251" s="544" t="s">
        <v>1674</v>
      </c>
      <c r="AG251" s="544" t="s">
        <v>1674</v>
      </c>
      <c r="AH251" s="544" t="s">
        <v>1674</v>
      </c>
      <c r="AI251" s="544" t="s">
        <v>1674</v>
      </c>
      <c r="AJ251" s="544" t="s">
        <v>1674</v>
      </c>
      <c r="AK251" s="544" t="s">
        <v>1674</v>
      </c>
      <c r="AL251" s="544" t="s">
        <v>1674</v>
      </c>
      <c r="AM251" s="544" t="s">
        <v>1674</v>
      </c>
      <c r="AN251" s="544" t="s">
        <v>1674</v>
      </c>
      <c r="AP251" s="552">
        <f t="shared" si="3"/>
        <v>0</v>
      </c>
    </row>
    <row r="252" spans="1:42" outlineLevel="1" x14ac:dyDescent="0.25">
      <c r="A252" s="544" t="s">
        <v>1674</v>
      </c>
      <c r="B252" s="545">
        <v>0</v>
      </c>
      <c r="C252" s="544" t="s">
        <v>1674</v>
      </c>
      <c r="D252" s="544" t="s">
        <v>2717</v>
      </c>
      <c r="E252" s="542" t="s">
        <v>2662</v>
      </c>
      <c r="G252" s="546"/>
      <c r="H252" s="546">
        <v>942.48</v>
      </c>
      <c r="I252" s="546"/>
      <c r="J252" s="542" t="s">
        <v>806</v>
      </c>
      <c r="K252" s="547">
        <v>1200</v>
      </c>
      <c r="L252" s="542" t="s">
        <v>806</v>
      </c>
      <c r="M252" s="548"/>
      <c r="N252" s="549">
        <v>0</v>
      </c>
      <c r="O252" s="544" t="s">
        <v>1674</v>
      </c>
      <c r="P252" s="544" t="s">
        <v>1674</v>
      </c>
      <c r="Q252" s="544" t="s">
        <v>2663</v>
      </c>
      <c r="R252" s="544" t="s">
        <v>1674</v>
      </c>
      <c r="S252" s="544" t="s">
        <v>1674</v>
      </c>
      <c r="T252" s="550"/>
      <c r="U252" s="544" t="s">
        <v>2664</v>
      </c>
      <c r="V252" s="547">
        <v>831</v>
      </c>
      <c r="W252" s="548"/>
      <c r="Y252" s="544" t="s">
        <v>1674</v>
      </c>
      <c r="AA252" s="544" t="s">
        <v>1674</v>
      </c>
      <c r="AE252" s="551"/>
      <c r="AF252" s="544" t="s">
        <v>1674</v>
      </c>
      <c r="AG252" s="544" t="s">
        <v>1674</v>
      </c>
      <c r="AH252" s="544" t="s">
        <v>1674</v>
      </c>
      <c r="AI252" s="544" t="s">
        <v>1674</v>
      </c>
      <c r="AJ252" s="544" t="s">
        <v>1674</v>
      </c>
      <c r="AK252" s="544" t="s">
        <v>1674</v>
      </c>
      <c r="AL252" s="544" t="s">
        <v>1674</v>
      </c>
      <c r="AM252" s="544" t="s">
        <v>1674</v>
      </c>
      <c r="AN252" s="544" t="s">
        <v>1674</v>
      </c>
      <c r="AP252" s="552">
        <f t="shared" si="3"/>
        <v>0</v>
      </c>
    </row>
    <row r="253" spans="1:42" outlineLevel="1" x14ac:dyDescent="0.25">
      <c r="A253" s="544" t="s">
        <v>1674</v>
      </c>
      <c r="B253" s="545">
        <v>0</v>
      </c>
      <c r="C253" s="544" t="s">
        <v>1674</v>
      </c>
      <c r="D253" s="544" t="s">
        <v>2717</v>
      </c>
      <c r="E253" s="542" t="s">
        <v>2662</v>
      </c>
      <c r="G253" s="546"/>
      <c r="H253" s="546">
        <v>9.52</v>
      </c>
      <c r="I253" s="546"/>
      <c r="J253" s="542" t="s">
        <v>806</v>
      </c>
      <c r="K253" s="547">
        <v>8736</v>
      </c>
      <c r="L253" s="542" t="s">
        <v>806</v>
      </c>
      <c r="M253" s="548"/>
      <c r="N253" s="549">
        <v>0</v>
      </c>
      <c r="O253" s="544" t="s">
        <v>1674</v>
      </c>
      <c r="P253" s="544" t="s">
        <v>1674</v>
      </c>
      <c r="Q253" s="544" t="s">
        <v>2663</v>
      </c>
      <c r="R253" s="544" t="s">
        <v>1674</v>
      </c>
      <c r="S253" s="544" t="s">
        <v>1674</v>
      </c>
      <c r="T253" s="550">
        <v>19</v>
      </c>
      <c r="U253" s="544" t="s">
        <v>2664</v>
      </c>
      <c r="V253" s="547">
        <v>831</v>
      </c>
      <c r="W253" s="548"/>
      <c r="Y253" s="544" t="s">
        <v>1674</v>
      </c>
      <c r="AA253" s="544" t="s">
        <v>1674</v>
      </c>
      <c r="AE253" s="551"/>
      <c r="AF253" s="544" t="s">
        <v>1674</v>
      </c>
      <c r="AG253" s="544" t="s">
        <v>1674</v>
      </c>
      <c r="AH253" s="544" t="s">
        <v>1674</v>
      </c>
      <c r="AI253" s="544" t="s">
        <v>1674</v>
      </c>
      <c r="AJ253" s="544" t="s">
        <v>1674</v>
      </c>
      <c r="AK253" s="544" t="s">
        <v>1674</v>
      </c>
      <c r="AL253" s="544" t="s">
        <v>1674</v>
      </c>
      <c r="AM253" s="544" t="s">
        <v>1674</v>
      </c>
      <c r="AN253" s="544" t="s">
        <v>1674</v>
      </c>
      <c r="AP253" s="552">
        <f t="shared" si="3"/>
        <v>0</v>
      </c>
    </row>
    <row r="254" spans="1:42" outlineLevel="1" x14ac:dyDescent="0.25">
      <c r="A254" s="544" t="s">
        <v>1674</v>
      </c>
      <c r="B254" s="545">
        <v>0</v>
      </c>
      <c r="C254" s="544" t="s">
        <v>1674</v>
      </c>
      <c r="D254" s="544" t="s">
        <v>2717</v>
      </c>
      <c r="E254" s="542" t="s">
        <v>2665</v>
      </c>
      <c r="G254" s="546"/>
      <c r="H254" s="546">
        <v>942.48</v>
      </c>
      <c r="I254" s="546"/>
      <c r="J254" s="542" t="s">
        <v>806</v>
      </c>
      <c r="K254" s="547">
        <v>1200</v>
      </c>
      <c r="L254" s="542" t="s">
        <v>806</v>
      </c>
      <c r="M254" s="548"/>
      <c r="N254" s="549">
        <v>0</v>
      </c>
      <c r="O254" s="544" t="s">
        <v>1674</v>
      </c>
      <c r="P254" s="544" t="s">
        <v>1674</v>
      </c>
      <c r="Q254" s="544" t="s">
        <v>2666</v>
      </c>
      <c r="R254" s="544" t="s">
        <v>1674</v>
      </c>
      <c r="S254" s="544" t="s">
        <v>1674</v>
      </c>
      <c r="T254" s="550"/>
      <c r="U254" s="544" t="s">
        <v>2667</v>
      </c>
      <c r="V254" s="547">
        <v>1713</v>
      </c>
      <c r="W254" s="548"/>
      <c r="Y254" s="544" t="s">
        <v>1674</v>
      </c>
      <c r="AA254" s="544" t="s">
        <v>1674</v>
      </c>
      <c r="AE254" s="551"/>
      <c r="AF254" s="544" t="s">
        <v>1674</v>
      </c>
      <c r="AG254" s="544" t="s">
        <v>1674</v>
      </c>
      <c r="AH254" s="544" t="s">
        <v>1674</v>
      </c>
      <c r="AI254" s="544" t="s">
        <v>1674</v>
      </c>
      <c r="AJ254" s="544" t="s">
        <v>1674</v>
      </c>
      <c r="AK254" s="544" t="s">
        <v>1674</v>
      </c>
      <c r="AL254" s="544" t="s">
        <v>1674</v>
      </c>
      <c r="AM254" s="544" t="s">
        <v>1674</v>
      </c>
      <c r="AN254" s="544" t="s">
        <v>1674</v>
      </c>
      <c r="AP254" s="552">
        <f t="shared" si="3"/>
        <v>0</v>
      </c>
    </row>
    <row r="255" spans="1:42" outlineLevel="1" x14ac:dyDescent="0.25">
      <c r="A255" s="544" t="s">
        <v>1674</v>
      </c>
      <c r="B255" s="545">
        <v>0</v>
      </c>
      <c r="C255" s="544" t="s">
        <v>1674</v>
      </c>
      <c r="D255" s="544" t="s">
        <v>2717</v>
      </c>
      <c r="E255" s="542" t="s">
        <v>2665</v>
      </c>
      <c r="G255" s="546"/>
      <c r="H255" s="546">
        <v>9.52</v>
      </c>
      <c r="I255" s="546"/>
      <c r="J255" s="542" t="s">
        <v>806</v>
      </c>
      <c r="K255" s="547">
        <v>8736</v>
      </c>
      <c r="L255" s="542" t="s">
        <v>806</v>
      </c>
      <c r="M255" s="548"/>
      <c r="N255" s="549">
        <v>0</v>
      </c>
      <c r="O255" s="544" t="s">
        <v>1674</v>
      </c>
      <c r="P255" s="544" t="s">
        <v>1674</v>
      </c>
      <c r="Q255" s="544" t="s">
        <v>2666</v>
      </c>
      <c r="R255" s="544" t="s">
        <v>1674</v>
      </c>
      <c r="S255" s="544" t="s">
        <v>1674</v>
      </c>
      <c r="T255" s="550">
        <v>19</v>
      </c>
      <c r="U255" s="544" t="s">
        <v>2667</v>
      </c>
      <c r="V255" s="547">
        <v>1713</v>
      </c>
      <c r="W255" s="548"/>
      <c r="Y255" s="544" t="s">
        <v>1674</v>
      </c>
      <c r="AA255" s="544" t="s">
        <v>1674</v>
      </c>
      <c r="AE255" s="551"/>
      <c r="AF255" s="544" t="s">
        <v>1674</v>
      </c>
      <c r="AG255" s="544" t="s">
        <v>1674</v>
      </c>
      <c r="AH255" s="544" t="s">
        <v>1674</v>
      </c>
      <c r="AI255" s="544" t="s">
        <v>1674</v>
      </c>
      <c r="AJ255" s="544" t="s">
        <v>1674</v>
      </c>
      <c r="AK255" s="544" t="s">
        <v>1674</v>
      </c>
      <c r="AL255" s="544" t="s">
        <v>1674</v>
      </c>
      <c r="AM255" s="544" t="s">
        <v>1674</v>
      </c>
      <c r="AN255" s="544" t="s">
        <v>1674</v>
      </c>
      <c r="AP255" s="552">
        <f t="shared" si="3"/>
        <v>0</v>
      </c>
    </row>
    <row r="256" spans="1:42" outlineLevel="1" x14ac:dyDescent="0.25">
      <c r="A256" s="544" t="s">
        <v>1674</v>
      </c>
      <c r="B256" s="545">
        <v>0</v>
      </c>
      <c r="C256" s="544" t="s">
        <v>1674</v>
      </c>
      <c r="D256" s="544" t="s">
        <v>2717</v>
      </c>
      <c r="E256" s="542" t="s">
        <v>2668</v>
      </c>
      <c r="G256" s="546"/>
      <c r="H256" s="546">
        <v>942.48</v>
      </c>
      <c r="I256" s="546"/>
      <c r="J256" s="542" t="s">
        <v>806</v>
      </c>
      <c r="K256" s="547">
        <v>1200</v>
      </c>
      <c r="L256" s="542" t="s">
        <v>806</v>
      </c>
      <c r="M256" s="548"/>
      <c r="N256" s="549">
        <v>0</v>
      </c>
      <c r="O256" s="544" t="s">
        <v>1674</v>
      </c>
      <c r="P256" s="544" t="s">
        <v>1674</v>
      </c>
      <c r="Q256" s="544" t="s">
        <v>2669</v>
      </c>
      <c r="R256" s="544" t="s">
        <v>1674</v>
      </c>
      <c r="S256" s="544" t="s">
        <v>1674</v>
      </c>
      <c r="T256" s="550"/>
      <c r="U256" s="544" t="s">
        <v>2670</v>
      </c>
      <c r="V256" s="547">
        <v>1608</v>
      </c>
      <c r="W256" s="548"/>
      <c r="Y256" s="544" t="s">
        <v>1674</v>
      </c>
      <c r="AA256" s="544" t="s">
        <v>1674</v>
      </c>
      <c r="AE256" s="551"/>
      <c r="AF256" s="544" t="s">
        <v>1674</v>
      </c>
      <c r="AG256" s="544" t="s">
        <v>1674</v>
      </c>
      <c r="AH256" s="544" t="s">
        <v>1674</v>
      </c>
      <c r="AI256" s="544" t="s">
        <v>1674</v>
      </c>
      <c r="AJ256" s="544" t="s">
        <v>1674</v>
      </c>
      <c r="AK256" s="544" t="s">
        <v>1674</v>
      </c>
      <c r="AL256" s="544" t="s">
        <v>1674</v>
      </c>
      <c r="AM256" s="544" t="s">
        <v>1674</v>
      </c>
      <c r="AN256" s="544" t="s">
        <v>1674</v>
      </c>
      <c r="AP256" s="552">
        <f t="shared" si="3"/>
        <v>0</v>
      </c>
    </row>
    <row r="257" spans="1:42" outlineLevel="1" x14ac:dyDescent="0.25">
      <c r="A257" s="544" t="s">
        <v>1674</v>
      </c>
      <c r="B257" s="545">
        <v>0</v>
      </c>
      <c r="C257" s="544" t="s">
        <v>1674</v>
      </c>
      <c r="D257" s="544" t="s">
        <v>2717</v>
      </c>
      <c r="E257" s="542" t="s">
        <v>2668</v>
      </c>
      <c r="G257" s="546"/>
      <c r="H257" s="546">
        <v>9.52</v>
      </c>
      <c r="I257" s="546"/>
      <c r="J257" s="542" t="s">
        <v>806</v>
      </c>
      <c r="K257" s="547">
        <v>8736</v>
      </c>
      <c r="L257" s="542" t="s">
        <v>806</v>
      </c>
      <c r="M257" s="548"/>
      <c r="N257" s="549">
        <v>0</v>
      </c>
      <c r="O257" s="544" t="s">
        <v>1674</v>
      </c>
      <c r="P257" s="544" t="s">
        <v>1674</v>
      </c>
      <c r="Q257" s="544" t="s">
        <v>2669</v>
      </c>
      <c r="R257" s="544" t="s">
        <v>1674</v>
      </c>
      <c r="S257" s="544" t="s">
        <v>1674</v>
      </c>
      <c r="T257" s="550">
        <v>19</v>
      </c>
      <c r="U257" s="544" t="s">
        <v>2670</v>
      </c>
      <c r="V257" s="547">
        <v>1608</v>
      </c>
      <c r="W257" s="548"/>
      <c r="Y257" s="544" t="s">
        <v>1674</v>
      </c>
      <c r="AA257" s="544" t="s">
        <v>1674</v>
      </c>
      <c r="AE257" s="551"/>
      <c r="AF257" s="544" t="s">
        <v>1674</v>
      </c>
      <c r="AG257" s="544" t="s">
        <v>1674</v>
      </c>
      <c r="AH257" s="544" t="s">
        <v>1674</v>
      </c>
      <c r="AI257" s="544" t="s">
        <v>1674</v>
      </c>
      <c r="AJ257" s="544" t="s">
        <v>1674</v>
      </c>
      <c r="AK257" s="544" t="s">
        <v>1674</v>
      </c>
      <c r="AL257" s="544" t="s">
        <v>1674</v>
      </c>
      <c r="AM257" s="544" t="s">
        <v>1674</v>
      </c>
      <c r="AN257" s="544" t="s">
        <v>1674</v>
      </c>
      <c r="AP257" s="552">
        <f t="shared" si="3"/>
        <v>0</v>
      </c>
    </row>
    <row r="258" spans="1:42" outlineLevel="1" x14ac:dyDescent="0.25">
      <c r="A258" s="544" t="s">
        <v>1674</v>
      </c>
      <c r="B258" s="545">
        <v>0</v>
      </c>
      <c r="C258" s="544" t="s">
        <v>1674</v>
      </c>
      <c r="D258" s="544" t="s">
        <v>2717</v>
      </c>
      <c r="E258" s="542" t="s">
        <v>2671</v>
      </c>
      <c r="G258" s="546"/>
      <c r="H258" s="546">
        <v>942.48</v>
      </c>
      <c r="I258" s="546"/>
      <c r="J258" s="542" t="s">
        <v>806</v>
      </c>
      <c r="K258" s="547">
        <v>1200</v>
      </c>
      <c r="L258" s="542" t="s">
        <v>806</v>
      </c>
      <c r="M258" s="548"/>
      <c r="N258" s="549">
        <v>0</v>
      </c>
      <c r="O258" s="544" t="s">
        <v>1674</v>
      </c>
      <c r="P258" s="544" t="s">
        <v>1674</v>
      </c>
      <c r="Q258" s="544" t="s">
        <v>2672</v>
      </c>
      <c r="R258" s="544" t="s">
        <v>1674</v>
      </c>
      <c r="S258" s="544" t="s">
        <v>1674</v>
      </c>
      <c r="T258" s="550"/>
      <c r="U258" s="544" t="s">
        <v>2673</v>
      </c>
      <c r="V258" s="547">
        <v>1680</v>
      </c>
      <c r="W258" s="548"/>
      <c r="Y258" s="544" t="s">
        <v>1674</v>
      </c>
      <c r="AA258" s="544" t="s">
        <v>1674</v>
      </c>
      <c r="AE258" s="551"/>
      <c r="AF258" s="544" t="s">
        <v>1674</v>
      </c>
      <c r="AG258" s="544" t="s">
        <v>1674</v>
      </c>
      <c r="AH258" s="544" t="s">
        <v>1674</v>
      </c>
      <c r="AI258" s="544" t="s">
        <v>1674</v>
      </c>
      <c r="AJ258" s="544" t="s">
        <v>1674</v>
      </c>
      <c r="AK258" s="544" t="s">
        <v>1674</v>
      </c>
      <c r="AL258" s="544" t="s">
        <v>1674</v>
      </c>
      <c r="AM258" s="544" t="s">
        <v>1674</v>
      </c>
      <c r="AN258" s="544" t="s">
        <v>1674</v>
      </c>
      <c r="AP258" s="552">
        <f t="shared" si="3"/>
        <v>0</v>
      </c>
    </row>
    <row r="259" spans="1:42" outlineLevel="1" x14ac:dyDescent="0.25">
      <c r="A259" s="544" t="s">
        <v>1674</v>
      </c>
      <c r="B259" s="545">
        <v>0</v>
      </c>
      <c r="C259" s="544" t="s">
        <v>1674</v>
      </c>
      <c r="D259" s="544" t="s">
        <v>2717</v>
      </c>
      <c r="E259" s="542" t="s">
        <v>2671</v>
      </c>
      <c r="G259" s="546"/>
      <c r="H259" s="546">
        <v>9.52</v>
      </c>
      <c r="I259" s="546"/>
      <c r="J259" s="542" t="s">
        <v>806</v>
      </c>
      <c r="K259" s="547">
        <v>8736</v>
      </c>
      <c r="L259" s="542" t="s">
        <v>806</v>
      </c>
      <c r="M259" s="548"/>
      <c r="N259" s="549">
        <v>0</v>
      </c>
      <c r="O259" s="544" t="s">
        <v>1674</v>
      </c>
      <c r="P259" s="544" t="s">
        <v>1674</v>
      </c>
      <c r="Q259" s="544" t="s">
        <v>2672</v>
      </c>
      <c r="R259" s="544" t="s">
        <v>1674</v>
      </c>
      <c r="S259" s="544" t="s">
        <v>1674</v>
      </c>
      <c r="T259" s="550">
        <v>19</v>
      </c>
      <c r="U259" s="544" t="s">
        <v>2673</v>
      </c>
      <c r="V259" s="547">
        <v>1680</v>
      </c>
      <c r="W259" s="548"/>
      <c r="Y259" s="544" t="s">
        <v>1674</v>
      </c>
      <c r="AA259" s="544" t="s">
        <v>1674</v>
      </c>
      <c r="AE259" s="551"/>
      <c r="AF259" s="544" t="s">
        <v>1674</v>
      </c>
      <c r="AG259" s="544" t="s">
        <v>1674</v>
      </c>
      <c r="AH259" s="544" t="s">
        <v>1674</v>
      </c>
      <c r="AI259" s="544" t="s">
        <v>1674</v>
      </c>
      <c r="AJ259" s="544" t="s">
        <v>1674</v>
      </c>
      <c r="AK259" s="544" t="s">
        <v>1674</v>
      </c>
      <c r="AL259" s="544" t="s">
        <v>1674</v>
      </c>
      <c r="AM259" s="544" t="s">
        <v>1674</v>
      </c>
      <c r="AN259" s="544" t="s">
        <v>1674</v>
      </c>
      <c r="AP259" s="552">
        <f t="shared" ref="AP259:AP322" si="4">IF(J259="S",+I259,-I259)</f>
        <v>0</v>
      </c>
    </row>
    <row r="260" spans="1:42" outlineLevel="1" x14ac:dyDescent="0.25">
      <c r="A260" s="544" t="s">
        <v>1674</v>
      </c>
      <c r="B260" s="545">
        <v>0</v>
      </c>
      <c r="C260" s="544" t="s">
        <v>1674</v>
      </c>
      <c r="D260" s="544" t="s">
        <v>2717</v>
      </c>
      <c r="E260" s="542" t="s">
        <v>2674</v>
      </c>
      <c r="G260" s="546"/>
      <c r="H260" s="546">
        <v>942.48</v>
      </c>
      <c r="I260" s="546"/>
      <c r="J260" s="542" t="s">
        <v>806</v>
      </c>
      <c r="K260" s="547">
        <v>1200</v>
      </c>
      <c r="L260" s="542" t="s">
        <v>806</v>
      </c>
      <c r="M260" s="548"/>
      <c r="N260" s="549">
        <v>0</v>
      </c>
      <c r="O260" s="544" t="s">
        <v>1674</v>
      </c>
      <c r="P260" s="544" t="s">
        <v>1674</v>
      </c>
      <c r="Q260" s="544" t="s">
        <v>2675</v>
      </c>
      <c r="R260" s="544" t="s">
        <v>1674</v>
      </c>
      <c r="S260" s="544" t="s">
        <v>1674</v>
      </c>
      <c r="T260" s="550"/>
      <c r="U260" s="544" t="s">
        <v>2676</v>
      </c>
      <c r="V260" s="547">
        <v>1535</v>
      </c>
      <c r="W260" s="548"/>
      <c r="Y260" s="544" t="s">
        <v>1674</v>
      </c>
      <c r="AA260" s="544" t="s">
        <v>1674</v>
      </c>
      <c r="AE260" s="551"/>
      <c r="AF260" s="544" t="s">
        <v>1674</v>
      </c>
      <c r="AG260" s="544" t="s">
        <v>1674</v>
      </c>
      <c r="AH260" s="544" t="s">
        <v>1674</v>
      </c>
      <c r="AI260" s="544" t="s">
        <v>1674</v>
      </c>
      <c r="AJ260" s="544" t="s">
        <v>1674</v>
      </c>
      <c r="AK260" s="544" t="s">
        <v>1674</v>
      </c>
      <c r="AL260" s="544" t="s">
        <v>1674</v>
      </c>
      <c r="AM260" s="544" t="s">
        <v>1674</v>
      </c>
      <c r="AN260" s="544" t="s">
        <v>1674</v>
      </c>
      <c r="AP260" s="552">
        <f t="shared" si="4"/>
        <v>0</v>
      </c>
    </row>
    <row r="261" spans="1:42" outlineLevel="1" x14ac:dyDescent="0.25">
      <c r="A261" s="544" t="s">
        <v>1674</v>
      </c>
      <c r="B261" s="545">
        <v>0</v>
      </c>
      <c r="C261" s="544" t="s">
        <v>1674</v>
      </c>
      <c r="D261" s="544" t="s">
        <v>2717</v>
      </c>
      <c r="E261" s="542" t="s">
        <v>2674</v>
      </c>
      <c r="G261" s="546"/>
      <c r="H261" s="546">
        <v>9.52</v>
      </c>
      <c r="I261" s="546"/>
      <c r="J261" s="542" t="s">
        <v>806</v>
      </c>
      <c r="K261" s="547">
        <v>8736</v>
      </c>
      <c r="L261" s="542" t="s">
        <v>806</v>
      </c>
      <c r="M261" s="548"/>
      <c r="N261" s="549">
        <v>0</v>
      </c>
      <c r="O261" s="544" t="s">
        <v>1674</v>
      </c>
      <c r="P261" s="544" t="s">
        <v>1674</v>
      </c>
      <c r="Q261" s="544" t="s">
        <v>2675</v>
      </c>
      <c r="R261" s="544" t="s">
        <v>1674</v>
      </c>
      <c r="S261" s="544" t="s">
        <v>1674</v>
      </c>
      <c r="T261" s="550">
        <v>19</v>
      </c>
      <c r="U261" s="544" t="s">
        <v>2676</v>
      </c>
      <c r="V261" s="547">
        <v>1535</v>
      </c>
      <c r="W261" s="548"/>
      <c r="Y261" s="544" t="s">
        <v>1674</v>
      </c>
      <c r="AA261" s="544" t="s">
        <v>1674</v>
      </c>
      <c r="AE261" s="551"/>
      <c r="AF261" s="544" t="s">
        <v>1674</v>
      </c>
      <c r="AG261" s="544" t="s">
        <v>1674</v>
      </c>
      <c r="AH261" s="544" t="s">
        <v>1674</v>
      </c>
      <c r="AI261" s="544" t="s">
        <v>1674</v>
      </c>
      <c r="AJ261" s="544" t="s">
        <v>1674</v>
      </c>
      <c r="AK261" s="544" t="s">
        <v>1674</v>
      </c>
      <c r="AL261" s="544" t="s">
        <v>1674</v>
      </c>
      <c r="AM261" s="544" t="s">
        <v>1674</v>
      </c>
      <c r="AN261" s="544" t="s">
        <v>1674</v>
      </c>
      <c r="AP261" s="552">
        <f t="shared" si="4"/>
        <v>0</v>
      </c>
    </row>
    <row r="262" spans="1:42" outlineLevel="1" x14ac:dyDescent="0.25">
      <c r="A262" s="544" t="s">
        <v>1674</v>
      </c>
      <c r="B262" s="545">
        <v>0</v>
      </c>
      <c r="C262" s="544" t="s">
        <v>1674</v>
      </c>
      <c r="D262" s="544" t="s">
        <v>2717</v>
      </c>
      <c r="E262" s="542" t="s">
        <v>2677</v>
      </c>
      <c r="G262" s="546"/>
      <c r="H262" s="546">
        <v>942.48</v>
      </c>
      <c r="I262" s="546"/>
      <c r="J262" s="542" t="s">
        <v>806</v>
      </c>
      <c r="K262" s="547">
        <v>1200</v>
      </c>
      <c r="L262" s="542" t="s">
        <v>806</v>
      </c>
      <c r="M262" s="548"/>
      <c r="N262" s="549">
        <v>0</v>
      </c>
      <c r="O262" s="544" t="s">
        <v>1674</v>
      </c>
      <c r="P262" s="544" t="s">
        <v>1674</v>
      </c>
      <c r="Q262" s="544" t="s">
        <v>2678</v>
      </c>
      <c r="R262" s="544" t="s">
        <v>1674</v>
      </c>
      <c r="S262" s="544" t="s">
        <v>1674</v>
      </c>
      <c r="T262" s="550"/>
      <c r="U262" s="544" t="s">
        <v>2679</v>
      </c>
      <c r="V262" s="547">
        <v>1750</v>
      </c>
      <c r="W262" s="548"/>
      <c r="Y262" s="544" t="s">
        <v>1674</v>
      </c>
      <c r="AA262" s="544" t="s">
        <v>1674</v>
      </c>
      <c r="AE262" s="551"/>
      <c r="AF262" s="544" t="s">
        <v>1674</v>
      </c>
      <c r="AG262" s="544" t="s">
        <v>1674</v>
      </c>
      <c r="AH262" s="544" t="s">
        <v>1674</v>
      </c>
      <c r="AI262" s="544" t="s">
        <v>1674</v>
      </c>
      <c r="AJ262" s="544" t="s">
        <v>1674</v>
      </c>
      <c r="AK262" s="544" t="s">
        <v>1674</v>
      </c>
      <c r="AL262" s="544" t="s">
        <v>1674</v>
      </c>
      <c r="AM262" s="544" t="s">
        <v>1674</v>
      </c>
      <c r="AN262" s="544" t="s">
        <v>1674</v>
      </c>
      <c r="AP262" s="552">
        <f t="shared" si="4"/>
        <v>0</v>
      </c>
    </row>
    <row r="263" spans="1:42" outlineLevel="1" x14ac:dyDescent="0.25">
      <c r="A263" s="544" t="s">
        <v>1674</v>
      </c>
      <c r="B263" s="545">
        <v>0</v>
      </c>
      <c r="C263" s="544" t="s">
        <v>1674</v>
      </c>
      <c r="D263" s="544" t="s">
        <v>2717</v>
      </c>
      <c r="E263" s="542" t="s">
        <v>2677</v>
      </c>
      <c r="G263" s="546"/>
      <c r="H263" s="546">
        <v>9.52</v>
      </c>
      <c r="I263" s="546"/>
      <c r="J263" s="542" t="s">
        <v>806</v>
      </c>
      <c r="K263" s="547">
        <v>8736</v>
      </c>
      <c r="L263" s="542" t="s">
        <v>806</v>
      </c>
      <c r="M263" s="548"/>
      <c r="N263" s="549">
        <v>0</v>
      </c>
      <c r="O263" s="544" t="s">
        <v>1674</v>
      </c>
      <c r="P263" s="544" t="s">
        <v>1674</v>
      </c>
      <c r="Q263" s="544" t="s">
        <v>2678</v>
      </c>
      <c r="R263" s="544" t="s">
        <v>1674</v>
      </c>
      <c r="S263" s="544" t="s">
        <v>1674</v>
      </c>
      <c r="T263" s="550">
        <v>19</v>
      </c>
      <c r="U263" s="544" t="s">
        <v>2679</v>
      </c>
      <c r="V263" s="547">
        <v>1750</v>
      </c>
      <c r="W263" s="548"/>
      <c r="Y263" s="544" t="s">
        <v>1674</v>
      </c>
      <c r="AA263" s="544" t="s">
        <v>1674</v>
      </c>
      <c r="AE263" s="551"/>
      <c r="AF263" s="544" t="s">
        <v>1674</v>
      </c>
      <c r="AG263" s="544" t="s">
        <v>1674</v>
      </c>
      <c r="AH263" s="544" t="s">
        <v>1674</v>
      </c>
      <c r="AI263" s="544" t="s">
        <v>1674</v>
      </c>
      <c r="AJ263" s="544" t="s">
        <v>1674</v>
      </c>
      <c r="AK263" s="544" t="s">
        <v>1674</v>
      </c>
      <c r="AL263" s="544" t="s">
        <v>1674</v>
      </c>
      <c r="AM263" s="544" t="s">
        <v>1674</v>
      </c>
      <c r="AN263" s="544" t="s">
        <v>1674</v>
      </c>
      <c r="AP263" s="552">
        <f t="shared" si="4"/>
        <v>0</v>
      </c>
    </row>
    <row r="264" spans="1:42" outlineLevel="1" x14ac:dyDescent="0.25">
      <c r="A264" s="544" t="s">
        <v>1674</v>
      </c>
      <c r="B264" s="545">
        <v>0</v>
      </c>
      <c r="C264" s="544" t="s">
        <v>1674</v>
      </c>
      <c r="D264" s="544" t="s">
        <v>2717</v>
      </c>
      <c r="E264" s="542" t="s">
        <v>2680</v>
      </c>
      <c r="G264" s="546"/>
      <c r="H264" s="546">
        <v>942.48</v>
      </c>
      <c r="I264" s="546"/>
      <c r="J264" s="542" t="s">
        <v>806</v>
      </c>
      <c r="K264" s="547">
        <v>1200</v>
      </c>
      <c r="L264" s="542" t="s">
        <v>806</v>
      </c>
      <c r="M264" s="548"/>
      <c r="N264" s="549">
        <v>0</v>
      </c>
      <c r="O264" s="544" t="s">
        <v>1674</v>
      </c>
      <c r="P264" s="544" t="s">
        <v>1674</v>
      </c>
      <c r="Q264" s="544" t="s">
        <v>2681</v>
      </c>
      <c r="R264" s="544" t="s">
        <v>1674</v>
      </c>
      <c r="S264" s="544" t="s">
        <v>1674</v>
      </c>
      <c r="T264" s="550"/>
      <c r="U264" s="544" t="s">
        <v>2682</v>
      </c>
      <c r="V264" s="547">
        <v>1626</v>
      </c>
      <c r="W264" s="548"/>
      <c r="Y264" s="544" t="s">
        <v>1674</v>
      </c>
      <c r="AA264" s="544" t="s">
        <v>1674</v>
      </c>
      <c r="AE264" s="551"/>
      <c r="AF264" s="544" t="s">
        <v>1674</v>
      </c>
      <c r="AG264" s="544" t="s">
        <v>1674</v>
      </c>
      <c r="AH264" s="544" t="s">
        <v>1674</v>
      </c>
      <c r="AI264" s="544" t="s">
        <v>1674</v>
      </c>
      <c r="AJ264" s="544" t="s">
        <v>1674</v>
      </c>
      <c r="AK264" s="544" t="s">
        <v>1674</v>
      </c>
      <c r="AL264" s="544" t="s">
        <v>1674</v>
      </c>
      <c r="AM264" s="544" t="s">
        <v>1674</v>
      </c>
      <c r="AN264" s="544" t="s">
        <v>1674</v>
      </c>
      <c r="AP264" s="552">
        <f t="shared" si="4"/>
        <v>0</v>
      </c>
    </row>
    <row r="265" spans="1:42" outlineLevel="1" x14ac:dyDescent="0.25">
      <c r="A265" s="544" t="s">
        <v>1674</v>
      </c>
      <c r="B265" s="545">
        <v>0</v>
      </c>
      <c r="C265" s="544" t="s">
        <v>1674</v>
      </c>
      <c r="D265" s="544" t="s">
        <v>2717</v>
      </c>
      <c r="E265" s="542" t="s">
        <v>2680</v>
      </c>
      <c r="G265" s="546"/>
      <c r="H265" s="546">
        <v>9.52</v>
      </c>
      <c r="I265" s="546"/>
      <c r="J265" s="542" t="s">
        <v>806</v>
      </c>
      <c r="K265" s="547">
        <v>8736</v>
      </c>
      <c r="L265" s="542" t="s">
        <v>806</v>
      </c>
      <c r="M265" s="548"/>
      <c r="N265" s="549">
        <v>0</v>
      </c>
      <c r="O265" s="544" t="s">
        <v>1674</v>
      </c>
      <c r="P265" s="544" t="s">
        <v>1674</v>
      </c>
      <c r="Q265" s="544" t="s">
        <v>2681</v>
      </c>
      <c r="R265" s="544" t="s">
        <v>1674</v>
      </c>
      <c r="S265" s="544" t="s">
        <v>1674</v>
      </c>
      <c r="T265" s="550">
        <v>19</v>
      </c>
      <c r="U265" s="544" t="s">
        <v>2682</v>
      </c>
      <c r="V265" s="547">
        <v>1626</v>
      </c>
      <c r="W265" s="548"/>
      <c r="Y265" s="544" t="s">
        <v>1674</v>
      </c>
      <c r="AA265" s="544" t="s">
        <v>1674</v>
      </c>
      <c r="AE265" s="551"/>
      <c r="AF265" s="544" t="s">
        <v>1674</v>
      </c>
      <c r="AG265" s="544" t="s">
        <v>1674</v>
      </c>
      <c r="AH265" s="544" t="s">
        <v>1674</v>
      </c>
      <c r="AI265" s="544" t="s">
        <v>1674</v>
      </c>
      <c r="AJ265" s="544" t="s">
        <v>1674</v>
      </c>
      <c r="AK265" s="544" t="s">
        <v>1674</v>
      </c>
      <c r="AL265" s="544" t="s">
        <v>1674</v>
      </c>
      <c r="AM265" s="544" t="s">
        <v>1674</v>
      </c>
      <c r="AN265" s="544" t="s">
        <v>1674</v>
      </c>
      <c r="AP265" s="552">
        <f t="shared" si="4"/>
        <v>0</v>
      </c>
    </row>
    <row r="266" spans="1:42" outlineLevel="1" x14ac:dyDescent="0.25">
      <c r="A266" s="544" t="s">
        <v>1674</v>
      </c>
      <c r="B266" s="545">
        <v>0</v>
      </c>
      <c r="C266" s="544" t="s">
        <v>1674</v>
      </c>
      <c r="D266" s="544" t="s">
        <v>2717</v>
      </c>
      <c r="E266" s="542" t="s">
        <v>2683</v>
      </c>
      <c r="G266" s="546"/>
      <c r="H266" s="546">
        <v>942.48</v>
      </c>
      <c r="I266" s="546"/>
      <c r="J266" s="542" t="s">
        <v>806</v>
      </c>
      <c r="K266" s="547">
        <v>1200</v>
      </c>
      <c r="L266" s="542" t="s">
        <v>806</v>
      </c>
      <c r="M266" s="548"/>
      <c r="N266" s="549">
        <v>0</v>
      </c>
      <c r="O266" s="544" t="s">
        <v>1674</v>
      </c>
      <c r="P266" s="544" t="s">
        <v>1674</v>
      </c>
      <c r="Q266" s="544" t="s">
        <v>2684</v>
      </c>
      <c r="R266" s="544" t="s">
        <v>1674</v>
      </c>
      <c r="S266" s="544" t="s">
        <v>1674</v>
      </c>
      <c r="T266" s="550"/>
      <c r="U266" s="544" t="s">
        <v>2685</v>
      </c>
      <c r="V266" s="547">
        <v>1705</v>
      </c>
      <c r="W266" s="548"/>
      <c r="Y266" s="544" t="s">
        <v>1674</v>
      </c>
      <c r="AA266" s="544" t="s">
        <v>1674</v>
      </c>
      <c r="AE266" s="551"/>
      <c r="AF266" s="544" t="s">
        <v>1674</v>
      </c>
      <c r="AG266" s="544" t="s">
        <v>1674</v>
      </c>
      <c r="AH266" s="544" t="s">
        <v>1674</v>
      </c>
      <c r="AI266" s="544" t="s">
        <v>1674</v>
      </c>
      <c r="AJ266" s="544" t="s">
        <v>1674</v>
      </c>
      <c r="AK266" s="544" t="s">
        <v>1674</v>
      </c>
      <c r="AL266" s="544" t="s">
        <v>1674</v>
      </c>
      <c r="AM266" s="544" t="s">
        <v>1674</v>
      </c>
      <c r="AN266" s="544" t="s">
        <v>1674</v>
      </c>
      <c r="AP266" s="552">
        <f t="shared" si="4"/>
        <v>0</v>
      </c>
    </row>
    <row r="267" spans="1:42" outlineLevel="1" x14ac:dyDescent="0.25">
      <c r="A267" s="544" t="s">
        <v>1674</v>
      </c>
      <c r="B267" s="545">
        <v>0</v>
      </c>
      <c r="C267" s="544" t="s">
        <v>1674</v>
      </c>
      <c r="D267" s="544" t="s">
        <v>2717</v>
      </c>
      <c r="E267" s="542" t="s">
        <v>2683</v>
      </c>
      <c r="G267" s="546"/>
      <c r="H267" s="546">
        <v>9.52</v>
      </c>
      <c r="I267" s="546"/>
      <c r="J267" s="542" t="s">
        <v>806</v>
      </c>
      <c r="K267" s="547">
        <v>8736</v>
      </c>
      <c r="L267" s="542" t="s">
        <v>806</v>
      </c>
      <c r="M267" s="548"/>
      <c r="N267" s="549">
        <v>0</v>
      </c>
      <c r="O267" s="544" t="s">
        <v>1674</v>
      </c>
      <c r="P267" s="544" t="s">
        <v>1674</v>
      </c>
      <c r="Q267" s="544" t="s">
        <v>2684</v>
      </c>
      <c r="R267" s="544" t="s">
        <v>1674</v>
      </c>
      <c r="S267" s="544" t="s">
        <v>1674</v>
      </c>
      <c r="T267" s="550">
        <v>19</v>
      </c>
      <c r="U267" s="544" t="s">
        <v>2685</v>
      </c>
      <c r="V267" s="547">
        <v>1705</v>
      </c>
      <c r="W267" s="548"/>
      <c r="Y267" s="544" t="s">
        <v>1674</v>
      </c>
      <c r="AA267" s="544" t="s">
        <v>1674</v>
      </c>
      <c r="AE267" s="551"/>
      <c r="AF267" s="544" t="s">
        <v>1674</v>
      </c>
      <c r="AG267" s="544" t="s">
        <v>1674</v>
      </c>
      <c r="AH267" s="544" t="s">
        <v>1674</v>
      </c>
      <c r="AI267" s="544" t="s">
        <v>1674</v>
      </c>
      <c r="AJ267" s="544" t="s">
        <v>1674</v>
      </c>
      <c r="AK267" s="544" t="s">
        <v>1674</v>
      </c>
      <c r="AL267" s="544" t="s">
        <v>1674</v>
      </c>
      <c r="AM267" s="544" t="s">
        <v>1674</v>
      </c>
      <c r="AN267" s="544" t="s">
        <v>1674</v>
      </c>
      <c r="AP267" s="552">
        <f t="shared" si="4"/>
        <v>0</v>
      </c>
    </row>
    <row r="268" spans="1:42" outlineLevel="1" x14ac:dyDescent="0.25">
      <c r="A268" s="544" t="s">
        <v>1674</v>
      </c>
      <c r="B268" s="545">
        <v>0</v>
      </c>
      <c r="C268" s="544" t="s">
        <v>1674</v>
      </c>
      <c r="D268" s="544" t="s">
        <v>2717</v>
      </c>
      <c r="E268" s="542" t="s">
        <v>2686</v>
      </c>
      <c r="G268" s="546"/>
      <c r="H268" s="546">
        <v>942.48</v>
      </c>
      <c r="I268" s="546"/>
      <c r="J268" s="542" t="s">
        <v>806</v>
      </c>
      <c r="K268" s="547">
        <v>1200</v>
      </c>
      <c r="L268" s="542" t="s">
        <v>806</v>
      </c>
      <c r="M268" s="548"/>
      <c r="N268" s="549">
        <v>0</v>
      </c>
      <c r="O268" s="544" t="s">
        <v>1674</v>
      </c>
      <c r="P268" s="544" t="s">
        <v>1674</v>
      </c>
      <c r="Q268" s="544" t="s">
        <v>2687</v>
      </c>
      <c r="R268" s="544" t="s">
        <v>1674</v>
      </c>
      <c r="S268" s="544" t="s">
        <v>1674</v>
      </c>
      <c r="T268" s="550"/>
      <c r="U268" s="544" t="s">
        <v>2688</v>
      </c>
      <c r="V268" s="547">
        <v>1504</v>
      </c>
      <c r="W268" s="548"/>
      <c r="Y268" s="544" t="s">
        <v>1674</v>
      </c>
      <c r="AA268" s="544" t="s">
        <v>1674</v>
      </c>
      <c r="AE268" s="551"/>
      <c r="AF268" s="544" t="s">
        <v>1674</v>
      </c>
      <c r="AG268" s="544" t="s">
        <v>1674</v>
      </c>
      <c r="AH268" s="544" t="s">
        <v>1674</v>
      </c>
      <c r="AI268" s="544" t="s">
        <v>1674</v>
      </c>
      <c r="AJ268" s="544" t="s">
        <v>1674</v>
      </c>
      <c r="AK268" s="544" t="s">
        <v>1674</v>
      </c>
      <c r="AL268" s="544" t="s">
        <v>1674</v>
      </c>
      <c r="AM268" s="544" t="s">
        <v>1674</v>
      </c>
      <c r="AN268" s="544" t="s">
        <v>1674</v>
      </c>
      <c r="AP268" s="552">
        <f t="shared" si="4"/>
        <v>0</v>
      </c>
    </row>
    <row r="269" spans="1:42" outlineLevel="1" x14ac:dyDescent="0.25">
      <c r="A269" s="544" t="s">
        <v>1674</v>
      </c>
      <c r="B269" s="545">
        <v>0</v>
      </c>
      <c r="C269" s="544" t="s">
        <v>1674</v>
      </c>
      <c r="D269" s="544" t="s">
        <v>2717</v>
      </c>
      <c r="E269" s="542" t="s">
        <v>2686</v>
      </c>
      <c r="G269" s="546"/>
      <c r="H269" s="546">
        <v>9.52</v>
      </c>
      <c r="I269" s="546"/>
      <c r="J269" s="542" t="s">
        <v>806</v>
      </c>
      <c r="K269" s="547">
        <v>8736</v>
      </c>
      <c r="L269" s="542" t="s">
        <v>806</v>
      </c>
      <c r="M269" s="548"/>
      <c r="N269" s="549">
        <v>0</v>
      </c>
      <c r="O269" s="544" t="s">
        <v>1674</v>
      </c>
      <c r="P269" s="544" t="s">
        <v>1674</v>
      </c>
      <c r="Q269" s="544" t="s">
        <v>2687</v>
      </c>
      <c r="R269" s="544" t="s">
        <v>1674</v>
      </c>
      <c r="S269" s="544" t="s">
        <v>1674</v>
      </c>
      <c r="T269" s="550">
        <v>19</v>
      </c>
      <c r="U269" s="544" t="s">
        <v>2688</v>
      </c>
      <c r="V269" s="547">
        <v>1504</v>
      </c>
      <c r="W269" s="548"/>
      <c r="Y269" s="544" t="s">
        <v>1674</v>
      </c>
      <c r="AA269" s="544" t="s">
        <v>1674</v>
      </c>
      <c r="AE269" s="551"/>
      <c r="AF269" s="544" t="s">
        <v>1674</v>
      </c>
      <c r="AG269" s="544" t="s">
        <v>1674</v>
      </c>
      <c r="AH269" s="544" t="s">
        <v>1674</v>
      </c>
      <c r="AI269" s="544" t="s">
        <v>1674</v>
      </c>
      <c r="AJ269" s="544" t="s">
        <v>1674</v>
      </c>
      <c r="AK269" s="544" t="s">
        <v>1674</v>
      </c>
      <c r="AL269" s="544" t="s">
        <v>1674</v>
      </c>
      <c r="AM269" s="544" t="s">
        <v>1674</v>
      </c>
      <c r="AN269" s="544" t="s">
        <v>1674</v>
      </c>
      <c r="AP269" s="552">
        <f t="shared" si="4"/>
        <v>0</v>
      </c>
    </row>
    <row r="270" spans="1:42" outlineLevel="1" x14ac:dyDescent="0.25">
      <c r="A270" s="544" t="s">
        <v>1674</v>
      </c>
      <c r="B270" s="545">
        <v>0</v>
      </c>
      <c r="C270" s="544" t="s">
        <v>1674</v>
      </c>
      <c r="D270" s="544" t="s">
        <v>2717</v>
      </c>
      <c r="E270" s="542" t="s">
        <v>2689</v>
      </c>
      <c r="G270" s="546"/>
      <c r="H270" s="546">
        <v>942.48</v>
      </c>
      <c r="I270" s="546"/>
      <c r="J270" s="542" t="s">
        <v>806</v>
      </c>
      <c r="K270" s="547">
        <v>1200</v>
      </c>
      <c r="L270" s="542" t="s">
        <v>806</v>
      </c>
      <c r="M270" s="548"/>
      <c r="N270" s="549">
        <v>0</v>
      </c>
      <c r="O270" s="544" t="s">
        <v>1674</v>
      </c>
      <c r="P270" s="544" t="s">
        <v>1674</v>
      </c>
      <c r="Q270" s="544" t="s">
        <v>2690</v>
      </c>
      <c r="R270" s="544" t="s">
        <v>1674</v>
      </c>
      <c r="S270" s="544" t="s">
        <v>1674</v>
      </c>
      <c r="T270" s="550"/>
      <c r="U270" s="544" t="s">
        <v>2691</v>
      </c>
      <c r="V270" s="547">
        <v>1746</v>
      </c>
      <c r="W270" s="548"/>
      <c r="Y270" s="544" t="s">
        <v>1674</v>
      </c>
      <c r="AA270" s="544" t="s">
        <v>1674</v>
      </c>
      <c r="AE270" s="551"/>
      <c r="AF270" s="544" t="s">
        <v>1674</v>
      </c>
      <c r="AG270" s="544" t="s">
        <v>1674</v>
      </c>
      <c r="AH270" s="544" t="s">
        <v>1674</v>
      </c>
      <c r="AI270" s="544" t="s">
        <v>1674</v>
      </c>
      <c r="AJ270" s="544" t="s">
        <v>1674</v>
      </c>
      <c r="AK270" s="544" t="s">
        <v>1674</v>
      </c>
      <c r="AL270" s="544" t="s">
        <v>1674</v>
      </c>
      <c r="AM270" s="544" t="s">
        <v>1674</v>
      </c>
      <c r="AN270" s="544" t="s">
        <v>1674</v>
      </c>
      <c r="AP270" s="552">
        <f t="shared" si="4"/>
        <v>0</v>
      </c>
    </row>
    <row r="271" spans="1:42" outlineLevel="1" x14ac:dyDescent="0.25">
      <c r="A271" s="544" t="s">
        <v>1674</v>
      </c>
      <c r="B271" s="545">
        <v>0</v>
      </c>
      <c r="C271" s="544" t="s">
        <v>1674</v>
      </c>
      <c r="D271" s="544" t="s">
        <v>2717</v>
      </c>
      <c r="E271" s="542" t="s">
        <v>2689</v>
      </c>
      <c r="G271" s="546"/>
      <c r="H271" s="546">
        <v>9.52</v>
      </c>
      <c r="I271" s="546"/>
      <c r="J271" s="542" t="s">
        <v>806</v>
      </c>
      <c r="K271" s="547">
        <v>8736</v>
      </c>
      <c r="L271" s="542" t="s">
        <v>806</v>
      </c>
      <c r="M271" s="548"/>
      <c r="N271" s="549">
        <v>0</v>
      </c>
      <c r="O271" s="544" t="s">
        <v>1674</v>
      </c>
      <c r="P271" s="544" t="s">
        <v>1674</v>
      </c>
      <c r="Q271" s="544" t="s">
        <v>2690</v>
      </c>
      <c r="R271" s="544" t="s">
        <v>1674</v>
      </c>
      <c r="S271" s="544" t="s">
        <v>1674</v>
      </c>
      <c r="T271" s="550">
        <v>19</v>
      </c>
      <c r="U271" s="544" t="s">
        <v>2691</v>
      </c>
      <c r="V271" s="547">
        <v>1747</v>
      </c>
      <c r="W271" s="548"/>
      <c r="Y271" s="544" t="s">
        <v>1674</v>
      </c>
      <c r="AA271" s="544" t="s">
        <v>1674</v>
      </c>
      <c r="AE271" s="551"/>
      <c r="AF271" s="544" t="s">
        <v>1674</v>
      </c>
      <c r="AG271" s="544" t="s">
        <v>1674</v>
      </c>
      <c r="AH271" s="544" t="s">
        <v>1674</v>
      </c>
      <c r="AI271" s="544" t="s">
        <v>1674</v>
      </c>
      <c r="AJ271" s="544" t="s">
        <v>1674</v>
      </c>
      <c r="AK271" s="544" t="s">
        <v>1674</v>
      </c>
      <c r="AL271" s="544" t="s">
        <v>1674</v>
      </c>
      <c r="AM271" s="544" t="s">
        <v>1674</v>
      </c>
      <c r="AN271" s="544" t="s">
        <v>1674</v>
      </c>
      <c r="AP271" s="552">
        <f t="shared" si="4"/>
        <v>0</v>
      </c>
    </row>
    <row r="272" spans="1:42" outlineLevel="1" x14ac:dyDescent="0.25">
      <c r="A272" s="544" t="s">
        <v>1674</v>
      </c>
      <c r="B272" s="545">
        <v>0</v>
      </c>
      <c r="C272" s="544" t="s">
        <v>1674</v>
      </c>
      <c r="D272" s="544" t="s">
        <v>2717</v>
      </c>
      <c r="E272" s="542" t="s">
        <v>2692</v>
      </c>
      <c r="G272" s="546"/>
      <c r="H272" s="546">
        <v>942.48</v>
      </c>
      <c r="I272" s="546"/>
      <c r="J272" s="542" t="s">
        <v>806</v>
      </c>
      <c r="K272" s="547">
        <v>1200</v>
      </c>
      <c r="L272" s="542" t="s">
        <v>806</v>
      </c>
      <c r="M272" s="548"/>
      <c r="N272" s="549">
        <v>0</v>
      </c>
      <c r="O272" s="544" t="s">
        <v>1674</v>
      </c>
      <c r="P272" s="544" t="s">
        <v>1674</v>
      </c>
      <c r="Q272" s="544" t="s">
        <v>2693</v>
      </c>
      <c r="R272" s="544" t="s">
        <v>1674</v>
      </c>
      <c r="S272" s="544" t="s">
        <v>1674</v>
      </c>
      <c r="T272" s="550"/>
      <c r="U272" s="544" t="s">
        <v>2694</v>
      </c>
      <c r="V272" s="547">
        <v>1829</v>
      </c>
      <c r="W272" s="548"/>
      <c r="Y272" s="544" t="s">
        <v>1674</v>
      </c>
      <c r="AA272" s="544" t="s">
        <v>1674</v>
      </c>
      <c r="AE272" s="551"/>
      <c r="AF272" s="544" t="s">
        <v>1674</v>
      </c>
      <c r="AG272" s="544" t="s">
        <v>1674</v>
      </c>
      <c r="AH272" s="544" t="s">
        <v>1674</v>
      </c>
      <c r="AI272" s="544" t="s">
        <v>1674</v>
      </c>
      <c r="AJ272" s="544" t="s">
        <v>1674</v>
      </c>
      <c r="AK272" s="544" t="s">
        <v>1674</v>
      </c>
      <c r="AL272" s="544" t="s">
        <v>1674</v>
      </c>
      <c r="AM272" s="544" t="s">
        <v>1674</v>
      </c>
      <c r="AN272" s="544" t="s">
        <v>1674</v>
      </c>
      <c r="AP272" s="552">
        <f t="shared" si="4"/>
        <v>0</v>
      </c>
    </row>
    <row r="273" spans="1:42" outlineLevel="1" x14ac:dyDescent="0.25">
      <c r="A273" s="544" t="s">
        <v>1674</v>
      </c>
      <c r="B273" s="545">
        <v>0</v>
      </c>
      <c r="C273" s="544" t="s">
        <v>1674</v>
      </c>
      <c r="D273" s="544" t="s">
        <v>2717</v>
      </c>
      <c r="E273" s="542" t="s">
        <v>2692</v>
      </c>
      <c r="G273" s="546"/>
      <c r="H273" s="546">
        <v>9.52</v>
      </c>
      <c r="I273" s="546"/>
      <c r="J273" s="542" t="s">
        <v>806</v>
      </c>
      <c r="K273" s="547">
        <v>8736</v>
      </c>
      <c r="L273" s="542" t="s">
        <v>806</v>
      </c>
      <c r="M273" s="548"/>
      <c r="N273" s="549">
        <v>0</v>
      </c>
      <c r="O273" s="544" t="s">
        <v>1674</v>
      </c>
      <c r="P273" s="544" t="s">
        <v>1674</v>
      </c>
      <c r="Q273" s="544" t="s">
        <v>2693</v>
      </c>
      <c r="R273" s="544" t="s">
        <v>1674</v>
      </c>
      <c r="S273" s="544" t="s">
        <v>1674</v>
      </c>
      <c r="T273" s="550">
        <v>19</v>
      </c>
      <c r="U273" s="544" t="s">
        <v>2694</v>
      </c>
      <c r="V273" s="547">
        <v>1830</v>
      </c>
      <c r="W273" s="548"/>
      <c r="Y273" s="544" t="s">
        <v>1674</v>
      </c>
      <c r="AA273" s="544" t="s">
        <v>1674</v>
      </c>
      <c r="AE273" s="551"/>
      <c r="AF273" s="544" t="s">
        <v>1674</v>
      </c>
      <c r="AG273" s="544" t="s">
        <v>1674</v>
      </c>
      <c r="AH273" s="544" t="s">
        <v>1674</v>
      </c>
      <c r="AI273" s="544" t="s">
        <v>1674</v>
      </c>
      <c r="AJ273" s="544" t="s">
        <v>1674</v>
      </c>
      <c r="AK273" s="544" t="s">
        <v>1674</v>
      </c>
      <c r="AL273" s="544" t="s">
        <v>1674</v>
      </c>
      <c r="AM273" s="544" t="s">
        <v>1674</v>
      </c>
      <c r="AN273" s="544" t="s">
        <v>1674</v>
      </c>
      <c r="AP273" s="552">
        <f t="shared" si="4"/>
        <v>0</v>
      </c>
    </row>
    <row r="274" spans="1:42" outlineLevel="1" x14ac:dyDescent="0.25">
      <c r="A274" s="544" t="s">
        <v>1674</v>
      </c>
      <c r="B274" s="545">
        <v>0</v>
      </c>
      <c r="C274" s="544" t="s">
        <v>1674</v>
      </c>
      <c r="D274" s="544" t="s">
        <v>2717</v>
      </c>
      <c r="E274" s="542" t="s">
        <v>2695</v>
      </c>
      <c r="G274" s="546"/>
      <c r="H274" s="546">
        <v>942.48</v>
      </c>
      <c r="I274" s="546"/>
      <c r="J274" s="542" t="s">
        <v>806</v>
      </c>
      <c r="K274" s="547">
        <v>1200</v>
      </c>
      <c r="L274" s="542" t="s">
        <v>806</v>
      </c>
      <c r="M274" s="548"/>
      <c r="N274" s="549">
        <v>0</v>
      </c>
      <c r="O274" s="544" t="s">
        <v>1674</v>
      </c>
      <c r="P274" s="544" t="s">
        <v>1674</v>
      </c>
      <c r="Q274" s="544" t="s">
        <v>2696</v>
      </c>
      <c r="R274" s="544" t="s">
        <v>1674</v>
      </c>
      <c r="S274" s="544" t="s">
        <v>1674</v>
      </c>
      <c r="T274" s="550"/>
      <c r="U274" s="544" t="s">
        <v>2697</v>
      </c>
      <c r="V274" s="547">
        <v>1663</v>
      </c>
      <c r="W274" s="548"/>
      <c r="Y274" s="544" t="s">
        <v>1674</v>
      </c>
      <c r="AA274" s="544" t="s">
        <v>1674</v>
      </c>
      <c r="AE274" s="551"/>
      <c r="AF274" s="544" t="s">
        <v>1674</v>
      </c>
      <c r="AG274" s="544" t="s">
        <v>1674</v>
      </c>
      <c r="AH274" s="544" t="s">
        <v>1674</v>
      </c>
      <c r="AI274" s="544" t="s">
        <v>1674</v>
      </c>
      <c r="AJ274" s="544" t="s">
        <v>1674</v>
      </c>
      <c r="AK274" s="544" t="s">
        <v>1674</v>
      </c>
      <c r="AL274" s="544" t="s">
        <v>1674</v>
      </c>
      <c r="AM274" s="544" t="s">
        <v>1674</v>
      </c>
      <c r="AN274" s="544" t="s">
        <v>1674</v>
      </c>
      <c r="AP274" s="552">
        <f t="shared" si="4"/>
        <v>0</v>
      </c>
    </row>
    <row r="275" spans="1:42" outlineLevel="1" x14ac:dyDescent="0.25">
      <c r="A275" s="544" t="s">
        <v>1674</v>
      </c>
      <c r="B275" s="545">
        <v>0</v>
      </c>
      <c r="C275" s="544" t="s">
        <v>1674</v>
      </c>
      <c r="D275" s="544" t="s">
        <v>2717</v>
      </c>
      <c r="E275" s="542" t="s">
        <v>2695</v>
      </c>
      <c r="G275" s="546"/>
      <c r="H275" s="546">
        <v>9.52</v>
      </c>
      <c r="I275" s="546"/>
      <c r="J275" s="542" t="s">
        <v>806</v>
      </c>
      <c r="K275" s="547">
        <v>8736</v>
      </c>
      <c r="L275" s="542" t="s">
        <v>806</v>
      </c>
      <c r="M275" s="548"/>
      <c r="N275" s="549">
        <v>0</v>
      </c>
      <c r="O275" s="544" t="s">
        <v>1674</v>
      </c>
      <c r="P275" s="544" t="s">
        <v>1674</v>
      </c>
      <c r="Q275" s="544" t="s">
        <v>2696</v>
      </c>
      <c r="R275" s="544" t="s">
        <v>1674</v>
      </c>
      <c r="S275" s="544" t="s">
        <v>1674</v>
      </c>
      <c r="T275" s="550">
        <v>19</v>
      </c>
      <c r="U275" s="544" t="s">
        <v>2697</v>
      </c>
      <c r="V275" s="547">
        <v>1664</v>
      </c>
      <c r="W275" s="548"/>
      <c r="Y275" s="544" t="s">
        <v>1674</v>
      </c>
      <c r="AA275" s="544" t="s">
        <v>1674</v>
      </c>
      <c r="AE275" s="551"/>
      <c r="AF275" s="544" t="s">
        <v>1674</v>
      </c>
      <c r="AG275" s="544" t="s">
        <v>1674</v>
      </c>
      <c r="AH275" s="544" t="s">
        <v>1674</v>
      </c>
      <c r="AI275" s="544" t="s">
        <v>1674</v>
      </c>
      <c r="AJ275" s="544" t="s">
        <v>1674</v>
      </c>
      <c r="AK275" s="544" t="s">
        <v>1674</v>
      </c>
      <c r="AL275" s="544" t="s">
        <v>1674</v>
      </c>
      <c r="AM275" s="544" t="s">
        <v>1674</v>
      </c>
      <c r="AN275" s="544" t="s">
        <v>1674</v>
      </c>
      <c r="AP275" s="552">
        <f t="shared" si="4"/>
        <v>0</v>
      </c>
    </row>
    <row r="276" spans="1:42" outlineLevel="1" x14ac:dyDescent="0.25">
      <c r="A276" s="544" t="s">
        <v>1674</v>
      </c>
      <c r="B276" s="545">
        <v>0</v>
      </c>
      <c r="C276" s="544" t="s">
        <v>1674</v>
      </c>
      <c r="D276" s="544" t="s">
        <v>2717</v>
      </c>
      <c r="E276" s="542" t="s">
        <v>2698</v>
      </c>
      <c r="G276" s="546"/>
      <c r="H276" s="546">
        <v>942.48</v>
      </c>
      <c r="I276" s="546"/>
      <c r="J276" s="542" t="s">
        <v>806</v>
      </c>
      <c r="K276" s="547">
        <v>1200</v>
      </c>
      <c r="L276" s="542" t="s">
        <v>806</v>
      </c>
      <c r="M276" s="548"/>
      <c r="N276" s="549">
        <v>0</v>
      </c>
      <c r="O276" s="544" t="s">
        <v>1674</v>
      </c>
      <c r="P276" s="544" t="s">
        <v>1674</v>
      </c>
      <c r="Q276" s="544" t="s">
        <v>2699</v>
      </c>
      <c r="R276" s="544" t="s">
        <v>1674</v>
      </c>
      <c r="S276" s="544" t="s">
        <v>1674</v>
      </c>
      <c r="T276" s="550"/>
      <c r="U276" s="544" t="s">
        <v>2700</v>
      </c>
      <c r="V276" s="547">
        <v>1594</v>
      </c>
      <c r="W276" s="548"/>
      <c r="Y276" s="544" t="s">
        <v>1674</v>
      </c>
      <c r="AA276" s="544" t="s">
        <v>1674</v>
      </c>
      <c r="AE276" s="551"/>
      <c r="AF276" s="544" t="s">
        <v>1674</v>
      </c>
      <c r="AG276" s="544" t="s">
        <v>1674</v>
      </c>
      <c r="AH276" s="544" t="s">
        <v>1674</v>
      </c>
      <c r="AI276" s="544" t="s">
        <v>1674</v>
      </c>
      <c r="AJ276" s="544" t="s">
        <v>1674</v>
      </c>
      <c r="AK276" s="544" t="s">
        <v>1674</v>
      </c>
      <c r="AL276" s="544" t="s">
        <v>1674</v>
      </c>
      <c r="AM276" s="544" t="s">
        <v>1674</v>
      </c>
      <c r="AN276" s="544" t="s">
        <v>1674</v>
      </c>
      <c r="AP276" s="552">
        <f t="shared" si="4"/>
        <v>0</v>
      </c>
    </row>
    <row r="277" spans="1:42" outlineLevel="1" x14ac:dyDescent="0.25">
      <c r="A277" s="544" t="s">
        <v>2722</v>
      </c>
      <c r="B277" s="545">
        <v>11800</v>
      </c>
      <c r="C277" s="544" t="s">
        <v>2581</v>
      </c>
      <c r="D277" s="544" t="s">
        <v>2723</v>
      </c>
      <c r="E277" s="542" t="s">
        <v>2724</v>
      </c>
      <c r="F277" s="542" t="s">
        <v>2725</v>
      </c>
      <c r="G277" s="546">
        <v>17195.5</v>
      </c>
      <c r="H277" s="546"/>
      <c r="I277" s="546"/>
      <c r="J277" s="542" t="s">
        <v>806</v>
      </c>
      <c r="K277" s="547">
        <v>8820</v>
      </c>
      <c r="L277" s="542" t="s">
        <v>806</v>
      </c>
      <c r="M277" s="548"/>
      <c r="N277" s="549">
        <v>-319</v>
      </c>
      <c r="O277" s="544" t="s">
        <v>1674</v>
      </c>
      <c r="P277" s="544" t="s">
        <v>1674</v>
      </c>
      <c r="Q277" s="544" t="s">
        <v>2720</v>
      </c>
      <c r="R277" s="544" t="s">
        <v>2622</v>
      </c>
      <c r="S277" s="544" t="s">
        <v>1674</v>
      </c>
      <c r="T277" s="550">
        <v>19</v>
      </c>
      <c r="U277" s="544" t="s">
        <v>2726</v>
      </c>
      <c r="V277" s="547">
        <v>19</v>
      </c>
      <c r="W277" s="548"/>
      <c r="Y277" s="544" t="s">
        <v>1674</v>
      </c>
      <c r="AA277" s="544" t="s">
        <v>1674</v>
      </c>
      <c r="AE277" s="551"/>
      <c r="AF277" s="544" t="s">
        <v>1674</v>
      </c>
      <c r="AG277" s="544" t="s">
        <v>1674</v>
      </c>
      <c r="AH277" s="544" t="s">
        <v>1674</v>
      </c>
      <c r="AI277" s="544" t="s">
        <v>1674</v>
      </c>
      <c r="AJ277" s="544" t="s">
        <v>1674</v>
      </c>
      <c r="AK277" s="544" t="s">
        <v>1674</v>
      </c>
      <c r="AL277" s="544" t="s">
        <v>1674</v>
      </c>
      <c r="AM277" s="544" t="s">
        <v>2581</v>
      </c>
      <c r="AN277" s="544" t="s">
        <v>1674</v>
      </c>
      <c r="AP277" s="552">
        <f t="shared" si="4"/>
        <v>0</v>
      </c>
    </row>
    <row r="278" spans="1:42" outlineLevel="1" x14ac:dyDescent="0.25">
      <c r="A278" s="544" t="s">
        <v>2722</v>
      </c>
      <c r="B278" s="545">
        <v>0</v>
      </c>
      <c r="C278" s="544" t="s">
        <v>1674</v>
      </c>
      <c r="D278" s="544" t="s">
        <v>2723</v>
      </c>
      <c r="E278" s="542" t="s">
        <v>2724</v>
      </c>
      <c r="F278" s="542" t="s">
        <v>2725</v>
      </c>
      <c r="G278" s="546">
        <v>3034.5</v>
      </c>
      <c r="H278" s="546"/>
      <c r="I278" s="546"/>
      <c r="J278" s="542" t="s">
        <v>806</v>
      </c>
      <c r="K278" s="547">
        <v>8820</v>
      </c>
      <c r="L278" s="542" t="s">
        <v>806</v>
      </c>
      <c r="M278" s="548"/>
      <c r="N278" s="549">
        <v>-319</v>
      </c>
      <c r="O278" s="544" t="s">
        <v>1674</v>
      </c>
      <c r="P278" s="544" t="s">
        <v>1674</v>
      </c>
      <c r="Q278" s="544" t="s">
        <v>2720</v>
      </c>
      <c r="R278" s="544" t="s">
        <v>1674</v>
      </c>
      <c r="S278" s="544" t="s">
        <v>1674</v>
      </c>
      <c r="T278" s="550">
        <v>19</v>
      </c>
      <c r="U278" s="544" t="s">
        <v>2726</v>
      </c>
      <c r="V278" s="547">
        <v>20</v>
      </c>
      <c r="W278" s="548"/>
      <c r="Y278" s="544" t="s">
        <v>1674</v>
      </c>
      <c r="AA278" s="544" t="s">
        <v>1674</v>
      </c>
      <c r="AE278" s="551"/>
      <c r="AF278" s="544" t="s">
        <v>1674</v>
      </c>
      <c r="AG278" s="544" t="s">
        <v>1674</v>
      </c>
      <c r="AH278" s="544" t="s">
        <v>1674</v>
      </c>
      <c r="AI278" s="544" t="s">
        <v>1674</v>
      </c>
      <c r="AJ278" s="544" t="s">
        <v>1674</v>
      </c>
      <c r="AK278" s="544" t="s">
        <v>1674</v>
      </c>
      <c r="AL278" s="544" t="s">
        <v>1674</v>
      </c>
      <c r="AM278" s="544" t="s">
        <v>1674</v>
      </c>
      <c r="AN278" s="544" t="s">
        <v>1674</v>
      </c>
      <c r="AP278" s="552">
        <f t="shared" si="4"/>
        <v>0</v>
      </c>
    </row>
    <row r="279" spans="1:42" outlineLevel="1" x14ac:dyDescent="0.25">
      <c r="A279" s="544" t="s">
        <v>1674</v>
      </c>
      <c r="B279" s="545">
        <v>0</v>
      </c>
      <c r="C279" s="544" t="s">
        <v>1674</v>
      </c>
      <c r="D279" s="544" t="s">
        <v>2723</v>
      </c>
      <c r="E279" s="542" t="s">
        <v>2665</v>
      </c>
      <c r="G279" s="546"/>
      <c r="H279" s="546">
        <v>942.48</v>
      </c>
      <c r="I279" s="546"/>
      <c r="J279" s="542" t="s">
        <v>806</v>
      </c>
      <c r="K279" s="547">
        <v>1200</v>
      </c>
      <c r="L279" s="542" t="s">
        <v>806</v>
      </c>
      <c r="M279" s="548"/>
      <c r="N279" s="549">
        <v>0</v>
      </c>
      <c r="O279" s="544" t="s">
        <v>1674</v>
      </c>
      <c r="P279" s="544" t="s">
        <v>1674</v>
      </c>
      <c r="Q279" s="544" t="s">
        <v>2666</v>
      </c>
      <c r="R279" s="544" t="s">
        <v>1674</v>
      </c>
      <c r="S279" s="544" t="s">
        <v>1674</v>
      </c>
      <c r="T279" s="550"/>
      <c r="U279" s="544" t="s">
        <v>2667</v>
      </c>
      <c r="V279" s="547">
        <v>1704</v>
      </c>
      <c r="W279" s="548"/>
      <c r="Y279" s="544" t="s">
        <v>1674</v>
      </c>
      <c r="AA279" s="544" t="s">
        <v>1674</v>
      </c>
      <c r="AE279" s="551"/>
      <c r="AF279" s="544" t="s">
        <v>1674</v>
      </c>
      <c r="AG279" s="544" t="s">
        <v>1674</v>
      </c>
      <c r="AH279" s="544" t="s">
        <v>1674</v>
      </c>
      <c r="AI279" s="544" t="s">
        <v>1674</v>
      </c>
      <c r="AJ279" s="544" t="s">
        <v>1674</v>
      </c>
      <c r="AK279" s="544" t="s">
        <v>1674</v>
      </c>
      <c r="AL279" s="544" t="s">
        <v>1674</v>
      </c>
      <c r="AM279" s="544" t="s">
        <v>1674</v>
      </c>
      <c r="AN279" s="544" t="s">
        <v>1674</v>
      </c>
      <c r="AP279" s="552">
        <f t="shared" si="4"/>
        <v>0</v>
      </c>
    </row>
    <row r="280" spans="1:42" outlineLevel="1" x14ac:dyDescent="0.25">
      <c r="A280" s="544" t="s">
        <v>1674</v>
      </c>
      <c r="B280" s="545">
        <v>0</v>
      </c>
      <c r="C280" s="544" t="s">
        <v>1674</v>
      </c>
      <c r="D280" s="544" t="s">
        <v>2723</v>
      </c>
      <c r="E280" s="542" t="s">
        <v>2665</v>
      </c>
      <c r="G280" s="546"/>
      <c r="H280" s="546">
        <v>9.52</v>
      </c>
      <c r="I280" s="546"/>
      <c r="J280" s="542" t="s">
        <v>806</v>
      </c>
      <c r="K280" s="547">
        <v>8736</v>
      </c>
      <c r="L280" s="542" t="s">
        <v>806</v>
      </c>
      <c r="M280" s="548"/>
      <c r="N280" s="549">
        <v>0</v>
      </c>
      <c r="O280" s="544" t="s">
        <v>1674</v>
      </c>
      <c r="P280" s="544" t="s">
        <v>1674</v>
      </c>
      <c r="Q280" s="544" t="s">
        <v>2666</v>
      </c>
      <c r="R280" s="544" t="s">
        <v>1674</v>
      </c>
      <c r="S280" s="544" t="s">
        <v>1674</v>
      </c>
      <c r="T280" s="550">
        <v>19</v>
      </c>
      <c r="U280" s="544" t="s">
        <v>2667</v>
      </c>
      <c r="V280" s="547">
        <v>1704</v>
      </c>
      <c r="W280" s="548"/>
      <c r="Y280" s="544" t="s">
        <v>1674</v>
      </c>
      <c r="AA280" s="544" t="s">
        <v>1674</v>
      </c>
      <c r="AE280" s="551"/>
      <c r="AF280" s="544" t="s">
        <v>1674</v>
      </c>
      <c r="AG280" s="544" t="s">
        <v>1674</v>
      </c>
      <c r="AH280" s="544" t="s">
        <v>1674</v>
      </c>
      <c r="AI280" s="544" t="s">
        <v>1674</v>
      </c>
      <c r="AJ280" s="544" t="s">
        <v>1674</v>
      </c>
      <c r="AK280" s="544" t="s">
        <v>1674</v>
      </c>
      <c r="AL280" s="544" t="s">
        <v>1674</v>
      </c>
      <c r="AM280" s="544" t="s">
        <v>1674</v>
      </c>
      <c r="AN280" s="544" t="s">
        <v>1674</v>
      </c>
      <c r="AP280" s="552">
        <f t="shared" si="4"/>
        <v>0</v>
      </c>
    </row>
    <row r="281" spans="1:42" outlineLevel="1" x14ac:dyDescent="0.25">
      <c r="A281" s="544" t="s">
        <v>1674</v>
      </c>
      <c r="B281" s="545">
        <v>0</v>
      </c>
      <c r="C281" s="544" t="s">
        <v>1674</v>
      </c>
      <c r="D281" s="544" t="s">
        <v>2723</v>
      </c>
      <c r="E281" s="542" t="s">
        <v>2668</v>
      </c>
      <c r="G281" s="546"/>
      <c r="H281" s="546">
        <v>942.48</v>
      </c>
      <c r="I281" s="546"/>
      <c r="J281" s="542" t="s">
        <v>806</v>
      </c>
      <c r="K281" s="547">
        <v>1200</v>
      </c>
      <c r="L281" s="542" t="s">
        <v>806</v>
      </c>
      <c r="M281" s="548"/>
      <c r="N281" s="549">
        <v>0</v>
      </c>
      <c r="O281" s="544" t="s">
        <v>1674</v>
      </c>
      <c r="P281" s="544" t="s">
        <v>1674</v>
      </c>
      <c r="Q281" s="544" t="s">
        <v>2669</v>
      </c>
      <c r="R281" s="544" t="s">
        <v>1674</v>
      </c>
      <c r="S281" s="544" t="s">
        <v>1674</v>
      </c>
      <c r="T281" s="550"/>
      <c r="U281" s="544" t="s">
        <v>2670</v>
      </c>
      <c r="V281" s="547">
        <v>1587</v>
      </c>
      <c r="W281" s="548"/>
      <c r="Y281" s="544" t="s">
        <v>1674</v>
      </c>
      <c r="AA281" s="544" t="s">
        <v>1674</v>
      </c>
      <c r="AE281" s="551"/>
      <c r="AF281" s="544" t="s">
        <v>1674</v>
      </c>
      <c r="AG281" s="544" t="s">
        <v>1674</v>
      </c>
      <c r="AH281" s="544" t="s">
        <v>1674</v>
      </c>
      <c r="AI281" s="544" t="s">
        <v>1674</v>
      </c>
      <c r="AJ281" s="544" t="s">
        <v>1674</v>
      </c>
      <c r="AK281" s="544" t="s">
        <v>1674</v>
      </c>
      <c r="AL281" s="544" t="s">
        <v>1674</v>
      </c>
      <c r="AM281" s="544" t="s">
        <v>1674</v>
      </c>
      <c r="AN281" s="544" t="s">
        <v>1674</v>
      </c>
      <c r="AP281" s="552">
        <f t="shared" si="4"/>
        <v>0</v>
      </c>
    </row>
    <row r="282" spans="1:42" outlineLevel="1" x14ac:dyDescent="0.25">
      <c r="A282" s="544" t="s">
        <v>1674</v>
      </c>
      <c r="B282" s="545">
        <v>0</v>
      </c>
      <c r="C282" s="544" t="s">
        <v>1674</v>
      </c>
      <c r="D282" s="544" t="s">
        <v>2723</v>
      </c>
      <c r="E282" s="542" t="s">
        <v>2668</v>
      </c>
      <c r="G282" s="546"/>
      <c r="H282" s="546">
        <v>9.52</v>
      </c>
      <c r="I282" s="546"/>
      <c r="J282" s="542" t="s">
        <v>806</v>
      </c>
      <c r="K282" s="547">
        <v>8736</v>
      </c>
      <c r="L282" s="542" t="s">
        <v>806</v>
      </c>
      <c r="M282" s="548"/>
      <c r="N282" s="549">
        <v>0</v>
      </c>
      <c r="O282" s="544" t="s">
        <v>1674</v>
      </c>
      <c r="P282" s="544" t="s">
        <v>1674</v>
      </c>
      <c r="Q282" s="544" t="s">
        <v>2669</v>
      </c>
      <c r="R282" s="544" t="s">
        <v>1674</v>
      </c>
      <c r="S282" s="544" t="s">
        <v>1674</v>
      </c>
      <c r="T282" s="550">
        <v>19</v>
      </c>
      <c r="U282" s="544" t="s">
        <v>2670</v>
      </c>
      <c r="V282" s="547">
        <v>1587</v>
      </c>
      <c r="W282" s="548"/>
      <c r="Y282" s="544" t="s">
        <v>1674</v>
      </c>
      <c r="AA282" s="544" t="s">
        <v>1674</v>
      </c>
      <c r="AE282" s="551"/>
      <c r="AF282" s="544" t="s">
        <v>1674</v>
      </c>
      <c r="AG282" s="544" t="s">
        <v>1674</v>
      </c>
      <c r="AH282" s="544" t="s">
        <v>1674</v>
      </c>
      <c r="AI282" s="544" t="s">
        <v>1674</v>
      </c>
      <c r="AJ282" s="544" t="s">
        <v>1674</v>
      </c>
      <c r="AK282" s="544" t="s">
        <v>1674</v>
      </c>
      <c r="AL282" s="544" t="s">
        <v>1674</v>
      </c>
      <c r="AM282" s="544" t="s">
        <v>1674</v>
      </c>
      <c r="AN282" s="544" t="s">
        <v>1674</v>
      </c>
      <c r="AP282" s="552">
        <f t="shared" si="4"/>
        <v>0</v>
      </c>
    </row>
    <row r="283" spans="1:42" outlineLevel="1" x14ac:dyDescent="0.25">
      <c r="A283" s="544" t="s">
        <v>1674</v>
      </c>
      <c r="B283" s="545">
        <v>0</v>
      </c>
      <c r="C283" s="544" t="s">
        <v>1674</v>
      </c>
      <c r="D283" s="544" t="s">
        <v>2723</v>
      </c>
      <c r="E283" s="542" t="s">
        <v>2671</v>
      </c>
      <c r="G283" s="546"/>
      <c r="H283" s="546">
        <v>942.48</v>
      </c>
      <c r="I283" s="546"/>
      <c r="J283" s="542" t="s">
        <v>806</v>
      </c>
      <c r="K283" s="547">
        <v>1200</v>
      </c>
      <c r="L283" s="542" t="s">
        <v>806</v>
      </c>
      <c r="M283" s="548"/>
      <c r="N283" s="549">
        <v>0</v>
      </c>
      <c r="O283" s="544" t="s">
        <v>1674</v>
      </c>
      <c r="P283" s="544" t="s">
        <v>1674</v>
      </c>
      <c r="Q283" s="544" t="s">
        <v>2672</v>
      </c>
      <c r="R283" s="544" t="s">
        <v>1674</v>
      </c>
      <c r="S283" s="544" t="s">
        <v>1674</v>
      </c>
      <c r="T283" s="550"/>
      <c r="U283" s="544" t="s">
        <v>2673</v>
      </c>
      <c r="V283" s="547">
        <v>1679</v>
      </c>
      <c r="W283" s="548"/>
      <c r="Y283" s="544" t="s">
        <v>1674</v>
      </c>
      <c r="AA283" s="544" t="s">
        <v>1674</v>
      </c>
      <c r="AE283" s="551"/>
      <c r="AF283" s="544" t="s">
        <v>1674</v>
      </c>
      <c r="AG283" s="544" t="s">
        <v>1674</v>
      </c>
      <c r="AH283" s="544" t="s">
        <v>1674</v>
      </c>
      <c r="AI283" s="544" t="s">
        <v>1674</v>
      </c>
      <c r="AJ283" s="544" t="s">
        <v>1674</v>
      </c>
      <c r="AK283" s="544" t="s">
        <v>1674</v>
      </c>
      <c r="AL283" s="544" t="s">
        <v>1674</v>
      </c>
      <c r="AM283" s="544" t="s">
        <v>1674</v>
      </c>
      <c r="AN283" s="544" t="s">
        <v>1674</v>
      </c>
      <c r="AP283" s="552">
        <f t="shared" si="4"/>
        <v>0</v>
      </c>
    </row>
    <row r="284" spans="1:42" outlineLevel="1" x14ac:dyDescent="0.25">
      <c r="A284" s="544" t="s">
        <v>1674</v>
      </c>
      <c r="B284" s="545">
        <v>0</v>
      </c>
      <c r="C284" s="544" t="s">
        <v>1674</v>
      </c>
      <c r="D284" s="544" t="s">
        <v>2723</v>
      </c>
      <c r="E284" s="542" t="s">
        <v>2671</v>
      </c>
      <c r="G284" s="546"/>
      <c r="H284" s="546">
        <v>9.52</v>
      </c>
      <c r="I284" s="546"/>
      <c r="J284" s="542" t="s">
        <v>806</v>
      </c>
      <c r="K284" s="547">
        <v>8736</v>
      </c>
      <c r="L284" s="542" t="s">
        <v>806</v>
      </c>
      <c r="M284" s="548"/>
      <c r="N284" s="549">
        <v>0</v>
      </c>
      <c r="O284" s="544" t="s">
        <v>1674</v>
      </c>
      <c r="P284" s="544" t="s">
        <v>1674</v>
      </c>
      <c r="Q284" s="544" t="s">
        <v>2672</v>
      </c>
      <c r="R284" s="544" t="s">
        <v>1674</v>
      </c>
      <c r="S284" s="544" t="s">
        <v>1674</v>
      </c>
      <c r="T284" s="550">
        <v>19</v>
      </c>
      <c r="U284" s="544" t="s">
        <v>2673</v>
      </c>
      <c r="V284" s="547">
        <v>1679</v>
      </c>
      <c r="W284" s="548"/>
      <c r="Y284" s="544" t="s">
        <v>1674</v>
      </c>
      <c r="AA284" s="544" t="s">
        <v>1674</v>
      </c>
      <c r="AE284" s="551"/>
      <c r="AF284" s="544" t="s">
        <v>1674</v>
      </c>
      <c r="AG284" s="544" t="s">
        <v>1674</v>
      </c>
      <c r="AH284" s="544" t="s">
        <v>1674</v>
      </c>
      <c r="AI284" s="544" t="s">
        <v>1674</v>
      </c>
      <c r="AJ284" s="544" t="s">
        <v>1674</v>
      </c>
      <c r="AK284" s="544" t="s">
        <v>1674</v>
      </c>
      <c r="AL284" s="544" t="s">
        <v>1674</v>
      </c>
      <c r="AM284" s="544" t="s">
        <v>1674</v>
      </c>
      <c r="AN284" s="544" t="s">
        <v>1674</v>
      </c>
      <c r="AP284" s="552">
        <f t="shared" si="4"/>
        <v>0</v>
      </c>
    </row>
    <row r="285" spans="1:42" outlineLevel="1" x14ac:dyDescent="0.25">
      <c r="A285" s="544" t="s">
        <v>1674</v>
      </c>
      <c r="B285" s="545">
        <v>0</v>
      </c>
      <c r="C285" s="544" t="s">
        <v>1674</v>
      </c>
      <c r="D285" s="544" t="s">
        <v>2723</v>
      </c>
      <c r="E285" s="542" t="s">
        <v>2674</v>
      </c>
      <c r="G285" s="546"/>
      <c r="H285" s="546">
        <v>942.48</v>
      </c>
      <c r="I285" s="546"/>
      <c r="J285" s="542" t="s">
        <v>806</v>
      </c>
      <c r="K285" s="547">
        <v>1200</v>
      </c>
      <c r="L285" s="542" t="s">
        <v>806</v>
      </c>
      <c r="M285" s="548"/>
      <c r="N285" s="549">
        <v>0</v>
      </c>
      <c r="O285" s="544" t="s">
        <v>1674</v>
      </c>
      <c r="P285" s="544" t="s">
        <v>1674</v>
      </c>
      <c r="Q285" s="544" t="s">
        <v>2675</v>
      </c>
      <c r="R285" s="544" t="s">
        <v>1674</v>
      </c>
      <c r="S285" s="544" t="s">
        <v>1674</v>
      </c>
      <c r="T285" s="550"/>
      <c r="U285" s="544" t="s">
        <v>2676</v>
      </c>
      <c r="V285" s="547">
        <v>1536</v>
      </c>
      <c r="W285" s="548"/>
      <c r="Y285" s="544" t="s">
        <v>1674</v>
      </c>
      <c r="AA285" s="544" t="s">
        <v>1674</v>
      </c>
      <c r="AE285" s="551"/>
      <c r="AF285" s="544" t="s">
        <v>1674</v>
      </c>
      <c r="AG285" s="544" t="s">
        <v>1674</v>
      </c>
      <c r="AH285" s="544" t="s">
        <v>1674</v>
      </c>
      <c r="AI285" s="544" t="s">
        <v>1674</v>
      </c>
      <c r="AJ285" s="544" t="s">
        <v>1674</v>
      </c>
      <c r="AK285" s="544" t="s">
        <v>1674</v>
      </c>
      <c r="AL285" s="544" t="s">
        <v>1674</v>
      </c>
      <c r="AM285" s="544" t="s">
        <v>1674</v>
      </c>
      <c r="AN285" s="544" t="s">
        <v>1674</v>
      </c>
      <c r="AP285" s="552">
        <f t="shared" si="4"/>
        <v>0</v>
      </c>
    </row>
    <row r="286" spans="1:42" outlineLevel="1" x14ac:dyDescent="0.25">
      <c r="A286" s="544" t="s">
        <v>1674</v>
      </c>
      <c r="B286" s="545">
        <v>0</v>
      </c>
      <c r="C286" s="544" t="s">
        <v>1674</v>
      </c>
      <c r="D286" s="544" t="s">
        <v>2723</v>
      </c>
      <c r="E286" s="542" t="s">
        <v>2674</v>
      </c>
      <c r="G286" s="546"/>
      <c r="H286" s="546">
        <v>9.52</v>
      </c>
      <c r="I286" s="546"/>
      <c r="J286" s="542" t="s">
        <v>806</v>
      </c>
      <c r="K286" s="547">
        <v>8736</v>
      </c>
      <c r="L286" s="542" t="s">
        <v>806</v>
      </c>
      <c r="M286" s="548"/>
      <c r="N286" s="549">
        <v>0</v>
      </c>
      <c r="O286" s="544" t="s">
        <v>1674</v>
      </c>
      <c r="P286" s="544" t="s">
        <v>1674</v>
      </c>
      <c r="Q286" s="544" t="s">
        <v>2675</v>
      </c>
      <c r="R286" s="544" t="s">
        <v>1674</v>
      </c>
      <c r="S286" s="544" t="s">
        <v>1674</v>
      </c>
      <c r="T286" s="550">
        <v>19</v>
      </c>
      <c r="U286" s="544" t="s">
        <v>2676</v>
      </c>
      <c r="V286" s="547">
        <v>1536</v>
      </c>
      <c r="W286" s="548"/>
      <c r="Y286" s="544" t="s">
        <v>1674</v>
      </c>
      <c r="AA286" s="544" t="s">
        <v>1674</v>
      </c>
      <c r="AE286" s="551"/>
      <c r="AF286" s="544" t="s">
        <v>1674</v>
      </c>
      <c r="AG286" s="544" t="s">
        <v>1674</v>
      </c>
      <c r="AH286" s="544" t="s">
        <v>1674</v>
      </c>
      <c r="AI286" s="544" t="s">
        <v>1674</v>
      </c>
      <c r="AJ286" s="544" t="s">
        <v>1674</v>
      </c>
      <c r="AK286" s="544" t="s">
        <v>1674</v>
      </c>
      <c r="AL286" s="544" t="s">
        <v>1674</v>
      </c>
      <c r="AM286" s="544" t="s">
        <v>1674</v>
      </c>
      <c r="AN286" s="544" t="s">
        <v>1674</v>
      </c>
      <c r="AP286" s="552">
        <f t="shared" si="4"/>
        <v>0</v>
      </c>
    </row>
    <row r="287" spans="1:42" outlineLevel="1" x14ac:dyDescent="0.25">
      <c r="A287" s="544" t="s">
        <v>1674</v>
      </c>
      <c r="B287" s="545">
        <v>0</v>
      </c>
      <c r="C287" s="544" t="s">
        <v>1674</v>
      </c>
      <c r="D287" s="544" t="s">
        <v>2723</v>
      </c>
      <c r="E287" s="542" t="s">
        <v>2677</v>
      </c>
      <c r="G287" s="546"/>
      <c r="H287" s="546">
        <v>942.48</v>
      </c>
      <c r="I287" s="546"/>
      <c r="J287" s="542" t="s">
        <v>806</v>
      </c>
      <c r="K287" s="547">
        <v>1200</v>
      </c>
      <c r="L287" s="542" t="s">
        <v>806</v>
      </c>
      <c r="M287" s="548"/>
      <c r="N287" s="549">
        <v>0</v>
      </c>
      <c r="O287" s="544" t="s">
        <v>1674</v>
      </c>
      <c r="P287" s="544" t="s">
        <v>1674</v>
      </c>
      <c r="Q287" s="544" t="s">
        <v>2678</v>
      </c>
      <c r="R287" s="544" t="s">
        <v>1674</v>
      </c>
      <c r="S287" s="544" t="s">
        <v>1674</v>
      </c>
      <c r="T287" s="550"/>
      <c r="U287" s="544" t="s">
        <v>2679</v>
      </c>
      <c r="V287" s="547">
        <v>1726</v>
      </c>
      <c r="W287" s="548"/>
      <c r="Y287" s="544" t="s">
        <v>1674</v>
      </c>
      <c r="AA287" s="544" t="s">
        <v>1674</v>
      </c>
      <c r="AE287" s="551"/>
      <c r="AF287" s="544" t="s">
        <v>1674</v>
      </c>
      <c r="AG287" s="544" t="s">
        <v>1674</v>
      </c>
      <c r="AH287" s="544" t="s">
        <v>1674</v>
      </c>
      <c r="AI287" s="544" t="s">
        <v>1674</v>
      </c>
      <c r="AJ287" s="544" t="s">
        <v>1674</v>
      </c>
      <c r="AK287" s="544" t="s">
        <v>1674</v>
      </c>
      <c r="AL287" s="544" t="s">
        <v>1674</v>
      </c>
      <c r="AM287" s="544" t="s">
        <v>1674</v>
      </c>
      <c r="AN287" s="544" t="s">
        <v>1674</v>
      </c>
      <c r="AP287" s="552">
        <f t="shared" si="4"/>
        <v>0</v>
      </c>
    </row>
    <row r="288" spans="1:42" outlineLevel="1" x14ac:dyDescent="0.25">
      <c r="A288" s="544" t="s">
        <v>1674</v>
      </c>
      <c r="B288" s="545">
        <v>0</v>
      </c>
      <c r="C288" s="544" t="s">
        <v>1674</v>
      </c>
      <c r="D288" s="544" t="s">
        <v>2723</v>
      </c>
      <c r="E288" s="542" t="s">
        <v>2677</v>
      </c>
      <c r="G288" s="546"/>
      <c r="H288" s="546">
        <v>9.52</v>
      </c>
      <c r="I288" s="546"/>
      <c r="J288" s="542" t="s">
        <v>806</v>
      </c>
      <c r="K288" s="547">
        <v>8736</v>
      </c>
      <c r="L288" s="542" t="s">
        <v>806</v>
      </c>
      <c r="M288" s="548"/>
      <c r="N288" s="549">
        <v>0</v>
      </c>
      <c r="O288" s="544" t="s">
        <v>1674</v>
      </c>
      <c r="P288" s="544" t="s">
        <v>1674</v>
      </c>
      <c r="Q288" s="544" t="s">
        <v>2678</v>
      </c>
      <c r="R288" s="544" t="s">
        <v>1674</v>
      </c>
      <c r="S288" s="544" t="s">
        <v>1674</v>
      </c>
      <c r="T288" s="550">
        <v>19</v>
      </c>
      <c r="U288" s="544" t="s">
        <v>2679</v>
      </c>
      <c r="V288" s="547">
        <v>1726</v>
      </c>
      <c r="W288" s="548"/>
      <c r="Y288" s="544" t="s">
        <v>1674</v>
      </c>
      <c r="AA288" s="544" t="s">
        <v>1674</v>
      </c>
      <c r="AE288" s="551"/>
      <c r="AF288" s="544" t="s">
        <v>1674</v>
      </c>
      <c r="AG288" s="544" t="s">
        <v>1674</v>
      </c>
      <c r="AH288" s="544" t="s">
        <v>1674</v>
      </c>
      <c r="AI288" s="544" t="s">
        <v>1674</v>
      </c>
      <c r="AJ288" s="544" t="s">
        <v>1674</v>
      </c>
      <c r="AK288" s="544" t="s">
        <v>1674</v>
      </c>
      <c r="AL288" s="544" t="s">
        <v>1674</v>
      </c>
      <c r="AM288" s="544" t="s">
        <v>1674</v>
      </c>
      <c r="AN288" s="544" t="s">
        <v>1674</v>
      </c>
      <c r="AP288" s="552">
        <f t="shared" si="4"/>
        <v>0</v>
      </c>
    </row>
    <row r="289" spans="1:42" outlineLevel="1" x14ac:dyDescent="0.25">
      <c r="A289" s="544" t="s">
        <v>1674</v>
      </c>
      <c r="B289" s="545">
        <v>0</v>
      </c>
      <c r="C289" s="544" t="s">
        <v>1674</v>
      </c>
      <c r="D289" s="544" t="s">
        <v>2723</v>
      </c>
      <c r="E289" s="542" t="s">
        <v>2680</v>
      </c>
      <c r="G289" s="546"/>
      <c r="H289" s="546">
        <v>942.48</v>
      </c>
      <c r="I289" s="546"/>
      <c r="J289" s="542" t="s">
        <v>806</v>
      </c>
      <c r="K289" s="547">
        <v>1200</v>
      </c>
      <c r="L289" s="542" t="s">
        <v>806</v>
      </c>
      <c r="M289" s="548"/>
      <c r="N289" s="549">
        <v>0</v>
      </c>
      <c r="O289" s="544" t="s">
        <v>1674</v>
      </c>
      <c r="P289" s="544" t="s">
        <v>1674</v>
      </c>
      <c r="Q289" s="544" t="s">
        <v>2681</v>
      </c>
      <c r="R289" s="544" t="s">
        <v>1674</v>
      </c>
      <c r="S289" s="544" t="s">
        <v>1674</v>
      </c>
      <c r="T289" s="550"/>
      <c r="U289" s="544" t="s">
        <v>2682</v>
      </c>
      <c r="V289" s="547">
        <v>1576</v>
      </c>
      <c r="W289" s="548"/>
      <c r="Y289" s="544" t="s">
        <v>1674</v>
      </c>
      <c r="AA289" s="544" t="s">
        <v>1674</v>
      </c>
      <c r="AE289" s="551"/>
      <c r="AF289" s="544" t="s">
        <v>1674</v>
      </c>
      <c r="AG289" s="544" t="s">
        <v>1674</v>
      </c>
      <c r="AH289" s="544" t="s">
        <v>1674</v>
      </c>
      <c r="AI289" s="544" t="s">
        <v>1674</v>
      </c>
      <c r="AJ289" s="544" t="s">
        <v>1674</v>
      </c>
      <c r="AK289" s="544" t="s">
        <v>1674</v>
      </c>
      <c r="AL289" s="544" t="s">
        <v>1674</v>
      </c>
      <c r="AM289" s="544" t="s">
        <v>1674</v>
      </c>
      <c r="AN289" s="544" t="s">
        <v>1674</v>
      </c>
      <c r="AP289" s="552">
        <f t="shared" si="4"/>
        <v>0</v>
      </c>
    </row>
    <row r="290" spans="1:42" outlineLevel="1" x14ac:dyDescent="0.25">
      <c r="A290" s="544" t="s">
        <v>1674</v>
      </c>
      <c r="B290" s="545">
        <v>0</v>
      </c>
      <c r="C290" s="544" t="s">
        <v>1674</v>
      </c>
      <c r="D290" s="544" t="s">
        <v>2723</v>
      </c>
      <c r="E290" s="542" t="s">
        <v>2680</v>
      </c>
      <c r="G290" s="546"/>
      <c r="H290" s="546">
        <v>9.52</v>
      </c>
      <c r="I290" s="546"/>
      <c r="J290" s="542" t="s">
        <v>806</v>
      </c>
      <c r="K290" s="547">
        <v>8736</v>
      </c>
      <c r="L290" s="542" t="s">
        <v>806</v>
      </c>
      <c r="M290" s="548"/>
      <c r="N290" s="549">
        <v>0</v>
      </c>
      <c r="O290" s="544" t="s">
        <v>1674</v>
      </c>
      <c r="P290" s="544" t="s">
        <v>1674</v>
      </c>
      <c r="Q290" s="544" t="s">
        <v>2681</v>
      </c>
      <c r="R290" s="544" t="s">
        <v>1674</v>
      </c>
      <c r="S290" s="544" t="s">
        <v>1674</v>
      </c>
      <c r="T290" s="550">
        <v>19</v>
      </c>
      <c r="U290" s="544" t="s">
        <v>2682</v>
      </c>
      <c r="V290" s="547">
        <v>1576</v>
      </c>
      <c r="W290" s="548"/>
      <c r="Y290" s="544" t="s">
        <v>1674</v>
      </c>
      <c r="AA290" s="544" t="s">
        <v>1674</v>
      </c>
      <c r="AE290" s="551"/>
      <c r="AF290" s="544" t="s">
        <v>1674</v>
      </c>
      <c r="AG290" s="544" t="s">
        <v>1674</v>
      </c>
      <c r="AH290" s="544" t="s">
        <v>1674</v>
      </c>
      <c r="AI290" s="544" t="s">
        <v>1674</v>
      </c>
      <c r="AJ290" s="544" t="s">
        <v>1674</v>
      </c>
      <c r="AK290" s="544" t="s">
        <v>1674</v>
      </c>
      <c r="AL290" s="544" t="s">
        <v>1674</v>
      </c>
      <c r="AM290" s="544" t="s">
        <v>1674</v>
      </c>
      <c r="AN290" s="544" t="s">
        <v>1674</v>
      </c>
      <c r="AP290" s="552">
        <f t="shared" si="4"/>
        <v>0</v>
      </c>
    </row>
    <row r="291" spans="1:42" outlineLevel="1" x14ac:dyDescent="0.25">
      <c r="A291" s="544" t="s">
        <v>1674</v>
      </c>
      <c r="B291" s="545">
        <v>0</v>
      </c>
      <c r="C291" s="544" t="s">
        <v>1674</v>
      </c>
      <c r="D291" s="544" t="s">
        <v>2723</v>
      </c>
      <c r="E291" s="542" t="s">
        <v>2683</v>
      </c>
      <c r="G291" s="546"/>
      <c r="H291" s="546">
        <v>942.48</v>
      </c>
      <c r="I291" s="546"/>
      <c r="J291" s="542" t="s">
        <v>806</v>
      </c>
      <c r="K291" s="547">
        <v>1200</v>
      </c>
      <c r="L291" s="542" t="s">
        <v>806</v>
      </c>
      <c r="M291" s="548"/>
      <c r="N291" s="549">
        <v>0</v>
      </c>
      <c r="O291" s="544" t="s">
        <v>1674</v>
      </c>
      <c r="P291" s="544" t="s">
        <v>1674</v>
      </c>
      <c r="Q291" s="544" t="s">
        <v>2684</v>
      </c>
      <c r="R291" s="544" t="s">
        <v>1674</v>
      </c>
      <c r="S291" s="544" t="s">
        <v>1674</v>
      </c>
      <c r="T291" s="550"/>
      <c r="U291" s="544" t="s">
        <v>2685</v>
      </c>
      <c r="V291" s="547">
        <v>1708</v>
      </c>
      <c r="W291" s="548"/>
      <c r="Y291" s="544" t="s">
        <v>1674</v>
      </c>
      <c r="AA291" s="544" t="s">
        <v>1674</v>
      </c>
      <c r="AE291" s="551"/>
      <c r="AF291" s="544" t="s">
        <v>1674</v>
      </c>
      <c r="AG291" s="544" t="s">
        <v>1674</v>
      </c>
      <c r="AH291" s="544" t="s">
        <v>1674</v>
      </c>
      <c r="AI291" s="544" t="s">
        <v>1674</v>
      </c>
      <c r="AJ291" s="544" t="s">
        <v>1674</v>
      </c>
      <c r="AK291" s="544" t="s">
        <v>1674</v>
      </c>
      <c r="AL291" s="544" t="s">
        <v>1674</v>
      </c>
      <c r="AM291" s="544" t="s">
        <v>1674</v>
      </c>
      <c r="AN291" s="544" t="s">
        <v>1674</v>
      </c>
      <c r="AP291" s="552">
        <f t="shared" si="4"/>
        <v>0</v>
      </c>
    </row>
    <row r="292" spans="1:42" outlineLevel="1" x14ac:dyDescent="0.25">
      <c r="A292" s="544" t="s">
        <v>1674</v>
      </c>
      <c r="B292" s="545">
        <v>0</v>
      </c>
      <c r="C292" s="544" t="s">
        <v>1674</v>
      </c>
      <c r="D292" s="544" t="s">
        <v>2723</v>
      </c>
      <c r="E292" s="542" t="s">
        <v>2683</v>
      </c>
      <c r="G292" s="546"/>
      <c r="H292" s="546">
        <v>9.52</v>
      </c>
      <c r="I292" s="546"/>
      <c r="J292" s="542" t="s">
        <v>806</v>
      </c>
      <c r="K292" s="547">
        <v>8736</v>
      </c>
      <c r="L292" s="542" t="s">
        <v>806</v>
      </c>
      <c r="M292" s="548"/>
      <c r="N292" s="549">
        <v>0</v>
      </c>
      <c r="O292" s="544" t="s">
        <v>1674</v>
      </c>
      <c r="P292" s="544" t="s">
        <v>1674</v>
      </c>
      <c r="Q292" s="544" t="s">
        <v>2684</v>
      </c>
      <c r="R292" s="544" t="s">
        <v>1674</v>
      </c>
      <c r="S292" s="544" t="s">
        <v>1674</v>
      </c>
      <c r="T292" s="550">
        <v>19</v>
      </c>
      <c r="U292" s="544" t="s">
        <v>2685</v>
      </c>
      <c r="V292" s="547">
        <v>1708</v>
      </c>
      <c r="W292" s="548"/>
      <c r="Y292" s="544" t="s">
        <v>1674</v>
      </c>
      <c r="AA292" s="544" t="s">
        <v>1674</v>
      </c>
      <c r="AE292" s="551"/>
      <c r="AF292" s="544" t="s">
        <v>1674</v>
      </c>
      <c r="AG292" s="544" t="s">
        <v>1674</v>
      </c>
      <c r="AH292" s="544" t="s">
        <v>1674</v>
      </c>
      <c r="AI292" s="544" t="s">
        <v>1674</v>
      </c>
      <c r="AJ292" s="544" t="s">
        <v>1674</v>
      </c>
      <c r="AK292" s="544" t="s">
        <v>1674</v>
      </c>
      <c r="AL292" s="544" t="s">
        <v>1674</v>
      </c>
      <c r="AM292" s="544" t="s">
        <v>1674</v>
      </c>
      <c r="AN292" s="544" t="s">
        <v>1674</v>
      </c>
      <c r="AP292" s="552">
        <f t="shared" si="4"/>
        <v>0</v>
      </c>
    </row>
    <row r="293" spans="1:42" outlineLevel="1" x14ac:dyDescent="0.25">
      <c r="A293" s="544" t="s">
        <v>1674</v>
      </c>
      <c r="B293" s="545">
        <v>0</v>
      </c>
      <c r="C293" s="544" t="s">
        <v>1674</v>
      </c>
      <c r="D293" s="544" t="s">
        <v>2723</v>
      </c>
      <c r="E293" s="542" t="s">
        <v>2686</v>
      </c>
      <c r="G293" s="546"/>
      <c r="H293" s="546">
        <v>942.48</v>
      </c>
      <c r="I293" s="546"/>
      <c r="J293" s="542" t="s">
        <v>806</v>
      </c>
      <c r="K293" s="547">
        <v>1200</v>
      </c>
      <c r="L293" s="542" t="s">
        <v>806</v>
      </c>
      <c r="M293" s="548"/>
      <c r="N293" s="549">
        <v>0</v>
      </c>
      <c r="O293" s="544" t="s">
        <v>1674</v>
      </c>
      <c r="P293" s="544" t="s">
        <v>1674</v>
      </c>
      <c r="Q293" s="544" t="s">
        <v>2687</v>
      </c>
      <c r="R293" s="544" t="s">
        <v>1674</v>
      </c>
      <c r="S293" s="544" t="s">
        <v>1674</v>
      </c>
      <c r="T293" s="550"/>
      <c r="U293" s="544" t="s">
        <v>2688</v>
      </c>
      <c r="V293" s="547">
        <v>1490</v>
      </c>
      <c r="W293" s="548"/>
      <c r="Y293" s="544" t="s">
        <v>1674</v>
      </c>
      <c r="AA293" s="544" t="s">
        <v>1674</v>
      </c>
      <c r="AE293" s="551"/>
      <c r="AF293" s="544" t="s">
        <v>1674</v>
      </c>
      <c r="AG293" s="544" t="s">
        <v>1674</v>
      </c>
      <c r="AH293" s="544" t="s">
        <v>1674</v>
      </c>
      <c r="AI293" s="544" t="s">
        <v>1674</v>
      </c>
      <c r="AJ293" s="544" t="s">
        <v>1674</v>
      </c>
      <c r="AK293" s="544" t="s">
        <v>1674</v>
      </c>
      <c r="AL293" s="544" t="s">
        <v>1674</v>
      </c>
      <c r="AM293" s="544" t="s">
        <v>1674</v>
      </c>
      <c r="AN293" s="544" t="s">
        <v>1674</v>
      </c>
      <c r="AP293" s="552">
        <f t="shared" si="4"/>
        <v>0</v>
      </c>
    </row>
    <row r="294" spans="1:42" outlineLevel="1" x14ac:dyDescent="0.25">
      <c r="A294" s="544" t="s">
        <v>1674</v>
      </c>
      <c r="B294" s="545">
        <v>0</v>
      </c>
      <c r="C294" s="544" t="s">
        <v>1674</v>
      </c>
      <c r="D294" s="544" t="s">
        <v>2723</v>
      </c>
      <c r="E294" s="542" t="s">
        <v>2686</v>
      </c>
      <c r="G294" s="546"/>
      <c r="H294" s="546">
        <v>9.52</v>
      </c>
      <c r="I294" s="546"/>
      <c r="J294" s="542" t="s">
        <v>806</v>
      </c>
      <c r="K294" s="547">
        <v>8736</v>
      </c>
      <c r="L294" s="542" t="s">
        <v>806</v>
      </c>
      <c r="M294" s="548"/>
      <c r="N294" s="549">
        <v>0</v>
      </c>
      <c r="O294" s="544" t="s">
        <v>1674</v>
      </c>
      <c r="P294" s="544" t="s">
        <v>1674</v>
      </c>
      <c r="Q294" s="544" t="s">
        <v>2687</v>
      </c>
      <c r="R294" s="544" t="s">
        <v>1674</v>
      </c>
      <c r="S294" s="544" t="s">
        <v>1674</v>
      </c>
      <c r="T294" s="550">
        <v>19</v>
      </c>
      <c r="U294" s="544" t="s">
        <v>2688</v>
      </c>
      <c r="V294" s="547">
        <v>1490</v>
      </c>
      <c r="W294" s="548"/>
      <c r="Y294" s="544" t="s">
        <v>1674</v>
      </c>
      <c r="AA294" s="544" t="s">
        <v>1674</v>
      </c>
      <c r="AE294" s="551"/>
      <c r="AF294" s="544" t="s">
        <v>1674</v>
      </c>
      <c r="AG294" s="544" t="s">
        <v>1674</v>
      </c>
      <c r="AH294" s="544" t="s">
        <v>1674</v>
      </c>
      <c r="AI294" s="544" t="s">
        <v>1674</v>
      </c>
      <c r="AJ294" s="544" t="s">
        <v>1674</v>
      </c>
      <c r="AK294" s="544" t="s">
        <v>1674</v>
      </c>
      <c r="AL294" s="544" t="s">
        <v>1674</v>
      </c>
      <c r="AM294" s="544" t="s">
        <v>1674</v>
      </c>
      <c r="AN294" s="544" t="s">
        <v>1674</v>
      </c>
      <c r="AP294" s="552">
        <f t="shared" si="4"/>
        <v>0</v>
      </c>
    </row>
    <row r="295" spans="1:42" outlineLevel="1" x14ac:dyDescent="0.25">
      <c r="A295" s="544" t="s">
        <v>1674</v>
      </c>
      <c r="B295" s="545">
        <v>0</v>
      </c>
      <c r="C295" s="544" t="s">
        <v>1674</v>
      </c>
      <c r="D295" s="544" t="s">
        <v>2723</v>
      </c>
      <c r="E295" s="542" t="s">
        <v>2689</v>
      </c>
      <c r="G295" s="546"/>
      <c r="H295" s="546">
        <v>942.48</v>
      </c>
      <c r="I295" s="546"/>
      <c r="J295" s="542" t="s">
        <v>806</v>
      </c>
      <c r="K295" s="547">
        <v>1200</v>
      </c>
      <c r="L295" s="542" t="s">
        <v>806</v>
      </c>
      <c r="M295" s="548"/>
      <c r="N295" s="549">
        <v>0</v>
      </c>
      <c r="O295" s="544" t="s">
        <v>1674</v>
      </c>
      <c r="P295" s="544" t="s">
        <v>1674</v>
      </c>
      <c r="Q295" s="544" t="s">
        <v>2690</v>
      </c>
      <c r="R295" s="544" t="s">
        <v>1674</v>
      </c>
      <c r="S295" s="544" t="s">
        <v>1674</v>
      </c>
      <c r="T295" s="550"/>
      <c r="U295" s="544" t="s">
        <v>2691</v>
      </c>
      <c r="V295" s="547">
        <v>1707</v>
      </c>
      <c r="W295" s="548"/>
      <c r="Y295" s="544" t="s">
        <v>1674</v>
      </c>
      <c r="AA295" s="544" t="s">
        <v>1674</v>
      </c>
      <c r="AE295" s="551"/>
      <c r="AF295" s="544" t="s">
        <v>1674</v>
      </c>
      <c r="AG295" s="544" t="s">
        <v>1674</v>
      </c>
      <c r="AH295" s="544" t="s">
        <v>1674</v>
      </c>
      <c r="AI295" s="544" t="s">
        <v>1674</v>
      </c>
      <c r="AJ295" s="544" t="s">
        <v>1674</v>
      </c>
      <c r="AK295" s="544" t="s">
        <v>1674</v>
      </c>
      <c r="AL295" s="544" t="s">
        <v>1674</v>
      </c>
      <c r="AM295" s="544" t="s">
        <v>1674</v>
      </c>
      <c r="AN295" s="544" t="s">
        <v>1674</v>
      </c>
      <c r="AP295" s="552">
        <f t="shared" si="4"/>
        <v>0</v>
      </c>
    </row>
    <row r="296" spans="1:42" outlineLevel="1" x14ac:dyDescent="0.25">
      <c r="A296" s="544" t="s">
        <v>1674</v>
      </c>
      <c r="B296" s="545">
        <v>0</v>
      </c>
      <c r="C296" s="544" t="s">
        <v>1674</v>
      </c>
      <c r="D296" s="544" t="s">
        <v>2723</v>
      </c>
      <c r="E296" s="542" t="s">
        <v>2689</v>
      </c>
      <c r="G296" s="546"/>
      <c r="H296" s="546">
        <v>9.52</v>
      </c>
      <c r="I296" s="546"/>
      <c r="J296" s="542" t="s">
        <v>806</v>
      </c>
      <c r="K296" s="547">
        <v>8736</v>
      </c>
      <c r="L296" s="542" t="s">
        <v>806</v>
      </c>
      <c r="M296" s="548"/>
      <c r="N296" s="549">
        <v>0</v>
      </c>
      <c r="O296" s="544" t="s">
        <v>1674</v>
      </c>
      <c r="P296" s="544" t="s">
        <v>1674</v>
      </c>
      <c r="Q296" s="544" t="s">
        <v>2690</v>
      </c>
      <c r="R296" s="544" t="s">
        <v>1674</v>
      </c>
      <c r="S296" s="544" t="s">
        <v>1674</v>
      </c>
      <c r="T296" s="550">
        <v>19</v>
      </c>
      <c r="U296" s="544" t="s">
        <v>2691</v>
      </c>
      <c r="V296" s="547">
        <v>1708</v>
      </c>
      <c r="W296" s="548"/>
      <c r="Y296" s="544" t="s">
        <v>1674</v>
      </c>
      <c r="AA296" s="544" t="s">
        <v>1674</v>
      </c>
      <c r="AE296" s="551"/>
      <c r="AF296" s="544" t="s">
        <v>1674</v>
      </c>
      <c r="AG296" s="544" t="s">
        <v>1674</v>
      </c>
      <c r="AH296" s="544" t="s">
        <v>1674</v>
      </c>
      <c r="AI296" s="544" t="s">
        <v>1674</v>
      </c>
      <c r="AJ296" s="544" t="s">
        <v>1674</v>
      </c>
      <c r="AK296" s="544" t="s">
        <v>1674</v>
      </c>
      <c r="AL296" s="544" t="s">
        <v>1674</v>
      </c>
      <c r="AM296" s="544" t="s">
        <v>1674</v>
      </c>
      <c r="AN296" s="544" t="s">
        <v>1674</v>
      </c>
      <c r="AP296" s="552">
        <f t="shared" si="4"/>
        <v>0</v>
      </c>
    </row>
    <row r="297" spans="1:42" outlineLevel="1" x14ac:dyDescent="0.25">
      <c r="A297" s="544" t="s">
        <v>1674</v>
      </c>
      <c r="B297" s="545">
        <v>0</v>
      </c>
      <c r="C297" s="544" t="s">
        <v>1674</v>
      </c>
      <c r="D297" s="544" t="s">
        <v>2723</v>
      </c>
      <c r="E297" s="542" t="s">
        <v>2692</v>
      </c>
      <c r="G297" s="546"/>
      <c r="H297" s="546">
        <v>942.48</v>
      </c>
      <c r="I297" s="546"/>
      <c r="J297" s="542" t="s">
        <v>806</v>
      </c>
      <c r="K297" s="547">
        <v>1200</v>
      </c>
      <c r="L297" s="542" t="s">
        <v>806</v>
      </c>
      <c r="M297" s="548"/>
      <c r="N297" s="549">
        <v>0</v>
      </c>
      <c r="O297" s="544" t="s">
        <v>1674</v>
      </c>
      <c r="P297" s="544" t="s">
        <v>1674</v>
      </c>
      <c r="Q297" s="544" t="s">
        <v>2693</v>
      </c>
      <c r="R297" s="544" t="s">
        <v>1674</v>
      </c>
      <c r="S297" s="544" t="s">
        <v>1674</v>
      </c>
      <c r="T297" s="550"/>
      <c r="U297" s="544" t="s">
        <v>2694</v>
      </c>
      <c r="V297" s="547">
        <v>1831</v>
      </c>
      <c r="W297" s="548"/>
      <c r="Y297" s="544" t="s">
        <v>1674</v>
      </c>
      <c r="AA297" s="544" t="s">
        <v>1674</v>
      </c>
      <c r="AE297" s="551"/>
      <c r="AF297" s="544" t="s">
        <v>1674</v>
      </c>
      <c r="AG297" s="544" t="s">
        <v>1674</v>
      </c>
      <c r="AH297" s="544" t="s">
        <v>1674</v>
      </c>
      <c r="AI297" s="544" t="s">
        <v>1674</v>
      </c>
      <c r="AJ297" s="544" t="s">
        <v>1674</v>
      </c>
      <c r="AK297" s="544" t="s">
        <v>1674</v>
      </c>
      <c r="AL297" s="544" t="s">
        <v>1674</v>
      </c>
      <c r="AM297" s="544" t="s">
        <v>1674</v>
      </c>
      <c r="AN297" s="544" t="s">
        <v>1674</v>
      </c>
      <c r="AP297" s="552">
        <f t="shared" si="4"/>
        <v>0</v>
      </c>
    </row>
    <row r="298" spans="1:42" outlineLevel="1" x14ac:dyDescent="0.25">
      <c r="A298" s="544" t="s">
        <v>1674</v>
      </c>
      <c r="B298" s="545">
        <v>0</v>
      </c>
      <c r="C298" s="544" t="s">
        <v>1674</v>
      </c>
      <c r="D298" s="544" t="s">
        <v>2723</v>
      </c>
      <c r="E298" s="542" t="s">
        <v>2692</v>
      </c>
      <c r="G298" s="546"/>
      <c r="H298" s="546">
        <v>9.52</v>
      </c>
      <c r="I298" s="546"/>
      <c r="J298" s="542" t="s">
        <v>806</v>
      </c>
      <c r="K298" s="547">
        <v>8736</v>
      </c>
      <c r="L298" s="542" t="s">
        <v>806</v>
      </c>
      <c r="M298" s="548"/>
      <c r="N298" s="549">
        <v>0</v>
      </c>
      <c r="O298" s="544" t="s">
        <v>1674</v>
      </c>
      <c r="P298" s="544" t="s">
        <v>1674</v>
      </c>
      <c r="Q298" s="544" t="s">
        <v>2693</v>
      </c>
      <c r="R298" s="544" t="s">
        <v>1674</v>
      </c>
      <c r="S298" s="544" t="s">
        <v>1674</v>
      </c>
      <c r="T298" s="550">
        <v>19</v>
      </c>
      <c r="U298" s="544" t="s">
        <v>2694</v>
      </c>
      <c r="V298" s="547">
        <v>1832</v>
      </c>
      <c r="W298" s="548"/>
      <c r="Y298" s="544" t="s">
        <v>1674</v>
      </c>
      <c r="AA298" s="544" t="s">
        <v>1674</v>
      </c>
      <c r="AE298" s="551"/>
      <c r="AF298" s="544" t="s">
        <v>1674</v>
      </c>
      <c r="AG298" s="544" t="s">
        <v>1674</v>
      </c>
      <c r="AH298" s="544" t="s">
        <v>1674</v>
      </c>
      <c r="AI298" s="544" t="s">
        <v>1674</v>
      </c>
      <c r="AJ298" s="544" t="s">
        <v>1674</v>
      </c>
      <c r="AK298" s="544" t="s">
        <v>1674</v>
      </c>
      <c r="AL298" s="544" t="s">
        <v>1674</v>
      </c>
      <c r="AM298" s="544" t="s">
        <v>1674</v>
      </c>
      <c r="AN298" s="544" t="s">
        <v>1674</v>
      </c>
      <c r="AP298" s="552">
        <f t="shared" si="4"/>
        <v>0</v>
      </c>
    </row>
    <row r="299" spans="1:42" outlineLevel="1" x14ac:dyDescent="0.25">
      <c r="A299" s="544" t="s">
        <v>1674</v>
      </c>
      <c r="B299" s="545">
        <v>0</v>
      </c>
      <c r="C299" s="544" t="s">
        <v>1674</v>
      </c>
      <c r="D299" s="544" t="s">
        <v>2723</v>
      </c>
      <c r="E299" s="542" t="s">
        <v>2695</v>
      </c>
      <c r="G299" s="546"/>
      <c r="H299" s="546">
        <v>942.48</v>
      </c>
      <c r="I299" s="546"/>
      <c r="J299" s="542" t="s">
        <v>806</v>
      </c>
      <c r="K299" s="547">
        <v>1200</v>
      </c>
      <c r="L299" s="542" t="s">
        <v>806</v>
      </c>
      <c r="M299" s="548"/>
      <c r="N299" s="549">
        <v>0</v>
      </c>
      <c r="O299" s="544" t="s">
        <v>1674</v>
      </c>
      <c r="P299" s="544" t="s">
        <v>1674</v>
      </c>
      <c r="Q299" s="544" t="s">
        <v>2696</v>
      </c>
      <c r="R299" s="544" t="s">
        <v>1674</v>
      </c>
      <c r="S299" s="544" t="s">
        <v>1674</v>
      </c>
      <c r="T299" s="550"/>
      <c r="U299" s="544" t="s">
        <v>2697</v>
      </c>
      <c r="V299" s="547">
        <v>1618</v>
      </c>
      <c r="W299" s="548"/>
      <c r="Y299" s="544" t="s">
        <v>1674</v>
      </c>
      <c r="AA299" s="544" t="s">
        <v>1674</v>
      </c>
      <c r="AE299" s="551"/>
      <c r="AF299" s="544" t="s">
        <v>1674</v>
      </c>
      <c r="AG299" s="544" t="s">
        <v>1674</v>
      </c>
      <c r="AH299" s="544" t="s">
        <v>1674</v>
      </c>
      <c r="AI299" s="544" t="s">
        <v>1674</v>
      </c>
      <c r="AJ299" s="544" t="s">
        <v>1674</v>
      </c>
      <c r="AK299" s="544" t="s">
        <v>1674</v>
      </c>
      <c r="AL299" s="544" t="s">
        <v>1674</v>
      </c>
      <c r="AM299" s="544" t="s">
        <v>1674</v>
      </c>
      <c r="AN299" s="544" t="s">
        <v>1674</v>
      </c>
      <c r="AP299" s="552">
        <f t="shared" si="4"/>
        <v>0</v>
      </c>
    </row>
    <row r="300" spans="1:42" outlineLevel="1" x14ac:dyDescent="0.25">
      <c r="A300" s="544" t="s">
        <v>1674</v>
      </c>
      <c r="B300" s="545">
        <v>0</v>
      </c>
      <c r="C300" s="544" t="s">
        <v>1674</v>
      </c>
      <c r="D300" s="544" t="s">
        <v>2723</v>
      </c>
      <c r="E300" s="542" t="s">
        <v>2695</v>
      </c>
      <c r="G300" s="546"/>
      <c r="H300" s="546">
        <v>9.52</v>
      </c>
      <c r="I300" s="546"/>
      <c r="J300" s="542" t="s">
        <v>806</v>
      </c>
      <c r="K300" s="547">
        <v>8736</v>
      </c>
      <c r="L300" s="542" t="s">
        <v>806</v>
      </c>
      <c r="M300" s="548"/>
      <c r="N300" s="549">
        <v>0</v>
      </c>
      <c r="O300" s="544" t="s">
        <v>1674</v>
      </c>
      <c r="P300" s="544" t="s">
        <v>1674</v>
      </c>
      <c r="Q300" s="544" t="s">
        <v>2696</v>
      </c>
      <c r="R300" s="544" t="s">
        <v>1674</v>
      </c>
      <c r="S300" s="544" t="s">
        <v>1674</v>
      </c>
      <c r="T300" s="550">
        <v>19</v>
      </c>
      <c r="U300" s="544" t="s">
        <v>2697</v>
      </c>
      <c r="V300" s="547">
        <v>1619</v>
      </c>
      <c r="W300" s="548"/>
      <c r="Y300" s="544" t="s">
        <v>1674</v>
      </c>
      <c r="AA300" s="544" t="s">
        <v>1674</v>
      </c>
      <c r="AE300" s="551"/>
      <c r="AF300" s="544" t="s">
        <v>1674</v>
      </c>
      <c r="AG300" s="544" t="s">
        <v>1674</v>
      </c>
      <c r="AH300" s="544" t="s">
        <v>1674</v>
      </c>
      <c r="AI300" s="544" t="s">
        <v>1674</v>
      </c>
      <c r="AJ300" s="544" t="s">
        <v>1674</v>
      </c>
      <c r="AK300" s="544" t="s">
        <v>1674</v>
      </c>
      <c r="AL300" s="544" t="s">
        <v>1674</v>
      </c>
      <c r="AM300" s="544" t="s">
        <v>1674</v>
      </c>
      <c r="AN300" s="544" t="s">
        <v>1674</v>
      </c>
      <c r="AP300" s="552">
        <f t="shared" si="4"/>
        <v>0</v>
      </c>
    </row>
    <row r="301" spans="1:42" outlineLevel="1" x14ac:dyDescent="0.25">
      <c r="A301" s="544" t="s">
        <v>1674</v>
      </c>
      <c r="B301" s="545">
        <v>0</v>
      </c>
      <c r="C301" s="544" t="s">
        <v>1674</v>
      </c>
      <c r="D301" s="544" t="s">
        <v>2723</v>
      </c>
      <c r="E301" s="542" t="s">
        <v>2698</v>
      </c>
      <c r="G301" s="546"/>
      <c r="H301" s="546">
        <v>942.48</v>
      </c>
      <c r="I301" s="546"/>
      <c r="J301" s="542" t="s">
        <v>806</v>
      </c>
      <c r="K301" s="547">
        <v>1200</v>
      </c>
      <c r="L301" s="542" t="s">
        <v>806</v>
      </c>
      <c r="M301" s="548"/>
      <c r="N301" s="549">
        <v>0</v>
      </c>
      <c r="O301" s="544" t="s">
        <v>1674</v>
      </c>
      <c r="P301" s="544" t="s">
        <v>1674</v>
      </c>
      <c r="Q301" s="544" t="s">
        <v>2699</v>
      </c>
      <c r="R301" s="544" t="s">
        <v>1674</v>
      </c>
      <c r="S301" s="544" t="s">
        <v>1674</v>
      </c>
      <c r="T301" s="550"/>
      <c r="U301" s="544" t="s">
        <v>2700</v>
      </c>
      <c r="V301" s="547">
        <v>1596</v>
      </c>
      <c r="W301" s="548"/>
      <c r="Y301" s="544" t="s">
        <v>1674</v>
      </c>
      <c r="AA301" s="544" t="s">
        <v>1674</v>
      </c>
      <c r="AE301" s="551"/>
      <c r="AF301" s="544" t="s">
        <v>1674</v>
      </c>
      <c r="AG301" s="544" t="s">
        <v>1674</v>
      </c>
      <c r="AH301" s="544" t="s">
        <v>1674</v>
      </c>
      <c r="AI301" s="544" t="s">
        <v>1674</v>
      </c>
      <c r="AJ301" s="544" t="s">
        <v>1674</v>
      </c>
      <c r="AK301" s="544" t="s">
        <v>1674</v>
      </c>
      <c r="AL301" s="544" t="s">
        <v>1674</v>
      </c>
      <c r="AM301" s="544" t="s">
        <v>1674</v>
      </c>
      <c r="AN301" s="544" t="s">
        <v>1674</v>
      </c>
      <c r="AP301" s="552">
        <f t="shared" si="4"/>
        <v>0</v>
      </c>
    </row>
    <row r="302" spans="1:42" outlineLevel="1" x14ac:dyDescent="0.25">
      <c r="A302" s="544" t="s">
        <v>2722</v>
      </c>
      <c r="B302" s="545">
        <v>0</v>
      </c>
      <c r="C302" s="544" t="s">
        <v>1674</v>
      </c>
      <c r="D302" s="544" t="s">
        <v>2727</v>
      </c>
      <c r="E302" s="542" t="s">
        <v>2728</v>
      </c>
      <c r="F302" s="542" t="s">
        <v>2729</v>
      </c>
      <c r="G302" s="546">
        <v>17195.5</v>
      </c>
      <c r="H302" s="546"/>
      <c r="I302" s="546"/>
      <c r="J302" s="542" t="s">
        <v>806</v>
      </c>
      <c r="K302" s="547">
        <v>8820</v>
      </c>
      <c r="L302" s="542" t="s">
        <v>806</v>
      </c>
      <c r="M302" s="548"/>
      <c r="N302" s="549">
        <v>-317</v>
      </c>
      <c r="O302" s="544" t="s">
        <v>1674</v>
      </c>
      <c r="P302" s="544" t="s">
        <v>1674</v>
      </c>
      <c r="Q302" s="544" t="s">
        <v>2720</v>
      </c>
      <c r="R302" s="544" t="s">
        <v>2622</v>
      </c>
      <c r="S302" s="544" t="s">
        <v>1674</v>
      </c>
      <c r="T302" s="550">
        <v>19</v>
      </c>
      <c r="U302" s="544" t="s">
        <v>2667</v>
      </c>
      <c r="V302" s="547">
        <v>1185</v>
      </c>
      <c r="W302" s="548"/>
      <c r="Y302" s="544" t="s">
        <v>1674</v>
      </c>
      <c r="AA302" s="544" t="s">
        <v>1674</v>
      </c>
      <c r="AE302" s="551"/>
      <c r="AF302" s="544" t="s">
        <v>1674</v>
      </c>
      <c r="AG302" s="544" t="s">
        <v>1674</v>
      </c>
      <c r="AH302" s="544" t="s">
        <v>1674</v>
      </c>
      <c r="AI302" s="544" t="s">
        <v>1674</v>
      </c>
      <c r="AJ302" s="544" t="s">
        <v>1674</v>
      </c>
      <c r="AK302" s="544" t="s">
        <v>1674</v>
      </c>
      <c r="AL302" s="544" t="s">
        <v>1674</v>
      </c>
      <c r="AM302" s="544" t="s">
        <v>1674</v>
      </c>
      <c r="AN302" s="544" t="s">
        <v>1674</v>
      </c>
      <c r="AP302" s="552">
        <f t="shared" si="4"/>
        <v>0</v>
      </c>
    </row>
    <row r="303" spans="1:42" outlineLevel="1" x14ac:dyDescent="0.25">
      <c r="A303" s="544" t="s">
        <v>2722</v>
      </c>
      <c r="B303" s="545">
        <v>0</v>
      </c>
      <c r="C303" s="544" t="s">
        <v>1674</v>
      </c>
      <c r="D303" s="544" t="s">
        <v>2727</v>
      </c>
      <c r="E303" s="542" t="s">
        <v>2728</v>
      </c>
      <c r="F303" s="542" t="s">
        <v>2729</v>
      </c>
      <c r="G303" s="546">
        <v>3034.5</v>
      </c>
      <c r="H303" s="546"/>
      <c r="I303" s="546"/>
      <c r="J303" s="542" t="s">
        <v>806</v>
      </c>
      <c r="K303" s="547">
        <v>8820</v>
      </c>
      <c r="L303" s="542" t="s">
        <v>806</v>
      </c>
      <c r="M303" s="548"/>
      <c r="N303" s="549">
        <v>-317</v>
      </c>
      <c r="O303" s="544" t="s">
        <v>1674</v>
      </c>
      <c r="P303" s="544" t="s">
        <v>1674</v>
      </c>
      <c r="Q303" s="544" t="s">
        <v>2720</v>
      </c>
      <c r="R303" s="544" t="s">
        <v>1674</v>
      </c>
      <c r="S303" s="544" t="s">
        <v>1674</v>
      </c>
      <c r="T303" s="550">
        <v>19</v>
      </c>
      <c r="U303" s="544" t="s">
        <v>2667</v>
      </c>
      <c r="V303" s="547">
        <v>1186</v>
      </c>
      <c r="W303" s="548"/>
      <c r="Y303" s="544" t="s">
        <v>1674</v>
      </c>
      <c r="AA303" s="544" t="s">
        <v>1674</v>
      </c>
      <c r="AE303" s="551"/>
      <c r="AF303" s="544" t="s">
        <v>1674</v>
      </c>
      <c r="AG303" s="544" t="s">
        <v>1674</v>
      </c>
      <c r="AH303" s="544" t="s">
        <v>1674</v>
      </c>
      <c r="AI303" s="544" t="s">
        <v>1674</v>
      </c>
      <c r="AJ303" s="544" t="s">
        <v>1674</v>
      </c>
      <c r="AK303" s="544" t="s">
        <v>1674</v>
      </c>
      <c r="AL303" s="544" t="s">
        <v>1674</v>
      </c>
      <c r="AM303" s="544" t="s">
        <v>1674</v>
      </c>
      <c r="AN303" s="544" t="s">
        <v>1674</v>
      </c>
      <c r="AP303" s="552">
        <f t="shared" si="4"/>
        <v>0</v>
      </c>
    </row>
    <row r="304" spans="1:42" outlineLevel="1" x14ac:dyDescent="0.25">
      <c r="A304" s="544" t="s">
        <v>1674</v>
      </c>
      <c r="B304" s="545">
        <v>0</v>
      </c>
      <c r="C304" s="544" t="s">
        <v>1674</v>
      </c>
      <c r="D304" s="544" t="s">
        <v>2727</v>
      </c>
      <c r="E304" s="542" t="s">
        <v>2668</v>
      </c>
      <c r="G304" s="546"/>
      <c r="H304" s="546">
        <v>942.48</v>
      </c>
      <c r="I304" s="546"/>
      <c r="J304" s="542" t="s">
        <v>806</v>
      </c>
      <c r="K304" s="547">
        <v>1200</v>
      </c>
      <c r="L304" s="542" t="s">
        <v>806</v>
      </c>
      <c r="M304" s="548"/>
      <c r="N304" s="549">
        <v>0</v>
      </c>
      <c r="O304" s="544" t="s">
        <v>1674</v>
      </c>
      <c r="P304" s="544" t="s">
        <v>1674</v>
      </c>
      <c r="Q304" s="544" t="s">
        <v>2669</v>
      </c>
      <c r="R304" s="544" t="s">
        <v>1674</v>
      </c>
      <c r="S304" s="544" t="s">
        <v>1674</v>
      </c>
      <c r="T304" s="550"/>
      <c r="U304" s="544" t="s">
        <v>2670</v>
      </c>
      <c r="V304" s="547">
        <v>1604</v>
      </c>
      <c r="W304" s="548"/>
      <c r="Y304" s="544" t="s">
        <v>1674</v>
      </c>
      <c r="AA304" s="544" t="s">
        <v>1674</v>
      </c>
      <c r="AE304" s="551"/>
      <c r="AF304" s="544" t="s">
        <v>1674</v>
      </c>
      <c r="AG304" s="544" t="s">
        <v>1674</v>
      </c>
      <c r="AH304" s="544" t="s">
        <v>1674</v>
      </c>
      <c r="AI304" s="544" t="s">
        <v>1674</v>
      </c>
      <c r="AJ304" s="544" t="s">
        <v>1674</v>
      </c>
      <c r="AK304" s="544" t="s">
        <v>1674</v>
      </c>
      <c r="AL304" s="544" t="s">
        <v>1674</v>
      </c>
      <c r="AM304" s="544" t="s">
        <v>1674</v>
      </c>
      <c r="AN304" s="544" t="s">
        <v>1674</v>
      </c>
      <c r="AP304" s="552">
        <f t="shared" si="4"/>
        <v>0</v>
      </c>
    </row>
    <row r="305" spans="1:42" outlineLevel="1" x14ac:dyDescent="0.25">
      <c r="A305" s="544" t="s">
        <v>1674</v>
      </c>
      <c r="B305" s="545">
        <v>0</v>
      </c>
      <c r="C305" s="544" t="s">
        <v>1674</v>
      </c>
      <c r="D305" s="544" t="s">
        <v>2727</v>
      </c>
      <c r="E305" s="542" t="s">
        <v>2668</v>
      </c>
      <c r="G305" s="546"/>
      <c r="H305" s="546">
        <v>9.52</v>
      </c>
      <c r="I305" s="546"/>
      <c r="J305" s="542" t="s">
        <v>806</v>
      </c>
      <c r="K305" s="547">
        <v>8736</v>
      </c>
      <c r="L305" s="542" t="s">
        <v>806</v>
      </c>
      <c r="M305" s="548"/>
      <c r="N305" s="549">
        <v>0</v>
      </c>
      <c r="O305" s="544" t="s">
        <v>1674</v>
      </c>
      <c r="P305" s="544" t="s">
        <v>1674</v>
      </c>
      <c r="Q305" s="544" t="s">
        <v>2669</v>
      </c>
      <c r="R305" s="544" t="s">
        <v>1674</v>
      </c>
      <c r="S305" s="544" t="s">
        <v>1674</v>
      </c>
      <c r="T305" s="550">
        <v>19</v>
      </c>
      <c r="U305" s="544" t="s">
        <v>2670</v>
      </c>
      <c r="V305" s="547">
        <v>1604</v>
      </c>
      <c r="W305" s="548"/>
      <c r="Y305" s="544" t="s">
        <v>1674</v>
      </c>
      <c r="AA305" s="544" t="s">
        <v>1674</v>
      </c>
      <c r="AE305" s="551"/>
      <c r="AF305" s="544" t="s">
        <v>1674</v>
      </c>
      <c r="AG305" s="544" t="s">
        <v>1674</v>
      </c>
      <c r="AH305" s="544" t="s">
        <v>1674</v>
      </c>
      <c r="AI305" s="544" t="s">
        <v>1674</v>
      </c>
      <c r="AJ305" s="544" t="s">
        <v>1674</v>
      </c>
      <c r="AK305" s="544" t="s">
        <v>1674</v>
      </c>
      <c r="AL305" s="544" t="s">
        <v>1674</v>
      </c>
      <c r="AM305" s="544" t="s">
        <v>1674</v>
      </c>
      <c r="AN305" s="544" t="s">
        <v>1674</v>
      </c>
      <c r="AP305" s="552">
        <f t="shared" si="4"/>
        <v>0</v>
      </c>
    </row>
    <row r="306" spans="1:42" outlineLevel="1" x14ac:dyDescent="0.25">
      <c r="A306" s="544" t="s">
        <v>1674</v>
      </c>
      <c r="B306" s="545">
        <v>0</v>
      </c>
      <c r="C306" s="544" t="s">
        <v>1674</v>
      </c>
      <c r="D306" s="544" t="s">
        <v>2727</v>
      </c>
      <c r="E306" s="542" t="s">
        <v>2668</v>
      </c>
      <c r="G306" s="546"/>
      <c r="H306" s="546">
        <v>942.48</v>
      </c>
      <c r="I306" s="546"/>
      <c r="J306" s="542" t="s">
        <v>806</v>
      </c>
      <c r="K306" s="547">
        <v>1200</v>
      </c>
      <c r="L306" s="542" t="s">
        <v>806</v>
      </c>
      <c r="M306" s="548"/>
      <c r="N306" s="549">
        <v>0</v>
      </c>
      <c r="O306" s="544" t="s">
        <v>1674</v>
      </c>
      <c r="P306" s="544" t="s">
        <v>1674</v>
      </c>
      <c r="Q306" s="544" t="s">
        <v>2669</v>
      </c>
      <c r="R306" s="544" t="s">
        <v>1674</v>
      </c>
      <c r="S306" s="544" t="s">
        <v>1674</v>
      </c>
      <c r="T306" s="550"/>
      <c r="U306" s="544" t="s">
        <v>2670</v>
      </c>
      <c r="V306" s="547">
        <v>1605</v>
      </c>
      <c r="W306" s="548"/>
      <c r="Y306" s="544" t="s">
        <v>1674</v>
      </c>
      <c r="AA306" s="544" t="s">
        <v>1674</v>
      </c>
      <c r="AE306" s="551"/>
      <c r="AF306" s="544" t="s">
        <v>1674</v>
      </c>
      <c r="AG306" s="544" t="s">
        <v>1674</v>
      </c>
      <c r="AH306" s="544" t="s">
        <v>1674</v>
      </c>
      <c r="AI306" s="544" t="s">
        <v>1674</v>
      </c>
      <c r="AJ306" s="544" t="s">
        <v>1674</v>
      </c>
      <c r="AK306" s="544" t="s">
        <v>1674</v>
      </c>
      <c r="AL306" s="544" t="s">
        <v>1674</v>
      </c>
      <c r="AM306" s="544" t="s">
        <v>1674</v>
      </c>
      <c r="AN306" s="544" t="s">
        <v>1674</v>
      </c>
      <c r="AP306" s="552">
        <f t="shared" si="4"/>
        <v>0</v>
      </c>
    </row>
    <row r="307" spans="1:42" outlineLevel="1" x14ac:dyDescent="0.25">
      <c r="A307" s="544" t="s">
        <v>1674</v>
      </c>
      <c r="B307" s="545">
        <v>0</v>
      </c>
      <c r="C307" s="544" t="s">
        <v>1674</v>
      </c>
      <c r="D307" s="544" t="s">
        <v>2727</v>
      </c>
      <c r="E307" s="542" t="s">
        <v>2668</v>
      </c>
      <c r="G307" s="546"/>
      <c r="H307" s="546">
        <v>9.52</v>
      </c>
      <c r="I307" s="546"/>
      <c r="J307" s="542" t="s">
        <v>806</v>
      </c>
      <c r="K307" s="547">
        <v>8736</v>
      </c>
      <c r="L307" s="542" t="s">
        <v>806</v>
      </c>
      <c r="M307" s="548"/>
      <c r="N307" s="549">
        <v>0</v>
      </c>
      <c r="O307" s="544" t="s">
        <v>1674</v>
      </c>
      <c r="P307" s="544" t="s">
        <v>1674</v>
      </c>
      <c r="Q307" s="544" t="s">
        <v>2669</v>
      </c>
      <c r="R307" s="544" t="s">
        <v>1674</v>
      </c>
      <c r="S307" s="544" t="s">
        <v>1674</v>
      </c>
      <c r="T307" s="550">
        <v>19</v>
      </c>
      <c r="U307" s="544" t="s">
        <v>2670</v>
      </c>
      <c r="V307" s="547">
        <v>1605</v>
      </c>
      <c r="W307" s="548"/>
      <c r="Y307" s="544" t="s">
        <v>1674</v>
      </c>
      <c r="AA307" s="544" t="s">
        <v>1674</v>
      </c>
      <c r="AE307" s="551"/>
      <c r="AF307" s="544" t="s">
        <v>1674</v>
      </c>
      <c r="AG307" s="544" t="s">
        <v>1674</v>
      </c>
      <c r="AH307" s="544" t="s">
        <v>1674</v>
      </c>
      <c r="AI307" s="544" t="s">
        <v>1674</v>
      </c>
      <c r="AJ307" s="544" t="s">
        <v>1674</v>
      </c>
      <c r="AK307" s="544" t="s">
        <v>1674</v>
      </c>
      <c r="AL307" s="544" t="s">
        <v>1674</v>
      </c>
      <c r="AM307" s="544" t="s">
        <v>1674</v>
      </c>
      <c r="AN307" s="544" t="s">
        <v>1674</v>
      </c>
      <c r="AP307" s="552">
        <f t="shared" si="4"/>
        <v>0</v>
      </c>
    </row>
    <row r="308" spans="1:42" outlineLevel="1" x14ac:dyDescent="0.25">
      <c r="A308" s="544" t="s">
        <v>1674</v>
      </c>
      <c r="B308" s="545">
        <v>0</v>
      </c>
      <c r="C308" s="544" t="s">
        <v>1674</v>
      </c>
      <c r="D308" s="544" t="s">
        <v>2727</v>
      </c>
      <c r="E308" s="542" t="s">
        <v>2671</v>
      </c>
      <c r="G308" s="546"/>
      <c r="H308" s="546">
        <v>942.48</v>
      </c>
      <c r="I308" s="546"/>
      <c r="J308" s="542" t="s">
        <v>806</v>
      </c>
      <c r="K308" s="547">
        <v>1200</v>
      </c>
      <c r="L308" s="542" t="s">
        <v>806</v>
      </c>
      <c r="M308" s="548"/>
      <c r="N308" s="549">
        <v>0</v>
      </c>
      <c r="O308" s="544" t="s">
        <v>1674</v>
      </c>
      <c r="P308" s="544" t="s">
        <v>1674</v>
      </c>
      <c r="Q308" s="544" t="s">
        <v>2672</v>
      </c>
      <c r="R308" s="544" t="s">
        <v>1674</v>
      </c>
      <c r="S308" s="544" t="s">
        <v>1674</v>
      </c>
      <c r="T308" s="550"/>
      <c r="U308" s="544" t="s">
        <v>2673</v>
      </c>
      <c r="V308" s="547">
        <v>1681</v>
      </c>
      <c r="W308" s="548"/>
      <c r="Y308" s="544" t="s">
        <v>1674</v>
      </c>
      <c r="AA308" s="544" t="s">
        <v>1674</v>
      </c>
      <c r="AE308" s="551"/>
      <c r="AF308" s="544" t="s">
        <v>1674</v>
      </c>
      <c r="AG308" s="544" t="s">
        <v>1674</v>
      </c>
      <c r="AH308" s="544" t="s">
        <v>1674</v>
      </c>
      <c r="AI308" s="544" t="s">
        <v>1674</v>
      </c>
      <c r="AJ308" s="544" t="s">
        <v>1674</v>
      </c>
      <c r="AK308" s="544" t="s">
        <v>1674</v>
      </c>
      <c r="AL308" s="544" t="s">
        <v>1674</v>
      </c>
      <c r="AM308" s="544" t="s">
        <v>1674</v>
      </c>
      <c r="AN308" s="544" t="s">
        <v>1674</v>
      </c>
      <c r="AP308" s="552">
        <f t="shared" si="4"/>
        <v>0</v>
      </c>
    </row>
    <row r="309" spans="1:42" outlineLevel="1" x14ac:dyDescent="0.25">
      <c r="A309" s="544" t="s">
        <v>1674</v>
      </c>
      <c r="B309" s="545">
        <v>0</v>
      </c>
      <c r="C309" s="544" t="s">
        <v>1674</v>
      </c>
      <c r="D309" s="544" t="s">
        <v>2727</v>
      </c>
      <c r="E309" s="542" t="s">
        <v>2671</v>
      </c>
      <c r="G309" s="546"/>
      <c r="H309" s="546">
        <v>9.52</v>
      </c>
      <c r="I309" s="546"/>
      <c r="J309" s="542" t="s">
        <v>806</v>
      </c>
      <c r="K309" s="547">
        <v>8736</v>
      </c>
      <c r="L309" s="542" t="s">
        <v>806</v>
      </c>
      <c r="M309" s="548"/>
      <c r="N309" s="549">
        <v>0</v>
      </c>
      <c r="O309" s="544" t="s">
        <v>1674</v>
      </c>
      <c r="P309" s="544" t="s">
        <v>1674</v>
      </c>
      <c r="Q309" s="544" t="s">
        <v>2672</v>
      </c>
      <c r="R309" s="544" t="s">
        <v>1674</v>
      </c>
      <c r="S309" s="544" t="s">
        <v>1674</v>
      </c>
      <c r="T309" s="550">
        <v>19</v>
      </c>
      <c r="U309" s="544" t="s">
        <v>2673</v>
      </c>
      <c r="V309" s="547">
        <v>1681</v>
      </c>
      <c r="W309" s="548"/>
      <c r="Y309" s="544" t="s">
        <v>1674</v>
      </c>
      <c r="AA309" s="544" t="s">
        <v>1674</v>
      </c>
      <c r="AE309" s="551"/>
      <c r="AF309" s="544" t="s">
        <v>1674</v>
      </c>
      <c r="AG309" s="544" t="s">
        <v>1674</v>
      </c>
      <c r="AH309" s="544" t="s">
        <v>1674</v>
      </c>
      <c r="AI309" s="544" t="s">
        <v>1674</v>
      </c>
      <c r="AJ309" s="544" t="s">
        <v>1674</v>
      </c>
      <c r="AK309" s="544" t="s">
        <v>1674</v>
      </c>
      <c r="AL309" s="544" t="s">
        <v>1674</v>
      </c>
      <c r="AM309" s="544" t="s">
        <v>1674</v>
      </c>
      <c r="AN309" s="544" t="s">
        <v>1674</v>
      </c>
      <c r="AP309" s="552">
        <f t="shared" si="4"/>
        <v>0</v>
      </c>
    </row>
    <row r="310" spans="1:42" outlineLevel="1" x14ac:dyDescent="0.25">
      <c r="A310" s="544" t="s">
        <v>1674</v>
      </c>
      <c r="B310" s="545">
        <v>0</v>
      </c>
      <c r="C310" s="544" t="s">
        <v>1674</v>
      </c>
      <c r="D310" s="544" t="s">
        <v>2727</v>
      </c>
      <c r="E310" s="542" t="s">
        <v>2674</v>
      </c>
      <c r="G310" s="546"/>
      <c r="H310" s="546">
        <v>942.48</v>
      </c>
      <c r="I310" s="546"/>
      <c r="J310" s="542" t="s">
        <v>806</v>
      </c>
      <c r="K310" s="547">
        <v>1200</v>
      </c>
      <c r="L310" s="542" t="s">
        <v>806</v>
      </c>
      <c r="M310" s="548"/>
      <c r="N310" s="549">
        <v>0</v>
      </c>
      <c r="O310" s="544" t="s">
        <v>1674</v>
      </c>
      <c r="P310" s="544" t="s">
        <v>1674</v>
      </c>
      <c r="Q310" s="544" t="s">
        <v>2675</v>
      </c>
      <c r="R310" s="544" t="s">
        <v>1674</v>
      </c>
      <c r="S310" s="544" t="s">
        <v>1674</v>
      </c>
      <c r="T310" s="550"/>
      <c r="U310" s="544" t="s">
        <v>2676</v>
      </c>
      <c r="V310" s="547">
        <v>1538</v>
      </c>
      <c r="W310" s="548"/>
      <c r="Y310" s="544" t="s">
        <v>1674</v>
      </c>
      <c r="AA310" s="544" t="s">
        <v>1674</v>
      </c>
      <c r="AE310" s="551"/>
      <c r="AF310" s="544" t="s">
        <v>1674</v>
      </c>
      <c r="AG310" s="544" t="s">
        <v>1674</v>
      </c>
      <c r="AH310" s="544" t="s">
        <v>1674</v>
      </c>
      <c r="AI310" s="544" t="s">
        <v>1674</v>
      </c>
      <c r="AJ310" s="544" t="s">
        <v>1674</v>
      </c>
      <c r="AK310" s="544" t="s">
        <v>1674</v>
      </c>
      <c r="AL310" s="544" t="s">
        <v>1674</v>
      </c>
      <c r="AM310" s="544" t="s">
        <v>1674</v>
      </c>
      <c r="AN310" s="544" t="s">
        <v>1674</v>
      </c>
      <c r="AP310" s="552">
        <f t="shared" si="4"/>
        <v>0</v>
      </c>
    </row>
    <row r="311" spans="1:42" outlineLevel="1" x14ac:dyDescent="0.25">
      <c r="A311" s="544" t="s">
        <v>1674</v>
      </c>
      <c r="B311" s="545">
        <v>0</v>
      </c>
      <c r="C311" s="544" t="s">
        <v>1674</v>
      </c>
      <c r="D311" s="544" t="s">
        <v>2727</v>
      </c>
      <c r="E311" s="542" t="s">
        <v>2674</v>
      </c>
      <c r="G311" s="546"/>
      <c r="H311" s="546">
        <v>9.52</v>
      </c>
      <c r="I311" s="546"/>
      <c r="J311" s="542" t="s">
        <v>806</v>
      </c>
      <c r="K311" s="547">
        <v>8736</v>
      </c>
      <c r="L311" s="542" t="s">
        <v>806</v>
      </c>
      <c r="M311" s="548"/>
      <c r="N311" s="549">
        <v>0</v>
      </c>
      <c r="O311" s="544" t="s">
        <v>1674</v>
      </c>
      <c r="P311" s="544" t="s">
        <v>1674</v>
      </c>
      <c r="Q311" s="544" t="s">
        <v>2675</v>
      </c>
      <c r="R311" s="544" t="s">
        <v>1674</v>
      </c>
      <c r="S311" s="544" t="s">
        <v>1674</v>
      </c>
      <c r="T311" s="550">
        <v>19</v>
      </c>
      <c r="U311" s="544" t="s">
        <v>2676</v>
      </c>
      <c r="V311" s="547">
        <v>1538</v>
      </c>
      <c r="W311" s="548"/>
      <c r="Y311" s="544" t="s">
        <v>1674</v>
      </c>
      <c r="AA311" s="544" t="s">
        <v>1674</v>
      </c>
      <c r="AE311" s="551"/>
      <c r="AF311" s="544" t="s">
        <v>1674</v>
      </c>
      <c r="AG311" s="544" t="s">
        <v>1674</v>
      </c>
      <c r="AH311" s="544" t="s">
        <v>1674</v>
      </c>
      <c r="AI311" s="544" t="s">
        <v>1674</v>
      </c>
      <c r="AJ311" s="544" t="s">
        <v>1674</v>
      </c>
      <c r="AK311" s="544" t="s">
        <v>1674</v>
      </c>
      <c r="AL311" s="544" t="s">
        <v>1674</v>
      </c>
      <c r="AM311" s="544" t="s">
        <v>1674</v>
      </c>
      <c r="AN311" s="544" t="s">
        <v>1674</v>
      </c>
      <c r="AP311" s="552">
        <f t="shared" si="4"/>
        <v>0</v>
      </c>
    </row>
    <row r="312" spans="1:42" outlineLevel="1" x14ac:dyDescent="0.25">
      <c r="A312" s="544" t="s">
        <v>1674</v>
      </c>
      <c r="B312" s="545">
        <v>0</v>
      </c>
      <c r="C312" s="544" t="s">
        <v>1674</v>
      </c>
      <c r="D312" s="544" t="s">
        <v>2727</v>
      </c>
      <c r="E312" s="542" t="s">
        <v>2677</v>
      </c>
      <c r="G312" s="546"/>
      <c r="H312" s="546">
        <v>942.48</v>
      </c>
      <c r="I312" s="546"/>
      <c r="J312" s="542" t="s">
        <v>806</v>
      </c>
      <c r="K312" s="547">
        <v>1200</v>
      </c>
      <c r="L312" s="542" t="s">
        <v>806</v>
      </c>
      <c r="M312" s="548"/>
      <c r="N312" s="549">
        <v>0</v>
      </c>
      <c r="O312" s="544" t="s">
        <v>1674</v>
      </c>
      <c r="P312" s="544" t="s">
        <v>1674</v>
      </c>
      <c r="Q312" s="544" t="s">
        <v>2678</v>
      </c>
      <c r="R312" s="544" t="s">
        <v>1674</v>
      </c>
      <c r="S312" s="544" t="s">
        <v>1674</v>
      </c>
      <c r="T312" s="550"/>
      <c r="U312" s="544" t="s">
        <v>2679</v>
      </c>
      <c r="V312" s="547">
        <v>1744</v>
      </c>
      <c r="W312" s="548"/>
      <c r="Y312" s="544" t="s">
        <v>1674</v>
      </c>
      <c r="AA312" s="544" t="s">
        <v>1674</v>
      </c>
      <c r="AE312" s="551"/>
      <c r="AF312" s="544" t="s">
        <v>1674</v>
      </c>
      <c r="AG312" s="544" t="s">
        <v>1674</v>
      </c>
      <c r="AH312" s="544" t="s">
        <v>1674</v>
      </c>
      <c r="AI312" s="544" t="s">
        <v>1674</v>
      </c>
      <c r="AJ312" s="544" t="s">
        <v>1674</v>
      </c>
      <c r="AK312" s="544" t="s">
        <v>1674</v>
      </c>
      <c r="AL312" s="544" t="s">
        <v>1674</v>
      </c>
      <c r="AM312" s="544" t="s">
        <v>1674</v>
      </c>
      <c r="AN312" s="544" t="s">
        <v>1674</v>
      </c>
      <c r="AP312" s="552">
        <f t="shared" si="4"/>
        <v>0</v>
      </c>
    </row>
    <row r="313" spans="1:42" outlineLevel="1" x14ac:dyDescent="0.25">
      <c r="A313" s="544" t="s">
        <v>1674</v>
      </c>
      <c r="B313" s="545">
        <v>0</v>
      </c>
      <c r="C313" s="544" t="s">
        <v>1674</v>
      </c>
      <c r="D313" s="544" t="s">
        <v>2727</v>
      </c>
      <c r="E313" s="542" t="s">
        <v>2677</v>
      </c>
      <c r="G313" s="546"/>
      <c r="H313" s="546">
        <v>9.52</v>
      </c>
      <c r="I313" s="546"/>
      <c r="J313" s="542" t="s">
        <v>806</v>
      </c>
      <c r="K313" s="547">
        <v>8736</v>
      </c>
      <c r="L313" s="542" t="s">
        <v>806</v>
      </c>
      <c r="M313" s="548"/>
      <c r="N313" s="549">
        <v>0</v>
      </c>
      <c r="O313" s="544" t="s">
        <v>1674</v>
      </c>
      <c r="P313" s="544" t="s">
        <v>1674</v>
      </c>
      <c r="Q313" s="544" t="s">
        <v>2678</v>
      </c>
      <c r="R313" s="544" t="s">
        <v>1674</v>
      </c>
      <c r="S313" s="544" t="s">
        <v>1674</v>
      </c>
      <c r="T313" s="550">
        <v>19</v>
      </c>
      <c r="U313" s="544" t="s">
        <v>2679</v>
      </c>
      <c r="V313" s="547">
        <v>1744</v>
      </c>
      <c r="W313" s="548"/>
      <c r="Y313" s="544" t="s">
        <v>1674</v>
      </c>
      <c r="AA313" s="544" t="s">
        <v>1674</v>
      </c>
      <c r="AE313" s="551"/>
      <c r="AF313" s="544" t="s">
        <v>1674</v>
      </c>
      <c r="AG313" s="544" t="s">
        <v>1674</v>
      </c>
      <c r="AH313" s="544" t="s">
        <v>1674</v>
      </c>
      <c r="AI313" s="544" t="s">
        <v>1674</v>
      </c>
      <c r="AJ313" s="544" t="s">
        <v>1674</v>
      </c>
      <c r="AK313" s="544" t="s">
        <v>1674</v>
      </c>
      <c r="AL313" s="544" t="s">
        <v>1674</v>
      </c>
      <c r="AM313" s="544" t="s">
        <v>1674</v>
      </c>
      <c r="AN313" s="544" t="s">
        <v>1674</v>
      </c>
      <c r="AP313" s="552">
        <f t="shared" si="4"/>
        <v>0</v>
      </c>
    </row>
    <row r="314" spans="1:42" outlineLevel="1" x14ac:dyDescent="0.25">
      <c r="A314" s="544" t="s">
        <v>1674</v>
      </c>
      <c r="B314" s="545">
        <v>0</v>
      </c>
      <c r="C314" s="544" t="s">
        <v>1674</v>
      </c>
      <c r="D314" s="544" t="s">
        <v>2727</v>
      </c>
      <c r="E314" s="542" t="s">
        <v>2680</v>
      </c>
      <c r="G314" s="546"/>
      <c r="H314" s="546">
        <v>942.48</v>
      </c>
      <c r="I314" s="546"/>
      <c r="J314" s="542" t="s">
        <v>806</v>
      </c>
      <c r="K314" s="547">
        <v>1200</v>
      </c>
      <c r="L314" s="542" t="s">
        <v>806</v>
      </c>
      <c r="M314" s="548"/>
      <c r="N314" s="549">
        <v>0</v>
      </c>
      <c r="O314" s="544" t="s">
        <v>1674</v>
      </c>
      <c r="P314" s="544" t="s">
        <v>1674</v>
      </c>
      <c r="Q314" s="544" t="s">
        <v>2681</v>
      </c>
      <c r="R314" s="544" t="s">
        <v>1674</v>
      </c>
      <c r="S314" s="544" t="s">
        <v>1674</v>
      </c>
      <c r="T314" s="550"/>
      <c r="U314" s="544" t="s">
        <v>2682</v>
      </c>
      <c r="V314" s="547">
        <v>1622</v>
      </c>
      <c r="W314" s="548"/>
      <c r="Y314" s="544" t="s">
        <v>1674</v>
      </c>
      <c r="AA314" s="544" t="s">
        <v>1674</v>
      </c>
      <c r="AE314" s="551"/>
      <c r="AF314" s="544" t="s">
        <v>1674</v>
      </c>
      <c r="AG314" s="544" t="s">
        <v>1674</v>
      </c>
      <c r="AH314" s="544" t="s">
        <v>1674</v>
      </c>
      <c r="AI314" s="544" t="s">
        <v>1674</v>
      </c>
      <c r="AJ314" s="544" t="s">
        <v>1674</v>
      </c>
      <c r="AK314" s="544" t="s">
        <v>1674</v>
      </c>
      <c r="AL314" s="544" t="s">
        <v>1674</v>
      </c>
      <c r="AM314" s="544" t="s">
        <v>1674</v>
      </c>
      <c r="AN314" s="544" t="s">
        <v>1674</v>
      </c>
      <c r="AP314" s="552">
        <f t="shared" si="4"/>
        <v>0</v>
      </c>
    </row>
    <row r="315" spans="1:42" outlineLevel="1" x14ac:dyDescent="0.25">
      <c r="A315" s="544" t="s">
        <v>1674</v>
      </c>
      <c r="B315" s="545">
        <v>0</v>
      </c>
      <c r="C315" s="544" t="s">
        <v>1674</v>
      </c>
      <c r="D315" s="544" t="s">
        <v>2727</v>
      </c>
      <c r="E315" s="542" t="s">
        <v>2680</v>
      </c>
      <c r="G315" s="546"/>
      <c r="H315" s="546">
        <v>9.52</v>
      </c>
      <c r="I315" s="546"/>
      <c r="J315" s="542" t="s">
        <v>806</v>
      </c>
      <c r="K315" s="547">
        <v>8736</v>
      </c>
      <c r="L315" s="542" t="s">
        <v>806</v>
      </c>
      <c r="M315" s="548"/>
      <c r="N315" s="549">
        <v>0</v>
      </c>
      <c r="O315" s="544" t="s">
        <v>1674</v>
      </c>
      <c r="P315" s="544" t="s">
        <v>1674</v>
      </c>
      <c r="Q315" s="544" t="s">
        <v>2681</v>
      </c>
      <c r="R315" s="544" t="s">
        <v>1674</v>
      </c>
      <c r="S315" s="544" t="s">
        <v>1674</v>
      </c>
      <c r="T315" s="550">
        <v>19</v>
      </c>
      <c r="U315" s="544" t="s">
        <v>2682</v>
      </c>
      <c r="V315" s="547">
        <v>1622</v>
      </c>
      <c r="W315" s="548"/>
      <c r="Y315" s="544" t="s">
        <v>1674</v>
      </c>
      <c r="AA315" s="544" t="s">
        <v>1674</v>
      </c>
      <c r="AE315" s="551"/>
      <c r="AF315" s="544" t="s">
        <v>1674</v>
      </c>
      <c r="AG315" s="544" t="s">
        <v>1674</v>
      </c>
      <c r="AH315" s="544" t="s">
        <v>1674</v>
      </c>
      <c r="AI315" s="544" t="s">
        <v>1674</v>
      </c>
      <c r="AJ315" s="544" t="s">
        <v>1674</v>
      </c>
      <c r="AK315" s="544" t="s">
        <v>1674</v>
      </c>
      <c r="AL315" s="544" t="s">
        <v>1674</v>
      </c>
      <c r="AM315" s="544" t="s">
        <v>1674</v>
      </c>
      <c r="AN315" s="544" t="s">
        <v>1674</v>
      </c>
      <c r="AP315" s="552">
        <f t="shared" si="4"/>
        <v>0</v>
      </c>
    </row>
    <row r="316" spans="1:42" outlineLevel="1" x14ac:dyDescent="0.25">
      <c r="A316" s="544" t="s">
        <v>1674</v>
      </c>
      <c r="B316" s="545">
        <v>0</v>
      </c>
      <c r="C316" s="544" t="s">
        <v>1674</v>
      </c>
      <c r="D316" s="544" t="s">
        <v>2727</v>
      </c>
      <c r="E316" s="542" t="s">
        <v>2683</v>
      </c>
      <c r="G316" s="546"/>
      <c r="H316" s="546">
        <v>942.48</v>
      </c>
      <c r="I316" s="546"/>
      <c r="J316" s="542" t="s">
        <v>806</v>
      </c>
      <c r="K316" s="547">
        <v>1200</v>
      </c>
      <c r="L316" s="542" t="s">
        <v>806</v>
      </c>
      <c r="M316" s="548"/>
      <c r="N316" s="549">
        <v>0</v>
      </c>
      <c r="O316" s="544" t="s">
        <v>1674</v>
      </c>
      <c r="P316" s="544" t="s">
        <v>1674</v>
      </c>
      <c r="Q316" s="544" t="s">
        <v>2684</v>
      </c>
      <c r="R316" s="544" t="s">
        <v>1674</v>
      </c>
      <c r="S316" s="544" t="s">
        <v>1674</v>
      </c>
      <c r="T316" s="550"/>
      <c r="U316" s="544" t="s">
        <v>2685</v>
      </c>
      <c r="V316" s="547">
        <v>1709</v>
      </c>
      <c r="W316" s="548"/>
      <c r="Y316" s="544" t="s">
        <v>1674</v>
      </c>
      <c r="AA316" s="544" t="s">
        <v>1674</v>
      </c>
      <c r="AE316" s="551"/>
      <c r="AF316" s="544" t="s">
        <v>1674</v>
      </c>
      <c r="AG316" s="544" t="s">
        <v>1674</v>
      </c>
      <c r="AH316" s="544" t="s">
        <v>1674</v>
      </c>
      <c r="AI316" s="544" t="s">
        <v>1674</v>
      </c>
      <c r="AJ316" s="544" t="s">
        <v>1674</v>
      </c>
      <c r="AK316" s="544" t="s">
        <v>1674</v>
      </c>
      <c r="AL316" s="544" t="s">
        <v>1674</v>
      </c>
      <c r="AM316" s="544" t="s">
        <v>1674</v>
      </c>
      <c r="AN316" s="544" t="s">
        <v>1674</v>
      </c>
      <c r="AP316" s="552">
        <f t="shared" si="4"/>
        <v>0</v>
      </c>
    </row>
    <row r="317" spans="1:42" outlineLevel="1" x14ac:dyDescent="0.25">
      <c r="A317" s="544" t="s">
        <v>1674</v>
      </c>
      <c r="B317" s="545">
        <v>0</v>
      </c>
      <c r="C317" s="544" t="s">
        <v>1674</v>
      </c>
      <c r="D317" s="544" t="s">
        <v>2727</v>
      </c>
      <c r="E317" s="542" t="s">
        <v>2683</v>
      </c>
      <c r="G317" s="546"/>
      <c r="H317" s="546">
        <v>9.52</v>
      </c>
      <c r="I317" s="546"/>
      <c r="J317" s="542" t="s">
        <v>806</v>
      </c>
      <c r="K317" s="547">
        <v>8736</v>
      </c>
      <c r="L317" s="542" t="s">
        <v>806</v>
      </c>
      <c r="M317" s="548"/>
      <c r="N317" s="549">
        <v>0</v>
      </c>
      <c r="O317" s="544" t="s">
        <v>1674</v>
      </c>
      <c r="P317" s="544" t="s">
        <v>1674</v>
      </c>
      <c r="Q317" s="544" t="s">
        <v>2684</v>
      </c>
      <c r="R317" s="544" t="s">
        <v>1674</v>
      </c>
      <c r="S317" s="544" t="s">
        <v>1674</v>
      </c>
      <c r="T317" s="550">
        <v>19</v>
      </c>
      <c r="U317" s="544" t="s">
        <v>2685</v>
      </c>
      <c r="V317" s="547">
        <v>1709</v>
      </c>
      <c r="W317" s="548"/>
      <c r="Y317" s="544" t="s">
        <v>1674</v>
      </c>
      <c r="AA317" s="544" t="s">
        <v>1674</v>
      </c>
      <c r="AE317" s="551"/>
      <c r="AF317" s="544" t="s">
        <v>1674</v>
      </c>
      <c r="AG317" s="544" t="s">
        <v>1674</v>
      </c>
      <c r="AH317" s="544" t="s">
        <v>1674</v>
      </c>
      <c r="AI317" s="544" t="s">
        <v>1674</v>
      </c>
      <c r="AJ317" s="544" t="s">
        <v>1674</v>
      </c>
      <c r="AK317" s="544" t="s">
        <v>1674</v>
      </c>
      <c r="AL317" s="544" t="s">
        <v>1674</v>
      </c>
      <c r="AM317" s="544" t="s">
        <v>1674</v>
      </c>
      <c r="AN317" s="544" t="s">
        <v>1674</v>
      </c>
      <c r="AP317" s="552">
        <f t="shared" si="4"/>
        <v>0</v>
      </c>
    </row>
    <row r="318" spans="1:42" outlineLevel="1" x14ac:dyDescent="0.25">
      <c r="A318" s="544" t="s">
        <v>1674</v>
      </c>
      <c r="B318" s="545">
        <v>0</v>
      </c>
      <c r="C318" s="544" t="s">
        <v>1674</v>
      </c>
      <c r="D318" s="544" t="s">
        <v>2727</v>
      </c>
      <c r="E318" s="542" t="s">
        <v>2686</v>
      </c>
      <c r="G318" s="546"/>
      <c r="H318" s="546">
        <v>942.48</v>
      </c>
      <c r="I318" s="546"/>
      <c r="J318" s="542" t="s">
        <v>806</v>
      </c>
      <c r="K318" s="547">
        <v>1200</v>
      </c>
      <c r="L318" s="542" t="s">
        <v>806</v>
      </c>
      <c r="M318" s="548"/>
      <c r="N318" s="549">
        <v>0</v>
      </c>
      <c r="O318" s="544" t="s">
        <v>1674</v>
      </c>
      <c r="P318" s="544" t="s">
        <v>1674</v>
      </c>
      <c r="Q318" s="544" t="s">
        <v>2687</v>
      </c>
      <c r="R318" s="544" t="s">
        <v>1674</v>
      </c>
      <c r="S318" s="544" t="s">
        <v>1674</v>
      </c>
      <c r="T318" s="550"/>
      <c r="U318" s="544" t="s">
        <v>2688</v>
      </c>
      <c r="V318" s="547">
        <v>1502</v>
      </c>
      <c r="W318" s="548"/>
      <c r="Y318" s="544" t="s">
        <v>1674</v>
      </c>
      <c r="AA318" s="544" t="s">
        <v>1674</v>
      </c>
      <c r="AE318" s="551"/>
      <c r="AF318" s="544" t="s">
        <v>1674</v>
      </c>
      <c r="AG318" s="544" t="s">
        <v>1674</v>
      </c>
      <c r="AH318" s="544" t="s">
        <v>1674</v>
      </c>
      <c r="AI318" s="544" t="s">
        <v>1674</v>
      </c>
      <c r="AJ318" s="544" t="s">
        <v>1674</v>
      </c>
      <c r="AK318" s="544" t="s">
        <v>1674</v>
      </c>
      <c r="AL318" s="544" t="s">
        <v>1674</v>
      </c>
      <c r="AM318" s="544" t="s">
        <v>1674</v>
      </c>
      <c r="AN318" s="544" t="s">
        <v>1674</v>
      </c>
      <c r="AP318" s="552">
        <f t="shared" si="4"/>
        <v>0</v>
      </c>
    </row>
    <row r="319" spans="1:42" outlineLevel="1" x14ac:dyDescent="0.25">
      <c r="A319" s="544" t="s">
        <v>1674</v>
      </c>
      <c r="B319" s="545">
        <v>0</v>
      </c>
      <c r="C319" s="544" t="s">
        <v>1674</v>
      </c>
      <c r="D319" s="544" t="s">
        <v>2727</v>
      </c>
      <c r="E319" s="542" t="s">
        <v>2686</v>
      </c>
      <c r="G319" s="546"/>
      <c r="H319" s="546">
        <v>9.52</v>
      </c>
      <c r="I319" s="546"/>
      <c r="J319" s="542" t="s">
        <v>806</v>
      </c>
      <c r="K319" s="547">
        <v>8736</v>
      </c>
      <c r="L319" s="542" t="s">
        <v>806</v>
      </c>
      <c r="M319" s="548"/>
      <c r="N319" s="549">
        <v>0</v>
      </c>
      <c r="O319" s="544" t="s">
        <v>1674</v>
      </c>
      <c r="P319" s="544" t="s">
        <v>1674</v>
      </c>
      <c r="Q319" s="544" t="s">
        <v>2687</v>
      </c>
      <c r="R319" s="544" t="s">
        <v>1674</v>
      </c>
      <c r="S319" s="544" t="s">
        <v>1674</v>
      </c>
      <c r="T319" s="550">
        <v>19</v>
      </c>
      <c r="U319" s="544" t="s">
        <v>2688</v>
      </c>
      <c r="V319" s="547">
        <v>1502</v>
      </c>
      <c r="W319" s="548"/>
      <c r="Y319" s="544" t="s">
        <v>1674</v>
      </c>
      <c r="AA319" s="544" t="s">
        <v>1674</v>
      </c>
      <c r="AE319" s="551"/>
      <c r="AF319" s="544" t="s">
        <v>1674</v>
      </c>
      <c r="AG319" s="544" t="s">
        <v>1674</v>
      </c>
      <c r="AH319" s="544" t="s">
        <v>1674</v>
      </c>
      <c r="AI319" s="544" t="s">
        <v>1674</v>
      </c>
      <c r="AJ319" s="544" t="s">
        <v>1674</v>
      </c>
      <c r="AK319" s="544" t="s">
        <v>1674</v>
      </c>
      <c r="AL319" s="544" t="s">
        <v>1674</v>
      </c>
      <c r="AM319" s="544" t="s">
        <v>1674</v>
      </c>
      <c r="AN319" s="544" t="s">
        <v>1674</v>
      </c>
      <c r="AP319" s="552">
        <f t="shared" si="4"/>
        <v>0</v>
      </c>
    </row>
    <row r="320" spans="1:42" outlineLevel="1" x14ac:dyDescent="0.25">
      <c r="A320" s="544" t="s">
        <v>1674</v>
      </c>
      <c r="B320" s="545">
        <v>0</v>
      </c>
      <c r="C320" s="544" t="s">
        <v>1674</v>
      </c>
      <c r="D320" s="544" t="s">
        <v>2727</v>
      </c>
      <c r="E320" s="542" t="s">
        <v>2689</v>
      </c>
      <c r="G320" s="546"/>
      <c r="H320" s="546">
        <v>942.48</v>
      </c>
      <c r="I320" s="546"/>
      <c r="J320" s="542" t="s">
        <v>806</v>
      </c>
      <c r="K320" s="547">
        <v>1200</v>
      </c>
      <c r="L320" s="542" t="s">
        <v>806</v>
      </c>
      <c r="M320" s="548"/>
      <c r="N320" s="549">
        <v>0</v>
      </c>
      <c r="O320" s="544" t="s">
        <v>1674</v>
      </c>
      <c r="P320" s="544" t="s">
        <v>1674</v>
      </c>
      <c r="Q320" s="544" t="s">
        <v>2690</v>
      </c>
      <c r="R320" s="544" t="s">
        <v>1674</v>
      </c>
      <c r="S320" s="544" t="s">
        <v>1674</v>
      </c>
      <c r="T320" s="550"/>
      <c r="U320" s="544" t="s">
        <v>2691</v>
      </c>
      <c r="V320" s="547">
        <v>1744</v>
      </c>
      <c r="W320" s="548"/>
      <c r="Y320" s="544" t="s">
        <v>1674</v>
      </c>
      <c r="AA320" s="544" t="s">
        <v>1674</v>
      </c>
      <c r="AE320" s="551"/>
      <c r="AF320" s="544" t="s">
        <v>1674</v>
      </c>
      <c r="AG320" s="544" t="s">
        <v>1674</v>
      </c>
      <c r="AH320" s="544" t="s">
        <v>1674</v>
      </c>
      <c r="AI320" s="544" t="s">
        <v>1674</v>
      </c>
      <c r="AJ320" s="544" t="s">
        <v>1674</v>
      </c>
      <c r="AK320" s="544" t="s">
        <v>1674</v>
      </c>
      <c r="AL320" s="544" t="s">
        <v>1674</v>
      </c>
      <c r="AM320" s="544" t="s">
        <v>1674</v>
      </c>
      <c r="AN320" s="544" t="s">
        <v>1674</v>
      </c>
      <c r="AP320" s="552">
        <f t="shared" si="4"/>
        <v>0</v>
      </c>
    </row>
    <row r="321" spans="1:42" outlineLevel="1" x14ac:dyDescent="0.25">
      <c r="A321" s="544" t="s">
        <v>1674</v>
      </c>
      <c r="B321" s="545">
        <v>0</v>
      </c>
      <c r="C321" s="544" t="s">
        <v>1674</v>
      </c>
      <c r="D321" s="544" t="s">
        <v>2727</v>
      </c>
      <c r="E321" s="542" t="s">
        <v>2689</v>
      </c>
      <c r="G321" s="546"/>
      <c r="H321" s="546">
        <v>9.52</v>
      </c>
      <c r="I321" s="546"/>
      <c r="J321" s="542" t="s">
        <v>806</v>
      </c>
      <c r="K321" s="547">
        <v>8736</v>
      </c>
      <c r="L321" s="542" t="s">
        <v>806</v>
      </c>
      <c r="M321" s="548"/>
      <c r="N321" s="549">
        <v>0</v>
      </c>
      <c r="O321" s="544" t="s">
        <v>1674</v>
      </c>
      <c r="P321" s="544" t="s">
        <v>1674</v>
      </c>
      <c r="Q321" s="544" t="s">
        <v>2690</v>
      </c>
      <c r="R321" s="544" t="s">
        <v>1674</v>
      </c>
      <c r="S321" s="544" t="s">
        <v>1674</v>
      </c>
      <c r="T321" s="550">
        <v>19</v>
      </c>
      <c r="U321" s="544" t="s">
        <v>2691</v>
      </c>
      <c r="V321" s="547">
        <v>1745</v>
      </c>
      <c r="W321" s="548"/>
      <c r="Y321" s="544" t="s">
        <v>1674</v>
      </c>
      <c r="AA321" s="544" t="s">
        <v>1674</v>
      </c>
      <c r="AE321" s="551"/>
      <c r="AF321" s="544" t="s">
        <v>1674</v>
      </c>
      <c r="AG321" s="544" t="s">
        <v>1674</v>
      </c>
      <c r="AH321" s="544" t="s">
        <v>1674</v>
      </c>
      <c r="AI321" s="544" t="s">
        <v>1674</v>
      </c>
      <c r="AJ321" s="544" t="s">
        <v>1674</v>
      </c>
      <c r="AK321" s="544" t="s">
        <v>1674</v>
      </c>
      <c r="AL321" s="544" t="s">
        <v>1674</v>
      </c>
      <c r="AM321" s="544" t="s">
        <v>1674</v>
      </c>
      <c r="AN321" s="544" t="s">
        <v>1674</v>
      </c>
      <c r="AP321" s="552">
        <f t="shared" si="4"/>
        <v>0</v>
      </c>
    </row>
    <row r="322" spans="1:42" outlineLevel="1" x14ac:dyDescent="0.25">
      <c r="A322" s="544" t="s">
        <v>1674</v>
      </c>
      <c r="B322" s="545">
        <v>0</v>
      </c>
      <c r="C322" s="544" t="s">
        <v>1674</v>
      </c>
      <c r="D322" s="544" t="s">
        <v>2727</v>
      </c>
      <c r="E322" s="542" t="s">
        <v>2692</v>
      </c>
      <c r="G322" s="546"/>
      <c r="H322" s="546">
        <v>942.48</v>
      </c>
      <c r="I322" s="546"/>
      <c r="J322" s="542" t="s">
        <v>806</v>
      </c>
      <c r="K322" s="547">
        <v>1200</v>
      </c>
      <c r="L322" s="542" t="s">
        <v>806</v>
      </c>
      <c r="M322" s="548"/>
      <c r="N322" s="549">
        <v>0</v>
      </c>
      <c r="O322" s="544" t="s">
        <v>1674</v>
      </c>
      <c r="P322" s="544" t="s">
        <v>1674</v>
      </c>
      <c r="Q322" s="544" t="s">
        <v>2693</v>
      </c>
      <c r="R322" s="544" t="s">
        <v>1674</v>
      </c>
      <c r="S322" s="544" t="s">
        <v>1674</v>
      </c>
      <c r="T322" s="550"/>
      <c r="U322" s="544" t="s">
        <v>2694</v>
      </c>
      <c r="V322" s="547">
        <v>1825</v>
      </c>
      <c r="W322" s="548"/>
      <c r="Y322" s="544" t="s">
        <v>1674</v>
      </c>
      <c r="AA322" s="544" t="s">
        <v>1674</v>
      </c>
      <c r="AE322" s="551"/>
      <c r="AF322" s="544" t="s">
        <v>1674</v>
      </c>
      <c r="AG322" s="544" t="s">
        <v>1674</v>
      </c>
      <c r="AH322" s="544" t="s">
        <v>1674</v>
      </c>
      <c r="AI322" s="544" t="s">
        <v>1674</v>
      </c>
      <c r="AJ322" s="544" t="s">
        <v>1674</v>
      </c>
      <c r="AK322" s="544" t="s">
        <v>1674</v>
      </c>
      <c r="AL322" s="544" t="s">
        <v>1674</v>
      </c>
      <c r="AM322" s="544" t="s">
        <v>1674</v>
      </c>
      <c r="AN322" s="544" t="s">
        <v>1674</v>
      </c>
      <c r="AP322" s="552">
        <f t="shared" si="4"/>
        <v>0</v>
      </c>
    </row>
    <row r="323" spans="1:42" outlineLevel="1" x14ac:dyDescent="0.25">
      <c r="A323" s="544" t="s">
        <v>1674</v>
      </c>
      <c r="B323" s="545">
        <v>0</v>
      </c>
      <c r="C323" s="544" t="s">
        <v>1674</v>
      </c>
      <c r="D323" s="544" t="s">
        <v>2727</v>
      </c>
      <c r="E323" s="542" t="s">
        <v>2692</v>
      </c>
      <c r="G323" s="546"/>
      <c r="H323" s="546">
        <v>9.52</v>
      </c>
      <c r="I323" s="546"/>
      <c r="J323" s="542" t="s">
        <v>806</v>
      </c>
      <c r="K323" s="547">
        <v>8736</v>
      </c>
      <c r="L323" s="542" t="s">
        <v>806</v>
      </c>
      <c r="M323" s="548"/>
      <c r="N323" s="549">
        <v>0</v>
      </c>
      <c r="O323" s="544" t="s">
        <v>1674</v>
      </c>
      <c r="P323" s="544" t="s">
        <v>1674</v>
      </c>
      <c r="Q323" s="544" t="s">
        <v>2693</v>
      </c>
      <c r="R323" s="544" t="s">
        <v>1674</v>
      </c>
      <c r="S323" s="544" t="s">
        <v>1674</v>
      </c>
      <c r="T323" s="550">
        <v>19</v>
      </c>
      <c r="U323" s="544" t="s">
        <v>2694</v>
      </c>
      <c r="V323" s="547">
        <v>1826</v>
      </c>
      <c r="W323" s="548"/>
      <c r="Y323" s="544" t="s">
        <v>1674</v>
      </c>
      <c r="AA323" s="544" t="s">
        <v>1674</v>
      </c>
      <c r="AE323" s="551"/>
      <c r="AF323" s="544" t="s">
        <v>1674</v>
      </c>
      <c r="AG323" s="544" t="s">
        <v>1674</v>
      </c>
      <c r="AH323" s="544" t="s">
        <v>1674</v>
      </c>
      <c r="AI323" s="544" t="s">
        <v>1674</v>
      </c>
      <c r="AJ323" s="544" t="s">
        <v>1674</v>
      </c>
      <c r="AK323" s="544" t="s">
        <v>1674</v>
      </c>
      <c r="AL323" s="544" t="s">
        <v>1674</v>
      </c>
      <c r="AM323" s="544" t="s">
        <v>1674</v>
      </c>
      <c r="AN323" s="544" t="s">
        <v>1674</v>
      </c>
      <c r="AP323" s="552">
        <f t="shared" ref="AP323:AP386" si="5">IF(J323="S",+I323,-I323)</f>
        <v>0</v>
      </c>
    </row>
    <row r="324" spans="1:42" outlineLevel="1" x14ac:dyDescent="0.25">
      <c r="A324" s="544" t="s">
        <v>1674</v>
      </c>
      <c r="B324" s="545">
        <v>0</v>
      </c>
      <c r="C324" s="544" t="s">
        <v>1674</v>
      </c>
      <c r="D324" s="544" t="s">
        <v>2727</v>
      </c>
      <c r="E324" s="542" t="s">
        <v>2695</v>
      </c>
      <c r="G324" s="546"/>
      <c r="H324" s="546">
        <v>942.48</v>
      </c>
      <c r="I324" s="546"/>
      <c r="J324" s="542" t="s">
        <v>806</v>
      </c>
      <c r="K324" s="547">
        <v>1200</v>
      </c>
      <c r="L324" s="542" t="s">
        <v>806</v>
      </c>
      <c r="M324" s="548"/>
      <c r="N324" s="549">
        <v>0</v>
      </c>
      <c r="O324" s="544" t="s">
        <v>1674</v>
      </c>
      <c r="P324" s="544" t="s">
        <v>1674</v>
      </c>
      <c r="Q324" s="544" t="s">
        <v>2696</v>
      </c>
      <c r="R324" s="544" t="s">
        <v>1674</v>
      </c>
      <c r="S324" s="544" t="s">
        <v>1674</v>
      </c>
      <c r="T324" s="550"/>
      <c r="U324" s="544" t="s">
        <v>2697</v>
      </c>
      <c r="V324" s="547">
        <v>1656</v>
      </c>
      <c r="W324" s="548"/>
      <c r="Y324" s="544" t="s">
        <v>1674</v>
      </c>
      <c r="AA324" s="544" t="s">
        <v>1674</v>
      </c>
      <c r="AE324" s="551"/>
      <c r="AF324" s="544" t="s">
        <v>1674</v>
      </c>
      <c r="AG324" s="544" t="s">
        <v>1674</v>
      </c>
      <c r="AH324" s="544" t="s">
        <v>1674</v>
      </c>
      <c r="AI324" s="544" t="s">
        <v>1674</v>
      </c>
      <c r="AJ324" s="544" t="s">
        <v>1674</v>
      </c>
      <c r="AK324" s="544" t="s">
        <v>1674</v>
      </c>
      <c r="AL324" s="544" t="s">
        <v>1674</v>
      </c>
      <c r="AM324" s="544" t="s">
        <v>1674</v>
      </c>
      <c r="AN324" s="544" t="s">
        <v>1674</v>
      </c>
      <c r="AP324" s="552">
        <f t="shared" si="5"/>
        <v>0</v>
      </c>
    </row>
    <row r="325" spans="1:42" outlineLevel="1" x14ac:dyDescent="0.25">
      <c r="A325" s="544" t="s">
        <v>1674</v>
      </c>
      <c r="B325" s="545">
        <v>0</v>
      </c>
      <c r="C325" s="544" t="s">
        <v>1674</v>
      </c>
      <c r="D325" s="544" t="s">
        <v>2727</v>
      </c>
      <c r="E325" s="542" t="s">
        <v>2695</v>
      </c>
      <c r="G325" s="546"/>
      <c r="H325" s="546">
        <v>9.52</v>
      </c>
      <c r="I325" s="546"/>
      <c r="J325" s="542" t="s">
        <v>806</v>
      </c>
      <c r="K325" s="547">
        <v>8736</v>
      </c>
      <c r="L325" s="542" t="s">
        <v>806</v>
      </c>
      <c r="M325" s="548"/>
      <c r="N325" s="549">
        <v>0</v>
      </c>
      <c r="O325" s="544" t="s">
        <v>1674</v>
      </c>
      <c r="P325" s="544" t="s">
        <v>1674</v>
      </c>
      <c r="Q325" s="544" t="s">
        <v>2696</v>
      </c>
      <c r="R325" s="544" t="s">
        <v>1674</v>
      </c>
      <c r="S325" s="544" t="s">
        <v>1674</v>
      </c>
      <c r="T325" s="550">
        <v>19</v>
      </c>
      <c r="U325" s="544" t="s">
        <v>2697</v>
      </c>
      <c r="V325" s="547">
        <v>1657</v>
      </c>
      <c r="W325" s="548"/>
      <c r="Y325" s="544" t="s">
        <v>1674</v>
      </c>
      <c r="AA325" s="544" t="s">
        <v>1674</v>
      </c>
      <c r="AE325" s="551"/>
      <c r="AF325" s="544" t="s">
        <v>1674</v>
      </c>
      <c r="AG325" s="544" t="s">
        <v>1674</v>
      </c>
      <c r="AH325" s="544" t="s">
        <v>1674</v>
      </c>
      <c r="AI325" s="544" t="s">
        <v>1674</v>
      </c>
      <c r="AJ325" s="544" t="s">
        <v>1674</v>
      </c>
      <c r="AK325" s="544" t="s">
        <v>1674</v>
      </c>
      <c r="AL325" s="544" t="s">
        <v>1674</v>
      </c>
      <c r="AM325" s="544" t="s">
        <v>1674</v>
      </c>
      <c r="AN325" s="544" t="s">
        <v>1674</v>
      </c>
      <c r="AP325" s="552">
        <f t="shared" si="5"/>
        <v>0</v>
      </c>
    </row>
    <row r="326" spans="1:42" outlineLevel="1" x14ac:dyDescent="0.25">
      <c r="A326" s="544" t="s">
        <v>1674</v>
      </c>
      <c r="B326" s="545">
        <v>0</v>
      </c>
      <c r="C326" s="544" t="s">
        <v>1674</v>
      </c>
      <c r="D326" s="544" t="s">
        <v>2727</v>
      </c>
      <c r="E326" s="542" t="s">
        <v>2698</v>
      </c>
      <c r="G326" s="546"/>
      <c r="H326" s="546">
        <v>942.48</v>
      </c>
      <c r="I326" s="546"/>
      <c r="J326" s="542" t="s">
        <v>806</v>
      </c>
      <c r="K326" s="547">
        <v>1200</v>
      </c>
      <c r="L326" s="542" t="s">
        <v>806</v>
      </c>
      <c r="M326" s="548"/>
      <c r="N326" s="549">
        <v>0</v>
      </c>
      <c r="O326" s="544" t="s">
        <v>1674</v>
      </c>
      <c r="P326" s="544" t="s">
        <v>1674</v>
      </c>
      <c r="Q326" s="544" t="s">
        <v>2699</v>
      </c>
      <c r="R326" s="544" t="s">
        <v>1674</v>
      </c>
      <c r="S326" s="544" t="s">
        <v>1674</v>
      </c>
      <c r="T326" s="550"/>
      <c r="U326" s="544" t="s">
        <v>2700</v>
      </c>
      <c r="V326" s="547">
        <v>1600</v>
      </c>
      <c r="W326" s="548"/>
      <c r="Y326" s="544" t="s">
        <v>1674</v>
      </c>
      <c r="AA326" s="544" t="s">
        <v>1674</v>
      </c>
      <c r="AE326" s="551"/>
      <c r="AF326" s="544" t="s">
        <v>1674</v>
      </c>
      <c r="AG326" s="544" t="s">
        <v>1674</v>
      </c>
      <c r="AH326" s="544" t="s">
        <v>1674</v>
      </c>
      <c r="AI326" s="544" t="s">
        <v>1674</v>
      </c>
      <c r="AJ326" s="544" t="s">
        <v>1674</v>
      </c>
      <c r="AK326" s="544" t="s">
        <v>1674</v>
      </c>
      <c r="AL326" s="544" t="s">
        <v>1674</v>
      </c>
      <c r="AM326" s="544" t="s">
        <v>1674</v>
      </c>
      <c r="AN326" s="544" t="s">
        <v>1674</v>
      </c>
      <c r="AP326" s="552">
        <f t="shared" si="5"/>
        <v>0</v>
      </c>
    </row>
    <row r="327" spans="1:42" outlineLevel="1" x14ac:dyDescent="0.25">
      <c r="A327" s="544" t="s">
        <v>2722</v>
      </c>
      <c r="B327" s="545">
        <v>11800</v>
      </c>
      <c r="C327" s="544" t="s">
        <v>2581</v>
      </c>
      <c r="D327" s="544" t="s">
        <v>2739</v>
      </c>
      <c r="E327" s="542" t="s">
        <v>2740</v>
      </c>
      <c r="F327" s="542" t="s">
        <v>2741</v>
      </c>
      <c r="G327" s="546">
        <v>17195.5</v>
      </c>
      <c r="H327" s="546"/>
      <c r="I327" s="546"/>
      <c r="J327" s="542" t="s">
        <v>806</v>
      </c>
      <c r="K327" s="547">
        <v>8820</v>
      </c>
      <c r="L327" s="542" t="s">
        <v>806</v>
      </c>
      <c r="M327" s="548"/>
      <c r="N327" s="549">
        <v>-285</v>
      </c>
      <c r="O327" s="544" t="s">
        <v>1674</v>
      </c>
      <c r="P327" s="544" t="s">
        <v>1674</v>
      </c>
      <c r="Q327" s="544" t="s">
        <v>2720</v>
      </c>
      <c r="R327" s="544" t="s">
        <v>2622</v>
      </c>
      <c r="S327" s="544" t="s">
        <v>1674</v>
      </c>
      <c r="T327" s="550">
        <v>19</v>
      </c>
      <c r="U327" s="544" t="s">
        <v>2670</v>
      </c>
      <c r="V327" s="547">
        <v>1112</v>
      </c>
      <c r="W327" s="548"/>
      <c r="Y327" s="544" t="s">
        <v>1674</v>
      </c>
      <c r="AA327" s="544" t="s">
        <v>1674</v>
      </c>
      <c r="AE327" s="551"/>
      <c r="AF327" s="544" t="s">
        <v>1674</v>
      </c>
      <c r="AG327" s="544" t="s">
        <v>1674</v>
      </c>
      <c r="AH327" s="544" t="s">
        <v>1674</v>
      </c>
      <c r="AI327" s="544" t="s">
        <v>1674</v>
      </c>
      <c r="AJ327" s="544" t="s">
        <v>1674</v>
      </c>
      <c r="AK327" s="544" t="s">
        <v>1674</v>
      </c>
      <c r="AL327" s="544" t="s">
        <v>1674</v>
      </c>
      <c r="AM327" s="544" t="s">
        <v>2581</v>
      </c>
      <c r="AN327" s="544" t="s">
        <v>1674</v>
      </c>
      <c r="AP327" s="552">
        <f t="shared" si="5"/>
        <v>0</v>
      </c>
    </row>
    <row r="328" spans="1:42" outlineLevel="1" x14ac:dyDescent="0.25">
      <c r="A328" s="544" t="s">
        <v>2722</v>
      </c>
      <c r="B328" s="545">
        <v>0</v>
      </c>
      <c r="C328" s="544" t="s">
        <v>1674</v>
      </c>
      <c r="D328" s="544" t="s">
        <v>2739</v>
      </c>
      <c r="E328" s="542" t="s">
        <v>2740</v>
      </c>
      <c r="F328" s="542" t="s">
        <v>2741</v>
      </c>
      <c r="G328" s="546">
        <v>3034.5</v>
      </c>
      <c r="H328" s="546"/>
      <c r="I328" s="546"/>
      <c r="J328" s="542" t="s">
        <v>806</v>
      </c>
      <c r="K328" s="547">
        <v>8820</v>
      </c>
      <c r="L328" s="542" t="s">
        <v>806</v>
      </c>
      <c r="M328" s="548"/>
      <c r="N328" s="549">
        <v>-285</v>
      </c>
      <c r="O328" s="544" t="s">
        <v>1674</v>
      </c>
      <c r="P328" s="544" t="s">
        <v>1674</v>
      </c>
      <c r="Q328" s="544" t="s">
        <v>2720</v>
      </c>
      <c r="R328" s="544" t="s">
        <v>1674</v>
      </c>
      <c r="S328" s="544" t="s">
        <v>1674</v>
      </c>
      <c r="T328" s="550">
        <v>19</v>
      </c>
      <c r="U328" s="544" t="s">
        <v>2670</v>
      </c>
      <c r="V328" s="547">
        <v>1113</v>
      </c>
      <c r="W328" s="548"/>
      <c r="Y328" s="544" t="s">
        <v>1674</v>
      </c>
      <c r="AA328" s="544" t="s">
        <v>1674</v>
      </c>
      <c r="AE328" s="551"/>
      <c r="AF328" s="544" t="s">
        <v>1674</v>
      </c>
      <c r="AG328" s="544" t="s">
        <v>1674</v>
      </c>
      <c r="AH328" s="544" t="s">
        <v>1674</v>
      </c>
      <c r="AI328" s="544" t="s">
        <v>1674</v>
      </c>
      <c r="AJ328" s="544" t="s">
        <v>1674</v>
      </c>
      <c r="AK328" s="544" t="s">
        <v>1674</v>
      </c>
      <c r="AL328" s="544" t="s">
        <v>1674</v>
      </c>
      <c r="AM328" s="544" t="s">
        <v>1674</v>
      </c>
      <c r="AN328" s="544" t="s">
        <v>1674</v>
      </c>
      <c r="AP328" s="552">
        <f t="shared" si="5"/>
        <v>0</v>
      </c>
    </row>
    <row r="329" spans="1:42" outlineLevel="1" x14ac:dyDescent="0.25">
      <c r="A329" s="544" t="s">
        <v>1674</v>
      </c>
      <c r="B329" s="545">
        <v>0</v>
      </c>
      <c r="C329" s="544" t="s">
        <v>1674</v>
      </c>
      <c r="D329" s="544" t="s">
        <v>2739</v>
      </c>
      <c r="E329" s="542" t="s">
        <v>2671</v>
      </c>
      <c r="G329" s="546"/>
      <c r="H329" s="546">
        <v>942.48</v>
      </c>
      <c r="I329" s="546"/>
      <c r="J329" s="542" t="s">
        <v>806</v>
      </c>
      <c r="K329" s="547">
        <v>1200</v>
      </c>
      <c r="L329" s="542" t="s">
        <v>806</v>
      </c>
      <c r="M329" s="548"/>
      <c r="N329" s="549">
        <v>0</v>
      </c>
      <c r="O329" s="544" t="s">
        <v>1674</v>
      </c>
      <c r="P329" s="544" t="s">
        <v>1674</v>
      </c>
      <c r="Q329" s="544" t="s">
        <v>2672</v>
      </c>
      <c r="R329" s="544" t="s">
        <v>1674</v>
      </c>
      <c r="S329" s="544" t="s">
        <v>1674</v>
      </c>
      <c r="T329" s="550"/>
      <c r="U329" s="544" t="s">
        <v>2673</v>
      </c>
      <c r="V329" s="547">
        <v>1682</v>
      </c>
      <c r="W329" s="548"/>
      <c r="Y329" s="544" t="s">
        <v>1674</v>
      </c>
      <c r="AA329" s="544" t="s">
        <v>1674</v>
      </c>
      <c r="AE329" s="551"/>
      <c r="AF329" s="544" t="s">
        <v>1674</v>
      </c>
      <c r="AG329" s="544" t="s">
        <v>1674</v>
      </c>
      <c r="AH329" s="544" t="s">
        <v>1674</v>
      </c>
      <c r="AI329" s="544" t="s">
        <v>1674</v>
      </c>
      <c r="AJ329" s="544" t="s">
        <v>1674</v>
      </c>
      <c r="AK329" s="544" t="s">
        <v>1674</v>
      </c>
      <c r="AL329" s="544" t="s">
        <v>1674</v>
      </c>
      <c r="AM329" s="544" t="s">
        <v>1674</v>
      </c>
      <c r="AN329" s="544" t="s">
        <v>1674</v>
      </c>
      <c r="AP329" s="552">
        <f t="shared" si="5"/>
        <v>0</v>
      </c>
    </row>
    <row r="330" spans="1:42" outlineLevel="1" x14ac:dyDescent="0.25">
      <c r="A330" s="544" t="s">
        <v>1674</v>
      </c>
      <c r="B330" s="545">
        <v>0</v>
      </c>
      <c r="C330" s="544" t="s">
        <v>1674</v>
      </c>
      <c r="D330" s="544" t="s">
        <v>2739</v>
      </c>
      <c r="E330" s="542" t="s">
        <v>2671</v>
      </c>
      <c r="G330" s="546"/>
      <c r="H330" s="546">
        <v>9.52</v>
      </c>
      <c r="I330" s="546"/>
      <c r="J330" s="542" t="s">
        <v>806</v>
      </c>
      <c r="K330" s="547">
        <v>8736</v>
      </c>
      <c r="L330" s="542" t="s">
        <v>806</v>
      </c>
      <c r="M330" s="548"/>
      <c r="N330" s="549">
        <v>0</v>
      </c>
      <c r="O330" s="544" t="s">
        <v>1674</v>
      </c>
      <c r="P330" s="544" t="s">
        <v>1674</v>
      </c>
      <c r="Q330" s="544" t="s">
        <v>2672</v>
      </c>
      <c r="R330" s="544" t="s">
        <v>1674</v>
      </c>
      <c r="S330" s="544" t="s">
        <v>1674</v>
      </c>
      <c r="T330" s="550">
        <v>19</v>
      </c>
      <c r="U330" s="544" t="s">
        <v>2673</v>
      </c>
      <c r="V330" s="547">
        <v>1682</v>
      </c>
      <c r="W330" s="548"/>
      <c r="Y330" s="544" t="s">
        <v>1674</v>
      </c>
      <c r="AA330" s="544" t="s">
        <v>1674</v>
      </c>
      <c r="AE330" s="551"/>
      <c r="AF330" s="544" t="s">
        <v>1674</v>
      </c>
      <c r="AG330" s="544" t="s">
        <v>1674</v>
      </c>
      <c r="AH330" s="544" t="s">
        <v>1674</v>
      </c>
      <c r="AI330" s="544" t="s">
        <v>1674</v>
      </c>
      <c r="AJ330" s="544" t="s">
        <v>1674</v>
      </c>
      <c r="AK330" s="544" t="s">
        <v>1674</v>
      </c>
      <c r="AL330" s="544" t="s">
        <v>1674</v>
      </c>
      <c r="AM330" s="544" t="s">
        <v>1674</v>
      </c>
      <c r="AN330" s="544" t="s">
        <v>1674</v>
      </c>
      <c r="AP330" s="552">
        <f t="shared" si="5"/>
        <v>0</v>
      </c>
    </row>
    <row r="331" spans="1:42" outlineLevel="1" x14ac:dyDescent="0.25">
      <c r="A331" s="544" t="s">
        <v>1674</v>
      </c>
      <c r="B331" s="545">
        <v>0</v>
      </c>
      <c r="C331" s="544" t="s">
        <v>1674</v>
      </c>
      <c r="D331" s="544" t="s">
        <v>2739</v>
      </c>
      <c r="E331" s="542" t="s">
        <v>2674</v>
      </c>
      <c r="G331" s="546"/>
      <c r="H331" s="546">
        <v>942.48</v>
      </c>
      <c r="I331" s="546"/>
      <c r="J331" s="542" t="s">
        <v>806</v>
      </c>
      <c r="K331" s="547">
        <v>1200</v>
      </c>
      <c r="L331" s="542" t="s">
        <v>806</v>
      </c>
      <c r="M331" s="548"/>
      <c r="N331" s="549">
        <v>0</v>
      </c>
      <c r="O331" s="544" t="s">
        <v>1674</v>
      </c>
      <c r="P331" s="544" t="s">
        <v>1674</v>
      </c>
      <c r="Q331" s="544" t="s">
        <v>2675</v>
      </c>
      <c r="R331" s="544" t="s">
        <v>1674</v>
      </c>
      <c r="S331" s="544" t="s">
        <v>1674</v>
      </c>
      <c r="T331" s="550"/>
      <c r="U331" s="544" t="s">
        <v>2676</v>
      </c>
      <c r="V331" s="547">
        <v>1537</v>
      </c>
      <c r="W331" s="548"/>
      <c r="Y331" s="544" t="s">
        <v>1674</v>
      </c>
      <c r="AA331" s="544" t="s">
        <v>1674</v>
      </c>
      <c r="AE331" s="551"/>
      <c r="AF331" s="544" t="s">
        <v>1674</v>
      </c>
      <c r="AG331" s="544" t="s">
        <v>1674</v>
      </c>
      <c r="AH331" s="544" t="s">
        <v>1674</v>
      </c>
      <c r="AI331" s="544" t="s">
        <v>1674</v>
      </c>
      <c r="AJ331" s="544" t="s">
        <v>1674</v>
      </c>
      <c r="AK331" s="544" t="s">
        <v>1674</v>
      </c>
      <c r="AL331" s="544" t="s">
        <v>1674</v>
      </c>
      <c r="AM331" s="544" t="s">
        <v>1674</v>
      </c>
      <c r="AN331" s="544" t="s">
        <v>1674</v>
      </c>
      <c r="AP331" s="552">
        <f t="shared" si="5"/>
        <v>0</v>
      </c>
    </row>
    <row r="332" spans="1:42" outlineLevel="1" x14ac:dyDescent="0.25">
      <c r="A332" s="544" t="s">
        <v>1674</v>
      </c>
      <c r="B332" s="545">
        <v>0</v>
      </c>
      <c r="C332" s="544" t="s">
        <v>1674</v>
      </c>
      <c r="D332" s="544" t="s">
        <v>2739</v>
      </c>
      <c r="E332" s="542" t="s">
        <v>2674</v>
      </c>
      <c r="G332" s="546"/>
      <c r="H332" s="546">
        <v>9.52</v>
      </c>
      <c r="I332" s="546"/>
      <c r="J332" s="542" t="s">
        <v>806</v>
      </c>
      <c r="K332" s="547">
        <v>8736</v>
      </c>
      <c r="L332" s="542" t="s">
        <v>806</v>
      </c>
      <c r="M332" s="548"/>
      <c r="N332" s="549">
        <v>0</v>
      </c>
      <c r="O332" s="544" t="s">
        <v>1674</v>
      </c>
      <c r="P332" s="544" t="s">
        <v>1674</v>
      </c>
      <c r="Q332" s="544" t="s">
        <v>2675</v>
      </c>
      <c r="R332" s="544" t="s">
        <v>1674</v>
      </c>
      <c r="S332" s="544" t="s">
        <v>1674</v>
      </c>
      <c r="T332" s="550">
        <v>19</v>
      </c>
      <c r="U332" s="544" t="s">
        <v>2676</v>
      </c>
      <c r="V332" s="547">
        <v>1537</v>
      </c>
      <c r="W332" s="548"/>
      <c r="Y332" s="544" t="s">
        <v>1674</v>
      </c>
      <c r="AA332" s="544" t="s">
        <v>1674</v>
      </c>
      <c r="AE332" s="551"/>
      <c r="AF332" s="544" t="s">
        <v>1674</v>
      </c>
      <c r="AG332" s="544" t="s">
        <v>1674</v>
      </c>
      <c r="AH332" s="544" t="s">
        <v>1674</v>
      </c>
      <c r="AI332" s="544" t="s">
        <v>1674</v>
      </c>
      <c r="AJ332" s="544" t="s">
        <v>1674</v>
      </c>
      <c r="AK332" s="544" t="s">
        <v>1674</v>
      </c>
      <c r="AL332" s="544" t="s">
        <v>1674</v>
      </c>
      <c r="AM332" s="544" t="s">
        <v>1674</v>
      </c>
      <c r="AN332" s="544" t="s">
        <v>1674</v>
      </c>
      <c r="AP332" s="552">
        <f t="shared" si="5"/>
        <v>0</v>
      </c>
    </row>
    <row r="333" spans="1:42" outlineLevel="1" x14ac:dyDescent="0.25">
      <c r="A333" s="544" t="s">
        <v>1674</v>
      </c>
      <c r="B333" s="545">
        <v>0</v>
      </c>
      <c r="C333" s="544" t="s">
        <v>1674</v>
      </c>
      <c r="D333" s="544" t="s">
        <v>2739</v>
      </c>
      <c r="E333" s="542" t="s">
        <v>2677</v>
      </c>
      <c r="G333" s="546"/>
      <c r="H333" s="546">
        <v>942.48</v>
      </c>
      <c r="I333" s="546"/>
      <c r="J333" s="542" t="s">
        <v>806</v>
      </c>
      <c r="K333" s="547">
        <v>1200</v>
      </c>
      <c r="L333" s="542" t="s">
        <v>806</v>
      </c>
      <c r="M333" s="548"/>
      <c r="N333" s="549">
        <v>0</v>
      </c>
      <c r="O333" s="544" t="s">
        <v>1674</v>
      </c>
      <c r="P333" s="544" t="s">
        <v>1674</v>
      </c>
      <c r="Q333" s="544" t="s">
        <v>2678</v>
      </c>
      <c r="R333" s="544" t="s">
        <v>1674</v>
      </c>
      <c r="S333" s="544" t="s">
        <v>1674</v>
      </c>
      <c r="T333" s="550"/>
      <c r="U333" s="544" t="s">
        <v>2679</v>
      </c>
      <c r="V333" s="547">
        <v>1733</v>
      </c>
      <c r="W333" s="548"/>
      <c r="Y333" s="544" t="s">
        <v>1674</v>
      </c>
      <c r="AA333" s="544" t="s">
        <v>1674</v>
      </c>
      <c r="AE333" s="551"/>
      <c r="AF333" s="544" t="s">
        <v>1674</v>
      </c>
      <c r="AG333" s="544" t="s">
        <v>1674</v>
      </c>
      <c r="AH333" s="544" t="s">
        <v>1674</v>
      </c>
      <c r="AI333" s="544" t="s">
        <v>1674</v>
      </c>
      <c r="AJ333" s="544" t="s">
        <v>1674</v>
      </c>
      <c r="AK333" s="544" t="s">
        <v>1674</v>
      </c>
      <c r="AL333" s="544" t="s">
        <v>1674</v>
      </c>
      <c r="AM333" s="544" t="s">
        <v>1674</v>
      </c>
      <c r="AN333" s="544" t="s">
        <v>1674</v>
      </c>
      <c r="AP333" s="552">
        <f t="shared" si="5"/>
        <v>0</v>
      </c>
    </row>
    <row r="334" spans="1:42" outlineLevel="1" x14ac:dyDescent="0.25">
      <c r="A334" s="544" t="s">
        <v>1674</v>
      </c>
      <c r="B334" s="545">
        <v>0</v>
      </c>
      <c r="C334" s="544" t="s">
        <v>1674</v>
      </c>
      <c r="D334" s="544" t="s">
        <v>2739</v>
      </c>
      <c r="E334" s="542" t="s">
        <v>2677</v>
      </c>
      <c r="G334" s="546"/>
      <c r="H334" s="546">
        <v>9.52</v>
      </c>
      <c r="I334" s="546"/>
      <c r="J334" s="542" t="s">
        <v>806</v>
      </c>
      <c r="K334" s="547">
        <v>8736</v>
      </c>
      <c r="L334" s="542" t="s">
        <v>806</v>
      </c>
      <c r="M334" s="548"/>
      <c r="N334" s="549">
        <v>0</v>
      </c>
      <c r="O334" s="544" t="s">
        <v>1674</v>
      </c>
      <c r="P334" s="544" t="s">
        <v>1674</v>
      </c>
      <c r="Q334" s="544" t="s">
        <v>2678</v>
      </c>
      <c r="R334" s="544" t="s">
        <v>1674</v>
      </c>
      <c r="S334" s="544" t="s">
        <v>1674</v>
      </c>
      <c r="T334" s="550">
        <v>19</v>
      </c>
      <c r="U334" s="544" t="s">
        <v>2679</v>
      </c>
      <c r="V334" s="547">
        <v>1733</v>
      </c>
      <c r="W334" s="548"/>
      <c r="Y334" s="544" t="s">
        <v>1674</v>
      </c>
      <c r="AA334" s="544" t="s">
        <v>1674</v>
      </c>
      <c r="AE334" s="551"/>
      <c r="AF334" s="544" t="s">
        <v>1674</v>
      </c>
      <c r="AG334" s="544" t="s">
        <v>1674</v>
      </c>
      <c r="AH334" s="544" t="s">
        <v>1674</v>
      </c>
      <c r="AI334" s="544" t="s">
        <v>1674</v>
      </c>
      <c r="AJ334" s="544" t="s">
        <v>1674</v>
      </c>
      <c r="AK334" s="544" t="s">
        <v>1674</v>
      </c>
      <c r="AL334" s="544" t="s">
        <v>1674</v>
      </c>
      <c r="AM334" s="544" t="s">
        <v>1674</v>
      </c>
      <c r="AN334" s="544" t="s">
        <v>1674</v>
      </c>
      <c r="AP334" s="552">
        <f t="shared" si="5"/>
        <v>0</v>
      </c>
    </row>
    <row r="335" spans="1:42" outlineLevel="1" x14ac:dyDescent="0.25">
      <c r="A335" s="544" t="s">
        <v>1674</v>
      </c>
      <c r="B335" s="545">
        <v>0</v>
      </c>
      <c r="C335" s="544" t="s">
        <v>1674</v>
      </c>
      <c r="D335" s="544" t="s">
        <v>2739</v>
      </c>
      <c r="E335" s="542" t="s">
        <v>2680</v>
      </c>
      <c r="G335" s="546"/>
      <c r="H335" s="546">
        <v>942.48</v>
      </c>
      <c r="I335" s="546"/>
      <c r="J335" s="542" t="s">
        <v>806</v>
      </c>
      <c r="K335" s="547">
        <v>1200</v>
      </c>
      <c r="L335" s="542" t="s">
        <v>806</v>
      </c>
      <c r="M335" s="548"/>
      <c r="N335" s="549">
        <v>0</v>
      </c>
      <c r="O335" s="544" t="s">
        <v>1674</v>
      </c>
      <c r="P335" s="544" t="s">
        <v>1674</v>
      </c>
      <c r="Q335" s="544" t="s">
        <v>2681</v>
      </c>
      <c r="R335" s="544" t="s">
        <v>1674</v>
      </c>
      <c r="S335" s="544" t="s">
        <v>1674</v>
      </c>
      <c r="T335" s="550"/>
      <c r="U335" s="544" t="s">
        <v>2682</v>
      </c>
      <c r="V335" s="547">
        <v>1585</v>
      </c>
      <c r="W335" s="548"/>
      <c r="Y335" s="544" t="s">
        <v>1674</v>
      </c>
      <c r="AA335" s="544" t="s">
        <v>1674</v>
      </c>
      <c r="AE335" s="551"/>
      <c r="AF335" s="544" t="s">
        <v>1674</v>
      </c>
      <c r="AG335" s="544" t="s">
        <v>1674</v>
      </c>
      <c r="AH335" s="544" t="s">
        <v>1674</v>
      </c>
      <c r="AI335" s="544" t="s">
        <v>1674</v>
      </c>
      <c r="AJ335" s="544" t="s">
        <v>1674</v>
      </c>
      <c r="AK335" s="544" t="s">
        <v>1674</v>
      </c>
      <c r="AL335" s="544" t="s">
        <v>1674</v>
      </c>
      <c r="AM335" s="544" t="s">
        <v>1674</v>
      </c>
      <c r="AN335" s="544" t="s">
        <v>1674</v>
      </c>
      <c r="AP335" s="552">
        <f t="shared" si="5"/>
        <v>0</v>
      </c>
    </row>
    <row r="336" spans="1:42" outlineLevel="1" x14ac:dyDescent="0.25">
      <c r="A336" s="544" t="s">
        <v>1674</v>
      </c>
      <c r="B336" s="545">
        <v>0</v>
      </c>
      <c r="C336" s="544" t="s">
        <v>1674</v>
      </c>
      <c r="D336" s="544" t="s">
        <v>2739</v>
      </c>
      <c r="E336" s="542" t="s">
        <v>2680</v>
      </c>
      <c r="G336" s="546"/>
      <c r="H336" s="546">
        <v>9.52</v>
      </c>
      <c r="I336" s="546"/>
      <c r="J336" s="542" t="s">
        <v>806</v>
      </c>
      <c r="K336" s="547">
        <v>8736</v>
      </c>
      <c r="L336" s="542" t="s">
        <v>806</v>
      </c>
      <c r="M336" s="548"/>
      <c r="N336" s="549">
        <v>0</v>
      </c>
      <c r="O336" s="544" t="s">
        <v>1674</v>
      </c>
      <c r="P336" s="544" t="s">
        <v>1674</v>
      </c>
      <c r="Q336" s="544" t="s">
        <v>2681</v>
      </c>
      <c r="R336" s="544" t="s">
        <v>1674</v>
      </c>
      <c r="S336" s="544" t="s">
        <v>1674</v>
      </c>
      <c r="T336" s="550">
        <v>19</v>
      </c>
      <c r="U336" s="544" t="s">
        <v>2682</v>
      </c>
      <c r="V336" s="547">
        <v>1585</v>
      </c>
      <c r="W336" s="548"/>
      <c r="Y336" s="544" t="s">
        <v>1674</v>
      </c>
      <c r="AA336" s="544" t="s">
        <v>1674</v>
      </c>
      <c r="AE336" s="551"/>
      <c r="AF336" s="544" t="s">
        <v>1674</v>
      </c>
      <c r="AG336" s="544" t="s">
        <v>1674</v>
      </c>
      <c r="AH336" s="544" t="s">
        <v>1674</v>
      </c>
      <c r="AI336" s="544" t="s">
        <v>1674</v>
      </c>
      <c r="AJ336" s="544" t="s">
        <v>1674</v>
      </c>
      <c r="AK336" s="544" t="s">
        <v>1674</v>
      </c>
      <c r="AL336" s="544" t="s">
        <v>1674</v>
      </c>
      <c r="AM336" s="544" t="s">
        <v>1674</v>
      </c>
      <c r="AN336" s="544" t="s">
        <v>1674</v>
      </c>
      <c r="AP336" s="552">
        <f t="shared" si="5"/>
        <v>0</v>
      </c>
    </row>
    <row r="337" spans="1:42" outlineLevel="1" x14ac:dyDescent="0.25">
      <c r="A337" s="544" t="s">
        <v>1674</v>
      </c>
      <c r="B337" s="545">
        <v>0</v>
      </c>
      <c r="C337" s="544" t="s">
        <v>1674</v>
      </c>
      <c r="D337" s="544" t="s">
        <v>2739</v>
      </c>
      <c r="E337" s="542" t="s">
        <v>2683</v>
      </c>
      <c r="G337" s="546"/>
      <c r="H337" s="546">
        <v>942.48</v>
      </c>
      <c r="I337" s="546"/>
      <c r="J337" s="542" t="s">
        <v>806</v>
      </c>
      <c r="K337" s="547">
        <v>1200</v>
      </c>
      <c r="L337" s="542" t="s">
        <v>806</v>
      </c>
      <c r="M337" s="548"/>
      <c r="N337" s="549">
        <v>0</v>
      </c>
      <c r="O337" s="544" t="s">
        <v>1674</v>
      </c>
      <c r="P337" s="544" t="s">
        <v>1674</v>
      </c>
      <c r="Q337" s="544" t="s">
        <v>2684</v>
      </c>
      <c r="R337" s="544" t="s">
        <v>1674</v>
      </c>
      <c r="S337" s="544" t="s">
        <v>1674</v>
      </c>
      <c r="T337" s="550"/>
      <c r="U337" s="544" t="s">
        <v>2685</v>
      </c>
      <c r="V337" s="547">
        <v>1710</v>
      </c>
      <c r="W337" s="548"/>
      <c r="Y337" s="544" t="s">
        <v>1674</v>
      </c>
      <c r="AA337" s="544" t="s">
        <v>1674</v>
      </c>
      <c r="AE337" s="551"/>
      <c r="AF337" s="544" t="s">
        <v>1674</v>
      </c>
      <c r="AG337" s="544" t="s">
        <v>1674</v>
      </c>
      <c r="AH337" s="544" t="s">
        <v>1674</v>
      </c>
      <c r="AI337" s="544" t="s">
        <v>1674</v>
      </c>
      <c r="AJ337" s="544" t="s">
        <v>1674</v>
      </c>
      <c r="AK337" s="544" t="s">
        <v>1674</v>
      </c>
      <c r="AL337" s="544" t="s">
        <v>1674</v>
      </c>
      <c r="AM337" s="544" t="s">
        <v>1674</v>
      </c>
      <c r="AN337" s="544" t="s">
        <v>1674</v>
      </c>
      <c r="AP337" s="552">
        <f t="shared" si="5"/>
        <v>0</v>
      </c>
    </row>
    <row r="338" spans="1:42" outlineLevel="1" x14ac:dyDescent="0.25">
      <c r="A338" s="544" t="s">
        <v>1674</v>
      </c>
      <c r="B338" s="545">
        <v>0</v>
      </c>
      <c r="C338" s="544" t="s">
        <v>1674</v>
      </c>
      <c r="D338" s="544" t="s">
        <v>2739</v>
      </c>
      <c r="E338" s="542" t="s">
        <v>2683</v>
      </c>
      <c r="G338" s="546"/>
      <c r="H338" s="546">
        <v>9.52</v>
      </c>
      <c r="I338" s="546"/>
      <c r="J338" s="542" t="s">
        <v>806</v>
      </c>
      <c r="K338" s="547">
        <v>8736</v>
      </c>
      <c r="L338" s="542" t="s">
        <v>806</v>
      </c>
      <c r="M338" s="548"/>
      <c r="N338" s="549">
        <v>0</v>
      </c>
      <c r="O338" s="544" t="s">
        <v>1674</v>
      </c>
      <c r="P338" s="544" t="s">
        <v>1674</v>
      </c>
      <c r="Q338" s="544" t="s">
        <v>2684</v>
      </c>
      <c r="R338" s="544" t="s">
        <v>1674</v>
      </c>
      <c r="S338" s="544" t="s">
        <v>1674</v>
      </c>
      <c r="T338" s="550">
        <v>19</v>
      </c>
      <c r="U338" s="544" t="s">
        <v>2685</v>
      </c>
      <c r="V338" s="547">
        <v>1710</v>
      </c>
      <c r="W338" s="548"/>
      <c r="Y338" s="544" t="s">
        <v>1674</v>
      </c>
      <c r="AA338" s="544" t="s">
        <v>1674</v>
      </c>
      <c r="AE338" s="551"/>
      <c r="AF338" s="544" t="s">
        <v>1674</v>
      </c>
      <c r="AG338" s="544" t="s">
        <v>1674</v>
      </c>
      <c r="AH338" s="544" t="s">
        <v>1674</v>
      </c>
      <c r="AI338" s="544" t="s">
        <v>1674</v>
      </c>
      <c r="AJ338" s="544" t="s">
        <v>1674</v>
      </c>
      <c r="AK338" s="544" t="s">
        <v>1674</v>
      </c>
      <c r="AL338" s="544" t="s">
        <v>1674</v>
      </c>
      <c r="AM338" s="544" t="s">
        <v>1674</v>
      </c>
      <c r="AN338" s="544" t="s">
        <v>1674</v>
      </c>
      <c r="AP338" s="552">
        <f t="shared" si="5"/>
        <v>0</v>
      </c>
    </row>
    <row r="339" spans="1:42" outlineLevel="1" x14ac:dyDescent="0.25">
      <c r="A339" s="544" t="s">
        <v>1674</v>
      </c>
      <c r="B339" s="545">
        <v>0</v>
      </c>
      <c r="C339" s="544" t="s">
        <v>1674</v>
      </c>
      <c r="D339" s="544" t="s">
        <v>2739</v>
      </c>
      <c r="E339" s="542" t="s">
        <v>2686</v>
      </c>
      <c r="G339" s="546"/>
      <c r="H339" s="546">
        <v>942.48</v>
      </c>
      <c r="I339" s="546"/>
      <c r="J339" s="542" t="s">
        <v>806</v>
      </c>
      <c r="K339" s="547">
        <v>1200</v>
      </c>
      <c r="L339" s="542" t="s">
        <v>806</v>
      </c>
      <c r="M339" s="548"/>
      <c r="N339" s="549">
        <v>0</v>
      </c>
      <c r="O339" s="544" t="s">
        <v>1674</v>
      </c>
      <c r="P339" s="544" t="s">
        <v>1674</v>
      </c>
      <c r="Q339" s="544" t="s">
        <v>2687</v>
      </c>
      <c r="R339" s="544" t="s">
        <v>1674</v>
      </c>
      <c r="S339" s="544" t="s">
        <v>1674</v>
      </c>
      <c r="T339" s="550"/>
      <c r="U339" s="544" t="s">
        <v>2688</v>
      </c>
      <c r="V339" s="547">
        <v>1495</v>
      </c>
      <c r="W339" s="548"/>
      <c r="Y339" s="544" t="s">
        <v>1674</v>
      </c>
      <c r="AA339" s="544" t="s">
        <v>1674</v>
      </c>
      <c r="AE339" s="551"/>
      <c r="AF339" s="544" t="s">
        <v>1674</v>
      </c>
      <c r="AG339" s="544" t="s">
        <v>1674</v>
      </c>
      <c r="AH339" s="544" t="s">
        <v>1674</v>
      </c>
      <c r="AI339" s="544" t="s">
        <v>1674</v>
      </c>
      <c r="AJ339" s="544" t="s">
        <v>1674</v>
      </c>
      <c r="AK339" s="544" t="s">
        <v>1674</v>
      </c>
      <c r="AL339" s="544" t="s">
        <v>1674</v>
      </c>
      <c r="AM339" s="544" t="s">
        <v>1674</v>
      </c>
      <c r="AN339" s="544" t="s">
        <v>1674</v>
      </c>
      <c r="AP339" s="552">
        <f t="shared" si="5"/>
        <v>0</v>
      </c>
    </row>
    <row r="340" spans="1:42" outlineLevel="1" x14ac:dyDescent="0.25">
      <c r="A340" s="544" t="s">
        <v>1674</v>
      </c>
      <c r="B340" s="545">
        <v>0</v>
      </c>
      <c r="C340" s="544" t="s">
        <v>1674</v>
      </c>
      <c r="D340" s="544" t="s">
        <v>2739</v>
      </c>
      <c r="E340" s="542" t="s">
        <v>2686</v>
      </c>
      <c r="G340" s="546"/>
      <c r="H340" s="546">
        <v>9.52</v>
      </c>
      <c r="I340" s="546"/>
      <c r="J340" s="542" t="s">
        <v>806</v>
      </c>
      <c r="K340" s="547">
        <v>8736</v>
      </c>
      <c r="L340" s="542" t="s">
        <v>806</v>
      </c>
      <c r="M340" s="548"/>
      <c r="N340" s="549">
        <v>0</v>
      </c>
      <c r="O340" s="544" t="s">
        <v>1674</v>
      </c>
      <c r="P340" s="544" t="s">
        <v>1674</v>
      </c>
      <c r="Q340" s="544" t="s">
        <v>2687</v>
      </c>
      <c r="R340" s="544" t="s">
        <v>1674</v>
      </c>
      <c r="S340" s="544" t="s">
        <v>1674</v>
      </c>
      <c r="T340" s="550">
        <v>19</v>
      </c>
      <c r="U340" s="544" t="s">
        <v>2688</v>
      </c>
      <c r="V340" s="547">
        <v>1495</v>
      </c>
      <c r="W340" s="548"/>
      <c r="Y340" s="544" t="s">
        <v>1674</v>
      </c>
      <c r="AA340" s="544" t="s">
        <v>1674</v>
      </c>
      <c r="AE340" s="551"/>
      <c r="AF340" s="544" t="s">
        <v>1674</v>
      </c>
      <c r="AG340" s="544" t="s">
        <v>1674</v>
      </c>
      <c r="AH340" s="544" t="s">
        <v>1674</v>
      </c>
      <c r="AI340" s="544" t="s">
        <v>1674</v>
      </c>
      <c r="AJ340" s="544" t="s">
        <v>1674</v>
      </c>
      <c r="AK340" s="544" t="s">
        <v>1674</v>
      </c>
      <c r="AL340" s="544" t="s">
        <v>1674</v>
      </c>
      <c r="AM340" s="544" t="s">
        <v>1674</v>
      </c>
      <c r="AN340" s="544" t="s">
        <v>1674</v>
      </c>
      <c r="AP340" s="552">
        <f t="shared" si="5"/>
        <v>0</v>
      </c>
    </row>
    <row r="341" spans="1:42" outlineLevel="1" x14ac:dyDescent="0.25">
      <c r="A341" s="544" t="s">
        <v>1674</v>
      </c>
      <c r="B341" s="545">
        <v>0</v>
      </c>
      <c r="C341" s="544" t="s">
        <v>1674</v>
      </c>
      <c r="D341" s="544" t="s">
        <v>2739</v>
      </c>
      <c r="E341" s="542" t="s">
        <v>2689</v>
      </c>
      <c r="G341" s="546"/>
      <c r="H341" s="546">
        <v>942.48</v>
      </c>
      <c r="I341" s="546"/>
      <c r="J341" s="542" t="s">
        <v>806</v>
      </c>
      <c r="K341" s="547">
        <v>1200</v>
      </c>
      <c r="L341" s="542" t="s">
        <v>806</v>
      </c>
      <c r="M341" s="548"/>
      <c r="N341" s="549">
        <v>0</v>
      </c>
      <c r="O341" s="544" t="s">
        <v>1674</v>
      </c>
      <c r="P341" s="544" t="s">
        <v>1674</v>
      </c>
      <c r="Q341" s="544" t="s">
        <v>2690</v>
      </c>
      <c r="R341" s="544" t="s">
        <v>1674</v>
      </c>
      <c r="S341" s="544" t="s">
        <v>1674</v>
      </c>
      <c r="T341" s="550"/>
      <c r="U341" s="544" t="s">
        <v>2691</v>
      </c>
      <c r="V341" s="547">
        <v>1718</v>
      </c>
      <c r="W341" s="548"/>
      <c r="Y341" s="544" t="s">
        <v>1674</v>
      </c>
      <c r="AA341" s="544" t="s">
        <v>1674</v>
      </c>
      <c r="AE341" s="551"/>
      <c r="AF341" s="544" t="s">
        <v>1674</v>
      </c>
      <c r="AG341" s="544" t="s">
        <v>1674</v>
      </c>
      <c r="AH341" s="544" t="s">
        <v>1674</v>
      </c>
      <c r="AI341" s="544" t="s">
        <v>1674</v>
      </c>
      <c r="AJ341" s="544" t="s">
        <v>1674</v>
      </c>
      <c r="AK341" s="544" t="s">
        <v>1674</v>
      </c>
      <c r="AL341" s="544" t="s">
        <v>1674</v>
      </c>
      <c r="AM341" s="544" t="s">
        <v>1674</v>
      </c>
      <c r="AN341" s="544" t="s">
        <v>1674</v>
      </c>
      <c r="AP341" s="552">
        <f t="shared" si="5"/>
        <v>0</v>
      </c>
    </row>
    <row r="342" spans="1:42" outlineLevel="1" x14ac:dyDescent="0.25">
      <c r="A342" s="544" t="s">
        <v>1674</v>
      </c>
      <c r="B342" s="545">
        <v>0</v>
      </c>
      <c r="C342" s="544" t="s">
        <v>1674</v>
      </c>
      <c r="D342" s="544" t="s">
        <v>2739</v>
      </c>
      <c r="E342" s="542" t="s">
        <v>2689</v>
      </c>
      <c r="G342" s="546"/>
      <c r="H342" s="546">
        <v>9.52</v>
      </c>
      <c r="I342" s="546"/>
      <c r="J342" s="542" t="s">
        <v>806</v>
      </c>
      <c r="K342" s="547">
        <v>8736</v>
      </c>
      <c r="L342" s="542" t="s">
        <v>806</v>
      </c>
      <c r="M342" s="548"/>
      <c r="N342" s="549">
        <v>0</v>
      </c>
      <c r="O342" s="544" t="s">
        <v>1674</v>
      </c>
      <c r="P342" s="544" t="s">
        <v>1674</v>
      </c>
      <c r="Q342" s="544" t="s">
        <v>2690</v>
      </c>
      <c r="R342" s="544" t="s">
        <v>1674</v>
      </c>
      <c r="S342" s="544" t="s">
        <v>1674</v>
      </c>
      <c r="T342" s="550">
        <v>19</v>
      </c>
      <c r="U342" s="544" t="s">
        <v>2691</v>
      </c>
      <c r="V342" s="547">
        <v>1719</v>
      </c>
      <c r="W342" s="548"/>
      <c r="Y342" s="544" t="s">
        <v>1674</v>
      </c>
      <c r="AA342" s="544" t="s">
        <v>1674</v>
      </c>
      <c r="AE342" s="551"/>
      <c r="AF342" s="544" t="s">
        <v>1674</v>
      </c>
      <c r="AG342" s="544" t="s">
        <v>1674</v>
      </c>
      <c r="AH342" s="544" t="s">
        <v>1674</v>
      </c>
      <c r="AI342" s="544" t="s">
        <v>1674</v>
      </c>
      <c r="AJ342" s="544" t="s">
        <v>1674</v>
      </c>
      <c r="AK342" s="544" t="s">
        <v>1674</v>
      </c>
      <c r="AL342" s="544" t="s">
        <v>1674</v>
      </c>
      <c r="AM342" s="544" t="s">
        <v>1674</v>
      </c>
      <c r="AN342" s="544" t="s">
        <v>1674</v>
      </c>
      <c r="AP342" s="552">
        <f t="shared" si="5"/>
        <v>0</v>
      </c>
    </row>
    <row r="343" spans="1:42" outlineLevel="1" x14ac:dyDescent="0.25">
      <c r="A343" s="544" t="s">
        <v>1674</v>
      </c>
      <c r="B343" s="545">
        <v>0</v>
      </c>
      <c r="C343" s="544" t="s">
        <v>1674</v>
      </c>
      <c r="D343" s="544" t="s">
        <v>2739</v>
      </c>
      <c r="E343" s="542" t="s">
        <v>2692</v>
      </c>
      <c r="G343" s="546"/>
      <c r="H343" s="546">
        <v>942.48</v>
      </c>
      <c r="I343" s="546"/>
      <c r="J343" s="542" t="s">
        <v>806</v>
      </c>
      <c r="K343" s="547">
        <v>1200</v>
      </c>
      <c r="L343" s="542" t="s">
        <v>806</v>
      </c>
      <c r="M343" s="548"/>
      <c r="N343" s="549">
        <v>0</v>
      </c>
      <c r="O343" s="544" t="s">
        <v>1674</v>
      </c>
      <c r="P343" s="544" t="s">
        <v>1674</v>
      </c>
      <c r="Q343" s="544" t="s">
        <v>2693</v>
      </c>
      <c r="R343" s="544" t="s">
        <v>1674</v>
      </c>
      <c r="S343" s="544" t="s">
        <v>1674</v>
      </c>
      <c r="T343" s="550"/>
      <c r="U343" s="544" t="s">
        <v>2694</v>
      </c>
      <c r="V343" s="547">
        <v>1827</v>
      </c>
      <c r="W343" s="548"/>
      <c r="Y343" s="544" t="s">
        <v>1674</v>
      </c>
      <c r="AA343" s="544" t="s">
        <v>1674</v>
      </c>
      <c r="AE343" s="551"/>
      <c r="AF343" s="544" t="s">
        <v>1674</v>
      </c>
      <c r="AG343" s="544" t="s">
        <v>1674</v>
      </c>
      <c r="AH343" s="544" t="s">
        <v>1674</v>
      </c>
      <c r="AI343" s="544" t="s">
        <v>1674</v>
      </c>
      <c r="AJ343" s="544" t="s">
        <v>1674</v>
      </c>
      <c r="AK343" s="544" t="s">
        <v>1674</v>
      </c>
      <c r="AL343" s="544" t="s">
        <v>1674</v>
      </c>
      <c r="AM343" s="544" t="s">
        <v>1674</v>
      </c>
      <c r="AN343" s="544" t="s">
        <v>1674</v>
      </c>
      <c r="AP343" s="552">
        <f t="shared" si="5"/>
        <v>0</v>
      </c>
    </row>
    <row r="344" spans="1:42" outlineLevel="1" x14ac:dyDescent="0.25">
      <c r="A344" s="544" t="s">
        <v>1674</v>
      </c>
      <c r="B344" s="545">
        <v>0</v>
      </c>
      <c r="C344" s="544" t="s">
        <v>1674</v>
      </c>
      <c r="D344" s="544" t="s">
        <v>2739</v>
      </c>
      <c r="E344" s="542" t="s">
        <v>2692</v>
      </c>
      <c r="G344" s="546"/>
      <c r="H344" s="546">
        <v>9.52</v>
      </c>
      <c r="I344" s="546"/>
      <c r="J344" s="542" t="s">
        <v>806</v>
      </c>
      <c r="K344" s="547">
        <v>8736</v>
      </c>
      <c r="L344" s="542" t="s">
        <v>806</v>
      </c>
      <c r="M344" s="548"/>
      <c r="N344" s="549">
        <v>0</v>
      </c>
      <c r="O344" s="544" t="s">
        <v>1674</v>
      </c>
      <c r="P344" s="544" t="s">
        <v>1674</v>
      </c>
      <c r="Q344" s="544" t="s">
        <v>2693</v>
      </c>
      <c r="R344" s="544" t="s">
        <v>1674</v>
      </c>
      <c r="S344" s="544" t="s">
        <v>1674</v>
      </c>
      <c r="T344" s="550">
        <v>19</v>
      </c>
      <c r="U344" s="544" t="s">
        <v>2694</v>
      </c>
      <c r="V344" s="547">
        <v>1828</v>
      </c>
      <c r="W344" s="548"/>
      <c r="Y344" s="544" t="s">
        <v>1674</v>
      </c>
      <c r="AA344" s="544" t="s">
        <v>1674</v>
      </c>
      <c r="AE344" s="551"/>
      <c r="AF344" s="544" t="s">
        <v>1674</v>
      </c>
      <c r="AG344" s="544" t="s">
        <v>1674</v>
      </c>
      <c r="AH344" s="544" t="s">
        <v>1674</v>
      </c>
      <c r="AI344" s="544" t="s">
        <v>1674</v>
      </c>
      <c r="AJ344" s="544" t="s">
        <v>1674</v>
      </c>
      <c r="AK344" s="544" t="s">
        <v>1674</v>
      </c>
      <c r="AL344" s="544" t="s">
        <v>1674</v>
      </c>
      <c r="AM344" s="544" t="s">
        <v>1674</v>
      </c>
      <c r="AN344" s="544" t="s">
        <v>1674</v>
      </c>
      <c r="AP344" s="552">
        <f t="shared" si="5"/>
        <v>0</v>
      </c>
    </row>
    <row r="345" spans="1:42" outlineLevel="1" x14ac:dyDescent="0.25">
      <c r="A345" s="544" t="s">
        <v>1674</v>
      </c>
      <c r="B345" s="545">
        <v>0</v>
      </c>
      <c r="C345" s="544" t="s">
        <v>1674</v>
      </c>
      <c r="D345" s="544" t="s">
        <v>2739</v>
      </c>
      <c r="E345" s="542" t="s">
        <v>2695</v>
      </c>
      <c r="G345" s="546"/>
      <c r="H345" s="546">
        <v>942.48</v>
      </c>
      <c r="I345" s="546"/>
      <c r="J345" s="542" t="s">
        <v>806</v>
      </c>
      <c r="K345" s="547">
        <v>1200</v>
      </c>
      <c r="L345" s="542" t="s">
        <v>806</v>
      </c>
      <c r="M345" s="548"/>
      <c r="N345" s="549">
        <v>0</v>
      </c>
      <c r="O345" s="544" t="s">
        <v>1674</v>
      </c>
      <c r="P345" s="544" t="s">
        <v>1674</v>
      </c>
      <c r="Q345" s="544" t="s">
        <v>2696</v>
      </c>
      <c r="R345" s="544" t="s">
        <v>1674</v>
      </c>
      <c r="S345" s="544" t="s">
        <v>1674</v>
      </c>
      <c r="T345" s="550"/>
      <c r="U345" s="544" t="s">
        <v>2697</v>
      </c>
      <c r="V345" s="547">
        <v>1634</v>
      </c>
      <c r="W345" s="548"/>
      <c r="Y345" s="544" t="s">
        <v>1674</v>
      </c>
      <c r="AA345" s="544" t="s">
        <v>1674</v>
      </c>
      <c r="AE345" s="551"/>
      <c r="AF345" s="544" t="s">
        <v>1674</v>
      </c>
      <c r="AG345" s="544" t="s">
        <v>1674</v>
      </c>
      <c r="AH345" s="544" t="s">
        <v>1674</v>
      </c>
      <c r="AI345" s="544" t="s">
        <v>1674</v>
      </c>
      <c r="AJ345" s="544" t="s">
        <v>1674</v>
      </c>
      <c r="AK345" s="544" t="s">
        <v>1674</v>
      </c>
      <c r="AL345" s="544" t="s">
        <v>1674</v>
      </c>
      <c r="AM345" s="544" t="s">
        <v>1674</v>
      </c>
      <c r="AN345" s="544" t="s">
        <v>1674</v>
      </c>
      <c r="AP345" s="552">
        <f t="shared" si="5"/>
        <v>0</v>
      </c>
    </row>
    <row r="346" spans="1:42" outlineLevel="1" x14ac:dyDescent="0.25">
      <c r="A346" s="544" t="s">
        <v>1674</v>
      </c>
      <c r="B346" s="545">
        <v>0</v>
      </c>
      <c r="C346" s="544" t="s">
        <v>1674</v>
      </c>
      <c r="D346" s="544" t="s">
        <v>2739</v>
      </c>
      <c r="E346" s="542" t="s">
        <v>2695</v>
      </c>
      <c r="G346" s="546"/>
      <c r="H346" s="546">
        <v>9.52</v>
      </c>
      <c r="I346" s="546"/>
      <c r="J346" s="542" t="s">
        <v>806</v>
      </c>
      <c r="K346" s="547">
        <v>8736</v>
      </c>
      <c r="L346" s="542" t="s">
        <v>806</v>
      </c>
      <c r="M346" s="548"/>
      <c r="N346" s="549">
        <v>0</v>
      </c>
      <c r="O346" s="544" t="s">
        <v>1674</v>
      </c>
      <c r="P346" s="544" t="s">
        <v>1674</v>
      </c>
      <c r="Q346" s="544" t="s">
        <v>2696</v>
      </c>
      <c r="R346" s="544" t="s">
        <v>1674</v>
      </c>
      <c r="S346" s="544" t="s">
        <v>1674</v>
      </c>
      <c r="T346" s="550">
        <v>19</v>
      </c>
      <c r="U346" s="544" t="s">
        <v>2697</v>
      </c>
      <c r="V346" s="547">
        <v>1635</v>
      </c>
      <c r="W346" s="548"/>
      <c r="Y346" s="544" t="s">
        <v>1674</v>
      </c>
      <c r="AA346" s="544" t="s">
        <v>1674</v>
      </c>
      <c r="AE346" s="551"/>
      <c r="AF346" s="544" t="s">
        <v>1674</v>
      </c>
      <c r="AG346" s="544" t="s">
        <v>1674</v>
      </c>
      <c r="AH346" s="544" t="s">
        <v>1674</v>
      </c>
      <c r="AI346" s="544" t="s">
        <v>1674</v>
      </c>
      <c r="AJ346" s="544" t="s">
        <v>1674</v>
      </c>
      <c r="AK346" s="544" t="s">
        <v>1674</v>
      </c>
      <c r="AL346" s="544" t="s">
        <v>1674</v>
      </c>
      <c r="AM346" s="544" t="s">
        <v>1674</v>
      </c>
      <c r="AN346" s="544" t="s">
        <v>1674</v>
      </c>
      <c r="AP346" s="552">
        <f t="shared" si="5"/>
        <v>0</v>
      </c>
    </row>
    <row r="347" spans="1:42" outlineLevel="1" x14ac:dyDescent="0.25">
      <c r="A347" s="544" t="s">
        <v>1674</v>
      </c>
      <c r="B347" s="545">
        <v>0</v>
      </c>
      <c r="C347" s="544" t="s">
        <v>1674</v>
      </c>
      <c r="D347" s="544" t="s">
        <v>2739</v>
      </c>
      <c r="E347" s="542" t="s">
        <v>2698</v>
      </c>
      <c r="G347" s="546"/>
      <c r="H347" s="546">
        <v>942.48</v>
      </c>
      <c r="I347" s="546"/>
      <c r="J347" s="542" t="s">
        <v>806</v>
      </c>
      <c r="K347" s="547">
        <v>1200</v>
      </c>
      <c r="L347" s="542" t="s">
        <v>806</v>
      </c>
      <c r="M347" s="548"/>
      <c r="N347" s="549">
        <v>0</v>
      </c>
      <c r="O347" s="544" t="s">
        <v>1674</v>
      </c>
      <c r="P347" s="544" t="s">
        <v>1674</v>
      </c>
      <c r="Q347" s="544" t="s">
        <v>2699</v>
      </c>
      <c r="R347" s="544" t="s">
        <v>1674</v>
      </c>
      <c r="S347" s="544" t="s">
        <v>1674</v>
      </c>
      <c r="T347" s="550"/>
      <c r="U347" s="544" t="s">
        <v>2700</v>
      </c>
      <c r="V347" s="547">
        <v>1598</v>
      </c>
      <c r="W347" s="548"/>
      <c r="Y347" s="544" t="s">
        <v>1674</v>
      </c>
      <c r="AA347" s="544" t="s">
        <v>1674</v>
      </c>
      <c r="AE347" s="551"/>
      <c r="AF347" s="544" t="s">
        <v>1674</v>
      </c>
      <c r="AG347" s="544" t="s">
        <v>1674</v>
      </c>
      <c r="AH347" s="544" t="s">
        <v>1674</v>
      </c>
      <c r="AI347" s="544" t="s">
        <v>1674</v>
      </c>
      <c r="AJ347" s="544" t="s">
        <v>1674</v>
      </c>
      <c r="AK347" s="544" t="s">
        <v>1674</v>
      </c>
      <c r="AL347" s="544" t="s">
        <v>1674</v>
      </c>
      <c r="AM347" s="544" t="s">
        <v>1674</v>
      </c>
      <c r="AN347" s="544" t="s">
        <v>1674</v>
      </c>
      <c r="AP347" s="552">
        <f t="shared" si="5"/>
        <v>0</v>
      </c>
    </row>
    <row r="348" spans="1:42" outlineLevel="1" x14ac:dyDescent="0.25">
      <c r="A348" s="544" t="s">
        <v>1674</v>
      </c>
      <c r="B348" s="545">
        <v>11100</v>
      </c>
      <c r="C348" s="544" t="s">
        <v>2742</v>
      </c>
      <c r="D348" s="544" t="s">
        <v>2743</v>
      </c>
      <c r="E348" s="542" t="s">
        <v>2744</v>
      </c>
      <c r="G348" s="546"/>
      <c r="H348" s="546">
        <v>885.36</v>
      </c>
      <c r="I348" s="546"/>
      <c r="J348" s="542" t="s">
        <v>806</v>
      </c>
      <c r="K348" s="547">
        <v>8400</v>
      </c>
      <c r="L348" s="542" t="s">
        <v>806</v>
      </c>
      <c r="M348" s="548"/>
      <c r="N348" s="549">
        <v>0</v>
      </c>
      <c r="O348" s="544" t="s">
        <v>1674</v>
      </c>
      <c r="P348" s="544" t="s">
        <v>1674</v>
      </c>
      <c r="Q348" s="544" t="s">
        <v>2745</v>
      </c>
      <c r="R348" s="544" t="s">
        <v>2622</v>
      </c>
      <c r="S348" s="544" t="s">
        <v>1674</v>
      </c>
      <c r="T348" s="550">
        <v>19</v>
      </c>
      <c r="U348" s="544" t="s">
        <v>2676</v>
      </c>
      <c r="V348" s="547">
        <v>1000</v>
      </c>
      <c r="W348" s="548"/>
      <c r="Y348" s="544" t="s">
        <v>1674</v>
      </c>
      <c r="AA348" s="544" t="s">
        <v>1674</v>
      </c>
      <c r="AE348" s="551"/>
      <c r="AF348" s="544" t="s">
        <v>1674</v>
      </c>
      <c r="AG348" s="544" t="s">
        <v>1674</v>
      </c>
      <c r="AH348" s="544" t="s">
        <v>1674</v>
      </c>
      <c r="AI348" s="544" t="s">
        <v>1674</v>
      </c>
      <c r="AJ348" s="544" t="s">
        <v>1674</v>
      </c>
      <c r="AK348" s="544" t="s">
        <v>1674</v>
      </c>
      <c r="AL348" s="544" t="s">
        <v>1674</v>
      </c>
      <c r="AM348" s="544" t="s">
        <v>2742</v>
      </c>
      <c r="AN348" s="544" t="s">
        <v>1674</v>
      </c>
      <c r="AP348" s="552">
        <f t="shared" si="5"/>
        <v>0</v>
      </c>
    </row>
    <row r="349" spans="1:42" outlineLevel="1" x14ac:dyDescent="0.25">
      <c r="A349" s="544" t="s">
        <v>1674</v>
      </c>
      <c r="B349" s="545">
        <v>10237</v>
      </c>
      <c r="C349" s="544" t="s">
        <v>2750</v>
      </c>
      <c r="D349" s="544" t="s">
        <v>2751</v>
      </c>
      <c r="E349" s="542" t="s">
        <v>2752</v>
      </c>
      <c r="F349" s="542" t="s">
        <v>2753</v>
      </c>
      <c r="G349" s="546">
        <v>756.84</v>
      </c>
      <c r="H349" s="546"/>
      <c r="I349" s="546"/>
      <c r="J349" s="542" t="s">
        <v>806</v>
      </c>
      <c r="K349" s="547">
        <v>8400</v>
      </c>
      <c r="L349" s="542" t="s">
        <v>806</v>
      </c>
      <c r="M349" s="548"/>
      <c r="N349" s="549">
        <v>-191</v>
      </c>
      <c r="O349" s="544" t="s">
        <v>1674</v>
      </c>
      <c r="P349" s="544" t="s">
        <v>1674</v>
      </c>
      <c r="Q349" s="544" t="s">
        <v>2754</v>
      </c>
      <c r="R349" s="544" t="s">
        <v>1674</v>
      </c>
      <c r="S349" s="544" t="s">
        <v>1674</v>
      </c>
      <c r="T349" s="550">
        <v>19</v>
      </c>
      <c r="U349" s="544" t="s">
        <v>2679</v>
      </c>
      <c r="V349" s="547">
        <v>1403</v>
      </c>
      <c r="W349" s="548"/>
      <c r="Y349" s="544" t="s">
        <v>1674</v>
      </c>
      <c r="AA349" s="544" t="s">
        <v>1674</v>
      </c>
      <c r="AE349" s="551"/>
      <c r="AF349" s="544" t="s">
        <v>1674</v>
      </c>
      <c r="AG349" s="544" t="s">
        <v>1674</v>
      </c>
      <c r="AH349" s="544" t="s">
        <v>1674</v>
      </c>
      <c r="AI349" s="544" t="s">
        <v>1674</v>
      </c>
      <c r="AJ349" s="544" t="s">
        <v>1674</v>
      </c>
      <c r="AK349" s="544" t="s">
        <v>1674</v>
      </c>
      <c r="AL349" s="544" t="s">
        <v>1674</v>
      </c>
      <c r="AM349" s="544" t="s">
        <v>2755</v>
      </c>
      <c r="AN349" s="544" t="s">
        <v>1674</v>
      </c>
      <c r="AP349" s="552">
        <f t="shared" si="5"/>
        <v>0</v>
      </c>
    </row>
    <row r="350" spans="1:42" outlineLevel="1" x14ac:dyDescent="0.25">
      <c r="A350" s="544" t="s">
        <v>1674</v>
      </c>
      <c r="B350" s="545">
        <v>11800</v>
      </c>
      <c r="C350" s="544" t="s">
        <v>2581</v>
      </c>
      <c r="D350" s="544" t="s">
        <v>2756</v>
      </c>
      <c r="E350" s="542" t="s">
        <v>2757</v>
      </c>
      <c r="F350" s="542" t="s">
        <v>2680</v>
      </c>
      <c r="G350" s="546">
        <v>17195.5</v>
      </c>
      <c r="H350" s="546"/>
      <c r="I350" s="546"/>
      <c r="J350" s="542" t="s">
        <v>806</v>
      </c>
      <c r="K350" s="547">
        <v>8820</v>
      </c>
      <c r="L350" s="542" t="s">
        <v>806</v>
      </c>
      <c r="M350" s="548"/>
      <c r="N350" s="549">
        <v>-186</v>
      </c>
      <c r="O350" s="544" t="s">
        <v>1674</v>
      </c>
      <c r="P350" s="544" t="s">
        <v>1674</v>
      </c>
      <c r="Q350" s="544" t="s">
        <v>2720</v>
      </c>
      <c r="R350" s="544" t="s">
        <v>2622</v>
      </c>
      <c r="S350" s="544" t="s">
        <v>1674</v>
      </c>
      <c r="T350" s="550">
        <v>19</v>
      </c>
      <c r="U350" s="544" t="s">
        <v>2679</v>
      </c>
      <c r="V350" s="547">
        <v>1674</v>
      </c>
      <c r="W350" s="548"/>
      <c r="Y350" s="544" t="s">
        <v>1674</v>
      </c>
      <c r="AA350" s="544" t="s">
        <v>1674</v>
      </c>
      <c r="AE350" s="551"/>
      <c r="AF350" s="544" t="s">
        <v>1674</v>
      </c>
      <c r="AG350" s="544" t="s">
        <v>1674</v>
      </c>
      <c r="AH350" s="544" t="s">
        <v>1674</v>
      </c>
      <c r="AI350" s="544" t="s">
        <v>1674</v>
      </c>
      <c r="AJ350" s="544" t="s">
        <v>1674</v>
      </c>
      <c r="AK350" s="544" t="s">
        <v>1674</v>
      </c>
      <c r="AL350" s="544" t="s">
        <v>1674</v>
      </c>
      <c r="AM350" s="544" t="s">
        <v>2581</v>
      </c>
      <c r="AN350" s="544" t="s">
        <v>1674</v>
      </c>
      <c r="AP350" s="552">
        <f t="shared" si="5"/>
        <v>0</v>
      </c>
    </row>
    <row r="351" spans="1:42" outlineLevel="1" x14ac:dyDescent="0.25">
      <c r="A351" s="544" t="s">
        <v>1674</v>
      </c>
      <c r="B351" s="545">
        <v>0</v>
      </c>
      <c r="C351" s="544" t="s">
        <v>1674</v>
      </c>
      <c r="D351" s="544" t="s">
        <v>2756</v>
      </c>
      <c r="E351" s="542" t="s">
        <v>2757</v>
      </c>
      <c r="F351" s="542" t="s">
        <v>2680</v>
      </c>
      <c r="G351" s="546">
        <v>3034.5</v>
      </c>
      <c r="H351" s="546"/>
      <c r="I351" s="546"/>
      <c r="J351" s="542" t="s">
        <v>806</v>
      </c>
      <c r="K351" s="547">
        <v>8820</v>
      </c>
      <c r="L351" s="542" t="s">
        <v>806</v>
      </c>
      <c r="M351" s="548"/>
      <c r="N351" s="549">
        <v>-186</v>
      </c>
      <c r="O351" s="544" t="s">
        <v>1674</v>
      </c>
      <c r="P351" s="544" t="s">
        <v>1674</v>
      </c>
      <c r="Q351" s="544" t="s">
        <v>2720</v>
      </c>
      <c r="R351" s="544" t="s">
        <v>1674</v>
      </c>
      <c r="S351" s="544" t="s">
        <v>1674</v>
      </c>
      <c r="T351" s="550">
        <v>19</v>
      </c>
      <c r="U351" s="544" t="s">
        <v>2679</v>
      </c>
      <c r="V351" s="547">
        <v>1675</v>
      </c>
      <c r="W351" s="548"/>
      <c r="Y351" s="544" t="s">
        <v>1674</v>
      </c>
      <c r="AA351" s="544" t="s">
        <v>1674</v>
      </c>
      <c r="AE351" s="551"/>
      <c r="AF351" s="544" t="s">
        <v>1674</v>
      </c>
      <c r="AG351" s="544" t="s">
        <v>1674</v>
      </c>
      <c r="AH351" s="544" t="s">
        <v>1674</v>
      </c>
      <c r="AI351" s="544" t="s">
        <v>1674</v>
      </c>
      <c r="AJ351" s="544" t="s">
        <v>1674</v>
      </c>
      <c r="AK351" s="544" t="s">
        <v>1674</v>
      </c>
      <c r="AL351" s="544" t="s">
        <v>1674</v>
      </c>
      <c r="AM351" s="544" t="s">
        <v>1674</v>
      </c>
      <c r="AN351" s="544" t="s">
        <v>1674</v>
      </c>
      <c r="AP351" s="552">
        <f t="shared" si="5"/>
        <v>0</v>
      </c>
    </row>
    <row r="352" spans="1:42" outlineLevel="1" x14ac:dyDescent="0.25">
      <c r="A352" s="544" t="s">
        <v>1674</v>
      </c>
      <c r="B352" s="545">
        <v>0</v>
      </c>
      <c r="C352" s="544" t="s">
        <v>1674</v>
      </c>
      <c r="D352" s="544" t="s">
        <v>2756</v>
      </c>
      <c r="E352" s="542" t="s">
        <v>2680</v>
      </c>
      <c r="G352" s="546"/>
      <c r="H352" s="546">
        <v>942.48</v>
      </c>
      <c r="I352" s="546"/>
      <c r="J352" s="542" t="s">
        <v>806</v>
      </c>
      <c r="K352" s="547">
        <v>1200</v>
      </c>
      <c r="L352" s="542" t="s">
        <v>806</v>
      </c>
      <c r="M352" s="548"/>
      <c r="N352" s="549">
        <v>0</v>
      </c>
      <c r="O352" s="544" t="s">
        <v>1674</v>
      </c>
      <c r="P352" s="544" t="s">
        <v>1674</v>
      </c>
      <c r="Q352" s="544" t="s">
        <v>2681</v>
      </c>
      <c r="R352" s="544" t="s">
        <v>1674</v>
      </c>
      <c r="S352" s="544" t="s">
        <v>1674</v>
      </c>
      <c r="T352" s="550"/>
      <c r="U352" s="544" t="s">
        <v>2682</v>
      </c>
      <c r="V352" s="547">
        <v>1587</v>
      </c>
      <c r="W352" s="548"/>
      <c r="Y352" s="544" t="s">
        <v>1674</v>
      </c>
      <c r="AA352" s="544" t="s">
        <v>1674</v>
      </c>
      <c r="AE352" s="551"/>
      <c r="AF352" s="544" t="s">
        <v>1674</v>
      </c>
      <c r="AG352" s="544" t="s">
        <v>1674</v>
      </c>
      <c r="AH352" s="544" t="s">
        <v>1674</v>
      </c>
      <c r="AI352" s="544" t="s">
        <v>1674</v>
      </c>
      <c r="AJ352" s="544" t="s">
        <v>1674</v>
      </c>
      <c r="AK352" s="544" t="s">
        <v>1674</v>
      </c>
      <c r="AL352" s="544" t="s">
        <v>1674</v>
      </c>
      <c r="AM352" s="544" t="s">
        <v>1674</v>
      </c>
      <c r="AN352" s="544" t="s">
        <v>1674</v>
      </c>
      <c r="AP352" s="552">
        <f t="shared" si="5"/>
        <v>0</v>
      </c>
    </row>
    <row r="353" spans="1:42" outlineLevel="1" x14ac:dyDescent="0.25">
      <c r="A353" s="544" t="s">
        <v>1674</v>
      </c>
      <c r="B353" s="545">
        <v>0</v>
      </c>
      <c r="C353" s="544" t="s">
        <v>1674</v>
      </c>
      <c r="D353" s="544" t="s">
        <v>2756</v>
      </c>
      <c r="E353" s="542" t="s">
        <v>2680</v>
      </c>
      <c r="G353" s="546"/>
      <c r="H353" s="546">
        <v>9.52</v>
      </c>
      <c r="I353" s="546"/>
      <c r="J353" s="542" t="s">
        <v>806</v>
      </c>
      <c r="K353" s="547">
        <v>8736</v>
      </c>
      <c r="L353" s="542" t="s">
        <v>806</v>
      </c>
      <c r="M353" s="548"/>
      <c r="N353" s="549">
        <v>0</v>
      </c>
      <c r="O353" s="544" t="s">
        <v>1674</v>
      </c>
      <c r="P353" s="544" t="s">
        <v>1674</v>
      </c>
      <c r="Q353" s="544" t="s">
        <v>2681</v>
      </c>
      <c r="R353" s="544" t="s">
        <v>1674</v>
      </c>
      <c r="S353" s="544" t="s">
        <v>1674</v>
      </c>
      <c r="T353" s="550">
        <v>19</v>
      </c>
      <c r="U353" s="544" t="s">
        <v>2682</v>
      </c>
      <c r="V353" s="547">
        <v>1587</v>
      </c>
      <c r="W353" s="548"/>
      <c r="Y353" s="544" t="s">
        <v>1674</v>
      </c>
      <c r="AA353" s="544" t="s">
        <v>1674</v>
      </c>
      <c r="AE353" s="551"/>
      <c r="AF353" s="544" t="s">
        <v>1674</v>
      </c>
      <c r="AG353" s="544" t="s">
        <v>1674</v>
      </c>
      <c r="AH353" s="544" t="s">
        <v>1674</v>
      </c>
      <c r="AI353" s="544" t="s">
        <v>1674</v>
      </c>
      <c r="AJ353" s="544" t="s">
        <v>1674</v>
      </c>
      <c r="AK353" s="544" t="s">
        <v>1674</v>
      </c>
      <c r="AL353" s="544" t="s">
        <v>1674</v>
      </c>
      <c r="AM353" s="544" t="s">
        <v>1674</v>
      </c>
      <c r="AN353" s="544" t="s">
        <v>1674</v>
      </c>
      <c r="AP353" s="552">
        <f t="shared" si="5"/>
        <v>0</v>
      </c>
    </row>
    <row r="354" spans="1:42" outlineLevel="1" x14ac:dyDescent="0.25">
      <c r="A354" s="544" t="s">
        <v>1674</v>
      </c>
      <c r="B354" s="545">
        <v>0</v>
      </c>
      <c r="C354" s="544" t="s">
        <v>1674</v>
      </c>
      <c r="D354" s="544" t="s">
        <v>2756</v>
      </c>
      <c r="E354" s="542" t="s">
        <v>2683</v>
      </c>
      <c r="G354" s="546"/>
      <c r="H354" s="546">
        <v>942.48</v>
      </c>
      <c r="I354" s="546"/>
      <c r="J354" s="542" t="s">
        <v>806</v>
      </c>
      <c r="K354" s="547">
        <v>1200</v>
      </c>
      <c r="L354" s="542" t="s">
        <v>806</v>
      </c>
      <c r="M354" s="548"/>
      <c r="N354" s="549">
        <v>0</v>
      </c>
      <c r="O354" s="544" t="s">
        <v>1674</v>
      </c>
      <c r="P354" s="544" t="s">
        <v>1674</v>
      </c>
      <c r="Q354" s="544" t="s">
        <v>2684</v>
      </c>
      <c r="R354" s="544" t="s">
        <v>1674</v>
      </c>
      <c r="S354" s="544" t="s">
        <v>1674</v>
      </c>
      <c r="T354" s="550"/>
      <c r="U354" s="544" t="s">
        <v>2685</v>
      </c>
      <c r="V354" s="547">
        <v>1749</v>
      </c>
      <c r="W354" s="548"/>
      <c r="Y354" s="544" t="s">
        <v>1674</v>
      </c>
      <c r="AA354" s="544" t="s">
        <v>1674</v>
      </c>
      <c r="AE354" s="551"/>
      <c r="AF354" s="544" t="s">
        <v>1674</v>
      </c>
      <c r="AG354" s="544" t="s">
        <v>1674</v>
      </c>
      <c r="AH354" s="544" t="s">
        <v>1674</v>
      </c>
      <c r="AI354" s="544" t="s">
        <v>1674</v>
      </c>
      <c r="AJ354" s="544" t="s">
        <v>1674</v>
      </c>
      <c r="AK354" s="544" t="s">
        <v>1674</v>
      </c>
      <c r="AL354" s="544" t="s">
        <v>1674</v>
      </c>
      <c r="AM354" s="544" t="s">
        <v>1674</v>
      </c>
      <c r="AN354" s="544" t="s">
        <v>1674</v>
      </c>
      <c r="AP354" s="552">
        <f t="shared" si="5"/>
        <v>0</v>
      </c>
    </row>
    <row r="355" spans="1:42" outlineLevel="1" x14ac:dyDescent="0.25">
      <c r="A355" s="544" t="s">
        <v>1674</v>
      </c>
      <c r="B355" s="545">
        <v>0</v>
      </c>
      <c r="C355" s="544" t="s">
        <v>1674</v>
      </c>
      <c r="D355" s="544" t="s">
        <v>2756</v>
      </c>
      <c r="E355" s="542" t="s">
        <v>2683</v>
      </c>
      <c r="G355" s="546"/>
      <c r="H355" s="546">
        <v>9.52</v>
      </c>
      <c r="I355" s="546"/>
      <c r="J355" s="542" t="s">
        <v>806</v>
      </c>
      <c r="K355" s="547">
        <v>8736</v>
      </c>
      <c r="L355" s="542" t="s">
        <v>806</v>
      </c>
      <c r="M355" s="548"/>
      <c r="N355" s="549">
        <v>0</v>
      </c>
      <c r="O355" s="544" t="s">
        <v>1674</v>
      </c>
      <c r="P355" s="544" t="s">
        <v>1674</v>
      </c>
      <c r="Q355" s="544" t="s">
        <v>2684</v>
      </c>
      <c r="R355" s="544" t="s">
        <v>1674</v>
      </c>
      <c r="S355" s="544" t="s">
        <v>1674</v>
      </c>
      <c r="T355" s="550">
        <v>19</v>
      </c>
      <c r="U355" s="544" t="s">
        <v>2685</v>
      </c>
      <c r="V355" s="547">
        <v>1749</v>
      </c>
      <c r="W355" s="548"/>
      <c r="Y355" s="544" t="s">
        <v>1674</v>
      </c>
      <c r="AA355" s="544" t="s">
        <v>1674</v>
      </c>
      <c r="AE355" s="551"/>
      <c r="AF355" s="544" t="s">
        <v>1674</v>
      </c>
      <c r="AG355" s="544" t="s">
        <v>1674</v>
      </c>
      <c r="AH355" s="544" t="s">
        <v>1674</v>
      </c>
      <c r="AI355" s="544" t="s">
        <v>1674</v>
      </c>
      <c r="AJ355" s="544" t="s">
        <v>1674</v>
      </c>
      <c r="AK355" s="544" t="s">
        <v>1674</v>
      </c>
      <c r="AL355" s="544" t="s">
        <v>1674</v>
      </c>
      <c r="AM355" s="544" t="s">
        <v>1674</v>
      </c>
      <c r="AN355" s="544" t="s">
        <v>1674</v>
      </c>
      <c r="AP355" s="552">
        <f t="shared" si="5"/>
        <v>0</v>
      </c>
    </row>
    <row r="356" spans="1:42" outlineLevel="1" x14ac:dyDescent="0.25">
      <c r="A356" s="544" t="s">
        <v>1674</v>
      </c>
      <c r="B356" s="545">
        <v>0</v>
      </c>
      <c r="C356" s="544" t="s">
        <v>1674</v>
      </c>
      <c r="D356" s="544" t="s">
        <v>2756</v>
      </c>
      <c r="E356" s="542" t="s">
        <v>2686</v>
      </c>
      <c r="G356" s="546"/>
      <c r="H356" s="546">
        <v>942.48</v>
      </c>
      <c r="I356" s="546"/>
      <c r="J356" s="542" t="s">
        <v>806</v>
      </c>
      <c r="K356" s="547">
        <v>1200</v>
      </c>
      <c r="L356" s="542" t="s">
        <v>806</v>
      </c>
      <c r="M356" s="548"/>
      <c r="N356" s="549">
        <v>0</v>
      </c>
      <c r="O356" s="544" t="s">
        <v>1674</v>
      </c>
      <c r="P356" s="544" t="s">
        <v>1674</v>
      </c>
      <c r="Q356" s="544" t="s">
        <v>2687</v>
      </c>
      <c r="R356" s="544" t="s">
        <v>1674</v>
      </c>
      <c r="S356" s="544" t="s">
        <v>1674</v>
      </c>
      <c r="T356" s="550"/>
      <c r="U356" s="544" t="s">
        <v>2688</v>
      </c>
      <c r="V356" s="547">
        <v>1498</v>
      </c>
      <c r="W356" s="548"/>
      <c r="Y356" s="544" t="s">
        <v>1674</v>
      </c>
      <c r="AA356" s="544" t="s">
        <v>1674</v>
      </c>
      <c r="AE356" s="551"/>
      <c r="AF356" s="544" t="s">
        <v>1674</v>
      </c>
      <c r="AG356" s="544" t="s">
        <v>1674</v>
      </c>
      <c r="AH356" s="544" t="s">
        <v>1674</v>
      </c>
      <c r="AI356" s="544" t="s">
        <v>1674</v>
      </c>
      <c r="AJ356" s="544" t="s">
        <v>1674</v>
      </c>
      <c r="AK356" s="544" t="s">
        <v>1674</v>
      </c>
      <c r="AL356" s="544" t="s">
        <v>1674</v>
      </c>
      <c r="AM356" s="544" t="s">
        <v>1674</v>
      </c>
      <c r="AN356" s="544" t="s">
        <v>1674</v>
      </c>
      <c r="AP356" s="552">
        <f t="shared" si="5"/>
        <v>0</v>
      </c>
    </row>
    <row r="357" spans="1:42" outlineLevel="1" x14ac:dyDescent="0.25">
      <c r="A357" s="544" t="s">
        <v>1674</v>
      </c>
      <c r="B357" s="545">
        <v>0</v>
      </c>
      <c r="C357" s="544" t="s">
        <v>1674</v>
      </c>
      <c r="D357" s="544" t="s">
        <v>2756</v>
      </c>
      <c r="E357" s="542" t="s">
        <v>2686</v>
      </c>
      <c r="G357" s="546"/>
      <c r="H357" s="546">
        <v>9.52</v>
      </c>
      <c r="I357" s="546"/>
      <c r="J357" s="542" t="s">
        <v>806</v>
      </c>
      <c r="K357" s="547">
        <v>8736</v>
      </c>
      <c r="L357" s="542" t="s">
        <v>806</v>
      </c>
      <c r="M357" s="548"/>
      <c r="N357" s="549">
        <v>0</v>
      </c>
      <c r="O357" s="544" t="s">
        <v>1674</v>
      </c>
      <c r="P357" s="544" t="s">
        <v>1674</v>
      </c>
      <c r="Q357" s="544" t="s">
        <v>2687</v>
      </c>
      <c r="R357" s="544" t="s">
        <v>1674</v>
      </c>
      <c r="S357" s="544" t="s">
        <v>1674</v>
      </c>
      <c r="T357" s="550">
        <v>19</v>
      </c>
      <c r="U357" s="544" t="s">
        <v>2688</v>
      </c>
      <c r="V357" s="547">
        <v>1498</v>
      </c>
      <c r="W357" s="548"/>
      <c r="Y357" s="544" t="s">
        <v>1674</v>
      </c>
      <c r="AA357" s="544" t="s">
        <v>1674</v>
      </c>
      <c r="AE357" s="551"/>
      <c r="AF357" s="544" t="s">
        <v>1674</v>
      </c>
      <c r="AG357" s="544" t="s">
        <v>1674</v>
      </c>
      <c r="AH357" s="544" t="s">
        <v>1674</v>
      </c>
      <c r="AI357" s="544" t="s">
        <v>1674</v>
      </c>
      <c r="AJ357" s="544" t="s">
        <v>1674</v>
      </c>
      <c r="AK357" s="544" t="s">
        <v>1674</v>
      </c>
      <c r="AL357" s="544" t="s">
        <v>1674</v>
      </c>
      <c r="AM357" s="544" t="s">
        <v>1674</v>
      </c>
      <c r="AN357" s="544" t="s">
        <v>1674</v>
      </c>
      <c r="AP357" s="552">
        <f t="shared" si="5"/>
        <v>0</v>
      </c>
    </row>
    <row r="358" spans="1:42" outlineLevel="1" x14ac:dyDescent="0.25">
      <c r="A358" s="544" t="s">
        <v>1674</v>
      </c>
      <c r="B358" s="545">
        <v>0</v>
      </c>
      <c r="C358" s="544" t="s">
        <v>1674</v>
      </c>
      <c r="D358" s="544" t="s">
        <v>2756</v>
      </c>
      <c r="E358" s="542" t="s">
        <v>2689</v>
      </c>
      <c r="G358" s="546"/>
      <c r="H358" s="546">
        <v>942.48</v>
      </c>
      <c r="I358" s="546"/>
      <c r="J358" s="542" t="s">
        <v>806</v>
      </c>
      <c r="K358" s="547">
        <v>1200</v>
      </c>
      <c r="L358" s="542" t="s">
        <v>806</v>
      </c>
      <c r="M358" s="548"/>
      <c r="N358" s="549">
        <v>0</v>
      </c>
      <c r="O358" s="544" t="s">
        <v>1674</v>
      </c>
      <c r="P358" s="544" t="s">
        <v>1674</v>
      </c>
      <c r="Q358" s="544" t="s">
        <v>2690</v>
      </c>
      <c r="R358" s="544" t="s">
        <v>1674</v>
      </c>
      <c r="S358" s="544" t="s">
        <v>1674</v>
      </c>
      <c r="T358" s="550"/>
      <c r="U358" s="544" t="s">
        <v>2691</v>
      </c>
      <c r="V358" s="547">
        <v>1724</v>
      </c>
      <c r="W358" s="548"/>
      <c r="Y358" s="544" t="s">
        <v>1674</v>
      </c>
      <c r="AA358" s="544" t="s">
        <v>1674</v>
      </c>
      <c r="AE358" s="551"/>
      <c r="AF358" s="544" t="s">
        <v>1674</v>
      </c>
      <c r="AG358" s="544" t="s">
        <v>1674</v>
      </c>
      <c r="AH358" s="544" t="s">
        <v>1674</v>
      </c>
      <c r="AI358" s="544" t="s">
        <v>1674</v>
      </c>
      <c r="AJ358" s="544" t="s">
        <v>1674</v>
      </c>
      <c r="AK358" s="544" t="s">
        <v>1674</v>
      </c>
      <c r="AL358" s="544" t="s">
        <v>1674</v>
      </c>
      <c r="AM358" s="544" t="s">
        <v>1674</v>
      </c>
      <c r="AN358" s="544" t="s">
        <v>1674</v>
      </c>
      <c r="AP358" s="552">
        <f t="shared" si="5"/>
        <v>0</v>
      </c>
    </row>
    <row r="359" spans="1:42" outlineLevel="1" x14ac:dyDescent="0.25">
      <c r="A359" s="544" t="s">
        <v>1674</v>
      </c>
      <c r="B359" s="545">
        <v>0</v>
      </c>
      <c r="C359" s="544" t="s">
        <v>1674</v>
      </c>
      <c r="D359" s="544" t="s">
        <v>2756</v>
      </c>
      <c r="E359" s="542" t="s">
        <v>2689</v>
      </c>
      <c r="G359" s="546"/>
      <c r="H359" s="546">
        <v>9.52</v>
      </c>
      <c r="I359" s="546"/>
      <c r="J359" s="542" t="s">
        <v>806</v>
      </c>
      <c r="K359" s="547">
        <v>8736</v>
      </c>
      <c r="L359" s="542" t="s">
        <v>806</v>
      </c>
      <c r="M359" s="548"/>
      <c r="N359" s="549">
        <v>0</v>
      </c>
      <c r="O359" s="544" t="s">
        <v>1674</v>
      </c>
      <c r="P359" s="544" t="s">
        <v>1674</v>
      </c>
      <c r="Q359" s="544" t="s">
        <v>2690</v>
      </c>
      <c r="R359" s="544" t="s">
        <v>1674</v>
      </c>
      <c r="S359" s="544" t="s">
        <v>1674</v>
      </c>
      <c r="T359" s="550">
        <v>19</v>
      </c>
      <c r="U359" s="544" t="s">
        <v>2691</v>
      </c>
      <c r="V359" s="547">
        <v>1725</v>
      </c>
      <c r="W359" s="548"/>
      <c r="Y359" s="544" t="s">
        <v>1674</v>
      </c>
      <c r="AA359" s="544" t="s">
        <v>1674</v>
      </c>
      <c r="AE359" s="551"/>
      <c r="AF359" s="544" t="s">
        <v>1674</v>
      </c>
      <c r="AG359" s="544" t="s">
        <v>1674</v>
      </c>
      <c r="AH359" s="544" t="s">
        <v>1674</v>
      </c>
      <c r="AI359" s="544" t="s">
        <v>1674</v>
      </c>
      <c r="AJ359" s="544" t="s">
        <v>1674</v>
      </c>
      <c r="AK359" s="544" t="s">
        <v>1674</v>
      </c>
      <c r="AL359" s="544" t="s">
        <v>1674</v>
      </c>
      <c r="AM359" s="544" t="s">
        <v>1674</v>
      </c>
      <c r="AN359" s="544" t="s">
        <v>1674</v>
      </c>
      <c r="AP359" s="552">
        <f t="shared" si="5"/>
        <v>0</v>
      </c>
    </row>
    <row r="360" spans="1:42" outlineLevel="1" x14ac:dyDescent="0.25">
      <c r="A360" s="544" t="s">
        <v>1674</v>
      </c>
      <c r="B360" s="545">
        <v>0</v>
      </c>
      <c r="C360" s="544" t="s">
        <v>1674</v>
      </c>
      <c r="D360" s="544" t="s">
        <v>2756</v>
      </c>
      <c r="E360" s="542" t="s">
        <v>2692</v>
      </c>
      <c r="G360" s="546"/>
      <c r="H360" s="546">
        <v>942.48</v>
      </c>
      <c r="I360" s="546"/>
      <c r="J360" s="542" t="s">
        <v>806</v>
      </c>
      <c r="K360" s="547">
        <v>1200</v>
      </c>
      <c r="L360" s="542" t="s">
        <v>806</v>
      </c>
      <c r="M360" s="548"/>
      <c r="N360" s="549">
        <v>0</v>
      </c>
      <c r="O360" s="544" t="s">
        <v>1674</v>
      </c>
      <c r="P360" s="544" t="s">
        <v>1674</v>
      </c>
      <c r="Q360" s="544" t="s">
        <v>2693</v>
      </c>
      <c r="R360" s="544" t="s">
        <v>1674</v>
      </c>
      <c r="S360" s="544" t="s">
        <v>1674</v>
      </c>
      <c r="T360" s="550"/>
      <c r="U360" s="544" t="s">
        <v>2694</v>
      </c>
      <c r="V360" s="547">
        <v>1846</v>
      </c>
      <c r="W360" s="548"/>
      <c r="Y360" s="544" t="s">
        <v>1674</v>
      </c>
      <c r="AA360" s="544" t="s">
        <v>1674</v>
      </c>
      <c r="AE360" s="551"/>
      <c r="AF360" s="544" t="s">
        <v>1674</v>
      </c>
      <c r="AG360" s="544" t="s">
        <v>1674</v>
      </c>
      <c r="AH360" s="544" t="s">
        <v>1674</v>
      </c>
      <c r="AI360" s="544" t="s">
        <v>1674</v>
      </c>
      <c r="AJ360" s="544" t="s">
        <v>1674</v>
      </c>
      <c r="AK360" s="544" t="s">
        <v>1674</v>
      </c>
      <c r="AL360" s="544" t="s">
        <v>1674</v>
      </c>
      <c r="AM360" s="544" t="s">
        <v>1674</v>
      </c>
      <c r="AN360" s="544" t="s">
        <v>1674</v>
      </c>
      <c r="AP360" s="552">
        <f t="shared" si="5"/>
        <v>0</v>
      </c>
    </row>
    <row r="361" spans="1:42" outlineLevel="1" x14ac:dyDescent="0.25">
      <c r="A361" s="544" t="s">
        <v>1674</v>
      </c>
      <c r="B361" s="545">
        <v>0</v>
      </c>
      <c r="C361" s="544" t="s">
        <v>1674</v>
      </c>
      <c r="D361" s="544" t="s">
        <v>2756</v>
      </c>
      <c r="E361" s="542" t="s">
        <v>2692</v>
      </c>
      <c r="G361" s="546"/>
      <c r="H361" s="546">
        <v>9.52</v>
      </c>
      <c r="I361" s="546"/>
      <c r="J361" s="542" t="s">
        <v>806</v>
      </c>
      <c r="K361" s="547">
        <v>8736</v>
      </c>
      <c r="L361" s="542" t="s">
        <v>806</v>
      </c>
      <c r="M361" s="548"/>
      <c r="N361" s="549">
        <v>0</v>
      </c>
      <c r="O361" s="544" t="s">
        <v>1674</v>
      </c>
      <c r="P361" s="544" t="s">
        <v>1674</v>
      </c>
      <c r="Q361" s="544" t="s">
        <v>2693</v>
      </c>
      <c r="R361" s="544" t="s">
        <v>1674</v>
      </c>
      <c r="S361" s="544" t="s">
        <v>1674</v>
      </c>
      <c r="T361" s="550">
        <v>19</v>
      </c>
      <c r="U361" s="544" t="s">
        <v>2694</v>
      </c>
      <c r="V361" s="547">
        <v>1847</v>
      </c>
      <c r="W361" s="548"/>
      <c r="Y361" s="544" t="s">
        <v>1674</v>
      </c>
      <c r="AA361" s="544" t="s">
        <v>1674</v>
      </c>
      <c r="AE361" s="551"/>
      <c r="AF361" s="544" t="s">
        <v>1674</v>
      </c>
      <c r="AG361" s="544" t="s">
        <v>1674</v>
      </c>
      <c r="AH361" s="544" t="s">
        <v>1674</v>
      </c>
      <c r="AI361" s="544" t="s">
        <v>1674</v>
      </c>
      <c r="AJ361" s="544" t="s">
        <v>1674</v>
      </c>
      <c r="AK361" s="544" t="s">
        <v>1674</v>
      </c>
      <c r="AL361" s="544" t="s">
        <v>1674</v>
      </c>
      <c r="AM361" s="544" t="s">
        <v>1674</v>
      </c>
      <c r="AN361" s="544" t="s">
        <v>1674</v>
      </c>
      <c r="AP361" s="552">
        <f t="shared" si="5"/>
        <v>0</v>
      </c>
    </row>
    <row r="362" spans="1:42" outlineLevel="1" x14ac:dyDescent="0.25">
      <c r="A362" s="544" t="s">
        <v>1674</v>
      </c>
      <c r="B362" s="545">
        <v>0</v>
      </c>
      <c r="C362" s="544" t="s">
        <v>1674</v>
      </c>
      <c r="D362" s="544" t="s">
        <v>2756</v>
      </c>
      <c r="E362" s="542" t="s">
        <v>2695</v>
      </c>
      <c r="G362" s="546"/>
      <c r="H362" s="546">
        <v>942.48</v>
      </c>
      <c r="I362" s="546"/>
      <c r="J362" s="542" t="s">
        <v>806</v>
      </c>
      <c r="K362" s="547">
        <v>1200</v>
      </c>
      <c r="L362" s="542" t="s">
        <v>806</v>
      </c>
      <c r="M362" s="548"/>
      <c r="N362" s="549">
        <v>0</v>
      </c>
      <c r="O362" s="544" t="s">
        <v>1674</v>
      </c>
      <c r="P362" s="544" t="s">
        <v>1674</v>
      </c>
      <c r="Q362" s="544" t="s">
        <v>2696</v>
      </c>
      <c r="R362" s="544" t="s">
        <v>1674</v>
      </c>
      <c r="S362" s="544" t="s">
        <v>1674</v>
      </c>
      <c r="T362" s="550"/>
      <c r="U362" s="544" t="s">
        <v>2697</v>
      </c>
      <c r="V362" s="547">
        <v>1649</v>
      </c>
      <c r="W362" s="548"/>
      <c r="Y362" s="544" t="s">
        <v>1674</v>
      </c>
      <c r="AA362" s="544" t="s">
        <v>1674</v>
      </c>
      <c r="AE362" s="551"/>
      <c r="AF362" s="544" t="s">
        <v>1674</v>
      </c>
      <c r="AG362" s="544" t="s">
        <v>1674</v>
      </c>
      <c r="AH362" s="544" t="s">
        <v>1674</v>
      </c>
      <c r="AI362" s="544" t="s">
        <v>1674</v>
      </c>
      <c r="AJ362" s="544" t="s">
        <v>1674</v>
      </c>
      <c r="AK362" s="544" t="s">
        <v>1674</v>
      </c>
      <c r="AL362" s="544" t="s">
        <v>1674</v>
      </c>
      <c r="AM362" s="544" t="s">
        <v>1674</v>
      </c>
      <c r="AN362" s="544" t="s">
        <v>1674</v>
      </c>
      <c r="AP362" s="552">
        <f t="shared" si="5"/>
        <v>0</v>
      </c>
    </row>
    <row r="363" spans="1:42" outlineLevel="1" x14ac:dyDescent="0.25">
      <c r="A363" s="544" t="s">
        <v>1674</v>
      </c>
      <c r="B363" s="545">
        <v>0</v>
      </c>
      <c r="C363" s="544" t="s">
        <v>1674</v>
      </c>
      <c r="D363" s="544" t="s">
        <v>2756</v>
      </c>
      <c r="E363" s="542" t="s">
        <v>2695</v>
      </c>
      <c r="G363" s="546"/>
      <c r="H363" s="546">
        <v>9.52</v>
      </c>
      <c r="I363" s="546"/>
      <c r="J363" s="542" t="s">
        <v>806</v>
      </c>
      <c r="K363" s="547">
        <v>8736</v>
      </c>
      <c r="L363" s="542" t="s">
        <v>806</v>
      </c>
      <c r="M363" s="548"/>
      <c r="N363" s="549">
        <v>0</v>
      </c>
      <c r="O363" s="544" t="s">
        <v>1674</v>
      </c>
      <c r="P363" s="544" t="s">
        <v>1674</v>
      </c>
      <c r="Q363" s="544" t="s">
        <v>2696</v>
      </c>
      <c r="R363" s="544" t="s">
        <v>1674</v>
      </c>
      <c r="S363" s="544" t="s">
        <v>1674</v>
      </c>
      <c r="T363" s="550">
        <v>19</v>
      </c>
      <c r="U363" s="544" t="s">
        <v>2697</v>
      </c>
      <c r="V363" s="547">
        <v>1650</v>
      </c>
      <c r="W363" s="548"/>
      <c r="Y363" s="544" t="s">
        <v>1674</v>
      </c>
      <c r="AA363" s="544" t="s">
        <v>1674</v>
      </c>
      <c r="AE363" s="551"/>
      <c r="AF363" s="544" t="s">
        <v>1674</v>
      </c>
      <c r="AG363" s="544" t="s">
        <v>1674</v>
      </c>
      <c r="AH363" s="544" t="s">
        <v>1674</v>
      </c>
      <c r="AI363" s="544" t="s">
        <v>1674</v>
      </c>
      <c r="AJ363" s="544" t="s">
        <v>1674</v>
      </c>
      <c r="AK363" s="544" t="s">
        <v>1674</v>
      </c>
      <c r="AL363" s="544" t="s">
        <v>1674</v>
      </c>
      <c r="AM363" s="544" t="s">
        <v>1674</v>
      </c>
      <c r="AN363" s="544" t="s">
        <v>1674</v>
      </c>
      <c r="AP363" s="552">
        <f t="shared" si="5"/>
        <v>0</v>
      </c>
    </row>
    <row r="364" spans="1:42" outlineLevel="1" x14ac:dyDescent="0.25">
      <c r="A364" s="544" t="s">
        <v>1674</v>
      </c>
      <c r="B364" s="545">
        <v>0</v>
      </c>
      <c r="C364" s="544" t="s">
        <v>1674</v>
      </c>
      <c r="D364" s="544" t="s">
        <v>2756</v>
      </c>
      <c r="E364" s="542" t="s">
        <v>2698</v>
      </c>
      <c r="G364" s="546"/>
      <c r="H364" s="546">
        <v>942.48</v>
      </c>
      <c r="I364" s="546"/>
      <c r="J364" s="542" t="s">
        <v>806</v>
      </c>
      <c r="K364" s="547">
        <v>1200</v>
      </c>
      <c r="L364" s="542" t="s">
        <v>806</v>
      </c>
      <c r="M364" s="548"/>
      <c r="N364" s="549">
        <v>0</v>
      </c>
      <c r="O364" s="544" t="s">
        <v>1674</v>
      </c>
      <c r="P364" s="544" t="s">
        <v>1674</v>
      </c>
      <c r="Q364" s="544" t="s">
        <v>2699</v>
      </c>
      <c r="R364" s="544" t="s">
        <v>1674</v>
      </c>
      <c r="S364" s="544" t="s">
        <v>1674</v>
      </c>
      <c r="T364" s="550"/>
      <c r="U364" s="544" t="s">
        <v>2700</v>
      </c>
      <c r="V364" s="547">
        <v>1602</v>
      </c>
      <c r="W364" s="548"/>
      <c r="Y364" s="544" t="s">
        <v>1674</v>
      </c>
      <c r="AA364" s="544" t="s">
        <v>1674</v>
      </c>
      <c r="AE364" s="551"/>
      <c r="AF364" s="544" t="s">
        <v>1674</v>
      </c>
      <c r="AG364" s="544" t="s">
        <v>1674</v>
      </c>
      <c r="AH364" s="544" t="s">
        <v>1674</v>
      </c>
      <c r="AI364" s="544" t="s">
        <v>1674</v>
      </c>
      <c r="AJ364" s="544" t="s">
        <v>1674</v>
      </c>
      <c r="AK364" s="544" t="s">
        <v>1674</v>
      </c>
      <c r="AL364" s="544" t="s">
        <v>1674</v>
      </c>
      <c r="AM364" s="544" t="s">
        <v>1674</v>
      </c>
      <c r="AN364" s="544" t="s">
        <v>1674</v>
      </c>
      <c r="AP364" s="552">
        <f t="shared" si="5"/>
        <v>0</v>
      </c>
    </row>
    <row r="365" spans="1:42" outlineLevel="1" x14ac:dyDescent="0.25">
      <c r="A365" s="544" t="s">
        <v>1674</v>
      </c>
      <c r="B365" s="545">
        <v>10237</v>
      </c>
      <c r="C365" s="544" t="s">
        <v>2750</v>
      </c>
      <c r="D365" s="544" t="s">
        <v>2763</v>
      </c>
      <c r="E365" s="542" t="s">
        <v>2764</v>
      </c>
      <c r="F365" s="542" t="s">
        <v>2765</v>
      </c>
      <c r="G365" s="546">
        <v>714.57</v>
      </c>
      <c r="H365" s="546"/>
      <c r="I365" s="546"/>
      <c r="J365" s="542" t="s">
        <v>806</v>
      </c>
      <c r="K365" s="547">
        <v>8400</v>
      </c>
      <c r="L365" s="542" t="s">
        <v>806</v>
      </c>
      <c r="M365" s="548"/>
      <c r="N365" s="549">
        <v>-152</v>
      </c>
      <c r="O365" s="544" t="s">
        <v>1674</v>
      </c>
      <c r="P365" s="544" t="s">
        <v>1674</v>
      </c>
      <c r="Q365" s="544" t="s">
        <v>2754</v>
      </c>
      <c r="R365" s="544" t="s">
        <v>1674</v>
      </c>
      <c r="S365" s="544" t="s">
        <v>1674</v>
      </c>
      <c r="T365" s="550">
        <v>19</v>
      </c>
      <c r="U365" s="544" t="s">
        <v>2685</v>
      </c>
      <c r="V365" s="547">
        <v>185</v>
      </c>
      <c r="W365" s="548"/>
      <c r="Y365" s="544" t="s">
        <v>1674</v>
      </c>
      <c r="AA365" s="544" t="s">
        <v>1674</v>
      </c>
      <c r="AE365" s="551"/>
      <c r="AF365" s="544" t="s">
        <v>1674</v>
      </c>
      <c r="AG365" s="544" t="s">
        <v>1674</v>
      </c>
      <c r="AH365" s="544" t="s">
        <v>1674</v>
      </c>
      <c r="AI365" s="544" t="s">
        <v>1674</v>
      </c>
      <c r="AJ365" s="544" t="s">
        <v>1674</v>
      </c>
      <c r="AK365" s="544" t="s">
        <v>1674</v>
      </c>
      <c r="AL365" s="544" t="s">
        <v>1674</v>
      </c>
      <c r="AM365" s="544" t="s">
        <v>2755</v>
      </c>
      <c r="AN365" s="544" t="s">
        <v>1674</v>
      </c>
      <c r="AP365" s="552">
        <f t="shared" si="5"/>
        <v>0</v>
      </c>
    </row>
    <row r="366" spans="1:42" outlineLevel="1" x14ac:dyDescent="0.25">
      <c r="A366" s="544" t="s">
        <v>1674</v>
      </c>
      <c r="B366" s="545">
        <v>0</v>
      </c>
      <c r="C366" s="544" t="s">
        <v>1674</v>
      </c>
      <c r="D366" s="544" t="s">
        <v>2763</v>
      </c>
      <c r="E366" s="542" t="s">
        <v>2764</v>
      </c>
      <c r="F366" s="542" t="s">
        <v>2765</v>
      </c>
      <c r="G366" s="546">
        <v>37.700000000000003</v>
      </c>
      <c r="H366" s="546"/>
      <c r="I366" s="546"/>
      <c r="J366" s="542" t="s">
        <v>806</v>
      </c>
      <c r="K366" s="547">
        <v>8400</v>
      </c>
      <c r="L366" s="542" t="s">
        <v>806</v>
      </c>
      <c r="M366" s="548"/>
      <c r="N366" s="549">
        <v>-152</v>
      </c>
      <c r="O366" s="544" t="s">
        <v>1674</v>
      </c>
      <c r="P366" s="544" t="s">
        <v>1674</v>
      </c>
      <c r="Q366" s="544" t="s">
        <v>2754</v>
      </c>
      <c r="R366" s="544" t="s">
        <v>2617</v>
      </c>
      <c r="S366" s="544" t="s">
        <v>1674</v>
      </c>
      <c r="T366" s="550">
        <v>19</v>
      </c>
      <c r="U366" s="544" t="s">
        <v>2685</v>
      </c>
      <c r="V366" s="547">
        <v>186</v>
      </c>
      <c r="W366" s="548"/>
      <c r="Y366" s="544" t="s">
        <v>1674</v>
      </c>
      <c r="AA366" s="544" t="s">
        <v>1674</v>
      </c>
      <c r="AE366" s="551"/>
      <c r="AF366" s="544" t="s">
        <v>1674</v>
      </c>
      <c r="AG366" s="544" t="s">
        <v>1674</v>
      </c>
      <c r="AH366" s="544" t="s">
        <v>1674</v>
      </c>
      <c r="AI366" s="544" t="s">
        <v>1674</v>
      </c>
      <c r="AJ366" s="544" t="s">
        <v>1674</v>
      </c>
      <c r="AK366" s="544" t="s">
        <v>1674</v>
      </c>
      <c r="AL366" s="544" t="s">
        <v>1674</v>
      </c>
      <c r="AM366" s="544" t="s">
        <v>1674</v>
      </c>
      <c r="AN366" s="544" t="s">
        <v>1674</v>
      </c>
      <c r="AP366" s="552">
        <f t="shared" si="5"/>
        <v>0</v>
      </c>
    </row>
    <row r="367" spans="1:42" outlineLevel="1" x14ac:dyDescent="0.25">
      <c r="A367" s="544" t="s">
        <v>2722</v>
      </c>
      <c r="B367" s="545">
        <v>11800</v>
      </c>
      <c r="C367" s="544" t="s">
        <v>2581</v>
      </c>
      <c r="D367" s="544" t="s">
        <v>2770</v>
      </c>
      <c r="E367" s="542" t="s">
        <v>2771</v>
      </c>
      <c r="F367" s="542" t="s">
        <v>2772</v>
      </c>
      <c r="G367" s="546">
        <v>13387.5</v>
      </c>
      <c r="H367" s="546"/>
      <c r="I367" s="546"/>
      <c r="J367" s="542" t="s">
        <v>806</v>
      </c>
      <c r="K367" s="547">
        <v>8820</v>
      </c>
      <c r="L367" s="542" t="s">
        <v>806</v>
      </c>
      <c r="M367" s="548"/>
      <c r="N367" s="549">
        <v>-124</v>
      </c>
      <c r="O367" s="544" t="s">
        <v>1674</v>
      </c>
      <c r="P367" s="544" t="s">
        <v>1674</v>
      </c>
      <c r="Q367" s="544" t="s">
        <v>2720</v>
      </c>
      <c r="R367" s="544" t="s">
        <v>2622</v>
      </c>
      <c r="S367" s="544" t="s">
        <v>1674</v>
      </c>
      <c r="T367" s="550">
        <v>19</v>
      </c>
      <c r="U367" s="544" t="s">
        <v>2685</v>
      </c>
      <c r="V367" s="547">
        <v>1616</v>
      </c>
      <c r="W367" s="548"/>
      <c r="Y367" s="544" t="s">
        <v>1674</v>
      </c>
      <c r="AA367" s="544" t="s">
        <v>1674</v>
      </c>
      <c r="AE367" s="551"/>
      <c r="AF367" s="544" t="s">
        <v>1674</v>
      </c>
      <c r="AG367" s="544" t="s">
        <v>1674</v>
      </c>
      <c r="AH367" s="544" t="s">
        <v>1674</v>
      </c>
      <c r="AI367" s="544" t="s">
        <v>1674</v>
      </c>
      <c r="AJ367" s="544" t="s">
        <v>1674</v>
      </c>
      <c r="AK367" s="544" t="s">
        <v>1674</v>
      </c>
      <c r="AL367" s="544" t="s">
        <v>1674</v>
      </c>
      <c r="AM367" s="544" t="s">
        <v>2581</v>
      </c>
      <c r="AN367" s="544" t="s">
        <v>1674</v>
      </c>
      <c r="AP367" s="552">
        <f t="shared" si="5"/>
        <v>0</v>
      </c>
    </row>
    <row r="368" spans="1:42" outlineLevel="1" x14ac:dyDescent="0.25">
      <c r="A368" s="544" t="s">
        <v>2722</v>
      </c>
      <c r="B368" s="545">
        <v>0</v>
      </c>
      <c r="C368" s="544" t="s">
        <v>1674</v>
      </c>
      <c r="D368" s="544" t="s">
        <v>2770</v>
      </c>
      <c r="E368" s="542" t="s">
        <v>2771</v>
      </c>
      <c r="F368" s="542" t="s">
        <v>2772</v>
      </c>
      <c r="G368" s="546">
        <v>3034.5</v>
      </c>
      <c r="H368" s="546"/>
      <c r="I368" s="546"/>
      <c r="J368" s="542" t="s">
        <v>806</v>
      </c>
      <c r="K368" s="547">
        <v>8820</v>
      </c>
      <c r="L368" s="542" t="s">
        <v>806</v>
      </c>
      <c r="M368" s="548"/>
      <c r="N368" s="549">
        <v>-124</v>
      </c>
      <c r="O368" s="544" t="s">
        <v>1674</v>
      </c>
      <c r="P368" s="544" t="s">
        <v>1674</v>
      </c>
      <c r="Q368" s="544" t="s">
        <v>2720</v>
      </c>
      <c r="R368" s="544" t="s">
        <v>1674</v>
      </c>
      <c r="S368" s="544" t="s">
        <v>1674</v>
      </c>
      <c r="T368" s="550">
        <v>19</v>
      </c>
      <c r="U368" s="544" t="s">
        <v>2685</v>
      </c>
      <c r="V368" s="547">
        <v>1617</v>
      </c>
      <c r="W368" s="548"/>
      <c r="Y368" s="544" t="s">
        <v>1674</v>
      </c>
      <c r="AA368" s="544" t="s">
        <v>1674</v>
      </c>
      <c r="AE368" s="551"/>
      <c r="AF368" s="544" t="s">
        <v>1674</v>
      </c>
      <c r="AG368" s="544" t="s">
        <v>1674</v>
      </c>
      <c r="AH368" s="544" t="s">
        <v>1674</v>
      </c>
      <c r="AI368" s="544" t="s">
        <v>1674</v>
      </c>
      <c r="AJ368" s="544" t="s">
        <v>1674</v>
      </c>
      <c r="AK368" s="544" t="s">
        <v>1674</v>
      </c>
      <c r="AL368" s="544" t="s">
        <v>1674</v>
      </c>
      <c r="AM368" s="544" t="s">
        <v>1674</v>
      </c>
      <c r="AN368" s="544" t="s">
        <v>1674</v>
      </c>
      <c r="AP368" s="552">
        <f t="shared" si="5"/>
        <v>0</v>
      </c>
    </row>
    <row r="369" spans="1:42" outlineLevel="1" x14ac:dyDescent="0.25">
      <c r="A369" s="544" t="s">
        <v>1674</v>
      </c>
      <c r="B369" s="545">
        <v>0</v>
      </c>
      <c r="C369" s="544" t="s">
        <v>1674</v>
      </c>
      <c r="D369" s="544" t="s">
        <v>2770</v>
      </c>
      <c r="E369" s="542" t="s">
        <v>2683</v>
      </c>
      <c r="G369" s="546"/>
      <c r="H369" s="546">
        <v>942.48</v>
      </c>
      <c r="I369" s="546"/>
      <c r="J369" s="542" t="s">
        <v>806</v>
      </c>
      <c r="K369" s="547">
        <v>1200</v>
      </c>
      <c r="L369" s="542" t="s">
        <v>806</v>
      </c>
      <c r="M369" s="548"/>
      <c r="N369" s="549">
        <v>0</v>
      </c>
      <c r="O369" s="544" t="s">
        <v>1674</v>
      </c>
      <c r="P369" s="544" t="s">
        <v>1674</v>
      </c>
      <c r="Q369" s="544" t="s">
        <v>2684</v>
      </c>
      <c r="R369" s="544" t="s">
        <v>1674</v>
      </c>
      <c r="S369" s="544" t="s">
        <v>1674</v>
      </c>
      <c r="T369" s="550"/>
      <c r="U369" s="544" t="s">
        <v>2685</v>
      </c>
      <c r="V369" s="547">
        <v>1750</v>
      </c>
      <c r="W369" s="548"/>
      <c r="Y369" s="544" t="s">
        <v>1674</v>
      </c>
      <c r="AA369" s="544" t="s">
        <v>1674</v>
      </c>
      <c r="AE369" s="551"/>
      <c r="AF369" s="544" t="s">
        <v>1674</v>
      </c>
      <c r="AG369" s="544" t="s">
        <v>1674</v>
      </c>
      <c r="AH369" s="544" t="s">
        <v>1674</v>
      </c>
      <c r="AI369" s="544" t="s">
        <v>1674</v>
      </c>
      <c r="AJ369" s="544" t="s">
        <v>1674</v>
      </c>
      <c r="AK369" s="544" t="s">
        <v>1674</v>
      </c>
      <c r="AL369" s="544" t="s">
        <v>1674</v>
      </c>
      <c r="AM369" s="544" t="s">
        <v>1674</v>
      </c>
      <c r="AN369" s="544" t="s">
        <v>1674</v>
      </c>
      <c r="AP369" s="552">
        <f t="shared" si="5"/>
        <v>0</v>
      </c>
    </row>
    <row r="370" spans="1:42" outlineLevel="1" x14ac:dyDescent="0.25">
      <c r="A370" s="544" t="s">
        <v>1674</v>
      </c>
      <c r="B370" s="545">
        <v>0</v>
      </c>
      <c r="C370" s="544" t="s">
        <v>1674</v>
      </c>
      <c r="D370" s="544" t="s">
        <v>2770</v>
      </c>
      <c r="E370" s="542" t="s">
        <v>2683</v>
      </c>
      <c r="G370" s="546"/>
      <c r="H370" s="546">
        <v>9.52</v>
      </c>
      <c r="I370" s="546"/>
      <c r="J370" s="542" t="s">
        <v>806</v>
      </c>
      <c r="K370" s="547">
        <v>8736</v>
      </c>
      <c r="L370" s="542" t="s">
        <v>806</v>
      </c>
      <c r="M370" s="548"/>
      <c r="N370" s="549">
        <v>0</v>
      </c>
      <c r="O370" s="544" t="s">
        <v>1674</v>
      </c>
      <c r="P370" s="544" t="s">
        <v>1674</v>
      </c>
      <c r="Q370" s="544" t="s">
        <v>2684</v>
      </c>
      <c r="R370" s="544" t="s">
        <v>1674</v>
      </c>
      <c r="S370" s="544" t="s">
        <v>1674</v>
      </c>
      <c r="T370" s="550">
        <v>19</v>
      </c>
      <c r="U370" s="544" t="s">
        <v>2685</v>
      </c>
      <c r="V370" s="547">
        <v>1750</v>
      </c>
      <c r="W370" s="548"/>
      <c r="Y370" s="544" t="s">
        <v>1674</v>
      </c>
      <c r="AA370" s="544" t="s">
        <v>1674</v>
      </c>
      <c r="AE370" s="551"/>
      <c r="AF370" s="544" t="s">
        <v>1674</v>
      </c>
      <c r="AG370" s="544" t="s">
        <v>1674</v>
      </c>
      <c r="AH370" s="544" t="s">
        <v>1674</v>
      </c>
      <c r="AI370" s="544" t="s">
        <v>1674</v>
      </c>
      <c r="AJ370" s="544" t="s">
        <v>1674</v>
      </c>
      <c r="AK370" s="544" t="s">
        <v>1674</v>
      </c>
      <c r="AL370" s="544" t="s">
        <v>1674</v>
      </c>
      <c r="AM370" s="544" t="s">
        <v>1674</v>
      </c>
      <c r="AN370" s="544" t="s">
        <v>1674</v>
      </c>
      <c r="AP370" s="552">
        <f t="shared" si="5"/>
        <v>0</v>
      </c>
    </row>
    <row r="371" spans="1:42" outlineLevel="1" x14ac:dyDescent="0.25">
      <c r="A371" s="544" t="s">
        <v>1674</v>
      </c>
      <c r="B371" s="545">
        <v>0</v>
      </c>
      <c r="C371" s="544" t="s">
        <v>1674</v>
      </c>
      <c r="D371" s="544" t="s">
        <v>2770</v>
      </c>
      <c r="E371" s="542" t="s">
        <v>2686</v>
      </c>
      <c r="G371" s="546"/>
      <c r="H371" s="546">
        <v>942.48</v>
      </c>
      <c r="I371" s="546"/>
      <c r="J371" s="542" t="s">
        <v>806</v>
      </c>
      <c r="K371" s="547">
        <v>1200</v>
      </c>
      <c r="L371" s="542" t="s">
        <v>806</v>
      </c>
      <c r="M371" s="548"/>
      <c r="N371" s="549">
        <v>0</v>
      </c>
      <c r="O371" s="544" t="s">
        <v>1674</v>
      </c>
      <c r="P371" s="544" t="s">
        <v>1674</v>
      </c>
      <c r="Q371" s="544" t="s">
        <v>2687</v>
      </c>
      <c r="R371" s="544" t="s">
        <v>1674</v>
      </c>
      <c r="S371" s="544" t="s">
        <v>1674</v>
      </c>
      <c r="T371" s="550"/>
      <c r="U371" s="544" t="s">
        <v>2688</v>
      </c>
      <c r="V371" s="547">
        <v>1492</v>
      </c>
      <c r="W371" s="548"/>
      <c r="Y371" s="544" t="s">
        <v>1674</v>
      </c>
      <c r="AA371" s="544" t="s">
        <v>1674</v>
      </c>
      <c r="AE371" s="551"/>
      <c r="AF371" s="544" t="s">
        <v>1674</v>
      </c>
      <c r="AG371" s="544" t="s">
        <v>1674</v>
      </c>
      <c r="AH371" s="544" t="s">
        <v>1674</v>
      </c>
      <c r="AI371" s="544" t="s">
        <v>1674</v>
      </c>
      <c r="AJ371" s="544" t="s">
        <v>1674</v>
      </c>
      <c r="AK371" s="544" t="s">
        <v>1674</v>
      </c>
      <c r="AL371" s="544" t="s">
        <v>1674</v>
      </c>
      <c r="AM371" s="544" t="s">
        <v>1674</v>
      </c>
      <c r="AN371" s="544" t="s">
        <v>1674</v>
      </c>
      <c r="AP371" s="552">
        <f t="shared" si="5"/>
        <v>0</v>
      </c>
    </row>
    <row r="372" spans="1:42" outlineLevel="1" x14ac:dyDescent="0.25">
      <c r="A372" s="544" t="s">
        <v>1674</v>
      </c>
      <c r="B372" s="545">
        <v>0</v>
      </c>
      <c r="C372" s="544" t="s">
        <v>1674</v>
      </c>
      <c r="D372" s="544" t="s">
        <v>2770</v>
      </c>
      <c r="E372" s="542" t="s">
        <v>2686</v>
      </c>
      <c r="G372" s="546"/>
      <c r="H372" s="546">
        <v>9.52</v>
      </c>
      <c r="I372" s="546"/>
      <c r="J372" s="542" t="s">
        <v>806</v>
      </c>
      <c r="K372" s="547">
        <v>8736</v>
      </c>
      <c r="L372" s="542" t="s">
        <v>806</v>
      </c>
      <c r="M372" s="548"/>
      <c r="N372" s="549">
        <v>0</v>
      </c>
      <c r="O372" s="544" t="s">
        <v>1674</v>
      </c>
      <c r="P372" s="544" t="s">
        <v>1674</v>
      </c>
      <c r="Q372" s="544" t="s">
        <v>2687</v>
      </c>
      <c r="R372" s="544" t="s">
        <v>1674</v>
      </c>
      <c r="S372" s="544" t="s">
        <v>1674</v>
      </c>
      <c r="T372" s="550">
        <v>19</v>
      </c>
      <c r="U372" s="544" t="s">
        <v>2688</v>
      </c>
      <c r="V372" s="547">
        <v>1492</v>
      </c>
      <c r="W372" s="548"/>
      <c r="Y372" s="544" t="s">
        <v>1674</v>
      </c>
      <c r="AA372" s="544" t="s">
        <v>1674</v>
      </c>
      <c r="AE372" s="551"/>
      <c r="AF372" s="544" t="s">
        <v>1674</v>
      </c>
      <c r="AG372" s="544" t="s">
        <v>1674</v>
      </c>
      <c r="AH372" s="544" t="s">
        <v>1674</v>
      </c>
      <c r="AI372" s="544" t="s">
        <v>1674</v>
      </c>
      <c r="AJ372" s="544" t="s">
        <v>1674</v>
      </c>
      <c r="AK372" s="544" t="s">
        <v>1674</v>
      </c>
      <c r="AL372" s="544" t="s">
        <v>1674</v>
      </c>
      <c r="AM372" s="544" t="s">
        <v>1674</v>
      </c>
      <c r="AN372" s="544" t="s">
        <v>1674</v>
      </c>
      <c r="AP372" s="552">
        <f t="shared" si="5"/>
        <v>0</v>
      </c>
    </row>
    <row r="373" spans="1:42" outlineLevel="1" x14ac:dyDescent="0.25">
      <c r="A373" s="544" t="s">
        <v>1674</v>
      </c>
      <c r="B373" s="545">
        <v>0</v>
      </c>
      <c r="C373" s="544" t="s">
        <v>1674</v>
      </c>
      <c r="D373" s="544" t="s">
        <v>2770</v>
      </c>
      <c r="E373" s="542" t="s">
        <v>2689</v>
      </c>
      <c r="G373" s="546"/>
      <c r="H373" s="546">
        <v>942.48</v>
      </c>
      <c r="I373" s="546"/>
      <c r="J373" s="542" t="s">
        <v>806</v>
      </c>
      <c r="K373" s="547">
        <v>1200</v>
      </c>
      <c r="L373" s="542" t="s">
        <v>806</v>
      </c>
      <c r="M373" s="548"/>
      <c r="N373" s="549">
        <v>0</v>
      </c>
      <c r="O373" s="544" t="s">
        <v>1674</v>
      </c>
      <c r="P373" s="544" t="s">
        <v>1674</v>
      </c>
      <c r="Q373" s="544" t="s">
        <v>2690</v>
      </c>
      <c r="R373" s="544" t="s">
        <v>1674</v>
      </c>
      <c r="S373" s="544" t="s">
        <v>1674</v>
      </c>
      <c r="T373" s="550"/>
      <c r="U373" s="544" t="s">
        <v>2691</v>
      </c>
      <c r="V373" s="547">
        <v>1713</v>
      </c>
      <c r="W373" s="548"/>
      <c r="Y373" s="544" t="s">
        <v>1674</v>
      </c>
      <c r="AA373" s="544" t="s">
        <v>1674</v>
      </c>
      <c r="AE373" s="551"/>
      <c r="AF373" s="544" t="s">
        <v>1674</v>
      </c>
      <c r="AG373" s="544" t="s">
        <v>1674</v>
      </c>
      <c r="AH373" s="544" t="s">
        <v>1674</v>
      </c>
      <c r="AI373" s="544" t="s">
        <v>1674</v>
      </c>
      <c r="AJ373" s="544" t="s">
        <v>1674</v>
      </c>
      <c r="AK373" s="544" t="s">
        <v>1674</v>
      </c>
      <c r="AL373" s="544" t="s">
        <v>1674</v>
      </c>
      <c r="AM373" s="544" t="s">
        <v>1674</v>
      </c>
      <c r="AN373" s="544" t="s">
        <v>1674</v>
      </c>
      <c r="AP373" s="552">
        <f t="shared" si="5"/>
        <v>0</v>
      </c>
    </row>
    <row r="374" spans="1:42" outlineLevel="1" x14ac:dyDescent="0.25">
      <c r="A374" s="544" t="s">
        <v>1674</v>
      </c>
      <c r="B374" s="545">
        <v>0</v>
      </c>
      <c r="C374" s="544" t="s">
        <v>1674</v>
      </c>
      <c r="D374" s="544" t="s">
        <v>2770</v>
      </c>
      <c r="E374" s="542" t="s">
        <v>2689</v>
      </c>
      <c r="G374" s="546"/>
      <c r="H374" s="546">
        <v>9.52</v>
      </c>
      <c r="I374" s="546"/>
      <c r="J374" s="542" t="s">
        <v>806</v>
      </c>
      <c r="K374" s="547">
        <v>8736</v>
      </c>
      <c r="L374" s="542" t="s">
        <v>806</v>
      </c>
      <c r="M374" s="548"/>
      <c r="N374" s="549">
        <v>0</v>
      </c>
      <c r="O374" s="544" t="s">
        <v>1674</v>
      </c>
      <c r="P374" s="544" t="s">
        <v>1674</v>
      </c>
      <c r="Q374" s="544" t="s">
        <v>2690</v>
      </c>
      <c r="R374" s="544" t="s">
        <v>1674</v>
      </c>
      <c r="S374" s="544" t="s">
        <v>1674</v>
      </c>
      <c r="T374" s="550">
        <v>19</v>
      </c>
      <c r="U374" s="544" t="s">
        <v>2691</v>
      </c>
      <c r="V374" s="547">
        <v>1714</v>
      </c>
      <c r="W374" s="548"/>
      <c r="Y374" s="544" t="s">
        <v>1674</v>
      </c>
      <c r="AA374" s="544" t="s">
        <v>1674</v>
      </c>
      <c r="AE374" s="551"/>
      <c r="AF374" s="544" t="s">
        <v>1674</v>
      </c>
      <c r="AG374" s="544" t="s">
        <v>1674</v>
      </c>
      <c r="AH374" s="544" t="s">
        <v>1674</v>
      </c>
      <c r="AI374" s="544" t="s">
        <v>1674</v>
      </c>
      <c r="AJ374" s="544" t="s">
        <v>1674</v>
      </c>
      <c r="AK374" s="544" t="s">
        <v>1674</v>
      </c>
      <c r="AL374" s="544" t="s">
        <v>1674</v>
      </c>
      <c r="AM374" s="544" t="s">
        <v>1674</v>
      </c>
      <c r="AN374" s="544" t="s">
        <v>1674</v>
      </c>
      <c r="AP374" s="552">
        <f t="shared" si="5"/>
        <v>0</v>
      </c>
    </row>
    <row r="375" spans="1:42" outlineLevel="1" x14ac:dyDescent="0.25">
      <c r="A375" s="544" t="s">
        <v>1674</v>
      </c>
      <c r="B375" s="545">
        <v>0</v>
      </c>
      <c r="C375" s="544" t="s">
        <v>1674</v>
      </c>
      <c r="D375" s="544" t="s">
        <v>2770</v>
      </c>
      <c r="E375" s="542" t="s">
        <v>2692</v>
      </c>
      <c r="G375" s="546"/>
      <c r="H375" s="546">
        <v>942.48</v>
      </c>
      <c r="I375" s="546"/>
      <c r="J375" s="542" t="s">
        <v>806</v>
      </c>
      <c r="K375" s="547">
        <v>1200</v>
      </c>
      <c r="L375" s="542" t="s">
        <v>806</v>
      </c>
      <c r="M375" s="548"/>
      <c r="N375" s="549">
        <v>0</v>
      </c>
      <c r="O375" s="544" t="s">
        <v>1674</v>
      </c>
      <c r="P375" s="544" t="s">
        <v>1674</v>
      </c>
      <c r="Q375" s="544" t="s">
        <v>2693</v>
      </c>
      <c r="R375" s="544" t="s">
        <v>1674</v>
      </c>
      <c r="S375" s="544" t="s">
        <v>1674</v>
      </c>
      <c r="T375" s="550"/>
      <c r="U375" s="544" t="s">
        <v>2694</v>
      </c>
      <c r="V375" s="547">
        <v>1835</v>
      </c>
      <c r="W375" s="548"/>
      <c r="Y375" s="544" t="s">
        <v>1674</v>
      </c>
      <c r="AA375" s="544" t="s">
        <v>1674</v>
      </c>
      <c r="AE375" s="551"/>
      <c r="AF375" s="544" t="s">
        <v>1674</v>
      </c>
      <c r="AG375" s="544" t="s">
        <v>1674</v>
      </c>
      <c r="AH375" s="544" t="s">
        <v>1674</v>
      </c>
      <c r="AI375" s="544" t="s">
        <v>1674</v>
      </c>
      <c r="AJ375" s="544" t="s">
        <v>1674</v>
      </c>
      <c r="AK375" s="544" t="s">
        <v>1674</v>
      </c>
      <c r="AL375" s="544" t="s">
        <v>1674</v>
      </c>
      <c r="AM375" s="544" t="s">
        <v>1674</v>
      </c>
      <c r="AN375" s="544" t="s">
        <v>1674</v>
      </c>
      <c r="AP375" s="552">
        <f t="shared" si="5"/>
        <v>0</v>
      </c>
    </row>
    <row r="376" spans="1:42" outlineLevel="1" x14ac:dyDescent="0.25">
      <c r="A376" s="544" t="s">
        <v>1674</v>
      </c>
      <c r="B376" s="545">
        <v>0</v>
      </c>
      <c r="C376" s="544" t="s">
        <v>1674</v>
      </c>
      <c r="D376" s="544" t="s">
        <v>2770</v>
      </c>
      <c r="E376" s="542" t="s">
        <v>2692</v>
      </c>
      <c r="G376" s="546"/>
      <c r="H376" s="546">
        <v>9.52</v>
      </c>
      <c r="I376" s="546"/>
      <c r="J376" s="542" t="s">
        <v>806</v>
      </c>
      <c r="K376" s="547">
        <v>8736</v>
      </c>
      <c r="L376" s="542" t="s">
        <v>806</v>
      </c>
      <c r="M376" s="548"/>
      <c r="N376" s="549">
        <v>0</v>
      </c>
      <c r="O376" s="544" t="s">
        <v>1674</v>
      </c>
      <c r="P376" s="544" t="s">
        <v>1674</v>
      </c>
      <c r="Q376" s="544" t="s">
        <v>2693</v>
      </c>
      <c r="R376" s="544" t="s">
        <v>1674</v>
      </c>
      <c r="S376" s="544" t="s">
        <v>1674</v>
      </c>
      <c r="T376" s="550">
        <v>19</v>
      </c>
      <c r="U376" s="544" t="s">
        <v>2694</v>
      </c>
      <c r="V376" s="547">
        <v>1843</v>
      </c>
      <c r="W376" s="548"/>
      <c r="Y376" s="544" t="s">
        <v>1674</v>
      </c>
      <c r="AA376" s="544" t="s">
        <v>1674</v>
      </c>
      <c r="AE376" s="551"/>
      <c r="AF376" s="544" t="s">
        <v>1674</v>
      </c>
      <c r="AG376" s="544" t="s">
        <v>1674</v>
      </c>
      <c r="AH376" s="544" t="s">
        <v>1674</v>
      </c>
      <c r="AI376" s="544" t="s">
        <v>1674</v>
      </c>
      <c r="AJ376" s="544" t="s">
        <v>1674</v>
      </c>
      <c r="AK376" s="544" t="s">
        <v>1674</v>
      </c>
      <c r="AL376" s="544" t="s">
        <v>1674</v>
      </c>
      <c r="AM376" s="544" t="s">
        <v>1674</v>
      </c>
      <c r="AN376" s="544" t="s">
        <v>1674</v>
      </c>
      <c r="AP376" s="552">
        <f t="shared" si="5"/>
        <v>0</v>
      </c>
    </row>
    <row r="377" spans="1:42" outlineLevel="1" x14ac:dyDescent="0.25">
      <c r="A377" s="544" t="s">
        <v>1674</v>
      </c>
      <c r="B377" s="545">
        <v>0</v>
      </c>
      <c r="C377" s="544" t="s">
        <v>1674</v>
      </c>
      <c r="D377" s="544" t="s">
        <v>2770</v>
      </c>
      <c r="E377" s="542" t="s">
        <v>2695</v>
      </c>
      <c r="G377" s="546"/>
      <c r="H377" s="546">
        <v>942.48</v>
      </c>
      <c r="I377" s="546"/>
      <c r="J377" s="542" t="s">
        <v>806</v>
      </c>
      <c r="K377" s="547">
        <v>1200</v>
      </c>
      <c r="L377" s="542" t="s">
        <v>806</v>
      </c>
      <c r="M377" s="548"/>
      <c r="N377" s="549">
        <v>0</v>
      </c>
      <c r="O377" s="544" t="s">
        <v>1674</v>
      </c>
      <c r="P377" s="544" t="s">
        <v>1674</v>
      </c>
      <c r="Q377" s="544" t="s">
        <v>2696</v>
      </c>
      <c r="R377" s="544" t="s">
        <v>1674</v>
      </c>
      <c r="S377" s="544" t="s">
        <v>1674</v>
      </c>
      <c r="T377" s="550"/>
      <c r="U377" s="544" t="s">
        <v>2697</v>
      </c>
      <c r="V377" s="547">
        <v>1628</v>
      </c>
      <c r="W377" s="548"/>
      <c r="Y377" s="544" t="s">
        <v>1674</v>
      </c>
      <c r="AA377" s="544" t="s">
        <v>1674</v>
      </c>
      <c r="AE377" s="551"/>
      <c r="AF377" s="544" t="s">
        <v>1674</v>
      </c>
      <c r="AG377" s="544" t="s">
        <v>1674</v>
      </c>
      <c r="AH377" s="544" t="s">
        <v>1674</v>
      </c>
      <c r="AI377" s="544" t="s">
        <v>1674</v>
      </c>
      <c r="AJ377" s="544" t="s">
        <v>1674</v>
      </c>
      <c r="AK377" s="544" t="s">
        <v>1674</v>
      </c>
      <c r="AL377" s="544" t="s">
        <v>1674</v>
      </c>
      <c r="AM377" s="544" t="s">
        <v>1674</v>
      </c>
      <c r="AN377" s="544" t="s">
        <v>1674</v>
      </c>
      <c r="AP377" s="552">
        <f t="shared" si="5"/>
        <v>0</v>
      </c>
    </row>
    <row r="378" spans="1:42" outlineLevel="1" x14ac:dyDescent="0.25">
      <c r="A378" s="544" t="s">
        <v>1674</v>
      </c>
      <c r="B378" s="545">
        <v>0</v>
      </c>
      <c r="C378" s="544" t="s">
        <v>1674</v>
      </c>
      <c r="D378" s="544" t="s">
        <v>2770</v>
      </c>
      <c r="E378" s="542" t="s">
        <v>2695</v>
      </c>
      <c r="G378" s="546"/>
      <c r="H378" s="546">
        <v>9.52</v>
      </c>
      <c r="I378" s="546"/>
      <c r="J378" s="542" t="s">
        <v>806</v>
      </c>
      <c r="K378" s="547">
        <v>8736</v>
      </c>
      <c r="L378" s="542" t="s">
        <v>806</v>
      </c>
      <c r="M378" s="548"/>
      <c r="N378" s="549">
        <v>0</v>
      </c>
      <c r="O378" s="544" t="s">
        <v>1674</v>
      </c>
      <c r="P378" s="544" t="s">
        <v>1674</v>
      </c>
      <c r="Q378" s="544" t="s">
        <v>2696</v>
      </c>
      <c r="R378" s="544" t="s">
        <v>1674</v>
      </c>
      <c r="S378" s="544" t="s">
        <v>1674</v>
      </c>
      <c r="T378" s="550">
        <v>19</v>
      </c>
      <c r="U378" s="544" t="s">
        <v>2697</v>
      </c>
      <c r="V378" s="547">
        <v>1629</v>
      </c>
      <c r="W378" s="548"/>
      <c r="Y378" s="544" t="s">
        <v>1674</v>
      </c>
      <c r="AA378" s="544" t="s">
        <v>1674</v>
      </c>
      <c r="AE378" s="551"/>
      <c r="AF378" s="544" t="s">
        <v>1674</v>
      </c>
      <c r="AG378" s="544" t="s">
        <v>1674</v>
      </c>
      <c r="AH378" s="544" t="s">
        <v>1674</v>
      </c>
      <c r="AI378" s="544" t="s">
        <v>1674</v>
      </c>
      <c r="AJ378" s="544" t="s">
        <v>1674</v>
      </c>
      <c r="AK378" s="544" t="s">
        <v>1674</v>
      </c>
      <c r="AL378" s="544" t="s">
        <v>1674</v>
      </c>
      <c r="AM378" s="544" t="s">
        <v>1674</v>
      </c>
      <c r="AN378" s="544" t="s">
        <v>1674</v>
      </c>
      <c r="AP378" s="552">
        <f t="shared" si="5"/>
        <v>0</v>
      </c>
    </row>
    <row r="379" spans="1:42" outlineLevel="1" x14ac:dyDescent="0.25">
      <c r="A379" s="544" t="s">
        <v>1674</v>
      </c>
      <c r="B379" s="545">
        <v>0</v>
      </c>
      <c r="C379" s="544" t="s">
        <v>1674</v>
      </c>
      <c r="D379" s="544" t="s">
        <v>2770</v>
      </c>
      <c r="E379" s="542" t="s">
        <v>2698</v>
      </c>
      <c r="G379" s="546"/>
      <c r="H379" s="546">
        <v>942.48</v>
      </c>
      <c r="I379" s="546"/>
      <c r="J379" s="542" t="s">
        <v>806</v>
      </c>
      <c r="K379" s="547">
        <v>1200</v>
      </c>
      <c r="L379" s="542" t="s">
        <v>806</v>
      </c>
      <c r="M379" s="548"/>
      <c r="N379" s="549">
        <v>0</v>
      </c>
      <c r="O379" s="544" t="s">
        <v>1674</v>
      </c>
      <c r="P379" s="544" t="s">
        <v>1674</v>
      </c>
      <c r="Q379" s="544" t="s">
        <v>2699</v>
      </c>
      <c r="R379" s="544" t="s">
        <v>1674</v>
      </c>
      <c r="S379" s="544" t="s">
        <v>1674</v>
      </c>
      <c r="T379" s="550"/>
      <c r="U379" s="544" t="s">
        <v>2700</v>
      </c>
      <c r="V379" s="547">
        <v>1606</v>
      </c>
      <c r="W379" s="548"/>
      <c r="Y379" s="544" t="s">
        <v>1674</v>
      </c>
      <c r="AA379" s="544" t="s">
        <v>1674</v>
      </c>
      <c r="AE379" s="551"/>
      <c r="AF379" s="544" t="s">
        <v>1674</v>
      </c>
      <c r="AG379" s="544" t="s">
        <v>1674</v>
      </c>
      <c r="AH379" s="544" t="s">
        <v>1674</v>
      </c>
      <c r="AI379" s="544" t="s">
        <v>1674</v>
      </c>
      <c r="AJ379" s="544" t="s">
        <v>1674</v>
      </c>
      <c r="AK379" s="544" t="s">
        <v>1674</v>
      </c>
      <c r="AL379" s="544" t="s">
        <v>1674</v>
      </c>
      <c r="AM379" s="544" t="s">
        <v>1674</v>
      </c>
      <c r="AN379" s="544" t="s">
        <v>1674</v>
      </c>
      <c r="AP379" s="552">
        <f t="shared" si="5"/>
        <v>0</v>
      </c>
    </row>
    <row r="380" spans="1:42" outlineLevel="1" x14ac:dyDescent="0.25">
      <c r="A380" s="544" t="s">
        <v>2722</v>
      </c>
      <c r="B380" s="545">
        <v>0</v>
      </c>
      <c r="C380" s="544" t="s">
        <v>1674</v>
      </c>
      <c r="D380" s="544" t="s">
        <v>2773</v>
      </c>
      <c r="E380" s="542" t="s">
        <v>2771</v>
      </c>
      <c r="F380" s="542" t="s">
        <v>2772</v>
      </c>
      <c r="G380" s="546">
        <v>15291.5</v>
      </c>
      <c r="H380" s="546"/>
      <c r="I380" s="546"/>
      <c r="J380" s="542" t="s">
        <v>806</v>
      </c>
      <c r="K380" s="547">
        <v>8820</v>
      </c>
      <c r="L380" s="542" t="s">
        <v>806</v>
      </c>
      <c r="M380" s="548"/>
      <c r="N380" s="549">
        <v>-124</v>
      </c>
      <c r="O380" s="544" t="s">
        <v>1674</v>
      </c>
      <c r="P380" s="544" t="s">
        <v>1674</v>
      </c>
      <c r="Q380" s="544" t="s">
        <v>2720</v>
      </c>
      <c r="R380" s="544" t="s">
        <v>2622</v>
      </c>
      <c r="S380" s="544" t="s">
        <v>1674</v>
      </c>
      <c r="T380" s="550">
        <v>19</v>
      </c>
      <c r="U380" s="544" t="s">
        <v>2685</v>
      </c>
      <c r="V380" s="547">
        <v>1618</v>
      </c>
      <c r="W380" s="548"/>
      <c r="Y380" s="544" t="s">
        <v>1674</v>
      </c>
      <c r="AA380" s="544" t="s">
        <v>1674</v>
      </c>
      <c r="AE380" s="551"/>
      <c r="AF380" s="544" t="s">
        <v>1674</v>
      </c>
      <c r="AG380" s="544" t="s">
        <v>1674</v>
      </c>
      <c r="AH380" s="544" t="s">
        <v>1674</v>
      </c>
      <c r="AI380" s="544" t="s">
        <v>1674</v>
      </c>
      <c r="AJ380" s="544" t="s">
        <v>1674</v>
      </c>
      <c r="AK380" s="544" t="s">
        <v>1674</v>
      </c>
      <c r="AL380" s="544" t="s">
        <v>1674</v>
      </c>
      <c r="AM380" s="544" t="s">
        <v>1674</v>
      </c>
      <c r="AN380" s="544" t="s">
        <v>1674</v>
      </c>
      <c r="AP380" s="552">
        <f t="shared" si="5"/>
        <v>0</v>
      </c>
    </row>
    <row r="381" spans="1:42" outlineLevel="1" x14ac:dyDescent="0.25">
      <c r="A381" s="544" t="s">
        <v>2722</v>
      </c>
      <c r="B381" s="545">
        <v>0</v>
      </c>
      <c r="C381" s="544" t="s">
        <v>1674</v>
      </c>
      <c r="D381" s="544" t="s">
        <v>2773</v>
      </c>
      <c r="E381" s="542" t="s">
        <v>2771</v>
      </c>
      <c r="F381" s="542" t="s">
        <v>2772</v>
      </c>
      <c r="G381" s="546">
        <v>3034.5</v>
      </c>
      <c r="H381" s="546"/>
      <c r="I381" s="546"/>
      <c r="J381" s="542" t="s">
        <v>806</v>
      </c>
      <c r="K381" s="547">
        <v>8820</v>
      </c>
      <c r="L381" s="542" t="s">
        <v>806</v>
      </c>
      <c r="M381" s="548"/>
      <c r="N381" s="549">
        <v>-124</v>
      </c>
      <c r="O381" s="544" t="s">
        <v>1674</v>
      </c>
      <c r="P381" s="544" t="s">
        <v>1674</v>
      </c>
      <c r="Q381" s="544" t="s">
        <v>2720</v>
      </c>
      <c r="R381" s="544" t="s">
        <v>1674</v>
      </c>
      <c r="S381" s="544" t="s">
        <v>1674</v>
      </c>
      <c r="T381" s="550">
        <v>19</v>
      </c>
      <c r="U381" s="544" t="s">
        <v>2685</v>
      </c>
      <c r="V381" s="547">
        <v>1619</v>
      </c>
      <c r="W381" s="548"/>
      <c r="Y381" s="544" t="s">
        <v>1674</v>
      </c>
      <c r="AA381" s="544" t="s">
        <v>1674</v>
      </c>
      <c r="AE381" s="551"/>
      <c r="AF381" s="544" t="s">
        <v>1674</v>
      </c>
      <c r="AG381" s="544" t="s">
        <v>1674</v>
      </c>
      <c r="AH381" s="544" t="s">
        <v>1674</v>
      </c>
      <c r="AI381" s="544" t="s">
        <v>1674</v>
      </c>
      <c r="AJ381" s="544" t="s">
        <v>1674</v>
      </c>
      <c r="AK381" s="544" t="s">
        <v>1674</v>
      </c>
      <c r="AL381" s="544" t="s">
        <v>1674</v>
      </c>
      <c r="AM381" s="544" t="s">
        <v>1674</v>
      </c>
      <c r="AN381" s="544" t="s">
        <v>1674</v>
      </c>
      <c r="AP381" s="552">
        <f t="shared" si="5"/>
        <v>0</v>
      </c>
    </row>
    <row r="382" spans="1:42" outlineLevel="1" x14ac:dyDescent="0.25">
      <c r="A382" s="544" t="s">
        <v>1674</v>
      </c>
      <c r="B382" s="545">
        <v>0</v>
      </c>
      <c r="C382" s="544" t="s">
        <v>1674</v>
      </c>
      <c r="D382" s="544" t="s">
        <v>2773</v>
      </c>
      <c r="E382" s="542" t="s">
        <v>2683</v>
      </c>
      <c r="G382" s="546"/>
      <c r="H382" s="546">
        <v>942.48</v>
      </c>
      <c r="I382" s="546"/>
      <c r="J382" s="542" t="s">
        <v>806</v>
      </c>
      <c r="K382" s="547">
        <v>1200</v>
      </c>
      <c r="L382" s="542" t="s">
        <v>806</v>
      </c>
      <c r="M382" s="548"/>
      <c r="N382" s="549">
        <v>0</v>
      </c>
      <c r="O382" s="544" t="s">
        <v>1674</v>
      </c>
      <c r="P382" s="544" t="s">
        <v>1674</v>
      </c>
      <c r="Q382" s="544" t="s">
        <v>2684</v>
      </c>
      <c r="R382" s="544" t="s">
        <v>1674</v>
      </c>
      <c r="S382" s="544" t="s">
        <v>1674</v>
      </c>
      <c r="T382" s="550"/>
      <c r="U382" s="544" t="s">
        <v>2685</v>
      </c>
      <c r="V382" s="547">
        <v>1751</v>
      </c>
      <c r="W382" s="548"/>
      <c r="Y382" s="544" t="s">
        <v>1674</v>
      </c>
      <c r="AA382" s="544" t="s">
        <v>1674</v>
      </c>
      <c r="AE382" s="551"/>
      <c r="AF382" s="544" t="s">
        <v>1674</v>
      </c>
      <c r="AG382" s="544" t="s">
        <v>1674</v>
      </c>
      <c r="AH382" s="544" t="s">
        <v>1674</v>
      </c>
      <c r="AI382" s="544" t="s">
        <v>1674</v>
      </c>
      <c r="AJ382" s="544" t="s">
        <v>1674</v>
      </c>
      <c r="AK382" s="544" t="s">
        <v>1674</v>
      </c>
      <c r="AL382" s="544" t="s">
        <v>1674</v>
      </c>
      <c r="AM382" s="544" t="s">
        <v>1674</v>
      </c>
      <c r="AN382" s="544" t="s">
        <v>1674</v>
      </c>
      <c r="AP382" s="552">
        <f t="shared" si="5"/>
        <v>0</v>
      </c>
    </row>
    <row r="383" spans="1:42" outlineLevel="1" x14ac:dyDescent="0.25">
      <c r="A383" s="544" t="s">
        <v>1674</v>
      </c>
      <c r="B383" s="545">
        <v>0</v>
      </c>
      <c r="C383" s="544" t="s">
        <v>1674</v>
      </c>
      <c r="D383" s="544" t="s">
        <v>2773</v>
      </c>
      <c r="E383" s="542" t="s">
        <v>2683</v>
      </c>
      <c r="G383" s="546"/>
      <c r="H383" s="546">
        <v>9.52</v>
      </c>
      <c r="I383" s="546"/>
      <c r="J383" s="542" t="s">
        <v>806</v>
      </c>
      <c r="K383" s="547">
        <v>8736</v>
      </c>
      <c r="L383" s="542" t="s">
        <v>806</v>
      </c>
      <c r="M383" s="548"/>
      <c r="N383" s="549">
        <v>0</v>
      </c>
      <c r="O383" s="544" t="s">
        <v>1674</v>
      </c>
      <c r="P383" s="544" t="s">
        <v>1674</v>
      </c>
      <c r="Q383" s="544" t="s">
        <v>2684</v>
      </c>
      <c r="R383" s="544" t="s">
        <v>1674</v>
      </c>
      <c r="S383" s="544" t="s">
        <v>1674</v>
      </c>
      <c r="T383" s="550">
        <v>19</v>
      </c>
      <c r="U383" s="544" t="s">
        <v>2685</v>
      </c>
      <c r="V383" s="547">
        <v>1751</v>
      </c>
      <c r="W383" s="548"/>
      <c r="Y383" s="544" t="s">
        <v>1674</v>
      </c>
      <c r="AA383" s="544" t="s">
        <v>1674</v>
      </c>
      <c r="AE383" s="551"/>
      <c r="AF383" s="544" t="s">
        <v>1674</v>
      </c>
      <c r="AG383" s="544" t="s">
        <v>1674</v>
      </c>
      <c r="AH383" s="544" t="s">
        <v>1674</v>
      </c>
      <c r="AI383" s="544" t="s">
        <v>1674</v>
      </c>
      <c r="AJ383" s="544" t="s">
        <v>1674</v>
      </c>
      <c r="AK383" s="544" t="s">
        <v>1674</v>
      </c>
      <c r="AL383" s="544" t="s">
        <v>1674</v>
      </c>
      <c r="AM383" s="544" t="s">
        <v>1674</v>
      </c>
      <c r="AN383" s="544" t="s">
        <v>1674</v>
      </c>
      <c r="AP383" s="552">
        <f t="shared" si="5"/>
        <v>0</v>
      </c>
    </row>
    <row r="384" spans="1:42" outlineLevel="1" x14ac:dyDescent="0.25">
      <c r="A384" s="544" t="s">
        <v>1674</v>
      </c>
      <c r="B384" s="545">
        <v>0</v>
      </c>
      <c r="C384" s="544" t="s">
        <v>1674</v>
      </c>
      <c r="D384" s="544" t="s">
        <v>2773</v>
      </c>
      <c r="E384" s="542" t="s">
        <v>2686</v>
      </c>
      <c r="G384" s="546"/>
      <c r="H384" s="546">
        <v>942.48</v>
      </c>
      <c r="I384" s="546"/>
      <c r="J384" s="542" t="s">
        <v>806</v>
      </c>
      <c r="K384" s="547">
        <v>1200</v>
      </c>
      <c r="L384" s="542" t="s">
        <v>806</v>
      </c>
      <c r="M384" s="548"/>
      <c r="N384" s="549">
        <v>0</v>
      </c>
      <c r="O384" s="544" t="s">
        <v>1674</v>
      </c>
      <c r="P384" s="544" t="s">
        <v>1674</v>
      </c>
      <c r="Q384" s="544" t="s">
        <v>2687</v>
      </c>
      <c r="R384" s="544" t="s">
        <v>1674</v>
      </c>
      <c r="S384" s="544" t="s">
        <v>1674</v>
      </c>
      <c r="T384" s="550"/>
      <c r="U384" s="544" t="s">
        <v>2688</v>
      </c>
      <c r="V384" s="547">
        <v>1489</v>
      </c>
      <c r="W384" s="548"/>
      <c r="Y384" s="544" t="s">
        <v>1674</v>
      </c>
      <c r="AA384" s="544" t="s">
        <v>1674</v>
      </c>
      <c r="AE384" s="551"/>
      <c r="AF384" s="544" t="s">
        <v>1674</v>
      </c>
      <c r="AG384" s="544" t="s">
        <v>1674</v>
      </c>
      <c r="AH384" s="544" t="s">
        <v>1674</v>
      </c>
      <c r="AI384" s="544" t="s">
        <v>1674</v>
      </c>
      <c r="AJ384" s="544" t="s">
        <v>1674</v>
      </c>
      <c r="AK384" s="544" t="s">
        <v>1674</v>
      </c>
      <c r="AL384" s="544" t="s">
        <v>1674</v>
      </c>
      <c r="AM384" s="544" t="s">
        <v>1674</v>
      </c>
      <c r="AN384" s="544" t="s">
        <v>1674</v>
      </c>
      <c r="AP384" s="552">
        <f t="shared" si="5"/>
        <v>0</v>
      </c>
    </row>
    <row r="385" spans="1:42" outlineLevel="1" x14ac:dyDescent="0.25">
      <c r="A385" s="544" t="s">
        <v>1674</v>
      </c>
      <c r="B385" s="545">
        <v>0</v>
      </c>
      <c r="C385" s="544" t="s">
        <v>1674</v>
      </c>
      <c r="D385" s="544" t="s">
        <v>2773</v>
      </c>
      <c r="E385" s="542" t="s">
        <v>2686</v>
      </c>
      <c r="G385" s="546"/>
      <c r="H385" s="546">
        <v>9.52</v>
      </c>
      <c r="I385" s="546"/>
      <c r="J385" s="542" t="s">
        <v>806</v>
      </c>
      <c r="K385" s="547">
        <v>8736</v>
      </c>
      <c r="L385" s="542" t="s">
        <v>806</v>
      </c>
      <c r="M385" s="548"/>
      <c r="N385" s="549">
        <v>0</v>
      </c>
      <c r="O385" s="544" t="s">
        <v>1674</v>
      </c>
      <c r="P385" s="544" t="s">
        <v>1674</v>
      </c>
      <c r="Q385" s="544" t="s">
        <v>2687</v>
      </c>
      <c r="R385" s="544" t="s">
        <v>1674</v>
      </c>
      <c r="S385" s="544" t="s">
        <v>1674</v>
      </c>
      <c r="T385" s="550">
        <v>19</v>
      </c>
      <c r="U385" s="544" t="s">
        <v>2688</v>
      </c>
      <c r="V385" s="547">
        <v>1489</v>
      </c>
      <c r="W385" s="548"/>
      <c r="Y385" s="544" t="s">
        <v>1674</v>
      </c>
      <c r="AA385" s="544" t="s">
        <v>1674</v>
      </c>
      <c r="AE385" s="551"/>
      <c r="AF385" s="544" t="s">
        <v>1674</v>
      </c>
      <c r="AG385" s="544" t="s">
        <v>1674</v>
      </c>
      <c r="AH385" s="544" t="s">
        <v>1674</v>
      </c>
      <c r="AI385" s="544" t="s">
        <v>1674</v>
      </c>
      <c r="AJ385" s="544" t="s">
        <v>1674</v>
      </c>
      <c r="AK385" s="544" t="s">
        <v>1674</v>
      </c>
      <c r="AL385" s="544" t="s">
        <v>1674</v>
      </c>
      <c r="AM385" s="544" t="s">
        <v>1674</v>
      </c>
      <c r="AN385" s="544" t="s">
        <v>1674</v>
      </c>
      <c r="AP385" s="552">
        <f t="shared" si="5"/>
        <v>0</v>
      </c>
    </row>
    <row r="386" spans="1:42" outlineLevel="1" x14ac:dyDescent="0.25">
      <c r="A386" s="544" t="s">
        <v>1674</v>
      </c>
      <c r="B386" s="545">
        <v>0</v>
      </c>
      <c r="C386" s="544" t="s">
        <v>1674</v>
      </c>
      <c r="D386" s="544" t="s">
        <v>2773</v>
      </c>
      <c r="E386" s="542" t="s">
        <v>2689</v>
      </c>
      <c r="G386" s="546"/>
      <c r="H386" s="546">
        <v>942.48</v>
      </c>
      <c r="I386" s="546"/>
      <c r="J386" s="542" t="s">
        <v>806</v>
      </c>
      <c r="K386" s="547">
        <v>1200</v>
      </c>
      <c r="L386" s="542" t="s">
        <v>806</v>
      </c>
      <c r="M386" s="548"/>
      <c r="N386" s="549">
        <v>0</v>
      </c>
      <c r="O386" s="544" t="s">
        <v>1674</v>
      </c>
      <c r="P386" s="544" t="s">
        <v>1674</v>
      </c>
      <c r="Q386" s="544" t="s">
        <v>2690</v>
      </c>
      <c r="R386" s="544" t="s">
        <v>1674</v>
      </c>
      <c r="S386" s="544" t="s">
        <v>1674</v>
      </c>
      <c r="T386" s="550"/>
      <c r="U386" s="544" t="s">
        <v>2691</v>
      </c>
      <c r="V386" s="547">
        <v>1700</v>
      </c>
      <c r="W386" s="548"/>
      <c r="Y386" s="544" t="s">
        <v>1674</v>
      </c>
      <c r="AA386" s="544" t="s">
        <v>1674</v>
      </c>
      <c r="AE386" s="551"/>
      <c r="AF386" s="544" t="s">
        <v>1674</v>
      </c>
      <c r="AG386" s="544" t="s">
        <v>1674</v>
      </c>
      <c r="AH386" s="544" t="s">
        <v>1674</v>
      </c>
      <c r="AI386" s="544" t="s">
        <v>1674</v>
      </c>
      <c r="AJ386" s="544" t="s">
        <v>1674</v>
      </c>
      <c r="AK386" s="544" t="s">
        <v>1674</v>
      </c>
      <c r="AL386" s="544" t="s">
        <v>1674</v>
      </c>
      <c r="AM386" s="544" t="s">
        <v>1674</v>
      </c>
      <c r="AN386" s="544" t="s">
        <v>1674</v>
      </c>
      <c r="AP386" s="552">
        <f t="shared" si="5"/>
        <v>0</v>
      </c>
    </row>
    <row r="387" spans="1:42" outlineLevel="1" x14ac:dyDescent="0.25">
      <c r="A387" s="544" t="s">
        <v>1674</v>
      </c>
      <c r="B387" s="545">
        <v>0</v>
      </c>
      <c r="C387" s="544" t="s">
        <v>1674</v>
      </c>
      <c r="D387" s="544" t="s">
        <v>2773</v>
      </c>
      <c r="E387" s="542" t="s">
        <v>2689</v>
      </c>
      <c r="G387" s="546"/>
      <c r="H387" s="546">
        <v>9.52</v>
      </c>
      <c r="I387" s="546"/>
      <c r="J387" s="542" t="s">
        <v>806</v>
      </c>
      <c r="K387" s="547">
        <v>8736</v>
      </c>
      <c r="L387" s="542" t="s">
        <v>806</v>
      </c>
      <c r="M387" s="548"/>
      <c r="N387" s="549">
        <v>0</v>
      </c>
      <c r="O387" s="544" t="s">
        <v>1674</v>
      </c>
      <c r="P387" s="544" t="s">
        <v>1674</v>
      </c>
      <c r="Q387" s="544" t="s">
        <v>2690</v>
      </c>
      <c r="R387" s="544" t="s">
        <v>1674</v>
      </c>
      <c r="S387" s="544" t="s">
        <v>1674</v>
      </c>
      <c r="T387" s="550">
        <v>19</v>
      </c>
      <c r="U387" s="544" t="s">
        <v>2691</v>
      </c>
      <c r="V387" s="547">
        <v>1701</v>
      </c>
      <c r="W387" s="548"/>
      <c r="Y387" s="544" t="s">
        <v>1674</v>
      </c>
      <c r="AA387" s="544" t="s">
        <v>1674</v>
      </c>
      <c r="AE387" s="551"/>
      <c r="AF387" s="544" t="s">
        <v>1674</v>
      </c>
      <c r="AG387" s="544" t="s">
        <v>1674</v>
      </c>
      <c r="AH387" s="544" t="s">
        <v>1674</v>
      </c>
      <c r="AI387" s="544" t="s">
        <v>1674</v>
      </c>
      <c r="AJ387" s="544" t="s">
        <v>1674</v>
      </c>
      <c r="AK387" s="544" t="s">
        <v>1674</v>
      </c>
      <c r="AL387" s="544" t="s">
        <v>1674</v>
      </c>
      <c r="AM387" s="544" t="s">
        <v>1674</v>
      </c>
      <c r="AN387" s="544" t="s">
        <v>1674</v>
      </c>
      <c r="AP387" s="552">
        <f t="shared" ref="AP387:AP450" si="6">IF(J387="S",+I387,-I387)</f>
        <v>0</v>
      </c>
    </row>
    <row r="388" spans="1:42" outlineLevel="1" x14ac:dyDescent="0.25">
      <c r="A388" s="544" t="s">
        <v>1674</v>
      </c>
      <c r="B388" s="545">
        <v>0</v>
      </c>
      <c r="C388" s="544" t="s">
        <v>1674</v>
      </c>
      <c r="D388" s="544" t="s">
        <v>2773</v>
      </c>
      <c r="E388" s="542" t="s">
        <v>2692</v>
      </c>
      <c r="G388" s="546"/>
      <c r="H388" s="546">
        <v>942.48</v>
      </c>
      <c r="I388" s="546"/>
      <c r="J388" s="542" t="s">
        <v>806</v>
      </c>
      <c r="K388" s="547">
        <v>1200</v>
      </c>
      <c r="L388" s="542" t="s">
        <v>806</v>
      </c>
      <c r="M388" s="548"/>
      <c r="N388" s="549">
        <v>0</v>
      </c>
      <c r="O388" s="544" t="s">
        <v>1674</v>
      </c>
      <c r="P388" s="544" t="s">
        <v>1674</v>
      </c>
      <c r="Q388" s="544" t="s">
        <v>2693</v>
      </c>
      <c r="R388" s="544" t="s">
        <v>1674</v>
      </c>
      <c r="S388" s="544" t="s">
        <v>1674</v>
      </c>
      <c r="T388" s="550"/>
      <c r="U388" s="544" t="s">
        <v>2694</v>
      </c>
      <c r="V388" s="547">
        <v>1833</v>
      </c>
      <c r="W388" s="548"/>
      <c r="Y388" s="544" t="s">
        <v>1674</v>
      </c>
      <c r="AA388" s="544" t="s">
        <v>1674</v>
      </c>
      <c r="AE388" s="551"/>
      <c r="AF388" s="544" t="s">
        <v>1674</v>
      </c>
      <c r="AG388" s="544" t="s">
        <v>1674</v>
      </c>
      <c r="AH388" s="544" t="s">
        <v>1674</v>
      </c>
      <c r="AI388" s="544" t="s">
        <v>1674</v>
      </c>
      <c r="AJ388" s="544" t="s">
        <v>1674</v>
      </c>
      <c r="AK388" s="544" t="s">
        <v>1674</v>
      </c>
      <c r="AL388" s="544" t="s">
        <v>1674</v>
      </c>
      <c r="AM388" s="544" t="s">
        <v>1674</v>
      </c>
      <c r="AN388" s="544" t="s">
        <v>1674</v>
      </c>
      <c r="AP388" s="552">
        <f t="shared" si="6"/>
        <v>0</v>
      </c>
    </row>
    <row r="389" spans="1:42" outlineLevel="1" x14ac:dyDescent="0.25">
      <c r="A389" s="544" t="s">
        <v>1674</v>
      </c>
      <c r="B389" s="545">
        <v>0</v>
      </c>
      <c r="C389" s="544" t="s">
        <v>1674</v>
      </c>
      <c r="D389" s="544" t="s">
        <v>2773</v>
      </c>
      <c r="E389" s="542" t="s">
        <v>2692</v>
      </c>
      <c r="G389" s="546"/>
      <c r="H389" s="546">
        <v>9.52</v>
      </c>
      <c r="I389" s="546"/>
      <c r="J389" s="542" t="s">
        <v>806</v>
      </c>
      <c r="K389" s="547">
        <v>8736</v>
      </c>
      <c r="L389" s="542" t="s">
        <v>806</v>
      </c>
      <c r="M389" s="548"/>
      <c r="N389" s="549">
        <v>0</v>
      </c>
      <c r="O389" s="544" t="s">
        <v>1674</v>
      </c>
      <c r="P389" s="544" t="s">
        <v>1674</v>
      </c>
      <c r="Q389" s="544" t="s">
        <v>2693</v>
      </c>
      <c r="R389" s="544" t="s">
        <v>1674</v>
      </c>
      <c r="S389" s="544" t="s">
        <v>1674</v>
      </c>
      <c r="T389" s="550">
        <v>19</v>
      </c>
      <c r="U389" s="544" t="s">
        <v>2694</v>
      </c>
      <c r="V389" s="547">
        <v>1834</v>
      </c>
      <c r="W389" s="548"/>
      <c r="Y389" s="544" t="s">
        <v>1674</v>
      </c>
      <c r="AA389" s="544" t="s">
        <v>1674</v>
      </c>
      <c r="AE389" s="551"/>
      <c r="AF389" s="544" t="s">
        <v>1674</v>
      </c>
      <c r="AG389" s="544" t="s">
        <v>1674</v>
      </c>
      <c r="AH389" s="544" t="s">
        <v>1674</v>
      </c>
      <c r="AI389" s="544" t="s">
        <v>1674</v>
      </c>
      <c r="AJ389" s="544" t="s">
        <v>1674</v>
      </c>
      <c r="AK389" s="544" t="s">
        <v>1674</v>
      </c>
      <c r="AL389" s="544" t="s">
        <v>1674</v>
      </c>
      <c r="AM389" s="544" t="s">
        <v>1674</v>
      </c>
      <c r="AN389" s="544" t="s">
        <v>1674</v>
      </c>
      <c r="AP389" s="552">
        <f t="shared" si="6"/>
        <v>0</v>
      </c>
    </row>
    <row r="390" spans="1:42" outlineLevel="1" x14ac:dyDescent="0.25">
      <c r="A390" s="544" t="s">
        <v>1674</v>
      </c>
      <c r="B390" s="545">
        <v>0</v>
      </c>
      <c r="C390" s="544" t="s">
        <v>1674</v>
      </c>
      <c r="D390" s="544" t="s">
        <v>2773</v>
      </c>
      <c r="E390" s="542" t="s">
        <v>2695</v>
      </c>
      <c r="G390" s="546"/>
      <c r="H390" s="546">
        <v>942.48</v>
      </c>
      <c r="I390" s="546"/>
      <c r="J390" s="542" t="s">
        <v>806</v>
      </c>
      <c r="K390" s="547">
        <v>1200</v>
      </c>
      <c r="L390" s="542" t="s">
        <v>806</v>
      </c>
      <c r="M390" s="548"/>
      <c r="N390" s="549">
        <v>0</v>
      </c>
      <c r="O390" s="544" t="s">
        <v>1674</v>
      </c>
      <c r="P390" s="544" t="s">
        <v>1674</v>
      </c>
      <c r="Q390" s="544" t="s">
        <v>2696</v>
      </c>
      <c r="R390" s="544" t="s">
        <v>1674</v>
      </c>
      <c r="S390" s="544" t="s">
        <v>1674</v>
      </c>
      <c r="T390" s="550"/>
      <c r="U390" s="544" t="s">
        <v>2697</v>
      </c>
      <c r="V390" s="547">
        <v>1616</v>
      </c>
      <c r="W390" s="548"/>
      <c r="Y390" s="544" t="s">
        <v>1674</v>
      </c>
      <c r="AA390" s="544" t="s">
        <v>1674</v>
      </c>
      <c r="AE390" s="551"/>
      <c r="AF390" s="544" t="s">
        <v>1674</v>
      </c>
      <c r="AG390" s="544" t="s">
        <v>1674</v>
      </c>
      <c r="AH390" s="544" t="s">
        <v>1674</v>
      </c>
      <c r="AI390" s="544" t="s">
        <v>1674</v>
      </c>
      <c r="AJ390" s="544" t="s">
        <v>1674</v>
      </c>
      <c r="AK390" s="544" t="s">
        <v>1674</v>
      </c>
      <c r="AL390" s="544" t="s">
        <v>1674</v>
      </c>
      <c r="AM390" s="544" t="s">
        <v>1674</v>
      </c>
      <c r="AN390" s="544" t="s">
        <v>1674</v>
      </c>
      <c r="AP390" s="552">
        <f t="shared" si="6"/>
        <v>0</v>
      </c>
    </row>
    <row r="391" spans="1:42" outlineLevel="1" x14ac:dyDescent="0.25">
      <c r="A391" s="544" t="s">
        <v>1674</v>
      </c>
      <c r="B391" s="545">
        <v>0</v>
      </c>
      <c r="C391" s="544" t="s">
        <v>1674</v>
      </c>
      <c r="D391" s="544" t="s">
        <v>2773</v>
      </c>
      <c r="E391" s="542" t="s">
        <v>2695</v>
      </c>
      <c r="G391" s="546"/>
      <c r="H391" s="546">
        <v>9.52</v>
      </c>
      <c r="I391" s="546"/>
      <c r="J391" s="542" t="s">
        <v>806</v>
      </c>
      <c r="K391" s="547">
        <v>8736</v>
      </c>
      <c r="L391" s="542" t="s">
        <v>806</v>
      </c>
      <c r="M391" s="548"/>
      <c r="N391" s="549">
        <v>0</v>
      </c>
      <c r="O391" s="544" t="s">
        <v>1674</v>
      </c>
      <c r="P391" s="544" t="s">
        <v>1674</v>
      </c>
      <c r="Q391" s="544" t="s">
        <v>2696</v>
      </c>
      <c r="R391" s="544" t="s">
        <v>1674</v>
      </c>
      <c r="S391" s="544" t="s">
        <v>1674</v>
      </c>
      <c r="T391" s="550">
        <v>19</v>
      </c>
      <c r="U391" s="544" t="s">
        <v>2697</v>
      </c>
      <c r="V391" s="547">
        <v>1617</v>
      </c>
      <c r="W391" s="548"/>
      <c r="Y391" s="544" t="s">
        <v>1674</v>
      </c>
      <c r="AA391" s="544" t="s">
        <v>1674</v>
      </c>
      <c r="AE391" s="551"/>
      <c r="AF391" s="544" t="s">
        <v>1674</v>
      </c>
      <c r="AG391" s="544" t="s">
        <v>1674</v>
      </c>
      <c r="AH391" s="544" t="s">
        <v>1674</v>
      </c>
      <c r="AI391" s="544" t="s">
        <v>1674</v>
      </c>
      <c r="AJ391" s="544" t="s">
        <v>1674</v>
      </c>
      <c r="AK391" s="544" t="s">
        <v>1674</v>
      </c>
      <c r="AL391" s="544" t="s">
        <v>1674</v>
      </c>
      <c r="AM391" s="544" t="s">
        <v>1674</v>
      </c>
      <c r="AN391" s="544" t="s">
        <v>1674</v>
      </c>
      <c r="AP391" s="552">
        <f t="shared" si="6"/>
        <v>0</v>
      </c>
    </row>
    <row r="392" spans="1:42" outlineLevel="1" x14ac:dyDescent="0.25">
      <c r="A392" s="544" t="s">
        <v>1674</v>
      </c>
      <c r="B392" s="545">
        <v>0</v>
      </c>
      <c r="C392" s="544" t="s">
        <v>1674</v>
      </c>
      <c r="D392" s="544" t="s">
        <v>2773</v>
      </c>
      <c r="E392" s="542" t="s">
        <v>2698</v>
      </c>
      <c r="G392" s="546"/>
      <c r="H392" s="546">
        <v>942.48</v>
      </c>
      <c r="I392" s="546"/>
      <c r="J392" s="542" t="s">
        <v>806</v>
      </c>
      <c r="K392" s="547">
        <v>1200</v>
      </c>
      <c r="L392" s="542" t="s">
        <v>806</v>
      </c>
      <c r="M392" s="548"/>
      <c r="N392" s="549">
        <v>0</v>
      </c>
      <c r="O392" s="544" t="s">
        <v>1674</v>
      </c>
      <c r="P392" s="544" t="s">
        <v>1674</v>
      </c>
      <c r="Q392" s="544" t="s">
        <v>2699</v>
      </c>
      <c r="R392" s="544" t="s">
        <v>1674</v>
      </c>
      <c r="S392" s="544" t="s">
        <v>1674</v>
      </c>
      <c r="T392" s="550"/>
      <c r="U392" s="544" t="s">
        <v>2700</v>
      </c>
      <c r="V392" s="547">
        <v>1604</v>
      </c>
      <c r="W392" s="548"/>
      <c r="Y392" s="544" t="s">
        <v>1674</v>
      </c>
      <c r="AA392" s="544" t="s">
        <v>1674</v>
      </c>
      <c r="AE392" s="551"/>
      <c r="AF392" s="544" t="s">
        <v>1674</v>
      </c>
      <c r="AG392" s="544" t="s">
        <v>1674</v>
      </c>
      <c r="AH392" s="544" t="s">
        <v>1674</v>
      </c>
      <c r="AI392" s="544" t="s">
        <v>1674</v>
      </c>
      <c r="AJ392" s="544" t="s">
        <v>1674</v>
      </c>
      <c r="AK392" s="544" t="s">
        <v>1674</v>
      </c>
      <c r="AL392" s="544" t="s">
        <v>1674</v>
      </c>
      <c r="AM392" s="544" t="s">
        <v>1674</v>
      </c>
      <c r="AN392" s="544" t="s">
        <v>1674</v>
      </c>
      <c r="AP392" s="552">
        <f t="shared" si="6"/>
        <v>0</v>
      </c>
    </row>
    <row r="393" spans="1:42" outlineLevel="1" x14ac:dyDescent="0.25">
      <c r="A393" s="544" t="s">
        <v>1674</v>
      </c>
      <c r="B393" s="545">
        <v>10200</v>
      </c>
      <c r="C393" s="544" t="s">
        <v>2774</v>
      </c>
      <c r="D393" s="544" t="s">
        <v>2775</v>
      </c>
      <c r="E393" s="542" t="s">
        <v>2683</v>
      </c>
      <c r="F393" s="542" t="s">
        <v>2686</v>
      </c>
      <c r="G393" s="546">
        <v>220.49</v>
      </c>
      <c r="H393" s="546"/>
      <c r="I393" s="546"/>
      <c r="J393" s="542" t="s">
        <v>806</v>
      </c>
      <c r="K393" s="547">
        <v>8400</v>
      </c>
      <c r="L393" s="542" t="s">
        <v>806</v>
      </c>
      <c r="M393" s="548"/>
      <c r="N393" s="549">
        <v>-123</v>
      </c>
      <c r="O393" s="544" t="s">
        <v>1674</v>
      </c>
      <c r="P393" s="544" t="s">
        <v>1674</v>
      </c>
      <c r="Q393" s="544" t="s">
        <v>2776</v>
      </c>
      <c r="R393" s="544" t="s">
        <v>1674</v>
      </c>
      <c r="S393" s="544" t="s">
        <v>1674</v>
      </c>
      <c r="T393" s="550">
        <v>19</v>
      </c>
      <c r="U393" s="544" t="s">
        <v>2685</v>
      </c>
      <c r="V393" s="547">
        <v>1641</v>
      </c>
      <c r="W393" s="548"/>
      <c r="Y393" s="544" t="s">
        <v>1674</v>
      </c>
      <c r="AA393" s="544" t="s">
        <v>1674</v>
      </c>
      <c r="AE393" s="551"/>
      <c r="AF393" s="544" t="s">
        <v>1674</v>
      </c>
      <c r="AG393" s="544" t="s">
        <v>1674</v>
      </c>
      <c r="AH393" s="544" t="s">
        <v>1674</v>
      </c>
      <c r="AI393" s="544" t="s">
        <v>1674</v>
      </c>
      <c r="AJ393" s="544" t="s">
        <v>1674</v>
      </c>
      <c r="AK393" s="544" t="s">
        <v>1674</v>
      </c>
      <c r="AL393" s="544" t="s">
        <v>1674</v>
      </c>
      <c r="AM393" s="544" t="s">
        <v>2774</v>
      </c>
      <c r="AN393" s="544" t="s">
        <v>1674</v>
      </c>
      <c r="AP393" s="552">
        <f t="shared" si="6"/>
        <v>0</v>
      </c>
    </row>
    <row r="394" spans="1:42" outlineLevel="1" x14ac:dyDescent="0.25">
      <c r="A394" s="544" t="s">
        <v>1674</v>
      </c>
      <c r="B394" s="545">
        <v>0</v>
      </c>
      <c r="C394" s="544" t="s">
        <v>1674</v>
      </c>
      <c r="D394" s="544" t="s">
        <v>2775</v>
      </c>
      <c r="E394" s="542" t="s">
        <v>2683</v>
      </c>
      <c r="F394" s="542" t="s">
        <v>2686</v>
      </c>
      <c r="G394" s="546">
        <v>20.57</v>
      </c>
      <c r="H394" s="546"/>
      <c r="I394" s="546"/>
      <c r="J394" s="542" t="s">
        <v>806</v>
      </c>
      <c r="K394" s="547">
        <v>8400</v>
      </c>
      <c r="L394" s="542" t="s">
        <v>806</v>
      </c>
      <c r="M394" s="548"/>
      <c r="N394" s="549">
        <v>-123</v>
      </c>
      <c r="O394" s="544" t="s">
        <v>1674</v>
      </c>
      <c r="P394" s="544" t="s">
        <v>1674</v>
      </c>
      <c r="Q394" s="544" t="s">
        <v>2776</v>
      </c>
      <c r="R394" s="544" t="s">
        <v>2617</v>
      </c>
      <c r="S394" s="544" t="s">
        <v>1674</v>
      </c>
      <c r="T394" s="550">
        <v>19</v>
      </c>
      <c r="U394" s="544" t="s">
        <v>2685</v>
      </c>
      <c r="V394" s="547">
        <v>1642</v>
      </c>
      <c r="W394" s="548"/>
      <c r="Y394" s="544" t="s">
        <v>1674</v>
      </c>
      <c r="AA394" s="544" t="s">
        <v>1674</v>
      </c>
      <c r="AE394" s="551"/>
      <c r="AF394" s="544" t="s">
        <v>1674</v>
      </c>
      <c r="AG394" s="544" t="s">
        <v>1674</v>
      </c>
      <c r="AH394" s="544" t="s">
        <v>1674</v>
      </c>
      <c r="AI394" s="544" t="s">
        <v>1674</v>
      </c>
      <c r="AJ394" s="544" t="s">
        <v>1674</v>
      </c>
      <c r="AK394" s="544" t="s">
        <v>1674</v>
      </c>
      <c r="AL394" s="544" t="s">
        <v>1674</v>
      </c>
      <c r="AM394" s="544" t="s">
        <v>1674</v>
      </c>
      <c r="AN394" s="544" t="s">
        <v>1674</v>
      </c>
      <c r="AP394" s="552">
        <f t="shared" si="6"/>
        <v>0</v>
      </c>
    </row>
    <row r="395" spans="1:42" outlineLevel="1" x14ac:dyDescent="0.25">
      <c r="A395" s="544" t="s">
        <v>2722</v>
      </c>
      <c r="B395" s="545">
        <v>11800</v>
      </c>
      <c r="C395" s="544" t="s">
        <v>2581</v>
      </c>
      <c r="D395" s="544" t="s">
        <v>2777</v>
      </c>
      <c r="E395" s="542" t="s">
        <v>2778</v>
      </c>
      <c r="F395" s="542" t="s">
        <v>2779</v>
      </c>
      <c r="G395" s="546">
        <v>17195.5</v>
      </c>
      <c r="H395" s="546"/>
      <c r="I395" s="546"/>
      <c r="J395" s="542" t="s">
        <v>806</v>
      </c>
      <c r="K395" s="547">
        <v>8820</v>
      </c>
      <c r="L395" s="542" t="s">
        <v>806</v>
      </c>
      <c r="M395" s="548"/>
      <c r="N395" s="549">
        <v>-111</v>
      </c>
      <c r="O395" s="544" t="s">
        <v>1674</v>
      </c>
      <c r="P395" s="544" t="s">
        <v>1674</v>
      </c>
      <c r="Q395" s="544" t="s">
        <v>2720</v>
      </c>
      <c r="R395" s="544" t="s">
        <v>2622</v>
      </c>
      <c r="S395" s="544" t="s">
        <v>1674</v>
      </c>
      <c r="T395" s="550">
        <v>19</v>
      </c>
      <c r="U395" s="544" t="s">
        <v>2688</v>
      </c>
      <c r="V395" s="547">
        <v>649</v>
      </c>
      <c r="W395" s="548"/>
      <c r="Y395" s="544" t="s">
        <v>1674</v>
      </c>
      <c r="AA395" s="544" t="s">
        <v>1674</v>
      </c>
      <c r="AE395" s="551"/>
      <c r="AF395" s="544" t="s">
        <v>1674</v>
      </c>
      <c r="AG395" s="544" t="s">
        <v>1674</v>
      </c>
      <c r="AH395" s="544" t="s">
        <v>1674</v>
      </c>
      <c r="AI395" s="544" t="s">
        <v>1674</v>
      </c>
      <c r="AJ395" s="544" t="s">
        <v>1674</v>
      </c>
      <c r="AK395" s="544" t="s">
        <v>1674</v>
      </c>
      <c r="AL395" s="544" t="s">
        <v>1674</v>
      </c>
      <c r="AM395" s="544" t="s">
        <v>2581</v>
      </c>
      <c r="AN395" s="544" t="s">
        <v>1674</v>
      </c>
      <c r="AP395" s="552">
        <f t="shared" si="6"/>
        <v>0</v>
      </c>
    </row>
    <row r="396" spans="1:42" outlineLevel="1" x14ac:dyDescent="0.25">
      <c r="A396" s="544" t="s">
        <v>2722</v>
      </c>
      <c r="B396" s="545">
        <v>0</v>
      </c>
      <c r="C396" s="544" t="s">
        <v>1674</v>
      </c>
      <c r="D396" s="544" t="s">
        <v>2777</v>
      </c>
      <c r="E396" s="542" t="s">
        <v>2778</v>
      </c>
      <c r="F396" s="542" t="s">
        <v>2779</v>
      </c>
      <c r="G396" s="546">
        <v>3034.5</v>
      </c>
      <c r="H396" s="546"/>
      <c r="I396" s="546"/>
      <c r="J396" s="542" t="s">
        <v>806</v>
      </c>
      <c r="K396" s="547">
        <v>8820</v>
      </c>
      <c r="L396" s="542" t="s">
        <v>806</v>
      </c>
      <c r="M396" s="548"/>
      <c r="N396" s="549">
        <v>-111</v>
      </c>
      <c r="O396" s="544" t="s">
        <v>1674</v>
      </c>
      <c r="P396" s="544" t="s">
        <v>1674</v>
      </c>
      <c r="Q396" s="544" t="s">
        <v>2720</v>
      </c>
      <c r="R396" s="544" t="s">
        <v>1674</v>
      </c>
      <c r="S396" s="544" t="s">
        <v>1674</v>
      </c>
      <c r="T396" s="550">
        <v>19</v>
      </c>
      <c r="U396" s="544" t="s">
        <v>2688</v>
      </c>
      <c r="V396" s="547">
        <v>650</v>
      </c>
      <c r="W396" s="548"/>
      <c r="Y396" s="544" t="s">
        <v>1674</v>
      </c>
      <c r="AA396" s="544" t="s">
        <v>1674</v>
      </c>
      <c r="AE396" s="551"/>
      <c r="AF396" s="544" t="s">
        <v>1674</v>
      </c>
      <c r="AG396" s="544" t="s">
        <v>1674</v>
      </c>
      <c r="AH396" s="544" t="s">
        <v>1674</v>
      </c>
      <c r="AI396" s="544" t="s">
        <v>1674</v>
      </c>
      <c r="AJ396" s="544" t="s">
        <v>1674</v>
      </c>
      <c r="AK396" s="544" t="s">
        <v>1674</v>
      </c>
      <c r="AL396" s="544" t="s">
        <v>1674</v>
      </c>
      <c r="AM396" s="544" t="s">
        <v>1674</v>
      </c>
      <c r="AN396" s="544" t="s">
        <v>1674</v>
      </c>
      <c r="AP396" s="552">
        <f t="shared" si="6"/>
        <v>0</v>
      </c>
    </row>
    <row r="397" spans="1:42" outlineLevel="1" x14ac:dyDescent="0.25">
      <c r="A397" s="544" t="s">
        <v>1674</v>
      </c>
      <c r="B397" s="545">
        <v>0</v>
      </c>
      <c r="C397" s="544" t="s">
        <v>1674</v>
      </c>
      <c r="D397" s="544" t="s">
        <v>2777</v>
      </c>
      <c r="E397" s="542" t="s">
        <v>2686</v>
      </c>
      <c r="G397" s="546"/>
      <c r="H397" s="546">
        <v>942.48</v>
      </c>
      <c r="I397" s="546"/>
      <c r="J397" s="542" t="s">
        <v>806</v>
      </c>
      <c r="K397" s="547">
        <v>1200</v>
      </c>
      <c r="L397" s="542" t="s">
        <v>806</v>
      </c>
      <c r="M397" s="548"/>
      <c r="N397" s="549">
        <v>0</v>
      </c>
      <c r="O397" s="544" t="s">
        <v>1674</v>
      </c>
      <c r="P397" s="544" t="s">
        <v>1674</v>
      </c>
      <c r="Q397" s="544" t="s">
        <v>2687</v>
      </c>
      <c r="R397" s="544" t="s">
        <v>1674</v>
      </c>
      <c r="S397" s="544" t="s">
        <v>1674</v>
      </c>
      <c r="T397" s="550"/>
      <c r="U397" s="544" t="s">
        <v>2688</v>
      </c>
      <c r="V397" s="547">
        <v>1505</v>
      </c>
      <c r="W397" s="548"/>
      <c r="Y397" s="544" t="s">
        <v>1674</v>
      </c>
      <c r="AA397" s="544" t="s">
        <v>1674</v>
      </c>
      <c r="AE397" s="551"/>
      <c r="AF397" s="544" t="s">
        <v>1674</v>
      </c>
      <c r="AG397" s="544" t="s">
        <v>1674</v>
      </c>
      <c r="AH397" s="544" t="s">
        <v>1674</v>
      </c>
      <c r="AI397" s="544" t="s">
        <v>1674</v>
      </c>
      <c r="AJ397" s="544" t="s">
        <v>1674</v>
      </c>
      <c r="AK397" s="544" t="s">
        <v>1674</v>
      </c>
      <c r="AL397" s="544" t="s">
        <v>1674</v>
      </c>
      <c r="AM397" s="544" t="s">
        <v>1674</v>
      </c>
      <c r="AN397" s="544" t="s">
        <v>1674</v>
      </c>
      <c r="AP397" s="552">
        <f t="shared" si="6"/>
        <v>0</v>
      </c>
    </row>
    <row r="398" spans="1:42" outlineLevel="1" x14ac:dyDescent="0.25">
      <c r="A398" s="544" t="s">
        <v>1674</v>
      </c>
      <c r="B398" s="545">
        <v>0</v>
      </c>
      <c r="C398" s="544" t="s">
        <v>1674</v>
      </c>
      <c r="D398" s="544" t="s">
        <v>2777</v>
      </c>
      <c r="E398" s="542" t="s">
        <v>2686</v>
      </c>
      <c r="G398" s="546"/>
      <c r="H398" s="546">
        <v>9.52</v>
      </c>
      <c r="I398" s="546"/>
      <c r="J398" s="542" t="s">
        <v>806</v>
      </c>
      <c r="K398" s="547">
        <v>8736</v>
      </c>
      <c r="L398" s="542" t="s">
        <v>806</v>
      </c>
      <c r="M398" s="548"/>
      <c r="N398" s="549">
        <v>0</v>
      </c>
      <c r="O398" s="544" t="s">
        <v>1674</v>
      </c>
      <c r="P398" s="544" t="s">
        <v>1674</v>
      </c>
      <c r="Q398" s="544" t="s">
        <v>2687</v>
      </c>
      <c r="R398" s="544" t="s">
        <v>1674</v>
      </c>
      <c r="S398" s="544" t="s">
        <v>1674</v>
      </c>
      <c r="T398" s="550">
        <v>19</v>
      </c>
      <c r="U398" s="544" t="s">
        <v>2688</v>
      </c>
      <c r="V398" s="547">
        <v>1505</v>
      </c>
      <c r="W398" s="548"/>
      <c r="Y398" s="544" t="s">
        <v>1674</v>
      </c>
      <c r="AA398" s="544" t="s">
        <v>1674</v>
      </c>
      <c r="AE398" s="551"/>
      <c r="AF398" s="544" t="s">
        <v>1674</v>
      </c>
      <c r="AG398" s="544" t="s">
        <v>1674</v>
      </c>
      <c r="AH398" s="544" t="s">
        <v>1674</v>
      </c>
      <c r="AI398" s="544" t="s">
        <v>1674</v>
      </c>
      <c r="AJ398" s="544" t="s">
        <v>1674</v>
      </c>
      <c r="AK398" s="544" t="s">
        <v>1674</v>
      </c>
      <c r="AL398" s="544" t="s">
        <v>1674</v>
      </c>
      <c r="AM398" s="544" t="s">
        <v>1674</v>
      </c>
      <c r="AN398" s="544" t="s">
        <v>1674</v>
      </c>
      <c r="AP398" s="552">
        <f t="shared" si="6"/>
        <v>0</v>
      </c>
    </row>
    <row r="399" spans="1:42" outlineLevel="1" x14ac:dyDescent="0.25">
      <c r="A399" s="544" t="s">
        <v>1674</v>
      </c>
      <c r="B399" s="545">
        <v>0</v>
      </c>
      <c r="C399" s="544" t="s">
        <v>1674</v>
      </c>
      <c r="D399" s="544" t="s">
        <v>2777</v>
      </c>
      <c r="E399" s="542" t="s">
        <v>2689</v>
      </c>
      <c r="G399" s="546"/>
      <c r="H399" s="546">
        <v>942.48</v>
      </c>
      <c r="I399" s="546"/>
      <c r="J399" s="542" t="s">
        <v>806</v>
      </c>
      <c r="K399" s="547">
        <v>1200</v>
      </c>
      <c r="L399" s="542" t="s">
        <v>806</v>
      </c>
      <c r="M399" s="548"/>
      <c r="N399" s="549">
        <v>0</v>
      </c>
      <c r="O399" s="544" t="s">
        <v>1674</v>
      </c>
      <c r="P399" s="544" t="s">
        <v>1674</v>
      </c>
      <c r="Q399" s="544" t="s">
        <v>2690</v>
      </c>
      <c r="R399" s="544" t="s">
        <v>1674</v>
      </c>
      <c r="S399" s="544" t="s">
        <v>1674</v>
      </c>
      <c r="T399" s="550"/>
      <c r="U399" s="544" t="s">
        <v>2691</v>
      </c>
      <c r="V399" s="547">
        <v>1687</v>
      </c>
      <c r="W399" s="548"/>
      <c r="Y399" s="544" t="s">
        <v>1674</v>
      </c>
      <c r="AA399" s="544" t="s">
        <v>1674</v>
      </c>
      <c r="AE399" s="551"/>
      <c r="AF399" s="544" t="s">
        <v>1674</v>
      </c>
      <c r="AG399" s="544" t="s">
        <v>1674</v>
      </c>
      <c r="AH399" s="544" t="s">
        <v>1674</v>
      </c>
      <c r="AI399" s="544" t="s">
        <v>1674</v>
      </c>
      <c r="AJ399" s="544" t="s">
        <v>1674</v>
      </c>
      <c r="AK399" s="544" t="s">
        <v>1674</v>
      </c>
      <c r="AL399" s="544" t="s">
        <v>1674</v>
      </c>
      <c r="AM399" s="544" t="s">
        <v>1674</v>
      </c>
      <c r="AN399" s="544" t="s">
        <v>1674</v>
      </c>
      <c r="AP399" s="552">
        <f t="shared" si="6"/>
        <v>0</v>
      </c>
    </row>
    <row r="400" spans="1:42" outlineLevel="1" x14ac:dyDescent="0.25">
      <c r="A400" s="544" t="s">
        <v>1674</v>
      </c>
      <c r="B400" s="545">
        <v>0</v>
      </c>
      <c r="C400" s="544" t="s">
        <v>1674</v>
      </c>
      <c r="D400" s="544" t="s">
        <v>2777</v>
      </c>
      <c r="E400" s="542" t="s">
        <v>2689</v>
      </c>
      <c r="G400" s="546"/>
      <c r="H400" s="546">
        <v>9.52</v>
      </c>
      <c r="I400" s="546"/>
      <c r="J400" s="542" t="s">
        <v>806</v>
      </c>
      <c r="K400" s="547">
        <v>8736</v>
      </c>
      <c r="L400" s="542" t="s">
        <v>806</v>
      </c>
      <c r="M400" s="548"/>
      <c r="N400" s="549">
        <v>0</v>
      </c>
      <c r="O400" s="544" t="s">
        <v>1674</v>
      </c>
      <c r="P400" s="544" t="s">
        <v>1674</v>
      </c>
      <c r="Q400" s="544" t="s">
        <v>2690</v>
      </c>
      <c r="R400" s="544" t="s">
        <v>1674</v>
      </c>
      <c r="S400" s="544" t="s">
        <v>1674</v>
      </c>
      <c r="T400" s="550">
        <v>19</v>
      </c>
      <c r="U400" s="544" t="s">
        <v>2691</v>
      </c>
      <c r="V400" s="547">
        <v>1688</v>
      </c>
      <c r="W400" s="548"/>
      <c r="Y400" s="544" t="s">
        <v>1674</v>
      </c>
      <c r="AA400" s="544" t="s">
        <v>1674</v>
      </c>
      <c r="AE400" s="551"/>
      <c r="AF400" s="544" t="s">
        <v>1674</v>
      </c>
      <c r="AG400" s="544" t="s">
        <v>1674</v>
      </c>
      <c r="AH400" s="544" t="s">
        <v>1674</v>
      </c>
      <c r="AI400" s="544" t="s">
        <v>1674</v>
      </c>
      <c r="AJ400" s="544" t="s">
        <v>1674</v>
      </c>
      <c r="AK400" s="544" t="s">
        <v>1674</v>
      </c>
      <c r="AL400" s="544" t="s">
        <v>1674</v>
      </c>
      <c r="AM400" s="544" t="s">
        <v>1674</v>
      </c>
      <c r="AN400" s="544" t="s">
        <v>1674</v>
      </c>
      <c r="AP400" s="552">
        <f t="shared" si="6"/>
        <v>0</v>
      </c>
    </row>
    <row r="401" spans="1:42" outlineLevel="1" x14ac:dyDescent="0.25">
      <c r="A401" s="544" t="s">
        <v>1674</v>
      </c>
      <c r="B401" s="545">
        <v>0</v>
      </c>
      <c r="C401" s="544" t="s">
        <v>1674</v>
      </c>
      <c r="D401" s="544" t="s">
        <v>2777</v>
      </c>
      <c r="E401" s="542" t="s">
        <v>2692</v>
      </c>
      <c r="G401" s="546"/>
      <c r="H401" s="546">
        <v>942.48</v>
      </c>
      <c r="I401" s="546"/>
      <c r="J401" s="542" t="s">
        <v>806</v>
      </c>
      <c r="K401" s="547">
        <v>1200</v>
      </c>
      <c r="L401" s="542" t="s">
        <v>806</v>
      </c>
      <c r="M401" s="548"/>
      <c r="N401" s="549">
        <v>0</v>
      </c>
      <c r="O401" s="544" t="s">
        <v>1674</v>
      </c>
      <c r="P401" s="544" t="s">
        <v>1674</v>
      </c>
      <c r="Q401" s="544" t="s">
        <v>2693</v>
      </c>
      <c r="R401" s="544" t="s">
        <v>1674</v>
      </c>
      <c r="S401" s="544" t="s">
        <v>1674</v>
      </c>
      <c r="T401" s="550"/>
      <c r="U401" s="544" t="s">
        <v>2694</v>
      </c>
      <c r="V401" s="547">
        <v>1844</v>
      </c>
      <c r="W401" s="548"/>
      <c r="Y401" s="544" t="s">
        <v>1674</v>
      </c>
      <c r="AA401" s="544" t="s">
        <v>1674</v>
      </c>
      <c r="AE401" s="551"/>
      <c r="AF401" s="544" t="s">
        <v>1674</v>
      </c>
      <c r="AG401" s="544" t="s">
        <v>1674</v>
      </c>
      <c r="AH401" s="544" t="s">
        <v>1674</v>
      </c>
      <c r="AI401" s="544" t="s">
        <v>1674</v>
      </c>
      <c r="AJ401" s="544" t="s">
        <v>1674</v>
      </c>
      <c r="AK401" s="544" t="s">
        <v>1674</v>
      </c>
      <c r="AL401" s="544" t="s">
        <v>1674</v>
      </c>
      <c r="AM401" s="544" t="s">
        <v>1674</v>
      </c>
      <c r="AN401" s="544" t="s">
        <v>1674</v>
      </c>
      <c r="AP401" s="552">
        <f t="shared" si="6"/>
        <v>0</v>
      </c>
    </row>
    <row r="402" spans="1:42" outlineLevel="1" x14ac:dyDescent="0.25">
      <c r="A402" s="544" t="s">
        <v>1674</v>
      </c>
      <c r="B402" s="545">
        <v>0</v>
      </c>
      <c r="C402" s="544" t="s">
        <v>1674</v>
      </c>
      <c r="D402" s="544" t="s">
        <v>2777</v>
      </c>
      <c r="E402" s="542" t="s">
        <v>2692</v>
      </c>
      <c r="G402" s="546"/>
      <c r="H402" s="546">
        <v>9.52</v>
      </c>
      <c r="I402" s="546"/>
      <c r="J402" s="542" t="s">
        <v>806</v>
      </c>
      <c r="K402" s="547">
        <v>8736</v>
      </c>
      <c r="L402" s="542" t="s">
        <v>806</v>
      </c>
      <c r="M402" s="548"/>
      <c r="N402" s="549">
        <v>0</v>
      </c>
      <c r="O402" s="544" t="s">
        <v>1674</v>
      </c>
      <c r="P402" s="544" t="s">
        <v>1674</v>
      </c>
      <c r="Q402" s="544" t="s">
        <v>2693</v>
      </c>
      <c r="R402" s="544" t="s">
        <v>1674</v>
      </c>
      <c r="S402" s="544" t="s">
        <v>1674</v>
      </c>
      <c r="T402" s="550">
        <v>19</v>
      </c>
      <c r="U402" s="544" t="s">
        <v>2694</v>
      </c>
      <c r="V402" s="547">
        <v>1845</v>
      </c>
      <c r="W402" s="548"/>
      <c r="Y402" s="544" t="s">
        <v>1674</v>
      </c>
      <c r="AA402" s="544" t="s">
        <v>1674</v>
      </c>
      <c r="AE402" s="551"/>
      <c r="AF402" s="544" t="s">
        <v>1674</v>
      </c>
      <c r="AG402" s="544" t="s">
        <v>1674</v>
      </c>
      <c r="AH402" s="544" t="s">
        <v>1674</v>
      </c>
      <c r="AI402" s="544" t="s">
        <v>1674</v>
      </c>
      <c r="AJ402" s="544" t="s">
        <v>1674</v>
      </c>
      <c r="AK402" s="544" t="s">
        <v>1674</v>
      </c>
      <c r="AL402" s="544" t="s">
        <v>1674</v>
      </c>
      <c r="AM402" s="544" t="s">
        <v>1674</v>
      </c>
      <c r="AN402" s="544" t="s">
        <v>1674</v>
      </c>
      <c r="AP402" s="552">
        <f t="shared" si="6"/>
        <v>0</v>
      </c>
    </row>
    <row r="403" spans="1:42" outlineLevel="1" x14ac:dyDescent="0.25">
      <c r="A403" s="544" t="s">
        <v>1674</v>
      </c>
      <c r="B403" s="545">
        <v>0</v>
      </c>
      <c r="C403" s="544" t="s">
        <v>1674</v>
      </c>
      <c r="D403" s="544" t="s">
        <v>2777</v>
      </c>
      <c r="E403" s="542" t="s">
        <v>2695</v>
      </c>
      <c r="G403" s="546"/>
      <c r="H403" s="546">
        <v>942.48</v>
      </c>
      <c r="I403" s="546"/>
      <c r="J403" s="542" t="s">
        <v>806</v>
      </c>
      <c r="K403" s="547">
        <v>1200</v>
      </c>
      <c r="L403" s="542" t="s">
        <v>806</v>
      </c>
      <c r="M403" s="548"/>
      <c r="N403" s="549">
        <v>0</v>
      </c>
      <c r="O403" s="544" t="s">
        <v>1674</v>
      </c>
      <c r="P403" s="544" t="s">
        <v>1674</v>
      </c>
      <c r="Q403" s="544" t="s">
        <v>2696</v>
      </c>
      <c r="R403" s="544" t="s">
        <v>1674</v>
      </c>
      <c r="S403" s="544" t="s">
        <v>1674</v>
      </c>
      <c r="T403" s="550"/>
      <c r="U403" s="544" t="s">
        <v>2697</v>
      </c>
      <c r="V403" s="547">
        <v>1666</v>
      </c>
      <c r="W403" s="548"/>
      <c r="Y403" s="544" t="s">
        <v>1674</v>
      </c>
      <c r="AA403" s="544" t="s">
        <v>1674</v>
      </c>
      <c r="AE403" s="551"/>
      <c r="AF403" s="544" t="s">
        <v>1674</v>
      </c>
      <c r="AG403" s="544" t="s">
        <v>1674</v>
      </c>
      <c r="AH403" s="544" t="s">
        <v>1674</v>
      </c>
      <c r="AI403" s="544" t="s">
        <v>1674</v>
      </c>
      <c r="AJ403" s="544" t="s">
        <v>1674</v>
      </c>
      <c r="AK403" s="544" t="s">
        <v>1674</v>
      </c>
      <c r="AL403" s="544" t="s">
        <v>1674</v>
      </c>
      <c r="AM403" s="544" t="s">
        <v>1674</v>
      </c>
      <c r="AN403" s="544" t="s">
        <v>1674</v>
      </c>
      <c r="AP403" s="552">
        <f t="shared" si="6"/>
        <v>0</v>
      </c>
    </row>
    <row r="404" spans="1:42" outlineLevel="1" x14ac:dyDescent="0.25">
      <c r="A404" s="544" t="s">
        <v>1674</v>
      </c>
      <c r="B404" s="545">
        <v>0</v>
      </c>
      <c r="C404" s="544" t="s">
        <v>1674</v>
      </c>
      <c r="D404" s="544" t="s">
        <v>2777</v>
      </c>
      <c r="E404" s="542" t="s">
        <v>2695</v>
      </c>
      <c r="G404" s="546"/>
      <c r="H404" s="546">
        <v>9.52</v>
      </c>
      <c r="I404" s="546"/>
      <c r="J404" s="542" t="s">
        <v>806</v>
      </c>
      <c r="K404" s="547">
        <v>8736</v>
      </c>
      <c r="L404" s="542" t="s">
        <v>806</v>
      </c>
      <c r="M404" s="548"/>
      <c r="N404" s="549">
        <v>0</v>
      </c>
      <c r="O404" s="544" t="s">
        <v>1674</v>
      </c>
      <c r="P404" s="544" t="s">
        <v>1674</v>
      </c>
      <c r="Q404" s="544" t="s">
        <v>2696</v>
      </c>
      <c r="R404" s="544" t="s">
        <v>1674</v>
      </c>
      <c r="S404" s="544" t="s">
        <v>1674</v>
      </c>
      <c r="T404" s="550">
        <v>19</v>
      </c>
      <c r="U404" s="544" t="s">
        <v>2697</v>
      </c>
      <c r="V404" s="547">
        <v>1667</v>
      </c>
      <c r="W404" s="548"/>
      <c r="Y404" s="544" t="s">
        <v>1674</v>
      </c>
      <c r="AA404" s="544" t="s">
        <v>1674</v>
      </c>
      <c r="AE404" s="551"/>
      <c r="AF404" s="544" t="s">
        <v>1674</v>
      </c>
      <c r="AG404" s="544" t="s">
        <v>1674</v>
      </c>
      <c r="AH404" s="544" t="s">
        <v>1674</v>
      </c>
      <c r="AI404" s="544" t="s">
        <v>1674</v>
      </c>
      <c r="AJ404" s="544" t="s">
        <v>1674</v>
      </c>
      <c r="AK404" s="544" t="s">
        <v>1674</v>
      </c>
      <c r="AL404" s="544" t="s">
        <v>1674</v>
      </c>
      <c r="AM404" s="544" t="s">
        <v>1674</v>
      </c>
      <c r="AN404" s="544" t="s">
        <v>1674</v>
      </c>
      <c r="AP404" s="552">
        <f t="shared" si="6"/>
        <v>0</v>
      </c>
    </row>
    <row r="405" spans="1:42" outlineLevel="1" x14ac:dyDescent="0.25">
      <c r="A405" s="544" t="s">
        <v>1674</v>
      </c>
      <c r="B405" s="545">
        <v>0</v>
      </c>
      <c r="C405" s="544" t="s">
        <v>1674</v>
      </c>
      <c r="D405" s="544" t="s">
        <v>2777</v>
      </c>
      <c r="E405" s="542" t="s">
        <v>2698</v>
      </c>
      <c r="G405" s="546"/>
      <c r="H405" s="546">
        <v>942.48</v>
      </c>
      <c r="I405" s="546"/>
      <c r="J405" s="542" t="s">
        <v>806</v>
      </c>
      <c r="K405" s="547">
        <v>1200</v>
      </c>
      <c r="L405" s="542" t="s">
        <v>806</v>
      </c>
      <c r="M405" s="548"/>
      <c r="N405" s="549">
        <v>0</v>
      </c>
      <c r="O405" s="544" t="s">
        <v>1674</v>
      </c>
      <c r="P405" s="544" t="s">
        <v>1674</v>
      </c>
      <c r="Q405" s="544" t="s">
        <v>2699</v>
      </c>
      <c r="R405" s="544" t="s">
        <v>1674</v>
      </c>
      <c r="S405" s="544" t="s">
        <v>1674</v>
      </c>
      <c r="T405" s="550"/>
      <c r="U405" s="544" t="s">
        <v>2700</v>
      </c>
      <c r="V405" s="547">
        <v>1608</v>
      </c>
      <c r="W405" s="548"/>
      <c r="Y405" s="544" t="s">
        <v>1674</v>
      </c>
      <c r="AA405" s="544" t="s">
        <v>1674</v>
      </c>
      <c r="AE405" s="551"/>
      <c r="AF405" s="544" t="s">
        <v>1674</v>
      </c>
      <c r="AG405" s="544" t="s">
        <v>1674</v>
      </c>
      <c r="AH405" s="544" t="s">
        <v>1674</v>
      </c>
      <c r="AI405" s="544" t="s">
        <v>1674</v>
      </c>
      <c r="AJ405" s="544" t="s">
        <v>1674</v>
      </c>
      <c r="AK405" s="544" t="s">
        <v>1674</v>
      </c>
      <c r="AL405" s="544" t="s">
        <v>1674</v>
      </c>
      <c r="AM405" s="544" t="s">
        <v>1674</v>
      </c>
      <c r="AN405" s="544" t="s">
        <v>1674</v>
      </c>
      <c r="AP405" s="552">
        <f t="shared" si="6"/>
        <v>0</v>
      </c>
    </row>
    <row r="406" spans="1:42" outlineLevel="1" x14ac:dyDescent="0.25">
      <c r="A406" s="544" t="s">
        <v>1674</v>
      </c>
      <c r="B406" s="545">
        <v>10237</v>
      </c>
      <c r="C406" s="544" t="s">
        <v>2750</v>
      </c>
      <c r="D406" s="544" t="s">
        <v>2780</v>
      </c>
      <c r="E406" s="542" t="s">
        <v>2772</v>
      </c>
      <c r="F406" s="542" t="s">
        <v>2781</v>
      </c>
      <c r="G406" s="546">
        <v>1786.43</v>
      </c>
      <c r="H406" s="546"/>
      <c r="I406" s="546"/>
      <c r="J406" s="542" t="s">
        <v>806</v>
      </c>
      <c r="K406" s="547">
        <v>8400</v>
      </c>
      <c r="L406" s="542" t="s">
        <v>806</v>
      </c>
      <c r="M406" s="548"/>
      <c r="N406" s="549">
        <v>-94</v>
      </c>
      <c r="O406" s="544" t="s">
        <v>1674</v>
      </c>
      <c r="P406" s="544" t="s">
        <v>1674</v>
      </c>
      <c r="Q406" s="544" t="s">
        <v>2754</v>
      </c>
      <c r="R406" s="544" t="s">
        <v>1674</v>
      </c>
      <c r="S406" s="544" t="s">
        <v>1674</v>
      </c>
      <c r="T406" s="550">
        <v>19</v>
      </c>
      <c r="U406" s="544" t="s">
        <v>2688</v>
      </c>
      <c r="V406" s="547">
        <v>1444</v>
      </c>
      <c r="W406" s="548"/>
      <c r="Y406" s="544" t="s">
        <v>1674</v>
      </c>
      <c r="AA406" s="544" t="s">
        <v>1674</v>
      </c>
      <c r="AE406" s="551"/>
      <c r="AF406" s="544" t="s">
        <v>1674</v>
      </c>
      <c r="AG406" s="544" t="s">
        <v>1674</v>
      </c>
      <c r="AH406" s="544" t="s">
        <v>1674</v>
      </c>
      <c r="AI406" s="544" t="s">
        <v>1674</v>
      </c>
      <c r="AJ406" s="544" t="s">
        <v>1674</v>
      </c>
      <c r="AK406" s="544" t="s">
        <v>1674</v>
      </c>
      <c r="AL406" s="544" t="s">
        <v>1674</v>
      </c>
      <c r="AM406" s="544" t="s">
        <v>2755</v>
      </c>
      <c r="AN406" s="544" t="s">
        <v>1674</v>
      </c>
      <c r="AP406" s="552">
        <f t="shared" si="6"/>
        <v>0</v>
      </c>
    </row>
    <row r="407" spans="1:42" outlineLevel="1" x14ac:dyDescent="0.25">
      <c r="A407" s="544" t="s">
        <v>1674</v>
      </c>
      <c r="B407" s="545">
        <v>0</v>
      </c>
      <c r="C407" s="544" t="s">
        <v>1674</v>
      </c>
      <c r="D407" s="544" t="s">
        <v>2780</v>
      </c>
      <c r="E407" s="542" t="s">
        <v>2772</v>
      </c>
      <c r="F407" s="542" t="s">
        <v>2781</v>
      </c>
      <c r="G407" s="546">
        <v>94.25</v>
      </c>
      <c r="H407" s="546"/>
      <c r="I407" s="546"/>
      <c r="J407" s="542" t="s">
        <v>806</v>
      </c>
      <c r="K407" s="547">
        <v>8400</v>
      </c>
      <c r="L407" s="542" t="s">
        <v>806</v>
      </c>
      <c r="M407" s="548"/>
      <c r="N407" s="549">
        <v>-94</v>
      </c>
      <c r="O407" s="544" t="s">
        <v>1674</v>
      </c>
      <c r="P407" s="544" t="s">
        <v>1674</v>
      </c>
      <c r="Q407" s="544" t="s">
        <v>2754</v>
      </c>
      <c r="R407" s="544" t="s">
        <v>2617</v>
      </c>
      <c r="S407" s="544" t="s">
        <v>1674</v>
      </c>
      <c r="T407" s="550">
        <v>19</v>
      </c>
      <c r="U407" s="544" t="s">
        <v>2688</v>
      </c>
      <c r="V407" s="547">
        <v>1445</v>
      </c>
      <c r="W407" s="548"/>
      <c r="Y407" s="544" t="s">
        <v>1674</v>
      </c>
      <c r="AA407" s="544" t="s">
        <v>1674</v>
      </c>
      <c r="AE407" s="551"/>
      <c r="AF407" s="544" t="s">
        <v>1674</v>
      </c>
      <c r="AG407" s="544" t="s">
        <v>1674</v>
      </c>
      <c r="AH407" s="544" t="s">
        <v>1674</v>
      </c>
      <c r="AI407" s="544" t="s">
        <v>1674</v>
      </c>
      <c r="AJ407" s="544" t="s">
        <v>1674</v>
      </c>
      <c r="AK407" s="544" t="s">
        <v>1674</v>
      </c>
      <c r="AL407" s="544" t="s">
        <v>1674</v>
      </c>
      <c r="AM407" s="544" t="s">
        <v>1674</v>
      </c>
      <c r="AN407" s="544" t="s">
        <v>1674</v>
      </c>
      <c r="AP407" s="552">
        <f t="shared" si="6"/>
        <v>0</v>
      </c>
    </row>
    <row r="408" spans="1:42" outlineLevel="1" x14ac:dyDescent="0.25">
      <c r="A408" s="544" t="s">
        <v>1674</v>
      </c>
      <c r="B408" s="545">
        <v>11600</v>
      </c>
      <c r="C408" s="544" t="s">
        <v>2782</v>
      </c>
      <c r="D408" s="544" t="s">
        <v>2783</v>
      </c>
      <c r="E408" s="542" t="s">
        <v>2784</v>
      </c>
      <c r="F408" s="542" t="s">
        <v>2785</v>
      </c>
      <c r="G408" s="546">
        <v>396.55</v>
      </c>
      <c r="H408" s="546"/>
      <c r="I408" s="546"/>
      <c r="J408" s="542" t="s">
        <v>806</v>
      </c>
      <c r="K408" s="547">
        <v>8400</v>
      </c>
      <c r="L408" s="542" t="s">
        <v>806</v>
      </c>
      <c r="M408" s="548"/>
      <c r="N408" s="549">
        <v>-87</v>
      </c>
      <c r="O408" s="544" t="s">
        <v>1674</v>
      </c>
      <c r="P408" s="544" t="s">
        <v>1674</v>
      </c>
      <c r="Q408" s="544" t="s">
        <v>2786</v>
      </c>
      <c r="R408" s="544" t="s">
        <v>1674</v>
      </c>
      <c r="S408" s="544" t="s">
        <v>1674</v>
      </c>
      <c r="T408" s="550">
        <v>19</v>
      </c>
      <c r="U408" s="544" t="s">
        <v>2691</v>
      </c>
      <c r="V408" s="547">
        <v>52</v>
      </c>
      <c r="W408" s="548"/>
      <c r="Y408" s="544" t="s">
        <v>1674</v>
      </c>
      <c r="AA408" s="544" t="s">
        <v>1674</v>
      </c>
      <c r="AE408" s="551"/>
      <c r="AF408" s="544" t="s">
        <v>1674</v>
      </c>
      <c r="AG408" s="544" t="s">
        <v>1674</v>
      </c>
      <c r="AH408" s="544" t="s">
        <v>1674</v>
      </c>
      <c r="AI408" s="544" t="s">
        <v>1674</v>
      </c>
      <c r="AJ408" s="544" t="s">
        <v>1674</v>
      </c>
      <c r="AK408" s="544" t="s">
        <v>1674</v>
      </c>
      <c r="AL408" s="544" t="s">
        <v>1674</v>
      </c>
      <c r="AM408" s="544" t="s">
        <v>2782</v>
      </c>
      <c r="AN408" s="544" t="s">
        <v>1674</v>
      </c>
      <c r="AP408" s="552">
        <f t="shared" si="6"/>
        <v>0</v>
      </c>
    </row>
    <row r="409" spans="1:42" outlineLevel="1" x14ac:dyDescent="0.25">
      <c r="A409" s="544" t="s">
        <v>1674</v>
      </c>
      <c r="B409" s="545">
        <v>0</v>
      </c>
      <c r="C409" s="544" t="s">
        <v>1674</v>
      </c>
      <c r="D409" s="544" t="s">
        <v>2783</v>
      </c>
      <c r="E409" s="542" t="s">
        <v>2784</v>
      </c>
      <c r="F409" s="542" t="s">
        <v>2785</v>
      </c>
      <c r="G409" s="546">
        <v>36.99</v>
      </c>
      <c r="H409" s="546"/>
      <c r="I409" s="546"/>
      <c r="J409" s="542" t="s">
        <v>806</v>
      </c>
      <c r="K409" s="547">
        <v>8400</v>
      </c>
      <c r="L409" s="542" t="s">
        <v>806</v>
      </c>
      <c r="M409" s="548"/>
      <c r="N409" s="549">
        <v>-87</v>
      </c>
      <c r="O409" s="544" t="s">
        <v>1674</v>
      </c>
      <c r="P409" s="544" t="s">
        <v>1674</v>
      </c>
      <c r="Q409" s="544" t="s">
        <v>2786</v>
      </c>
      <c r="R409" s="544" t="s">
        <v>2617</v>
      </c>
      <c r="S409" s="544" t="s">
        <v>1674</v>
      </c>
      <c r="T409" s="550">
        <v>19</v>
      </c>
      <c r="U409" s="544" t="s">
        <v>2691</v>
      </c>
      <c r="V409" s="547">
        <v>53</v>
      </c>
      <c r="W409" s="548"/>
      <c r="Y409" s="544" t="s">
        <v>1674</v>
      </c>
      <c r="AA409" s="544" t="s">
        <v>1674</v>
      </c>
      <c r="AE409" s="551"/>
      <c r="AF409" s="544" t="s">
        <v>1674</v>
      </c>
      <c r="AG409" s="544" t="s">
        <v>1674</v>
      </c>
      <c r="AH409" s="544" t="s">
        <v>1674</v>
      </c>
      <c r="AI409" s="544" t="s">
        <v>1674</v>
      </c>
      <c r="AJ409" s="544" t="s">
        <v>1674</v>
      </c>
      <c r="AK409" s="544" t="s">
        <v>1674</v>
      </c>
      <c r="AL409" s="544" t="s">
        <v>1674</v>
      </c>
      <c r="AM409" s="544" t="s">
        <v>1674</v>
      </c>
      <c r="AN409" s="544" t="s">
        <v>1674</v>
      </c>
      <c r="AP409" s="552">
        <f t="shared" si="6"/>
        <v>0</v>
      </c>
    </row>
    <row r="410" spans="1:42" outlineLevel="1" x14ac:dyDescent="0.25">
      <c r="A410" s="544" t="s">
        <v>1674</v>
      </c>
      <c r="B410" s="545">
        <v>20206</v>
      </c>
      <c r="C410" s="544" t="s">
        <v>2793</v>
      </c>
      <c r="D410" s="544" t="s">
        <v>2794</v>
      </c>
      <c r="E410" s="542" t="s">
        <v>2795</v>
      </c>
      <c r="G410" s="546">
        <v>-1340</v>
      </c>
      <c r="H410" s="546"/>
      <c r="I410" s="546"/>
      <c r="J410" s="542" t="s">
        <v>806</v>
      </c>
      <c r="K410" s="547">
        <v>8336</v>
      </c>
      <c r="L410" s="542" t="s">
        <v>806</v>
      </c>
      <c r="M410" s="548"/>
      <c r="N410" s="549">
        <v>0</v>
      </c>
      <c r="O410" s="544" t="s">
        <v>1674</v>
      </c>
      <c r="P410" s="544" t="s">
        <v>1674</v>
      </c>
      <c r="Q410" s="544" t="s">
        <v>2796</v>
      </c>
      <c r="R410" s="544" t="s">
        <v>1674</v>
      </c>
      <c r="S410" s="544" t="s">
        <v>1674</v>
      </c>
      <c r="T410" s="550"/>
      <c r="U410" s="544" t="s">
        <v>2797</v>
      </c>
      <c r="V410" s="547">
        <v>49</v>
      </c>
      <c r="W410" s="548"/>
      <c r="Y410" s="544" t="s">
        <v>1674</v>
      </c>
      <c r="AA410" s="544" t="s">
        <v>1674</v>
      </c>
      <c r="AE410" s="551"/>
      <c r="AF410" s="544" t="s">
        <v>1674</v>
      </c>
      <c r="AG410" s="544" t="s">
        <v>1674</v>
      </c>
      <c r="AH410" s="544" t="s">
        <v>1674</v>
      </c>
      <c r="AI410" s="544" t="s">
        <v>1674</v>
      </c>
      <c r="AJ410" s="544" t="s">
        <v>1674</v>
      </c>
      <c r="AK410" s="544" t="s">
        <v>1674</v>
      </c>
      <c r="AL410" s="544" t="s">
        <v>1674</v>
      </c>
      <c r="AM410" s="544" t="s">
        <v>2798</v>
      </c>
      <c r="AN410" s="544" t="s">
        <v>1674</v>
      </c>
      <c r="AP410" s="552">
        <f t="shared" si="6"/>
        <v>0</v>
      </c>
    </row>
    <row r="411" spans="1:42" outlineLevel="1" x14ac:dyDescent="0.25">
      <c r="A411" s="544" t="s">
        <v>1674</v>
      </c>
      <c r="B411" s="545">
        <v>0</v>
      </c>
      <c r="C411" s="544" t="s">
        <v>1674</v>
      </c>
      <c r="D411" s="544" t="s">
        <v>2794</v>
      </c>
      <c r="E411" s="542" t="s">
        <v>2799</v>
      </c>
      <c r="G411" s="546">
        <v>-610</v>
      </c>
      <c r="H411" s="546"/>
      <c r="I411" s="546"/>
      <c r="J411" s="542" t="s">
        <v>806</v>
      </c>
      <c r="K411" s="547">
        <v>8125</v>
      </c>
      <c r="L411" s="542" t="s">
        <v>806</v>
      </c>
      <c r="M411" s="548"/>
      <c r="N411" s="549">
        <v>0</v>
      </c>
      <c r="O411" s="544" t="s">
        <v>1674</v>
      </c>
      <c r="P411" s="544" t="s">
        <v>1674</v>
      </c>
      <c r="Q411" s="544" t="s">
        <v>2796</v>
      </c>
      <c r="R411" s="544" t="s">
        <v>1674</v>
      </c>
      <c r="S411" s="544" t="s">
        <v>1674</v>
      </c>
      <c r="T411" s="550"/>
      <c r="U411" s="544" t="s">
        <v>2797</v>
      </c>
      <c r="V411" s="547">
        <v>47</v>
      </c>
      <c r="W411" s="548"/>
      <c r="Y411" s="544" t="s">
        <v>1674</v>
      </c>
      <c r="AA411" s="544" t="s">
        <v>1674</v>
      </c>
      <c r="AE411" s="551"/>
      <c r="AF411" s="544" t="s">
        <v>1674</v>
      </c>
      <c r="AG411" s="544" t="s">
        <v>1674</v>
      </c>
      <c r="AH411" s="544" t="s">
        <v>1674</v>
      </c>
      <c r="AI411" s="544" t="s">
        <v>1674</v>
      </c>
      <c r="AJ411" s="544" t="s">
        <v>1674</v>
      </c>
      <c r="AK411" s="544" t="s">
        <v>1674</v>
      </c>
      <c r="AL411" s="544" t="s">
        <v>1674</v>
      </c>
      <c r="AM411" s="544" t="s">
        <v>1674</v>
      </c>
      <c r="AN411" s="544" t="s">
        <v>1674</v>
      </c>
      <c r="AP411" s="552">
        <f t="shared" si="6"/>
        <v>0</v>
      </c>
    </row>
    <row r="412" spans="1:42" outlineLevel="1" x14ac:dyDescent="0.25">
      <c r="A412" s="544" t="s">
        <v>1674</v>
      </c>
      <c r="B412" s="545">
        <v>10200</v>
      </c>
      <c r="C412" s="544" t="s">
        <v>2774</v>
      </c>
      <c r="D412" s="544" t="s">
        <v>2802</v>
      </c>
      <c r="E412" s="542" t="s">
        <v>2803</v>
      </c>
      <c r="G412" s="546"/>
      <c r="H412" s="546">
        <v>110.24</v>
      </c>
      <c r="I412" s="546"/>
      <c r="J412" s="542" t="s">
        <v>806</v>
      </c>
      <c r="K412" s="547">
        <v>8400</v>
      </c>
      <c r="L412" s="542" t="s">
        <v>806</v>
      </c>
      <c r="M412" s="548"/>
      <c r="N412" s="549">
        <v>0</v>
      </c>
      <c r="O412" s="544" t="s">
        <v>1674</v>
      </c>
      <c r="P412" s="544" t="s">
        <v>1674</v>
      </c>
      <c r="Q412" s="544" t="s">
        <v>2776</v>
      </c>
      <c r="R412" s="544" t="s">
        <v>1674</v>
      </c>
      <c r="S412" s="544" t="s">
        <v>1674</v>
      </c>
      <c r="T412" s="550">
        <v>19</v>
      </c>
      <c r="U412" s="544" t="s">
        <v>2691</v>
      </c>
      <c r="V412" s="547">
        <v>350</v>
      </c>
      <c r="W412" s="548"/>
      <c r="Y412" s="544" t="s">
        <v>1674</v>
      </c>
      <c r="AA412" s="544" t="s">
        <v>1674</v>
      </c>
      <c r="AE412" s="551"/>
      <c r="AF412" s="544" t="s">
        <v>1674</v>
      </c>
      <c r="AG412" s="544" t="s">
        <v>1674</v>
      </c>
      <c r="AH412" s="544" t="s">
        <v>1674</v>
      </c>
      <c r="AI412" s="544" t="s">
        <v>1674</v>
      </c>
      <c r="AJ412" s="544" t="s">
        <v>1674</v>
      </c>
      <c r="AK412" s="544" t="s">
        <v>1674</v>
      </c>
      <c r="AL412" s="544" t="s">
        <v>1674</v>
      </c>
      <c r="AM412" s="544" t="s">
        <v>2774</v>
      </c>
      <c r="AN412" s="544" t="s">
        <v>1674</v>
      </c>
      <c r="AP412" s="552">
        <f t="shared" si="6"/>
        <v>0</v>
      </c>
    </row>
    <row r="413" spans="1:42" outlineLevel="1" x14ac:dyDescent="0.25">
      <c r="A413" s="544" t="s">
        <v>1674</v>
      </c>
      <c r="B413" s="545">
        <v>0</v>
      </c>
      <c r="C413" s="544" t="s">
        <v>1674</v>
      </c>
      <c r="D413" s="544" t="s">
        <v>2802</v>
      </c>
      <c r="E413" s="542" t="s">
        <v>2803</v>
      </c>
      <c r="G413" s="546"/>
      <c r="H413" s="546">
        <v>10.28</v>
      </c>
      <c r="I413" s="546"/>
      <c r="J413" s="542" t="s">
        <v>806</v>
      </c>
      <c r="K413" s="547">
        <v>8400</v>
      </c>
      <c r="L413" s="542" t="s">
        <v>806</v>
      </c>
      <c r="M413" s="548"/>
      <c r="N413" s="549">
        <v>0</v>
      </c>
      <c r="O413" s="544" t="s">
        <v>1674</v>
      </c>
      <c r="P413" s="544" t="s">
        <v>1674</v>
      </c>
      <c r="Q413" s="544" t="s">
        <v>2776</v>
      </c>
      <c r="R413" s="544" t="s">
        <v>2617</v>
      </c>
      <c r="S413" s="544" t="s">
        <v>1674</v>
      </c>
      <c r="T413" s="550">
        <v>19</v>
      </c>
      <c r="U413" s="544" t="s">
        <v>2691</v>
      </c>
      <c r="V413" s="547">
        <v>351</v>
      </c>
      <c r="W413" s="548"/>
      <c r="Y413" s="544" t="s">
        <v>1674</v>
      </c>
      <c r="AA413" s="544" t="s">
        <v>1674</v>
      </c>
      <c r="AE413" s="551"/>
      <c r="AF413" s="544" t="s">
        <v>1674</v>
      </c>
      <c r="AG413" s="544" t="s">
        <v>1674</v>
      </c>
      <c r="AH413" s="544" t="s">
        <v>1674</v>
      </c>
      <c r="AI413" s="544" t="s">
        <v>1674</v>
      </c>
      <c r="AJ413" s="544" t="s">
        <v>1674</v>
      </c>
      <c r="AK413" s="544" t="s">
        <v>1674</v>
      </c>
      <c r="AL413" s="544" t="s">
        <v>1674</v>
      </c>
      <c r="AM413" s="544" t="s">
        <v>1674</v>
      </c>
      <c r="AN413" s="544" t="s">
        <v>1674</v>
      </c>
      <c r="AP413" s="552">
        <f t="shared" si="6"/>
        <v>0</v>
      </c>
    </row>
    <row r="414" spans="1:42" outlineLevel="1" x14ac:dyDescent="0.25">
      <c r="A414" s="544" t="s">
        <v>1674</v>
      </c>
      <c r="B414" s="545">
        <v>11600</v>
      </c>
      <c r="C414" s="544" t="s">
        <v>2782</v>
      </c>
      <c r="D414" s="544" t="s">
        <v>2811</v>
      </c>
      <c r="E414" s="542" t="s">
        <v>2812</v>
      </c>
      <c r="F414" s="542" t="s">
        <v>2813</v>
      </c>
      <c r="G414" s="546">
        <v>7</v>
      </c>
      <c r="H414" s="546"/>
      <c r="I414" s="546"/>
      <c r="J414" s="542" t="s">
        <v>806</v>
      </c>
      <c r="K414" s="547">
        <v>8400</v>
      </c>
      <c r="L414" s="542" t="s">
        <v>806</v>
      </c>
      <c r="M414" s="548"/>
      <c r="N414" s="549">
        <v>-58</v>
      </c>
      <c r="O414" s="544" t="s">
        <v>1674</v>
      </c>
      <c r="P414" s="544" t="s">
        <v>1674</v>
      </c>
      <c r="Q414" s="544" t="s">
        <v>2786</v>
      </c>
      <c r="R414" s="544" t="s">
        <v>1674</v>
      </c>
      <c r="S414" s="544" t="s">
        <v>1674</v>
      </c>
      <c r="T414" s="550">
        <v>19</v>
      </c>
      <c r="U414" s="544" t="s">
        <v>2694</v>
      </c>
      <c r="V414" s="547">
        <v>78</v>
      </c>
      <c r="W414" s="548"/>
      <c r="Y414" s="544" t="s">
        <v>1674</v>
      </c>
      <c r="AA414" s="544" t="s">
        <v>1674</v>
      </c>
      <c r="AE414" s="551"/>
      <c r="AF414" s="544" t="s">
        <v>1674</v>
      </c>
      <c r="AG414" s="544" t="s">
        <v>1674</v>
      </c>
      <c r="AH414" s="544" t="s">
        <v>1674</v>
      </c>
      <c r="AI414" s="544" t="s">
        <v>1674</v>
      </c>
      <c r="AJ414" s="544" t="s">
        <v>1674</v>
      </c>
      <c r="AK414" s="544" t="s">
        <v>1674</v>
      </c>
      <c r="AL414" s="544" t="s">
        <v>1674</v>
      </c>
      <c r="AM414" s="544" t="s">
        <v>2782</v>
      </c>
      <c r="AN414" s="544" t="s">
        <v>1674</v>
      </c>
      <c r="AP414" s="552">
        <f t="shared" si="6"/>
        <v>0</v>
      </c>
    </row>
    <row r="415" spans="1:42" outlineLevel="1" x14ac:dyDescent="0.25">
      <c r="A415" s="544" t="s">
        <v>1674</v>
      </c>
      <c r="B415" s="545">
        <v>11813</v>
      </c>
      <c r="C415" s="544" t="s">
        <v>2814</v>
      </c>
      <c r="D415" s="544" t="s">
        <v>2815</v>
      </c>
      <c r="E415" s="542" t="s">
        <v>2816</v>
      </c>
      <c r="F415" s="542" t="s">
        <v>2817</v>
      </c>
      <c r="G415" s="546">
        <v>761.6</v>
      </c>
      <c r="H415" s="546"/>
      <c r="I415" s="546"/>
      <c r="J415" s="542" t="s">
        <v>806</v>
      </c>
      <c r="K415" s="547">
        <v>8400</v>
      </c>
      <c r="L415" s="542" t="s">
        <v>806</v>
      </c>
      <c r="M415" s="548"/>
      <c r="N415" s="549">
        <v>-54</v>
      </c>
      <c r="O415" s="544" t="s">
        <v>1674</v>
      </c>
      <c r="P415" s="544" t="s">
        <v>1674</v>
      </c>
      <c r="Q415" s="544" t="s">
        <v>2818</v>
      </c>
      <c r="R415" s="544" t="s">
        <v>2622</v>
      </c>
      <c r="S415" s="544" t="s">
        <v>1674</v>
      </c>
      <c r="T415" s="550">
        <v>19</v>
      </c>
      <c r="U415" s="544" t="s">
        <v>2694</v>
      </c>
      <c r="V415" s="547">
        <v>106</v>
      </c>
      <c r="W415" s="548"/>
      <c r="Y415" s="544" t="s">
        <v>1674</v>
      </c>
      <c r="AA415" s="544" t="s">
        <v>1674</v>
      </c>
      <c r="AE415" s="551"/>
      <c r="AF415" s="544" t="s">
        <v>1674</v>
      </c>
      <c r="AG415" s="544" t="s">
        <v>1674</v>
      </c>
      <c r="AH415" s="544" t="s">
        <v>1674</v>
      </c>
      <c r="AI415" s="544" t="s">
        <v>1674</v>
      </c>
      <c r="AJ415" s="544" t="s">
        <v>1674</v>
      </c>
      <c r="AK415" s="544" t="s">
        <v>1674</v>
      </c>
      <c r="AL415" s="544" t="s">
        <v>1674</v>
      </c>
      <c r="AM415" s="544" t="s">
        <v>2819</v>
      </c>
      <c r="AN415" s="544" t="s">
        <v>1674</v>
      </c>
      <c r="AP415" s="552">
        <f t="shared" si="6"/>
        <v>0</v>
      </c>
    </row>
    <row r="416" spans="1:42" outlineLevel="1" x14ac:dyDescent="0.25">
      <c r="A416" s="544" t="s">
        <v>1674</v>
      </c>
      <c r="B416" s="545">
        <v>11811</v>
      </c>
      <c r="C416" s="544" t="s">
        <v>2820</v>
      </c>
      <c r="D416" s="544" t="s">
        <v>2821</v>
      </c>
      <c r="E416" s="542" t="s">
        <v>2822</v>
      </c>
      <c r="F416" s="542" t="s">
        <v>2823</v>
      </c>
      <c r="G416" s="546">
        <v>111.15</v>
      </c>
      <c r="H416" s="546"/>
      <c r="I416" s="546"/>
      <c r="J416" s="542" t="s">
        <v>806</v>
      </c>
      <c r="K416" s="547">
        <v>8400</v>
      </c>
      <c r="L416" s="542" t="s">
        <v>806</v>
      </c>
      <c r="M416" s="548"/>
      <c r="N416" s="549">
        <v>-51</v>
      </c>
      <c r="O416" s="544" t="s">
        <v>1674</v>
      </c>
      <c r="P416" s="544" t="s">
        <v>1674</v>
      </c>
      <c r="Q416" s="544" t="s">
        <v>2824</v>
      </c>
      <c r="R416" s="544" t="s">
        <v>2622</v>
      </c>
      <c r="S416" s="544" t="s">
        <v>1674</v>
      </c>
      <c r="T416" s="550">
        <v>19</v>
      </c>
      <c r="U416" s="544" t="s">
        <v>2694</v>
      </c>
      <c r="V416" s="547">
        <v>179</v>
      </c>
      <c r="W416" s="548"/>
      <c r="Y416" s="544" t="s">
        <v>1674</v>
      </c>
      <c r="AA416" s="544" t="s">
        <v>1674</v>
      </c>
      <c r="AE416" s="551"/>
      <c r="AF416" s="544" t="s">
        <v>1674</v>
      </c>
      <c r="AG416" s="544" t="s">
        <v>1674</v>
      </c>
      <c r="AH416" s="544" t="s">
        <v>1674</v>
      </c>
      <c r="AI416" s="544" t="s">
        <v>1674</v>
      </c>
      <c r="AJ416" s="544" t="s">
        <v>1674</v>
      </c>
      <c r="AK416" s="544" t="s">
        <v>1674</v>
      </c>
      <c r="AL416" s="544" t="s">
        <v>1674</v>
      </c>
      <c r="AM416" s="544" t="s">
        <v>2825</v>
      </c>
      <c r="AN416" s="544" t="s">
        <v>1674</v>
      </c>
      <c r="AP416" s="552">
        <f t="shared" si="6"/>
        <v>0</v>
      </c>
    </row>
    <row r="417" spans="1:42" outlineLevel="1" x14ac:dyDescent="0.25">
      <c r="A417" s="544" t="s">
        <v>1674</v>
      </c>
      <c r="B417" s="545">
        <v>31501</v>
      </c>
      <c r="C417" s="544" t="s">
        <v>2826</v>
      </c>
      <c r="D417" s="544" t="s">
        <v>2827</v>
      </c>
      <c r="E417" s="542" t="s">
        <v>2828</v>
      </c>
      <c r="F417" s="542" t="s">
        <v>2829</v>
      </c>
      <c r="G417" s="546">
        <v>500</v>
      </c>
      <c r="H417" s="546"/>
      <c r="I417" s="546"/>
      <c r="J417" s="542" t="s">
        <v>806</v>
      </c>
      <c r="K417" s="547">
        <v>8338</v>
      </c>
      <c r="L417" s="542" t="s">
        <v>806</v>
      </c>
      <c r="M417" s="548"/>
      <c r="N417" s="549">
        <v>-45</v>
      </c>
      <c r="O417" s="544" t="s">
        <v>1674</v>
      </c>
      <c r="P417" s="544" t="s">
        <v>1674</v>
      </c>
      <c r="Q417" s="544" t="s">
        <v>2830</v>
      </c>
      <c r="R417" s="544" t="s">
        <v>1674</v>
      </c>
      <c r="S417" s="544" t="s">
        <v>1674</v>
      </c>
      <c r="T417" s="550"/>
      <c r="U417" s="544" t="s">
        <v>2694</v>
      </c>
      <c r="V417" s="547">
        <v>304</v>
      </c>
      <c r="W417" s="548"/>
      <c r="Y417" s="544" t="s">
        <v>1674</v>
      </c>
      <c r="AA417" s="544" t="s">
        <v>1674</v>
      </c>
      <c r="AE417" s="551"/>
      <c r="AF417" s="544" t="s">
        <v>1674</v>
      </c>
      <c r="AG417" s="544" t="s">
        <v>1674</v>
      </c>
      <c r="AH417" s="544" t="s">
        <v>1674</v>
      </c>
      <c r="AI417" s="544" t="s">
        <v>1674</v>
      </c>
      <c r="AJ417" s="544" t="s">
        <v>1674</v>
      </c>
      <c r="AK417" s="544" t="s">
        <v>1674</v>
      </c>
      <c r="AL417" s="544" t="s">
        <v>1674</v>
      </c>
      <c r="AM417" s="544" t="s">
        <v>2831</v>
      </c>
      <c r="AN417" s="544" t="s">
        <v>1674</v>
      </c>
      <c r="AP417" s="552">
        <f t="shared" si="6"/>
        <v>0</v>
      </c>
    </row>
    <row r="418" spans="1:42" outlineLevel="1" x14ac:dyDescent="0.25">
      <c r="A418" s="544" t="s">
        <v>1674</v>
      </c>
      <c r="B418" s="545">
        <v>10700</v>
      </c>
      <c r="C418" s="544" t="s">
        <v>2836</v>
      </c>
      <c r="D418" s="544" t="s">
        <v>2837</v>
      </c>
      <c r="E418" s="542" t="s">
        <v>2835</v>
      </c>
      <c r="F418" s="542" t="s">
        <v>2838</v>
      </c>
      <c r="G418" s="546">
        <v>199.92</v>
      </c>
      <c r="H418" s="546"/>
      <c r="I418" s="546"/>
      <c r="J418" s="542" t="s">
        <v>806</v>
      </c>
      <c r="K418" s="547">
        <v>8400</v>
      </c>
      <c r="L418" s="542" t="s">
        <v>806</v>
      </c>
      <c r="M418" s="548"/>
      <c r="N418" s="549">
        <v>-41</v>
      </c>
      <c r="O418" s="544" t="s">
        <v>1674</v>
      </c>
      <c r="P418" s="544" t="s">
        <v>1674</v>
      </c>
      <c r="Q418" s="544" t="s">
        <v>2839</v>
      </c>
      <c r="R418" s="544" t="s">
        <v>2622</v>
      </c>
      <c r="S418" s="544" t="s">
        <v>1674</v>
      </c>
      <c r="T418" s="550">
        <v>19</v>
      </c>
      <c r="U418" s="544" t="s">
        <v>2694</v>
      </c>
      <c r="V418" s="547">
        <v>321</v>
      </c>
      <c r="W418" s="548"/>
      <c r="Y418" s="544" t="s">
        <v>1674</v>
      </c>
      <c r="AA418" s="544" t="s">
        <v>1674</v>
      </c>
      <c r="AE418" s="551"/>
      <c r="AF418" s="544" t="s">
        <v>1674</v>
      </c>
      <c r="AG418" s="544" t="s">
        <v>1674</v>
      </c>
      <c r="AH418" s="544" t="s">
        <v>1674</v>
      </c>
      <c r="AI418" s="544" t="s">
        <v>1674</v>
      </c>
      <c r="AJ418" s="544" t="s">
        <v>1674</v>
      </c>
      <c r="AK418" s="544" t="s">
        <v>1674</v>
      </c>
      <c r="AL418" s="544" t="s">
        <v>1674</v>
      </c>
      <c r="AM418" s="544" t="s">
        <v>2836</v>
      </c>
      <c r="AN418" s="544" t="s">
        <v>1674</v>
      </c>
      <c r="AP418" s="552">
        <f t="shared" si="6"/>
        <v>0</v>
      </c>
    </row>
    <row r="419" spans="1:42" outlineLevel="1" x14ac:dyDescent="0.25">
      <c r="A419" s="544" t="s">
        <v>1674</v>
      </c>
      <c r="B419" s="545">
        <v>11600</v>
      </c>
      <c r="C419" s="544" t="s">
        <v>2782</v>
      </c>
      <c r="D419" s="544" t="s">
        <v>2847</v>
      </c>
      <c r="E419" s="542" t="s">
        <v>2848</v>
      </c>
      <c r="F419" s="542" t="s">
        <v>2695</v>
      </c>
      <c r="G419" s="546">
        <v>396.55</v>
      </c>
      <c r="H419" s="546"/>
      <c r="I419" s="546"/>
      <c r="J419" s="542" t="s">
        <v>806</v>
      </c>
      <c r="K419" s="547">
        <v>8400</v>
      </c>
      <c r="L419" s="542" t="s">
        <v>806</v>
      </c>
      <c r="M419" s="548"/>
      <c r="N419" s="549">
        <v>-33</v>
      </c>
      <c r="O419" s="544" t="s">
        <v>1674</v>
      </c>
      <c r="P419" s="544" t="s">
        <v>1674</v>
      </c>
      <c r="Q419" s="544" t="s">
        <v>2786</v>
      </c>
      <c r="R419" s="544" t="s">
        <v>1674</v>
      </c>
      <c r="S419" s="544" t="s">
        <v>1674</v>
      </c>
      <c r="T419" s="550">
        <v>19</v>
      </c>
      <c r="U419" s="544" t="s">
        <v>2694</v>
      </c>
      <c r="V419" s="547">
        <v>444</v>
      </c>
      <c r="W419" s="548"/>
      <c r="Y419" s="544" t="s">
        <v>1674</v>
      </c>
      <c r="AA419" s="544" t="s">
        <v>1674</v>
      </c>
      <c r="AE419" s="551"/>
      <c r="AF419" s="544" t="s">
        <v>1674</v>
      </c>
      <c r="AG419" s="544" t="s">
        <v>1674</v>
      </c>
      <c r="AH419" s="544" t="s">
        <v>1674</v>
      </c>
      <c r="AI419" s="544" t="s">
        <v>1674</v>
      </c>
      <c r="AJ419" s="544" t="s">
        <v>1674</v>
      </c>
      <c r="AK419" s="544" t="s">
        <v>1674</v>
      </c>
      <c r="AL419" s="544" t="s">
        <v>1674</v>
      </c>
      <c r="AM419" s="544" t="s">
        <v>2782</v>
      </c>
      <c r="AN419" s="544" t="s">
        <v>1674</v>
      </c>
      <c r="AP419" s="552">
        <f t="shared" si="6"/>
        <v>0</v>
      </c>
    </row>
    <row r="420" spans="1:42" outlineLevel="1" x14ac:dyDescent="0.25">
      <c r="A420" s="544" t="s">
        <v>1674</v>
      </c>
      <c r="B420" s="545">
        <v>0</v>
      </c>
      <c r="C420" s="544" t="s">
        <v>1674</v>
      </c>
      <c r="D420" s="544" t="s">
        <v>2847</v>
      </c>
      <c r="E420" s="542" t="s">
        <v>2848</v>
      </c>
      <c r="F420" s="542" t="s">
        <v>2695</v>
      </c>
      <c r="G420" s="546">
        <v>36.99</v>
      </c>
      <c r="H420" s="546"/>
      <c r="I420" s="546"/>
      <c r="J420" s="542" t="s">
        <v>806</v>
      </c>
      <c r="K420" s="547">
        <v>8400</v>
      </c>
      <c r="L420" s="542" t="s">
        <v>806</v>
      </c>
      <c r="M420" s="548"/>
      <c r="N420" s="549">
        <v>-33</v>
      </c>
      <c r="O420" s="544" t="s">
        <v>1674</v>
      </c>
      <c r="P420" s="544" t="s">
        <v>1674</v>
      </c>
      <c r="Q420" s="544" t="s">
        <v>2786</v>
      </c>
      <c r="R420" s="544" t="s">
        <v>2617</v>
      </c>
      <c r="S420" s="544" t="s">
        <v>1674</v>
      </c>
      <c r="T420" s="550">
        <v>19</v>
      </c>
      <c r="U420" s="544" t="s">
        <v>2694</v>
      </c>
      <c r="V420" s="547">
        <v>445</v>
      </c>
      <c r="W420" s="548"/>
      <c r="Y420" s="544" t="s">
        <v>1674</v>
      </c>
      <c r="AA420" s="544" t="s">
        <v>1674</v>
      </c>
      <c r="AE420" s="551"/>
      <c r="AF420" s="544" t="s">
        <v>1674</v>
      </c>
      <c r="AG420" s="544" t="s">
        <v>1674</v>
      </c>
      <c r="AH420" s="544" t="s">
        <v>1674</v>
      </c>
      <c r="AI420" s="544" t="s">
        <v>1674</v>
      </c>
      <c r="AJ420" s="544" t="s">
        <v>1674</v>
      </c>
      <c r="AK420" s="544" t="s">
        <v>1674</v>
      </c>
      <c r="AL420" s="544" t="s">
        <v>1674</v>
      </c>
      <c r="AM420" s="544" t="s">
        <v>1674</v>
      </c>
      <c r="AN420" s="544" t="s">
        <v>1674</v>
      </c>
      <c r="AP420" s="552">
        <f t="shared" si="6"/>
        <v>0</v>
      </c>
    </row>
    <row r="421" spans="1:42" outlineLevel="1" x14ac:dyDescent="0.25">
      <c r="A421" s="544" t="s">
        <v>1674</v>
      </c>
      <c r="B421" s="545">
        <v>11900</v>
      </c>
      <c r="C421" s="544" t="s">
        <v>2854</v>
      </c>
      <c r="D421" s="544" t="s">
        <v>2855</v>
      </c>
      <c r="E421" s="542" t="s">
        <v>2817</v>
      </c>
      <c r="F421" s="542" t="s">
        <v>2856</v>
      </c>
      <c r="G421" s="546">
        <v>197.54</v>
      </c>
      <c r="H421" s="546"/>
      <c r="I421" s="546"/>
      <c r="J421" s="542" t="s">
        <v>806</v>
      </c>
      <c r="K421" s="547">
        <v>8400</v>
      </c>
      <c r="L421" s="542" t="s">
        <v>806</v>
      </c>
      <c r="M421" s="548"/>
      <c r="N421" s="549">
        <v>-24</v>
      </c>
      <c r="O421" s="544" t="s">
        <v>1674</v>
      </c>
      <c r="P421" s="544" t="s">
        <v>1674</v>
      </c>
      <c r="Q421" s="544" t="s">
        <v>2857</v>
      </c>
      <c r="R421" s="544" t="s">
        <v>2622</v>
      </c>
      <c r="S421" s="544" t="s">
        <v>1674</v>
      </c>
      <c r="T421" s="550">
        <v>19</v>
      </c>
      <c r="U421" s="544" t="s">
        <v>2697</v>
      </c>
      <c r="V421" s="547">
        <v>428</v>
      </c>
      <c r="W421" s="548"/>
      <c r="Y421" s="544" t="s">
        <v>1674</v>
      </c>
      <c r="AA421" s="544" t="s">
        <v>1674</v>
      </c>
      <c r="AE421" s="551"/>
      <c r="AF421" s="544" t="s">
        <v>1674</v>
      </c>
      <c r="AG421" s="544" t="s">
        <v>1674</v>
      </c>
      <c r="AH421" s="544" t="s">
        <v>1674</v>
      </c>
      <c r="AI421" s="544" t="s">
        <v>1674</v>
      </c>
      <c r="AJ421" s="544" t="s">
        <v>1674</v>
      </c>
      <c r="AK421" s="544" t="s">
        <v>1674</v>
      </c>
      <c r="AL421" s="544" t="s">
        <v>1674</v>
      </c>
      <c r="AM421" s="544" t="s">
        <v>2854</v>
      </c>
      <c r="AN421" s="544" t="s">
        <v>1674</v>
      </c>
      <c r="AP421" s="552">
        <f t="shared" si="6"/>
        <v>0</v>
      </c>
    </row>
    <row r="422" spans="1:42" outlineLevel="1" x14ac:dyDescent="0.25">
      <c r="A422" s="544" t="s">
        <v>1674</v>
      </c>
      <c r="B422" s="545">
        <v>11813</v>
      </c>
      <c r="C422" s="544" t="s">
        <v>2814</v>
      </c>
      <c r="D422" s="544" t="s">
        <v>2876</v>
      </c>
      <c r="E422" s="542" t="s">
        <v>2866</v>
      </c>
      <c r="F422" s="542" t="s">
        <v>2867</v>
      </c>
      <c r="G422" s="546">
        <v>761.6</v>
      </c>
      <c r="H422" s="546"/>
      <c r="I422" s="546"/>
      <c r="J422" s="542" t="s">
        <v>806</v>
      </c>
      <c r="K422" s="547">
        <v>8400</v>
      </c>
      <c r="L422" s="542" t="s">
        <v>806</v>
      </c>
      <c r="M422" s="548"/>
      <c r="N422" s="549">
        <v>-23</v>
      </c>
      <c r="O422" s="544" t="s">
        <v>1674</v>
      </c>
      <c r="P422" s="544" t="s">
        <v>1674</v>
      </c>
      <c r="Q422" s="544" t="s">
        <v>2818</v>
      </c>
      <c r="R422" s="544" t="s">
        <v>2622</v>
      </c>
      <c r="S422" s="544" t="s">
        <v>1674</v>
      </c>
      <c r="T422" s="550">
        <v>19</v>
      </c>
      <c r="U422" s="544" t="s">
        <v>2697</v>
      </c>
      <c r="V422" s="547">
        <v>533</v>
      </c>
      <c r="W422" s="548"/>
      <c r="Y422" s="544" t="s">
        <v>1674</v>
      </c>
      <c r="AA422" s="544" t="s">
        <v>1674</v>
      </c>
      <c r="AE422" s="551"/>
      <c r="AF422" s="544" t="s">
        <v>1674</v>
      </c>
      <c r="AG422" s="544" t="s">
        <v>1674</v>
      </c>
      <c r="AH422" s="544" t="s">
        <v>1674</v>
      </c>
      <c r="AI422" s="544" t="s">
        <v>1674</v>
      </c>
      <c r="AJ422" s="544" t="s">
        <v>1674</v>
      </c>
      <c r="AK422" s="544" t="s">
        <v>1674</v>
      </c>
      <c r="AL422" s="544" t="s">
        <v>1674</v>
      </c>
      <c r="AM422" s="544" t="s">
        <v>2819</v>
      </c>
      <c r="AN422" s="544" t="s">
        <v>1674</v>
      </c>
      <c r="AP422" s="552">
        <f t="shared" si="6"/>
        <v>0</v>
      </c>
    </row>
    <row r="423" spans="1:42" outlineLevel="1" x14ac:dyDescent="0.25">
      <c r="A423" s="544" t="s">
        <v>1674</v>
      </c>
      <c r="B423" s="545">
        <v>11000</v>
      </c>
      <c r="C423" s="544" t="s">
        <v>2900</v>
      </c>
      <c r="D423" s="544" t="s">
        <v>2901</v>
      </c>
      <c r="E423" s="542" t="s">
        <v>2832</v>
      </c>
      <c r="F423" s="542" t="s">
        <v>2902</v>
      </c>
      <c r="G423" s="546">
        <v>240.62</v>
      </c>
      <c r="H423" s="546"/>
      <c r="I423" s="546"/>
      <c r="J423" s="542" t="s">
        <v>806</v>
      </c>
      <c r="K423" s="547">
        <v>8400</v>
      </c>
      <c r="L423" s="542" t="s">
        <v>806</v>
      </c>
      <c r="M423" s="548"/>
      <c r="N423" s="549">
        <v>-18</v>
      </c>
      <c r="O423" s="544" t="s">
        <v>1674</v>
      </c>
      <c r="P423" s="544" t="s">
        <v>1674</v>
      </c>
      <c r="Q423" s="544" t="s">
        <v>2903</v>
      </c>
      <c r="R423" s="544" t="s">
        <v>1674</v>
      </c>
      <c r="S423" s="544" t="s">
        <v>1674</v>
      </c>
      <c r="T423" s="550">
        <v>19</v>
      </c>
      <c r="U423" s="544" t="s">
        <v>2697</v>
      </c>
      <c r="V423" s="547">
        <v>714</v>
      </c>
      <c r="W423" s="548"/>
      <c r="Y423" s="544" t="s">
        <v>1674</v>
      </c>
      <c r="AA423" s="544" t="s">
        <v>1674</v>
      </c>
      <c r="AE423" s="551"/>
      <c r="AF423" s="544" t="s">
        <v>1674</v>
      </c>
      <c r="AG423" s="544" t="s">
        <v>1674</v>
      </c>
      <c r="AH423" s="544" t="s">
        <v>1674</v>
      </c>
      <c r="AI423" s="544" t="s">
        <v>1674</v>
      </c>
      <c r="AJ423" s="544" t="s">
        <v>1674</v>
      </c>
      <c r="AK423" s="544" t="s">
        <v>1674</v>
      </c>
      <c r="AL423" s="544" t="s">
        <v>1674</v>
      </c>
      <c r="AM423" s="544" t="s">
        <v>2900</v>
      </c>
      <c r="AN423" s="544" t="s">
        <v>1674</v>
      </c>
      <c r="AP423" s="552">
        <f t="shared" si="6"/>
        <v>0</v>
      </c>
    </row>
    <row r="424" spans="1:42" outlineLevel="1" x14ac:dyDescent="0.25">
      <c r="A424" s="544" t="s">
        <v>1674</v>
      </c>
      <c r="B424" s="545">
        <v>0</v>
      </c>
      <c r="C424" s="544" t="s">
        <v>1674</v>
      </c>
      <c r="D424" s="544" t="s">
        <v>2901</v>
      </c>
      <c r="E424" s="542" t="s">
        <v>2832</v>
      </c>
      <c r="F424" s="542" t="s">
        <v>2902</v>
      </c>
      <c r="G424" s="546">
        <v>22.49</v>
      </c>
      <c r="H424" s="546"/>
      <c r="I424" s="546"/>
      <c r="J424" s="542" t="s">
        <v>806</v>
      </c>
      <c r="K424" s="547">
        <v>8400</v>
      </c>
      <c r="L424" s="542" t="s">
        <v>806</v>
      </c>
      <c r="M424" s="548"/>
      <c r="N424" s="549">
        <v>-18</v>
      </c>
      <c r="O424" s="544" t="s">
        <v>1674</v>
      </c>
      <c r="P424" s="544" t="s">
        <v>1674</v>
      </c>
      <c r="Q424" s="544" t="s">
        <v>2903</v>
      </c>
      <c r="R424" s="544" t="s">
        <v>2617</v>
      </c>
      <c r="S424" s="544" t="s">
        <v>1674</v>
      </c>
      <c r="T424" s="550">
        <v>19</v>
      </c>
      <c r="U424" s="544" t="s">
        <v>2697</v>
      </c>
      <c r="V424" s="547">
        <v>715</v>
      </c>
      <c r="W424" s="548"/>
      <c r="Y424" s="544" t="s">
        <v>1674</v>
      </c>
      <c r="AA424" s="544" t="s">
        <v>1674</v>
      </c>
      <c r="AE424" s="551"/>
      <c r="AF424" s="544" t="s">
        <v>1674</v>
      </c>
      <c r="AG424" s="544" t="s">
        <v>1674</v>
      </c>
      <c r="AH424" s="544" t="s">
        <v>1674</v>
      </c>
      <c r="AI424" s="544" t="s">
        <v>1674</v>
      </c>
      <c r="AJ424" s="544" t="s">
        <v>1674</v>
      </c>
      <c r="AK424" s="544" t="s">
        <v>1674</v>
      </c>
      <c r="AL424" s="544" t="s">
        <v>1674</v>
      </c>
      <c r="AM424" s="544" t="s">
        <v>1674</v>
      </c>
      <c r="AN424" s="544" t="s">
        <v>1674</v>
      </c>
      <c r="AP424" s="552">
        <f t="shared" si="6"/>
        <v>0</v>
      </c>
    </row>
    <row r="425" spans="1:42" outlineLevel="1" x14ac:dyDescent="0.25">
      <c r="A425" s="544" t="s">
        <v>1674</v>
      </c>
      <c r="B425" s="545">
        <v>0</v>
      </c>
      <c r="C425" s="544" t="s">
        <v>1674</v>
      </c>
      <c r="D425" s="544" t="s">
        <v>2901</v>
      </c>
      <c r="E425" s="542" t="s">
        <v>2832</v>
      </c>
      <c r="F425" s="542" t="s">
        <v>2902</v>
      </c>
      <c r="G425" s="546">
        <v>3592.49</v>
      </c>
      <c r="H425" s="546"/>
      <c r="I425" s="546"/>
      <c r="J425" s="542" t="s">
        <v>806</v>
      </c>
      <c r="K425" s="547">
        <v>8401</v>
      </c>
      <c r="L425" s="542" t="s">
        <v>806</v>
      </c>
      <c r="M425" s="548"/>
      <c r="N425" s="549">
        <v>-18</v>
      </c>
      <c r="O425" s="544" t="s">
        <v>1674</v>
      </c>
      <c r="P425" s="544" t="s">
        <v>1674</v>
      </c>
      <c r="Q425" s="544" t="s">
        <v>2903</v>
      </c>
      <c r="R425" s="544" t="s">
        <v>1674</v>
      </c>
      <c r="S425" s="544" t="s">
        <v>1674</v>
      </c>
      <c r="T425" s="550">
        <v>19</v>
      </c>
      <c r="U425" s="544" t="s">
        <v>2697</v>
      </c>
      <c r="V425" s="547">
        <v>716</v>
      </c>
      <c r="W425" s="548"/>
      <c r="Y425" s="544" t="s">
        <v>1674</v>
      </c>
      <c r="AA425" s="544" t="s">
        <v>1674</v>
      </c>
      <c r="AE425" s="551"/>
      <c r="AF425" s="544" t="s">
        <v>1674</v>
      </c>
      <c r="AG425" s="544" t="s">
        <v>1674</v>
      </c>
      <c r="AH425" s="544" t="s">
        <v>1674</v>
      </c>
      <c r="AI425" s="544" t="s">
        <v>1674</v>
      </c>
      <c r="AJ425" s="544" t="s">
        <v>1674</v>
      </c>
      <c r="AK425" s="544" t="s">
        <v>1674</v>
      </c>
      <c r="AL425" s="544" t="s">
        <v>1674</v>
      </c>
      <c r="AM425" s="544" t="s">
        <v>1674</v>
      </c>
      <c r="AN425" s="544" t="s">
        <v>1674</v>
      </c>
      <c r="AP425" s="552">
        <f t="shared" si="6"/>
        <v>0</v>
      </c>
    </row>
    <row r="426" spans="1:42" outlineLevel="1" x14ac:dyDescent="0.25">
      <c r="A426" s="544" t="s">
        <v>1674</v>
      </c>
      <c r="B426" s="545">
        <v>11900</v>
      </c>
      <c r="C426" s="544" t="s">
        <v>2854</v>
      </c>
      <c r="D426" s="544" t="s">
        <v>2906</v>
      </c>
      <c r="E426" s="542" t="s">
        <v>2832</v>
      </c>
      <c r="G426" s="546"/>
      <c r="H426" s="546">
        <v>16.239999999999998</v>
      </c>
      <c r="I426" s="546"/>
      <c r="J426" s="542" t="s">
        <v>806</v>
      </c>
      <c r="K426" s="547">
        <v>8400</v>
      </c>
      <c r="L426" s="542" t="s">
        <v>806</v>
      </c>
      <c r="M426" s="548"/>
      <c r="N426" s="549">
        <v>0</v>
      </c>
      <c r="O426" s="544" t="s">
        <v>1674</v>
      </c>
      <c r="P426" s="544" t="s">
        <v>1674</v>
      </c>
      <c r="Q426" s="544" t="s">
        <v>2907</v>
      </c>
      <c r="R426" s="544" t="s">
        <v>1674</v>
      </c>
      <c r="S426" s="544" t="s">
        <v>1674</v>
      </c>
      <c r="T426" s="550">
        <v>19</v>
      </c>
      <c r="U426" s="544" t="s">
        <v>2697</v>
      </c>
      <c r="V426" s="547">
        <v>707</v>
      </c>
      <c r="W426" s="548"/>
      <c r="Y426" s="544" t="s">
        <v>1674</v>
      </c>
      <c r="AA426" s="544" t="s">
        <v>1674</v>
      </c>
      <c r="AE426" s="551"/>
      <c r="AF426" s="544" t="s">
        <v>1674</v>
      </c>
      <c r="AG426" s="544" t="s">
        <v>1674</v>
      </c>
      <c r="AH426" s="544" t="s">
        <v>1674</v>
      </c>
      <c r="AI426" s="544" t="s">
        <v>1674</v>
      </c>
      <c r="AJ426" s="544" t="s">
        <v>1674</v>
      </c>
      <c r="AK426" s="544" t="s">
        <v>1674</v>
      </c>
      <c r="AL426" s="544" t="s">
        <v>1674</v>
      </c>
      <c r="AM426" s="544" t="s">
        <v>2854</v>
      </c>
      <c r="AN426" s="544" t="s">
        <v>1674</v>
      </c>
      <c r="AP426" s="552">
        <f t="shared" si="6"/>
        <v>0</v>
      </c>
    </row>
    <row r="427" spans="1:42" outlineLevel="1" x14ac:dyDescent="0.25">
      <c r="A427" s="544" t="s">
        <v>1674</v>
      </c>
      <c r="B427" s="545">
        <v>0</v>
      </c>
      <c r="C427" s="544" t="s">
        <v>1674</v>
      </c>
      <c r="D427" s="544" t="s">
        <v>2906</v>
      </c>
      <c r="E427" s="542" t="s">
        <v>2832</v>
      </c>
      <c r="G427" s="546"/>
      <c r="H427" s="546">
        <v>0.79</v>
      </c>
      <c r="I427" s="546"/>
      <c r="J427" s="542" t="s">
        <v>806</v>
      </c>
      <c r="K427" s="547">
        <v>8400</v>
      </c>
      <c r="L427" s="542" t="s">
        <v>806</v>
      </c>
      <c r="M427" s="548"/>
      <c r="N427" s="549">
        <v>0</v>
      </c>
      <c r="O427" s="544" t="s">
        <v>1674</v>
      </c>
      <c r="P427" s="544" t="s">
        <v>1674</v>
      </c>
      <c r="Q427" s="544" t="s">
        <v>2907</v>
      </c>
      <c r="R427" s="544" t="s">
        <v>2617</v>
      </c>
      <c r="S427" s="544" t="s">
        <v>1674</v>
      </c>
      <c r="T427" s="550">
        <v>19</v>
      </c>
      <c r="U427" s="544" t="s">
        <v>2697</v>
      </c>
      <c r="V427" s="547">
        <v>708</v>
      </c>
      <c r="W427" s="548"/>
      <c r="Y427" s="544" t="s">
        <v>1674</v>
      </c>
      <c r="AA427" s="544" t="s">
        <v>1674</v>
      </c>
      <c r="AE427" s="551"/>
      <c r="AF427" s="544" t="s">
        <v>1674</v>
      </c>
      <c r="AG427" s="544" t="s">
        <v>1674</v>
      </c>
      <c r="AH427" s="544" t="s">
        <v>1674</v>
      </c>
      <c r="AI427" s="544" t="s">
        <v>1674</v>
      </c>
      <c r="AJ427" s="544" t="s">
        <v>1674</v>
      </c>
      <c r="AK427" s="544" t="s">
        <v>1674</v>
      </c>
      <c r="AL427" s="544" t="s">
        <v>1674</v>
      </c>
      <c r="AM427" s="544" t="s">
        <v>1674</v>
      </c>
      <c r="AN427" s="544" t="s">
        <v>1674</v>
      </c>
      <c r="AP427" s="552">
        <f t="shared" si="6"/>
        <v>0</v>
      </c>
    </row>
    <row r="428" spans="1:42" outlineLevel="1" x14ac:dyDescent="0.25">
      <c r="A428" s="544" t="s">
        <v>1674</v>
      </c>
      <c r="B428" s="545">
        <v>10700</v>
      </c>
      <c r="C428" s="544" t="s">
        <v>2836</v>
      </c>
      <c r="D428" s="544" t="s">
        <v>2908</v>
      </c>
      <c r="E428" s="542" t="s">
        <v>2800</v>
      </c>
      <c r="G428" s="546"/>
      <c r="H428" s="546">
        <v>11.19</v>
      </c>
      <c r="I428" s="546"/>
      <c r="J428" s="542" t="s">
        <v>806</v>
      </c>
      <c r="K428" s="547">
        <v>8400</v>
      </c>
      <c r="L428" s="542" t="s">
        <v>806</v>
      </c>
      <c r="M428" s="548"/>
      <c r="N428" s="549">
        <v>0</v>
      </c>
      <c r="O428" s="544" t="s">
        <v>1674</v>
      </c>
      <c r="P428" s="544" t="s">
        <v>1674</v>
      </c>
      <c r="Q428" s="544" t="s">
        <v>2909</v>
      </c>
      <c r="R428" s="544" t="s">
        <v>1674</v>
      </c>
      <c r="S428" s="544" t="s">
        <v>1674</v>
      </c>
      <c r="T428" s="550">
        <v>19</v>
      </c>
      <c r="U428" s="544" t="s">
        <v>2697</v>
      </c>
      <c r="V428" s="547">
        <v>903</v>
      </c>
      <c r="W428" s="548"/>
      <c r="Y428" s="544" t="s">
        <v>1674</v>
      </c>
      <c r="AA428" s="544" t="s">
        <v>1674</v>
      </c>
      <c r="AE428" s="551"/>
      <c r="AF428" s="544" t="s">
        <v>1674</v>
      </c>
      <c r="AG428" s="544" t="s">
        <v>1674</v>
      </c>
      <c r="AH428" s="544" t="s">
        <v>1674</v>
      </c>
      <c r="AI428" s="544" t="s">
        <v>1674</v>
      </c>
      <c r="AJ428" s="544" t="s">
        <v>1674</v>
      </c>
      <c r="AK428" s="544" t="s">
        <v>1674</v>
      </c>
      <c r="AL428" s="544" t="s">
        <v>1674</v>
      </c>
      <c r="AM428" s="544" t="s">
        <v>2836</v>
      </c>
      <c r="AN428" s="544" t="s">
        <v>1674</v>
      </c>
      <c r="AP428" s="552">
        <f t="shared" si="6"/>
        <v>0</v>
      </c>
    </row>
    <row r="429" spans="1:42" outlineLevel="1" x14ac:dyDescent="0.25">
      <c r="A429" s="544" t="s">
        <v>1674</v>
      </c>
      <c r="B429" s="545">
        <v>0</v>
      </c>
      <c r="C429" s="544" t="s">
        <v>1674</v>
      </c>
      <c r="D429" s="544" t="s">
        <v>2908</v>
      </c>
      <c r="E429" s="542" t="s">
        <v>2800</v>
      </c>
      <c r="G429" s="546"/>
      <c r="H429" s="546">
        <v>0.6</v>
      </c>
      <c r="I429" s="546"/>
      <c r="J429" s="542" t="s">
        <v>806</v>
      </c>
      <c r="K429" s="547">
        <v>8400</v>
      </c>
      <c r="L429" s="542" t="s">
        <v>806</v>
      </c>
      <c r="M429" s="548"/>
      <c r="N429" s="549">
        <v>0</v>
      </c>
      <c r="O429" s="544" t="s">
        <v>1674</v>
      </c>
      <c r="P429" s="544" t="s">
        <v>1674</v>
      </c>
      <c r="Q429" s="544" t="s">
        <v>2909</v>
      </c>
      <c r="R429" s="544" t="s">
        <v>2617</v>
      </c>
      <c r="S429" s="544" t="s">
        <v>1674</v>
      </c>
      <c r="T429" s="550">
        <v>19</v>
      </c>
      <c r="U429" s="544" t="s">
        <v>2697</v>
      </c>
      <c r="V429" s="547">
        <v>904</v>
      </c>
      <c r="W429" s="548"/>
      <c r="Y429" s="544" t="s">
        <v>1674</v>
      </c>
      <c r="AA429" s="544" t="s">
        <v>1674</v>
      </c>
      <c r="AE429" s="551"/>
      <c r="AF429" s="544" t="s">
        <v>1674</v>
      </c>
      <c r="AG429" s="544" t="s">
        <v>1674</v>
      </c>
      <c r="AH429" s="544" t="s">
        <v>1674</v>
      </c>
      <c r="AI429" s="544" t="s">
        <v>1674</v>
      </c>
      <c r="AJ429" s="544" t="s">
        <v>1674</v>
      </c>
      <c r="AK429" s="544" t="s">
        <v>1674</v>
      </c>
      <c r="AL429" s="544" t="s">
        <v>1674</v>
      </c>
      <c r="AM429" s="544" t="s">
        <v>1674</v>
      </c>
      <c r="AN429" s="544" t="s">
        <v>1674</v>
      </c>
      <c r="AP429" s="552">
        <f t="shared" si="6"/>
        <v>0</v>
      </c>
    </row>
    <row r="430" spans="1:42" outlineLevel="1" x14ac:dyDescent="0.25">
      <c r="A430" s="544" t="s">
        <v>1674</v>
      </c>
      <c r="B430" s="545">
        <v>11200</v>
      </c>
      <c r="C430" s="544" t="s">
        <v>2871</v>
      </c>
      <c r="D430" s="544" t="s">
        <v>2913</v>
      </c>
      <c r="E430" s="542" t="s">
        <v>2911</v>
      </c>
      <c r="G430" s="546"/>
      <c r="H430" s="546">
        <v>209.74</v>
      </c>
      <c r="I430" s="546"/>
      <c r="J430" s="542" t="s">
        <v>806</v>
      </c>
      <c r="K430" s="547">
        <v>8400</v>
      </c>
      <c r="L430" s="542" t="s">
        <v>806</v>
      </c>
      <c r="M430" s="548"/>
      <c r="N430" s="549">
        <v>0</v>
      </c>
      <c r="O430" s="544" t="s">
        <v>1674</v>
      </c>
      <c r="P430" s="544" t="s">
        <v>1674</v>
      </c>
      <c r="Q430" s="544" t="s">
        <v>2914</v>
      </c>
      <c r="R430" s="544" t="s">
        <v>1674</v>
      </c>
      <c r="S430" s="544" t="s">
        <v>1674</v>
      </c>
      <c r="T430" s="550">
        <v>19</v>
      </c>
      <c r="U430" s="544" t="s">
        <v>2697</v>
      </c>
      <c r="V430" s="547">
        <v>1032</v>
      </c>
      <c r="W430" s="548"/>
      <c r="Y430" s="544" t="s">
        <v>1674</v>
      </c>
      <c r="AA430" s="544" t="s">
        <v>1674</v>
      </c>
      <c r="AE430" s="551"/>
      <c r="AF430" s="544" t="s">
        <v>1674</v>
      </c>
      <c r="AG430" s="544" t="s">
        <v>1674</v>
      </c>
      <c r="AH430" s="544" t="s">
        <v>1674</v>
      </c>
      <c r="AI430" s="544" t="s">
        <v>1674</v>
      </c>
      <c r="AJ430" s="544" t="s">
        <v>1674</v>
      </c>
      <c r="AK430" s="544" t="s">
        <v>1674</v>
      </c>
      <c r="AL430" s="544" t="s">
        <v>1674</v>
      </c>
      <c r="AM430" s="544" t="s">
        <v>2871</v>
      </c>
      <c r="AN430" s="544" t="s">
        <v>1674</v>
      </c>
      <c r="AP430" s="552">
        <f t="shared" si="6"/>
        <v>0</v>
      </c>
    </row>
    <row r="431" spans="1:42" outlineLevel="1" x14ac:dyDescent="0.25">
      <c r="A431" s="544" t="s">
        <v>1674</v>
      </c>
      <c r="B431" s="545">
        <v>0</v>
      </c>
      <c r="C431" s="544" t="s">
        <v>1674</v>
      </c>
      <c r="D431" s="544" t="s">
        <v>2913</v>
      </c>
      <c r="E431" s="542" t="s">
        <v>2911</v>
      </c>
      <c r="G431" s="546"/>
      <c r="H431" s="546">
        <v>19.579999999999998</v>
      </c>
      <c r="I431" s="546"/>
      <c r="J431" s="542" t="s">
        <v>806</v>
      </c>
      <c r="K431" s="547">
        <v>8400</v>
      </c>
      <c r="L431" s="542" t="s">
        <v>806</v>
      </c>
      <c r="M431" s="548"/>
      <c r="N431" s="549">
        <v>0</v>
      </c>
      <c r="O431" s="544" t="s">
        <v>1674</v>
      </c>
      <c r="P431" s="544" t="s">
        <v>1674</v>
      </c>
      <c r="Q431" s="544" t="s">
        <v>2914</v>
      </c>
      <c r="R431" s="544" t="s">
        <v>2617</v>
      </c>
      <c r="S431" s="544" t="s">
        <v>1674</v>
      </c>
      <c r="T431" s="550">
        <v>19</v>
      </c>
      <c r="U431" s="544" t="s">
        <v>2697</v>
      </c>
      <c r="V431" s="547">
        <v>1033</v>
      </c>
      <c r="W431" s="548"/>
      <c r="Y431" s="544" t="s">
        <v>1674</v>
      </c>
      <c r="AA431" s="544" t="s">
        <v>1674</v>
      </c>
      <c r="AE431" s="551"/>
      <c r="AF431" s="544" t="s">
        <v>1674</v>
      </c>
      <c r="AG431" s="544" t="s">
        <v>1674</v>
      </c>
      <c r="AH431" s="544" t="s">
        <v>1674</v>
      </c>
      <c r="AI431" s="544" t="s">
        <v>1674</v>
      </c>
      <c r="AJ431" s="544" t="s">
        <v>1674</v>
      </c>
      <c r="AK431" s="544" t="s">
        <v>1674</v>
      </c>
      <c r="AL431" s="544" t="s">
        <v>1674</v>
      </c>
      <c r="AM431" s="544" t="s">
        <v>1674</v>
      </c>
      <c r="AN431" s="544" t="s">
        <v>1674</v>
      </c>
      <c r="AP431" s="552">
        <f t="shared" si="6"/>
        <v>0</v>
      </c>
    </row>
    <row r="432" spans="1:42" outlineLevel="1" x14ac:dyDescent="0.25">
      <c r="A432" s="544" t="s">
        <v>1674</v>
      </c>
      <c r="B432" s="545">
        <v>10500</v>
      </c>
      <c r="C432" s="544" t="s">
        <v>2918</v>
      </c>
      <c r="D432" s="544" t="s">
        <v>2919</v>
      </c>
      <c r="E432" s="542" t="s">
        <v>2838</v>
      </c>
      <c r="F432" s="542" t="s">
        <v>2920</v>
      </c>
      <c r="G432" s="546">
        <v>784.26</v>
      </c>
      <c r="H432" s="546"/>
      <c r="I432" s="546"/>
      <c r="J432" s="542" t="s">
        <v>806</v>
      </c>
      <c r="K432" s="547">
        <v>8400</v>
      </c>
      <c r="L432" s="542" t="s">
        <v>806</v>
      </c>
      <c r="M432" s="548"/>
      <c r="N432" s="549">
        <v>-11</v>
      </c>
      <c r="O432" s="544" t="s">
        <v>1674</v>
      </c>
      <c r="P432" s="544" t="s">
        <v>1674</v>
      </c>
      <c r="Q432" s="544" t="s">
        <v>2921</v>
      </c>
      <c r="R432" s="544" t="s">
        <v>1674</v>
      </c>
      <c r="S432" s="544" t="s">
        <v>1674</v>
      </c>
      <c r="T432" s="550">
        <v>19</v>
      </c>
      <c r="U432" s="544" t="s">
        <v>2697</v>
      </c>
      <c r="V432" s="547">
        <v>1138</v>
      </c>
      <c r="W432" s="548"/>
      <c r="Y432" s="544" t="s">
        <v>1674</v>
      </c>
      <c r="AA432" s="544" t="s">
        <v>1674</v>
      </c>
      <c r="AE432" s="551"/>
      <c r="AF432" s="544" t="s">
        <v>1674</v>
      </c>
      <c r="AG432" s="544" t="s">
        <v>1674</v>
      </c>
      <c r="AH432" s="544" t="s">
        <v>1674</v>
      </c>
      <c r="AI432" s="544" t="s">
        <v>1674</v>
      </c>
      <c r="AJ432" s="544" t="s">
        <v>1674</v>
      </c>
      <c r="AK432" s="544" t="s">
        <v>1674</v>
      </c>
      <c r="AL432" s="544" t="s">
        <v>1674</v>
      </c>
      <c r="AM432" s="544" t="s">
        <v>2918</v>
      </c>
      <c r="AN432" s="544" t="s">
        <v>1674</v>
      </c>
      <c r="AP432" s="552">
        <f t="shared" si="6"/>
        <v>0</v>
      </c>
    </row>
    <row r="433" spans="1:42" outlineLevel="1" x14ac:dyDescent="0.25">
      <c r="A433" s="544" t="s">
        <v>1674</v>
      </c>
      <c r="B433" s="545">
        <v>0</v>
      </c>
      <c r="C433" s="544" t="s">
        <v>1674</v>
      </c>
      <c r="D433" s="544" t="s">
        <v>2919</v>
      </c>
      <c r="E433" s="542" t="s">
        <v>2838</v>
      </c>
      <c r="F433" s="542" t="s">
        <v>2920</v>
      </c>
      <c r="G433" s="546">
        <v>41.41</v>
      </c>
      <c r="H433" s="546"/>
      <c r="I433" s="546"/>
      <c r="J433" s="542" t="s">
        <v>806</v>
      </c>
      <c r="K433" s="547">
        <v>8400</v>
      </c>
      <c r="L433" s="542" t="s">
        <v>806</v>
      </c>
      <c r="M433" s="548"/>
      <c r="N433" s="549">
        <v>-11</v>
      </c>
      <c r="O433" s="544" t="s">
        <v>1674</v>
      </c>
      <c r="P433" s="544" t="s">
        <v>1674</v>
      </c>
      <c r="Q433" s="544" t="s">
        <v>2921</v>
      </c>
      <c r="R433" s="544" t="s">
        <v>2617</v>
      </c>
      <c r="S433" s="544" t="s">
        <v>1674</v>
      </c>
      <c r="T433" s="550">
        <v>19</v>
      </c>
      <c r="U433" s="544" t="s">
        <v>2697</v>
      </c>
      <c r="V433" s="547">
        <v>1139</v>
      </c>
      <c r="W433" s="548"/>
      <c r="Y433" s="544" t="s">
        <v>1674</v>
      </c>
      <c r="AA433" s="544" t="s">
        <v>1674</v>
      </c>
      <c r="AE433" s="551"/>
      <c r="AF433" s="544" t="s">
        <v>1674</v>
      </c>
      <c r="AG433" s="544" t="s">
        <v>1674</v>
      </c>
      <c r="AH433" s="544" t="s">
        <v>1674</v>
      </c>
      <c r="AI433" s="544" t="s">
        <v>1674</v>
      </c>
      <c r="AJ433" s="544" t="s">
        <v>1674</v>
      </c>
      <c r="AK433" s="544" t="s">
        <v>1674</v>
      </c>
      <c r="AL433" s="544" t="s">
        <v>1674</v>
      </c>
      <c r="AM433" s="544" t="s">
        <v>1674</v>
      </c>
      <c r="AN433" s="544" t="s">
        <v>1674</v>
      </c>
      <c r="AP433" s="552">
        <f t="shared" si="6"/>
        <v>0</v>
      </c>
    </row>
    <row r="434" spans="1:42" outlineLevel="1" x14ac:dyDescent="0.25">
      <c r="A434" s="544" t="s">
        <v>1674</v>
      </c>
      <c r="B434" s="545">
        <v>0</v>
      </c>
      <c r="C434" s="544" t="s">
        <v>1674</v>
      </c>
      <c r="D434" s="544" t="s">
        <v>2931</v>
      </c>
      <c r="E434" s="542" t="s">
        <v>2844</v>
      </c>
      <c r="F434" s="542" t="s">
        <v>2930</v>
      </c>
      <c r="G434" s="546">
        <v>456.96</v>
      </c>
      <c r="H434" s="546"/>
      <c r="I434" s="546"/>
      <c r="J434" s="542" t="s">
        <v>806</v>
      </c>
      <c r="K434" s="547">
        <v>8400</v>
      </c>
      <c r="L434" s="542" t="s">
        <v>806</v>
      </c>
      <c r="M434" s="548"/>
      <c r="N434" s="549">
        <v>-10</v>
      </c>
      <c r="O434" s="544" t="s">
        <v>1674</v>
      </c>
      <c r="P434" s="544" t="s">
        <v>1674</v>
      </c>
      <c r="Q434" s="544" t="s">
        <v>2818</v>
      </c>
      <c r="R434" s="544" t="s">
        <v>2622</v>
      </c>
      <c r="S434" s="544" t="s">
        <v>1674</v>
      </c>
      <c r="T434" s="550">
        <v>19</v>
      </c>
      <c r="U434" s="544" t="s">
        <v>2697</v>
      </c>
      <c r="V434" s="547">
        <v>1243</v>
      </c>
      <c r="W434" s="548"/>
      <c r="Y434" s="544" t="s">
        <v>1674</v>
      </c>
      <c r="AA434" s="544" t="s">
        <v>1674</v>
      </c>
      <c r="AE434" s="551"/>
      <c r="AF434" s="544" t="s">
        <v>1674</v>
      </c>
      <c r="AG434" s="544" t="s">
        <v>1674</v>
      </c>
      <c r="AH434" s="544" t="s">
        <v>1674</v>
      </c>
      <c r="AI434" s="544" t="s">
        <v>1674</v>
      </c>
      <c r="AJ434" s="544" t="s">
        <v>1674</v>
      </c>
      <c r="AK434" s="544" t="s">
        <v>1674</v>
      </c>
      <c r="AL434" s="544" t="s">
        <v>1674</v>
      </c>
      <c r="AM434" s="544" t="s">
        <v>1674</v>
      </c>
      <c r="AN434" s="544" t="s">
        <v>1674</v>
      </c>
      <c r="AP434" s="552">
        <f t="shared" si="6"/>
        <v>0</v>
      </c>
    </row>
    <row r="435" spans="1:42" outlineLevel="1" x14ac:dyDescent="0.25">
      <c r="A435" s="544" t="s">
        <v>1674</v>
      </c>
      <c r="B435" s="545">
        <v>21402</v>
      </c>
      <c r="C435" s="544" t="s">
        <v>2626</v>
      </c>
      <c r="D435" s="544" t="s">
        <v>2940</v>
      </c>
      <c r="E435" s="542" t="s">
        <v>2941</v>
      </c>
      <c r="F435" s="542" t="s">
        <v>2896</v>
      </c>
      <c r="G435" s="546">
        <v>7106</v>
      </c>
      <c r="H435" s="546"/>
      <c r="I435" s="546"/>
      <c r="J435" s="542" t="s">
        <v>806</v>
      </c>
      <c r="K435" s="547">
        <v>8125</v>
      </c>
      <c r="L435" s="542" t="s">
        <v>806</v>
      </c>
      <c r="M435" s="548"/>
      <c r="N435" s="549">
        <v>-9</v>
      </c>
      <c r="O435" s="544" t="s">
        <v>1674</v>
      </c>
      <c r="P435" s="544" t="s">
        <v>1674</v>
      </c>
      <c r="Q435" s="544" t="s">
        <v>2628</v>
      </c>
      <c r="R435" s="544" t="s">
        <v>1674</v>
      </c>
      <c r="S435" s="544" t="s">
        <v>1674</v>
      </c>
      <c r="T435" s="550"/>
      <c r="U435" s="544" t="s">
        <v>2697</v>
      </c>
      <c r="V435" s="547">
        <v>1336</v>
      </c>
      <c r="W435" s="548"/>
      <c r="Y435" s="544" t="s">
        <v>1674</v>
      </c>
      <c r="AA435" s="544" t="s">
        <v>1674</v>
      </c>
      <c r="AE435" s="551"/>
      <c r="AF435" s="544" t="s">
        <v>1674</v>
      </c>
      <c r="AG435" s="544" t="s">
        <v>1674</v>
      </c>
      <c r="AH435" s="544" t="s">
        <v>1674</v>
      </c>
      <c r="AI435" s="544" t="s">
        <v>1674</v>
      </c>
      <c r="AJ435" s="544" t="s">
        <v>1674</v>
      </c>
      <c r="AK435" s="544" t="s">
        <v>1674</v>
      </c>
      <c r="AL435" s="544" t="s">
        <v>1674</v>
      </c>
      <c r="AM435" s="544" t="s">
        <v>2629</v>
      </c>
      <c r="AN435" s="544" t="s">
        <v>1674</v>
      </c>
      <c r="AP435" s="552">
        <f t="shared" si="6"/>
        <v>0</v>
      </c>
    </row>
    <row r="436" spans="1:42" outlineLevel="1" x14ac:dyDescent="0.25">
      <c r="A436" s="544" t="s">
        <v>1674</v>
      </c>
      <c r="B436" s="545">
        <v>0</v>
      </c>
      <c r="C436" s="544" t="s">
        <v>1674</v>
      </c>
      <c r="D436" s="544" t="s">
        <v>2940</v>
      </c>
      <c r="E436" s="542" t="s">
        <v>2942</v>
      </c>
      <c r="G436" s="546"/>
      <c r="H436" s="546">
        <v>6875.68</v>
      </c>
      <c r="I436" s="546"/>
      <c r="J436" s="542" t="s">
        <v>806</v>
      </c>
      <c r="K436" s="547">
        <v>1200</v>
      </c>
      <c r="L436" s="542" t="s">
        <v>806</v>
      </c>
      <c r="M436" s="548"/>
      <c r="N436" s="549">
        <v>0</v>
      </c>
      <c r="O436" s="544" t="s">
        <v>1674</v>
      </c>
      <c r="P436" s="544" t="s">
        <v>1674</v>
      </c>
      <c r="Q436" s="544" t="s">
        <v>2943</v>
      </c>
      <c r="R436" s="544" t="s">
        <v>1674</v>
      </c>
      <c r="S436" s="544" t="s">
        <v>1674</v>
      </c>
      <c r="T436" s="550"/>
      <c r="U436" s="544" t="s">
        <v>2697</v>
      </c>
      <c r="V436" s="547">
        <v>1364</v>
      </c>
      <c r="W436" s="548"/>
      <c r="Y436" s="544" t="s">
        <v>1674</v>
      </c>
      <c r="AA436" s="544" t="s">
        <v>1674</v>
      </c>
      <c r="AE436" s="551"/>
      <c r="AF436" s="544" t="s">
        <v>1674</v>
      </c>
      <c r="AG436" s="544" t="s">
        <v>1674</v>
      </c>
      <c r="AH436" s="544" t="s">
        <v>1674</v>
      </c>
      <c r="AI436" s="544" t="s">
        <v>1674</v>
      </c>
      <c r="AJ436" s="544" t="s">
        <v>1674</v>
      </c>
      <c r="AK436" s="544" t="s">
        <v>1674</v>
      </c>
      <c r="AL436" s="544" t="s">
        <v>1674</v>
      </c>
      <c r="AM436" s="544" t="s">
        <v>1674</v>
      </c>
      <c r="AN436" s="544" t="s">
        <v>1674</v>
      </c>
      <c r="AP436" s="552">
        <f t="shared" si="6"/>
        <v>0</v>
      </c>
    </row>
    <row r="437" spans="1:42" outlineLevel="1" x14ac:dyDescent="0.25">
      <c r="A437" s="544" t="s">
        <v>1674</v>
      </c>
      <c r="B437" s="545">
        <v>31905</v>
      </c>
      <c r="C437" s="544" t="s">
        <v>2974</v>
      </c>
      <c r="D437" s="544" t="s">
        <v>2975</v>
      </c>
      <c r="E437" s="542" t="s">
        <v>2965</v>
      </c>
      <c r="F437" s="542" t="s">
        <v>2969</v>
      </c>
      <c r="G437" s="546">
        <v>740</v>
      </c>
      <c r="H437" s="546"/>
      <c r="I437" s="546"/>
      <c r="J437" s="542" t="s">
        <v>806</v>
      </c>
      <c r="K437" s="547">
        <v>8120</v>
      </c>
      <c r="L437" s="542" t="s">
        <v>806</v>
      </c>
      <c r="M437" s="548"/>
      <c r="N437" s="549">
        <v>-4</v>
      </c>
      <c r="O437" s="544" t="s">
        <v>1674</v>
      </c>
      <c r="P437" s="544" t="s">
        <v>1674</v>
      </c>
      <c r="Q437" s="544" t="s">
        <v>2976</v>
      </c>
      <c r="R437" s="544" t="s">
        <v>1674</v>
      </c>
      <c r="S437" s="544" t="s">
        <v>1674</v>
      </c>
      <c r="T437" s="550"/>
      <c r="U437" s="544" t="s">
        <v>2697</v>
      </c>
      <c r="V437" s="547">
        <v>1595</v>
      </c>
      <c r="W437" s="548"/>
      <c r="Y437" s="544" t="s">
        <v>1674</v>
      </c>
      <c r="AA437" s="544" t="s">
        <v>1674</v>
      </c>
      <c r="AE437" s="551"/>
      <c r="AF437" s="544" t="s">
        <v>1674</v>
      </c>
      <c r="AG437" s="544" t="s">
        <v>1674</v>
      </c>
      <c r="AH437" s="544" t="s">
        <v>1674</v>
      </c>
      <c r="AI437" s="544" t="s">
        <v>1674</v>
      </c>
      <c r="AJ437" s="544" t="s">
        <v>1674</v>
      </c>
      <c r="AK437" s="544" t="s">
        <v>1674</v>
      </c>
      <c r="AL437" s="544" t="s">
        <v>1674</v>
      </c>
      <c r="AM437" s="544" t="s">
        <v>2977</v>
      </c>
      <c r="AN437" s="544" t="s">
        <v>1674</v>
      </c>
      <c r="AP437" s="552">
        <f t="shared" si="6"/>
        <v>0</v>
      </c>
    </row>
    <row r="438" spans="1:42" outlineLevel="1" x14ac:dyDescent="0.25">
      <c r="A438" s="544" t="s">
        <v>1674</v>
      </c>
      <c r="B438" s="545">
        <v>10237</v>
      </c>
      <c r="C438" s="544" t="s">
        <v>2750</v>
      </c>
      <c r="D438" s="544" t="s">
        <v>2978</v>
      </c>
      <c r="E438" s="542" t="s">
        <v>2979</v>
      </c>
      <c r="F438" s="542" t="s">
        <v>2980</v>
      </c>
      <c r="G438" s="546">
        <v>2501</v>
      </c>
      <c r="H438" s="546"/>
      <c r="I438" s="546"/>
      <c r="J438" s="542" t="s">
        <v>806</v>
      </c>
      <c r="K438" s="547">
        <v>8400</v>
      </c>
      <c r="L438" s="542" t="s">
        <v>806</v>
      </c>
      <c r="M438" s="548"/>
      <c r="N438" s="549">
        <v>-2</v>
      </c>
      <c r="O438" s="544" t="s">
        <v>1674</v>
      </c>
      <c r="P438" s="544" t="s">
        <v>1674</v>
      </c>
      <c r="Q438" s="544" t="s">
        <v>2754</v>
      </c>
      <c r="R438" s="544" t="s">
        <v>1674</v>
      </c>
      <c r="S438" s="544" t="s">
        <v>1674</v>
      </c>
      <c r="T438" s="550">
        <v>19</v>
      </c>
      <c r="U438" s="544" t="s">
        <v>2697</v>
      </c>
      <c r="V438" s="547">
        <v>1792</v>
      </c>
      <c r="W438" s="548"/>
      <c r="Y438" s="544" t="s">
        <v>1674</v>
      </c>
      <c r="AA438" s="544" t="s">
        <v>1674</v>
      </c>
      <c r="AE438" s="551"/>
      <c r="AF438" s="544" t="s">
        <v>1674</v>
      </c>
      <c r="AG438" s="544" t="s">
        <v>1674</v>
      </c>
      <c r="AH438" s="544" t="s">
        <v>1674</v>
      </c>
      <c r="AI438" s="544" t="s">
        <v>1674</v>
      </c>
      <c r="AJ438" s="544" t="s">
        <v>1674</v>
      </c>
      <c r="AK438" s="544" t="s">
        <v>1674</v>
      </c>
      <c r="AL438" s="544" t="s">
        <v>1674</v>
      </c>
      <c r="AM438" s="544" t="s">
        <v>2755</v>
      </c>
      <c r="AN438" s="544" t="s">
        <v>1674</v>
      </c>
      <c r="AP438" s="552">
        <f t="shared" si="6"/>
        <v>0</v>
      </c>
    </row>
    <row r="439" spans="1:42" outlineLevel="1" x14ac:dyDescent="0.25">
      <c r="A439" s="544" t="s">
        <v>1674</v>
      </c>
      <c r="B439" s="545">
        <v>0</v>
      </c>
      <c r="C439" s="544" t="s">
        <v>1674</v>
      </c>
      <c r="D439" s="544" t="s">
        <v>2978</v>
      </c>
      <c r="E439" s="542" t="s">
        <v>2979</v>
      </c>
      <c r="F439" s="542" t="s">
        <v>2980</v>
      </c>
      <c r="G439" s="546">
        <v>131.94999999999999</v>
      </c>
      <c r="H439" s="546"/>
      <c r="I439" s="546"/>
      <c r="J439" s="542" t="s">
        <v>806</v>
      </c>
      <c r="K439" s="547">
        <v>8400</v>
      </c>
      <c r="L439" s="542" t="s">
        <v>806</v>
      </c>
      <c r="M439" s="548"/>
      <c r="N439" s="549">
        <v>-2</v>
      </c>
      <c r="O439" s="544" t="s">
        <v>1674</v>
      </c>
      <c r="P439" s="544" t="s">
        <v>1674</v>
      </c>
      <c r="Q439" s="544" t="s">
        <v>2754</v>
      </c>
      <c r="R439" s="544" t="s">
        <v>2617</v>
      </c>
      <c r="S439" s="544" t="s">
        <v>1674</v>
      </c>
      <c r="T439" s="550">
        <v>19</v>
      </c>
      <c r="U439" s="544" t="s">
        <v>2697</v>
      </c>
      <c r="V439" s="547">
        <v>1793</v>
      </c>
      <c r="W439" s="548"/>
      <c r="Y439" s="544" t="s">
        <v>1674</v>
      </c>
      <c r="AA439" s="544" t="s">
        <v>1674</v>
      </c>
      <c r="AE439" s="551"/>
      <c r="AF439" s="544" t="s">
        <v>1674</v>
      </c>
      <c r="AG439" s="544" t="s">
        <v>1674</v>
      </c>
      <c r="AH439" s="544" t="s">
        <v>1674</v>
      </c>
      <c r="AI439" s="544" t="s">
        <v>1674</v>
      </c>
      <c r="AJ439" s="544" t="s">
        <v>1674</v>
      </c>
      <c r="AK439" s="544" t="s">
        <v>1674</v>
      </c>
      <c r="AL439" s="544" t="s">
        <v>1674</v>
      </c>
      <c r="AM439" s="544" t="s">
        <v>1674</v>
      </c>
      <c r="AN439" s="544" t="s">
        <v>1674</v>
      </c>
      <c r="AP439" s="552">
        <f t="shared" si="6"/>
        <v>0</v>
      </c>
    </row>
    <row r="440" spans="1:42" outlineLevel="1" x14ac:dyDescent="0.25">
      <c r="A440" s="544" t="s">
        <v>1674</v>
      </c>
      <c r="B440" s="545">
        <v>20301</v>
      </c>
      <c r="C440" s="544" t="s">
        <v>2981</v>
      </c>
      <c r="D440" s="544" t="s">
        <v>2982</v>
      </c>
      <c r="E440" s="542" t="s">
        <v>2979</v>
      </c>
      <c r="F440" s="542" t="s">
        <v>2980</v>
      </c>
      <c r="G440" s="546">
        <v>3053</v>
      </c>
      <c r="H440" s="546"/>
      <c r="I440" s="546"/>
      <c r="J440" s="542" t="s">
        <v>806</v>
      </c>
      <c r="K440" s="547">
        <v>8125</v>
      </c>
      <c r="L440" s="542" t="s">
        <v>806</v>
      </c>
      <c r="M440" s="548"/>
      <c r="N440" s="549">
        <v>-2</v>
      </c>
      <c r="O440" s="544" t="s">
        <v>1674</v>
      </c>
      <c r="P440" s="544" t="s">
        <v>1674</v>
      </c>
      <c r="Q440" s="544" t="s">
        <v>2983</v>
      </c>
      <c r="R440" s="544" t="s">
        <v>2984</v>
      </c>
      <c r="S440" s="544" t="s">
        <v>1674</v>
      </c>
      <c r="T440" s="550"/>
      <c r="U440" s="544" t="s">
        <v>2697</v>
      </c>
      <c r="V440" s="547">
        <v>1799</v>
      </c>
      <c r="W440" s="548"/>
      <c r="Y440" s="544" t="s">
        <v>1674</v>
      </c>
      <c r="AA440" s="544" t="s">
        <v>1674</v>
      </c>
      <c r="AE440" s="551"/>
      <c r="AF440" s="544" t="s">
        <v>1674</v>
      </c>
      <c r="AG440" s="544" t="s">
        <v>1674</v>
      </c>
      <c r="AH440" s="544" t="s">
        <v>1674</v>
      </c>
      <c r="AI440" s="544" t="s">
        <v>1674</v>
      </c>
      <c r="AJ440" s="544" t="s">
        <v>1674</v>
      </c>
      <c r="AK440" s="544" t="s">
        <v>1674</v>
      </c>
      <c r="AL440" s="544" t="s">
        <v>1674</v>
      </c>
      <c r="AM440" s="544" t="s">
        <v>2985</v>
      </c>
      <c r="AN440" s="544" t="s">
        <v>1674</v>
      </c>
      <c r="AP440" s="552">
        <f t="shared" si="6"/>
        <v>0</v>
      </c>
    </row>
    <row r="441" spans="1:42" outlineLevel="1" x14ac:dyDescent="0.25">
      <c r="A441" s="544" t="s">
        <v>1674</v>
      </c>
      <c r="B441" s="545">
        <v>10100</v>
      </c>
      <c r="C441" s="544" t="s">
        <v>2864</v>
      </c>
      <c r="D441" s="544" t="s">
        <v>3001</v>
      </c>
      <c r="E441" s="542" t="s">
        <v>2851</v>
      </c>
      <c r="F441" s="542" t="s">
        <v>3002</v>
      </c>
      <c r="G441" s="546">
        <v>195.16</v>
      </c>
      <c r="H441" s="546"/>
      <c r="I441" s="546"/>
      <c r="J441" s="542" t="s">
        <v>806</v>
      </c>
      <c r="K441" s="547">
        <v>8400</v>
      </c>
      <c r="L441" s="542" t="s">
        <v>806</v>
      </c>
      <c r="M441" s="548"/>
      <c r="N441" s="549">
        <v>3</v>
      </c>
      <c r="O441" s="544" t="s">
        <v>1674</v>
      </c>
      <c r="P441" s="544" t="s">
        <v>1674</v>
      </c>
      <c r="Q441" s="544" t="s">
        <v>2868</v>
      </c>
      <c r="R441" s="544" t="s">
        <v>2622</v>
      </c>
      <c r="S441" s="544" t="s">
        <v>1674</v>
      </c>
      <c r="T441" s="550">
        <v>19</v>
      </c>
      <c r="U441" s="544" t="s">
        <v>2700</v>
      </c>
      <c r="V441" s="547">
        <v>58</v>
      </c>
      <c r="W441" s="548"/>
      <c r="Y441" s="544" t="s">
        <v>1674</v>
      </c>
      <c r="AA441" s="544" t="s">
        <v>1674</v>
      </c>
      <c r="AE441" s="551"/>
      <c r="AF441" s="544" t="s">
        <v>1674</v>
      </c>
      <c r="AG441" s="544" t="s">
        <v>1674</v>
      </c>
      <c r="AH441" s="544" t="s">
        <v>1674</v>
      </c>
      <c r="AI441" s="544" t="s">
        <v>1674</v>
      </c>
      <c r="AJ441" s="544" t="s">
        <v>1674</v>
      </c>
      <c r="AK441" s="544" t="s">
        <v>1674</v>
      </c>
      <c r="AL441" s="544" t="s">
        <v>1674</v>
      </c>
      <c r="AM441" s="544" t="s">
        <v>2864</v>
      </c>
      <c r="AN441" s="544" t="s">
        <v>1674</v>
      </c>
      <c r="AP441" s="552">
        <f t="shared" si="6"/>
        <v>0</v>
      </c>
    </row>
    <row r="442" spans="1:42" outlineLevel="1" x14ac:dyDescent="0.25">
      <c r="A442" s="544" t="s">
        <v>1674</v>
      </c>
      <c r="B442" s="545">
        <v>11811</v>
      </c>
      <c r="C442" s="544" t="s">
        <v>2820</v>
      </c>
      <c r="D442" s="544" t="s">
        <v>3004</v>
      </c>
      <c r="E442" s="542" t="s">
        <v>2851</v>
      </c>
      <c r="F442" s="542" t="s">
        <v>3002</v>
      </c>
      <c r="G442" s="546">
        <v>111.15</v>
      </c>
      <c r="H442" s="546"/>
      <c r="I442" s="546"/>
      <c r="J442" s="542" t="s">
        <v>806</v>
      </c>
      <c r="K442" s="547">
        <v>8400</v>
      </c>
      <c r="L442" s="542" t="s">
        <v>806</v>
      </c>
      <c r="M442" s="548"/>
      <c r="N442" s="549">
        <v>3</v>
      </c>
      <c r="O442" s="544" t="s">
        <v>1674</v>
      </c>
      <c r="P442" s="544" t="s">
        <v>1674</v>
      </c>
      <c r="Q442" s="544" t="s">
        <v>2824</v>
      </c>
      <c r="R442" s="544" t="s">
        <v>2622</v>
      </c>
      <c r="S442" s="544" t="s">
        <v>1674</v>
      </c>
      <c r="T442" s="550">
        <v>19</v>
      </c>
      <c r="U442" s="544" t="s">
        <v>2700</v>
      </c>
      <c r="V442" s="547">
        <v>56</v>
      </c>
      <c r="W442" s="548"/>
      <c r="Y442" s="544" t="s">
        <v>1674</v>
      </c>
      <c r="AA442" s="544" t="s">
        <v>1674</v>
      </c>
      <c r="AE442" s="551"/>
      <c r="AF442" s="544" t="s">
        <v>1674</v>
      </c>
      <c r="AG442" s="544" t="s">
        <v>1674</v>
      </c>
      <c r="AH442" s="544" t="s">
        <v>1674</v>
      </c>
      <c r="AI442" s="544" t="s">
        <v>1674</v>
      </c>
      <c r="AJ442" s="544" t="s">
        <v>1674</v>
      </c>
      <c r="AK442" s="544" t="s">
        <v>1674</v>
      </c>
      <c r="AL442" s="544" t="s">
        <v>1674</v>
      </c>
      <c r="AM442" s="544" t="s">
        <v>2825</v>
      </c>
      <c r="AN442" s="544" t="s">
        <v>1674</v>
      </c>
      <c r="AP442" s="552">
        <f t="shared" si="6"/>
        <v>0</v>
      </c>
    </row>
    <row r="443" spans="1:42" outlineLevel="1" x14ac:dyDescent="0.25">
      <c r="A443" s="544" t="s">
        <v>1674</v>
      </c>
      <c r="B443" s="545">
        <v>11813</v>
      </c>
      <c r="C443" s="544" t="s">
        <v>2814</v>
      </c>
      <c r="D443" s="544" t="s">
        <v>3006</v>
      </c>
      <c r="E443" s="542" t="s">
        <v>2851</v>
      </c>
      <c r="F443" s="542" t="s">
        <v>3002</v>
      </c>
      <c r="G443" s="546">
        <v>456.96</v>
      </c>
      <c r="H443" s="546"/>
      <c r="I443" s="546"/>
      <c r="J443" s="542" t="s">
        <v>806</v>
      </c>
      <c r="K443" s="547">
        <v>8400</v>
      </c>
      <c r="L443" s="542" t="s">
        <v>806</v>
      </c>
      <c r="M443" s="548"/>
      <c r="N443" s="549">
        <v>3</v>
      </c>
      <c r="O443" s="544" t="s">
        <v>1674</v>
      </c>
      <c r="P443" s="544" t="s">
        <v>1674</v>
      </c>
      <c r="Q443" s="544" t="s">
        <v>2818</v>
      </c>
      <c r="R443" s="544" t="s">
        <v>2622</v>
      </c>
      <c r="S443" s="544" t="s">
        <v>1674</v>
      </c>
      <c r="T443" s="550">
        <v>19</v>
      </c>
      <c r="U443" s="544" t="s">
        <v>2700</v>
      </c>
      <c r="V443" s="547">
        <v>37</v>
      </c>
      <c r="W443" s="548"/>
      <c r="Y443" s="544" t="s">
        <v>1674</v>
      </c>
      <c r="AA443" s="544" t="s">
        <v>1674</v>
      </c>
      <c r="AE443" s="551"/>
      <c r="AF443" s="544" t="s">
        <v>1674</v>
      </c>
      <c r="AG443" s="544" t="s">
        <v>1674</v>
      </c>
      <c r="AH443" s="544" t="s">
        <v>1674</v>
      </c>
      <c r="AI443" s="544" t="s">
        <v>1674</v>
      </c>
      <c r="AJ443" s="544" t="s">
        <v>1674</v>
      </c>
      <c r="AK443" s="544" t="s">
        <v>1674</v>
      </c>
      <c r="AL443" s="544" t="s">
        <v>1674</v>
      </c>
      <c r="AM443" s="544" t="s">
        <v>2819</v>
      </c>
      <c r="AN443" s="544" t="s">
        <v>1674</v>
      </c>
      <c r="AP443" s="552">
        <f t="shared" si="6"/>
        <v>0</v>
      </c>
    </row>
    <row r="444" spans="1:42" outlineLevel="1" x14ac:dyDescent="0.25">
      <c r="A444" s="544" t="s">
        <v>1674</v>
      </c>
      <c r="B444" s="545">
        <v>22204</v>
      </c>
      <c r="C444" s="544" t="s">
        <v>3007</v>
      </c>
      <c r="D444" s="544" t="s">
        <v>3008</v>
      </c>
      <c r="E444" s="542" t="s">
        <v>2851</v>
      </c>
      <c r="F444" s="542" t="s">
        <v>3002</v>
      </c>
      <c r="G444" s="546">
        <v>3494.4</v>
      </c>
      <c r="H444" s="546"/>
      <c r="I444" s="546"/>
      <c r="J444" s="542" t="s">
        <v>806</v>
      </c>
      <c r="K444" s="547">
        <v>8125</v>
      </c>
      <c r="L444" s="542" t="s">
        <v>806</v>
      </c>
      <c r="M444" s="548"/>
      <c r="N444" s="549">
        <v>3</v>
      </c>
      <c r="O444" s="544" t="s">
        <v>1674</v>
      </c>
      <c r="P444" s="544" t="s">
        <v>1674</v>
      </c>
      <c r="Q444" s="544" t="s">
        <v>3009</v>
      </c>
      <c r="R444" s="544" t="s">
        <v>2898</v>
      </c>
      <c r="S444" s="544" t="s">
        <v>1674</v>
      </c>
      <c r="T444" s="550"/>
      <c r="U444" s="544" t="s">
        <v>2700</v>
      </c>
      <c r="V444" s="547">
        <v>33</v>
      </c>
      <c r="W444" s="548"/>
      <c r="Y444" s="544" t="s">
        <v>1674</v>
      </c>
      <c r="AA444" s="544" t="s">
        <v>1674</v>
      </c>
      <c r="AE444" s="551"/>
      <c r="AF444" s="544" t="s">
        <v>1674</v>
      </c>
      <c r="AG444" s="544" t="s">
        <v>1674</v>
      </c>
      <c r="AH444" s="544" t="s">
        <v>1674</v>
      </c>
      <c r="AI444" s="544" t="s">
        <v>1674</v>
      </c>
      <c r="AJ444" s="544" t="s">
        <v>1674</v>
      </c>
      <c r="AK444" s="544" t="s">
        <v>1674</v>
      </c>
      <c r="AL444" s="544" t="s">
        <v>1674</v>
      </c>
      <c r="AM444" s="544" t="s">
        <v>3010</v>
      </c>
      <c r="AN444" s="544" t="s">
        <v>1674</v>
      </c>
      <c r="AP444" s="552">
        <f t="shared" si="6"/>
        <v>0</v>
      </c>
    </row>
    <row r="445" spans="1:42" outlineLevel="1" x14ac:dyDescent="0.25">
      <c r="A445" s="544" t="s">
        <v>1674</v>
      </c>
      <c r="B445" s="545">
        <v>10100</v>
      </c>
      <c r="C445" s="544" t="s">
        <v>2864</v>
      </c>
      <c r="D445" s="544" t="s">
        <v>3014</v>
      </c>
      <c r="E445" s="542" t="s">
        <v>3015</v>
      </c>
      <c r="F445" s="542" t="s">
        <v>3016</v>
      </c>
      <c r="G445" s="546">
        <v>97.58</v>
      </c>
      <c r="H445" s="546"/>
      <c r="I445" s="546"/>
      <c r="J445" s="542" t="s">
        <v>806</v>
      </c>
      <c r="K445" s="547">
        <v>8400</v>
      </c>
      <c r="L445" s="542" t="s">
        <v>806</v>
      </c>
      <c r="M445" s="548"/>
      <c r="N445" s="549">
        <v>4</v>
      </c>
      <c r="O445" s="544" t="s">
        <v>1674</v>
      </c>
      <c r="P445" s="544" t="s">
        <v>1674</v>
      </c>
      <c r="Q445" s="544" t="s">
        <v>2868</v>
      </c>
      <c r="R445" s="544" t="s">
        <v>2622</v>
      </c>
      <c r="S445" s="544" t="s">
        <v>1674</v>
      </c>
      <c r="T445" s="550">
        <v>19</v>
      </c>
      <c r="U445" s="544" t="s">
        <v>2700</v>
      </c>
      <c r="V445" s="547">
        <v>84</v>
      </c>
      <c r="W445" s="548"/>
      <c r="Y445" s="544" t="s">
        <v>1674</v>
      </c>
      <c r="AA445" s="544" t="s">
        <v>1674</v>
      </c>
      <c r="AE445" s="551"/>
      <c r="AF445" s="544" t="s">
        <v>1674</v>
      </c>
      <c r="AG445" s="544" t="s">
        <v>1674</v>
      </c>
      <c r="AH445" s="544" t="s">
        <v>1674</v>
      </c>
      <c r="AI445" s="544" t="s">
        <v>1674</v>
      </c>
      <c r="AJ445" s="544" t="s">
        <v>1674</v>
      </c>
      <c r="AK445" s="544" t="s">
        <v>1674</v>
      </c>
      <c r="AL445" s="544" t="s">
        <v>1674</v>
      </c>
      <c r="AM445" s="544" t="s">
        <v>2864</v>
      </c>
      <c r="AN445" s="544" t="s">
        <v>1674</v>
      </c>
      <c r="AP445" s="552">
        <f t="shared" si="6"/>
        <v>0</v>
      </c>
    </row>
    <row r="446" spans="1:42" outlineLevel="1" x14ac:dyDescent="0.25">
      <c r="A446" s="544" t="s">
        <v>1674</v>
      </c>
      <c r="B446" s="545">
        <v>10509</v>
      </c>
      <c r="C446" s="544" t="s">
        <v>3017</v>
      </c>
      <c r="D446" s="544" t="s">
        <v>3018</v>
      </c>
      <c r="E446" s="542" t="s">
        <v>3015</v>
      </c>
      <c r="F446" s="542" t="s">
        <v>3016</v>
      </c>
      <c r="G446" s="546">
        <v>761.6</v>
      </c>
      <c r="H446" s="546"/>
      <c r="I446" s="546"/>
      <c r="J446" s="542" t="s">
        <v>806</v>
      </c>
      <c r="K446" s="547">
        <v>8400</v>
      </c>
      <c r="L446" s="542" t="s">
        <v>806</v>
      </c>
      <c r="M446" s="548"/>
      <c r="N446" s="549">
        <v>4</v>
      </c>
      <c r="O446" s="544" t="s">
        <v>1674</v>
      </c>
      <c r="P446" s="544" t="s">
        <v>1674</v>
      </c>
      <c r="Q446" s="544" t="s">
        <v>3017</v>
      </c>
      <c r="R446" s="544" t="s">
        <v>2622</v>
      </c>
      <c r="S446" s="544" t="s">
        <v>1674</v>
      </c>
      <c r="T446" s="550">
        <v>19</v>
      </c>
      <c r="U446" s="544" t="s">
        <v>2700</v>
      </c>
      <c r="V446" s="547">
        <v>69</v>
      </c>
      <c r="W446" s="548"/>
      <c r="Y446" s="544" t="s">
        <v>1674</v>
      </c>
      <c r="AA446" s="544" t="s">
        <v>1674</v>
      </c>
      <c r="AE446" s="551"/>
      <c r="AF446" s="544" t="s">
        <v>1674</v>
      </c>
      <c r="AG446" s="544" t="s">
        <v>1674</v>
      </c>
      <c r="AH446" s="544" t="s">
        <v>1674</v>
      </c>
      <c r="AI446" s="544" t="s">
        <v>1674</v>
      </c>
      <c r="AJ446" s="544" t="s">
        <v>1674</v>
      </c>
      <c r="AK446" s="544" t="s">
        <v>1674</v>
      </c>
      <c r="AL446" s="544" t="s">
        <v>1674</v>
      </c>
      <c r="AM446" s="544" t="s">
        <v>3019</v>
      </c>
      <c r="AN446" s="544" t="s">
        <v>1674</v>
      </c>
      <c r="AP446" s="552">
        <f t="shared" si="6"/>
        <v>0</v>
      </c>
    </row>
    <row r="447" spans="1:42" outlineLevel="1" x14ac:dyDescent="0.25">
      <c r="A447" s="544" t="s">
        <v>1674</v>
      </c>
      <c r="B447" s="545">
        <v>11106</v>
      </c>
      <c r="C447" s="544" t="s">
        <v>3024</v>
      </c>
      <c r="D447" s="544" t="s">
        <v>3025</v>
      </c>
      <c r="E447" s="542" t="s">
        <v>3022</v>
      </c>
      <c r="F447" s="542" t="s">
        <v>2963</v>
      </c>
      <c r="G447" s="546">
        <v>119.89</v>
      </c>
      <c r="H447" s="546"/>
      <c r="I447" s="546"/>
      <c r="J447" s="542" t="s">
        <v>806</v>
      </c>
      <c r="K447" s="547">
        <v>8400</v>
      </c>
      <c r="L447" s="542" t="s">
        <v>806</v>
      </c>
      <c r="M447" s="548"/>
      <c r="N447" s="549">
        <v>5</v>
      </c>
      <c r="O447" s="544" t="s">
        <v>1674</v>
      </c>
      <c r="P447" s="544" t="s">
        <v>1674</v>
      </c>
      <c r="Q447" s="544" t="s">
        <v>3026</v>
      </c>
      <c r="R447" s="544" t="s">
        <v>1674</v>
      </c>
      <c r="S447" s="544" t="s">
        <v>1674</v>
      </c>
      <c r="T447" s="550">
        <v>19</v>
      </c>
      <c r="U447" s="544" t="s">
        <v>2700</v>
      </c>
      <c r="V447" s="547">
        <v>86</v>
      </c>
      <c r="W447" s="548"/>
      <c r="Y447" s="544" t="s">
        <v>1674</v>
      </c>
      <c r="AA447" s="544" t="s">
        <v>1674</v>
      </c>
      <c r="AE447" s="551"/>
      <c r="AF447" s="544" t="s">
        <v>1674</v>
      </c>
      <c r="AG447" s="544" t="s">
        <v>1674</v>
      </c>
      <c r="AH447" s="544" t="s">
        <v>1674</v>
      </c>
      <c r="AI447" s="544" t="s">
        <v>1674</v>
      </c>
      <c r="AJ447" s="544" t="s">
        <v>1674</v>
      </c>
      <c r="AK447" s="544" t="s">
        <v>1674</v>
      </c>
      <c r="AL447" s="544" t="s">
        <v>1674</v>
      </c>
      <c r="AM447" s="544" t="s">
        <v>3027</v>
      </c>
      <c r="AN447" s="544" t="s">
        <v>1674</v>
      </c>
      <c r="AP447" s="552">
        <f t="shared" si="6"/>
        <v>0</v>
      </c>
    </row>
    <row r="448" spans="1:42" outlineLevel="1" x14ac:dyDescent="0.25">
      <c r="A448" s="544" t="s">
        <v>1674</v>
      </c>
      <c r="B448" s="545">
        <v>0</v>
      </c>
      <c r="C448" s="544" t="s">
        <v>1674</v>
      </c>
      <c r="D448" s="544" t="s">
        <v>3025</v>
      </c>
      <c r="E448" s="542" t="s">
        <v>3022</v>
      </c>
      <c r="F448" s="542" t="s">
        <v>2963</v>
      </c>
      <c r="G448" s="546">
        <v>6.37</v>
      </c>
      <c r="H448" s="546"/>
      <c r="I448" s="546"/>
      <c r="J448" s="542" t="s">
        <v>806</v>
      </c>
      <c r="K448" s="547">
        <v>8400</v>
      </c>
      <c r="L448" s="542" t="s">
        <v>806</v>
      </c>
      <c r="M448" s="548"/>
      <c r="N448" s="549">
        <v>5</v>
      </c>
      <c r="O448" s="544" t="s">
        <v>1674</v>
      </c>
      <c r="P448" s="544" t="s">
        <v>1674</v>
      </c>
      <c r="Q448" s="544" t="s">
        <v>3026</v>
      </c>
      <c r="R448" s="544" t="s">
        <v>2617</v>
      </c>
      <c r="S448" s="544" t="s">
        <v>1674</v>
      </c>
      <c r="T448" s="550">
        <v>19</v>
      </c>
      <c r="U448" s="544" t="s">
        <v>2700</v>
      </c>
      <c r="V448" s="547">
        <v>87</v>
      </c>
      <c r="W448" s="548"/>
      <c r="Y448" s="544" t="s">
        <v>1674</v>
      </c>
      <c r="AA448" s="544" t="s">
        <v>1674</v>
      </c>
      <c r="AE448" s="551"/>
      <c r="AF448" s="544" t="s">
        <v>1674</v>
      </c>
      <c r="AG448" s="544" t="s">
        <v>1674</v>
      </c>
      <c r="AH448" s="544" t="s">
        <v>1674</v>
      </c>
      <c r="AI448" s="544" t="s">
        <v>1674</v>
      </c>
      <c r="AJ448" s="544" t="s">
        <v>1674</v>
      </c>
      <c r="AK448" s="544" t="s">
        <v>1674</v>
      </c>
      <c r="AL448" s="544" t="s">
        <v>1674</v>
      </c>
      <c r="AM448" s="544" t="s">
        <v>1674</v>
      </c>
      <c r="AN448" s="544" t="s">
        <v>1674</v>
      </c>
      <c r="AP448" s="552">
        <f t="shared" si="6"/>
        <v>0</v>
      </c>
    </row>
    <row r="449" spans="1:42" outlineLevel="1" x14ac:dyDescent="0.25">
      <c r="A449" s="544" t="s">
        <v>1674</v>
      </c>
      <c r="B449" s="545">
        <v>11200</v>
      </c>
      <c r="C449" s="544" t="s">
        <v>2871</v>
      </c>
      <c r="D449" s="544" t="s">
        <v>3032</v>
      </c>
      <c r="E449" s="542" t="s">
        <v>3033</v>
      </c>
      <c r="F449" s="542" t="s">
        <v>2988</v>
      </c>
      <c r="G449" s="546">
        <v>175.17</v>
      </c>
      <c r="H449" s="546"/>
      <c r="I449" s="546"/>
      <c r="J449" s="542" t="s">
        <v>806</v>
      </c>
      <c r="K449" s="547">
        <v>8400</v>
      </c>
      <c r="L449" s="542" t="s">
        <v>806</v>
      </c>
      <c r="M449" s="548"/>
      <c r="N449" s="549">
        <v>8</v>
      </c>
      <c r="O449" s="544" t="s">
        <v>1674</v>
      </c>
      <c r="P449" s="544" t="s">
        <v>1674</v>
      </c>
      <c r="Q449" s="544" t="s">
        <v>2873</v>
      </c>
      <c r="R449" s="544" t="s">
        <v>2622</v>
      </c>
      <c r="S449" s="544" t="s">
        <v>1674</v>
      </c>
      <c r="T449" s="550">
        <v>19</v>
      </c>
      <c r="U449" s="544" t="s">
        <v>2700</v>
      </c>
      <c r="V449" s="547">
        <v>121</v>
      </c>
      <c r="W449" s="548"/>
      <c r="Y449" s="544" t="s">
        <v>1674</v>
      </c>
      <c r="AA449" s="544" t="s">
        <v>1674</v>
      </c>
      <c r="AE449" s="551"/>
      <c r="AF449" s="544" t="s">
        <v>1674</v>
      </c>
      <c r="AG449" s="544" t="s">
        <v>1674</v>
      </c>
      <c r="AH449" s="544" t="s">
        <v>1674</v>
      </c>
      <c r="AI449" s="544" t="s">
        <v>1674</v>
      </c>
      <c r="AJ449" s="544" t="s">
        <v>1674</v>
      </c>
      <c r="AK449" s="544" t="s">
        <v>1674</v>
      </c>
      <c r="AL449" s="544" t="s">
        <v>1674</v>
      </c>
      <c r="AM449" s="544" t="s">
        <v>2871</v>
      </c>
      <c r="AN449" s="544" t="s">
        <v>1674</v>
      </c>
      <c r="AP449" s="552">
        <f t="shared" si="6"/>
        <v>0</v>
      </c>
    </row>
    <row r="450" spans="1:42" outlineLevel="1" x14ac:dyDescent="0.25">
      <c r="A450" s="544" t="s">
        <v>1674</v>
      </c>
      <c r="B450" s="545">
        <v>11813</v>
      </c>
      <c r="C450" s="544" t="s">
        <v>2814</v>
      </c>
      <c r="D450" s="544" t="s">
        <v>3035</v>
      </c>
      <c r="E450" s="542" t="s">
        <v>3033</v>
      </c>
      <c r="F450" s="542" t="s">
        <v>2988</v>
      </c>
      <c r="G450" s="546">
        <v>761.6</v>
      </c>
      <c r="H450" s="546"/>
      <c r="I450" s="546"/>
      <c r="J450" s="542" t="s">
        <v>806</v>
      </c>
      <c r="K450" s="547">
        <v>8400</v>
      </c>
      <c r="L450" s="542" t="s">
        <v>806</v>
      </c>
      <c r="M450" s="548"/>
      <c r="N450" s="549">
        <v>8</v>
      </c>
      <c r="O450" s="544" t="s">
        <v>1674</v>
      </c>
      <c r="P450" s="544" t="s">
        <v>1674</v>
      </c>
      <c r="Q450" s="544" t="s">
        <v>2818</v>
      </c>
      <c r="R450" s="544" t="s">
        <v>2622</v>
      </c>
      <c r="S450" s="544" t="s">
        <v>1674</v>
      </c>
      <c r="T450" s="550">
        <v>19</v>
      </c>
      <c r="U450" s="544" t="s">
        <v>2700</v>
      </c>
      <c r="V450" s="547">
        <v>108</v>
      </c>
      <c r="W450" s="548"/>
      <c r="Y450" s="544" t="s">
        <v>1674</v>
      </c>
      <c r="AA450" s="544" t="s">
        <v>1674</v>
      </c>
      <c r="AE450" s="551"/>
      <c r="AF450" s="544" t="s">
        <v>1674</v>
      </c>
      <c r="AG450" s="544" t="s">
        <v>1674</v>
      </c>
      <c r="AH450" s="544" t="s">
        <v>1674</v>
      </c>
      <c r="AI450" s="544" t="s">
        <v>1674</v>
      </c>
      <c r="AJ450" s="544" t="s">
        <v>1674</v>
      </c>
      <c r="AK450" s="544" t="s">
        <v>1674</v>
      </c>
      <c r="AL450" s="544" t="s">
        <v>1674</v>
      </c>
      <c r="AM450" s="544" t="s">
        <v>2819</v>
      </c>
      <c r="AN450" s="544" t="s">
        <v>1674</v>
      </c>
      <c r="AP450" s="552">
        <f t="shared" si="6"/>
        <v>0</v>
      </c>
    </row>
    <row r="451" spans="1:42" outlineLevel="1" x14ac:dyDescent="0.25">
      <c r="A451" s="544" t="s">
        <v>1674</v>
      </c>
      <c r="B451" s="545">
        <v>10400</v>
      </c>
      <c r="C451" s="544" t="s">
        <v>2730</v>
      </c>
      <c r="D451" s="544" t="s">
        <v>3040</v>
      </c>
      <c r="E451" s="542" t="s">
        <v>3041</v>
      </c>
      <c r="F451" s="542" t="s">
        <v>3042</v>
      </c>
      <c r="G451" s="546">
        <v>118.34</v>
      </c>
      <c r="H451" s="546"/>
      <c r="I451" s="546"/>
      <c r="J451" s="542" t="s">
        <v>806</v>
      </c>
      <c r="K451" s="547">
        <v>8400</v>
      </c>
      <c r="L451" s="542" t="s">
        <v>806</v>
      </c>
      <c r="M451" s="548"/>
      <c r="N451" s="549">
        <v>9</v>
      </c>
      <c r="O451" s="544" t="s">
        <v>1674</v>
      </c>
      <c r="P451" s="544" t="s">
        <v>1674</v>
      </c>
      <c r="Q451" s="544" t="s">
        <v>2733</v>
      </c>
      <c r="R451" s="544" t="s">
        <v>1674</v>
      </c>
      <c r="S451" s="544" t="s">
        <v>1674</v>
      </c>
      <c r="T451" s="550">
        <v>19</v>
      </c>
      <c r="U451" s="544" t="s">
        <v>2700</v>
      </c>
      <c r="V451" s="547">
        <v>133</v>
      </c>
      <c r="W451" s="548"/>
      <c r="Y451" s="544" t="s">
        <v>1674</v>
      </c>
      <c r="AA451" s="544" t="s">
        <v>1674</v>
      </c>
      <c r="AE451" s="551"/>
      <c r="AF451" s="544" t="s">
        <v>1674</v>
      </c>
      <c r="AG451" s="544" t="s">
        <v>1674</v>
      </c>
      <c r="AH451" s="544" t="s">
        <v>1674</v>
      </c>
      <c r="AI451" s="544" t="s">
        <v>1674</v>
      </c>
      <c r="AJ451" s="544" t="s">
        <v>1674</v>
      </c>
      <c r="AK451" s="544" t="s">
        <v>1674</v>
      </c>
      <c r="AL451" s="544" t="s">
        <v>1674</v>
      </c>
      <c r="AM451" s="544" t="s">
        <v>2730</v>
      </c>
      <c r="AN451" s="544" t="s">
        <v>1674</v>
      </c>
      <c r="AP451" s="552">
        <f t="shared" ref="AP451:AP514" si="7">IF(J451="S",+I451,-I451)</f>
        <v>0</v>
      </c>
    </row>
    <row r="452" spans="1:42" outlineLevel="1" x14ac:dyDescent="0.25">
      <c r="A452" s="544" t="s">
        <v>1674</v>
      </c>
      <c r="B452" s="545">
        <v>0</v>
      </c>
      <c r="C452" s="544" t="s">
        <v>1674</v>
      </c>
      <c r="D452" s="544" t="s">
        <v>3040</v>
      </c>
      <c r="E452" s="542" t="s">
        <v>3041</v>
      </c>
      <c r="F452" s="542" t="s">
        <v>3042</v>
      </c>
      <c r="G452" s="546">
        <v>6.25</v>
      </c>
      <c r="H452" s="546"/>
      <c r="I452" s="546"/>
      <c r="J452" s="542" t="s">
        <v>806</v>
      </c>
      <c r="K452" s="547">
        <v>8400</v>
      </c>
      <c r="L452" s="542" t="s">
        <v>806</v>
      </c>
      <c r="M452" s="548"/>
      <c r="N452" s="549">
        <v>9</v>
      </c>
      <c r="O452" s="544" t="s">
        <v>1674</v>
      </c>
      <c r="P452" s="544" t="s">
        <v>1674</v>
      </c>
      <c r="Q452" s="544" t="s">
        <v>2733</v>
      </c>
      <c r="R452" s="544" t="s">
        <v>2617</v>
      </c>
      <c r="S452" s="544" t="s">
        <v>1674</v>
      </c>
      <c r="T452" s="550">
        <v>19</v>
      </c>
      <c r="U452" s="544" t="s">
        <v>2700</v>
      </c>
      <c r="V452" s="547">
        <v>134</v>
      </c>
      <c r="W452" s="548"/>
      <c r="Y452" s="544" t="s">
        <v>1674</v>
      </c>
      <c r="AA452" s="544" t="s">
        <v>1674</v>
      </c>
      <c r="AE452" s="551"/>
      <c r="AF452" s="544" t="s">
        <v>1674</v>
      </c>
      <c r="AG452" s="544" t="s">
        <v>1674</v>
      </c>
      <c r="AH452" s="544" t="s">
        <v>1674</v>
      </c>
      <c r="AI452" s="544" t="s">
        <v>1674</v>
      </c>
      <c r="AJ452" s="544" t="s">
        <v>1674</v>
      </c>
      <c r="AK452" s="544" t="s">
        <v>1674</v>
      </c>
      <c r="AL452" s="544" t="s">
        <v>1674</v>
      </c>
      <c r="AM452" s="544" t="s">
        <v>1674</v>
      </c>
      <c r="AN452" s="544" t="s">
        <v>1674</v>
      </c>
      <c r="AP452" s="552">
        <f t="shared" si="7"/>
        <v>0</v>
      </c>
    </row>
    <row r="453" spans="1:42" outlineLevel="1" x14ac:dyDescent="0.25">
      <c r="A453" s="544" t="s">
        <v>1674</v>
      </c>
      <c r="B453" s="545">
        <v>21606</v>
      </c>
      <c r="C453" s="544" t="s">
        <v>3051</v>
      </c>
      <c r="D453" s="544" t="s">
        <v>3052</v>
      </c>
      <c r="E453" s="542" t="s">
        <v>3041</v>
      </c>
      <c r="F453" s="542" t="s">
        <v>3042</v>
      </c>
      <c r="G453" s="546">
        <v>4186.2</v>
      </c>
      <c r="H453" s="546"/>
      <c r="I453" s="546"/>
      <c r="J453" s="542" t="s">
        <v>806</v>
      </c>
      <c r="K453" s="547">
        <v>8125</v>
      </c>
      <c r="L453" s="542" t="s">
        <v>806</v>
      </c>
      <c r="M453" s="548"/>
      <c r="N453" s="549">
        <v>9</v>
      </c>
      <c r="O453" s="544" t="s">
        <v>1674</v>
      </c>
      <c r="P453" s="544" t="s">
        <v>1674</v>
      </c>
      <c r="Q453" s="544" t="s">
        <v>3053</v>
      </c>
      <c r="R453" s="544" t="s">
        <v>1674</v>
      </c>
      <c r="S453" s="544" t="s">
        <v>1674</v>
      </c>
      <c r="T453" s="550"/>
      <c r="U453" s="544" t="s">
        <v>2700</v>
      </c>
      <c r="V453" s="547">
        <v>128</v>
      </c>
      <c r="W453" s="548"/>
      <c r="Y453" s="544" t="s">
        <v>1674</v>
      </c>
      <c r="AA453" s="544" t="s">
        <v>1674</v>
      </c>
      <c r="AE453" s="551"/>
      <c r="AF453" s="544" t="s">
        <v>1674</v>
      </c>
      <c r="AG453" s="544" t="s">
        <v>1674</v>
      </c>
      <c r="AH453" s="544" t="s">
        <v>1674</v>
      </c>
      <c r="AI453" s="544" t="s">
        <v>1674</v>
      </c>
      <c r="AJ453" s="544" t="s">
        <v>1674</v>
      </c>
      <c r="AK453" s="544" t="s">
        <v>1674</v>
      </c>
      <c r="AL453" s="544" t="s">
        <v>1674</v>
      </c>
      <c r="AM453" s="544" t="s">
        <v>3054</v>
      </c>
      <c r="AN453" s="544" t="s">
        <v>1674</v>
      </c>
      <c r="AP453" s="552">
        <f t="shared" si="7"/>
        <v>0</v>
      </c>
    </row>
    <row r="454" spans="1:42" outlineLevel="1" x14ac:dyDescent="0.25">
      <c r="A454" s="544" t="s">
        <v>1674</v>
      </c>
      <c r="B454" s="545">
        <v>0</v>
      </c>
      <c r="C454" s="544" t="s">
        <v>1674</v>
      </c>
      <c r="D454" s="544" t="s">
        <v>3055</v>
      </c>
      <c r="E454" s="542" t="s">
        <v>3041</v>
      </c>
      <c r="F454" s="542" t="s">
        <v>3042</v>
      </c>
      <c r="G454" s="546">
        <v>2982.48</v>
      </c>
      <c r="H454" s="546"/>
      <c r="I454" s="546"/>
      <c r="J454" s="542" t="s">
        <v>806</v>
      </c>
      <c r="K454" s="547">
        <v>8125</v>
      </c>
      <c r="L454" s="542" t="s">
        <v>806</v>
      </c>
      <c r="M454" s="548"/>
      <c r="N454" s="549">
        <v>9</v>
      </c>
      <c r="O454" s="544" t="s">
        <v>1674</v>
      </c>
      <c r="P454" s="544" t="s">
        <v>1674</v>
      </c>
      <c r="Q454" s="544" t="s">
        <v>3053</v>
      </c>
      <c r="R454" s="544" t="s">
        <v>1674</v>
      </c>
      <c r="S454" s="544" t="s">
        <v>1674</v>
      </c>
      <c r="T454" s="550"/>
      <c r="U454" s="544" t="s">
        <v>2700</v>
      </c>
      <c r="V454" s="547">
        <v>130</v>
      </c>
      <c r="W454" s="548"/>
      <c r="Y454" s="544" t="s">
        <v>1674</v>
      </c>
      <c r="AA454" s="544" t="s">
        <v>1674</v>
      </c>
      <c r="AE454" s="551"/>
      <c r="AF454" s="544" t="s">
        <v>1674</v>
      </c>
      <c r="AG454" s="544" t="s">
        <v>1674</v>
      </c>
      <c r="AH454" s="544" t="s">
        <v>1674</v>
      </c>
      <c r="AI454" s="544" t="s">
        <v>1674</v>
      </c>
      <c r="AJ454" s="544" t="s">
        <v>1674</v>
      </c>
      <c r="AK454" s="544" t="s">
        <v>1674</v>
      </c>
      <c r="AL454" s="544" t="s">
        <v>1674</v>
      </c>
      <c r="AM454" s="544" t="s">
        <v>1674</v>
      </c>
      <c r="AN454" s="544" t="s">
        <v>1674</v>
      </c>
      <c r="AP454" s="552">
        <f t="shared" si="7"/>
        <v>0</v>
      </c>
    </row>
    <row r="455" spans="1:42" outlineLevel="1" x14ac:dyDescent="0.25">
      <c r="A455" s="544" t="s">
        <v>1674</v>
      </c>
      <c r="B455" s="545">
        <v>10505</v>
      </c>
      <c r="C455" s="544" t="s">
        <v>3061</v>
      </c>
      <c r="D455" s="544" t="s">
        <v>3062</v>
      </c>
      <c r="E455" s="542" t="s">
        <v>2887</v>
      </c>
      <c r="F455" s="542" t="s">
        <v>3060</v>
      </c>
      <c r="G455" s="546">
        <v>38514.949999999997</v>
      </c>
      <c r="H455" s="546"/>
      <c r="I455" s="546"/>
      <c r="J455" s="542" t="s">
        <v>806</v>
      </c>
      <c r="K455" s="547">
        <v>8400</v>
      </c>
      <c r="L455" s="542" t="s">
        <v>806</v>
      </c>
      <c r="M455" s="548"/>
      <c r="N455" s="549">
        <v>11</v>
      </c>
      <c r="O455" s="544" t="s">
        <v>1674</v>
      </c>
      <c r="P455" s="544" t="s">
        <v>1674</v>
      </c>
      <c r="Q455" s="544" t="s">
        <v>3063</v>
      </c>
      <c r="R455" s="544" t="s">
        <v>1674</v>
      </c>
      <c r="S455" s="544" t="s">
        <v>1674</v>
      </c>
      <c r="T455" s="550">
        <v>19</v>
      </c>
      <c r="U455" s="544" t="s">
        <v>2700</v>
      </c>
      <c r="V455" s="547">
        <v>161</v>
      </c>
      <c r="W455" s="548"/>
      <c r="Y455" s="544" t="s">
        <v>1674</v>
      </c>
      <c r="AA455" s="544" t="s">
        <v>1674</v>
      </c>
      <c r="AE455" s="551"/>
      <c r="AF455" s="544" t="s">
        <v>3064</v>
      </c>
      <c r="AG455" s="544" t="s">
        <v>3065</v>
      </c>
      <c r="AH455" s="544" t="s">
        <v>3066</v>
      </c>
      <c r="AI455" s="544" t="s">
        <v>1674</v>
      </c>
      <c r="AJ455" s="544" t="s">
        <v>3067</v>
      </c>
      <c r="AK455" s="544" t="s">
        <v>1674</v>
      </c>
      <c r="AL455" s="544" t="s">
        <v>1674</v>
      </c>
      <c r="AM455" s="544" t="s">
        <v>3068</v>
      </c>
      <c r="AN455" s="544" t="s">
        <v>3069</v>
      </c>
      <c r="AP455" s="552">
        <f t="shared" si="7"/>
        <v>0</v>
      </c>
    </row>
    <row r="456" spans="1:42" outlineLevel="1" x14ac:dyDescent="0.25">
      <c r="A456" s="544" t="s">
        <v>1674</v>
      </c>
      <c r="B456" s="545">
        <v>0</v>
      </c>
      <c r="C456" s="544" t="s">
        <v>1674</v>
      </c>
      <c r="D456" s="544" t="s">
        <v>3062</v>
      </c>
      <c r="E456" s="542" t="s">
        <v>2887</v>
      </c>
      <c r="F456" s="542" t="s">
        <v>3060</v>
      </c>
      <c r="G456" s="546">
        <v>1777.86</v>
      </c>
      <c r="H456" s="546"/>
      <c r="I456" s="546"/>
      <c r="J456" s="542" t="s">
        <v>806</v>
      </c>
      <c r="K456" s="547">
        <v>8400</v>
      </c>
      <c r="L456" s="542" t="s">
        <v>806</v>
      </c>
      <c r="M456" s="548"/>
      <c r="N456" s="549">
        <v>11</v>
      </c>
      <c r="O456" s="544" t="s">
        <v>1674</v>
      </c>
      <c r="P456" s="544" t="s">
        <v>1674</v>
      </c>
      <c r="Q456" s="544" t="s">
        <v>3063</v>
      </c>
      <c r="R456" s="544" t="s">
        <v>3070</v>
      </c>
      <c r="S456" s="544" t="s">
        <v>1674</v>
      </c>
      <c r="T456" s="550">
        <v>19</v>
      </c>
      <c r="U456" s="544" t="s">
        <v>2700</v>
      </c>
      <c r="V456" s="547">
        <v>162</v>
      </c>
      <c r="W456" s="548"/>
      <c r="Y456" s="544" t="s">
        <v>1674</v>
      </c>
      <c r="AA456" s="544" t="s">
        <v>1674</v>
      </c>
      <c r="AE456" s="551"/>
      <c r="AF456" s="544" t="s">
        <v>1674</v>
      </c>
      <c r="AG456" s="544" t="s">
        <v>1674</v>
      </c>
      <c r="AH456" s="544" t="s">
        <v>1674</v>
      </c>
      <c r="AI456" s="544" t="s">
        <v>1674</v>
      </c>
      <c r="AJ456" s="544" t="s">
        <v>1674</v>
      </c>
      <c r="AK456" s="544" t="s">
        <v>1674</v>
      </c>
      <c r="AL456" s="544" t="s">
        <v>1674</v>
      </c>
      <c r="AM456" s="544" t="s">
        <v>1674</v>
      </c>
      <c r="AN456" s="544" t="s">
        <v>1674</v>
      </c>
      <c r="AP456" s="552">
        <f t="shared" si="7"/>
        <v>0</v>
      </c>
    </row>
    <row r="457" spans="1:42" outlineLevel="1" x14ac:dyDescent="0.25">
      <c r="A457" s="544" t="s">
        <v>1674</v>
      </c>
      <c r="B457" s="545">
        <v>11600</v>
      </c>
      <c r="C457" s="544" t="s">
        <v>2782</v>
      </c>
      <c r="D457" s="544" t="s">
        <v>3072</v>
      </c>
      <c r="E457" s="542" t="s">
        <v>2902</v>
      </c>
      <c r="F457" s="542" t="s">
        <v>3000</v>
      </c>
      <c r="G457" s="546">
        <v>396.55</v>
      </c>
      <c r="H457" s="546"/>
      <c r="I457" s="546"/>
      <c r="J457" s="542" t="s">
        <v>806</v>
      </c>
      <c r="K457" s="547">
        <v>8400</v>
      </c>
      <c r="L457" s="542" t="s">
        <v>806</v>
      </c>
      <c r="M457" s="548"/>
      <c r="N457" s="549">
        <v>12</v>
      </c>
      <c r="O457" s="544" t="s">
        <v>1674</v>
      </c>
      <c r="P457" s="544" t="s">
        <v>1674</v>
      </c>
      <c r="Q457" s="544" t="s">
        <v>2786</v>
      </c>
      <c r="R457" s="544" t="s">
        <v>1674</v>
      </c>
      <c r="S457" s="544" t="s">
        <v>1674</v>
      </c>
      <c r="T457" s="550">
        <v>19</v>
      </c>
      <c r="U457" s="544" t="s">
        <v>2700</v>
      </c>
      <c r="V457" s="547">
        <v>196</v>
      </c>
      <c r="W457" s="548"/>
      <c r="Y457" s="544" t="s">
        <v>1674</v>
      </c>
      <c r="AA457" s="544" t="s">
        <v>1674</v>
      </c>
      <c r="AE457" s="551"/>
      <c r="AF457" s="544" t="s">
        <v>1674</v>
      </c>
      <c r="AG457" s="544" t="s">
        <v>1674</v>
      </c>
      <c r="AH457" s="544" t="s">
        <v>1674</v>
      </c>
      <c r="AI457" s="544" t="s">
        <v>1674</v>
      </c>
      <c r="AJ457" s="544" t="s">
        <v>1674</v>
      </c>
      <c r="AK457" s="544" t="s">
        <v>1674</v>
      </c>
      <c r="AL457" s="544" t="s">
        <v>1674</v>
      </c>
      <c r="AM457" s="544" t="s">
        <v>2782</v>
      </c>
      <c r="AN457" s="544" t="s">
        <v>1674</v>
      </c>
      <c r="AP457" s="552">
        <f t="shared" si="7"/>
        <v>0</v>
      </c>
    </row>
    <row r="458" spans="1:42" outlineLevel="1" x14ac:dyDescent="0.25">
      <c r="A458" s="544" t="s">
        <v>1674</v>
      </c>
      <c r="B458" s="545">
        <v>0</v>
      </c>
      <c r="C458" s="544" t="s">
        <v>1674</v>
      </c>
      <c r="D458" s="544" t="s">
        <v>3072</v>
      </c>
      <c r="E458" s="542" t="s">
        <v>2902</v>
      </c>
      <c r="F458" s="542" t="s">
        <v>3000</v>
      </c>
      <c r="G458" s="546">
        <v>36.99</v>
      </c>
      <c r="H458" s="546"/>
      <c r="I458" s="546"/>
      <c r="J458" s="542" t="s">
        <v>806</v>
      </c>
      <c r="K458" s="547">
        <v>8400</v>
      </c>
      <c r="L458" s="542" t="s">
        <v>806</v>
      </c>
      <c r="M458" s="548"/>
      <c r="N458" s="549">
        <v>12</v>
      </c>
      <c r="O458" s="544" t="s">
        <v>1674</v>
      </c>
      <c r="P458" s="544" t="s">
        <v>1674</v>
      </c>
      <c r="Q458" s="544" t="s">
        <v>2786</v>
      </c>
      <c r="R458" s="544" t="s">
        <v>2617</v>
      </c>
      <c r="S458" s="544" t="s">
        <v>1674</v>
      </c>
      <c r="T458" s="550">
        <v>19</v>
      </c>
      <c r="U458" s="544" t="s">
        <v>2700</v>
      </c>
      <c r="V458" s="547">
        <v>197</v>
      </c>
      <c r="W458" s="548"/>
      <c r="Y458" s="544" t="s">
        <v>1674</v>
      </c>
      <c r="AA458" s="544" t="s">
        <v>1674</v>
      </c>
      <c r="AE458" s="551"/>
      <c r="AF458" s="544" t="s">
        <v>1674</v>
      </c>
      <c r="AG458" s="544" t="s">
        <v>1674</v>
      </c>
      <c r="AH458" s="544" t="s">
        <v>1674</v>
      </c>
      <c r="AI458" s="544" t="s">
        <v>1674</v>
      </c>
      <c r="AJ458" s="544" t="s">
        <v>1674</v>
      </c>
      <c r="AK458" s="544" t="s">
        <v>1674</v>
      </c>
      <c r="AL458" s="544" t="s">
        <v>1674</v>
      </c>
      <c r="AM458" s="544" t="s">
        <v>1674</v>
      </c>
      <c r="AN458" s="544" t="s">
        <v>1674</v>
      </c>
      <c r="AP458" s="552">
        <f t="shared" si="7"/>
        <v>0</v>
      </c>
    </row>
    <row r="459" spans="1:42" outlineLevel="1" x14ac:dyDescent="0.25">
      <c r="A459" s="544" t="s">
        <v>1674</v>
      </c>
      <c r="B459" s="545">
        <v>10100</v>
      </c>
      <c r="C459" s="544" t="s">
        <v>2864</v>
      </c>
      <c r="D459" s="544" t="s">
        <v>3077</v>
      </c>
      <c r="E459" s="542" t="s">
        <v>3078</v>
      </c>
      <c r="F459" s="542" t="s">
        <v>3079</v>
      </c>
      <c r="G459" s="546">
        <v>195.16</v>
      </c>
      <c r="H459" s="546"/>
      <c r="I459" s="546"/>
      <c r="J459" s="542" t="s">
        <v>806</v>
      </c>
      <c r="K459" s="547">
        <v>8400</v>
      </c>
      <c r="L459" s="542" t="s">
        <v>806</v>
      </c>
      <c r="M459" s="548"/>
      <c r="N459" s="549">
        <v>15</v>
      </c>
      <c r="O459" s="544" t="s">
        <v>1674</v>
      </c>
      <c r="P459" s="544" t="s">
        <v>1674</v>
      </c>
      <c r="Q459" s="544" t="s">
        <v>2868</v>
      </c>
      <c r="R459" s="544" t="s">
        <v>2622</v>
      </c>
      <c r="S459" s="544" t="s">
        <v>1674</v>
      </c>
      <c r="T459" s="550">
        <v>19</v>
      </c>
      <c r="U459" s="544" t="s">
        <v>2700</v>
      </c>
      <c r="V459" s="547">
        <v>231</v>
      </c>
      <c r="W459" s="548"/>
      <c r="Y459" s="544" t="s">
        <v>1674</v>
      </c>
      <c r="AA459" s="544" t="s">
        <v>1674</v>
      </c>
      <c r="AE459" s="551"/>
      <c r="AF459" s="544" t="s">
        <v>1674</v>
      </c>
      <c r="AG459" s="544" t="s">
        <v>1674</v>
      </c>
      <c r="AH459" s="544" t="s">
        <v>1674</v>
      </c>
      <c r="AI459" s="544" t="s">
        <v>1674</v>
      </c>
      <c r="AJ459" s="544" t="s">
        <v>1674</v>
      </c>
      <c r="AK459" s="544" t="s">
        <v>1674</v>
      </c>
      <c r="AL459" s="544" t="s">
        <v>1674</v>
      </c>
      <c r="AM459" s="544" t="s">
        <v>2864</v>
      </c>
      <c r="AN459" s="544" t="s">
        <v>1674</v>
      </c>
      <c r="AP459" s="552">
        <f t="shared" si="7"/>
        <v>0</v>
      </c>
    </row>
    <row r="460" spans="1:42" outlineLevel="1" x14ac:dyDescent="0.25">
      <c r="A460" s="544" t="s">
        <v>1674</v>
      </c>
      <c r="B460" s="545">
        <v>10509</v>
      </c>
      <c r="C460" s="544" t="s">
        <v>3017</v>
      </c>
      <c r="D460" s="544" t="s">
        <v>3081</v>
      </c>
      <c r="E460" s="542" t="s">
        <v>3078</v>
      </c>
      <c r="F460" s="542" t="s">
        <v>3079</v>
      </c>
      <c r="G460" s="546">
        <v>803.96</v>
      </c>
      <c r="H460" s="546"/>
      <c r="I460" s="546"/>
      <c r="J460" s="542" t="s">
        <v>806</v>
      </c>
      <c r="K460" s="547">
        <v>8400</v>
      </c>
      <c r="L460" s="542" t="s">
        <v>806</v>
      </c>
      <c r="M460" s="548"/>
      <c r="N460" s="549">
        <v>15</v>
      </c>
      <c r="O460" s="544" t="s">
        <v>1674</v>
      </c>
      <c r="P460" s="544" t="s">
        <v>1674</v>
      </c>
      <c r="Q460" s="544" t="s">
        <v>3017</v>
      </c>
      <c r="R460" s="544" t="s">
        <v>1674</v>
      </c>
      <c r="S460" s="544" t="s">
        <v>1674</v>
      </c>
      <c r="T460" s="550">
        <v>19</v>
      </c>
      <c r="U460" s="544" t="s">
        <v>2700</v>
      </c>
      <c r="V460" s="547">
        <v>215</v>
      </c>
      <c r="W460" s="548"/>
      <c r="Y460" s="544" t="s">
        <v>1674</v>
      </c>
      <c r="AA460" s="544" t="s">
        <v>1674</v>
      </c>
      <c r="AE460" s="551"/>
      <c r="AF460" s="544" t="s">
        <v>1674</v>
      </c>
      <c r="AG460" s="544" t="s">
        <v>1674</v>
      </c>
      <c r="AH460" s="544" t="s">
        <v>1674</v>
      </c>
      <c r="AI460" s="544" t="s">
        <v>1674</v>
      </c>
      <c r="AJ460" s="544" t="s">
        <v>1674</v>
      </c>
      <c r="AK460" s="544" t="s">
        <v>1674</v>
      </c>
      <c r="AL460" s="544" t="s">
        <v>1674</v>
      </c>
      <c r="AM460" s="544" t="s">
        <v>3019</v>
      </c>
      <c r="AN460" s="544" t="s">
        <v>1674</v>
      </c>
      <c r="AP460" s="552">
        <f t="shared" si="7"/>
        <v>0</v>
      </c>
    </row>
    <row r="461" spans="1:42" outlineLevel="1" x14ac:dyDescent="0.25">
      <c r="A461" s="544" t="s">
        <v>1674</v>
      </c>
      <c r="B461" s="545">
        <v>11200</v>
      </c>
      <c r="C461" s="544" t="s">
        <v>2871</v>
      </c>
      <c r="D461" s="544" t="s">
        <v>3086</v>
      </c>
      <c r="E461" s="542" t="s">
        <v>3078</v>
      </c>
      <c r="F461" s="542" t="s">
        <v>3079</v>
      </c>
      <c r="G461" s="546">
        <v>87.58</v>
      </c>
      <c r="H461" s="546"/>
      <c r="I461" s="546"/>
      <c r="J461" s="542" t="s">
        <v>806</v>
      </c>
      <c r="K461" s="547">
        <v>8400</v>
      </c>
      <c r="L461" s="542" t="s">
        <v>806</v>
      </c>
      <c r="M461" s="548"/>
      <c r="N461" s="549">
        <v>15</v>
      </c>
      <c r="O461" s="544" t="s">
        <v>1674</v>
      </c>
      <c r="P461" s="544" t="s">
        <v>1674</v>
      </c>
      <c r="Q461" s="544" t="s">
        <v>2873</v>
      </c>
      <c r="R461" s="544" t="s">
        <v>2622</v>
      </c>
      <c r="S461" s="544" t="s">
        <v>1674</v>
      </c>
      <c r="T461" s="550">
        <v>19</v>
      </c>
      <c r="U461" s="544" t="s">
        <v>2700</v>
      </c>
      <c r="V461" s="547">
        <v>219</v>
      </c>
      <c r="W461" s="548"/>
      <c r="Y461" s="544" t="s">
        <v>1674</v>
      </c>
      <c r="AA461" s="544" t="s">
        <v>1674</v>
      </c>
      <c r="AE461" s="551"/>
      <c r="AF461" s="544" t="s">
        <v>1674</v>
      </c>
      <c r="AG461" s="544" t="s">
        <v>1674</v>
      </c>
      <c r="AH461" s="544" t="s">
        <v>1674</v>
      </c>
      <c r="AI461" s="544" t="s">
        <v>1674</v>
      </c>
      <c r="AJ461" s="544" t="s">
        <v>1674</v>
      </c>
      <c r="AK461" s="544" t="s">
        <v>1674</v>
      </c>
      <c r="AL461" s="544" t="s">
        <v>1674</v>
      </c>
      <c r="AM461" s="544" t="s">
        <v>2871</v>
      </c>
      <c r="AN461" s="544" t="s">
        <v>1674</v>
      </c>
      <c r="AP461" s="552">
        <f t="shared" si="7"/>
        <v>0</v>
      </c>
    </row>
    <row r="462" spans="1:42" outlineLevel="1" x14ac:dyDescent="0.25">
      <c r="A462" s="544" t="s">
        <v>1674</v>
      </c>
      <c r="B462" s="545">
        <v>20206</v>
      </c>
      <c r="C462" s="544" t="s">
        <v>2793</v>
      </c>
      <c r="D462" s="544" t="s">
        <v>3087</v>
      </c>
      <c r="E462" s="542" t="s">
        <v>3078</v>
      </c>
      <c r="F462" s="542" t="s">
        <v>3079</v>
      </c>
      <c r="G462" s="546">
        <v>660</v>
      </c>
      <c r="H462" s="546"/>
      <c r="I462" s="546"/>
      <c r="J462" s="542" t="s">
        <v>806</v>
      </c>
      <c r="K462" s="547">
        <v>8336</v>
      </c>
      <c r="L462" s="542" t="s">
        <v>806</v>
      </c>
      <c r="M462" s="548"/>
      <c r="N462" s="549">
        <v>15</v>
      </c>
      <c r="O462" s="544" t="s">
        <v>1674</v>
      </c>
      <c r="P462" s="544" t="s">
        <v>1674</v>
      </c>
      <c r="Q462" s="544" t="s">
        <v>2796</v>
      </c>
      <c r="R462" s="544" t="s">
        <v>2984</v>
      </c>
      <c r="S462" s="544" t="s">
        <v>1674</v>
      </c>
      <c r="T462" s="550"/>
      <c r="U462" s="544" t="s">
        <v>2700</v>
      </c>
      <c r="V462" s="547">
        <v>229</v>
      </c>
      <c r="W462" s="548"/>
      <c r="Y462" s="544" t="s">
        <v>1674</v>
      </c>
      <c r="AA462" s="544" t="s">
        <v>1674</v>
      </c>
      <c r="AE462" s="551"/>
      <c r="AF462" s="544" t="s">
        <v>1674</v>
      </c>
      <c r="AG462" s="544" t="s">
        <v>1674</v>
      </c>
      <c r="AH462" s="544" t="s">
        <v>1674</v>
      </c>
      <c r="AI462" s="544" t="s">
        <v>1674</v>
      </c>
      <c r="AJ462" s="544" t="s">
        <v>1674</v>
      </c>
      <c r="AK462" s="544" t="s">
        <v>1674</v>
      </c>
      <c r="AL462" s="544" t="s">
        <v>1674</v>
      </c>
      <c r="AM462" s="544" t="s">
        <v>2798</v>
      </c>
      <c r="AN462" s="544" t="s">
        <v>1674</v>
      </c>
      <c r="AP462" s="552">
        <f t="shared" si="7"/>
        <v>0</v>
      </c>
    </row>
    <row r="463" spans="1:42" outlineLevel="1" x14ac:dyDescent="0.25">
      <c r="A463" s="544" t="s">
        <v>1674</v>
      </c>
      <c r="B463" s="545">
        <v>10400</v>
      </c>
      <c r="C463" s="544" t="s">
        <v>2730</v>
      </c>
      <c r="D463" s="544" t="s">
        <v>3095</v>
      </c>
      <c r="E463" s="542" t="s">
        <v>3093</v>
      </c>
      <c r="F463" s="542" t="s">
        <v>3094</v>
      </c>
      <c r="G463" s="546">
        <v>710.07</v>
      </c>
      <c r="H463" s="546"/>
      <c r="I463" s="546"/>
      <c r="J463" s="542" t="s">
        <v>806</v>
      </c>
      <c r="K463" s="547">
        <v>8400</v>
      </c>
      <c r="L463" s="542" t="s">
        <v>806</v>
      </c>
      <c r="M463" s="548"/>
      <c r="N463" s="549">
        <v>16</v>
      </c>
      <c r="O463" s="544" t="s">
        <v>1674</v>
      </c>
      <c r="P463" s="544" t="s">
        <v>1674</v>
      </c>
      <c r="Q463" s="544" t="s">
        <v>3096</v>
      </c>
      <c r="R463" s="544" t="s">
        <v>1674</v>
      </c>
      <c r="S463" s="544" t="s">
        <v>1674</v>
      </c>
      <c r="T463" s="550">
        <v>19</v>
      </c>
      <c r="U463" s="544" t="s">
        <v>2700</v>
      </c>
      <c r="V463" s="547">
        <v>233</v>
      </c>
      <c r="W463" s="548"/>
      <c r="Y463" s="544" t="s">
        <v>1674</v>
      </c>
      <c r="AA463" s="544" t="s">
        <v>1674</v>
      </c>
      <c r="AE463" s="551"/>
      <c r="AF463" s="544" t="s">
        <v>1674</v>
      </c>
      <c r="AG463" s="544" t="s">
        <v>1674</v>
      </c>
      <c r="AH463" s="544" t="s">
        <v>1674</v>
      </c>
      <c r="AI463" s="544" t="s">
        <v>1674</v>
      </c>
      <c r="AJ463" s="544" t="s">
        <v>1674</v>
      </c>
      <c r="AK463" s="544" t="s">
        <v>1674</v>
      </c>
      <c r="AL463" s="544" t="s">
        <v>1674</v>
      </c>
      <c r="AM463" s="544" t="s">
        <v>2730</v>
      </c>
      <c r="AN463" s="544" t="s">
        <v>1674</v>
      </c>
      <c r="AP463" s="552">
        <f t="shared" si="7"/>
        <v>0</v>
      </c>
    </row>
    <row r="464" spans="1:42" outlineLevel="1" x14ac:dyDescent="0.25">
      <c r="A464" s="544" t="s">
        <v>1674</v>
      </c>
      <c r="B464" s="545">
        <v>0</v>
      </c>
      <c r="C464" s="544" t="s">
        <v>1674</v>
      </c>
      <c r="D464" s="544" t="s">
        <v>3095</v>
      </c>
      <c r="E464" s="542" t="s">
        <v>3093</v>
      </c>
      <c r="F464" s="542" t="s">
        <v>3094</v>
      </c>
      <c r="G464" s="546">
        <v>37.49</v>
      </c>
      <c r="H464" s="546"/>
      <c r="I464" s="546"/>
      <c r="J464" s="542" t="s">
        <v>806</v>
      </c>
      <c r="K464" s="547">
        <v>8400</v>
      </c>
      <c r="L464" s="542" t="s">
        <v>806</v>
      </c>
      <c r="M464" s="548"/>
      <c r="N464" s="549">
        <v>16</v>
      </c>
      <c r="O464" s="544" t="s">
        <v>1674</v>
      </c>
      <c r="P464" s="544" t="s">
        <v>1674</v>
      </c>
      <c r="Q464" s="544" t="s">
        <v>2733</v>
      </c>
      <c r="R464" s="544" t="s">
        <v>2617</v>
      </c>
      <c r="S464" s="544" t="s">
        <v>1674</v>
      </c>
      <c r="T464" s="550">
        <v>19</v>
      </c>
      <c r="U464" s="544" t="s">
        <v>2700</v>
      </c>
      <c r="V464" s="547">
        <v>234</v>
      </c>
      <c r="W464" s="548"/>
      <c r="Y464" s="544" t="s">
        <v>1674</v>
      </c>
      <c r="AA464" s="544" t="s">
        <v>1674</v>
      </c>
      <c r="AE464" s="551"/>
      <c r="AF464" s="544" t="s">
        <v>1674</v>
      </c>
      <c r="AG464" s="544" t="s">
        <v>1674</v>
      </c>
      <c r="AH464" s="544" t="s">
        <v>1674</v>
      </c>
      <c r="AI464" s="544" t="s">
        <v>1674</v>
      </c>
      <c r="AJ464" s="544" t="s">
        <v>1674</v>
      </c>
      <c r="AK464" s="544" t="s">
        <v>1674</v>
      </c>
      <c r="AL464" s="544" t="s">
        <v>1674</v>
      </c>
      <c r="AM464" s="544" t="s">
        <v>1674</v>
      </c>
      <c r="AN464" s="544" t="s">
        <v>1674</v>
      </c>
      <c r="AP464" s="552">
        <f t="shared" si="7"/>
        <v>0</v>
      </c>
    </row>
    <row r="465" spans="1:42" outlineLevel="1" x14ac:dyDescent="0.25">
      <c r="A465" s="544" t="s">
        <v>1674</v>
      </c>
      <c r="B465" s="545">
        <v>10508</v>
      </c>
      <c r="C465" s="544" t="s">
        <v>3097</v>
      </c>
      <c r="D465" s="544" t="s">
        <v>3098</v>
      </c>
      <c r="E465" s="542" t="s">
        <v>3093</v>
      </c>
      <c r="F465" s="542" t="s">
        <v>3094</v>
      </c>
      <c r="G465" s="546">
        <v>316.45</v>
      </c>
      <c r="H465" s="546"/>
      <c r="I465" s="546"/>
      <c r="J465" s="542" t="s">
        <v>806</v>
      </c>
      <c r="K465" s="547">
        <v>8400</v>
      </c>
      <c r="L465" s="542" t="s">
        <v>806</v>
      </c>
      <c r="M465" s="548"/>
      <c r="N465" s="549">
        <v>16</v>
      </c>
      <c r="O465" s="544" t="s">
        <v>1674</v>
      </c>
      <c r="P465" s="544" t="s">
        <v>1674</v>
      </c>
      <c r="Q465" s="544" t="s">
        <v>3099</v>
      </c>
      <c r="R465" s="544" t="s">
        <v>1674</v>
      </c>
      <c r="S465" s="544" t="s">
        <v>1674</v>
      </c>
      <c r="T465" s="550">
        <v>19</v>
      </c>
      <c r="U465" s="544" t="s">
        <v>2700</v>
      </c>
      <c r="V465" s="547">
        <v>236</v>
      </c>
      <c r="W465" s="548"/>
      <c r="Y465" s="544" t="s">
        <v>1674</v>
      </c>
      <c r="AA465" s="544" t="s">
        <v>1674</v>
      </c>
      <c r="AE465" s="551"/>
      <c r="AF465" s="544" t="s">
        <v>3100</v>
      </c>
      <c r="AG465" s="544" t="s">
        <v>3101</v>
      </c>
      <c r="AH465" s="544" t="s">
        <v>3102</v>
      </c>
      <c r="AI465" s="544" t="s">
        <v>1674</v>
      </c>
      <c r="AJ465" s="544" t="s">
        <v>3103</v>
      </c>
      <c r="AK465" s="544" t="s">
        <v>1674</v>
      </c>
      <c r="AL465" s="544" t="s">
        <v>1674</v>
      </c>
      <c r="AM465" s="544" t="s">
        <v>3104</v>
      </c>
      <c r="AN465" s="544" t="s">
        <v>3105</v>
      </c>
      <c r="AP465" s="552">
        <f t="shared" si="7"/>
        <v>0</v>
      </c>
    </row>
    <row r="466" spans="1:42" outlineLevel="1" x14ac:dyDescent="0.25">
      <c r="A466" s="544" t="s">
        <v>1674</v>
      </c>
      <c r="B466" s="545">
        <v>0</v>
      </c>
      <c r="C466" s="544" t="s">
        <v>1674</v>
      </c>
      <c r="D466" s="544" t="s">
        <v>3098</v>
      </c>
      <c r="E466" s="542" t="s">
        <v>3093</v>
      </c>
      <c r="F466" s="542" t="s">
        <v>3094</v>
      </c>
      <c r="G466" s="546">
        <v>138.22999999999999</v>
      </c>
      <c r="H466" s="546"/>
      <c r="I466" s="546"/>
      <c r="J466" s="542" t="s">
        <v>806</v>
      </c>
      <c r="K466" s="547">
        <v>8400</v>
      </c>
      <c r="L466" s="542" t="s">
        <v>806</v>
      </c>
      <c r="M466" s="548"/>
      <c r="N466" s="549">
        <v>16</v>
      </c>
      <c r="O466" s="544" t="s">
        <v>1674</v>
      </c>
      <c r="P466" s="544" t="s">
        <v>1674</v>
      </c>
      <c r="Q466" s="544" t="s">
        <v>3099</v>
      </c>
      <c r="R466" s="544" t="s">
        <v>2617</v>
      </c>
      <c r="S466" s="544" t="s">
        <v>1674</v>
      </c>
      <c r="T466" s="550">
        <v>19</v>
      </c>
      <c r="U466" s="544" t="s">
        <v>2700</v>
      </c>
      <c r="V466" s="547">
        <v>237</v>
      </c>
      <c r="W466" s="548"/>
      <c r="Y466" s="544" t="s">
        <v>1674</v>
      </c>
      <c r="AA466" s="544" t="s">
        <v>1674</v>
      </c>
      <c r="AE466" s="551"/>
      <c r="AF466" s="544" t="s">
        <v>1674</v>
      </c>
      <c r="AG466" s="544" t="s">
        <v>1674</v>
      </c>
      <c r="AH466" s="544" t="s">
        <v>1674</v>
      </c>
      <c r="AI466" s="544" t="s">
        <v>1674</v>
      </c>
      <c r="AJ466" s="544" t="s">
        <v>1674</v>
      </c>
      <c r="AK466" s="544" t="s">
        <v>1674</v>
      </c>
      <c r="AL466" s="544" t="s">
        <v>1674</v>
      </c>
      <c r="AM466" s="544" t="s">
        <v>1674</v>
      </c>
      <c r="AN466" s="544" t="s">
        <v>1674</v>
      </c>
      <c r="AP466" s="552">
        <f t="shared" si="7"/>
        <v>0</v>
      </c>
    </row>
    <row r="467" spans="1:42" outlineLevel="1" x14ac:dyDescent="0.25">
      <c r="A467" s="544" t="s">
        <v>1674</v>
      </c>
      <c r="B467" s="545">
        <v>10705</v>
      </c>
      <c r="C467" s="544" t="s">
        <v>3110</v>
      </c>
      <c r="D467" s="544" t="s">
        <v>3111</v>
      </c>
      <c r="E467" s="542" t="s">
        <v>3093</v>
      </c>
      <c r="F467" s="542" t="s">
        <v>3094</v>
      </c>
      <c r="G467" s="546">
        <v>337.25</v>
      </c>
      <c r="H467" s="546"/>
      <c r="I467" s="546"/>
      <c r="J467" s="542" t="s">
        <v>806</v>
      </c>
      <c r="K467" s="547">
        <v>8400</v>
      </c>
      <c r="L467" s="542" t="s">
        <v>806</v>
      </c>
      <c r="M467" s="548"/>
      <c r="N467" s="549">
        <v>16</v>
      </c>
      <c r="O467" s="544" t="s">
        <v>1674</v>
      </c>
      <c r="P467" s="544" t="s">
        <v>1674</v>
      </c>
      <c r="Q467" s="544" t="s">
        <v>3112</v>
      </c>
      <c r="R467" s="544" t="s">
        <v>1674</v>
      </c>
      <c r="S467" s="544" t="s">
        <v>1674</v>
      </c>
      <c r="T467" s="550">
        <v>19</v>
      </c>
      <c r="U467" s="544" t="s">
        <v>2700</v>
      </c>
      <c r="V467" s="547">
        <v>240</v>
      </c>
      <c r="W467" s="548"/>
      <c r="Y467" s="544" t="s">
        <v>1674</v>
      </c>
      <c r="AA467" s="544" t="s">
        <v>1674</v>
      </c>
      <c r="AE467" s="551"/>
      <c r="AF467" s="544" t="s">
        <v>1674</v>
      </c>
      <c r="AG467" s="544" t="s">
        <v>1674</v>
      </c>
      <c r="AH467" s="544" t="s">
        <v>1674</v>
      </c>
      <c r="AI467" s="544" t="s">
        <v>1674</v>
      </c>
      <c r="AJ467" s="544" t="s">
        <v>1674</v>
      </c>
      <c r="AK467" s="544" t="s">
        <v>1674</v>
      </c>
      <c r="AL467" s="544" t="s">
        <v>1674</v>
      </c>
      <c r="AM467" s="544" t="s">
        <v>3113</v>
      </c>
      <c r="AN467" s="544" t="s">
        <v>1674</v>
      </c>
      <c r="AP467" s="552">
        <f t="shared" si="7"/>
        <v>0</v>
      </c>
    </row>
    <row r="468" spans="1:42" outlineLevel="1" x14ac:dyDescent="0.25">
      <c r="A468" s="544" t="s">
        <v>1674</v>
      </c>
      <c r="B468" s="545">
        <v>0</v>
      </c>
      <c r="C468" s="544" t="s">
        <v>1674</v>
      </c>
      <c r="D468" s="544" t="s">
        <v>3111</v>
      </c>
      <c r="E468" s="542" t="s">
        <v>3093</v>
      </c>
      <c r="F468" s="542" t="s">
        <v>3094</v>
      </c>
      <c r="G468" s="546">
        <v>17.73</v>
      </c>
      <c r="H468" s="546"/>
      <c r="I468" s="546"/>
      <c r="J468" s="542" t="s">
        <v>806</v>
      </c>
      <c r="K468" s="547">
        <v>8400</v>
      </c>
      <c r="L468" s="542" t="s">
        <v>806</v>
      </c>
      <c r="M468" s="548"/>
      <c r="N468" s="549">
        <v>16</v>
      </c>
      <c r="O468" s="544" t="s">
        <v>1674</v>
      </c>
      <c r="P468" s="544" t="s">
        <v>1674</v>
      </c>
      <c r="Q468" s="544" t="s">
        <v>3112</v>
      </c>
      <c r="R468" s="544" t="s">
        <v>2617</v>
      </c>
      <c r="S468" s="544" t="s">
        <v>1674</v>
      </c>
      <c r="T468" s="550">
        <v>19</v>
      </c>
      <c r="U468" s="544" t="s">
        <v>2700</v>
      </c>
      <c r="V468" s="547">
        <v>241</v>
      </c>
      <c r="W468" s="548"/>
      <c r="Y468" s="544" t="s">
        <v>1674</v>
      </c>
      <c r="AA468" s="544" t="s">
        <v>1674</v>
      </c>
      <c r="AE468" s="551"/>
      <c r="AF468" s="544" t="s">
        <v>1674</v>
      </c>
      <c r="AG468" s="544" t="s">
        <v>1674</v>
      </c>
      <c r="AH468" s="544" t="s">
        <v>1674</v>
      </c>
      <c r="AI468" s="544" t="s">
        <v>1674</v>
      </c>
      <c r="AJ468" s="544" t="s">
        <v>1674</v>
      </c>
      <c r="AK468" s="544" t="s">
        <v>1674</v>
      </c>
      <c r="AL468" s="544" t="s">
        <v>1674</v>
      </c>
      <c r="AM468" s="544" t="s">
        <v>1674</v>
      </c>
      <c r="AN468" s="544" t="s">
        <v>1674</v>
      </c>
      <c r="AP468" s="552">
        <f t="shared" si="7"/>
        <v>0</v>
      </c>
    </row>
    <row r="469" spans="1:42" outlineLevel="1" x14ac:dyDescent="0.25">
      <c r="A469" s="544" t="s">
        <v>1674</v>
      </c>
      <c r="B469" s="545">
        <v>11200</v>
      </c>
      <c r="C469" s="544" t="s">
        <v>2871</v>
      </c>
      <c r="D469" s="544" t="s">
        <v>3114</v>
      </c>
      <c r="E469" s="542" t="s">
        <v>3093</v>
      </c>
      <c r="F469" s="542" t="s">
        <v>3094</v>
      </c>
      <c r="G469" s="546">
        <v>1165.67</v>
      </c>
      <c r="H469" s="546"/>
      <c r="I469" s="546"/>
      <c r="J469" s="542" t="s">
        <v>806</v>
      </c>
      <c r="K469" s="547">
        <v>8400</v>
      </c>
      <c r="L469" s="542" t="s">
        <v>806</v>
      </c>
      <c r="M469" s="548"/>
      <c r="N469" s="549">
        <v>16</v>
      </c>
      <c r="O469" s="544" t="s">
        <v>1674</v>
      </c>
      <c r="P469" s="544" t="s">
        <v>1674</v>
      </c>
      <c r="Q469" s="544" t="s">
        <v>3115</v>
      </c>
      <c r="R469" s="544" t="s">
        <v>1674</v>
      </c>
      <c r="S469" s="544" t="s">
        <v>1674</v>
      </c>
      <c r="T469" s="550">
        <v>19</v>
      </c>
      <c r="U469" s="544" t="s">
        <v>2700</v>
      </c>
      <c r="V469" s="547">
        <v>247</v>
      </c>
      <c r="W469" s="548"/>
      <c r="Y469" s="544" t="s">
        <v>1674</v>
      </c>
      <c r="AA469" s="544" t="s">
        <v>1674</v>
      </c>
      <c r="AE469" s="551"/>
      <c r="AF469" s="544" t="s">
        <v>1674</v>
      </c>
      <c r="AG469" s="544" t="s">
        <v>1674</v>
      </c>
      <c r="AH469" s="544" t="s">
        <v>1674</v>
      </c>
      <c r="AI469" s="544" t="s">
        <v>1674</v>
      </c>
      <c r="AJ469" s="544" t="s">
        <v>1674</v>
      </c>
      <c r="AK469" s="544" t="s">
        <v>1674</v>
      </c>
      <c r="AL469" s="544" t="s">
        <v>1674</v>
      </c>
      <c r="AM469" s="544" t="s">
        <v>2871</v>
      </c>
      <c r="AN469" s="544" t="s">
        <v>1674</v>
      </c>
      <c r="AP469" s="552">
        <f t="shared" si="7"/>
        <v>0</v>
      </c>
    </row>
    <row r="470" spans="1:42" outlineLevel="1" x14ac:dyDescent="0.25">
      <c r="A470" s="544" t="s">
        <v>1674</v>
      </c>
      <c r="B470" s="545">
        <v>0</v>
      </c>
      <c r="C470" s="544" t="s">
        <v>1674</v>
      </c>
      <c r="D470" s="544" t="s">
        <v>3114</v>
      </c>
      <c r="E470" s="542" t="s">
        <v>3093</v>
      </c>
      <c r="F470" s="542" t="s">
        <v>3094</v>
      </c>
      <c r="G470" s="546">
        <v>61.69</v>
      </c>
      <c r="H470" s="546"/>
      <c r="I470" s="546"/>
      <c r="J470" s="542" t="s">
        <v>806</v>
      </c>
      <c r="K470" s="547">
        <v>8400</v>
      </c>
      <c r="L470" s="542" t="s">
        <v>806</v>
      </c>
      <c r="M470" s="548"/>
      <c r="N470" s="549">
        <v>16</v>
      </c>
      <c r="O470" s="544" t="s">
        <v>1674</v>
      </c>
      <c r="P470" s="544" t="s">
        <v>1674</v>
      </c>
      <c r="Q470" s="544" t="s">
        <v>3115</v>
      </c>
      <c r="R470" s="544" t="s">
        <v>2617</v>
      </c>
      <c r="S470" s="544" t="s">
        <v>1674</v>
      </c>
      <c r="T470" s="550">
        <v>19</v>
      </c>
      <c r="U470" s="544" t="s">
        <v>2700</v>
      </c>
      <c r="V470" s="547">
        <v>248</v>
      </c>
      <c r="W470" s="548"/>
      <c r="Y470" s="544" t="s">
        <v>1674</v>
      </c>
      <c r="AA470" s="544" t="s">
        <v>1674</v>
      </c>
      <c r="AE470" s="551"/>
      <c r="AF470" s="544" t="s">
        <v>1674</v>
      </c>
      <c r="AG470" s="544" t="s">
        <v>1674</v>
      </c>
      <c r="AH470" s="544" t="s">
        <v>1674</v>
      </c>
      <c r="AI470" s="544" t="s">
        <v>1674</v>
      </c>
      <c r="AJ470" s="544" t="s">
        <v>1674</v>
      </c>
      <c r="AK470" s="544" t="s">
        <v>1674</v>
      </c>
      <c r="AL470" s="544" t="s">
        <v>1674</v>
      </c>
      <c r="AM470" s="544" t="s">
        <v>1674</v>
      </c>
      <c r="AN470" s="544" t="s">
        <v>1674</v>
      </c>
      <c r="AP470" s="552">
        <f t="shared" si="7"/>
        <v>0</v>
      </c>
    </row>
    <row r="471" spans="1:42" outlineLevel="1" x14ac:dyDescent="0.25">
      <c r="A471" s="544" t="s">
        <v>1674</v>
      </c>
      <c r="B471" s="545">
        <v>10400</v>
      </c>
      <c r="C471" s="544" t="s">
        <v>2730</v>
      </c>
      <c r="D471" s="544" t="s">
        <v>3124</v>
      </c>
      <c r="E471" s="542" t="s">
        <v>2912</v>
      </c>
      <c r="F471" s="542" t="s">
        <v>3119</v>
      </c>
      <c r="G471" s="546">
        <v>710.07</v>
      </c>
      <c r="H471" s="546"/>
      <c r="I471" s="546"/>
      <c r="J471" s="542" t="s">
        <v>806</v>
      </c>
      <c r="K471" s="547">
        <v>8400</v>
      </c>
      <c r="L471" s="542" t="s">
        <v>806</v>
      </c>
      <c r="M471" s="548"/>
      <c r="N471" s="549">
        <v>17</v>
      </c>
      <c r="O471" s="544" t="s">
        <v>1674</v>
      </c>
      <c r="P471" s="544" t="s">
        <v>1674</v>
      </c>
      <c r="Q471" s="544" t="s">
        <v>2733</v>
      </c>
      <c r="R471" s="544" t="s">
        <v>1674</v>
      </c>
      <c r="S471" s="544" t="s">
        <v>1674</v>
      </c>
      <c r="T471" s="550">
        <v>19</v>
      </c>
      <c r="U471" s="544" t="s">
        <v>2700</v>
      </c>
      <c r="V471" s="547">
        <v>260</v>
      </c>
      <c r="W471" s="548"/>
      <c r="Y471" s="544" t="s">
        <v>1674</v>
      </c>
      <c r="AA471" s="544" t="s">
        <v>1674</v>
      </c>
      <c r="AE471" s="551"/>
      <c r="AF471" s="544" t="s">
        <v>1674</v>
      </c>
      <c r="AG471" s="544" t="s">
        <v>1674</v>
      </c>
      <c r="AH471" s="544" t="s">
        <v>1674</v>
      </c>
      <c r="AI471" s="544" t="s">
        <v>1674</v>
      </c>
      <c r="AJ471" s="544" t="s">
        <v>1674</v>
      </c>
      <c r="AK471" s="544" t="s">
        <v>1674</v>
      </c>
      <c r="AL471" s="544" t="s">
        <v>1674</v>
      </c>
      <c r="AM471" s="544" t="s">
        <v>2730</v>
      </c>
      <c r="AN471" s="544" t="s">
        <v>1674</v>
      </c>
      <c r="AP471" s="552">
        <f t="shared" si="7"/>
        <v>0</v>
      </c>
    </row>
    <row r="472" spans="1:42" outlineLevel="1" x14ac:dyDescent="0.25">
      <c r="A472" s="544" t="s">
        <v>1674</v>
      </c>
      <c r="B472" s="545">
        <v>0</v>
      </c>
      <c r="C472" s="544" t="s">
        <v>1674</v>
      </c>
      <c r="D472" s="544" t="s">
        <v>3124</v>
      </c>
      <c r="E472" s="542" t="s">
        <v>2912</v>
      </c>
      <c r="F472" s="542" t="s">
        <v>3119</v>
      </c>
      <c r="G472" s="546">
        <v>37.49</v>
      </c>
      <c r="H472" s="546"/>
      <c r="I472" s="546"/>
      <c r="J472" s="542" t="s">
        <v>806</v>
      </c>
      <c r="K472" s="547">
        <v>8400</v>
      </c>
      <c r="L472" s="542" t="s">
        <v>806</v>
      </c>
      <c r="M472" s="548"/>
      <c r="N472" s="549">
        <v>17</v>
      </c>
      <c r="O472" s="544" t="s">
        <v>1674</v>
      </c>
      <c r="P472" s="544" t="s">
        <v>1674</v>
      </c>
      <c r="Q472" s="544" t="s">
        <v>2733</v>
      </c>
      <c r="R472" s="544" t="s">
        <v>2617</v>
      </c>
      <c r="S472" s="544" t="s">
        <v>1674</v>
      </c>
      <c r="T472" s="550">
        <v>19</v>
      </c>
      <c r="U472" s="544" t="s">
        <v>2700</v>
      </c>
      <c r="V472" s="547">
        <v>261</v>
      </c>
      <c r="W472" s="548"/>
      <c r="Y472" s="544" t="s">
        <v>1674</v>
      </c>
      <c r="AA472" s="544" t="s">
        <v>1674</v>
      </c>
      <c r="AE472" s="551"/>
      <c r="AF472" s="544" t="s">
        <v>1674</v>
      </c>
      <c r="AG472" s="544" t="s">
        <v>1674</v>
      </c>
      <c r="AH472" s="544" t="s">
        <v>1674</v>
      </c>
      <c r="AI472" s="544" t="s">
        <v>1674</v>
      </c>
      <c r="AJ472" s="544" t="s">
        <v>1674</v>
      </c>
      <c r="AK472" s="544" t="s">
        <v>1674</v>
      </c>
      <c r="AL472" s="544" t="s">
        <v>1674</v>
      </c>
      <c r="AM472" s="544" t="s">
        <v>1674</v>
      </c>
      <c r="AN472" s="544" t="s">
        <v>1674</v>
      </c>
      <c r="AP472" s="552">
        <f t="shared" si="7"/>
        <v>0</v>
      </c>
    </row>
    <row r="473" spans="1:42" outlineLevel="1" x14ac:dyDescent="0.25">
      <c r="A473" s="544" t="s">
        <v>1674</v>
      </c>
      <c r="B473" s="545">
        <v>0</v>
      </c>
      <c r="C473" s="544" t="s">
        <v>1674</v>
      </c>
      <c r="D473" s="544" t="s">
        <v>3138</v>
      </c>
      <c r="E473" s="542" t="s">
        <v>2912</v>
      </c>
      <c r="F473" s="542" t="s">
        <v>3119</v>
      </c>
      <c r="G473" s="546">
        <v>1989.2</v>
      </c>
      <c r="H473" s="546"/>
      <c r="I473" s="546"/>
      <c r="J473" s="542" t="s">
        <v>806</v>
      </c>
      <c r="K473" s="547">
        <v>8400</v>
      </c>
      <c r="L473" s="542" t="s">
        <v>806</v>
      </c>
      <c r="M473" s="548"/>
      <c r="N473" s="549">
        <v>17</v>
      </c>
      <c r="O473" s="544" t="s">
        <v>1674</v>
      </c>
      <c r="P473" s="544" t="s">
        <v>1674</v>
      </c>
      <c r="Q473" s="544" t="s">
        <v>3134</v>
      </c>
      <c r="R473" s="544" t="s">
        <v>2898</v>
      </c>
      <c r="S473" s="544" t="s">
        <v>1674</v>
      </c>
      <c r="T473" s="550">
        <v>19</v>
      </c>
      <c r="U473" s="544" t="s">
        <v>2700</v>
      </c>
      <c r="V473" s="547">
        <v>279</v>
      </c>
      <c r="W473" s="548"/>
      <c r="Y473" s="544" t="s">
        <v>1674</v>
      </c>
      <c r="AA473" s="544" t="s">
        <v>1674</v>
      </c>
      <c r="AE473" s="551"/>
      <c r="AF473" s="544" t="s">
        <v>1674</v>
      </c>
      <c r="AG473" s="544" t="s">
        <v>1674</v>
      </c>
      <c r="AH473" s="544" t="s">
        <v>1674</v>
      </c>
      <c r="AI473" s="544" t="s">
        <v>1674</v>
      </c>
      <c r="AJ473" s="544" t="s">
        <v>1674</v>
      </c>
      <c r="AK473" s="544" t="s">
        <v>1674</v>
      </c>
      <c r="AL473" s="544" t="s">
        <v>1674</v>
      </c>
      <c r="AM473" s="544" t="s">
        <v>1674</v>
      </c>
      <c r="AN473" s="544" t="s">
        <v>1674</v>
      </c>
      <c r="AP473" s="552">
        <f t="shared" si="7"/>
        <v>0</v>
      </c>
    </row>
    <row r="474" spans="1:42" outlineLevel="1" x14ac:dyDescent="0.25">
      <c r="A474" s="544" t="s">
        <v>1674</v>
      </c>
      <c r="B474" s="545">
        <v>11321</v>
      </c>
      <c r="C474" s="544" t="s">
        <v>3145</v>
      </c>
      <c r="D474" s="544" t="s">
        <v>3146</v>
      </c>
      <c r="E474" s="542" t="s">
        <v>2912</v>
      </c>
      <c r="F474" s="542" t="s">
        <v>3119</v>
      </c>
      <c r="G474" s="546">
        <v>209.92</v>
      </c>
      <c r="H474" s="546"/>
      <c r="I474" s="546"/>
      <c r="J474" s="542" t="s">
        <v>806</v>
      </c>
      <c r="K474" s="547">
        <v>8400</v>
      </c>
      <c r="L474" s="542" t="s">
        <v>806</v>
      </c>
      <c r="M474" s="548"/>
      <c r="N474" s="549">
        <v>17</v>
      </c>
      <c r="O474" s="544" t="s">
        <v>1674</v>
      </c>
      <c r="P474" s="544" t="s">
        <v>1674</v>
      </c>
      <c r="Q474" s="544" t="s">
        <v>3147</v>
      </c>
      <c r="R474" s="544" t="s">
        <v>2622</v>
      </c>
      <c r="S474" s="544" t="s">
        <v>1674</v>
      </c>
      <c r="T474" s="550">
        <v>19</v>
      </c>
      <c r="U474" s="544" t="s">
        <v>2700</v>
      </c>
      <c r="V474" s="547">
        <v>274</v>
      </c>
      <c r="W474" s="548"/>
      <c r="Y474" s="544" t="s">
        <v>1674</v>
      </c>
      <c r="AA474" s="544" t="s">
        <v>1674</v>
      </c>
      <c r="AE474" s="551"/>
      <c r="AF474" s="544" t="s">
        <v>1674</v>
      </c>
      <c r="AG474" s="544" t="s">
        <v>1674</v>
      </c>
      <c r="AH474" s="544" t="s">
        <v>1674</v>
      </c>
      <c r="AI474" s="544" t="s">
        <v>1674</v>
      </c>
      <c r="AJ474" s="544" t="s">
        <v>1674</v>
      </c>
      <c r="AK474" s="544" t="s">
        <v>1674</v>
      </c>
      <c r="AL474" s="544" t="s">
        <v>1674</v>
      </c>
      <c r="AM474" s="544" t="s">
        <v>3148</v>
      </c>
      <c r="AN474" s="544" t="s">
        <v>1674</v>
      </c>
      <c r="AP474" s="552">
        <f t="shared" si="7"/>
        <v>0</v>
      </c>
    </row>
    <row r="475" spans="1:42" outlineLevel="1" x14ac:dyDescent="0.25">
      <c r="A475" s="544" t="s">
        <v>1674</v>
      </c>
      <c r="B475" s="545">
        <v>11103</v>
      </c>
      <c r="C475" s="544" t="s">
        <v>3168</v>
      </c>
      <c r="D475" s="544" t="s">
        <v>3169</v>
      </c>
      <c r="E475" s="542" t="s">
        <v>3158</v>
      </c>
      <c r="F475" s="542" t="s">
        <v>3159</v>
      </c>
      <c r="G475" s="546">
        <v>110.67</v>
      </c>
      <c r="H475" s="546"/>
      <c r="I475" s="546"/>
      <c r="J475" s="542" t="s">
        <v>806</v>
      </c>
      <c r="K475" s="547">
        <v>8400</v>
      </c>
      <c r="L475" s="542" t="s">
        <v>806</v>
      </c>
      <c r="M475" s="548"/>
      <c r="N475" s="549">
        <v>18</v>
      </c>
      <c r="O475" s="544" t="s">
        <v>1674</v>
      </c>
      <c r="P475" s="544" t="s">
        <v>1674</v>
      </c>
      <c r="Q475" s="544" t="s">
        <v>3170</v>
      </c>
      <c r="R475" s="544" t="s">
        <v>2622</v>
      </c>
      <c r="S475" s="544" t="s">
        <v>1674</v>
      </c>
      <c r="T475" s="550">
        <v>19</v>
      </c>
      <c r="U475" s="544" t="s">
        <v>2700</v>
      </c>
      <c r="V475" s="547">
        <v>296</v>
      </c>
      <c r="W475" s="548"/>
      <c r="Y475" s="544" t="s">
        <v>1674</v>
      </c>
      <c r="AA475" s="544" t="s">
        <v>1674</v>
      </c>
      <c r="AE475" s="551"/>
      <c r="AF475" s="544" t="s">
        <v>1674</v>
      </c>
      <c r="AG475" s="544" t="s">
        <v>1674</v>
      </c>
      <c r="AH475" s="544" t="s">
        <v>1674</v>
      </c>
      <c r="AI475" s="544" t="s">
        <v>1674</v>
      </c>
      <c r="AJ475" s="544" t="s">
        <v>1674</v>
      </c>
      <c r="AK475" s="544" t="s">
        <v>1674</v>
      </c>
      <c r="AL475" s="544" t="s">
        <v>1674</v>
      </c>
      <c r="AM475" s="544" t="s">
        <v>3171</v>
      </c>
      <c r="AN475" s="544" t="s">
        <v>1674</v>
      </c>
      <c r="AP475" s="552">
        <f t="shared" si="7"/>
        <v>0</v>
      </c>
    </row>
    <row r="476" spans="1:42" outlineLevel="1" x14ac:dyDescent="0.25">
      <c r="A476" s="544" t="s">
        <v>1674</v>
      </c>
      <c r="B476" s="545">
        <v>10100</v>
      </c>
      <c r="C476" s="544" t="s">
        <v>2864</v>
      </c>
      <c r="D476" s="544" t="s">
        <v>3180</v>
      </c>
      <c r="E476" s="542" t="s">
        <v>2920</v>
      </c>
      <c r="F476" s="542" t="s">
        <v>3181</v>
      </c>
      <c r="G476" s="546">
        <v>195.16</v>
      </c>
      <c r="H476" s="546"/>
      <c r="I476" s="546"/>
      <c r="J476" s="542" t="s">
        <v>806</v>
      </c>
      <c r="K476" s="547">
        <v>8400</v>
      </c>
      <c r="L476" s="542" t="s">
        <v>806</v>
      </c>
      <c r="M476" s="548"/>
      <c r="N476" s="549">
        <v>19</v>
      </c>
      <c r="O476" s="544" t="s">
        <v>1674</v>
      </c>
      <c r="P476" s="544" t="s">
        <v>1674</v>
      </c>
      <c r="Q476" s="544" t="s">
        <v>2868</v>
      </c>
      <c r="R476" s="544" t="s">
        <v>2622</v>
      </c>
      <c r="S476" s="544" t="s">
        <v>1674</v>
      </c>
      <c r="T476" s="550">
        <v>19</v>
      </c>
      <c r="U476" s="544" t="s">
        <v>2700</v>
      </c>
      <c r="V476" s="547">
        <v>337</v>
      </c>
      <c r="W476" s="548"/>
      <c r="Y476" s="544" t="s">
        <v>1674</v>
      </c>
      <c r="AA476" s="544" t="s">
        <v>1674</v>
      </c>
      <c r="AE476" s="551"/>
      <c r="AF476" s="544" t="s">
        <v>1674</v>
      </c>
      <c r="AG476" s="544" t="s">
        <v>1674</v>
      </c>
      <c r="AH476" s="544" t="s">
        <v>1674</v>
      </c>
      <c r="AI476" s="544" t="s">
        <v>1674</v>
      </c>
      <c r="AJ476" s="544" t="s">
        <v>1674</v>
      </c>
      <c r="AK476" s="544" t="s">
        <v>1674</v>
      </c>
      <c r="AL476" s="544" t="s">
        <v>1674</v>
      </c>
      <c r="AM476" s="544" t="s">
        <v>2864</v>
      </c>
      <c r="AN476" s="544" t="s">
        <v>1674</v>
      </c>
      <c r="AP476" s="552">
        <f t="shared" si="7"/>
        <v>0</v>
      </c>
    </row>
    <row r="477" spans="1:42" outlineLevel="1" x14ac:dyDescent="0.25">
      <c r="A477" s="544" t="s">
        <v>1674</v>
      </c>
      <c r="B477" s="545">
        <v>10103</v>
      </c>
      <c r="C477" s="544" t="s">
        <v>3182</v>
      </c>
      <c r="D477" s="544" t="s">
        <v>3183</v>
      </c>
      <c r="E477" s="542" t="s">
        <v>2920</v>
      </c>
      <c r="F477" s="542" t="s">
        <v>3181</v>
      </c>
      <c r="G477" s="546">
        <v>87.58</v>
      </c>
      <c r="H477" s="546"/>
      <c r="I477" s="546"/>
      <c r="J477" s="542" t="s">
        <v>806</v>
      </c>
      <c r="K477" s="547">
        <v>8400</v>
      </c>
      <c r="L477" s="542" t="s">
        <v>806</v>
      </c>
      <c r="M477" s="548"/>
      <c r="N477" s="549">
        <v>19</v>
      </c>
      <c r="O477" s="544" t="s">
        <v>1674</v>
      </c>
      <c r="P477" s="544" t="s">
        <v>1674</v>
      </c>
      <c r="Q477" s="544" t="s">
        <v>3184</v>
      </c>
      <c r="R477" s="544" t="s">
        <v>2622</v>
      </c>
      <c r="S477" s="544" t="s">
        <v>1674</v>
      </c>
      <c r="T477" s="550">
        <v>19</v>
      </c>
      <c r="U477" s="544" t="s">
        <v>2700</v>
      </c>
      <c r="V477" s="547">
        <v>328</v>
      </c>
      <c r="W477" s="548"/>
      <c r="Y477" s="544" t="s">
        <v>1674</v>
      </c>
      <c r="AA477" s="544" t="s">
        <v>1674</v>
      </c>
      <c r="AE477" s="551"/>
      <c r="AF477" s="544" t="s">
        <v>1674</v>
      </c>
      <c r="AG477" s="544" t="s">
        <v>1674</v>
      </c>
      <c r="AH477" s="544" t="s">
        <v>1674</v>
      </c>
      <c r="AI477" s="544" t="s">
        <v>1674</v>
      </c>
      <c r="AJ477" s="544" t="s">
        <v>1674</v>
      </c>
      <c r="AK477" s="544" t="s">
        <v>1674</v>
      </c>
      <c r="AL477" s="544" t="s">
        <v>1674</v>
      </c>
      <c r="AM477" s="544" t="s">
        <v>3185</v>
      </c>
      <c r="AN477" s="544" t="s">
        <v>1674</v>
      </c>
      <c r="AP477" s="552">
        <f t="shared" si="7"/>
        <v>0</v>
      </c>
    </row>
    <row r="478" spans="1:42" outlineLevel="1" x14ac:dyDescent="0.25">
      <c r="A478" s="544" t="s">
        <v>1674</v>
      </c>
      <c r="B478" s="545">
        <v>10108</v>
      </c>
      <c r="C478" s="544" t="s">
        <v>3187</v>
      </c>
      <c r="D478" s="544" t="s">
        <v>3188</v>
      </c>
      <c r="E478" s="542" t="s">
        <v>2920</v>
      </c>
      <c r="F478" s="542" t="s">
        <v>3181</v>
      </c>
      <c r="G478" s="546">
        <v>175.17</v>
      </c>
      <c r="H478" s="546"/>
      <c r="I478" s="546"/>
      <c r="J478" s="542" t="s">
        <v>806</v>
      </c>
      <c r="K478" s="547">
        <v>8400</v>
      </c>
      <c r="L478" s="542" t="s">
        <v>806</v>
      </c>
      <c r="M478" s="548"/>
      <c r="N478" s="549">
        <v>19</v>
      </c>
      <c r="O478" s="544" t="s">
        <v>1674</v>
      </c>
      <c r="P478" s="544" t="s">
        <v>1674</v>
      </c>
      <c r="Q478" s="544" t="s">
        <v>3189</v>
      </c>
      <c r="R478" s="544" t="s">
        <v>2622</v>
      </c>
      <c r="S478" s="544" t="s">
        <v>1674</v>
      </c>
      <c r="T478" s="550">
        <v>19</v>
      </c>
      <c r="U478" s="544" t="s">
        <v>2700</v>
      </c>
      <c r="V478" s="547">
        <v>309</v>
      </c>
      <c r="W478" s="548"/>
      <c r="Y478" s="544" t="s">
        <v>1674</v>
      </c>
      <c r="AA478" s="544" t="s">
        <v>1674</v>
      </c>
      <c r="AE478" s="551"/>
      <c r="AF478" s="544" t="s">
        <v>1674</v>
      </c>
      <c r="AG478" s="544" t="s">
        <v>1674</v>
      </c>
      <c r="AH478" s="544" t="s">
        <v>1674</v>
      </c>
      <c r="AI478" s="544" t="s">
        <v>1674</v>
      </c>
      <c r="AJ478" s="544" t="s">
        <v>1674</v>
      </c>
      <c r="AK478" s="544" t="s">
        <v>1674</v>
      </c>
      <c r="AL478" s="544" t="s">
        <v>1674</v>
      </c>
      <c r="AM478" s="544" t="s">
        <v>3190</v>
      </c>
      <c r="AN478" s="544" t="s">
        <v>1674</v>
      </c>
      <c r="AP478" s="552">
        <f t="shared" si="7"/>
        <v>0</v>
      </c>
    </row>
    <row r="479" spans="1:42" outlineLevel="1" x14ac:dyDescent="0.25">
      <c r="A479" s="544" t="s">
        <v>1674</v>
      </c>
      <c r="B479" s="545">
        <v>10400</v>
      </c>
      <c r="C479" s="544" t="s">
        <v>2730</v>
      </c>
      <c r="D479" s="544" t="s">
        <v>3208</v>
      </c>
      <c r="E479" s="542" t="s">
        <v>2920</v>
      </c>
      <c r="F479" s="542" t="s">
        <v>3181</v>
      </c>
      <c r="G479" s="546">
        <v>1420.15</v>
      </c>
      <c r="H479" s="546"/>
      <c r="I479" s="546"/>
      <c r="J479" s="542" t="s">
        <v>806</v>
      </c>
      <c r="K479" s="547">
        <v>8400</v>
      </c>
      <c r="L479" s="542" t="s">
        <v>806</v>
      </c>
      <c r="M479" s="548"/>
      <c r="N479" s="549">
        <v>19</v>
      </c>
      <c r="O479" s="544" t="s">
        <v>1674</v>
      </c>
      <c r="P479" s="544" t="s">
        <v>1674</v>
      </c>
      <c r="Q479" s="544" t="s">
        <v>2733</v>
      </c>
      <c r="R479" s="544" t="s">
        <v>1674</v>
      </c>
      <c r="S479" s="544" t="s">
        <v>1674</v>
      </c>
      <c r="T479" s="550">
        <v>19</v>
      </c>
      <c r="U479" s="544" t="s">
        <v>2700</v>
      </c>
      <c r="V479" s="547">
        <v>315</v>
      </c>
      <c r="W479" s="548"/>
      <c r="Y479" s="544" t="s">
        <v>1674</v>
      </c>
      <c r="AA479" s="544" t="s">
        <v>1674</v>
      </c>
      <c r="AE479" s="551"/>
      <c r="AF479" s="544" t="s">
        <v>1674</v>
      </c>
      <c r="AG479" s="544" t="s">
        <v>1674</v>
      </c>
      <c r="AH479" s="544" t="s">
        <v>1674</v>
      </c>
      <c r="AI479" s="544" t="s">
        <v>1674</v>
      </c>
      <c r="AJ479" s="544" t="s">
        <v>1674</v>
      </c>
      <c r="AK479" s="544" t="s">
        <v>1674</v>
      </c>
      <c r="AL479" s="544" t="s">
        <v>1674</v>
      </c>
      <c r="AM479" s="544" t="s">
        <v>2730</v>
      </c>
      <c r="AN479" s="544" t="s">
        <v>1674</v>
      </c>
      <c r="AP479" s="552">
        <f t="shared" si="7"/>
        <v>0</v>
      </c>
    </row>
    <row r="480" spans="1:42" outlineLevel="1" x14ac:dyDescent="0.25">
      <c r="A480" s="544" t="s">
        <v>1674</v>
      </c>
      <c r="B480" s="545">
        <v>0</v>
      </c>
      <c r="C480" s="544" t="s">
        <v>1674</v>
      </c>
      <c r="D480" s="544" t="s">
        <v>3208</v>
      </c>
      <c r="E480" s="542" t="s">
        <v>2920</v>
      </c>
      <c r="F480" s="542" t="s">
        <v>3181</v>
      </c>
      <c r="G480" s="546">
        <v>74.97</v>
      </c>
      <c r="H480" s="546"/>
      <c r="I480" s="546"/>
      <c r="J480" s="542" t="s">
        <v>806</v>
      </c>
      <c r="K480" s="547">
        <v>8400</v>
      </c>
      <c r="L480" s="542" t="s">
        <v>806</v>
      </c>
      <c r="M480" s="548"/>
      <c r="N480" s="549">
        <v>19</v>
      </c>
      <c r="O480" s="544" t="s">
        <v>1674</v>
      </c>
      <c r="P480" s="544" t="s">
        <v>1674</v>
      </c>
      <c r="Q480" s="544" t="s">
        <v>2733</v>
      </c>
      <c r="R480" s="544" t="s">
        <v>2617</v>
      </c>
      <c r="S480" s="544" t="s">
        <v>1674</v>
      </c>
      <c r="T480" s="550">
        <v>19</v>
      </c>
      <c r="U480" s="544" t="s">
        <v>2700</v>
      </c>
      <c r="V480" s="547">
        <v>316</v>
      </c>
      <c r="W480" s="548"/>
      <c r="Y480" s="544" t="s">
        <v>1674</v>
      </c>
      <c r="AA480" s="544" t="s">
        <v>1674</v>
      </c>
      <c r="AE480" s="551"/>
      <c r="AF480" s="544" t="s">
        <v>1674</v>
      </c>
      <c r="AG480" s="544" t="s">
        <v>1674</v>
      </c>
      <c r="AH480" s="544" t="s">
        <v>1674</v>
      </c>
      <c r="AI480" s="544" t="s">
        <v>1674</v>
      </c>
      <c r="AJ480" s="544" t="s">
        <v>1674</v>
      </c>
      <c r="AK480" s="544" t="s">
        <v>1674</v>
      </c>
      <c r="AL480" s="544" t="s">
        <v>1674</v>
      </c>
      <c r="AM480" s="544" t="s">
        <v>1674</v>
      </c>
      <c r="AN480" s="544" t="s">
        <v>1674</v>
      </c>
      <c r="AP480" s="552">
        <f t="shared" si="7"/>
        <v>0</v>
      </c>
    </row>
    <row r="481" spans="1:42" outlineLevel="1" x14ac:dyDescent="0.25">
      <c r="A481" s="544" t="s">
        <v>1674</v>
      </c>
      <c r="B481" s="545">
        <v>11100</v>
      </c>
      <c r="C481" s="544" t="s">
        <v>2742</v>
      </c>
      <c r="D481" s="544" t="s">
        <v>3209</v>
      </c>
      <c r="E481" s="542" t="s">
        <v>2920</v>
      </c>
      <c r="F481" s="542" t="s">
        <v>3181</v>
      </c>
      <c r="G481" s="546">
        <v>307.73</v>
      </c>
      <c r="H481" s="546"/>
      <c r="I481" s="546"/>
      <c r="J481" s="542" t="s">
        <v>806</v>
      </c>
      <c r="K481" s="547">
        <v>8400</v>
      </c>
      <c r="L481" s="542" t="s">
        <v>806</v>
      </c>
      <c r="M481" s="548"/>
      <c r="N481" s="549">
        <v>19</v>
      </c>
      <c r="O481" s="544" t="s">
        <v>1674</v>
      </c>
      <c r="P481" s="544" t="s">
        <v>1674</v>
      </c>
      <c r="Q481" s="544" t="s">
        <v>3210</v>
      </c>
      <c r="R481" s="544" t="s">
        <v>2622</v>
      </c>
      <c r="S481" s="544" t="s">
        <v>1674</v>
      </c>
      <c r="T481" s="550">
        <v>19</v>
      </c>
      <c r="U481" s="544" t="s">
        <v>2700</v>
      </c>
      <c r="V481" s="547">
        <v>319</v>
      </c>
      <c r="W481" s="548"/>
      <c r="Y481" s="544" t="s">
        <v>1674</v>
      </c>
      <c r="AA481" s="544" t="s">
        <v>1674</v>
      </c>
      <c r="AE481" s="551"/>
      <c r="AF481" s="544" t="s">
        <v>1674</v>
      </c>
      <c r="AG481" s="544" t="s">
        <v>1674</v>
      </c>
      <c r="AH481" s="544" t="s">
        <v>1674</v>
      </c>
      <c r="AI481" s="544" t="s">
        <v>1674</v>
      </c>
      <c r="AJ481" s="544" t="s">
        <v>1674</v>
      </c>
      <c r="AK481" s="544" t="s">
        <v>1674</v>
      </c>
      <c r="AL481" s="544" t="s">
        <v>1674</v>
      </c>
      <c r="AM481" s="544" t="s">
        <v>2742</v>
      </c>
      <c r="AN481" s="544" t="s">
        <v>1674</v>
      </c>
      <c r="AP481" s="552">
        <f t="shared" si="7"/>
        <v>0</v>
      </c>
    </row>
    <row r="482" spans="1:42" outlineLevel="1" x14ac:dyDescent="0.25">
      <c r="A482" s="544" t="s">
        <v>1674</v>
      </c>
      <c r="B482" s="545">
        <v>11102</v>
      </c>
      <c r="C482" s="544" t="s">
        <v>3214</v>
      </c>
      <c r="D482" s="544" t="s">
        <v>3215</v>
      </c>
      <c r="E482" s="542" t="s">
        <v>2920</v>
      </c>
      <c r="F482" s="542" t="s">
        <v>3181</v>
      </c>
      <c r="G482" s="546">
        <v>410.31</v>
      </c>
      <c r="H482" s="546"/>
      <c r="I482" s="546"/>
      <c r="J482" s="542" t="s">
        <v>806</v>
      </c>
      <c r="K482" s="547">
        <v>8400</v>
      </c>
      <c r="L482" s="542" t="s">
        <v>806</v>
      </c>
      <c r="M482" s="548"/>
      <c r="N482" s="549">
        <v>19</v>
      </c>
      <c r="O482" s="544" t="s">
        <v>1674</v>
      </c>
      <c r="P482" s="544" t="s">
        <v>1674</v>
      </c>
      <c r="Q482" s="544" t="s">
        <v>3216</v>
      </c>
      <c r="R482" s="544" t="s">
        <v>2622</v>
      </c>
      <c r="S482" s="544" t="s">
        <v>1674</v>
      </c>
      <c r="T482" s="550">
        <v>19</v>
      </c>
      <c r="U482" s="544" t="s">
        <v>2700</v>
      </c>
      <c r="V482" s="547">
        <v>321</v>
      </c>
      <c r="W482" s="548"/>
      <c r="Y482" s="544" t="s">
        <v>1674</v>
      </c>
      <c r="AA482" s="544" t="s">
        <v>1674</v>
      </c>
      <c r="AE482" s="551"/>
      <c r="AF482" s="544" t="s">
        <v>1674</v>
      </c>
      <c r="AG482" s="544" t="s">
        <v>1674</v>
      </c>
      <c r="AH482" s="544" t="s">
        <v>1674</v>
      </c>
      <c r="AI482" s="544" t="s">
        <v>1674</v>
      </c>
      <c r="AJ482" s="544" t="s">
        <v>1674</v>
      </c>
      <c r="AK482" s="544" t="s">
        <v>1674</v>
      </c>
      <c r="AL482" s="544" t="s">
        <v>1674</v>
      </c>
      <c r="AM482" s="544" t="s">
        <v>3217</v>
      </c>
      <c r="AN482" s="544" t="s">
        <v>1674</v>
      </c>
      <c r="AP482" s="552">
        <f t="shared" si="7"/>
        <v>0</v>
      </c>
    </row>
    <row r="483" spans="1:42" outlineLevel="1" x14ac:dyDescent="0.25">
      <c r="A483" s="544" t="s">
        <v>1674</v>
      </c>
      <c r="B483" s="545">
        <v>11206</v>
      </c>
      <c r="C483" s="544" t="s">
        <v>3132</v>
      </c>
      <c r="D483" s="544" t="s">
        <v>3220</v>
      </c>
      <c r="E483" s="542" t="s">
        <v>2920</v>
      </c>
      <c r="F483" s="542" t="s">
        <v>3181</v>
      </c>
      <c r="G483" s="546">
        <v>3978.41</v>
      </c>
      <c r="H483" s="546"/>
      <c r="I483" s="546"/>
      <c r="J483" s="542" t="s">
        <v>806</v>
      </c>
      <c r="K483" s="547">
        <v>8400</v>
      </c>
      <c r="L483" s="542" t="s">
        <v>806</v>
      </c>
      <c r="M483" s="548"/>
      <c r="N483" s="549">
        <v>19</v>
      </c>
      <c r="O483" s="544" t="s">
        <v>1674</v>
      </c>
      <c r="P483" s="544" t="s">
        <v>1674</v>
      </c>
      <c r="Q483" s="544" t="s">
        <v>3134</v>
      </c>
      <c r="R483" s="544" t="s">
        <v>2898</v>
      </c>
      <c r="S483" s="544" t="s">
        <v>1674</v>
      </c>
      <c r="T483" s="550">
        <v>19</v>
      </c>
      <c r="U483" s="544" t="s">
        <v>2700</v>
      </c>
      <c r="V483" s="547">
        <v>343</v>
      </c>
      <c r="W483" s="548"/>
      <c r="Y483" s="544" t="s">
        <v>1674</v>
      </c>
      <c r="AA483" s="544" t="s">
        <v>1674</v>
      </c>
      <c r="AE483" s="551"/>
      <c r="AF483" s="544" t="s">
        <v>1674</v>
      </c>
      <c r="AG483" s="544" t="s">
        <v>1674</v>
      </c>
      <c r="AH483" s="544" t="s">
        <v>1674</v>
      </c>
      <c r="AI483" s="544" t="s">
        <v>1674</v>
      </c>
      <c r="AJ483" s="544" t="s">
        <v>1674</v>
      </c>
      <c r="AK483" s="544" t="s">
        <v>1674</v>
      </c>
      <c r="AL483" s="544" t="s">
        <v>1674</v>
      </c>
      <c r="AM483" s="544" t="s">
        <v>3135</v>
      </c>
      <c r="AN483" s="544" t="s">
        <v>1674</v>
      </c>
      <c r="AP483" s="552">
        <f t="shared" si="7"/>
        <v>0</v>
      </c>
    </row>
    <row r="484" spans="1:42" outlineLevel="1" x14ac:dyDescent="0.25">
      <c r="A484" s="544" t="s">
        <v>1674</v>
      </c>
      <c r="B484" s="545">
        <v>11800</v>
      </c>
      <c r="C484" s="544" t="s">
        <v>2581</v>
      </c>
      <c r="D484" s="544" t="s">
        <v>3228</v>
      </c>
      <c r="E484" s="542" t="s">
        <v>2920</v>
      </c>
      <c r="F484" s="542" t="s">
        <v>3181</v>
      </c>
      <c r="G484" s="546">
        <v>89.01</v>
      </c>
      <c r="H484" s="546"/>
      <c r="I484" s="546"/>
      <c r="J484" s="542" t="s">
        <v>806</v>
      </c>
      <c r="K484" s="547">
        <v>8400</v>
      </c>
      <c r="L484" s="542" t="s">
        <v>806</v>
      </c>
      <c r="M484" s="548"/>
      <c r="N484" s="549">
        <v>19</v>
      </c>
      <c r="O484" s="544" t="s">
        <v>1674</v>
      </c>
      <c r="P484" s="544" t="s">
        <v>1674</v>
      </c>
      <c r="Q484" s="544" t="s">
        <v>3229</v>
      </c>
      <c r="R484" s="544" t="s">
        <v>2622</v>
      </c>
      <c r="S484" s="544" t="s">
        <v>1674</v>
      </c>
      <c r="T484" s="550">
        <v>19</v>
      </c>
      <c r="U484" s="544" t="s">
        <v>2700</v>
      </c>
      <c r="V484" s="547">
        <v>323</v>
      </c>
      <c r="W484" s="548"/>
      <c r="Y484" s="544" t="s">
        <v>1674</v>
      </c>
      <c r="AA484" s="544" t="s">
        <v>1674</v>
      </c>
      <c r="AE484" s="551"/>
      <c r="AF484" s="544" t="s">
        <v>1674</v>
      </c>
      <c r="AG484" s="544" t="s">
        <v>1674</v>
      </c>
      <c r="AH484" s="544" t="s">
        <v>1674</v>
      </c>
      <c r="AI484" s="544" t="s">
        <v>1674</v>
      </c>
      <c r="AJ484" s="544" t="s">
        <v>1674</v>
      </c>
      <c r="AK484" s="544" t="s">
        <v>1674</v>
      </c>
      <c r="AL484" s="544" t="s">
        <v>1674</v>
      </c>
      <c r="AM484" s="544" t="s">
        <v>2581</v>
      </c>
      <c r="AN484" s="544" t="s">
        <v>1674</v>
      </c>
      <c r="AP484" s="552">
        <f t="shared" si="7"/>
        <v>0</v>
      </c>
    </row>
    <row r="485" spans="1:42" outlineLevel="1" x14ac:dyDescent="0.25">
      <c r="A485" s="544" t="s">
        <v>1674</v>
      </c>
      <c r="B485" s="545">
        <v>11813</v>
      </c>
      <c r="C485" s="544" t="s">
        <v>2814</v>
      </c>
      <c r="D485" s="544" t="s">
        <v>3231</v>
      </c>
      <c r="E485" s="542" t="s">
        <v>2920</v>
      </c>
      <c r="F485" s="542" t="s">
        <v>3181</v>
      </c>
      <c r="G485" s="546">
        <v>456.96</v>
      </c>
      <c r="H485" s="546"/>
      <c r="I485" s="546"/>
      <c r="J485" s="542" t="s">
        <v>806</v>
      </c>
      <c r="K485" s="547">
        <v>8400</v>
      </c>
      <c r="L485" s="542" t="s">
        <v>806</v>
      </c>
      <c r="M485" s="548"/>
      <c r="N485" s="549">
        <v>19</v>
      </c>
      <c r="O485" s="544" t="s">
        <v>1674</v>
      </c>
      <c r="P485" s="544" t="s">
        <v>1674</v>
      </c>
      <c r="Q485" s="544" t="s">
        <v>2818</v>
      </c>
      <c r="R485" s="544" t="s">
        <v>2622</v>
      </c>
      <c r="S485" s="544" t="s">
        <v>1674</v>
      </c>
      <c r="T485" s="550">
        <v>19</v>
      </c>
      <c r="U485" s="544" t="s">
        <v>2700</v>
      </c>
      <c r="V485" s="547">
        <v>313</v>
      </c>
      <c r="W485" s="548"/>
      <c r="Y485" s="544" t="s">
        <v>1674</v>
      </c>
      <c r="AA485" s="544" t="s">
        <v>1674</v>
      </c>
      <c r="AE485" s="551"/>
      <c r="AF485" s="544" t="s">
        <v>1674</v>
      </c>
      <c r="AG485" s="544" t="s">
        <v>1674</v>
      </c>
      <c r="AH485" s="544" t="s">
        <v>1674</v>
      </c>
      <c r="AI485" s="544" t="s">
        <v>1674</v>
      </c>
      <c r="AJ485" s="544" t="s">
        <v>1674</v>
      </c>
      <c r="AK485" s="544" t="s">
        <v>1674</v>
      </c>
      <c r="AL485" s="544" t="s">
        <v>1674</v>
      </c>
      <c r="AM485" s="544" t="s">
        <v>2819</v>
      </c>
      <c r="AN485" s="544" t="s">
        <v>1674</v>
      </c>
      <c r="AP485" s="552">
        <f t="shared" si="7"/>
        <v>0</v>
      </c>
    </row>
    <row r="486" spans="1:42" outlineLevel="1" x14ac:dyDescent="0.25">
      <c r="A486" s="544" t="s">
        <v>1674</v>
      </c>
      <c r="B486" s="545">
        <v>12505</v>
      </c>
      <c r="C486" s="544" t="s">
        <v>3233</v>
      </c>
      <c r="D486" s="544" t="s">
        <v>3234</v>
      </c>
      <c r="E486" s="542" t="s">
        <v>2920</v>
      </c>
      <c r="F486" s="542" t="s">
        <v>3181</v>
      </c>
      <c r="G486" s="546">
        <v>243.95</v>
      </c>
      <c r="H486" s="546"/>
      <c r="I486" s="546"/>
      <c r="J486" s="542" t="s">
        <v>806</v>
      </c>
      <c r="K486" s="547">
        <v>8400</v>
      </c>
      <c r="L486" s="542" t="s">
        <v>806</v>
      </c>
      <c r="M486" s="548"/>
      <c r="N486" s="549">
        <v>19</v>
      </c>
      <c r="O486" s="544" t="s">
        <v>1674</v>
      </c>
      <c r="P486" s="544" t="s">
        <v>1674</v>
      </c>
      <c r="Q486" s="544" t="s">
        <v>3235</v>
      </c>
      <c r="R486" s="544" t="s">
        <v>1674</v>
      </c>
      <c r="S486" s="544" t="s">
        <v>1674</v>
      </c>
      <c r="T486" s="550">
        <v>19</v>
      </c>
      <c r="U486" s="544" t="s">
        <v>2700</v>
      </c>
      <c r="V486" s="547">
        <v>339</v>
      </c>
      <c r="W486" s="548"/>
      <c r="Y486" s="544" t="s">
        <v>1674</v>
      </c>
      <c r="AA486" s="544" t="s">
        <v>1674</v>
      </c>
      <c r="AE486" s="551"/>
      <c r="AF486" s="544" t="s">
        <v>1674</v>
      </c>
      <c r="AG486" s="544" t="s">
        <v>1674</v>
      </c>
      <c r="AH486" s="544" t="s">
        <v>1674</v>
      </c>
      <c r="AI486" s="544" t="s">
        <v>1674</v>
      </c>
      <c r="AJ486" s="544" t="s">
        <v>1674</v>
      </c>
      <c r="AK486" s="544" t="s">
        <v>1674</v>
      </c>
      <c r="AL486" s="544" t="s">
        <v>1674</v>
      </c>
      <c r="AM486" s="544" t="s">
        <v>3236</v>
      </c>
      <c r="AN486" s="544" t="s">
        <v>1674</v>
      </c>
      <c r="AP486" s="552">
        <f t="shared" si="7"/>
        <v>0</v>
      </c>
    </row>
    <row r="487" spans="1:42" outlineLevel="1" x14ac:dyDescent="0.25">
      <c r="A487" s="544" t="s">
        <v>1674</v>
      </c>
      <c r="B487" s="545">
        <v>0</v>
      </c>
      <c r="C487" s="544" t="s">
        <v>1674</v>
      </c>
      <c r="D487" s="544" t="s">
        <v>3237</v>
      </c>
      <c r="E487" s="542" t="s">
        <v>2920</v>
      </c>
      <c r="F487" s="542" t="s">
        <v>3181</v>
      </c>
      <c r="G487" s="546">
        <v>243.95</v>
      </c>
      <c r="H487" s="546"/>
      <c r="I487" s="546"/>
      <c r="J487" s="542" t="s">
        <v>806</v>
      </c>
      <c r="K487" s="547">
        <v>8400</v>
      </c>
      <c r="L487" s="542" t="s">
        <v>806</v>
      </c>
      <c r="M487" s="548"/>
      <c r="N487" s="549">
        <v>19</v>
      </c>
      <c r="O487" s="544" t="s">
        <v>1674</v>
      </c>
      <c r="P487" s="544" t="s">
        <v>1674</v>
      </c>
      <c r="Q487" s="544" t="s">
        <v>3235</v>
      </c>
      <c r="R487" s="544" t="s">
        <v>1674</v>
      </c>
      <c r="S487" s="544" t="s">
        <v>1674</v>
      </c>
      <c r="T487" s="550">
        <v>19</v>
      </c>
      <c r="U487" s="544" t="s">
        <v>2700</v>
      </c>
      <c r="V487" s="547">
        <v>341</v>
      </c>
      <c r="W487" s="548"/>
      <c r="Y487" s="544" t="s">
        <v>1674</v>
      </c>
      <c r="AA487" s="544" t="s">
        <v>1674</v>
      </c>
      <c r="AE487" s="551"/>
      <c r="AF487" s="544" t="s">
        <v>1674</v>
      </c>
      <c r="AG487" s="544" t="s">
        <v>1674</v>
      </c>
      <c r="AH487" s="544" t="s">
        <v>1674</v>
      </c>
      <c r="AI487" s="544" t="s">
        <v>1674</v>
      </c>
      <c r="AJ487" s="544" t="s">
        <v>1674</v>
      </c>
      <c r="AK487" s="544" t="s">
        <v>1674</v>
      </c>
      <c r="AL487" s="544" t="s">
        <v>1674</v>
      </c>
      <c r="AM487" s="544" t="s">
        <v>1674</v>
      </c>
      <c r="AN487" s="544" t="s">
        <v>1674</v>
      </c>
      <c r="AP487" s="552">
        <f t="shared" si="7"/>
        <v>0</v>
      </c>
    </row>
    <row r="488" spans="1:42" outlineLevel="1" x14ac:dyDescent="0.25">
      <c r="A488" s="544" t="s">
        <v>1674</v>
      </c>
      <c r="B488" s="545">
        <v>31905</v>
      </c>
      <c r="C488" s="544" t="s">
        <v>2974</v>
      </c>
      <c r="D488" s="544" t="s">
        <v>3246</v>
      </c>
      <c r="E488" s="542" t="s">
        <v>2920</v>
      </c>
      <c r="F488" s="542" t="s">
        <v>3181</v>
      </c>
      <c r="G488" s="546">
        <v>740</v>
      </c>
      <c r="H488" s="546"/>
      <c r="I488" s="546"/>
      <c r="J488" s="542" t="s">
        <v>806</v>
      </c>
      <c r="K488" s="547">
        <v>8120</v>
      </c>
      <c r="L488" s="542" t="s">
        <v>806</v>
      </c>
      <c r="M488" s="548"/>
      <c r="N488" s="549">
        <v>19</v>
      </c>
      <c r="O488" s="544" t="s">
        <v>1674</v>
      </c>
      <c r="P488" s="544" t="s">
        <v>1674</v>
      </c>
      <c r="Q488" s="544" t="s">
        <v>2976</v>
      </c>
      <c r="R488" s="544" t="s">
        <v>1674</v>
      </c>
      <c r="S488" s="544" t="s">
        <v>1674</v>
      </c>
      <c r="T488" s="550"/>
      <c r="U488" s="544" t="s">
        <v>2700</v>
      </c>
      <c r="V488" s="547">
        <v>333</v>
      </c>
      <c r="W488" s="548"/>
      <c r="Y488" s="544" t="s">
        <v>1674</v>
      </c>
      <c r="AA488" s="544" t="s">
        <v>1674</v>
      </c>
      <c r="AE488" s="551"/>
      <c r="AF488" s="544" t="s">
        <v>1674</v>
      </c>
      <c r="AG488" s="544" t="s">
        <v>1674</v>
      </c>
      <c r="AH488" s="544" t="s">
        <v>1674</v>
      </c>
      <c r="AI488" s="544" t="s">
        <v>1674</v>
      </c>
      <c r="AJ488" s="544" t="s">
        <v>1674</v>
      </c>
      <c r="AK488" s="544" t="s">
        <v>1674</v>
      </c>
      <c r="AL488" s="544" t="s">
        <v>1674</v>
      </c>
      <c r="AM488" s="544" t="s">
        <v>2977</v>
      </c>
      <c r="AN488" s="544" t="s">
        <v>1674</v>
      </c>
      <c r="AP488" s="552">
        <f t="shared" si="7"/>
        <v>0</v>
      </c>
    </row>
    <row r="489" spans="1:42" outlineLevel="1" x14ac:dyDescent="0.25">
      <c r="A489" s="544" t="s">
        <v>1674</v>
      </c>
      <c r="B489" s="545">
        <v>10700</v>
      </c>
      <c r="C489" s="544" t="s">
        <v>2836</v>
      </c>
      <c r="D489" s="544" t="s">
        <v>3247</v>
      </c>
      <c r="E489" s="542" t="s">
        <v>2698</v>
      </c>
      <c r="F489" s="542" t="s">
        <v>3248</v>
      </c>
      <c r="G489" s="546">
        <v>341.66</v>
      </c>
      <c r="H489" s="546"/>
      <c r="I489" s="546"/>
      <c r="J489" s="542" t="s">
        <v>806</v>
      </c>
      <c r="K489" s="547">
        <v>8400</v>
      </c>
      <c r="L489" s="542" t="s">
        <v>806</v>
      </c>
      <c r="M489" s="548"/>
      <c r="N489" s="549">
        <v>22</v>
      </c>
      <c r="O489" s="544" t="s">
        <v>1674</v>
      </c>
      <c r="P489" s="544" t="s">
        <v>1674</v>
      </c>
      <c r="Q489" s="544" t="s">
        <v>2909</v>
      </c>
      <c r="R489" s="544" t="s">
        <v>1674</v>
      </c>
      <c r="S489" s="544" t="s">
        <v>1674</v>
      </c>
      <c r="T489" s="550">
        <v>19</v>
      </c>
      <c r="U489" s="544" t="s">
        <v>2700</v>
      </c>
      <c r="V489" s="547">
        <v>358</v>
      </c>
      <c r="W489" s="548"/>
      <c r="Y489" s="544" t="s">
        <v>1674</v>
      </c>
      <c r="AA489" s="544" t="s">
        <v>1674</v>
      </c>
      <c r="AE489" s="551"/>
      <c r="AF489" s="544" t="s">
        <v>1674</v>
      </c>
      <c r="AG489" s="544" t="s">
        <v>1674</v>
      </c>
      <c r="AH489" s="544" t="s">
        <v>1674</v>
      </c>
      <c r="AI489" s="544" t="s">
        <v>1674</v>
      </c>
      <c r="AJ489" s="544" t="s">
        <v>1674</v>
      </c>
      <c r="AK489" s="544" t="s">
        <v>1674</v>
      </c>
      <c r="AL489" s="544" t="s">
        <v>1674</v>
      </c>
      <c r="AM489" s="544" t="s">
        <v>2836</v>
      </c>
      <c r="AN489" s="544" t="s">
        <v>1674</v>
      </c>
      <c r="AP489" s="552">
        <f t="shared" si="7"/>
        <v>0</v>
      </c>
    </row>
    <row r="490" spans="1:42" outlineLevel="1" x14ac:dyDescent="0.25">
      <c r="A490" s="544" t="s">
        <v>1674</v>
      </c>
      <c r="B490" s="545">
        <v>0</v>
      </c>
      <c r="C490" s="544" t="s">
        <v>1674</v>
      </c>
      <c r="D490" s="544" t="s">
        <v>3247</v>
      </c>
      <c r="E490" s="542" t="s">
        <v>2698</v>
      </c>
      <c r="F490" s="542" t="s">
        <v>3248</v>
      </c>
      <c r="G490" s="546">
        <v>17.97</v>
      </c>
      <c r="H490" s="546"/>
      <c r="I490" s="546"/>
      <c r="J490" s="542" t="s">
        <v>806</v>
      </c>
      <c r="K490" s="547">
        <v>8400</v>
      </c>
      <c r="L490" s="542" t="s">
        <v>806</v>
      </c>
      <c r="M490" s="548"/>
      <c r="N490" s="549">
        <v>22</v>
      </c>
      <c r="O490" s="544" t="s">
        <v>1674</v>
      </c>
      <c r="P490" s="544" t="s">
        <v>1674</v>
      </c>
      <c r="Q490" s="544" t="s">
        <v>2909</v>
      </c>
      <c r="R490" s="544" t="s">
        <v>2617</v>
      </c>
      <c r="S490" s="544" t="s">
        <v>1674</v>
      </c>
      <c r="T490" s="550">
        <v>19</v>
      </c>
      <c r="U490" s="544" t="s">
        <v>2700</v>
      </c>
      <c r="V490" s="547">
        <v>359</v>
      </c>
      <c r="W490" s="548"/>
      <c r="Y490" s="544" t="s">
        <v>1674</v>
      </c>
      <c r="AA490" s="544" t="s">
        <v>1674</v>
      </c>
      <c r="AE490" s="551"/>
      <c r="AF490" s="544" t="s">
        <v>1674</v>
      </c>
      <c r="AG490" s="544" t="s">
        <v>1674</v>
      </c>
      <c r="AH490" s="544" t="s">
        <v>1674</v>
      </c>
      <c r="AI490" s="544" t="s">
        <v>1674</v>
      </c>
      <c r="AJ490" s="544" t="s">
        <v>1674</v>
      </c>
      <c r="AK490" s="544" t="s">
        <v>1674</v>
      </c>
      <c r="AL490" s="544" t="s">
        <v>1674</v>
      </c>
      <c r="AM490" s="544" t="s">
        <v>1674</v>
      </c>
      <c r="AN490" s="544" t="s">
        <v>1674</v>
      </c>
      <c r="AP490" s="552">
        <f t="shared" si="7"/>
        <v>0</v>
      </c>
    </row>
    <row r="491" spans="1:42" outlineLevel="1" x14ac:dyDescent="0.25">
      <c r="A491" s="544" t="s">
        <v>1674</v>
      </c>
      <c r="B491" s="545">
        <v>11000</v>
      </c>
      <c r="C491" s="544" t="s">
        <v>2900</v>
      </c>
      <c r="D491" s="544" t="s">
        <v>3249</v>
      </c>
      <c r="E491" s="542" t="s">
        <v>2698</v>
      </c>
      <c r="F491" s="542" t="s">
        <v>3248</v>
      </c>
      <c r="G491" s="546">
        <v>240.62</v>
      </c>
      <c r="H491" s="546"/>
      <c r="I491" s="546"/>
      <c r="J491" s="542" t="s">
        <v>806</v>
      </c>
      <c r="K491" s="547">
        <v>8400</v>
      </c>
      <c r="L491" s="542" t="s">
        <v>806</v>
      </c>
      <c r="M491" s="548"/>
      <c r="N491" s="549">
        <v>22</v>
      </c>
      <c r="O491" s="544" t="s">
        <v>1674</v>
      </c>
      <c r="P491" s="544" t="s">
        <v>1674</v>
      </c>
      <c r="Q491" s="544" t="s">
        <v>3250</v>
      </c>
      <c r="R491" s="544" t="s">
        <v>1674</v>
      </c>
      <c r="S491" s="544" t="s">
        <v>1674</v>
      </c>
      <c r="T491" s="550">
        <v>19</v>
      </c>
      <c r="U491" s="544" t="s">
        <v>2700</v>
      </c>
      <c r="V491" s="547">
        <v>361</v>
      </c>
      <c r="W491" s="548"/>
      <c r="Y491" s="544" t="s">
        <v>1674</v>
      </c>
      <c r="AA491" s="544" t="s">
        <v>1674</v>
      </c>
      <c r="AE491" s="551"/>
      <c r="AF491" s="544" t="s">
        <v>1674</v>
      </c>
      <c r="AG491" s="544" t="s">
        <v>1674</v>
      </c>
      <c r="AH491" s="544" t="s">
        <v>1674</v>
      </c>
      <c r="AI491" s="544" t="s">
        <v>1674</v>
      </c>
      <c r="AJ491" s="544" t="s">
        <v>1674</v>
      </c>
      <c r="AK491" s="544" t="s">
        <v>1674</v>
      </c>
      <c r="AL491" s="544" t="s">
        <v>1674</v>
      </c>
      <c r="AM491" s="544" t="s">
        <v>2900</v>
      </c>
      <c r="AN491" s="544" t="s">
        <v>1674</v>
      </c>
      <c r="AP491" s="552">
        <f t="shared" si="7"/>
        <v>0</v>
      </c>
    </row>
    <row r="492" spans="1:42" outlineLevel="1" x14ac:dyDescent="0.25">
      <c r="A492" s="544" t="s">
        <v>1674</v>
      </c>
      <c r="B492" s="545">
        <v>0</v>
      </c>
      <c r="C492" s="544" t="s">
        <v>1674</v>
      </c>
      <c r="D492" s="544" t="s">
        <v>3249</v>
      </c>
      <c r="E492" s="542" t="s">
        <v>2698</v>
      </c>
      <c r="F492" s="542" t="s">
        <v>3248</v>
      </c>
      <c r="G492" s="546">
        <v>22.49</v>
      </c>
      <c r="H492" s="546"/>
      <c r="I492" s="546"/>
      <c r="J492" s="542" t="s">
        <v>806</v>
      </c>
      <c r="K492" s="547">
        <v>8400</v>
      </c>
      <c r="L492" s="542" t="s">
        <v>806</v>
      </c>
      <c r="M492" s="548"/>
      <c r="N492" s="549">
        <v>22</v>
      </c>
      <c r="O492" s="544" t="s">
        <v>1674</v>
      </c>
      <c r="P492" s="544" t="s">
        <v>1674</v>
      </c>
      <c r="Q492" s="544" t="s">
        <v>3250</v>
      </c>
      <c r="R492" s="544" t="s">
        <v>2617</v>
      </c>
      <c r="S492" s="544" t="s">
        <v>1674</v>
      </c>
      <c r="T492" s="550">
        <v>19</v>
      </c>
      <c r="U492" s="544" t="s">
        <v>2700</v>
      </c>
      <c r="V492" s="547">
        <v>362</v>
      </c>
      <c r="W492" s="548"/>
      <c r="Y492" s="544" t="s">
        <v>1674</v>
      </c>
      <c r="AA492" s="544" t="s">
        <v>1674</v>
      </c>
      <c r="AE492" s="551"/>
      <c r="AF492" s="544" t="s">
        <v>1674</v>
      </c>
      <c r="AG492" s="544" t="s">
        <v>1674</v>
      </c>
      <c r="AH492" s="544" t="s">
        <v>1674</v>
      </c>
      <c r="AI492" s="544" t="s">
        <v>1674</v>
      </c>
      <c r="AJ492" s="544" t="s">
        <v>1674</v>
      </c>
      <c r="AK492" s="544" t="s">
        <v>1674</v>
      </c>
      <c r="AL492" s="544" t="s">
        <v>1674</v>
      </c>
      <c r="AM492" s="544" t="s">
        <v>1674</v>
      </c>
      <c r="AN492" s="544" t="s">
        <v>1674</v>
      </c>
      <c r="AP492" s="552">
        <f t="shared" si="7"/>
        <v>0</v>
      </c>
    </row>
    <row r="493" spans="1:42" outlineLevel="1" x14ac:dyDescent="0.25">
      <c r="A493" s="544" t="s">
        <v>1674</v>
      </c>
      <c r="B493" s="545">
        <v>11410</v>
      </c>
      <c r="C493" s="544" t="s">
        <v>3251</v>
      </c>
      <c r="D493" s="544" t="s">
        <v>3252</v>
      </c>
      <c r="E493" s="542" t="s">
        <v>2698</v>
      </c>
      <c r="F493" s="542" t="s">
        <v>3248</v>
      </c>
      <c r="G493" s="546">
        <v>135.22</v>
      </c>
      <c r="H493" s="546"/>
      <c r="I493" s="546"/>
      <c r="J493" s="542" t="s">
        <v>806</v>
      </c>
      <c r="K493" s="547">
        <v>8401</v>
      </c>
      <c r="L493" s="542" t="s">
        <v>806</v>
      </c>
      <c r="M493" s="548"/>
      <c r="N493" s="549">
        <v>22</v>
      </c>
      <c r="O493" s="544" t="s">
        <v>1674</v>
      </c>
      <c r="P493" s="544" t="s">
        <v>1674</v>
      </c>
      <c r="Q493" s="544" t="s">
        <v>3253</v>
      </c>
      <c r="R493" s="544" t="s">
        <v>3205</v>
      </c>
      <c r="S493" s="544" t="s">
        <v>1674</v>
      </c>
      <c r="T493" s="550">
        <v>19</v>
      </c>
      <c r="U493" s="544" t="s">
        <v>2700</v>
      </c>
      <c r="V493" s="547">
        <v>364</v>
      </c>
      <c r="W493" s="548"/>
      <c r="Y493" s="544" t="s">
        <v>1674</v>
      </c>
      <c r="AA493" s="544" t="s">
        <v>1674</v>
      </c>
      <c r="AE493" s="551"/>
      <c r="AF493" s="544" t="s">
        <v>3254</v>
      </c>
      <c r="AG493" s="544" t="s">
        <v>3255</v>
      </c>
      <c r="AH493" s="544" t="s">
        <v>3256</v>
      </c>
      <c r="AI493" s="544" t="s">
        <v>1674</v>
      </c>
      <c r="AJ493" s="544" t="s">
        <v>1674</v>
      </c>
      <c r="AK493" s="544" t="s">
        <v>1674</v>
      </c>
      <c r="AL493" s="544" t="s">
        <v>1674</v>
      </c>
      <c r="AM493" s="544" t="s">
        <v>3257</v>
      </c>
      <c r="AN493" s="544" t="s">
        <v>3258</v>
      </c>
      <c r="AP493" s="552">
        <f t="shared" si="7"/>
        <v>0</v>
      </c>
    </row>
    <row r="494" spans="1:42" outlineLevel="1" x14ac:dyDescent="0.25">
      <c r="A494" s="544" t="s">
        <v>1674</v>
      </c>
      <c r="B494" s="545">
        <v>10810</v>
      </c>
      <c r="C494" s="544" t="s">
        <v>3293</v>
      </c>
      <c r="D494" s="544" t="s">
        <v>3294</v>
      </c>
      <c r="E494" s="542" t="s">
        <v>3295</v>
      </c>
      <c r="F494" s="542" t="s">
        <v>3296</v>
      </c>
      <c r="G494" s="546">
        <v>61.25</v>
      </c>
      <c r="H494" s="546"/>
      <c r="I494" s="546"/>
      <c r="J494" s="542" t="s">
        <v>806</v>
      </c>
      <c r="K494" s="547">
        <v>8337</v>
      </c>
      <c r="L494" s="542" t="s">
        <v>806</v>
      </c>
      <c r="M494" s="548"/>
      <c r="N494" s="549">
        <v>30</v>
      </c>
      <c r="O494" s="544" t="s">
        <v>1674</v>
      </c>
      <c r="P494" s="544" t="s">
        <v>1674</v>
      </c>
      <c r="Q494" s="544" t="s">
        <v>3297</v>
      </c>
      <c r="R494" s="544" t="s">
        <v>1674</v>
      </c>
      <c r="S494" s="544" t="s">
        <v>1674</v>
      </c>
      <c r="T494" s="550"/>
      <c r="U494" s="544" t="s">
        <v>2700</v>
      </c>
      <c r="V494" s="547">
        <v>1726</v>
      </c>
      <c r="W494" s="548"/>
      <c r="Y494" s="544" t="s">
        <v>1674</v>
      </c>
      <c r="AA494" s="544" t="s">
        <v>1674</v>
      </c>
      <c r="AE494" s="551"/>
      <c r="AF494" s="544" t="s">
        <v>1674</v>
      </c>
      <c r="AG494" s="544" t="s">
        <v>1674</v>
      </c>
      <c r="AH494" s="544" t="s">
        <v>1674</v>
      </c>
      <c r="AI494" s="544" t="s">
        <v>1674</v>
      </c>
      <c r="AJ494" s="544" t="s">
        <v>1674</v>
      </c>
      <c r="AK494" s="544" t="s">
        <v>1674</v>
      </c>
      <c r="AL494" s="544" t="s">
        <v>1674</v>
      </c>
      <c r="AM494" s="544" t="s">
        <v>3298</v>
      </c>
      <c r="AN494" s="544" t="s">
        <v>1674</v>
      </c>
      <c r="AP494" s="552">
        <f t="shared" si="7"/>
        <v>0</v>
      </c>
    </row>
    <row r="495" spans="1:42" outlineLevel="1" x14ac:dyDescent="0.25">
      <c r="A495" s="544" t="s">
        <v>1674</v>
      </c>
      <c r="B495" s="545">
        <v>10102</v>
      </c>
      <c r="C495" s="544" t="s">
        <v>2747</v>
      </c>
      <c r="D495" s="544" t="s">
        <v>2748</v>
      </c>
      <c r="E495" s="542" t="s">
        <v>2749</v>
      </c>
      <c r="G495" s="546"/>
      <c r="H495" s="546">
        <v>11.9</v>
      </c>
      <c r="I495" s="546">
        <v>11.9</v>
      </c>
      <c r="J495" s="542" t="s">
        <v>2584</v>
      </c>
      <c r="K495" s="547">
        <v>8400</v>
      </c>
      <c r="L495" s="542" t="s">
        <v>806</v>
      </c>
      <c r="M495" s="548"/>
      <c r="N495" s="549">
        <v>0</v>
      </c>
      <c r="O495" s="544" t="s">
        <v>1674</v>
      </c>
      <c r="P495" s="544" t="s">
        <v>1674</v>
      </c>
      <c r="Q495" s="544" t="s">
        <v>2747</v>
      </c>
      <c r="R495" s="544" t="s">
        <v>1674</v>
      </c>
      <c r="S495" s="544" t="s">
        <v>1674</v>
      </c>
      <c r="T495" s="550">
        <v>19</v>
      </c>
      <c r="U495" s="544" t="s">
        <v>2676</v>
      </c>
      <c r="V495" s="547">
        <v>1479</v>
      </c>
      <c r="W495" s="548"/>
      <c r="Y495" s="544" t="s">
        <v>1674</v>
      </c>
      <c r="AA495" s="544" t="s">
        <v>1674</v>
      </c>
      <c r="AE495" s="551"/>
      <c r="AF495" s="544" t="s">
        <v>1674</v>
      </c>
      <c r="AG495" s="544" t="s">
        <v>1674</v>
      </c>
      <c r="AH495" s="544" t="s">
        <v>1674</v>
      </c>
      <c r="AI495" s="544" t="s">
        <v>1674</v>
      </c>
      <c r="AJ495" s="544" t="s">
        <v>1674</v>
      </c>
      <c r="AK495" s="544" t="s">
        <v>1674</v>
      </c>
      <c r="AL495" s="544" t="s">
        <v>1674</v>
      </c>
      <c r="AM495" s="544" t="s">
        <v>2747</v>
      </c>
      <c r="AN495" s="544" t="s">
        <v>1674</v>
      </c>
      <c r="AP495" s="552">
        <f t="shared" si="7"/>
        <v>-11.9</v>
      </c>
    </row>
    <row r="496" spans="1:42" outlineLevel="1" x14ac:dyDescent="0.25">
      <c r="A496" s="544" t="s">
        <v>1674</v>
      </c>
      <c r="B496" s="545">
        <v>11305</v>
      </c>
      <c r="C496" s="544" t="s">
        <v>2636</v>
      </c>
      <c r="D496" s="544" t="s">
        <v>2637</v>
      </c>
      <c r="E496" s="542" t="s">
        <v>2638</v>
      </c>
      <c r="G496" s="546"/>
      <c r="H496" s="546">
        <v>12.14</v>
      </c>
      <c r="I496" s="546">
        <v>12.14</v>
      </c>
      <c r="J496" s="542" t="s">
        <v>2584</v>
      </c>
      <c r="K496" s="547">
        <v>8400</v>
      </c>
      <c r="L496" s="542" t="s">
        <v>806</v>
      </c>
      <c r="M496" s="548"/>
      <c r="N496" s="549">
        <v>0</v>
      </c>
      <c r="O496" s="544" t="s">
        <v>1674</v>
      </c>
      <c r="P496" s="544" t="s">
        <v>1674</v>
      </c>
      <c r="Q496" s="544" t="s">
        <v>2639</v>
      </c>
      <c r="R496" s="544" t="s">
        <v>1674</v>
      </c>
      <c r="S496" s="544" t="s">
        <v>1674</v>
      </c>
      <c r="T496" s="550">
        <v>19</v>
      </c>
      <c r="U496" s="544" t="s">
        <v>2640</v>
      </c>
      <c r="V496" s="547">
        <v>972</v>
      </c>
      <c r="W496" s="548"/>
      <c r="Y496" s="544" t="s">
        <v>1674</v>
      </c>
      <c r="AA496" s="544" t="s">
        <v>1674</v>
      </c>
      <c r="AE496" s="551"/>
      <c r="AF496" s="544" t="s">
        <v>1674</v>
      </c>
      <c r="AG496" s="544" t="s">
        <v>1674</v>
      </c>
      <c r="AH496" s="544" t="s">
        <v>1674</v>
      </c>
      <c r="AI496" s="544" t="s">
        <v>1674</v>
      </c>
      <c r="AJ496" s="544" t="s">
        <v>1674</v>
      </c>
      <c r="AK496" s="544" t="s">
        <v>1674</v>
      </c>
      <c r="AL496" s="544" t="s">
        <v>1674</v>
      </c>
      <c r="AM496" s="544" t="s">
        <v>2641</v>
      </c>
      <c r="AN496" s="544" t="s">
        <v>1674</v>
      </c>
      <c r="AP496" s="552">
        <f t="shared" si="7"/>
        <v>-12.14</v>
      </c>
    </row>
    <row r="497" spans="1:42" outlineLevel="1" x14ac:dyDescent="0.25">
      <c r="A497" s="544" t="s">
        <v>1674</v>
      </c>
      <c r="B497" s="545">
        <v>10229</v>
      </c>
      <c r="C497" s="544" t="s">
        <v>2590</v>
      </c>
      <c r="D497" s="544" t="s">
        <v>2591</v>
      </c>
      <c r="E497" s="542" t="s">
        <v>2592</v>
      </c>
      <c r="G497" s="546"/>
      <c r="H497" s="546">
        <v>17.260000000000002</v>
      </c>
      <c r="I497" s="546">
        <v>17.260000000000002</v>
      </c>
      <c r="J497" s="542" t="s">
        <v>2584</v>
      </c>
      <c r="K497" s="547">
        <v>8400</v>
      </c>
      <c r="L497" s="542" t="s">
        <v>806</v>
      </c>
      <c r="M497" s="548"/>
      <c r="N497" s="549">
        <v>0</v>
      </c>
      <c r="O497" s="544" t="s">
        <v>1674</v>
      </c>
      <c r="P497" s="544" t="s">
        <v>1674</v>
      </c>
      <c r="Q497" s="544" t="s">
        <v>2593</v>
      </c>
      <c r="R497" s="544" t="s">
        <v>1674</v>
      </c>
      <c r="S497" s="544" t="s">
        <v>1674</v>
      </c>
      <c r="T497" s="550">
        <v>19</v>
      </c>
      <c r="U497" s="544" t="s">
        <v>2594</v>
      </c>
      <c r="V497" s="547">
        <v>370</v>
      </c>
      <c r="W497" s="548"/>
      <c r="Y497" s="544" t="s">
        <v>1674</v>
      </c>
      <c r="AA497" s="544" t="s">
        <v>1674</v>
      </c>
      <c r="AE497" s="551"/>
      <c r="AF497" s="544" t="s">
        <v>2595</v>
      </c>
      <c r="AG497" s="544" t="s">
        <v>2596</v>
      </c>
      <c r="AH497" s="544" t="s">
        <v>2597</v>
      </c>
      <c r="AI497" s="544" t="s">
        <v>1674</v>
      </c>
      <c r="AJ497" s="544" t="s">
        <v>2598</v>
      </c>
      <c r="AK497" s="544" t="s">
        <v>1674</v>
      </c>
      <c r="AL497" s="544" t="s">
        <v>1674</v>
      </c>
      <c r="AM497" s="544" t="s">
        <v>2599</v>
      </c>
      <c r="AN497" s="544" t="s">
        <v>2600</v>
      </c>
      <c r="AP497" s="552">
        <f t="shared" si="7"/>
        <v>-17.260000000000002</v>
      </c>
    </row>
    <row r="498" spans="1:42" outlineLevel="1" x14ac:dyDescent="0.25">
      <c r="A498" s="544" t="s">
        <v>1674</v>
      </c>
      <c r="B498" s="545">
        <v>22508</v>
      </c>
      <c r="C498" s="544" t="s">
        <v>2601</v>
      </c>
      <c r="D498" s="544" t="s">
        <v>2602</v>
      </c>
      <c r="E498" s="542" t="s">
        <v>2603</v>
      </c>
      <c r="G498" s="546"/>
      <c r="H498" s="546">
        <v>28</v>
      </c>
      <c r="I498" s="546">
        <v>28</v>
      </c>
      <c r="J498" s="542" t="s">
        <v>2584</v>
      </c>
      <c r="K498" s="547">
        <v>8125</v>
      </c>
      <c r="L498" s="542" t="s">
        <v>806</v>
      </c>
      <c r="M498" s="548"/>
      <c r="N498" s="549">
        <v>0</v>
      </c>
      <c r="O498" s="544" t="s">
        <v>1674</v>
      </c>
      <c r="P498" s="544" t="s">
        <v>1674</v>
      </c>
      <c r="Q498" s="544" t="s">
        <v>2604</v>
      </c>
      <c r="R498" s="544" t="s">
        <v>1674</v>
      </c>
      <c r="S498" s="544" t="s">
        <v>1674</v>
      </c>
      <c r="T498" s="550"/>
      <c r="U498" s="544" t="s">
        <v>2605</v>
      </c>
      <c r="V498" s="547">
        <v>189</v>
      </c>
      <c r="W498" s="548"/>
      <c r="Y498" s="544" t="s">
        <v>1674</v>
      </c>
      <c r="AA498" s="544" t="s">
        <v>1674</v>
      </c>
      <c r="AE498" s="551"/>
      <c r="AF498" s="544" t="s">
        <v>1674</v>
      </c>
      <c r="AG498" s="544" t="s">
        <v>1674</v>
      </c>
      <c r="AH498" s="544" t="s">
        <v>1674</v>
      </c>
      <c r="AI498" s="544" t="s">
        <v>1674</v>
      </c>
      <c r="AJ498" s="544" t="s">
        <v>1674</v>
      </c>
      <c r="AK498" s="544" t="s">
        <v>1674</v>
      </c>
      <c r="AL498" s="544" t="s">
        <v>1674</v>
      </c>
      <c r="AM498" s="544" t="s">
        <v>2606</v>
      </c>
      <c r="AN498" s="544" t="s">
        <v>1674</v>
      </c>
      <c r="AP498" s="552">
        <f t="shared" si="7"/>
        <v>-28</v>
      </c>
    </row>
    <row r="499" spans="1:42" outlineLevel="1" x14ac:dyDescent="0.25">
      <c r="A499" s="544" t="s">
        <v>1674</v>
      </c>
      <c r="B499" s="545">
        <v>30806</v>
      </c>
      <c r="C499" s="544" t="s">
        <v>2702</v>
      </c>
      <c r="D499" s="544" t="s">
        <v>2703</v>
      </c>
      <c r="E499" s="542" t="s">
        <v>2704</v>
      </c>
      <c r="G499" s="546"/>
      <c r="H499" s="546">
        <v>41.8</v>
      </c>
      <c r="I499" s="546">
        <v>41.8</v>
      </c>
      <c r="J499" s="542" t="s">
        <v>2584</v>
      </c>
      <c r="K499" s="547">
        <v>8120</v>
      </c>
      <c r="L499" s="542" t="s">
        <v>806</v>
      </c>
      <c r="M499" s="548"/>
      <c r="N499" s="549">
        <v>0</v>
      </c>
      <c r="O499" s="544" t="s">
        <v>1674</v>
      </c>
      <c r="P499" s="544" t="s">
        <v>1674</v>
      </c>
      <c r="Q499" s="544" t="s">
        <v>2705</v>
      </c>
      <c r="R499" s="544" t="s">
        <v>1674</v>
      </c>
      <c r="S499" s="544" t="s">
        <v>1674</v>
      </c>
      <c r="T499" s="550"/>
      <c r="U499" s="544" t="s">
        <v>2649</v>
      </c>
      <c r="V499" s="547">
        <v>468</v>
      </c>
      <c r="W499" s="548"/>
      <c r="Y499" s="544" t="s">
        <v>1674</v>
      </c>
      <c r="AA499" s="544" t="s">
        <v>1674</v>
      </c>
      <c r="AE499" s="551"/>
      <c r="AF499" s="544" t="s">
        <v>1674</v>
      </c>
      <c r="AG499" s="544" t="s">
        <v>1674</v>
      </c>
      <c r="AH499" s="544" t="s">
        <v>1674</v>
      </c>
      <c r="AI499" s="544" t="s">
        <v>1674</v>
      </c>
      <c r="AJ499" s="544" t="s">
        <v>1674</v>
      </c>
      <c r="AK499" s="544" t="s">
        <v>1674</v>
      </c>
      <c r="AL499" s="544" t="s">
        <v>1674</v>
      </c>
      <c r="AM499" s="544" t="s">
        <v>2706</v>
      </c>
      <c r="AN499" s="544" t="s">
        <v>1674</v>
      </c>
      <c r="AP499" s="552">
        <f t="shared" si="7"/>
        <v>-41.8</v>
      </c>
    </row>
    <row r="500" spans="1:42" outlineLevel="1" x14ac:dyDescent="0.25">
      <c r="A500" s="544" t="s">
        <v>1674</v>
      </c>
      <c r="B500" s="545">
        <v>10229</v>
      </c>
      <c r="C500" s="544" t="s">
        <v>2590</v>
      </c>
      <c r="D500" s="544" t="s">
        <v>2834</v>
      </c>
      <c r="E500" s="542" t="s">
        <v>2835</v>
      </c>
      <c r="G500" s="546"/>
      <c r="H500" s="546">
        <v>50.58</v>
      </c>
      <c r="I500" s="546">
        <v>50.58</v>
      </c>
      <c r="J500" s="542" t="s">
        <v>2584</v>
      </c>
      <c r="K500" s="547">
        <v>8400</v>
      </c>
      <c r="L500" s="542" t="s">
        <v>806</v>
      </c>
      <c r="M500" s="548"/>
      <c r="N500" s="549">
        <v>0</v>
      </c>
      <c r="O500" s="544" t="s">
        <v>1674</v>
      </c>
      <c r="P500" s="544" t="s">
        <v>1674</v>
      </c>
      <c r="Q500" s="544" t="s">
        <v>2593</v>
      </c>
      <c r="R500" s="544" t="s">
        <v>1674</v>
      </c>
      <c r="S500" s="544" t="s">
        <v>1674</v>
      </c>
      <c r="T500" s="550">
        <v>19</v>
      </c>
      <c r="U500" s="544" t="s">
        <v>2694</v>
      </c>
      <c r="V500" s="547">
        <v>335</v>
      </c>
      <c r="W500" s="548"/>
      <c r="Y500" s="544" t="s">
        <v>1674</v>
      </c>
      <c r="AA500" s="544" t="s">
        <v>1674</v>
      </c>
      <c r="AE500" s="551"/>
      <c r="AF500" s="544" t="s">
        <v>2595</v>
      </c>
      <c r="AG500" s="544" t="s">
        <v>2596</v>
      </c>
      <c r="AH500" s="544" t="s">
        <v>2597</v>
      </c>
      <c r="AI500" s="544" t="s">
        <v>1674</v>
      </c>
      <c r="AJ500" s="544" t="s">
        <v>2598</v>
      </c>
      <c r="AK500" s="544" t="s">
        <v>1674</v>
      </c>
      <c r="AL500" s="544" t="s">
        <v>1674</v>
      </c>
      <c r="AM500" s="544" t="s">
        <v>2599</v>
      </c>
      <c r="AN500" s="544" t="s">
        <v>2600</v>
      </c>
      <c r="AP500" s="552">
        <f t="shared" si="7"/>
        <v>-50.58</v>
      </c>
    </row>
    <row r="501" spans="1:42" outlineLevel="1" x14ac:dyDescent="0.25">
      <c r="A501" s="544" t="s">
        <v>1674</v>
      </c>
      <c r="B501" s="545">
        <v>22801</v>
      </c>
      <c r="C501" s="544" t="s">
        <v>2607</v>
      </c>
      <c r="D501" s="544" t="s">
        <v>2608</v>
      </c>
      <c r="E501" s="542" t="s">
        <v>2609</v>
      </c>
      <c r="G501" s="546"/>
      <c r="H501" s="546">
        <v>54.5</v>
      </c>
      <c r="I501" s="546">
        <v>54.5</v>
      </c>
      <c r="J501" s="542" t="s">
        <v>2584</v>
      </c>
      <c r="K501" s="547">
        <v>8125</v>
      </c>
      <c r="L501" s="542" t="s">
        <v>806</v>
      </c>
      <c r="M501" s="548"/>
      <c r="N501" s="549">
        <v>0</v>
      </c>
      <c r="O501" s="544" t="s">
        <v>1674</v>
      </c>
      <c r="P501" s="544" t="s">
        <v>1674</v>
      </c>
      <c r="Q501" s="544" t="s">
        <v>2610</v>
      </c>
      <c r="R501" s="544" t="s">
        <v>1674</v>
      </c>
      <c r="S501" s="544" t="s">
        <v>1674</v>
      </c>
      <c r="T501" s="550"/>
      <c r="U501" s="544" t="s">
        <v>2611</v>
      </c>
      <c r="V501" s="547">
        <v>1127</v>
      </c>
      <c r="W501" s="548"/>
      <c r="Y501" s="544" t="s">
        <v>1674</v>
      </c>
      <c r="AA501" s="544" t="s">
        <v>1674</v>
      </c>
      <c r="AE501" s="551"/>
      <c r="AF501" s="544" t="s">
        <v>1674</v>
      </c>
      <c r="AG501" s="544" t="s">
        <v>1674</v>
      </c>
      <c r="AH501" s="544" t="s">
        <v>1674</v>
      </c>
      <c r="AI501" s="544" t="s">
        <v>1674</v>
      </c>
      <c r="AJ501" s="544" t="s">
        <v>1674</v>
      </c>
      <c r="AK501" s="544" t="s">
        <v>1674</v>
      </c>
      <c r="AL501" s="544" t="s">
        <v>1674</v>
      </c>
      <c r="AM501" s="544" t="s">
        <v>2612</v>
      </c>
      <c r="AN501" s="544" t="s">
        <v>1674</v>
      </c>
      <c r="AP501" s="552">
        <f t="shared" si="7"/>
        <v>-54.5</v>
      </c>
    </row>
    <row r="502" spans="1:42" outlineLevel="1" x14ac:dyDescent="0.25">
      <c r="A502" s="544" t="s">
        <v>1674</v>
      </c>
      <c r="B502" s="545">
        <v>31901</v>
      </c>
      <c r="C502" s="544" t="s">
        <v>2894</v>
      </c>
      <c r="D502" s="544" t="s">
        <v>2973</v>
      </c>
      <c r="E502" s="542" t="s">
        <v>2965</v>
      </c>
      <c r="G502" s="546"/>
      <c r="H502" s="546">
        <v>61.4</v>
      </c>
      <c r="I502" s="546">
        <v>61.4</v>
      </c>
      <c r="J502" s="542" t="s">
        <v>2584</v>
      </c>
      <c r="K502" s="547">
        <v>8400</v>
      </c>
      <c r="L502" s="542" t="s">
        <v>806</v>
      </c>
      <c r="M502" s="548"/>
      <c r="N502" s="549">
        <v>0</v>
      </c>
      <c r="O502" s="544" t="s">
        <v>1674</v>
      </c>
      <c r="P502" s="544" t="s">
        <v>1674</v>
      </c>
      <c r="Q502" s="544" t="s">
        <v>2897</v>
      </c>
      <c r="R502" s="544" t="s">
        <v>2898</v>
      </c>
      <c r="S502" s="544" t="s">
        <v>1674</v>
      </c>
      <c r="T502" s="550">
        <v>19</v>
      </c>
      <c r="U502" s="544" t="s">
        <v>2697</v>
      </c>
      <c r="V502" s="547">
        <v>1597</v>
      </c>
      <c r="W502" s="548"/>
      <c r="Y502" s="544" t="s">
        <v>1674</v>
      </c>
      <c r="AA502" s="544" t="s">
        <v>1674</v>
      </c>
      <c r="AE502" s="551"/>
      <c r="AF502" s="544" t="s">
        <v>1674</v>
      </c>
      <c r="AG502" s="544" t="s">
        <v>1674</v>
      </c>
      <c r="AH502" s="544" t="s">
        <v>1674</v>
      </c>
      <c r="AI502" s="544" t="s">
        <v>1674</v>
      </c>
      <c r="AJ502" s="544" t="s">
        <v>1674</v>
      </c>
      <c r="AK502" s="544" t="s">
        <v>1674</v>
      </c>
      <c r="AL502" s="544" t="s">
        <v>1674</v>
      </c>
      <c r="AM502" s="544" t="s">
        <v>2899</v>
      </c>
      <c r="AN502" s="544" t="s">
        <v>1674</v>
      </c>
      <c r="AP502" s="552">
        <f t="shared" si="7"/>
        <v>-61.4</v>
      </c>
    </row>
    <row r="503" spans="1:42" outlineLevel="1" x14ac:dyDescent="0.25">
      <c r="A503" s="544" t="s">
        <v>1674</v>
      </c>
      <c r="B503" s="545">
        <v>0</v>
      </c>
      <c r="C503" s="544" t="s">
        <v>1674</v>
      </c>
      <c r="D503" s="544" t="s">
        <v>2707</v>
      </c>
      <c r="E503" s="542" t="s">
        <v>2708</v>
      </c>
      <c r="G503" s="546"/>
      <c r="H503" s="546">
        <v>83.6</v>
      </c>
      <c r="I503" s="546">
        <v>83.6</v>
      </c>
      <c r="J503" s="542" t="s">
        <v>2584</v>
      </c>
      <c r="K503" s="547">
        <v>8120</v>
      </c>
      <c r="L503" s="542" t="s">
        <v>806</v>
      </c>
      <c r="M503" s="548"/>
      <c r="N503" s="549">
        <v>0</v>
      </c>
      <c r="O503" s="544" t="s">
        <v>1674</v>
      </c>
      <c r="P503" s="544" t="s">
        <v>1674</v>
      </c>
      <c r="Q503" s="544" t="s">
        <v>2705</v>
      </c>
      <c r="R503" s="544" t="s">
        <v>1674</v>
      </c>
      <c r="S503" s="544" t="s">
        <v>1674</v>
      </c>
      <c r="T503" s="550"/>
      <c r="U503" s="544" t="s">
        <v>2658</v>
      </c>
      <c r="V503" s="547">
        <v>439</v>
      </c>
      <c r="W503" s="548"/>
      <c r="Y503" s="544" t="s">
        <v>1674</v>
      </c>
      <c r="AA503" s="544" t="s">
        <v>1674</v>
      </c>
      <c r="AE503" s="551"/>
      <c r="AF503" s="544" t="s">
        <v>1674</v>
      </c>
      <c r="AG503" s="544" t="s">
        <v>1674</v>
      </c>
      <c r="AH503" s="544" t="s">
        <v>1674</v>
      </c>
      <c r="AI503" s="544" t="s">
        <v>1674</v>
      </c>
      <c r="AJ503" s="544" t="s">
        <v>1674</v>
      </c>
      <c r="AK503" s="544" t="s">
        <v>1674</v>
      </c>
      <c r="AL503" s="544" t="s">
        <v>1674</v>
      </c>
      <c r="AM503" s="544" t="s">
        <v>1674</v>
      </c>
      <c r="AN503" s="544" t="s">
        <v>1674</v>
      </c>
      <c r="AP503" s="552">
        <f t="shared" si="7"/>
        <v>-83.6</v>
      </c>
    </row>
    <row r="504" spans="1:42" outlineLevel="1" x14ac:dyDescent="0.25">
      <c r="A504" s="544" t="s">
        <v>1674</v>
      </c>
      <c r="B504" s="545">
        <v>30301</v>
      </c>
      <c r="C504" s="544" t="s">
        <v>2890</v>
      </c>
      <c r="D504" s="544" t="s">
        <v>2891</v>
      </c>
      <c r="E504" s="542" t="s">
        <v>2886</v>
      </c>
      <c r="G504" s="546"/>
      <c r="H504" s="546">
        <v>90</v>
      </c>
      <c r="I504" s="546">
        <v>90</v>
      </c>
      <c r="J504" s="542" t="s">
        <v>2584</v>
      </c>
      <c r="K504" s="547">
        <v>8120</v>
      </c>
      <c r="L504" s="542" t="s">
        <v>806</v>
      </c>
      <c r="M504" s="548"/>
      <c r="N504" s="549">
        <v>0</v>
      </c>
      <c r="O504" s="544" t="s">
        <v>1674</v>
      </c>
      <c r="P504" s="544" t="s">
        <v>1674</v>
      </c>
      <c r="Q504" s="544" t="s">
        <v>2892</v>
      </c>
      <c r="R504" s="544" t="s">
        <v>2622</v>
      </c>
      <c r="S504" s="544" t="s">
        <v>1674</v>
      </c>
      <c r="T504" s="550"/>
      <c r="U504" s="544" t="s">
        <v>2697</v>
      </c>
      <c r="V504" s="547">
        <v>645</v>
      </c>
      <c r="W504" s="548"/>
      <c r="Y504" s="544" t="s">
        <v>1674</v>
      </c>
      <c r="AA504" s="544" t="s">
        <v>1674</v>
      </c>
      <c r="AE504" s="551"/>
      <c r="AF504" s="544" t="s">
        <v>1674</v>
      </c>
      <c r="AG504" s="544" t="s">
        <v>1674</v>
      </c>
      <c r="AH504" s="544" t="s">
        <v>1674</v>
      </c>
      <c r="AI504" s="544" t="s">
        <v>1674</v>
      </c>
      <c r="AJ504" s="544" t="s">
        <v>1674</v>
      </c>
      <c r="AK504" s="544" t="s">
        <v>1674</v>
      </c>
      <c r="AL504" s="544" t="s">
        <v>1674</v>
      </c>
      <c r="AM504" s="544" t="s">
        <v>2893</v>
      </c>
      <c r="AN504" s="544" t="s">
        <v>1674</v>
      </c>
      <c r="AP504" s="552">
        <f t="shared" si="7"/>
        <v>-90</v>
      </c>
    </row>
    <row r="505" spans="1:42" outlineLevel="1" x14ac:dyDescent="0.25">
      <c r="A505" s="544" t="s">
        <v>1674</v>
      </c>
      <c r="B505" s="545">
        <v>11602</v>
      </c>
      <c r="C505" s="544" t="s">
        <v>2758</v>
      </c>
      <c r="D505" s="544" t="s">
        <v>2759</v>
      </c>
      <c r="E505" s="542" t="s">
        <v>2760</v>
      </c>
      <c r="G505" s="546"/>
      <c r="H505" s="546">
        <v>98.29</v>
      </c>
      <c r="I505" s="546">
        <v>98.29</v>
      </c>
      <c r="J505" s="542" t="s">
        <v>2584</v>
      </c>
      <c r="K505" s="547">
        <v>8400</v>
      </c>
      <c r="L505" s="542" t="s">
        <v>806</v>
      </c>
      <c r="M505" s="548"/>
      <c r="N505" s="549">
        <v>0</v>
      </c>
      <c r="O505" s="544" t="s">
        <v>1674</v>
      </c>
      <c r="P505" s="544" t="s">
        <v>1674</v>
      </c>
      <c r="Q505" s="544" t="s">
        <v>2761</v>
      </c>
      <c r="R505" s="544" t="s">
        <v>2622</v>
      </c>
      <c r="S505" s="544" t="s">
        <v>1674</v>
      </c>
      <c r="T505" s="550">
        <v>19</v>
      </c>
      <c r="U505" s="544" t="s">
        <v>2682</v>
      </c>
      <c r="V505" s="547">
        <v>588</v>
      </c>
      <c r="W505" s="548"/>
      <c r="Y505" s="544" t="s">
        <v>1674</v>
      </c>
      <c r="AA505" s="544" t="s">
        <v>1674</v>
      </c>
      <c r="AE505" s="551"/>
      <c r="AF505" s="544" t="s">
        <v>1674</v>
      </c>
      <c r="AG505" s="544" t="s">
        <v>1674</v>
      </c>
      <c r="AH505" s="544" t="s">
        <v>1674</v>
      </c>
      <c r="AI505" s="544" t="s">
        <v>1674</v>
      </c>
      <c r="AJ505" s="544" t="s">
        <v>1674</v>
      </c>
      <c r="AK505" s="544" t="s">
        <v>1674</v>
      </c>
      <c r="AL505" s="544" t="s">
        <v>1674</v>
      </c>
      <c r="AM505" s="544" t="s">
        <v>2762</v>
      </c>
      <c r="AN505" s="544" t="s">
        <v>1674</v>
      </c>
      <c r="AP505" s="552">
        <f t="shared" si="7"/>
        <v>-98.29</v>
      </c>
    </row>
    <row r="506" spans="1:42" outlineLevel="1" x14ac:dyDescent="0.25">
      <c r="A506" s="544" t="s">
        <v>1674</v>
      </c>
      <c r="B506" s="545">
        <v>11602</v>
      </c>
      <c r="C506" s="544" t="s">
        <v>2758</v>
      </c>
      <c r="D506" s="544" t="s">
        <v>3284</v>
      </c>
      <c r="E506" s="542" t="s">
        <v>3269</v>
      </c>
      <c r="G506" s="546"/>
      <c r="H506" s="546">
        <v>98.29</v>
      </c>
      <c r="I506" s="546">
        <v>98.29</v>
      </c>
      <c r="J506" s="542" t="s">
        <v>2584</v>
      </c>
      <c r="K506" s="547">
        <v>8400</v>
      </c>
      <c r="L506" s="542" t="s">
        <v>806</v>
      </c>
      <c r="M506" s="548"/>
      <c r="N506" s="549">
        <v>0</v>
      </c>
      <c r="O506" s="544" t="s">
        <v>1674</v>
      </c>
      <c r="P506" s="544" t="s">
        <v>1674</v>
      </c>
      <c r="Q506" s="544" t="s">
        <v>2761</v>
      </c>
      <c r="R506" s="544" t="s">
        <v>2622</v>
      </c>
      <c r="S506" s="544" t="s">
        <v>1674</v>
      </c>
      <c r="T506" s="550">
        <v>19</v>
      </c>
      <c r="U506" s="544" t="s">
        <v>3279</v>
      </c>
      <c r="V506" s="547">
        <v>3</v>
      </c>
      <c r="W506" s="548"/>
      <c r="Y506" s="544" t="s">
        <v>1674</v>
      </c>
      <c r="AA506" s="544" t="s">
        <v>1674</v>
      </c>
      <c r="AE506" s="551"/>
      <c r="AF506" s="544" t="s">
        <v>1674</v>
      </c>
      <c r="AG506" s="544" t="s">
        <v>1674</v>
      </c>
      <c r="AH506" s="544" t="s">
        <v>1674</v>
      </c>
      <c r="AI506" s="544" t="s">
        <v>1674</v>
      </c>
      <c r="AJ506" s="544" t="s">
        <v>1674</v>
      </c>
      <c r="AK506" s="544" t="s">
        <v>1674</v>
      </c>
      <c r="AL506" s="544" t="s">
        <v>1674</v>
      </c>
      <c r="AM506" s="544" t="s">
        <v>2762</v>
      </c>
      <c r="AN506" s="544" t="s">
        <v>1674</v>
      </c>
      <c r="AP506" s="552">
        <f t="shared" si="7"/>
        <v>-98.29</v>
      </c>
    </row>
    <row r="507" spans="1:42" outlineLevel="1" x14ac:dyDescent="0.25">
      <c r="A507" s="544" t="s">
        <v>1674</v>
      </c>
      <c r="B507" s="545">
        <v>20401</v>
      </c>
      <c r="C507" s="544" t="s">
        <v>3289</v>
      </c>
      <c r="D507" s="544" t="s">
        <v>3290</v>
      </c>
      <c r="E507" s="542" t="s">
        <v>3269</v>
      </c>
      <c r="G507" s="546"/>
      <c r="H507" s="546">
        <v>105</v>
      </c>
      <c r="I507" s="546">
        <v>105</v>
      </c>
      <c r="J507" s="542" t="s">
        <v>2584</v>
      </c>
      <c r="K507" s="547">
        <v>8125</v>
      </c>
      <c r="L507" s="542" t="s">
        <v>806</v>
      </c>
      <c r="M507" s="548"/>
      <c r="N507" s="549">
        <v>0</v>
      </c>
      <c r="O507" s="544" t="s">
        <v>1674</v>
      </c>
      <c r="P507" s="544" t="s">
        <v>1674</v>
      </c>
      <c r="Q507" s="544" t="s">
        <v>3291</v>
      </c>
      <c r="R507" s="544" t="s">
        <v>1674</v>
      </c>
      <c r="S507" s="544" t="s">
        <v>1674</v>
      </c>
      <c r="T507" s="550"/>
      <c r="U507" s="544" t="s">
        <v>3279</v>
      </c>
      <c r="V507" s="547">
        <v>5</v>
      </c>
      <c r="W507" s="548"/>
      <c r="Y507" s="544" t="s">
        <v>1674</v>
      </c>
      <c r="AA507" s="544" t="s">
        <v>1674</v>
      </c>
      <c r="AE507" s="551"/>
      <c r="AF507" s="544" t="s">
        <v>1674</v>
      </c>
      <c r="AG507" s="544" t="s">
        <v>1674</v>
      </c>
      <c r="AH507" s="544" t="s">
        <v>1674</v>
      </c>
      <c r="AI507" s="544" t="s">
        <v>1674</v>
      </c>
      <c r="AJ507" s="544" t="s">
        <v>1674</v>
      </c>
      <c r="AK507" s="544" t="s">
        <v>1674</v>
      </c>
      <c r="AL507" s="544" t="s">
        <v>1674</v>
      </c>
      <c r="AM507" s="544" t="s">
        <v>3292</v>
      </c>
      <c r="AN507" s="544" t="s">
        <v>1674</v>
      </c>
      <c r="AP507" s="552">
        <f t="shared" si="7"/>
        <v>-105</v>
      </c>
    </row>
    <row r="508" spans="1:42" outlineLevel="1" x14ac:dyDescent="0.25">
      <c r="A508" s="544" t="s">
        <v>1674</v>
      </c>
      <c r="B508" s="545">
        <v>22801</v>
      </c>
      <c r="C508" s="544" t="s">
        <v>2607</v>
      </c>
      <c r="D508" s="544" t="s">
        <v>2721</v>
      </c>
      <c r="E508" s="542" t="s">
        <v>2712</v>
      </c>
      <c r="G508" s="546"/>
      <c r="H508" s="546">
        <v>123.75</v>
      </c>
      <c r="I508" s="546">
        <v>123.75</v>
      </c>
      <c r="J508" s="542" t="s">
        <v>2584</v>
      </c>
      <c r="K508" s="547">
        <v>8125</v>
      </c>
      <c r="L508" s="542" t="s">
        <v>806</v>
      </c>
      <c r="M508" s="548"/>
      <c r="N508" s="549">
        <v>0</v>
      </c>
      <c r="O508" s="544" t="s">
        <v>1674</v>
      </c>
      <c r="P508" s="544" t="s">
        <v>1674</v>
      </c>
      <c r="Q508" s="544" t="s">
        <v>2610</v>
      </c>
      <c r="R508" s="544" t="s">
        <v>1674</v>
      </c>
      <c r="S508" s="544" t="s">
        <v>1674</v>
      </c>
      <c r="T508" s="550"/>
      <c r="U508" s="544" t="s">
        <v>2667</v>
      </c>
      <c r="V508" s="547">
        <v>243</v>
      </c>
      <c r="W508" s="548"/>
      <c r="Y508" s="544" t="s">
        <v>1674</v>
      </c>
      <c r="AA508" s="544" t="s">
        <v>1674</v>
      </c>
      <c r="AE508" s="551"/>
      <c r="AF508" s="544" t="s">
        <v>1674</v>
      </c>
      <c r="AG508" s="544" t="s">
        <v>1674</v>
      </c>
      <c r="AH508" s="544" t="s">
        <v>1674</v>
      </c>
      <c r="AI508" s="544" t="s">
        <v>1674</v>
      </c>
      <c r="AJ508" s="544" t="s">
        <v>1674</v>
      </c>
      <c r="AK508" s="544" t="s">
        <v>1674</v>
      </c>
      <c r="AL508" s="544" t="s">
        <v>1674</v>
      </c>
      <c r="AM508" s="544" t="s">
        <v>2612</v>
      </c>
      <c r="AN508" s="544" t="s">
        <v>1674</v>
      </c>
      <c r="AP508" s="552">
        <f t="shared" si="7"/>
        <v>-123.75</v>
      </c>
    </row>
    <row r="509" spans="1:42" outlineLevel="1" x14ac:dyDescent="0.25">
      <c r="A509" s="544" t="s">
        <v>1674</v>
      </c>
      <c r="B509" s="545">
        <v>0</v>
      </c>
      <c r="C509" s="544" t="s">
        <v>1674</v>
      </c>
      <c r="D509" s="544" t="s">
        <v>2627</v>
      </c>
      <c r="E509" s="542" t="s">
        <v>2631</v>
      </c>
      <c r="G509" s="546"/>
      <c r="H509" s="546">
        <v>6807.48</v>
      </c>
      <c r="I509" s="546">
        <v>133.47999999999999</v>
      </c>
      <c r="J509" s="542" t="s">
        <v>2584</v>
      </c>
      <c r="K509" s="547">
        <v>1200</v>
      </c>
      <c r="L509" s="542" t="s">
        <v>806</v>
      </c>
      <c r="M509" s="548"/>
      <c r="N509" s="549">
        <v>0</v>
      </c>
      <c r="O509" s="544" t="s">
        <v>1674</v>
      </c>
      <c r="P509" s="544" t="s">
        <v>1674</v>
      </c>
      <c r="Q509" s="544" t="s">
        <v>2632</v>
      </c>
      <c r="R509" s="544" t="s">
        <v>1674</v>
      </c>
      <c r="S509" s="544" t="s">
        <v>1674</v>
      </c>
      <c r="T509" s="550"/>
      <c r="U509" s="544" t="s">
        <v>2623</v>
      </c>
      <c r="V509" s="547">
        <v>960</v>
      </c>
      <c r="W509" s="548"/>
      <c r="Y509" s="544" t="s">
        <v>1674</v>
      </c>
      <c r="AA509" s="544" t="s">
        <v>1674</v>
      </c>
      <c r="AE509" s="551"/>
      <c r="AF509" s="544" t="s">
        <v>1674</v>
      </c>
      <c r="AG509" s="544" t="s">
        <v>1674</v>
      </c>
      <c r="AH509" s="544" t="s">
        <v>1674</v>
      </c>
      <c r="AI509" s="544" t="s">
        <v>1674</v>
      </c>
      <c r="AJ509" s="544" t="s">
        <v>1674</v>
      </c>
      <c r="AK509" s="544" t="s">
        <v>1674</v>
      </c>
      <c r="AL509" s="544" t="s">
        <v>1674</v>
      </c>
      <c r="AM509" s="544" t="s">
        <v>1674</v>
      </c>
      <c r="AN509" s="544" t="s">
        <v>1674</v>
      </c>
      <c r="AP509" s="552">
        <f t="shared" si="7"/>
        <v>-133.47999999999999</v>
      </c>
    </row>
    <row r="510" spans="1:42" outlineLevel="1" x14ac:dyDescent="0.25">
      <c r="A510" s="544" t="s">
        <v>1674</v>
      </c>
      <c r="B510" s="545">
        <v>10832</v>
      </c>
      <c r="C510" s="544" t="s">
        <v>2734</v>
      </c>
      <c r="D510" s="544" t="s">
        <v>2735</v>
      </c>
      <c r="E510" s="542" t="s">
        <v>2736</v>
      </c>
      <c r="G510" s="546"/>
      <c r="H510" s="546">
        <v>142.80000000000001</v>
      </c>
      <c r="I510" s="546">
        <v>142.80000000000001</v>
      </c>
      <c r="J510" s="542" t="s">
        <v>2584</v>
      </c>
      <c r="K510" s="547">
        <v>8400</v>
      </c>
      <c r="L510" s="542" t="s">
        <v>806</v>
      </c>
      <c r="M510" s="548"/>
      <c r="N510" s="549">
        <v>0</v>
      </c>
      <c r="O510" s="544" t="s">
        <v>1674</v>
      </c>
      <c r="P510" s="544" t="s">
        <v>1674</v>
      </c>
      <c r="Q510" s="544" t="s">
        <v>2737</v>
      </c>
      <c r="R510" s="544" t="s">
        <v>1674</v>
      </c>
      <c r="S510" s="544" t="s">
        <v>1674</v>
      </c>
      <c r="T510" s="550">
        <v>19</v>
      </c>
      <c r="U510" s="544" t="s">
        <v>2670</v>
      </c>
      <c r="V510" s="547">
        <v>885</v>
      </c>
      <c r="W510" s="548"/>
      <c r="Y510" s="544" t="s">
        <v>1674</v>
      </c>
      <c r="AA510" s="544" t="s">
        <v>1674</v>
      </c>
      <c r="AE510" s="551"/>
      <c r="AF510" s="544" t="s">
        <v>1674</v>
      </c>
      <c r="AG510" s="544" t="s">
        <v>1674</v>
      </c>
      <c r="AH510" s="544" t="s">
        <v>1674</v>
      </c>
      <c r="AI510" s="544" t="s">
        <v>1674</v>
      </c>
      <c r="AJ510" s="544" t="s">
        <v>1674</v>
      </c>
      <c r="AK510" s="544" t="s">
        <v>1674</v>
      </c>
      <c r="AL510" s="544" t="s">
        <v>1674</v>
      </c>
      <c r="AM510" s="544" t="s">
        <v>2738</v>
      </c>
      <c r="AN510" s="544" t="s">
        <v>1674</v>
      </c>
      <c r="AP510" s="552">
        <f t="shared" si="7"/>
        <v>-142.80000000000001</v>
      </c>
    </row>
    <row r="511" spans="1:42" outlineLevel="1" x14ac:dyDescent="0.25">
      <c r="A511" s="544" t="s">
        <v>1674</v>
      </c>
      <c r="B511" s="545">
        <v>0</v>
      </c>
      <c r="C511" s="544" t="s">
        <v>1674</v>
      </c>
      <c r="D511" s="544" t="s">
        <v>2908</v>
      </c>
      <c r="E511" s="542" t="s">
        <v>2800</v>
      </c>
      <c r="G511" s="546"/>
      <c r="H511" s="546">
        <v>166.71</v>
      </c>
      <c r="I511" s="546">
        <v>178.5</v>
      </c>
      <c r="J511" s="542" t="s">
        <v>2584</v>
      </c>
      <c r="K511" s="547">
        <v>8401</v>
      </c>
      <c r="L511" s="542" t="s">
        <v>806</v>
      </c>
      <c r="M511" s="548"/>
      <c r="N511" s="549">
        <v>0</v>
      </c>
      <c r="O511" s="544" t="s">
        <v>1674</v>
      </c>
      <c r="P511" s="544" t="s">
        <v>1674</v>
      </c>
      <c r="Q511" s="544" t="s">
        <v>2909</v>
      </c>
      <c r="R511" s="544" t="s">
        <v>1674</v>
      </c>
      <c r="S511" s="544" t="s">
        <v>1674</v>
      </c>
      <c r="T511" s="550">
        <v>19</v>
      </c>
      <c r="U511" s="544" t="s">
        <v>2697</v>
      </c>
      <c r="V511" s="547">
        <v>905</v>
      </c>
      <c r="W511" s="548"/>
      <c r="Y511" s="544" t="s">
        <v>1674</v>
      </c>
      <c r="AA511" s="544" t="s">
        <v>1674</v>
      </c>
      <c r="AE511" s="551"/>
      <c r="AF511" s="544" t="s">
        <v>1674</v>
      </c>
      <c r="AG511" s="544" t="s">
        <v>1674</v>
      </c>
      <c r="AH511" s="544" t="s">
        <v>1674</v>
      </c>
      <c r="AI511" s="544" t="s">
        <v>1674</v>
      </c>
      <c r="AJ511" s="544" t="s">
        <v>1674</v>
      </c>
      <c r="AK511" s="544" t="s">
        <v>1674</v>
      </c>
      <c r="AL511" s="544" t="s">
        <v>1674</v>
      </c>
      <c r="AM511" s="544" t="s">
        <v>1674</v>
      </c>
      <c r="AN511" s="544" t="s">
        <v>1674</v>
      </c>
      <c r="AP511" s="552">
        <f t="shared" si="7"/>
        <v>-178.5</v>
      </c>
    </row>
    <row r="512" spans="1:42" outlineLevel="1" x14ac:dyDescent="0.25">
      <c r="A512" s="544" t="s">
        <v>1674</v>
      </c>
      <c r="B512" s="545">
        <v>11800</v>
      </c>
      <c r="C512" s="544" t="s">
        <v>2581</v>
      </c>
      <c r="D512" s="544" t="s">
        <v>2954</v>
      </c>
      <c r="E512" s="542" t="s">
        <v>2950</v>
      </c>
      <c r="G512" s="546"/>
      <c r="H512" s="546">
        <v>192.78</v>
      </c>
      <c r="I512" s="546">
        <v>192.78</v>
      </c>
      <c r="J512" s="542" t="s">
        <v>2584</v>
      </c>
      <c r="K512" s="547">
        <v>8400</v>
      </c>
      <c r="L512" s="542" t="s">
        <v>806</v>
      </c>
      <c r="M512" s="548"/>
      <c r="N512" s="549">
        <v>0</v>
      </c>
      <c r="O512" s="544" t="s">
        <v>1674</v>
      </c>
      <c r="P512" s="544" t="s">
        <v>1674</v>
      </c>
      <c r="Q512" s="544" t="s">
        <v>2585</v>
      </c>
      <c r="R512" s="544" t="s">
        <v>2622</v>
      </c>
      <c r="S512" s="544" t="s">
        <v>1674</v>
      </c>
      <c r="T512" s="550">
        <v>19</v>
      </c>
      <c r="U512" s="544" t="s">
        <v>2697</v>
      </c>
      <c r="V512" s="547">
        <v>1472</v>
      </c>
      <c r="W512" s="548"/>
      <c r="Y512" s="544" t="s">
        <v>1674</v>
      </c>
      <c r="AA512" s="544" t="s">
        <v>1674</v>
      </c>
      <c r="AE512" s="551"/>
      <c r="AF512" s="544" t="s">
        <v>1674</v>
      </c>
      <c r="AG512" s="544" t="s">
        <v>1674</v>
      </c>
      <c r="AH512" s="544" t="s">
        <v>1674</v>
      </c>
      <c r="AI512" s="544" t="s">
        <v>1674</v>
      </c>
      <c r="AJ512" s="544" t="s">
        <v>1674</v>
      </c>
      <c r="AK512" s="544" t="s">
        <v>1674</v>
      </c>
      <c r="AL512" s="544" t="s">
        <v>1674</v>
      </c>
      <c r="AM512" s="544" t="s">
        <v>2581</v>
      </c>
      <c r="AN512" s="544" t="s">
        <v>1674</v>
      </c>
      <c r="AP512" s="552">
        <f t="shared" si="7"/>
        <v>-192.78</v>
      </c>
    </row>
    <row r="513" spans="1:42" outlineLevel="1" x14ac:dyDescent="0.25">
      <c r="A513" s="544" t="s">
        <v>1674</v>
      </c>
      <c r="B513" s="545">
        <v>11900</v>
      </c>
      <c r="C513" s="544" t="s">
        <v>2854</v>
      </c>
      <c r="D513" s="544" t="s">
        <v>2924</v>
      </c>
      <c r="E513" s="542" t="s">
        <v>2838</v>
      </c>
      <c r="G513" s="546"/>
      <c r="H513" s="546">
        <v>197.54</v>
      </c>
      <c r="I513" s="546">
        <v>197.54</v>
      </c>
      <c r="J513" s="542" t="s">
        <v>2584</v>
      </c>
      <c r="K513" s="547">
        <v>8400</v>
      </c>
      <c r="L513" s="542" t="s">
        <v>806</v>
      </c>
      <c r="M513" s="548"/>
      <c r="N513" s="549">
        <v>0</v>
      </c>
      <c r="O513" s="544" t="s">
        <v>1674</v>
      </c>
      <c r="P513" s="544" t="s">
        <v>1674</v>
      </c>
      <c r="Q513" s="544" t="s">
        <v>2857</v>
      </c>
      <c r="R513" s="544" t="s">
        <v>2622</v>
      </c>
      <c r="S513" s="544" t="s">
        <v>1674</v>
      </c>
      <c r="T513" s="550">
        <v>19</v>
      </c>
      <c r="U513" s="544" t="s">
        <v>2697</v>
      </c>
      <c r="V513" s="547">
        <v>1122</v>
      </c>
      <c r="W513" s="548"/>
      <c r="Y513" s="544" t="s">
        <v>1674</v>
      </c>
      <c r="AA513" s="544" t="s">
        <v>1674</v>
      </c>
      <c r="AE513" s="551"/>
      <c r="AF513" s="544" t="s">
        <v>1674</v>
      </c>
      <c r="AG513" s="544" t="s">
        <v>1674</v>
      </c>
      <c r="AH513" s="544" t="s">
        <v>1674</v>
      </c>
      <c r="AI513" s="544" t="s">
        <v>1674</v>
      </c>
      <c r="AJ513" s="544" t="s">
        <v>1674</v>
      </c>
      <c r="AK513" s="544" t="s">
        <v>1674</v>
      </c>
      <c r="AL513" s="544" t="s">
        <v>1674</v>
      </c>
      <c r="AM513" s="544" t="s">
        <v>2854</v>
      </c>
      <c r="AN513" s="544" t="s">
        <v>1674</v>
      </c>
      <c r="AP513" s="552">
        <f t="shared" si="7"/>
        <v>-197.54</v>
      </c>
    </row>
    <row r="514" spans="1:42" outlineLevel="1" x14ac:dyDescent="0.25">
      <c r="A514" s="544" t="s">
        <v>1674</v>
      </c>
      <c r="B514" s="545">
        <v>0</v>
      </c>
      <c r="C514" s="544" t="s">
        <v>1674</v>
      </c>
      <c r="D514" s="544" t="s">
        <v>2906</v>
      </c>
      <c r="E514" s="542" t="s">
        <v>2832</v>
      </c>
      <c r="G514" s="546"/>
      <c r="H514" s="546">
        <v>244.77</v>
      </c>
      <c r="I514" s="546">
        <v>261.8</v>
      </c>
      <c r="J514" s="542" t="s">
        <v>2584</v>
      </c>
      <c r="K514" s="547">
        <v>8401</v>
      </c>
      <c r="L514" s="542" t="s">
        <v>806</v>
      </c>
      <c r="M514" s="548"/>
      <c r="N514" s="549">
        <v>0</v>
      </c>
      <c r="O514" s="544" t="s">
        <v>1674</v>
      </c>
      <c r="P514" s="544" t="s">
        <v>1674</v>
      </c>
      <c r="Q514" s="544" t="s">
        <v>2907</v>
      </c>
      <c r="R514" s="544" t="s">
        <v>1674</v>
      </c>
      <c r="S514" s="544" t="s">
        <v>1674</v>
      </c>
      <c r="T514" s="550">
        <v>19</v>
      </c>
      <c r="U514" s="544" t="s">
        <v>2697</v>
      </c>
      <c r="V514" s="547">
        <v>709</v>
      </c>
      <c r="W514" s="548"/>
      <c r="Y514" s="544" t="s">
        <v>1674</v>
      </c>
      <c r="AA514" s="544" t="s">
        <v>1674</v>
      </c>
      <c r="AE514" s="551"/>
      <c r="AF514" s="544" t="s">
        <v>1674</v>
      </c>
      <c r="AG514" s="544" t="s">
        <v>1674</v>
      </c>
      <c r="AH514" s="544" t="s">
        <v>1674</v>
      </c>
      <c r="AI514" s="544" t="s">
        <v>1674</v>
      </c>
      <c r="AJ514" s="544" t="s">
        <v>1674</v>
      </c>
      <c r="AK514" s="544" t="s">
        <v>1674</v>
      </c>
      <c r="AL514" s="544" t="s">
        <v>1674</v>
      </c>
      <c r="AM514" s="544" t="s">
        <v>1674</v>
      </c>
      <c r="AN514" s="544" t="s">
        <v>1674</v>
      </c>
      <c r="AP514" s="552">
        <f t="shared" si="7"/>
        <v>-261.8</v>
      </c>
    </row>
    <row r="515" spans="1:42" outlineLevel="1" x14ac:dyDescent="0.25">
      <c r="A515" s="544" t="s">
        <v>1674</v>
      </c>
      <c r="B515" s="545">
        <v>12100</v>
      </c>
      <c r="C515" s="544" t="s">
        <v>2955</v>
      </c>
      <c r="D515" s="544" t="s">
        <v>2956</v>
      </c>
      <c r="E515" s="542" t="s">
        <v>2950</v>
      </c>
      <c r="G515" s="546"/>
      <c r="H515" s="546">
        <v>333.44</v>
      </c>
      <c r="I515" s="546">
        <v>333.44</v>
      </c>
      <c r="J515" s="542" t="s">
        <v>2584</v>
      </c>
      <c r="K515" s="547">
        <v>8400</v>
      </c>
      <c r="L515" s="542" t="s">
        <v>806</v>
      </c>
      <c r="M515" s="548"/>
      <c r="N515" s="549">
        <v>0</v>
      </c>
      <c r="O515" s="544" t="s">
        <v>1674</v>
      </c>
      <c r="P515" s="544" t="s">
        <v>1674</v>
      </c>
      <c r="Q515" s="544" t="s">
        <v>2957</v>
      </c>
      <c r="R515" s="544" t="s">
        <v>2622</v>
      </c>
      <c r="S515" s="544" t="s">
        <v>1674</v>
      </c>
      <c r="T515" s="550">
        <v>19</v>
      </c>
      <c r="U515" s="544" t="s">
        <v>2697</v>
      </c>
      <c r="V515" s="547">
        <v>1469</v>
      </c>
      <c r="W515" s="548"/>
      <c r="Y515" s="544" t="s">
        <v>1674</v>
      </c>
      <c r="AA515" s="544" t="s">
        <v>1674</v>
      </c>
      <c r="AE515" s="551"/>
      <c r="AF515" s="544" t="s">
        <v>1674</v>
      </c>
      <c r="AG515" s="544" t="s">
        <v>1674</v>
      </c>
      <c r="AH515" s="544" t="s">
        <v>1674</v>
      </c>
      <c r="AI515" s="544" t="s">
        <v>1674</v>
      </c>
      <c r="AJ515" s="544" t="s">
        <v>1674</v>
      </c>
      <c r="AK515" s="544" t="s">
        <v>1674</v>
      </c>
      <c r="AL515" s="544" t="s">
        <v>1674</v>
      </c>
      <c r="AM515" s="544" t="s">
        <v>2955</v>
      </c>
      <c r="AN515" s="544" t="s">
        <v>1674</v>
      </c>
      <c r="AP515" s="552">
        <f t="shared" ref="AP515:AP532" si="8">IF(J515="S",+I515,-I515)</f>
        <v>-333.44</v>
      </c>
    </row>
    <row r="516" spans="1:42" outlineLevel="1" x14ac:dyDescent="0.25">
      <c r="A516" s="544" t="s">
        <v>1674</v>
      </c>
      <c r="B516" s="545">
        <v>12401</v>
      </c>
      <c r="C516" s="544" t="s">
        <v>2958</v>
      </c>
      <c r="D516" s="544" t="s">
        <v>2959</v>
      </c>
      <c r="E516" s="542" t="s">
        <v>2950</v>
      </c>
      <c r="G516" s="546"/>
      <c r="H516" s="546">
        <v>367</v>
      </c>
      <c r="I516" s="546">
        <v>367</v>
      </c>
      <c r="J516" s="542" t="s">
        <v>2584</v>
      </c>
      <c r="K516" s="547">
        <v>8400</v>
      </c>
      <c r="L516" s="542" t="s">
        <v>806</v>
      </c>
      <c r="M516" s="548"/>
      <c r="N516" s="549">
        <v>0</v>
      </c>
      <c r="O516" s="544" t="s">
        <v>1674</v>
      </c>
      <c r="P516" s="544" t="s">
        <v>1674</v>
      </c>
      <c r="Q516" s="544" t="s">
        <v>2960</v>
      </c>
      <c r="R516" s="544" t="s">
        <v>2622</v>
      </c>
      <c r="S516" s="544" t="s">
        <v>1674</v>
      </c>
      <c r="T516" s="550">
        <v>19</v>
      </c>
      <c r="U516" s="544" t="s">
        <v>2797</v>
      </c>
      <c r="V516" s="547">
        <v>46</v>
      </c>
      <c r="W516" s="548"/>
      <c r="Y516" s="544" t="s">
        <v>1674</v>
      </c>
      <c r="AA516" s="544" t="s">
        <v>1674</v>
      </c>
      <c r="AE516" s="551"/>
      <c r="AF516" s="544" t="s">
        <v>1674</v>
      </c>
      <c r="AG516" s="544" t="s">
        <v>1674</v>
      </c>
      <c r="AH516" s="544" t="s">
        <v>1674</v>
      </c>
      <c r="AI516" s="544" t="s">
        <v>1674</v>
      </c>
      <c r="AJ516" s="544" t="s">
        <v>1674</v>
      </c>
      <c r="AK516" s="544" t="s">
        <v>1674</v>
      </c>
      <c r="AL516" s="544" t="s">
        <v>1674</v>
      </c>
      <c r="AM516" s="544" t="s">
        <v>2961</v>
      </c>
      <c r="AN516" s="544" t="s">
        <v>1674</v>
      </c>
      <c r="AP516" s="552">
        <f t="shared" si="8"/>
        <v>-367</v>
      </c>
    </row>
    <row r="517" spans="1:42" outlineLevel="1" x14ac:dyDescent="0.25">
      <c r="A517" s="544" t="s">
        <v>1674</v>
      </c>
      <c r="B517" s="545">
        <v>11800</v>
      </c>
      <c r="C517" s="544" t="s">
        <v>2581</v>
      </c>
      <c r="D517" s="544" t="s">
        <v>2582</v>
      </c>
      <c r="E517" s="542" t="s">
        <v>2583</v>
      </c>
      <c r="G517" s="546"/>
      <c r="H517" s="546">
        <v>399.72</v>
      </c>
      <c r="I517" s="546">
        <v>399.72</v>
      </c>
      <c r="J517" s="542" t="s">
        <v>2584</v>
      </c>
      <c r="K517" s="547">
        <v>8400</v>
      </c>
      <c r="L517" s="542" t="s">
        <v>806</v>
      </c>
      <c r="M517" s="548"/>
      <c r="N517" s="549">
        <v>0</v>
      </c>
      <c r="O517" s="544" t="s">
        <v>1674</v>
      </c>
      <c r="P517" s="544" t="s">
        <v>1674</v>
      </c>
      <c r="Q517" s="544" t="s">
        <v>2585</v>
      </c>
      <c r="R517" s="544" t="s">
        <v>1674</v>
      </c>
      <c r="S517" s="544" t="s">
        <v>1674</v>
      </c>
      <c r="T517" s="550">
        <v>19</v>
      </c>
      <c r="U517" s="544" t="s">
        <v>2586</v>
      </c>
      <c r="V517" s="547">
        <v>683</v>
      </c>
      <c r="W517" s="548"/>
      <c r="Y517" s="544" t="s">
        <v>1674</v>
      </c>
      <c r="AA517" s="544" t="s">
        <v>1674</v>
      </c>
      <c r="AE517" s="551"/>
      <c r="AF517" s="544" t="s">
        <v>1674</v>
      </c>
      <c r="AG517" s="544" t="s">
        <v>1674</v>
      </c>
      <c r="AH517" s="544" t="s">
        <v>1674</v>
      </c>
      <c r="AI517" s="544" t="s">
        <v>1674</v>
      </c>
      <c r="AJ517" s="544" t="s">
        <v>1674</v>
      </c>
      <c r="AK517" s="544" t="s">
        <v>1674</v>
      </c>
      <c r="AL517" s="544" t="s">
        <v>1674</v>
      </c>
      <c r="AM517" s="544" t="s">
        <v>2581</v>
      </c>
      <c r="AN517" s="544" t="s">
        <v>1674</v>
      </c>
      <c r="AP517" s="552">
        <f t="shared" si="8"/>
        <v>-399.72</v>
      </c>
    </row>
    <row r="518" spans="1:42" outlineLevel="1" x14ac:dyDescent="0.25">
      <c r="A518" s="544" t="s">
        <v>1674</v>
      </c>
      <c r="B518" s="545">
        <v>20301</v>
      </c>
      <c r="C518" s="544" t="s">
        <v>2981</v>
      </c>
      <c r="D518" s="544" t="s">
        <v>3288</v>
      </c>
      <c r="E518" s="542" t="s">
        <v>3269</v>
      </c>
      <c r="G518" s="546"/>
      <c r="H518" s="546">
        <v>435</v>
      </c>
      <c r="I518" s="546">
        <v>435</v>
      </c>
      <c r="J518" s="542" t="s">
        <v>2584</v>
      </c>
      <c r="K518" s="547">
        <v>8125</v>
      </c>
      <c r="L518" s="542" t="s">
        <v>806</v>
      </c>
      <c r="M518" s="548"/>
      <c r="N518" s="549">
        <v>0</v>
      </c>
      <c r="O518" s="544" t="s">
        <v>1674</v>
      </c>
      <c r="P518" s="544" t="s">
        <v>1674</v>
      </c>
      <c r="Q518" s="544" t="s">
        <v>2983</v>
      </c>
      <c r="R518" s="544" t="s">
        <v>2984</v>
      </c>
      <c r="S518" s="544" t="s">
        <v>1674</v>
      </c>
      <c r="T518" s="550"/>
      <c r="U518" s="544" t="s">
        <v>3279</v>
      </c>
      <c r="V518" s="547">
        <v>4</v>
      </c>
      <c r="W518" s="548"/>
      <c r="Y518" s="544" t="s">
        <v>1674</v>
      </c>
      <c r="AA518" s="544" t="s">
        <v>1674</v>
      </c>
      <c r="AE518" s="551"/>
      <c r="AF518" s="544" t="s">
        <v>1674</v>
      </c>
      <c r="AG518" s="544" t="s">
        <v>1674</v>
      </c>
      <c r="AH518" s="544" t="s">
        <v>1674</v>
      </c>
      <c r="AI518" s="544" t="s">
        <v>1674</v>
      </c>
      <c r="AJ518" s="544" t="s">
        <v>1674</v>
      </c>
      <c r="AK518" s="544" t="s">
        <v>1674</v>
      </c>
      <c r="AL518" s="544" t="s">
        <v>1674</v>
      </c>
      <c r="AM518" s="544" t="s">
        <v>2985</v>
      </c>
      <c r="AN518" s="544" t="s">
        <v>1674</v>
      </c>
      <c r="AP518" s="552">
        <f t="shared" si="8"/>
        <v>-435</v>
      </c>
    </row>
    <row r="519" spans="1:42" outlineLevel="1" x14ac:dyDescent="0.25">
      <c r="A519" s="544" t="s">
        <v>1674</v>
      </c>
      <c r="B519" s="545">
        <v>0</v>
      </c>
      <c r="C519" s="544" t="s">
        <v>1674</v>
      </c>
      <c r="D519" s="544" t="s">
        <v>2932</v>
      </c>
      <c r="E519" s="542" t="s">
        <v>2844</v>
      </c>
      <c r="G519" s="546"/>
      <c r="H519" s="546">
        <v>456.96</v>
      </c>
      <c r="I519" s="546">
        <v>456.96</v>
      </c>
      <c r="J519" s="542" t="s">
        <v>2584</v>
      </c>
      <c r="K519" s="547">
        <v>8400</v>
      </c>
      <c r="L519" s="542" t="s">
        <v>806</v>
      </c>
      <c r="M519" s="548"/>
      <c r="N519" s="549">
        <v>0</v>
      </c>
      <c r="O519" s="544" t="s">
        <v>1674</v>
      </c>
      <c r="P519" s="544" t="s">
        <v>1674</v>
      </c>
      <c r="Q519" s="544" t="s">
        <v>2818</v>
      </c>
      <c r="R519" s="544" t="s">
        <v>2622</v>
      </c>
      <c r="S519" s="544" t="s">
        <v>1674</v>
      </c>
      <c r="T519" s="550">
        <v>19</v>
      </c>
      <c r="U519" s="544" t="s">
        <v>2697</v>
      </c>
      <c r="V519" s="547">
        <v>1236</v>
      </c>
      <c r="W519" s="548"/>
      <c r="Y519" s="544" t="s">
        <v>1674</v>
      </c>
      <c r="AA519" s="544" t="s">
        <v>1674</v>
      </c>
      <c r="AE519" s="551"/>
      <c r="AF519" s="544" t="s">
        <v>1674</v>
      </c>
      <c r="AG519" s="544" t="s">
        <v>1674</v>
      </c>
      <c r="AH519" s="544" t="s">
        <v>1674</v>
      </c>
      <c r="AI519" s="544" t="s">
        <v>1674</v>
      </c>
      <c r="AJ519" s="544" t="s">
        <v>1674</v>
      </c>
      <c r="AK519" s="544" t="s">
        <v>1674</v>
      </c>
      <c r="AL519" s="544" t="s">
        <v>1674</v>
      </c>
      <c r="AM519" s="544" t="s">
        <v>1674</v>
      </c>
      <c r="AN519" s="544" t="s">
        <v>1674</v>
      </c>
      <c r="AP519" s="552">
        <f t="shared" si="8"/>
        <v>-456.96</v>
      </c>
    </row>
    <row r="520" spans="1:42" outlineLevel="1" x14ac:dyDescent="0.25">
      <c r="A520" s="544" t="s">
        <v>1674</v>
      </c>
      <c r="B520" s="545">
        <v>10200</v>
      </c>
      <c r="C520" s="544" t="s">
        <v>2774</v>
      </c>
      <c r="D520" s="544" t="s">
        <v>2964</v>
      </c>
      <c r="E520" s="542" t="s">
        <v>2965</v>
      </c>
      <c r="G520" s="546"/>
      <c r="H520" s="546">
        <v>474.81</v>
      </c>
      <c r="I520" s="546">
        <v>474.81</v>
      </c>
      <c r="J520" s="542" t="s">
        <v>2584</v>
      </c>
      <c r="K520" s="547">
        <v>8400</v>
      </c>
      <c r="L520" s="542" t="s">
        <v>806</v>
      </c>
      <c r="M520" s="548"/>
      <c r="N520" s="549">
        <v>0</v>
      </c>
      <c r="O520" s="544" t="s">
        <v>1674</v>
      </c>
      <c r="P520" s="544" t="s">
        <v>1674</v>
      </c>
      <c r="Q520" s="544" t="s">
        <v>2966</v>
      </c>
      <c r="R520" s="544" t="s">
        <v>1674</v>
      </c>
      <c r="S520" s="544" t="s">
        <v>1674</v>
      </c>
      <c r="T520" s="550">
        <v>19</v>
      </c>
      <c r="U520" s="544" t="s">
        <v>2697</v>
      </c>
      <c r="V520" s="547">
        <v>1598</v>
      </c>
      <c r="W520" s="548"/>
      <c r="Y520" s="544" t="s">
        <v>1674</v>
      </c>
      <c r="AA520" s="544" t="s">
        <v>1674</v>
      </c>
      <c r="AE520" s="551"/>
      <c r="AF520" s="544" t="s">
        <v>1674</v>
      </c>
      <c r="AG520" s="544" t="s">
        <v>1674</v>
      </c>
      <c r="AH520" s="544" t="s">
        <v>1674</v>
      </c>
      <c r="AI520" s="544" t="s">
        <v>1674</v>
      </c>
      <c r="AJ520" s="544" t="s">
        <v>1674</v>
      </c>
      <c r="AK520" s="544" t="s">
        <v>1674</v>
      </c>
      <c r="AL520" s="544" t="s">
        <v>1674</v>
      </c>
      <c r="AM520" s="544" t="s">
        <v>2774</v>
      </c>
      <c r="AN520" s="544" t="s">
        <v>1674</v>
      </c>
      <c r="AP520" s="552">
        <f t="shared" si="8"/>
        <v>-474.81</v>
      </c>
    </row>
    <row r="521" spans="1:42" outlineLevel="1" x14ac:dyDescent="0.25">
      <c r="A521" s="544" t="s">
        <v>1674</v>
      </c>
      <c r="B521" s="545">
        <v>0</v>
      </c>
      <c r="C521" s="544" t="s">
        <v>1674</v>
      </c>
      <c r="D521" s="544" t="s">
        <v>2743</v>
      </c>
      <c r="E521" s="542" t="s">
        <v>2744</v>
      </c>
      <c r="F521" s="542" t="s">
        <v>2746</v>
      </c>
      <c r="G521" s="546">
        <v>178.5</v>
      </c>
      <c r="H521" s="546"/>
      <c r="I521" s="546">
        <v>706.86</v>
      </c>
      <c r="J521" s="542" t="s">
        <v>2584</v>
      </c>
      <c r="K521" s="547">
        <v>8400</v>
      </c>
      <c r="L521" s="542" t="s">
        <v>806</v>
      </c>
      <c r="M521" s="548"/>
      <c r="N521" s="549">
        <v>-227</v>
      </c>
      <c r="O521" s="544" t="s">
        <v>1674</v>
      </c>
      <c r="P521" s="544" t="s">
        <v>1674</v>
      </c>
      <c r="Q521" s="544" t="s">
        <v>2745</v>
      </c>
      <c r="R521" s="544" t="s">
        <v>1674</v>
      </c>
      <c r="S521" s="544" t="s">
        <v>1674</v>
      </c>
      <c r="T521" s="550">
        <v>19</v>
      </c>
      <c r="U521" s="544" t="s">
        <v>2676</v>
      </c>
      <c r="V521" s="547">
        <v>1001</v>
      </c>
      <c r="W521" s="548"/>
      <c r="Y521" s="544" t="s">
        <v>1674</v>
      </c>
      <c r="AA521" s="544" t="s">
        <v>1674</v>
      </c>
      <c r="AE521" s="551"/>
      <c r="AF521" s="544" t="s">
        <v>1674</v>
      </c>
      <c r="AG521" s="544" t="s">
        <v>1674</v>
      </c>
      <c r="AH521" s="544" t="s">
        <v>1674</v>
      </c>
      <c r="AI521" s="544" t="s">
        <v>1674</v>
      </c>
      <c r="AJ521" s="544" t="s">
        <v>1674</v>
      </c>
      <c r="AK521" s="544" t="s">
        <v>1674</v>
      </c>
      <c r="AL521" s="544" t="s">
        <v>1674</v>
      </c>
      <c r="AM521" s="544" t="s">
        <v>1674</v>
      </c>
      <c r="AN521" s="544" t="s">
        <v>1674</v>
      </c>
      <c r="AP521" s="552">
        <f t="shared" si="8"/>
        <v>-706.86</v>
      </c>
    </row>
    <row r="522" spans="1:42" outlineLevel="1" x14ac:dyDescent="0.25">
      <c r="A522" s="544" t="s">
        <v>1674</v>
      </c>
      <c r="B522" s="545">
        <v>0</v>
      </c>
      <c r="C522" s="544" t="s">
        <v>1674</v>
      </c>
      <c r="D522" s="544" t="s">
        <v>2613</v>
      </c>
      <c r="E522" s="542" t="s">
        <v>2614</v>
      </c>
      <c r="G522" s="546"/>
      <c r="H522" s="546">
        <v>708.71</v>
      </c>
      <c r="I522" s="546">
        <v>737.8</v>
      </c>
      <c r="J522" s="542" t="s">
        <v>2584</v>
      </c>
      <c r="K522" s="547">
        <v>8401</v>
      </c>
      <c r="L522" s="542" t="s">
        <v>806</v>
      </c>
      <c r="M522" s="548"/>
      <c r="N522" s="549">
        <v>0</v>
      </c>
      <c r="O522" s="544" t="s">
        <v>1674</v>
      </c>
      <c r="P522" s="544" t="s">
        <v>1674</v>
      </c>
      <c r="Q522" s="544" t="s">
        <v>2615</v>
      </c>
      <c r="R522" s="544" t="s">
        <v>1674</v>
      </c>
      <c r="S522" s="544" t="s">
        <v>1674</v>
      </c>
      <c r="T522" s="550">
        <v>19</v>
      </c>
      <c r="U522" s="544" t="s">
        <v>2616</v>
      </c>
      <c r="V522" s="547">
        <v>1441</v>
      </c>
      <c r="W522" s="548"/>
      <c r="Y522" s="544" t="s">
        <v>1674</v>
      </c>
      <c r="AA522" s="544" t="s">
        <v>1674</v>
      </c>
      <c r="AE522" s="551"/>
      <c r="AF522" s="544" t="s">
        <v>1674</v>
      </c>
      <c r="AG522" s="544" t="s">
        <v>1674</v>
      </c>
      <c r="AH522" s="544" t="s">
        <v>1674</v>
      </c>
      <c r="AI522" s="544" t="s">
        <v>1674</v>
      </c>
      <c r="AJ522" s="544" t="s">
        <v>1674</v>
      </c>
      <c r="AK522" s="544" t="s">
        <v>1674</v>
      </c>
      <c r="AL522" s="544" t="s">
        <v>1674</v>
      </c>
      <c r="AM522" s="544" t="s">
        <v>1674</v>
      </c>
      <c r="AN522" s="544" t="s">
        <v>1674</v>
      </c>
      <c r="AP522" s="552">
        <f t="shared" si="8"/>
        <v>-737.8</v>
      </c>
    </row>
    <row r="523" spans="1:42" outlineLevel="1" x14ac:dyDescent="0.25">
      <c r="A523" s="544" t="s">
        <v>1674</v>
      </c>
      <c r="B523" s="545">
        <v>0</v>
      </c>
      <c r="C523" s="544" t="s">
        <v>1674</v>
      </c>
      <c r="D523" s="544" t="s">
        <v>2933</v>
      </c>
      <c r="E523" s="542" t="s">
        <v>2844</v>
      </c>
      <c r="G523" s="546"/>
      <c r="H523" s="546">
        <v>761.6</v>
      </c>
      <c r="I523" s="546">
        <v>761.6</v>
      </c>
      <c r="J523" s="542" t="s">
        <v>2584</v>
      </c>
      <c r="K523" s="547">
        <v>8400</v>
      </c>
      <c r="L523" s="542" t="s">
        <v>806</v>
      </c>
      <c r="M523" s="548"/>
      <c r="N523" s="549">
        <v>0</v>
      </c>
      <c r="O523" s="544" t="s">
        <v>1674</v>
      </c>
      <c r="P523" s="544" t="s">
        <v>1674</v>
      </c>
      <c r="Q523" s="544" t="s">
        <v>2818</v>
      </c>
      <c r="R523" s="544" t="s">
        <v>2622</v>
      </c>
      <c r="S523" s="544" t="s">
        <v>1674</v>
      </c>
      <c r="T523" s="550">
        <v>19</v>
      </c>
      <c r="U523" s="544" t="s">
        <v>2697</v>
      </c>
      <c r="V523" s="547">
        <v>1238</v>
      </c>
      <c r="W523" s="548"/>
      <c r="Y523" s="544" t="s">
        <v>1674</v>
      </c>
      <c r="AA523" s="544" t="s">
        <v>1674</v>
      </c>
      <c r="AE523" s="551"/>
      <c r="AF523" s="544" t="s">
        <v>1674</v>
      </c>
      <c r="AG523" s="544" t="s">
        <v>1674</v>
      </c>
      <c r="AH523" s="544" t="s">
        <v>1674</v>
      </c>
      <c r="AI523" s="544" t="s">
        <v>1674</v>
      </c>
      <c r="AJ523" s="544" t="s">
        <v>1674</v>
      </c>
      <c r="AK523" s="544" t="s">
        <v>1674</v>
      </c>
      <c r="AL523" s="544" t="s">
        <v>1674</v>
      </c>
      <c r="AM523" s="544" t="s">
        <v>1674</v>
      </c>
      <c r="AN523" s="544" t="s">
        <v>1674</v>
      </c>
      <c r="AP523" s="552">
        <f t="shared" si="8"/>
        <v>-761.6</v>
      </c>
    </row>
    <row r="524" spans="1:42" outlineLevel="1" x14ac:dyDescent="0.25">
      <c r="A524" s="544" t="s">
        <v>1674</v>
      </c>
      <c r="B524" s="545">
        <v>10600</v>
      </c>
      <c r="C524" s="544" t="s">
        <v>2946</v>
      </c>
      <c r="D524" s="544" t="s">
        <v>2947</v>
      </c>
      <c r="E524" s="542" t="s">
        <v>2942</v>
      </c>
      <c r="G524" s="546"/>
      <c r="H524" s="546">
        <v>1130.5</v>
      </c>
      <c r="I524" s="546">
        <v>1130.5</v>
      </c>
      <c r="J524" s="542" t="s">
        <v>2584</v>
      </c>
      <c r="K524" s="547">
        <v>8400</v>
      </c>
      <c r="L524" s="542" t="s">
        <v>806</v>
      </c>
      <c r="M524" s="548"/>
      <c r="N524" s="549">
        <v>0</v>
      </c>
      <c r="O524" s="544" t="s">
        <v>1674</v>
      </c>
      <c r="P524" s="544" t="s">
        <v>1674</v>
      </c>
      <c r="Q524" s="544" t="s">
        <v>2948</v>
      </c>
      <c r="R524" s="544" t="s">
        <v>2622</v>
      </c>
      <c r="S524" s="544" t="s">
        <v>1674</v>
      </c>
      <c r="T524" s="550">
        <v>19</v>
      </c>
      <c r="U524" s="544" t="s">
        <v>2697</v>
      </c>
      <c r="V524" s="547">
        <v>1418</v>
      </c>
      <c r="W524" s="548"/>
      <c r="Y524" s="544" t="s">
        <v>1674</v>
      </c>
      <c r="AA524" s="544" t="s">
        <v>1674</v>
      </c>
      <c r="AE524" s="551"/>
      <c r="AF524" s="544" t="s">
        <v>1674</v>
      </c>
      <c r="AG524" s="544" t="s">
        <v>1674</v>
      </c>
      <c r="AH524" s="544" t="s">
        <v>1674</v>
      </c>
      <c r="AI524" s="544" t="s">
        <v>1674</v>
      </c>
      <c r="AJ524" s="544" t="s">
        <v>1674</v>
      </c>
      <c r="AK524" s="544" t="s">
        <v>1674</v>
      </c>
      <c r="AL524" s="544" t="s">
        <v>1674</v>
      </c>
      <c r="AM524" s="544" t="s">
        <v>2946</v>
      </c>
      <c r="AN524" s="544" t="s">
        <v>1674</v>
      </c>
      <c r="AP524" s="552">
        <f t="shared" si="8"/>
        <v>-1130.5</v>
      </c>
    </row>
    <row r="525" spans="1:42" outlineLevel="1" x14ac:dyDescent="0.25">
      <c r="A525" s="544" t="s">
        <v>1674</v>
      </c>
      <c r="B525" s="545">
        <v>22506</v>
      </c>
      <c r="C525" s="544" t="s">
        <v>2859</v>
      </c>
      <c r="D525" s="544" t="s">
        <v>2860</v>
      </c>
      <c r="E525" s="542" t="s">
        <v>2817</v>
      </c>
      <c r="G525" s="546"/>
      <c r="H525" s="546">
        <v>1410</v>
      </c>
      <c r="I525" s="546">
        <v>1410</v>
      </c>
      <c r="J525" s="542" t="s">
        <v>2584</v>
      </c>
      <c r="K525" s="547">
        <v>1360</v>
      </c>
      <c r="L525" s="542" t="s">
        <v>806</v>
      </c>
      <c r="M525" s="548"/>
      <c r="N525" s="549">
        <v>0</v>
      </c>
      <c r="O525" s="544" t="s">
        <v>1674</v>
      </c>
      <c r="P525" s="544" t="s">
        <v>1674</v>
      </c>
      <c r="Q525" s="544" t="s">
        <v>2861</v>
      </c>
      <c r="R525" s="544" t="s">
        <v>1674</v>
      </c>
      <c r="S525" s="544" t="s">
        <v>1674</v>
      </c>
      <c r="T525" s="550"/>
      <c r="U525" s="544" t="s">
        <v>2862</v>
      </c>
      <c r="V525" s="547">
        <v>50</v>
      </c>
      <c r="W525" s="548"/>
      <c r="Y525" s="544" t="s">
        <v>1674</v>
      </c>
      <c r="AA525" s="544" t="s">
        <v>1674</v>
      </c>
      <c r="AE525" s="551"/>
      <c r="AF525" s="544" t="s">
        <v>1674</v>
      </c>
      <c r="AG525" s="544" t="s">
        <v>1674</v>
      </c>
      <c r="AH525" s="544" t="s">
        <v>1674</v>
      </c>
      <c r="AI525" s="544" t="s">
        <v>1674</v>
      </c>
      <c r="AJ525" s="544" t="s">
        <v>1674</v>
      </c>
      <c r="AK525" s="544" t="s">
        <v>1674</v>
      </c>
      <c r="AL525" s="544" t="s">
        <v>1674</v>
      </c>
      <c r="AM525" s="544" t="s">
        <v>2863</v>
      </c>
      <c r="AN525" s="544" t="s">
        <v>1674</v>
      </c>
      <c r="AP525" s="552">
        <f t="shared" si="8"/>
        <v>-1410</v>
      </c>
    </row>
    <row r="526" spans="1:42" outlineLevel="1" x14ac:dyDescent="0.25">
      <c r="A526" s="544" t="s">
        <v>1674</v>
      </c>
      <c r="B526" s="545">
        <v>0</v>
      </c>
      <c r="C526" s="544" t="s">
        <v>1674</v>
      </c>
      <c r="D526" s="544" t="s">
        <v>2802</v>
      </c>
      <c r="E526" s="542" t="s">
        <v>2803</v>
      </c>
      <c r="G526" s="546"/>
      <c r="H526" s="546">
        <v>1646.63</v>
      </c>
      <c r="I526" s="546">
        <v>1767.15</v>
      </c>
      <c r="J526" s="542" t="s">
        <v>2584</v>
      </c>
      <c r="K526" s="547">
        <v>8401</v>
      </c>
      <c r="L526" s="542" t="s">
        <v>806</v>
      </c>
      <c r="M526" s="548"/>
      <c r="N526" s="549">
        <v>0</v>
      </c>
      <c r="O526" s="544" t="s">
        <v>1674</v>
      </c>
      <c r="P526" s="544" t="s">
        <v>1674</v>
      </c>
      <c r="Q526" s="544" t="s">
        <v>2776</v>
      </c>
      <c r="R526" s="544" t="s">
        <v>1674</v>
      </c>
      <c r="S526" s="544" t="s">
        <v>1674</v>
      </c>
      <c r="T526" s="550">
        <v>19</v>
      </c>
      <c r="U526" s="544" t="s">
        <v>2691</v>
      </c>
      <c r="V526" s="547">
        <v>352</v>
      </c>
      <c r="W526" s="548"/>
      <c r="Y526" s="544" t="s">
        <v>1674</v>
      </c>
      <c r="AA526" s="544" t="s">
        <v>1674</v>
      </c>
      <c r="AE526" s="551"/>
      <c r="AF526" s="544" t="s">
        <v>1674</v>
      </c>
      <c r="AG526" s="544" t="s">
        <v>1674</v>
      </c>
      <c r="AH526" s="544" t="s">
        <v>1674</v>
      </c>
      <c r="AI526" s="544" t="s">
        <v>1674</v>
      </c>
      <c r="AJ526" s="544" t="s">
        <v>1674</v>
      </c>
      <c r="AK526" s="544" t="s">
        <v>1674</v>
      </c>
      <c r="AL526" s="544" t="s">
        <v>1674</v>
      </c>
      <c r="AM526" s="544" t="s">
        <v>1674</v>
      </c>
      <c r="AN526" s="544" t="s">
        <v>1674</v>
      </c>
      <c r="AP526" s="552">
        <f t="shared" si="8"/>
        <v>-1767.15</v>
      </c>
    </row>
    <row r="527" spans="1:42" outlineLevel="1" x14ac:dyDescent="0.25">
      <c r="A527" s="544" t="s">
        <v>1674</v>
      </c>
      <c r="B527" s="545">
        <v>11800</v>
      </c>
      <c r="C527" s="544" t="s">
        <v>2581</v>
      </c>
      <c r="D527" s="544" t="s">
        <v>2633</v>
      </c>
      <c r="E527" s="542" t="s">
        <v>2634</v>
      </c>
      <c r="G527" s="546"/>
      <c r="H527" s="546">
        <v>1856.4</v>
      </c>
      <c r="I527" s="546">
        <v>1856.4</v>
      </c>
      <c r="J527" s="542" t="s">
        <v>2584</v>
      </c>
      <c r="K527" s="547">
        <v>8400</v>
      </c>
      <c r="L527" s="542" t="s">
        <v>806</v>
      </c>
      <c r="M527" s="548"/>
      <c r="N527" s="549">
        <v>0</v>
      </c>
      <c r="O527" s="544" t="s">
        <v>1674</v>
      </c>
      <c r="P527" s="544" t="s">
        <v>1674</v>
      </c>
      <c r="Q527" s="544" t="s">
        <v>2615</v>
      </c>
      <c r="R527" s="544" t="s">
        <v>1674</v>
      </c>
      <c r="S527" s="544" t="s">
        <v>1674</v>
      </c>
      <c r="T527" s="550">
        <v>19</v>
      </c>
      <c r="U527" s="544" t="s">
        <v>2635</v>
      </c>
      <c r="V527" s="547">
        <v>328</v>
      </c>
      <c r="W527" s="548"/>
      <c r="Y527" s="544" t="s">
        <v>1674</v>
      </c>
      <c r="AA527" s="544" t="s">
        <v>1674</v>
      </c>
      <c r="AE527" s="551"/>
      <c r="AF527" s="544" t="s">
        <v>1674</v>
      </c>
      <c r="AG527" s="544" t="s">
        <v>1674</v>
      </c>
      <c r="AH527" s="544" t="s">
        <v>1674</v>
      </c>
      <c r="AI527" s="544" t="s">
        <v>1674</v>
      </c>
      <c r="AJ527" s="544" t="s">
        <v>1674</v>
      </c>
      <c r="AK527" s="544" t="s">
        <v>1674</v>
      </c>
      <c r="AL527" s="544" t="s">
        <v>1674</v>
      </c>
      <c r="AM527" s="544" t="s">
        <v>2581</v>
      </c>
      <c r="AN527" s="544" t="s">
        <v>1674</v>
      </c>
      <c r="AP527" s="552">
        <f t="shared" si="8"/>
        <v>-1856.4</v>
      </c>
    </row>
    <row r="528" spans="1:42" outlineLevel="1" x14ac:dyDescent="0.25">
      <c r="A528" s="544" t="s">
        <v>1674</v>
      </c>
      <c r="B528" s="545">
        <v>0</v>
      </c>
      <c r="C528" s="544" t="s">
        <v>1674</v>
      </c>
      <c r="D528" s="544" t="s">
        <v>2619</v>
      </c>
      <c r="E528" s="542" t="s">
        <v>2620</v>
      </c>
      <c r="F528" s="542" t="s">
        <v>2625</v>
      </c>
      <c r="G528" s="546">
        <v>17.850000000000001</v>
      </c>
      <c r="H528" s="546"/>
      <c r="I528" s="546">
        <v>2043.23</v>
      </c>
      <c r="J528" s="542" t="s">
        <v>2584</v>
      </c>
      <c r="K528" s="547">
        <v>8640</v>
      </c>
      <c r="L528" s="542" t="s">
        <v>806</v>
      </c>
      <c r="M528" s="548"/>
      <c r="N528" s="549">
        <v>-724</v>
      </c>
      <c r="O528" s="544" t="s">
        <v>1674</v>
      </c>
      <c r="P528" s="544" t="s">
        <v>1674</v>
      </c>
      <c r="Q528" s="544" t="s">
        <v>2621</v>
      </c>
      <c r="R528" s="544" t="s">
        <v>1674</v>
      </c>
      <c r="S528" s="544" t="s">
        <v>1674</v>
      </c>
      <c r="T528" s="550">
        <v>19</v>
      </c>
      <c r="U528" s="544" t="s">
        <v>2623</v>
      </c>
      <c r="V528" s="547">
        <v>131</v>
      </c>
      <c r="W528" s="548"/>
      <c r="Y528" s="544" t="s">
        <v>1674</v>
      </c>
      <c r="AA528" s="544" t="s">
        <v>1674</v>
      </c>
      <c r="AE528" s="551"/>
      <c r="AF528" s="544" t="s">
        <v>1674</v>
      </c>
      <c r="AG528" s="544" t="s">
        <v>1674</v>
      </c>
      <c r="AH528" s="544" t="s">
        <v>1674</v>
      </c>
      <c r="AI528" s="544" t="s">
        <v>1674</v>
      </c>
      <c r="AJ528" s="544" t="s">
        <v>1674</v>
      </c>
      <c r="AK528" s="544" t="s">
        <v>1674</v>
      </c>
      <c r="AL528" s="544" t="s">
        <v>1674</v>
      </c>
      <c r="AM528" s="544" t="s">
        <v>1674</v>
      </c>
      <c r="AN528" s="544" t="s">
        <v>1674</v>
      </c>
      <c r="AP528" s="552">
        <f t="shared" si="8"/>
        <v>-2043.23</v>
      </c>
    </row>
    <row r="529" spans="1:42" outlineLevel="1" x14ac:dyDescent="0.25">
      <c r="A529" s="544" t="s">
        <v>1674</v>
      </c>
      <c r="B529" s="545">
        <v>0</v>
      </c>
      <c r="C529" s="544" t="s">
        <v>1674</v>
      </c>
      <c r="D529" s="544" t="s">
        <v>2794</v>
      </c>
      <c r="E529" s="542" t="s">
        <v>2800</v>
      </c>
      <c r="G529" s="546">
        <v>-300</v>
      </c>
      <c r="H529" s="546"/>
      <c r="I529" s="546">
        <v>2250</v>
      </c>
      <c r="J529" s="542" t="s">
        <v>2584</v>
      </c>
      <c r="K529" s="547">
        <v>8336</v>
      </c>
      <c r="L529" s="542" t="s">
        <v>806</v>
      </c>
      <c r="M529" s="548"/>
      <c r="N529" s="549">
        <v>0</v>
      </c>
      <c r="O529" s="544" t="s">
        <v>1674</v>
      </c>
      <c r="P529" s="544" t="s">
        <v>1674</v>
      </c>
      <c r="Q529" s="544" t="s">
        <v>2801</v>
      </c>
      <c r="R529" s="544" t="s">
        <v>1674</v>
      </c>
      <c r="S529" s="544" t="s">
        <v>1674</v>
      </c>
      <c r="T529" s="550"/>
      <c r="U529" s="544" t="s">
        <v>2797</v>
      </c>
      <c r="V529" s="547">
        <v>51</v>
      </c>
      <c r="W529" s="548"/>
      <c r="Y529" s="544" t="s">
        <v>1674</v>
      </c>
      <c r="AA529" s="544" t="s">
        <v>1674</v>
      </c>
      <c r="AE529" s="551"/>
      <c r="AF529" s="544" t="s">
        <v>1674</v>
      </c>
      <c r="AG529" s="544" t="s">
        <v>1674</v>
      </c>
      <c r="AH529" s="544" t="s">
        <v>1674</v>
      </c>
      <c r="AI529" s="544" t="s">
        <v>1674</v>
      </c>
      <c r="AJ529" s="544" t="s">
        <v>1674</v>
      </c>
      <c r="AK529" s="544" t="s">
        <v>1674</v>
      </c>
      <c r="AL529" s="544" t="s">
        <v>1674</v>
      </c>
      <c r="AM529" s="544" t="s">
        <v>1674</v>
      </c>
      <c r="AN529" s="544" t="s">
        <v>1674</v>
      </c>
      <c r="AP529" s="552">
        <f t="shared" si="8"/>
        <v>-2250</v>
      </c>
    </row>
    <row r="530" spans="1:42" outlineLevel="1" x14ac:dyDescent="0.25">
      <c r="A530" s="544" t="s">
        <v>1674</v>
      </c>
      <c r="B530" s="545">
        <v>0</v>
      </c>
      <c r="C530" s="544" t="s">
        <v>1674</v>
      </c>
      <c r="D530" s="544" t="s">
        <v>2913</v>
      </c>
      <c r="E530" s="542" t="s">
        <v>2911</v>
      </c>
      <c r="G530" s="546"/>
      <c r="H530" s="546">
        <v>3132.43</v>
      </c>
      <c r="I530" s="546">
        <v>3361.75</v>
      </c>
      <c r="J530" s="542" t="s">
        <v>2584</v>
      </c>
      <c r="K530" s="547">
        <v>8401</v>
      </c>
      <c r="L530" s="542" t="s">
        <v>806</v>
      </c>
      <c r="M530" s="548"/>
      <c r="N530" s="549">
        <v>0</v>
      </c>
      <c r="O530" s="544" t="s">
        <v>1674</v>
      </c>
      <c r="P530" s="544" t="s">
        <v>1674</v>
      </c>
      <c r="Q530" s="544" t="s">
        <v>2914</v>
      </c>
      <c r="R530" s="544" t="s">
        <v>1674</v>
      </c>
      <c r="S530" s="544" t="s">
        <v>1674</v>
      </c>
      <c r="T530" s="550">
        <v>19</v>
      </c>
      <c r="U530" s="544" t="s">
        <v>2697</v>
      </c>
      <c r="V530" s="547">
        <v>1034</v>
      </c>
      <c r="W530" s="548"/>
      <c r="Y530" s="544" t="s">
        <v>1674</v>
      </c>
      <c r="AA530" s="544" t="s">
        <v>1674</v>
      </c>
      <c r="AE530" s="551"/>
      <c r="AF530" s="544" t="s">
        <v>1674</v>
      </c>
      <c r="AG530" s="544" t="s">
        <v>1674</v>
      </c>
      <c r="AH530" s="544" t="s">
        <v>1674</v>
      </c>
      <c r="AI530" s="544" t="s">
        <v>1674</v>
      </c>
      <c r="AJ530" s="544" t="s">
        <v>1674</v>
      </c>
      <c r="AK530" s="544" t="s">
        <v>1674</v>
      </c>
      <c r="AL530" s="544" t="s">
        <v>1674</v>
      </c>
      <c r="AM530" s="544" t="s">
        <v>1674</v>
      </c>
      <c r="AN530" s="544" t="s">
        <v>1674</v>
      </c>
      <c r="AP530" s="552">
        <f t="shared" si="8"/>
        <v>-3361.75</v>
      </c>
    </row>
    <row r="531" spans="1:42" outlineLevel="1" x14ac:dyDescent="0.25">
      <c r="A531" s="544" t="s">
        <v>1674</v>
      </c>
      <c r="B531" s="545">
        <v>31501</v>
      </c>
      <c r="C531" s="544" t="s">
        <v>2826</v>
      </c>
      <c r="D531" s="544" t="s">
        <v>2938</v>
      </c>
      <c r="E531" s="542" t="s">
        <v>2844</v>
      </c>
      <c r="G531" s="546"/>
      <c r="H531" s="546">
        <v>4999.87</v>
      </c>
      <c r="I531" s="546">
        <v>4999.87</v>
      </c>
      <c r="J531" s="542" t="s">
        <v>2584</v>
      </c>
      <c r="K531" s="547">
        <v>1200</v>
      </c>
      <c r="L531" s="542" t="s">
        <v>806</v>
      </c>
      <c r="M531" s="548"/>
      <c r="N531" s="549">
        <v>0</v>
      </c>
      <c r="O531" s="544" t="s">
        <v>1674</v>
      </c>
      <c r="P531" s="544" t="s">
        <v>1674</v>
      </c>
      <c r="Q531" s="544" t="s">
        <v>2939</v>
      </c>
      <c r="R531" s="544" t="s">
        <v>1674</v>
      </c>
      <c r="S531" s="544" t="s">
        <v>1674</v>
      </c>
      <c r="T531" s="550"/>
      <c r="U531" s="544" t="s">
        <v>2697</v>
      </c>
      <c r="V531" s="547">
        <v>1233</v>
      </c>
      <c r="W531" s="548"/>
      <c r="Y531" s="544" t="s">
        <v>1674</v>
      </c>
      <c r="AA531" s="544" t="s">
        <v>1674</v>
      </c>
      <c r="AE531" s="551"/>
      <c r="AF531" s="544" t="s">
        <v>1674</v>
      </c>
      <c r="AG531" s="544" t="s">
        <v>1674</v>
      </c>
      <c r="AH531" s="544" t="s">
        <v>1674</v>
      </c>
      <c r="AI531" s="544" t="s">
        <v>1674</v>
      </c>
      <c r="AJ531" s="544" t="s">
        <v>1674</v>
      </c>
      <c r="AK531" s="544" t="s">
        <v>1674</v>
      </c>
      <c r="AL531" s="544" t="s">
        <v>1674</v>
      </c>
      <c r="AM531" s="544" t="s">
        <v>2831</v>
      </c>
      <c r="AN531" s="544" t="s">
        <v>1674</v>
      </c>
      <c r="AP531" s="552">
        <f t="shared" si="8"/>
        <v>-4999.87</v>
      </c>
    </row>
    <row r="532" spans="1:42" outlineLevel="1" x14ac:dyDescent="0.25">
      <c r="A532" s="544" t="s">
        <v>1674</v>
      </c>
      <c r="B532" s="545">
        <v>30806</v>
      </c>
      <c r="C532" s="544" t="s">
        <v>2702</v>
      </c>
      <c r="D532" s="544" t="s">
        <v>2915</v>
      </c>
      <c r="E532" s="542" t="s">
        <v>2916</v>
      </c>
      <c r="G532" s="546"/>
      <c r="H532" s="546">
        <v>10425</v>
      </c>
      <c r="I532" s="546">
        <v>10425</v>
      </c>
      <c r="J532" s="542" t="s">
        <v>2584</v>
      </c>
      <c r="K532" s="547">
        <v>1200</v>
      </c>
      <c r="L532" s="542" t="s">
        <v>806</v>
      </c>
      <c r="M532" s="548"/>
      <c r="N532" s="549">
        <v>0</v>
      </c>
      <c r="O532" s="544" t="s">
        <v>1674</v>
      </c>
      <c r="P532" s="544" t="s">
        <v>1674</v>
      </c>
      <c r="Q532" s="544" t="s">
        <v>2917</v>
      </c>
      <c r="R532" s="544" t="s">
        <v>1674</v>
      </c>
      <c r="S532" s="544" t="s">
        <v>1674</v>
      </c>
      <c r="T532" s="550"/>
      <c r="U532" s="544" t="s">
        <v>2697</v>
      </c>
      <c r="V532" s="547">
        <v>1053</v>
      </c>
      <c r="W532" s="548"/>
      <c r="Y532" s="544" t="s">
        <v>1674</v>
      </c>
      <c r="AA532" s="544" t="s">
        <v>1674</v>
      </c>
      <c r="AE532" s="551"/>
      <c r="AF532" s="544" t="s">
        <v>1674</v>
      </c>
      <c r="AG532" s="544" t="s">
        <v>1674</v>
      </c>
      <c r="AH532" s="544" t="s">
        <v>1674</v>
      </c>
      <c r="AI532" s="544" t="s">
        <v>1674</v>
      </c>
      <c r="AJ532" s="544" t="s">
        <v>1674</v>
      </c>
      <c r="AK532" s="544" t="s">
        <v>1674</v>
      </c>
      <c r="AL532" s="544" t="s">
        <v>1674</v>
      </c>
      <c r="AM532" s="544" t="s">
        <v>2706</v>
      </c>
      <c r="AN532" s="544" t="s">
        <v>1674</v>
      </c>
      <c r="AP532" s="552">
        <f t="shared" si="8"/>
        <v>-10425</v>
      </c>
    </row>
    <row r="536" spans="1:42" x14ac:dyDescent="0.25">
      <c r="G536" s="552">
        <f>SUM(G3:G532)</f>
        <v>2165699.8500000043</v>
      </c>
      <c r="H536" s="552">
        <f>SUM(H3:H532)</f>
        <v>158005.48999999996</v>
      </c>
      <c r="I536" s="563">
        <f>G536-H536</f>
        <v>2007694.3600000043</v>
      </c>
      <c r="AP536" s="552">
        <f>SUM(AP3:AP532)</f>
        <v>2007694.360000001</v>
      </c>
    </row>
    <row r="537" spans="1:42" x14ac:dyDescent="0.25">
      <c r="AP537" s="564"/>
    </row>
    <row r="539" spans="1:42" x14ac:dyDescent="0.25">
      <c r="AO539" s="542" t="s">
        <v>233</v>
      </c>
      <c r="AP539" s="552">
        <v>1988801.36</v>
      </c>
    </row>
    <row r="540" spans="1:42" x14ac:dyDescent="0.25">
      <c r="AP540" s="552">
        <f>AP536-AP539</f>
        <v>18893.000000000931</v>
      </c>
    </row>
  </sheetData>
  <autoFilter ref="A2:AP2" xr:uid="{BD39D986-5528-4BA3-A3BD-91CD23901E6E}">
    <sortState xmlns:xlrd2="http://schemas.microsoft.com/office/spreadsheetml/2017/richdata2" ref="A3:AP532">
      <sortCondition descending="1" ref="AP2"/>
    </sortState>
  </autoFilter>
  <conditionalFormatting sqref="A1:AN532">
    <cfRule type="containsText" dxfId="14" priority="2" operator="containsText" text="Getz Healthcare Pty Ltd. / Australien ">
      <formula>NOT(ISERROR(SEARCH("Getz Healthcare Pty Ltd. / Australien ",A1)))</formula>
    </cfRule>
  </conditionalFormatting>
  <conditionalFormatting sqref="A1:XFD1048576">
    <cfRule type="containsText" dxfId="13" priority="1" operator="containsText" text="Getz">
      <formula>NOT(ISERROR(SEARCH("Getz",A1)))</formula>
    </cfRule>
  </conditionalFormatting>
  <conditionalFormatting sqref="C5">
    <cfRule type="containsText" dxfId="12" priority="3" operator="containsText" text="Getz Healthcare Pty Ltd. / Australien ">
      <formula>NOT(ISERROR(SEARCH("Getz Healthcare Pty Ltd. / Australien ",C5)))</formula>
    </cfRule>
  </conditionalFormatting>
  <conditionalFormatting sqref="AS10">
    <cfRule type="cellIs" dxfId="11" priority="4" operator="equal">
      <formula>0</formula>
    </cfRule>
  </conditionalFormatting>
  <pageMargins left="0.7" right="0.7" top="0.78740157499999996" bottom="0.78740157499999996"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546A0-4A7A-4F64-BD62-90B4D065AEF9}">
  <sheetPr>
    <tabColor rgb="FF7030A0"/>
    <outlinePr summaryBelow="0"/>
  </sheetPr>
  <dimension ref="A1:AX847"/>
  <sheetViews>
    <sheetView workbookViewId="0">
      <selection sqref="A1:AN1"/>
    </sheetView>
  </sheetViews>
  <sheetFormatPr defaultColWidth="10.28515625" defaultRowHeight="15" outlineLevelRow="1" outlineLevelCol="1" x14ac:dyDescent="0.25"/>
  <cols>
    <col min="1" max="1" width="7.140625" style="542" customWidth="1"/>
    <col min="2" max="2" width="9.85546875" style="542" customWidth="1"/>
    <col min="3" max="3" width="42.85546875" style="542" customWidth="1"/>
    <col min="4" max="4" width="17.28515625" style="542" customWidth="1"/>
    <col min="5" max="7" width="13.85546875" style="542" customWidth="1"/>
    <col min="8" max="8" width="16" style="542" customWidth="1"/>
    <col min="9" max="9" width="13.85546875" style="542" customWidth="1"/>
    <col min="10" max="10" width="13" style="542" customWidth="1"/>
    <col min="11" max="11" width="14.5703125" style="542" customWidth="1"/>
    <col min="12" max="12" width="6.28515625" style="542" customWidth="1"/>
    <col min="13" max="13" width="9.85546875" style="542" customWidth="1"/>
    <col min="14" max="14" width="9.42578125" style="542" customWidth="1"/>
    <col min="15" max="15" width="13.85546875" style="542" hidden="1" customWidth="1" outlineLevel="1"/>
    <col min="16" max="16" width="7.140625" style="542" hidden="1" customWidth="1" outlineLevel="1"/>
    <col min="17" max="17" width="75.7109375" style="542" hidden="1" customWidth="1" outlineLevel="1"/>
    <col min="18" max="19" width="11" style="542" hidden="1" customWidth="1" outlineLevel="1"/>
    <col min="20" max="20" width="9.42578125" style="542" hidden="1" customWidth="1" outlineLevel="1"/>
    <col min="21" max="21" width="16" style="542" hidden="1" customWidth="1" outlineLevel="1"/>
    <col min="22" max="22" width="9.7109375" style="542" hidden="1" customWidth="1" outlineLevel="1"/>
    <col min="23" max="23" width="6.28515625" style="542" hidden="1" customWidth="1" outlineLevel="1"/>
    <col min="24" max="24" width="12.28515625" style="542" hidden="1" customWidth="1" outlineLevel="1"/>
    <col min="25" max="25" width="15.28515625" style="542" hidden="1" customWidth="1" outlineLevel="1"/>
    <col min="26" max="26" width="12.42578125" style="542" hidden="1" customWidth="1" outlineLevel="1"/>
    <col min="27" max="27" width="24.140625" style="542" hidden="1" customWidth="1" outlineLevel="1"/>
    <col min="28" max="28" width="19.42578125" style="542" hidden="1" customWidth="1" outlineLevel="1"/>
    <col min="29" max="29" width="14.42578125" style="542" hidden="1" customWidth="1" outlineLevel="1"/>
    <col min="30" max="30" width="13.42578125" style="542" hidden="1" customWidth="1" outlineLevel="1"/>
    <col min="31" max="31" width="12.85546875" style="542" hidden="1" customWidth="1" outlineLevel="1"/>
    <col min="32" max="32" width="27.28515625" style="542" hidden="1" customWidth="1" outlineLevel="1"/>
    <col min="33" max="33" width="9.85546875" style="542" hidden="1" customWidth="1" outlineLevel="1"/>
    <col min="34" max="34" width="18.140625" style="542" hidden="1" customWidth="1" outlineLevel="1"/>
    <col min="35" max="35" width="8.85546875" style="542" hidden="1" customWidth="1" outlineLevel="1"/>
    <col min="36" max="36" width="30.85546875" style="542" hidden="1" customWidth="1" outlineLevel="1"/>
    <col min="37" max="37" width="18.5703125" style="542" hidden="1" customWidth="1" outlineLevel="1"/>
    <col min="38" max="38" width="24" style="542" hidden="1" customWidth="1" outlineLevel="1"/>
    <col min="39" max="39" width="21.42578125" style="542" hidden="1" customWidth="1" outlineLevel="1"/>
    <col min="40" max="40" width="19.5703125" style="542" hidden="1" customWidth="1" outlineLevel="1"/>
    <col min="41" max="41" width="10.28515625" style="542" collapsed="1"/>
    <col min="42" max="42" width="13.140625" style="542" customWidth="1"/>
    <col min="43" max="43" width="10.28515625" style="542"/>
    <col min="44" max="44" width="14.85546875" style="542" customWidth="1"/>
    <col min="45" max="45" width="10.28515625" style="542"/>
    <col min="46" max="46" width="15.140625" style="542" customWidth="1"/>
    <col min="47" max="47" width="13.42578125" style="542" customWidth="1"/>
    <col min="48" max="48" width="10.28515625" style="542"/>
    <col min="49" max="49" width="14.42578125" style="542" customWidth="1"/>
    <col min="50" max="16384" width="10.28515625" style="542"/>
  </cols>
  <sheetData>
    <row r="1" spans="1:50" x14ac:dyDescent="0.25">
      <c r="A1" s="1024" t="s">
        <v>3300</v>
      </c>
      <c r="B1" s="1025"/>
      <c r="C1" s="1025"/>
      <c r="D1" s="1025"/>
      <c r="E1" s="1025"/>
      <c r="F1" s="1025"/>
      <c r="G1" s="1025"/>
      <c r="H1" s="1025"/>
      <c r="I1" s="1025"/>
      <c r="J1" s="1025"/>
      <c r="K1" s="1025"/>
      <c r="L1" s="1025"/>
      <c r="M1" s="1025"/>
      <c r="N1" s="1025"/>
      <c r="O1" s="1025"/>
      <c r="P1" s="1025"/>
      <c r="Q1" s="1025"/>
      <c r="R1" s="1025"/>
      <c r="S1" s="1025"/>
      <c r="T1" s="1025"/>
      <c r="U1" s="1025"/>
      <c r="V1" s="1025"/>
      <c r="W1" s="1025"/>
      <c r="X1" s="1025"/>
      <c r="Y1" s="1025"/>
      <c r="Z1" s="1025"/>
      <c r="AA1" s="1025"/>
      <c r="AB1" s="1025"/>
      <c r="AC1" s="1025"/>
      <c r="AD1" s="1025"/>
      <c r="AE1" s="1025"/>
      <c r="AF1" s="1025"/>
      <c r="AG1" s="1025"/>
      <c r="AH1" s="1025"/>
      <c r="AI1" s="1025"/>
      <c r="AJ1" s="1025"/>
      <c r="AK1" s="1025"/>
      <c r="AL1" s="1025"/>
      <c r="AM1" s="1025"/>
      <c r="AN1" s="1025"/>
    </row>
    <row r="2" spans="1:50" outlineLevel="1" x14ac:dyDescent="0.25">
      <c r="A2" s="543" t="s">
        <v>2541</v>
      </c>
      <c r="B2" s="543" t="s">
        <v>2542</v>
      </c>
      <c r="C2" s="543" t="s">
        <v>2543</v>
      </c>
      <c r="D2" s="543" t="s">
        <v>2544</v>
      </c>
      <c r="E2" s="543" t="s">
        <v>2545</v>
      </c>
      <c r="F2" s="543" t="s">
        <v>2546</v>
      </c>
      <c r="G2" s="543" t="s">
        <v>2547</v>
      </c>
      <c r="H2" s="543" t="s">
        <v>2548</v>
      </c>
      <c r="I2" s="543" t="s">
        <v>2549</v>
      </c>
      <c r="J2" s="543" t="s">
        <v>2550</v>
      </c>
      <c r="K2" s="543" t="s">
        <v>2551</v>
      </c>
      <c r="L2" s="543" t="s">
        <v>2552</v>
      </c>
      <c r="M2" s="543" t="s">
        <v>2553</v>
      </c>
      <c r="N2" s="543" t="s">
        <v>2554</v>
      </c>
      <c r="O2" s="543" t="s">
        <v>2555</v>
      </c>
      <c r="P2" s="543" t="s">
        <v>2556</v>
      </c>
      <c r="Q2" s="543" t="s">
        <v>2557</v>
      </c>
      <c r="R2" s="543" t="s">
        <v>2558</v>
      </c>
      <c r="S2" s="543" t="s">
        <v>2559</v>
      </c>
      <c r="T2" s="543" t="s">
        <v>2560</v>
      </c>
      <c r="U2" s="543" t="s">
        <v>2561</v>
      </c>
      <c r="V2" s="543" t="s">
        <v>2562</v>
      </c>
      <c r="W2" s="543" t="s">
        <v>2563</v>
      </c>
      <c r="X2" s="543" t="s">
        <v>2564</v>
      </c>
      <c r="Y2" s="543" t="s">
        <v>2565</v>
      </c>
      <c r="Z2" s="543" t="s">
        <v>2566</v>
      </c>
      <c r="AA2" s="543" t="s">
        <v>2567</v>
      </c>
      <c r="AB2" s="543" t="s">
        <v>2568</v>
      </c>
      <c r="AC2" s="543" t="s">
        <v>2569</v>
      </c>
      <c r="AD2" s="543" t="s">
        <v>2570</v>
      </c>
      <c r="AE2" s="543" t="s">
        <v>2571</v>
      </c>
      <c r="AF2" s="543" t="s">
        <v>2572</v>
      </c>
      <c r="AG2" s="543" t="s">
        <v>2573</v>
      </c>
      <c r="AH2" s="543" t="s">
        <v>2574</v>
      </c>
      <c r="AI2" s="543" t="s">
        <v>2575</v>
      </c>
      <c r="AJ2" s="543" t="s">
        <v>2576</v>
      </c>
      <c r="AK2" s="543" t="s">
        <v>2577</v>
      </c>
      <c r="AL2" s="543" t="s">
        <v>2578</v>
      </c>
      <c r="AM2" s="543" t="s">
        <v>2579</v>
      </c>
      <c r="AN2" s="543" t="s">
        <v>2580</v>
      </c>
      <c r="AP2" s="565">
        <v>45930</v>
      </c>
      <c r="AR2" s="543" t="s">
        <v>2549</v>
      </c>
    </row>
    <row r="3" spans="1:50" outlineLevel="1" x14ac:dyDescent="0.25">
      <c r="A3" s="544" t="s">
        <v>1674</v>
      </c>
      <c r="B3" s="545">
        <v>11800</v>
      </c>
      <c r="C3" s="544" t="s">
        <v>2581</v>
      </c>
      <c r="D3" s="544" t="s">
        <v>2582</v>
      </c>
      <c r="E3" s="542" t="s">
        <v>2583</v>
      </c>
      <c r="G3" s="546"/>
      <c r="H3" s="546">
        <v>399.72</v>
      </c>
      <c r="I3" s="546">
        <v>399.72</v>
      </c>
      <c r="J3" s="542" t="s">
        <v>2584</v>
      </c>
      <c r="K3" s="547">
        <v>8400</v>
      </c>
      <c r="L3" s="542" t="s">
        <v>806</v>
      </c>
      <c r="M3" s="548"/>
      <c r="N3" s="549"/>
      <c r="O3" s="544" t="s">
        <v>1674</v>
      </c>
      <c r="P3" s="544" t="s">
        <v>1674</v>
      </c>
      <c r="Q3" s="544" t="s">
        <v>2585</v>
      </c>
      <c r="R3" s="544" t="s">
        <v>1674</v>
      </c>
      <c r="S3" s="544" t="s">
        <v>1674</v>
      </c>
      <c r="T3" s="550">
        <v>19</v>
      </c>
      <c r="U3" s="544" t="s">
        <v>2586</v>
      </c>
      <c r="V3" s="547">
        <v>683</v>
      </c>
      <c r="W3" s="548"/>
      <c r="Y3" s="544" t="s">
        <v>1674</v>
      </c>
      <c r="AA3" s="544" t="s">
        <v>1674</v>
      </c>
      <c r="AE3" s="551"/>
      <c r="AF3" s="544" t="s">
        <v>1674</v>
      </c>
      <c r="AG3" s="544" t="s">
        <v>1674</v>
      </c>
      <c r="AH3" s="544" t="s">
        <v>1674</v>
      </c>
      <c r="AI3" s="544" t="s">
        <v>1674</v>
      </c>
      <c r="AJ3" s="544" t="s">
        <v>1674</v>
      </c>
      <c r="AK3" s="544" t="s">
        <v>1674</v>
      </c>
      <c r="AL3" s="544" t="s">
        <v>1674</v>
      </c>
      <c r="AM3" s="544" t="s">
        <v>2581</v>
      </c>
      <c r="AN3" s="544" t="s">
        <v>1674</v>
      </c>
      <c r="AP3" s="542">
        <f>IF(F3&lt;&gt;0,($AP$2-$F3)*-1,0)</f>
        <v>0</v>
      </c>
      <c r="AR3" s="552">
        <f>IF(J3="S",+I3,-I3)</f>
        <v>-399.72</v>
      </c>
      <c r="AT3" s="594" t="s">
        <v>2587</v>
      </c>
      <c r="AU3" s="595" t="s">
        <v>2588</v>
      </c>
      <c r="AW3" s="594" t="s">
        <v>2587</v>
      </c>
      <c r="AX3" s="597" t="s">
        <v>2589</v>
      </c>
    </row>
    <row r="4" spans="1:50" outlineLevel="1" x14ac:dyDescent="0.25">
      <c r="A4" s="544" t="s">
        <v>1674</v>
      </c>
      <c r="B4" s="545">
        <v>10229</v>
      </c>
      <c r="C4" s="544" t="s">
        <v>2590</v>
      </c>
      <c r="D4" s="544" t="s">
        <v>2591</v>
      </c>
      <c r="E4" s="542" t="s">
        <v>2592</v>
      </c>
      <c r="G4" s="546"/>
      <c r="H4" s="546">
        <v>17.260000000000002</v>
      </c>
      <c r="I4" s="546">
        <v>17.260000000000002</v>
      </c>
      <c r="J4" s="542" t="s">
        <v>2584</v>
      </c>
      <c r="K4" s="547">
        <v>8400</v>
      </c>
      <c r="L4" s="542" t="s">
        <v>806</v>
      </c>
      <c r="M4" s="548"/>
      <c r="N4" s="549"/>
      <c r="O4" s="544" t="s">
        <v>1674</v>
      </c>
      <c r="P4" s="544" t="s">
        <v>1674</v>
      </c>
      <c r="Q4" s="544" t="s">
        <v>2593</v>
      </c>
      <c r="R4" s="544" t="s">
        <v>1674</v>
      </c>
      <c r="S4" s="544" t="s">
        <v>1674</v>
      </c>
      <c r="T4" s="550">
        <v>19</v>
      </c>
      <c r="U4" s="544" t="s">
        <v>2594</v>
      </c>
      <c r="V4" s="547">
        <v>370</v>
      </c>
      <c r="W4" s="548"/>
      <c r="Y4" s="544" t="s">
        <v>1674</v>
      </c>
      <c r="AA4" s="544" t="s">
        <v>1674</v>
      </c>
      <c r="AE4" s="551"/>
      <c r="AF4" s="544" t="s">
        <v>2595</v>
      </c>
      <c r="AG4" s="544" t="s">
        <v>2596</v>
      </c>
      <c r="AH4" s="544" t="s">
        <v>2597</v>
      </c>
      <c r="AI4" s="544" t="s">
        <v>1674</v>
      </c>
      <c r="AJ4" s="544" t="s">
        <v>2598</v>
      </c>
      <c r="AK4" s="544" t="s">
        <v>1674</v>
      </c>
      <c r="AL4" s="544" t="s">
        <v>1674</v>
      </c>
      <c r="AM4" s="544" t="s">
        <v>2599</v>
      </c>
      <c r="AN4" s="544" t="s">
        <v>2600</v>
      </c>
      <c r="AP4" s="542">
        <f t="shared" ref="AP4:AP67" si="0">IF(F4&lt;&gt;0,($AP$2-$F4)*-1,0)</f>
        <v>0</v>
      </c>
      <c r="AR4" s="552">
        <f t="shared" ref="AR4:AR67" si="1">IF(J4="S",+I4,-I4)</f>
        <v>-17.260000000000002</v>
      </c>
      <c r="AT4" s="598" t="s">
        <v>502</v>
      </c>
      <c r="AU4" s="599">
        <f>SUMIFS($AR$3:$AR$839,$AP$3:$AP$839,"&gt;=0")</f>
        <v>703228.02000000014</v>
      </c>
      <c r="AW4" s="598" t="s">
        <v>502</v>
      </c>
      <c r="AX4" s="600">
        <f>AU4/1000</f>
        <v>703.22802000000013</v>
      </c>
    </row>
    <row r="5" spans="1:50" outlineLevel="1" x14ac:dyDescent="0.25">
      <c r="A5" s="544" t="s">
        <v>1674</v>
      </c>
      <c r="B5" s="545">
        <v>22508</v>
      </c>
      <c r="C5" s="544" t="s">
        <v>2601</v>
      </c>
      <c r="D5" s="544" t="s">
        <v>2602</v>
      </c>
      <c r="E5" s="542" t="s">
        <v>2603</v>
      </c>
      <c r="G5" s="546"/>
      <c r="H5" s="546">
        <v>28</v>
      </c>
      <c r="I5" s="546">
        <v>28</v>
      </c>
      <c r="J5" s="542" t="s">
        <v>2584</v>
      </c>
      <c r="K5" s="547">
        <v>8125</v>
      </c>
      <c r="L5" s="542" t="s">
        <v>806</v>
      </c>
      <c r="M5" s="548"/>
      <c r="N5" s="549"/>
      <c r="O5" s="544" t="s">
        <v>1674</v>
      </c>
      <c r="P5" s="544" t="s">
        <v>1674</v>
      </c>
      <c r="Q5" s="544" t="s">
        <v>2604</v>
      </c>
      <c r="R5" s="544" t="s">
        <v>1674</v>
      </c>
      <c r="S5" s="544" t="s">
        <v>1674</v>
      </c>
      <c r="T5" s="550"/>
      <c r="U5" s="544" t="s">
        <v>2605</v>
      </c>
      <c r="V5" s="547">
        <v>189</v>
      </c>
      <c r="W5" s="548"/>
      <c r="Y5" s="544" t="s">
        <v>1674</v>
      </c>
      <c r="AA5" s="544" t="s">
        <v>1674</v>
      </c>
      <c r="AE5" s="551"/>
      <c r="AF5" s="544" t="s">
        <v>1674</v>
      </c>
      <c r="AG5" s="544" t="s">
        <v>1674</v>
      </c>
      <c r="AH5" s="544" t="s">
        <v>1674</v>
      </c>
      <c r="AI5" s="544" t="s">
        <v>1674</v>
      </c>
      <c r="AJ5" s="544" t="s">
        <v>1674</v>
      </c>
      <c r="AK5" s="544" t="s">
        <v>1674</v>
      </c>
      <c r="AL5" s="544" t="s">
        <v>1674</v>
      </c>
      <c r="AM5" s="544" t="s">
        <v>2606</v>
      </c>
      <c r="AN5" s="544" t="s">
        <v>1674</v>
      </c>
      <c r="AP5" s="542">
        <f t="shared" si="0"/>
        <v>0</v>
      </c>
      <c r="AR5" s="552">
        <f t="shared" si="1"/>
        <v>-28</v>
      </c>
      <c r="AT5" s="598" t="s">
        <v>500</v>
      </c>
      <c r="AU5" s="593">
        <f>SUMIFS(AR3:AR839,$AP$3:$AP$839,"&lt;0",$AP$3:$AP$839,"&gt;=-30")</f>
        <v>425389.57999999996</v>
      </c>
      <c r="AW5" s="598" t="s">
        <v>500</v>
      </c>
      <c r="AX5" s="600">
        <f>AU5/1000</f>
        <v>425.38957999999997</v>
      </c>
    </row>
    <row r="6" spans="1:50" outlineLevel="1" x14ac:dyDescent="0.25">
      <c r="A6" s="544" t="s">
        <v>1674</v>
      </c>
      <c r="B6" s="545">
        <v>22801</v>
      </c>
      <c r="C6" s="544" t="s">
        <v>2607</v>
      </c>
      <c r="D6" s="544" t="s">
        <v>2608</v>
      </c>
      <c r="E6" s="542" t="s">
        <v>2609</v>
      </c>
      <c r="G6" s="546"/>
      <c r="H6" s="546">
        <v>54.5</v>
      </c>
      <c r="I6" s="546">
        <v>54.5</v>
      </c>
      <c r="J6" s="542" t="s">
        <v>2584</v>
      </c>
      <c r="K6" s="547">
        <v>8125</v>
      </c>
      <c r="L6" s="542" t="s">
        <v>806</v>
      </c>
      <c r="M6" s="548"/>
      <c r="N6" s="549"/>
      <c r="O6" s="544" t="s">
        <v>1674</v>
      </c>
      <c r="P6" s="544" t="s">
        <v>1674</v>
      </c>
      <c r="Q6" s="544" t="s">
        <v>2610</v>
      </c>
      <c r="R6" s="544" t="s">
        <v>1674</v>
      </c>
      <c r="S6" s="544" t="s">
        <v>1674</v>
      </c>
      <c r="T6" s="550"/>
      <c r="U6" s="544" t="s">
        <v>2611</v>
      </c>
      <c r="V6" s="547">
        <v>1127</v>
      </c>
      <c r="W6" s="548"/>
      <c r="Y6" s="544" t="s">
        <v>1674</v>
      </c>
      <c r="AA6" s="544" t="s">
        <v>1674</v>
      </c>
      <c r="AE6" s="551"/>
      <c r="AF6" s="544" t="s">
        <v>1674</v>
      </c>
      <c r="AG6" s="544" t="s">
        <v>1674</v>
      </c>
      <c r="AH6" s="544" t="s">
        <v>1674</v>
      </c>
      <c r="AI6" s="544" t="s">
        <v>1674</v>
      </c>
      <c r="AJ6" s="544" t="s">
        <v>1674</v>
      </c>
      <c r="AK6" s="544" t="s">
        <v>1674</v>
      </c>
      <c r="AL6" s="544" t="s">
        <v>1674</v>
      </c>
      <c r="AM6" s="544" t="s">
        <v>2612</v>
      </c>
      <c r="AN6" s="544" t="s">
        <v>1674</v>
      </c>
      <c r="AP6" s="542">
        <f t="shared" si="0"/>
        <v>0</v>
      </c>
      <c r="AR6" s="552">
        <f t="shared" si="1"/>
        <v>-54.5</v>
      </c>
      <c r="AT6" s="598" t="s">
        <v>498</v>
      </c>
      <c r="AU6" s="593">
        <f>SUMIFS(AR3:$AR$839,$AP$3:$AP$839,"&lt;=-31",$AP$3:$AP$839,"&gt;-61")</f>
        <v>141115.84</v>
      </c>
      <c r="AW6" s="598" t="s">
        <v>498</v>
      </c>
      <c r="AX6" s="600">
        <f>AU6/1000</f>
        <v>141.11583999999999</v>
      </c>
    </row>
    <row r="7" spans="1:50" outlineLevel="1" x14ac:dyDescent="0.25">
      <c r="A7" s="544" t="s">
        <v>1674</v>
      </c>
      <c r="B7" s="545">
        <v>11800</v>
      </c>
      <c r="C7" s="544" t="s">
        <v>2581</v>
      </c>
      <c r="D7" s="544" t="s">
        <v>2613</v>
      </c>
      <c r="E7" s="542" t="s">
        <v>2614</v>
      </c>
      <c r="G7" s="546"/>
      <c r="H7" s="546">
        <v>27.63</v>
      </c>
      <c r="I7" s="546"/>
      <c r="J7" s="542" t="s">
        <v>806</v>
      </c>
      <c r="K7" s="547">
        <v>8400</v>
      </c>
      <c r="L7" s="542" t="s">
        <v>806</v>
      </c>
      <c r="M7" s="548"/>
      <c r="N7" s="549"/>
      <c r="O7" s="544" t="s">
        <v>1674</v>
      </c>
      <c r="P7" s="544" t="s">
        <v>1674</v>
      </c>
      <c r="Q7" s="544" t="s">
        <v>2615</v>
      </c>
      <c r="R7" s="544" t="s">
        <v>1674</v>
      </c>
      <c r="S7" s="544" t="s">
        <v>1674</v>
      </c>
      <c r="T7" s="550">
        <v>19</v>
      </c>
      <c r="U7" s="544" t="s">
        <v>2616</v>
      </c>
      <c r="V7" s="547">
        <v>1439</v>
      </c>
      <c r="W7" s="548"/>
      <c r="Y7" s="544" t="s">
        <v>1674</v>
      </c>
      <c r="AA7" s="544" t="s">
        <v>1674</v>
      </c>
      <c r="AE7" s="551"/>
      <c r="AF7" s="544" t="s">
        <v>1674</v>
      </c>
      <c r="AG7" s="544" t="s">
        <v>1674</v>
      </c>
      <c r="AH7" s="544" t="s">
        <v>1674</v>
      </c>
      <c r="AI7" s="544" t="s">
        <v>1674</v>
      </c>
      <c r="AJ7" s="544" t="s">
        <v>1674</v>
      </c>
      <c r="AK7" s="544" t="s">
        <v>1674</v>
      </c>
      <c r="AL7" s="544" t="s">
        <v>1674</v>
      </c>
      <c r="AM7" s="544" t="s">
        <v>2581</v>
      </c>
      <c r="AN7" s="544" t="s">
        <v>1674</v>
      </c>
      <c r="AP7" s="542">
        <f t="shared" si="0"/>
        <v>0</v>
      </c>
      <c r="AR7" s="552">
        <f t="shared" si="1"/>
        <v>0</v>
      </c>
      <c r="AT7" s="598" t="s">
        <v>496</v>
      </c>
      <c r="AU7" s="593">
        <f>SUMIFS($AR$3:$AR$839,$AP$3:$AP$839,"&lt;=-61",$AP$3:$AP$839,"&gt;-91")</f>
        <v>87904.280000000013</v>
      </c>
      <c r="AW7" s="598" t="s">
        <v>496</v>
      </c>
      <c r="AX7" s="600">
        <f>AU7/1000</f>
        <v>87.904280000000014</v>
      </c>
    </row>
    <row r="8" spans="1:50" outlineLevel="1" x14ac:dyDescent="0.25">
      <c r="A8" s="544" t="s">
        <v>1674</v>
      </c>
      <c r="B8" s="545">
        <v>0</v>
      </c>
      <c r="C8" s="544" t="s">
        <v>1674</v>
      </c>
      <c r="D8" s="544" t="s">
        <v>2613</v>
      </c>
      <c r="E8" s="542" t="s">
        <v>2614</v>
      </c>
      <c r="G8" s="546"/>
      <c r="H8" s="546">
        <v>1.46</v>
      </c>
      <c r="I8" s="546"/>
      <c r="J8" s="542" t="s">
        <v>806</v>
      </c>
      <c r="K8" s="547">
        <v>8400</v>
      </c>
      <c r="L8" s="542" t="s">
        <v>806</v>
      </c>
      <c r="M8" s="548"/>
      <c r="N8" s="549"/>
      <c r="O8" s="544" t="s">
        <v>1674</v>
      </c>
      <c r="P8" s="544" t="s">
        <v>1674</v>
      </c>
      <c r="Q8" s="544" t="s">
        <v>2615</v>
      </c>
      <c r="R8" s="544" t="s">
        <v>2617</v>
      </c>
      <c r="S8" s="544" t="s">
        <v>1674</v>
      </c>
      <c r="T8" s="550">
        <v>19</v>
      </c>
      <c r="U8" s="544" t="s">
        <v>2616</v>
      </c>
      <c r="V8" s="547">
        <v>1440</v>
      </c>
      <c r="W8" s="548"/>
      <c r="Y8" s="544" t="s">
        <v>1674</v>
      </c>
      <c r="AA8" s="544" t="s">
        <v>1674</v>
      </c>
      <c r="AE8" s="551"/>
      <c r="AF8" s="544" t="s">
        <v>1674</v>
      </c>
      <c r="AG8" s="544" t="s">
        <v>1674</v>
      </c>
      <c r="AH8" s="544" t="s">
        <v>1674</v>
      </c>
      <c r="AI8" s="544" t="s">
        <v>1674</v>
      </c>
      <c r="AJ8" s="544" t="s">
        <v>1674</v>
      </c>
      <c r="AK8" s="544" t="s">
        <v>1674</v>
      </c>
      <c r="AL8" s="544" t="s">
        <v>1674</v>
      </c>
      <c r="AM8" s="544" t="s">
        <v>1674</v>
      </c>
      <c r="AN8" s="544" t="s">
        <v>1674</v>
      </c>
      <c r="AP8" s="542">
        <f t="shared" si="0"/>
        <v>0</v>
      </c>
      <c r="AR8" s="552">
        <f t="shared" si="1"/>
        <v>0</v>
      </c>
      <c r="AT8" s="598" t="s">
        <v>494</v>
      </c>
      <c r="AU8" s="599">
        <f>SUMIFS($AR$3:$AR$839,$AP$3:$AP$839,"&lt;=-91")</f>
        <v>320595.90999999992</v>
      </c>
      <c r="AW8" s="598" t="s">
        <v>494</v>
      </c>
      <c r="AX8" s="600">
        <f>AU8/1000</f>
        <v>320.59590999999989</v>
      </c>
    </row>
    <row r="9" spans="1:50" outlineLevel="1" x14ac:dyDescent="0.25">
      <c r="A9" s="544" t="s">
        <v>1674</v>
      </c>
      <c r="B9" s="545">
        <v>0</v>
      </c>
      <c r="C9" s="544" t="s">
        <v>1674</v>
      </c>
      <c r="D9" s="544" t="s">
        <v>2613</v>
      </c>
      <c r="E9" s="542" t="s">
        <v>2614</v>
      </c>
      <c r="G9" s="546"/>
      <c r="H9" s="546">
        <v>708.71</v>
      </c>
      <c r="I9" s="546">
        <v>737.8</v>
      </c>
      <c r="J9" s="542" t="s">
        <v>2584</v>
      </c>
      <c r="K9" s="547">
        <v>8401</v>
      </c>
      <c r="L9" s="542" t="s">
        <v>806</v>
      </c>
      <c r="M9" s="548"/>
      <c r="N9" s="549"/>
      <c r="O9" s="544" t="s">
        <v>1674</v>
      </c>
      <c r="P9" s="544" t="s">
        <v>1674</v>
      </c>
      <c r="Q9" s="544" t="s">
        <v>2615</v>
      </c>
      <c r="R9" s="544" t="s">
        <v>1674</v>
      </c>
      <c r="S9" s="544" t="s">
        <v>1674</v>
      </c>
      <c r="T9" s="550">
        <v>19</v>
      </c>
      <c r="U9" s="544" t="s">
        <v>2616</v>
      </c>
      <c r="V9" s="547">
        <v>1441</v>
      </c>
      <c r="W9" s="548"/>
      <c r="Y9" s="544" t="s">
        <v>1674</v>
      </c>
      <c r="AA9" s="544" t="s">
        <v>1674</v>
      </c>
      <c r="AE9" s="551"/>
      <c r="AF9" s="544" t="s">
        <v>1674</v>
      </c>
      <c r="AG9" s="544" t="s">
        <v>1674</v>
      </c>
      <c r="AH9" s="544" t="s">
        <v>1674</v>
      </c>
      <c r="AI9" s="544" t="s">
        <v>1674</v>
      </c>
      <c r="AJ9" s="544" t="s">
        <v>1674</v>
      </c>
      <c r="AK9" s="544" t="s">
        <v>1674</v>
      </c>
      <c r="AL9" s="544" t="s">
        <v>1674</v>
      </c>
      <c r="AM9" s="544" t="s">
        <v>1674</v>
      </c>
      <c r="AN9" s="544" t="s">
        <v>1674</v>
      </c>
      <c r="AP9" s="542">
        <f t="shared" si="0"/>
        <v>0</v>
      </c>
      <c r="AR9" s="552">
        <f t="shared" si="1"/>
        <v>-737.8</v>
      </c>
      <c r="AT9" s="596"/>
      <c r="AU9" s="601"/>
    </row>
    <row r="10" spans="1:50" outlineLevel="1" x14ac:dyDescent="0.25">
      <c r="A10" s="544" t="s">
        <v>1674</v>
      </c>
      <c r="B10" s="545">
        <v>10801</v>
      </c>
      <c r="C10" s="544" t="s">
        <v>2618</v>
      </c>
      <c r="D10" s="544" t="s">
        <v>2619</v>
      </c>
      <c r="E10" s="542" t="s">
        <v>2620</v>
      </c>
      <c r="G10" s="546"/>
      <c r="H10" s="546">
        <v>214.2</v>
      </c>
      <c r="I10" s="546"/>
      <c r="J10" s="542" t="s">
        <v>806</v>
      </c>
      <c r="K10" s="547">
        <v>8400</v>
      </c>
      <c r="L10" s="542" t="s">
        <v>806</v>
      </c>
      <c r="M10" s="548"/>
      <c r="N10" s="549"/>
      <c r="O10" s="544" t="s">
        <v>1674</v>
      </c>
      <c r="P10" s="544" t="s">
        <v>1674</v>
      </c>
      <c r="Q10" s="544" t="s">
        <v>2621</v>
      </c>
      <c r="R10" s="544" t="s">
        <v>2622</v>
      </c>
      <c r="S10" s="544" t="s">
        <v>1674</v>
      </c>
      <c r="T10" s="550">
        <v>19</v>
      </c>
      <c r="U10" s="544" t="s">
        <v>2623</v>
      </c>
      <c r="V10" s="547">
        <v>129</v>
      </c>
      <c r="W10" s="548"/>
      <c r="Y10" s="544" t="s">
        <v>1674</v>
      </c>
      <c r="AA10" s="544" t="s">
        <v>1674</v>
      </c>
      <c r="AE10" s="551"/>
      <c r="AF10" s="544" t="s">
        <v>1674</v>
      </c>
      <c r="AG10" s="544" t="s">
        <v>1674</v>
      </c>
      <c r="AH10" s="544" t="s">
        <v>1674</v>
      </c>
      <c r="AI10" s="544" t="s">
        <v>1674</v>
      </c>
      <c r="AJ10" s="544" t="s">
        <v>1674</v>
      </c>
      <c r="AK10" s="544" t="s">
        <v>1674</v>
      </c>
      <c r="AL10" s="544" t="s">
        <v>1674</v>
      </c>
      <c r="AM10" s="544" t="s">
        <v>2624</v>
      </c>
      <c r="AN10" s="544" t="s">
        <v>1674</v>
      </c>
      <c r="AP10" s="542">
        <f t="shared" si="0"/>
        <v>0</v>
      </c>
      <c r="AR10" s="552">
        <f t="shared" si="1"/>
        <v>0</v>
      </c>
      <c r="AT10" s="598" t="s">
        <v>233</v>
      </c>
      <c r="AU10" s="601">
        <f>SUM(AU4:AU8)-AR843</f>
        <v>0</v>
      </c>
    </row>
    <row r="11" spans="1:50" outlineLevel="1" x14ac:dyDescent="0.25">
      <c r="A11" s="544" t="s">
        <v>1674</v>
      </c>
      <c r="B11" s="545">
        <v>0</v>
      </c>
      <c r="C11" s="544" t="s">
        <v>1674</v>
      </c>
      <c r="D11" s="544" t="s">
        <v>2619</v>
      </c>
      <c r="E11" s="542" t="s">
        <v>2620</v>
      </c>
      <c r="G11" s="546"/>
      <c r="H11" s="546">
        <v>1846.88</v>
      </c>
      <c r="I11" s="546"/>
      <c r="J11" s="542" t="s">
        <v>806</v>
      </c>
      <c r="K11" s="547">
        <v>8400</v>
      </c>
      <c r="L11" s="542" t="s">
        <v>806</v>
      </c>
      <c r="M11" s="548"/>
      <c r="N11" s="549"/>
      <c r="O11" s="544" t="s">
        <v>1674</v>
      </c>
      <c r="P11" s="544" t="s">
        <v>1674</v>
      </c>
      <c r="Q11" s="544" t="s">
        <v>2621</v>
      </c>
      <c r="R11" s="544" t="s">
        <v>1674</v>
      </c>
      <c r="S11" s="544" t="s">
        <v>1674</v>
      </c>
      <c r="T11" s="550">
        <v>19</v>
      </c>
      <c r="U11" s="544" t="s">
        <v>2623</v>
      </c>
      <c r="V11" s="547">
        <v>130</v>
      </c>
      <c r="W11" s="548"/>
      <c r="Y11" s="544" t="s">
        <v>1674</v>
      </c>
      <c r="AA11" s="544" t="s">
        <v>1674</v>
      </c>
      <c r="AE11" s="551"/>
      <c r="AF11" s="544" t="s">
        <v>1674</v>
      </c>
      <c r="AG11" s="544" t="s">
        <v>1674</v>
      </c>
      <c r="AH11" s="544" t="s">
        <v>1674</v>
      </c>
      <c r="AI11" s="544" t="s">
        <v>1674</v>
      </c>
      <c r="AJ11" s="544" t="s">
        <v>1674</v>
      </c>
      <c r="AK11" s="544" t="s">
        <v>1674</v>
      </c>
      <c r="AL11" s="544" t="s">
        <v>1674</v>
      </c>
      <c r="AM11" s="544" t="s">
        <v>1674</v>
      </c>
      <c r="AN11" s="544" t="s">
        <v>1674</v>
      </c>
      <c r="AP11" s="542">
        <f t="shared" si="0"/>
        <v>0</v>
      </c>
      <c r="AR11" s="552">
        <f t="shared" si="1"/>
        <v>0</v>
      </c>
    </row>
    <row r="12" spans="1:50" outlineLevel="1" x14ac:dyDescent="0.25">
      <c r="A12" s="544" t="s">
        <v>1674</v>
      </c>
      <c r="B12" s="545">
        <v>0</v>
      </c>
      <c r="C12" s="544" t="s">
        <v>1674</v>
      </c>
      <c r="D12" s="544" t="s">
        <v>2619</v>
      </c>
      <c r="E12" s="542" t="s">
        <v>2620</v>
      </c>
      <c r="F12" s="542" t="s">
        <v>2625</v>
      </c>
      <c r="G12" s="546">
        <v>17.850000000000001</v>
      </c>
      <c r="H12" s="546"/>
      <c r="I12" s="546">
        <v>2043.23</v>
      </c>
      <c r="J12" s="542" t="s">
        <v>2584</v>
      </c>
      <c r="K12" s="547">
        <v>8640</v>
      </c>
      <c r="L12" s="542" t="s">
        <v>806</v>
      </c>
      <c r="M12" s="548"/>
      <c r="N12" s="549">
        <v>-1058</v>
      </c>
      <c r="O12" s="544" t="s">
        <v>1674</v>
      </c>
      <c r="P12" s="544" t="s">
        <v>1674</v>
      </c>
      <c r="Q12" s="544" t="s">
        <v>2621</v>
      </c>
      <c r="R12" s="544" t="s">
        <v>1674</v>
      </c>
      <c r="S12" s="544" t="s">
        <v>1674</v>
      </c>
      <c r="T12" s="550">
        <v>19</v>
      </c>
      <c r="U12" s="544" t="s">
        <v>2623</v>
      </c>
      <c r="V12" s="547">
        <v>131</v>
      </c>
      <c r="W12" s="548"/>
      <c r="Y12" s="544" t="s">
        <v>1674</v>
      </c>
      <c r="AA12" s="544" t="s">
        <v>1674</v>
      </c>
      <c r="AE12" s="551"/>
      <c r="AF12" s="544" t="s">
        <v>1674</v>
      </c>
      <c r="AG12" s="544" t="s">
        <v>1674</v>
      </c>
      <c r="AH12" s="544" t="s">
        <v>1674</v>
      </c>
      <c r="AI12" s="544" t="s">
        <v>1674</v>
      </c>
      <c r="AJ12" s="544" t="s">
        <v>1674</v>
      </c>
      <c r="AK12" s="544" t="s">
        <v>1674</v>
      </c>
      <c r="AL12" s="544" t="s">
        <v>1674</v>
      </c>
      <c r="AM12" s="544" t="s">
        <v>1674</v>
      </c>
      <c r="AN12" s="544" t="s">
        <v>1674</v>
      </c>
      <c r="AP12" s="542">
        <f t="shared" si="0"/>
        <v>-997</v>
      </c>
      <c r="AR12" s="552">
        <f t="shared" si="1"/>
        <v>-2043.23</v>
      </c>
    </row>
    <row r="13" spans="1:50" outlineLevel="1" x14ac:dyDescent="0.25">
      <c r="A13" s="544" t="s">
        <v>1674</v>
      </c>
      <c r="B13" s="545">
        <v>21402</v>
      </c>
      <c r="C13" s="544" t="s">
        <v>2626</v>
      </c>
      <c r="D13" s="544" t="s">
        <v>2627</v>
      </c>
      <c r="E13" s="542" t="s">
        <v>2620</v>
      </c>
      <c r="F13" s="542" t="s">
        <v>2625</v>
      </c>
      <c r="G13" s="546">
        <v>6674</v>
      </c>
      <c r="H13" s="546"/>
      <c r="I13" s="546"/>
      <c r="J13" s="542" t="s">
        <v>806</v>
      </c>
      <c r="K13" s="547">
        <v>8125</v>
      </c>
      <c r="L13" s="542" t="s">
        <v>806</v>
      </c>
      <c r="M13" s="548"/>
      <c r="N13" s="549">
        <v>-1058</v>
      </c>
      <c r="O13" s="544" t="s">
        <v>1674</v>
      </c>
      <c r="P13" s="544" t="s">
        <v>1674</v>
      </c>
      <c r="Q13" s="544" t="s">
        <v>2628</v>
      </c>
      <c r="R13" s="544" t="s">
        <v>1674</v>
      </c>
      <c r="S13" s="544" t="s">
        <v>1674</v>
      </c>
      <c r="T13" s="550"/>
      <c r="U13" s="544" t="s">
        <v>2623</v>
      </c>
      <c r="V13" s="547">
        <v>145</v>
      </c>
      <c r="W13" s="548"/>
      <c r="Y13" s="544" t="s">
        <v>1674</v>
      </c>
      <c r="AA13" s="544" t="s">
        <v>1674</v>
      </c>
      <c r="AE13" s="551"/>
      <c r="AF13" s="544" t="s">
        <v>1674</v>
      </c>
      <c r="AG13" s="544" t="s">
        <v>1674</v>
      </c>
      <c r="AH13" s="544" t="s">
        <v>1674</v>
      </c>
      <c r="AI13" s="544" t="s">
        <v>1674</v>
      </c>
      <c r="AJ13" s="544" t="s">
        <v>1674</v>
      </c>
      <c r="AK13" s="544" t="s">
        <v>1674</v>
      </c>
      <c r="AL13" s="544" t="s">
        <v>1674</v>
      </c>
      <c r="AM13" s="544" t="s">
        <v>2629</v>
      </c>
      <c r="AN13" s="544" t="s">
        <v>1674</v>
      </c>
      <c r="AP13" s="542">
        <f t="shared" si="0"/>
        <v>-997</v>
      </c>
      <c r="AR13" s="552">
        <f t="shared" si="1"/>
        <v>0</v>
      </c>
      <c r="AT13" s="542" t="s">
        <v>3301</v>
      </c>
      <c r="AU13" s="593">
        <f>SUMIFS($AR$3:$AR$839,$AR$3:$AR$839,"&gt;0")</f>
        <v>1743858.8300000003</v>
      </c>
    </row>
    <row r="14" spans="1:50" outlineLevel="1" x14ac:dyDescent="0.25">
      <c r="A14" s="544" t="s">
        <v>1674</v>
      </c>
      <c r="B14" s="545">
        <v>0</v>
      </c>
      <c r="C14" s="544" t="s">
        <v>1674</v>
      </c>
      <c r="D14" s="544" t="s">
        <v>2627</v>
      </c>
      <c r="E14" s="542" t="s">
        <v>2631</v>
      </c>
      <c r="G14" s="546"/>
      <c r="H14" s="546">
        <v>6807.48</v>
      </c>
      <c r="I14" s="546">
        <v>133.47999999999999</v>
      </c>
      <c r="J14" s="542" t="s">
        <v>2584</v>
      </c>
      <c r="K14" s="547">
        <v>1200</v>
      </c>
      <c r="L14" s="542" t="s">
        <v>806</v>
      </c>
      <c r="M14" s="548"/>
      <c r="N14" s="549"/>
      <c r="O14" s="544" t="s">
        <v>1674</v>
      </c>
      <c r="P14" s="544" t="s">
        <v>1674</v>
      </c>
      <c r="Q14" s="544" t="s">
        <v>2632</v>
      </c>
      <c r="R14" s="544" t="s">
        <v>1674</v>
      </c>
      <c r="S14" s="544" t="s">
        <v>1674</v>
      </c>
      <c r="T14" s="550"/>
      <c r="U14" s="544" t="s">
        <v>2623</v>
      </c>
      <c r="V14" s="547">
        <v>960</v>
      </c>
      <c r="W14" s="548"/>
      <c r="Y14" s="544" t="s">
        <v>1674</v>
      </c>
      <c r="AA14" s="544" t="s">
        <v>1674</v>
      </c>
      <c r="AE14" s="551"/>
      <c r="AF14" s="544" t="s">
        <v>1674</v>
      </c>
      <c r="AG14" s="544" t="s">
        <v>1674</v>
      </c>
      <c r="AH14" s="544" t="s">
        <v>1674</v>
      </c>
      <c r="AI14" s="544" t="s">
        <v>1674</v>
      </c>
      <c r="AJ14" s="544" t="s">
        <v>1674</v>
      </c>
      <c r="AK14" s="544" t="s">
        <v>1674</v>
      </c>
      <c r="AL14" s="544" t="s">
        <v>1674</v>
      </c>
      <c r="AM14" s="544" t="s">
        <v>1674</v>
      </c>
      <c r="AN14" s="544" t="s">
        <v>1674</v>
      </c>
      <c r="AP14" s="542">
        <f t="shared" si="0"/>
        <v>0</v>
      </c>
      <c r="AR14" s="552">
        <f t="shared" si="1"/>
        <v>-133.47999999999999</v>
      </c>
      <c r="AU14" s="593">
        <f>SUMIFS($AR$3:$AR$839,$AR$3:$AR$839,"&lt;0")</f>
        <v>-65625.200000000012</v>
      </c>
    </row>
    <row r="15" spans="1:50" outlineLevel="1" x14ac:dyDescent="0.25">
      <c r="A15" s="544" t="s">
        <v>1674</v>
      </c>
      <c r="B15" s="545">
        <v>11800</v>
      </c>
      <c r="C15" s="544" t="s">
        <v>2581</v>
      </c>
      <c r="D15" s="544" t="s">
        <v>2633</v>
      </c>
      <c r="E15" s="542" t="s">
        <v>2634</v>
      </c>
      <c r="G15" s="546"/>
      <c r="H15" s="546">
        <v>1856.4</v>
      </c>
      <c r="I15" s="546">
        <v>1856.4</v>
      </c>
      <c r="J15" s="542" t="s">
        <v>2584</v>
      </c>
      <c r="K15" s="547">
        <v>8400</v>
      </c>
      <c r="L15" s="542" t="s">
        <v>806</v>
      </c>
      <c r="M15" s="548"/>
      <c r="N15" s="549"/>
      <c r="O15" s="544" t="s">
        <v>1674</v>
      </c>
      <c r="P15" s="544" t="s">
        <v>1674</v>
      </c>
      <c r="Q15" s="544" t="s">
        <v>2615</v>
      </c>
      <c r="R15" s="544" t="s">
        <v>1674</v>
      </c>
      <c r="S15" s="544" t="s">
        <v>1674</v>
      </c>
      <c r="T15" s="550">
        <v>19</v>
      </c>
      <c r="U15" s="544" t="s">
        <v>2635</v>
      </c>
      <c r="V15" s="547">
        <v>328</v>
      </c>
      <c r="W15" s="548"/>
      <c r="Y15" s="544" t="s">
        <v>1674</v>
      </c>
      <c r="AA15" s="544" t="s">
        <v>1674</v>
      </c>
      <c r="AE15" s="551"/>
      <c r="AF15" s="544" t="s">
        <v>1674</v>
      </c>
      <c r="AG15" s="544" t="s">
        <v>1674</v>
      </c>
      <c r="AH15" s="544" t="s">
        <v>1674</v>
      </c>
      <c r="AI15" s="544" t="s">
        <v>1674</v>
      </c>
      <c r="AJ15" s="544" t="s">
        <v>1674</v>
      </c>
      <c r="AK15" s="544" t="s">
        <v>1674</v>
      </c>
      <c r="AL15" s="544" t="s">
        <v>1674</v>
      </c>
      <c r="AM15" s="544" t="s">
        <v>2581</v>
      </c>
      <c r="AN15" s="544" t="s">
        <v>1674</v>
      </c>
      <c r="AP15" s="542">
        <f t="shared" si="0"/>
        <v>0</v>
      </c>
      <c r="AR15" s="552">
        <f t="shared" si="1"/>
        <v>-1856.4</v>
      </c>
    </row>
    <row r="16" spans="1:50" outlineLevel="1" x14ac:dyDescent="0.25">
      <c r="A16" s="544" t="s">
        <v>1674</v>
      </c>
      <c r="B16" s="545">
        <v>11305</v>
      </c>
      <c r="C16" s="544" t="s">
        <v>2636</v>
      </c>
      <c r="D16" s="544" t="s">
        <v>2637</v>
      </c>
      <c r="E16" s="542" t="s">
        <v>2638</v>
      </c>
      <c r="G16" s="546"/>
      <c r="H16" s="546">
        <v>12.14</v>
      </c>
      <c r="I16" s="546">
        <v>12.14</v>
      </c>
      <c r="J16" s="542" t="s">
        <v>2584</v>
      </c>
      <c r="K16" s="547">
        <v>8400</v>
      </c>
      <c r="L16" s="542" t="s">
        <v>806</v>
      </c>
      <c r="M16" s="548"/>
      <c r="N16" s="549"/>
      <c r="O16" s="544" t="s">
        <v>1674</v>
      </c>
      <c r="P16" s="544" t="s">
        <v>1674</v>
      </c>
      <c r="Q16" s="544" t="s">
        <v>2639</v>
      </c>
      <c r="R16" s="544" t="s">
        <v>1674</v>
      </c>
      <c r="S16" s="544" t="s">
        <v>1674</v>
      </c>
      <c r="T16" s="550">
        <v>19</v>
      </c>
      <c r="U16" s="544" t="s">
        <v>2640</v>
      </c>
      <c r="V16" s="547">
        <v>972</v>
      </c>
      <c r="W16" s="548"/>
      <c r="Y16" s="544" t="s">
        <v>1674</v>
      </c>
      <c r="AA16" s="544" t="s">
        <v>1674</v>
      </c>
      <c r="AE16" s="551"/>
      <c r="AF16" s="544" t="s">
        <v>1674</v>
      </c>
      <c r="AG16" s="544" t="s">
        <v>1674</v>
      </c>
      <c r="AH16" s="544" t="s">
        <v>1674</v>
      </c>
      <c r="AI16" s="544" t="s">
        <v>1674</v>
      </c>
      <c r="AJ16" s="544" t="s">
        <v>1674</v>
      </c>
      <c r="AK16" s="544" t="s">
        <v>1674</v>
      </c>
      <c r="AL16" s="544" t="s">
        <v>1674</v>
      </c>
      <c r="AM16" s="544" t="s">
        <v>2641</v>
      </c>
      <c r="AN16" s="544" t="s">
        <v>1674</v>
      </c>
      <c r="AP16" s="542">
        <f t="shared" si="0"/>
        <v>0</v>
      </c>
      <c r="AR16" s="552">
        <f t="shared" si="1"/>
        <v>-12.14</v>
      </c>
      <c r="AT16" s="542" t="s">
        <v>640</v>
      </c>
      <c r="AU16" s="562">
        <f>SUM(AU13:AU14)</f>
        <v>1678233.6300000004</v>
      </c>
    </row>
    <row r="17" spans="1:44" outlineLevel="1" x14ac:dyDescent="0.25">
      <c r="A17" s="544" t="s">
        <v>1674</v>
      </c>
      <c r="B17" s="545">
        <v>30806</v>
      </c>
      <c r="C17" s="544" t="s">
        <v>2702</v>
      </c>
      <c r="D17" s="544" t="s">
        <v>2703</v>
      </c>
      <c r="E17" s="542" t="s">
        <v>2704</v>
      </c>
      <c r="G17" s="546"/>
      <c r="H17" s="546">
        <v>41.8</v>
      </c>
      <c r="I17" s="546">
        <v>41.8</v>
      </c>
      <c r="J17" s="542" t="s">
        <v>2584</v>
      </c>
      <c r="K17" s="547">
        <v>8120</v>
      </c>
      <c r="L17" s="542" t="s">
        <v>806</v>
      </c>
      <c r="M17" s="548"/>
      <c r="N17" s="549"/>
      <c r="O17" s="544" t="s">
        <v>1674</v>
      </c>
      <c r="P17" s="544" t="s">
        <v>1674</v>
      </c>
      <c r="Q17" s="544" t="s">
        <v>2705</v>
      </c>
      <c r="R17" s="544" t="s">
        <v>1674</v>
      </c>
      <c r="S17" s="544" t="s">
        <v>1674</v>
      </c>
      <c r="T17" s="550"/>
      <c r="U17" s="544" t="s">
        <v>2649</v>
      </c>
      <c r="V17" s="547">
        <v>468</v>
      </c>
      <c r="W17" s="548"/>
      <c r="Y17" s="544" t="s">
        <v>1674</v>
      </c>
      <c r="AA17" s="544" t="s">
        <v>1674</v>
      </c>
      <c r="AE17" s="551"/>
      <c r="AF17" s="544" t="s">
        <v>1674</v>
      </c>
      <c r="AG17" s="544" t="s">
        <v>1674</v>
      </c>
      <c r="AH17" s="544" t="s">
        <v>1674</v>
      </c>
      <c r="AI17" s="544" t="s">
        <v>1674</v>
      </c>
      <c r="AJ17" s="544" t="s">
        <v>1674</v>
      </c>
      <c r="AK17" s="544" t="s">
        <v>1674</v>
      </c>
      <c r="AL17" s="544" t="s">
        <v>1674</v>
      </c>
      <c r="AM17" s="544" t="s">
        <v>2706</v>
      </c>
      <c r="AN17" s="544" t="s">
        <v>1674</v>
      </c>
      <c r="AP17" s="542">
        <f t="shared" si="0"/>
        <v>0</v>
      </c>
      <c r="AR17" s="552">
        <f t="shared" si="1"/>
        <v>-41.8</v>
      </c>
    </row>
    <row r="18" spans="1:44" outlineLevel="1" x14ac:dyDescent="0.25">
      <c r="A18" s="544" t="s">
        <v>1674</v>
      </c>
      <c r="B18" s="545">
        <v>0</v>
      </c>
      <c r="C18" s="544" t="s">
        <v>1674</v>
      </c>
      <c r="D18" s="544" t="s">
        <v>2707</v>
      </c>
      <c r="E18" s="542" t="s">
        <v>2708</v>
      </c>
      <c r="G18" s="546"/>
      <c r="H18" s="546">
        <v>83.6</v>
      </c>
      <c r="I18" s="546">
        <v>83.6</v>
      </c>
      <c r="J18" s="542" t="s">
        <v>2584</v>
      </c>
      <c r="K18" s="547">
        <v>8120</v>
      </c>
      <c r="L18" s="542" t="s">
        <v>806</v>
      </c>
      <c r="M18" s="548"/>
      <c r="N18" s="549"/>
      <c r="O18" s="544" t="s">
        <v>1674</v>
      </c>
      <c r="P18" s="544" t="s">
        <v>1674</v>
      </c>
      <c r="Q18" s="544" t="s">
        <v>2705</v>
      </c>
      <c r="R18" s="544" t="s">
        <v>1674</v>
      </c>
      <c r="S18" s="544" t="s">
        <v>1674</v>
      </c>
      <c r="T18" s="550"/>
      <c r="U18" s="544" t="s">
        <v>2658</v>
      </c>
      <c r="V18" s="547">
        <v>439</v>
      </c>
      <c r="W18" s="548"/>
      <c r="Y18" s="544" t="s">
        <v>1674</v>
      </c>
      <c r="AA18" s="544" t="s">
        <v>1674</v>
      </c>
      <c r="AE18" s="551"/>
      <c r="AF18" s="544" t="s">
        <v>1674</v>
      </c>
      <c r="AG18" s="544" t="s">
        <v>1674</v>
      </c>
      <c r="AH18" s="544" t="s">
        <v>1674</v>
      </c>
      <c r="AI18" s="544" t="s">
        <v>1674</v>
      </c>
      <c r="AJ18" s="544" t="s">
        <v>1674</v>
      </c>
      <c r="AK18" s="544" t="s">
        <v>1674</v>
      </c>
      <c r="AL18" s="544" t="s">
        <v>1674</v>
      </c>
      <c r="AM18" s="544" t="s">
        <v>1674</v>
      </c>
      <c r="AN18" s="544" t="s">
        <v>1674</v>
      </c>
      <c r="AP18" s="542">
        <f t="shared" si="0"/>
        <v>0</v>
      </c>
      <c r="AR18" s="552">
        <f t="shared" si="1"/>
        <v>-83.6</v>
      </c>
    </row>
    <row r="19" spans="1:44" outlineLevel="1" x14ac:dyDescent="0.25">
      <c r="A19" s="544" t="s">
        <v>1674</v>
      </c>
      <c r="B19" s="545">
        <v>11800</v>
      </c>
      <c r="C19" s="544" t="s">
        <v>2581</v>
      </c>
      <c r="D19" s="544" t="s">
        <v>2717</v>
      </c>
      <c r="E19" s="542" t="s">
        <v>2718</v>
      </c>
      <c r="F19" s="542" t="s">
        <v>2719</v>
      </c>
      <c r="G19" s="546">
        <v>17195.5</v>
      </c>
      <c r="H19" s="546"/>
      <c r="I19" s="546"/>
      <c r="J19" s="542" t="s">
        <v>806</v>
      </c>
      <c r="K19" s="547">
        <v>8820</v>
      </c>
      <c r="L19" s="542" t="s">
        <v>806</v>
      </c>
      <c r="M19" s="548"/>
      <c r="N19" s="549">
        <v>-682</v>
      </c>
      <c r="O19" s="544" t="s">
        <v>1674</v>
      </c>
      <c r="P19" s="544" t="s">
        <v>1674</v>
      </c>
      <c r="Q19" s="544" t="s">
        <v>2720</v>
      </c>
      <c r="R19" s="544" t="s">
        <v>2622</v>
      </c>
      <c r="S19" s="544" t="s">
        <v>1674</v>
      </c>
      <c r="T19" s="550">
        <v>19</v>
      </c>
      <c r="U19" s="544" t="s">
        <v>2714</v>
      </c>
      <c r="V19" s="547">
        <v>371</v>
      </c>
      <c r="W19" s="548"/>
      <c r="Y19" s="544" t="s">
        <v>1674</v>
      </c>
      <c r="AA19" s="544" t="s">
        <v>1674</v>
      </c>
      <c r="AE19" s="551"/>
      <c r="AF19" s="544" t="s">
        <v>1674</v>
      </c>
      <c r="AG19" s="544" t="s">
        <v>1674</v>
      </c>
      <c r="AH19" s="544" t="s">
        <v>1674</v>
      </c>
      <c r="AI19" s="544" t="s">
        <v>1674</v>
      </c>
      <c r="AJ19" s="544" t="s">
        <v>1674</v>
      </c>
      <c r="AK19" s="544" t="s">
        <v>1674</v>
      </c>
      <c r="AL19" s="544" t="s">
        <v>1674</v>
      </c>
      <c r="AM19" s="544" t="s">
        <v>2581</v>
      </c>
      <c r="AN19" s="544" t="s">
        <v>1674</v>
      </c>
      <c r="AP19" s="542">
        <f t="shared" si="0"/>
        <v>-621</v>
      </c>
      <c r="AR19" s="552">
        <f t="shared" si="1"/>
        <v>0</v>
      </c>
    </row>
    <row r="20" spans="1:44" outlineLevel="1" x14ac:dyDescent="0.25">
      <c r="A20" s="544" t="s">
        <v>1674</v>
      </c>
      <c r="B20" s="545">
        <v>0</v>
      </c>
      <c r="C20" s="544" t="s">
        <v>1674</v>
      </c>
      <c r="D20" s="544" t="s">
        <v>2717</v>
      </c>
      <c r="E20" s="542" t="s">
        <v>2718</v>
      </c>
      <c r="F20" s="542" t="s">
        <v>2719</v>
      </c>
      <c r="G20" s="546">
        <v>1785</v>
      </c>
      <c r="H20" s="546"/>
      <c r="I20" s="546"/>
      <c r="J20" s="542" t="s">
        <v>806</v>
      </c>
      <c r="K20" s="547">
        <v>8820</v>
      </c>
      <c r="L20" s="542" t="s">
        <v>806</v>
      </c>
      <c r="M20" s="548"/>
      <c r="N20" s="549">
        <v>-682</v>
      </c>
      <c r="O20" s="544" t="s">
        <v>1674</v>
      </c>
      <c r="P20" s="544" t="s">
        <v>1674</v>
      </c>
      <c r="Q20" s="544" t="s">
        <v>2720</v>
      </c>
      <c r="R20" s="544" t="s">
        <v>1674</v>
      </c>
      <c r="S20" s="544" t="s">
        <v>1674</v>
      </c>
      <c r="T20" s="550">
        <v>19</v>
      </c>
      <c r="U20" s="544" t="s">
        <v>2714</v>
      </c>
      <c r="V20" s="547">
        <v>372</v>
      </c>
      <c r="W20" s="548"/>
      <c r="Y20" s="544" t="s">
        <v>1674</v>
      </c>
      <c r="AA20" s="544" t="s">
        <v>1674</v>
      </c>
      <c r="AE20" s="551"/>
      <c r="AF20" s="544" t="s">
        <v>1674</v>
      </c>
      <c r="AG20" s="544" t="s">
        <v>1674</v>
      </c>
      <c r="AH20" s="544" t="s">
        <v>1674</v>
      </c>
      <c r="AI20" s="544" t="s">
        <v>1674</v>
      </c>
      <c r="AJ20" s="544" t="s">
        <v>1674</v>
      </c>
      <c r="AK20" s="544" t="s">
        <v>1674</v>
      </c>
      <c r="AL20" s="544" t="s">
        <v>1674</v>
      </c>
      <c r="AM20" s="544" t="s">
        <v>1674</v>
      </c>
      <c r="AN20" s="544" t="s">
        <v>1674</v>
      </c>
      <c r="AP20" s="542">
        <f t="shared" si="0"/>
        <v>-621</v>
      </c>
      <c r="AR20" s="552">
        <f t="shared" si="1"/>
        <v>0</v>
      </c>
    </row>
    <row r="21" spans="1:44" outlineLevel="1" x14ac:dyDescent="0.25">
      <c r="A21" s="544" t="s">
        <v>1674</v>
      </c>
      <c r="B21" s="545">
        <v>0</v>
      </c>
      <c r="C21" s="544" t="s">
        <v>1674</v>
      </c>
      <c r="D21" s="544" t="s">
        <v>2717</v>
      </c>
      <c r="E21" s="542" t="s">
        <v>2718</v>
      </c>
      <c r="F21" s="542" t="s">
        <v>2719</v>
      </c>
      <c r="G21" s="546">
        <v>1249.5</v>
      </c>
      <c r="H21" s="546"/>
      <c r="I21" s="546"/>
      <c r="J21" s="542" t="s">
        <v>806</v>
      </c>
      <c r="K21" s="547">
        <v>8820</v>
      </c>
      <c r="L21" s="542" t="s">
        <v>806</v>
      </c>
      <c r="M21" s="548"/>
      <c r="N21" s="549">
        <v>-682</v>
      </c>
      <c r="O21" s="544" t="s">
        <v>1674</v>
      </c>
      <c r="P21" s="544" t="s">
        <v>1674</v>
      </c>
      <c r="Q21" s="544" t="s">
        <v>2720</v>
      </c>
      <c r="R21" s="544" t="s">
        <v>1674</v>
      </c>
      <c r="S21" s="544" t="s">
        <v>1674</v>
      </c>
      <c r="T21" s="550">
        <v>19</v>
      </c>
      <c r="U21" s="544" t="s">
        <v>2714</v>
      </c>
      <c r="V21" s="547">
        <v>373</v>
      </c>
      <c r="W21" s="548"/>
      <c r="Y21" s="544" t="s">
        <v>1674</v>
      </c>
      <c r="AA21" s="544" t="s">
        <v>1674</v>
      </c>
      <c r="AE21" s="551"/>
      <c r="AF21" s="544" t="s">
        <v>1674</v>
      </c>
      <c r="AG21" s="544" t="s">
        <v>1674</v>
      </c>
      <c r="AH21" s="544" t="s">
        <v>1674</v>
      </c>
      <c r="AI21" s="544" t="s">
        <v>1674</v>
      </c>
      <c r="AJ21" s="544" t="s">
        <v>1674</v>
      </c>
      <c r="AK21" s="544" t="s">
        <v>1674</v>
      </c>
      <c r="AL21" s="544" t="s">
        <v>1674</v>
      </c>
      <c r="AM21" s="544" t="s">
        <v>1674</v>
      </c>
      <c r="AN21" s="544" t="s">
        <v>1674</v>
      </c>
      <c r="AP21" s="542">
        <f t="shared" si="0"/>
        <v>-621</v>
      </c>
      <c r="AR21" s="552">
        <f t="shared" si="1"/>
        <v>0</v>
      </c>
    </row>
    <row r="22" spans="1:44" outlineLevel="1" x14ac:dyDescent="0.25">
      <c r="A22" s="544" t="s">
        <v>1674</v>
      </c>
      <c r="B22" s="545">
        <v>0</v>
      </c>
      <c r="C22" s="544" t="s">
        <v>1674</v>
      </c>
      <c r="D22" s="544" t="s">
        <v>2717</v>
      </c>
      <c r="E22" s="542" t="s">
        <v>2662</v>
      </c>
      <c r="G22" s="546"/>
      <c r="H22" s="546">
        <v>942.48</v>
      </c>
      <c r="I22" s="546"/>
      <c r="J22" s="542" t="s">
        <v>806</v>
      </c>
      <c r="K22" s="547">
        <v>1200</v>
      </c>
      <c r="L22" s="542" t="s">
        <v>806</v>
      </c>
      <c r="M22" s="548"/>
      <c r="N22" s="549"/>
      <c r="O22" s="544" t="s">
        <v>1674</v>
      </c>
      <c r="P22" s="544" t="s">
        <v>1674</v>
      </c>
      <c r="Q22" s="544" t="s">
        <v>2663</v>
      </c>
      <c r="R22" s="544" t="s">
        <v>1674</v>
      </c>
      <c r="S22" s="544" t="s">
        <v>1674</v>
      </c>
      <c r="T22" s="550"/>
      <c r="U22" s="544" t="s">
        <v>2664</v>
      </c>
      <c r="V22" s="547">
        <v>831</v>
      </c>
      <c r="W22" s="548"/>
      <c r="Y22" s="544" t="s">
        <v>1674</v>
      </c>
      <c r="AA22" s="544" t="s">
        <v>1674</v>
      </c>
      <c r="AE22" s="551"/>
      <c r="AF22" s="544" t="s">
        <v>1674</v>
      </c>
      <c r="AG22" s="544" t="s">
        <v>1674</v>
      </c>
      <c r="AH22" s="544" t="s">
        <v>1674</v>
      </c>
      <c r="AI22" s="544" t="s">
        <v>1674</v>
      </c>
      <c r="AJ22" s="544" t="s">
        <v>1674</v>
      </c>
      <c r="AK22" s="544" t="s">
        <v>1674</v>
      </c>
      <c r="AL22" s="544" t="s">
        <v>1674</v>
      </c>
      <c r="AM22" s="544" t="s">
        <v>1674</v>
      </c>
      <c r="AN22" s="544" t="s">
        <v>1674</v>
      </c>
      <c r="AP22" s="542">
        <f t="shared" si="0"/>
        <v>0</v>
      </c>
      <c r="AR22" s="552">
        <f t="shared" si="1"/>
        <v>0</v>
      </c>
    </row>
    <row r="23" spans="1:44" outlineLevel="1" x14ac:dyDescent="0.25">
      <c r="A23" s="544" t="s">
        <v>1674</v>
      </c>
      <c r="B23" s="545">
        <v>0</v>
      </c>
      <c r="C23" s="544" t="s">
        <v>1674</v>
      </c>
      <c r="D23" s="544" t="s">
        <v>2717</v>
      </c>
      <c r="E23" s="542" t="s">
        <v>2662</v>
      </c>
      <c r="G23" s="546"/>
      <c r="H23" s="546">
        <v>9.52</v>
      </c>
      <c r="I23" s="546"/>
      <c r="J23" s="542" t="s">
        <v>806</v>
      </c>
      <c r="K23" s="547">
        <v>8736</v>
      </c>
      <c r="L23" s="542" t="s">
        <v>806</v>
      </c>
      <c r="M23" s="548"/>
      <c r="N23" s="549"/>
      <c r="O23" s="544" t="s">
        <v>1674</v>
      </c>
      <c r="P23" s="544" t="s">
        <v>1674</v>
      </c>
      <c r="Q23" s="544" t="s">
        <v>2663</v>
      </c>
      <c r="R23" s="544" t="s">
        <v>1674</v>
      </c>
      <c r="S23" s="544" t="s">
        <v>1674</v>
      </c>
      <c r="T23" s="550">
        <v>19</v>
      </c>
      <c r="U23" s="544" t="s">
        <v>2664</v>
      </c>
      <c r="V23" s="547">
        <v>831</v>
      </c>
      <c r="W23" s="548"/>
      <c r="Y23" s="544" t="s">
        <v>1674</v>
      </c>
      <c r="AA23" s="544" t="s">
        <v>1674</v>
      </c>
      <c r="AE23" s="551"/>
      <c r="AF23" s="544" t="s">
        <v>1674</v>
      </c>
      <c r="AG23" s="544" t="s">
        <v>1674</v>
      </c>
      <c r="AH23" s="544" t="s">
        <v>1674</v>
      </c>
      <c r="AI23" s="544" t="s">
        <v>1674</v>
      </c>
      <c r="AJ23" s="544" t="s">
        <v>1674</v>
      </c>
      <c r="AK23" s="544" t="s">
        <v>1674</v>
      </c>
      <c r="AL23" s="544" t="s">
        <v>1674</v>
      </c>
      <c r="AM23" s="544" t="s">
        <v>1674</v>
      </c>
      <c r="AN23" s="544" t="s">
        <v>1674</v>
      </c>
      <c r="AP23" s="542">
        <f t="shared" si="0"/>
        <v>0</v>
      </c>
      <c r="AR23" s="552">
        <f t="shared" si="1"/>
        <v>0</v>
      </c>
    </row>
    <row r="24" spans="1:44" outlineLevel="1" x14ac:dyDescent="0.25">
      <c r="A24" s="544" t="s">
        <v>1674</v>
      </c>
      <c r="B24" s="545">
        <v>0</v>
      </c>
      <c r="C24" s="544" t="s">
        <v>1674</v>
      </c>
      <c r="D24" s="544" t="s">
        <v>2717</v>
      </c>
      <c r="E24" s="542" t="s">
        <v>2665</v>
      </c>
      <c r="G24" s="546"/>
      <c r="H24" s="546">
        <v>942.48</v>
      </c>
      <c r="I24" s="546"/>
      <c r="J24" s="542" t="s">
        <v>806</v>
      </c>
      <c r="K24" s="547">
        <v>1200</v>
      </c>
      <c r="L24" s="542" t="s">
        <v>806</v>
      </c>
      <c r="M24" s="548"/>
      <c r="N24" s="549"/>
      <c r="O24" s="544" t="s">
        <v>1674</v>
      </c>
      <c r="P24" s="544" t="s">
        <v>1674</v>
      </c>
      <c r="Q24" s="544" t="s">
        <v>2666</v>
      </c>
      <c r="R24" s="544" t="s">
        <v>1674</v>
      </c>
      <c r="S24" s="544" t="s">
        <v>1674</v>
      </c>
      <c r="T24" s="550"/>
      <c r="U24" s="544" t="s">
        <v>2667</v>
      </c>
      <c r="V24" s="547">
        <v>1713</v>
      </c>
      <c r="W24" s="548"/>
      <c r="Y24" s="544" t="s">
        <v>1674</v>
      </c>
      <c r="AA24" s="544" t="s">
        <v>1674</v>
      </c>
      <c r="AE24" s="551"/>
      <c r="AF24" s="544" t="s">
        <v>1674</v>
      </c>
      <c r="AG24" s="544" t="s">
        <v>1674</v>
      </c>
      <c r="AH24" s="544" t="s">
        <v>1674</v>
      </c>
      <c r="AI24" s="544" t="s">
        <v>1674</v>
      </c>
      <c r="AJ24" s="544" t="s">
        <v>1674</v>
      </c>
      <c r="AK24" s="544" t="s">
        <v>1674</v>
      </c>
      <c r="AL24" s="544" t="s">
        <v>1674</v>
      </c>
      <c r="AM24" s="544" t="s">
        <v>1674</v>
      </c>
      <c r="AN24" s="544" t="s">
        <v>1674</v>
      </c>
      <c r="AP24" s="542">
        <f t="shared" si="0"/>
        <v>0</v>
      </c>
      <c r="AR24" s="552">
        <f t="shared" si="1"/>
        <v>0</v>
      </c>
    </row>
    <row r="25" spans="1:44" outlineLevel="1" x14ac:dyDescent="0.25">
      <c r="A25" s="544" t="s">
        <v>1674</v>
      </c>
      <c r="B25" s="545">
        <v>0</v>
      </c>
      <c r="C25" s="544" t="s">
        <v>1674</v>
      </c>
      <c r="D25" s="544" t="s">
        <v>2717</v>
      </c>
      <c r="E25" s="542" t="s">
        <v>2665</v>
      </c>
      <c r="G25" s="546"/>
      <c r="H25" s="546">
        <v>9.52</v>
      </c>
      <c r="I25" s="546"/>
      <c r="J25" s="542" t="s">
        <v>806</v>
      </c>
      <c r="K25" s="547">
        <v>8736</v>
      </c>
      <c r="L25" s="542" t="s">
        <v>806</v>
      </c>
      <c r="M25" s="548"/>
      <c r="N25" s="549"/>
      <c r="O25" s="544" t="s">
        <v>1674</v>
      </c>
      <c r="P25" s="544" t="s">
        <v>1674</v>
      </c>
      <c r="Q25" s="544" t="s">
        <v>2666</v>
      </c>
      <c r="R25" s="544" t="s">
        <v>1674</v>
      </c>
      <c r="S25" s="544" t="s">
        <v>1674</v>
      </c>
      <c r="T25" s="550">
        <v>19</v>
      </c>
      <c r="U25" s="544" t="s">
        <v>2667</v>
      </c>
      <c r="V25" s="547">
        <v>1713</v>
      </c>
      <c r="W25" s="548"/>
      <c r="Y25" s="544" t="s">
        <v>1674</v>
      </c>
      <c r="AA25" s="544" t="s">
        <v>1674</v>
      </c>
      <c r="AE25" s="551"/>
      <c r="AF25" s="544" t="s">
        <v>1674</v>
      </c>
      <c r="AG25" s="544" t="s">
        <v>1674</v>
      </c>
      <c r="AH25" s="544" t="s">
        <v>1674</v>
      </c>
      <c r="AI25" s="544" t="s">
        <v>1674</v>
      </c>
      <c r="AJ25" s="544" t="s">
        <v>1674</v>
      </c>
      <c r="AK25" s="544" t="s">
        <v>1674</v>
      </c>
      <c r="AL25" s="544" t="s">
        <v>1674</v>
      </c>
      <c r="AM25" s="544" t="s">
        <v>1674</v>
      </c>
      <c r="AN25" s="544" t="s">
        <v>1674</v>
      </c>
      <c r="AP25" s="542">
        <f t="shared" si="0"/>
        <v>0</v>
      </c>
      <c r="AR25" s="552">
        <f t="shared" si="1"/>
        <v>0</v>
      </c>
    </row>
    <row r="26" spans="1:44" outlineLevel="1" x14ac:dyDescent="0.25">
      <c r="A26" s="544" t="s">
        <v>1674</v>
      </c>
      <c r="B26" s="545">
        <v>0</v>
      </c>
      <c r="C26" s="544" t="s">
        <v>1674</v>
      </c>
      <c r="D26" s="544" t="s">
        <v>2717</v>
      </c>
      <c r="E26" s="542" t="s">
        <v>2668</v>
      </c>
      <c r="G26" s="546"/>
      <c r="H26" s="546">
        <v>942.48</v>
      </c>
      <c r="I26" s="546"/>
      <c r="J26" s="542" t="s">
        <v>806</v>
      </c>
      <c r="K26" s="547">
        <v>1200</v>
      </c>
      <c r="L26" s="542" t="s">
        <v>806</v>
      </c>
      <c r="M26" s="548"/>
      <c r="N26" s="549"/>
      <c r="O26" s="544" t="s">
        <v>1674</v>
      </c>
      <c r="P26" s="544" t="s">
        <v>1674</v>
      </c>
      <c r="Q26" s="544" t="s">
        <v>2669</v>
      </c>
      <c r="R26" s="544" t="s">
        <v>1674</v>
      </c>
      <c r="S26" s="544" t="s">
        <v>1674</v>
      </c>
      <c r="T26" s="550"/>
      <c r="U26" s="544" t="s">
        <v>2670</v>
      </c>
      <c r="V26" s="547">
        <v>1608</v>
      </c>
      <c r="W26" s="548"/>
      <c r="Y26" s="544" t="s">
        <v>1674</v>
      </c>
      <c r="AA26" s="544" t="s">
        <v>1674</v>
      </c>
      <c r="AE26" s="551"/>
      <c r="AF26" s="544" t="s">
        <v>1674</v>
      </c>
      <c r="AG26" s="544" t="s">
        <v>1674</v>
      </c>
      <c r="AH26" s="544" t="s">
        <v>1674</v>
      </c>
      <c r="AI26" s="544" t="s">
        <v>1674</v>
      </c>
      <c r="AJ26" s="544" t="s">
        <v>1674</v>
      </c>
      <c r="AK26" s="544" t="s">
        <v>1674</v>
      </c>
      <c r="AL26" s="544" t="s">
        <v>1674</v>
      </c>
      <c r="AM26" s="544" t="s">
        <v>1674</v>
      </c>
      <c r="AN26" s="544" t="s">
        <v>1674</v>
      </c>
      <c r="AP26" s="542">
        <f t="shared" si="0"/>
        <v>0</v>
      </c>
      <c r="AR26" s="552">
        <f t="shared" si="1"/>
        <v>0</v>
      </c>
    </row>
    <row r="27" spans="1:44" outlineLevel="1" x14ac:dyDescent="0.25">
      <c r="A27" s="544" t="s">
        <v>1674</v>
      </c>
      <c r="B27" s="545">
        <v>0</v>
      </c>
      <c r="C27" s="544" t="s">
        <v>1674</v>
      </c>
      <c r="D27" s="544" t="s">
        <v>2717</v>
      </c>
      <c r="E27" s="542" t="s">
        <v>2668</v>
      </c>
      <c r="G27" s="546"/>
      <c r="H27" s="546">
        <v>9.52</v>
      </c>
      <c r="I27" s="546"/>
      <c r="J27" s="542" t="s">
        <v>806</v>
      </c>
      <c r="K27" s="547">
        <v>8736</v>
      </c>
      <c r="L27" s="542" t="s">
        <v>806</v>
      </c>
      <c r="M27" s="548"/>
      <c r="N27" s="549"/>
      <c r="O27" s="544" t="s">
        <v>1674</v>
      </c>
      <c r="P27" s="544" t="s">
        <v>1674</v>
      </c>
      <c r="Q27" s="544" t="s">
        <v>2669</v>
      </c>
      <c r="R27" s="544" t="s">
        <v>1674</v>
      </c>
      <c r="S27" s="544" t="s">
        <v>1674</v>
      </c>
      <c r="T27" s="550">
        <v>19</v>
      </c>
      <c r="U27" s="544" t="s">
        <v>2670</v>
      </c>
      <c r="V27" s="547">
        <v>1608</v>
      </c>
      <c r="W27" s="548"/>
      <c r="Y27" s="544" t="s">
        <v>1674</v>
      </c>
      <c r="AA27" s="544" t="s">
        <v>1674</v>
      </c>
      <c r="AE27" s="551"/>
      <c r="AF27" s="544" t="s">
        <v>1674</v>
      </c>
      <c r="AG27" s="544" t="s">
        <v>1674</v>
      </c>
      <c r="AH27" s="544" t="s">
        <v>1674</v>
      </c>
      <c r="AI27" s="544" t="s">
        <v>1674</v>
      </c>
      <c r="AJ27" s="544" t="s">
        <v>1674</v>
      </c>
      <c r="AK27" s="544" t="s">
        <v>1674</v>
      </c>
      <c r="AL27" s="544" t="s">
        <v>1674</v>
      </c>
      <c r="AM27" s="544" t="s">
        <v>1674</v>
      </c>
      <c r="AN27" s="544" t="s">
        <v>1674</v>
      </c>
      <c r="AP27" s="542">
        <f t="shared" si="0"/>
        <v>0</v>
      </c>
      <c r="AR27" s="552">
        <f t="shared" si="1"/>
        <v>0</v>
      </c>
    </row>
    <row r="28" spans="1:44" outlineLevel="1" x14ac:dyDescent="0.25">
      <c r="A28" s="544" t="s">
        <v>1674</v>
      </c>
      <c r="B28" s="545">
        <v>0</v>
      </c>
      <c r="C28" s="544" t="s">
        <v>1674</v>
      </c>
      <c r="D28" s="544" t="s">
        <v>2717</v>
      </c>
      <c r="E28" s="542" t="s">
        <v>2671</v>
      </c>
      <c r="G28" s="546"/>
      <c r="H28" s="546">
        <v>942.48</v>
      </c>
      <c r="I28" s="546"/>
      <c r="J28" s="542" t="s">
        <v>806</v>
      </c>
      <c r="K28" s="547">
        <v>1200</v>
      </c>
      <c r="L28" s="542" t="s">
        <v>806</v>
      </c>
      <c r="M28" s="548"/>
      <c r="N28" s="549"/>
      <c r="O28" s="544" t="s">
        <v>1674</v>
      </c>
      <c r="P28" s="544" t="s">
        <v>1674</v>
      </c>
      <c r="Q28" s="544" t="s">
        <v>2672</v>
      </c>
      <c r="R28" s="544" t="s">
        <v>1674</v>
      </c>
      <c r="S28" s="544" t="s">
        <v>1674</v>
      </c>
      <c r="T28" s="550"/>
      <c r="U28" s="544" t="s">
        <v>2673</v>
      </c>
      <c r="V28" s="547">
        <v>1680</v>
      </c>
      <c r="W28" s="548"/>
      <c r="Y28" s="544" t="s">
        <v>1674</v>
      </c>
      <c r="AA28" s="544" t="s">
        <v>1674</v>
      </c>
      <c r="AE28" s="551"/>
      <c r="AF28" s="544" t="s">
        <v>1674</v>
      </c>
      <c r="AG28" s="544" t="s">
        <v>1674</v>
      </c>
      <c r="AH28" s="544" t="s">
        <v>1674</v>
      </c>
      <c r="AI28" s="544" t="s">
        <v>1674</v>
      </c>
      <c r="AJ28" s="544" t="s">
        <v>1674</v>
      </c>
      <c r="AK28" s="544" t="s">
        <v>1674</v>
      </c>
      <c r="AL28" s="544" t="s">
        <v>1674</v>
      </c>
      <c r="AM28" s="544" t="s">
        <v>1674</v>
      </c>
      <c r="AN28" s="544" t="s">
        <v>1674</v>
      </c>
      <c r="AP28" s="542">
        <f t="shared" si="0"/>
        <v>0</v>
      </c>
      <c r="AR28" s="552">
        <f t="shared" si="1"/>
        <v>0</v>
      </c>
    </row>
    <row r="29" spans="1:44" outlineLevel="1" x14ac:dyDescent="0.25">
      <c r="A29" s="544" t="s">
        <v>1674</v>
      </c>
      <c r="B29" s="545">
        <v>0</v>
      </c>
      <c r="C29" s="544" t="s">
        <v>1674</v>
      </c>
      <c r="D29" s="544" t="s">
        <v>2717</v>
      </c>
      <c r="E29" s="542" t="s">
        <v>2671</v>
      </c>
      <c r="G29" s="546"/>
      <c r="H29" s="546">
        <v>9.52</v>
      </c>
      <c r="I29" s="546"/>
      <c r="J29" s="542" t="s">
        <v>806</v>
      </c>
      <c r="K29" s="547">
        <v>8736</v>
      </c>
      <c r="L29" s="542" t="s">
        <v>806</v>
      </c>
      <c r="M29" s="548"/>
      <c r="N29" s="549"/>
      <c r="O29" s="544" t="s">
        <v>1674</v>
      </c>
      <c r="P29" s="544" t="s">
        <v>1674</v>
      </c>
      <c r="Q29" s="544" t="s">
        <v>2672</v>
      </c>
      <c r="R29" s="544" t="s">
        <v>1674</v>
      </c>
      <c r="S29" s="544" t="s">
        <v>1674</v>
      </c>
      <c r="T29" s="550">
        <v>19</v>
      </c>
      <c r="U29" s="544" t="s">
        <v>2673</v>
      </c>
      <c r="V29" s="547">
        <v>1680</v>
      </c>
      <c r="W29" s="548"/>
      <c r="Y29" s="544" t="s">
        <v>1674</v>
      </c>
      <c r="AA29" s="544" t="s">
        <v>1674</v>
      </c>
      <c r="AE29" s="551"/>
      <c r="AF29" s="544" t="s">
        <v>1674</v>
      </c>
      <c r="AG29" s="544" t="s">
        <v>1674</v>
      </c>
      <c r="AH29" s="544" t="s">
        <v>1674</v>
      </c>
      <c r="AI29" s="544" t="s">
        <v>1674</v>
      </c>
      <c r="AJ29" s="544" t="s">
        <v>1674</v>
      </c>
      <c r="AK29" s="544" t="s">
        <v>1674</v>
      </c>
      <c r="AL29" s="544" t="s">
        <v>1674</v>
      </c>
      <c r="AM29" s="544" t="s">
        <v>1674</v>
      </c>
      <c r="AN29" s="544" t="s">
        <v>1674</v>
      </c>
      <c r="AP29" s="542">
        <f t="shared" si="0"/>
        <v>0</v>
      </c>
      <c r="AR29" s="552">
        <f t="shared" si="1"/>
        <v>0</v>
      </c>
    </row>
    <row r="30" spans="1:44" outlineLevel="1" x14ac:dyDescent="0.25">
      <c r="A30" s="544" t="s">
        <v>1674</v>
      </c>
      <c r="B30" s="545">
        <v>0</v>
      </c>
      <c r="C30" s="544" t="s">
        <v>1674</v>
      </c>
      <c r="D30" s="544" t="s">
        <v>2717</v>
      </c>
      <c r="E30" s="542" t="s">
        <v>2674</v>
      </c>
      <c r="G30" s="546"/>
      <c r="H30" s="546">
        <v>942.48</v>
      </c>
      <c r="I30" s="546"/>
      <c r="J30" s="542" t="s">
        <v>806</v>
      </c>
      <c r="K30" s="547">
        <v>1200</v>
      </c>
      <c r="L30" s="542" t="s">
        <v>806</v>
      </c>
      <c r="M30" s="548"/>
      <c r="N30" s="549"/>
      <c r="O30" s="544" t="s">
        <v>1674</v>
      </c>
      <c r="P30" s="544" t="s">
        <v>1674</v>
      </c>
      <c r="Q30" s="544" t="s">
        <v>2675</v>
      </c>
      <c r="R30" s="544" t="s">
        <v>1674</v>
      </c>
      <c r="S30" s="544" t="s">
        <v>1674</v>
      </c>
      <c r="T30" s="550"/>
      <c r="U30" s="544" t="s">
        <v>2676</v>
      </c>
      <c r="V30" s="547">
        <v>1535</v>
      </c>
      <c r="W30" s="548"/>
      <c r="Y30" s="544" t="s">
        <v>1674</v>
      </c>
      <c r="AA30" s="544" t="s">
        <v>1674</v>
      </c>
      <c r="AE30" s="551"/>
      <c r="AF30" s="544" t="s">
        <v>1674</v>
      </c>
      <c r="AG30" s="544" t="s">
        <v>1674</v>
      </c>
      <c r="AH30" s="544" t="s">
        <v>1674</v>
      </c>
      <c r="AI30" s="544" t="s">
        <v>1674</v>
      </c>
      <c r="AJ30" s="544" t="s">
        <v>1674</v>
      </c>
      <c r="AK30" s="544" t="s">
        <v>1674</v>
      </c>
      <c r="AL30" s="544" t="s">
        <v>1674</v>
      </c>
      <c r="AM30" s="544" t="s">
        <v>1674</v>
      </c>
      <c r="AN30" s="544" t="s">
        <v>1674</v>
      </c>
      <c r="AP30" s="542">
        <f t="shared" si="0"/>
        <v>0</v>
      </c>
      <c r="AR30" s="552">
        <f t="shared" si="1"/>
        <v>0</v>
      </c>
    </row>
    <row r="31" spans="1:44" outlineLevel="1" x14ac:dyDescent="0.25">
      <c r="A31" s="544" t="s">
        <v>1674</v>
      </c>
      <c r="B31" s="545">
        <v>0</v>
      </c>
      <c r="C31" s="544" t="s">
        <v>1674</v>
      </c>
      <c r="D31" s="544" t="s">
        <v>2717</v>
      </c>
      <c r="E31" s="542" t="s">
        <v>2674</v>
      </c>
      <c r="G31" s="546"/>
      <c r="H31" s="546">
        <v>9.52</v>
      </c>
      <c r="I31" s="546"/>
      <c r="J31" s="542" t="s">
        <v>806</v>
      </c>
      <c r="K31" s="547">
        <v>8736</v>
      </c>
      <c r="L31" s="542" t="s">
        <v>806</v>
      </c>
      <c r="M31" s="548"/>
      <c r="N31" s="549"/>
      <c r="O31" s="544" t="s">
        <v>1674</v>
      </c>
      <c r="P31" s="544" t="s">
        <v>1674</v>
      </c>
      <c r="Q31" s="544" t="s">
        <v>2675</v>
      </c>
      <c r="R31" s="544" t="s">
        <v>1674</v>
      </c>
      <c r="S31" s="544" t="s">
        <v>1674</v>
      </c>
      <c r="T31" s="550">
        <v>19</v>
      </c>
      <c r="U31" s="544" t="s">
        <v>2676</v>
      </c>
      <c r="V31" s="547">
        <v>1535</v>
      </c>
      <c r="W31" s="548"/>
      <c r="Y31" s="544" t="s">
        <v>1674</v>
      </c>
      <c r="AA31" s="544" t="s">
        <v>1674</v>
      </c>
      <c r="AE31" s="551"/>
      <c r="AF31" s="544" t="s">
        <v>1674</v>
      </c>
      <c r="AG31" s="544" t="s">
        <v>1674</v>
      </c>
      <c r="AH31" s="544" t="s">
        <v>1674</v>
      </c>
      <c r="AI31" s="544" t="s">
        <v>1674</v>
      </c>
      <c r="AJ31" s="544" t="s">
        <v>1674</v>
      </c>
      <c r="AK31" s="544" t="s">
        <v>1674</v>
      </c>
      <c r="AL31" s="544" t="s">
        <v>1674</v>
      </c>
      <c r="AM31" s="544" t="s">
        <v>1674</v>
      </c>
      <c r="AN31" s="544" t="s">
        <v>1674</v>
      </c>
      <c r="AP31" s="542">
        <f t="shared" si="0"/>
        <v>0</v>
      </c>
      <c r="AR31" s="552">
        <f t="shared" si="1"/>
        <v>0</v>
      </c>
    </row>
    <row r="32" spans="1:44" outlineLevel="1" x14ac:dyDescent="0.25">
      <c r="A32" s="544" t="s">
        <v>1674</v>
      </c>
      <c r="B32" s="545">
        <v>0</v>
      </c>
      <c r="C32" s="544" t="s">
        <v>1674</v>
      </c>
      <c r="D32" s="544" t="s">
        <v>2717</v>
      </c>
      <c r="E32" s="542" t="s">
        <v>2677</v>
      </c>
      <c r="G32" s="546"/>
      <c r="H32" s="546">
        <v>942.48</v>
      </c>
      <c r="I32" s="546"/>
      <c r="J32" s="542" t="s">
        <v>806</v>
      </c>
      <c r="K32" s="547">
        <v>1200</v>
      </c>
      <c r="L32" s="542" t="s">
        <v>806</v>
      </c>
      <c r="M32" s="548"/>
      <c r="N32" s="549"/>
      <c r="O32" s="544" t="s">
        <v>1674</v>
      </c>
      <c r="P32" s="544" t="s">
        <v>1674</v>
      </c>
      <c r="Q32" s="544" t="s">
        <v>2678</v>
      </c>
      <c r="R32" s="544" t="s">
        <v>1674</v>
      </c>
      <c r="S32" s="544" t="s">
        <v>1674</v>
      </c>
      <c r="T32" s="550"/>
      <c r="U32" s="544" t="s">
        <v>2679</v>
      </c>
      <c r="V32" s="547">
        <v>1750</v>
      </c>
      <c r="W32" s="548"/>
      <c r="Y32" s="544" t="s">
        <v>1674</v>
      </c>
      <c r="AA32" s="544" t="s">
        <v>1674</v>
      </c>
      <c r="AE32" s="551"/>
      <c r="AF32" s="544" t="s">
        <v>1674</v>
      </c>
      <c r="AG32" s="544" t="s">
        <v>1674</v>
      </c>
      <c r="AH32" s="544" t="s">
        <v>1674</v>
      </c>
      <c r="AI32" s="544" t="s">
        <v>1674</v>
      </c>
      <c r="AJ32" s="544" t="s">
        <v>1674</v>
      </c>
      <c r="AK32" s="544" t="s">
        <v>1674</v>
      </c>
      <c r="AL32" s="544" t="s">
        <v>1674</v>
      </c>
      <c r="AM32" s="544" t="s">
        <v>1674</v>
      </c>
      <c r="AN32" s="544" t="s">
        <v>1674</v>
      </c>
      <c r="AP32" s="542">
        <f t="shared" si="0"/>
        <v>0</v>
      </c>
      <c r="AR32" s="552">
        <f t="shared" si="1"/>
        <v>0</v>
      </c>
    </row>
    <row r="33" spans="1:44" outlineLevel="1" x14ac:dyDescent="0.25">
      <c r="A33" s="544" t="s">
        <v>1674</v>
      </c>
      <c r="B33" s="545">
        <v>0</v>
      </c>
      <c r="C33" s="544" t="s">
        <v>1674</v>
      </c>
      <c r="D33" s="544" t="s">
        <v>2717</v>
      </c>
      <c r="E33" s="542" t="s">
        <v>2677</v>
      </c>
      <c r="G33" s="546"/>
      <c r="H33" s="546">
        <v>9.52</v>
      </c>
      <c r="I33" s="546"/>
      <c r="J33" s="542" t="s">
        <v>806</v>
      </c>
      <c r="K33" s="547">
        <v>8736</v>
      </c>
      <c r="L33" s="542" t="s">
        <v>806</v>
      </c>
      <c r="M33" s="548"/>
      <c r="N33" s="549"/>
      <c r="O33" s="544" t="s">
        <v>1674</v>
      </c>
      <c r="P33" s="544" t="s">
        <v>1674</v>
      </c>
      <c r="Q33" s="544" t="s">
        <v>2678</v>
      </c>
      <c r="R33" s="544" t="s">
        <v>1674</v>
      </c>
      <c r="S33" s="544" t="s">
        <v>1674</v>
      </c>
      <c r="T33" s="550">
        <v>19</v>
      </c>
      <c r="U33" s="544" t="s">
        <v>2679</v>
      </c>
      <c r="V33" s="547">
        <v>1750</v>
      </c>
      <c r="W33" s="548"/>
      <c r="Y33" s="544" t="s">
        <v>1674</v>
      </c>
      <c r="AA33" s="544" t="s">
        <v>1674</v>
      </c>
      <c r="AE33" s="551"/>
      <c r="AF33" s="544" t="s">
        <v>1674</v>
      </c>
      <c r="AG33" s="544" t="s">
        <v>1674</v>
      </c>
      <c r="AH33" s="544" t="s">
        <v>1674</v>
      </c>
      <c r="AI33" s="544" t="s">
        <v>1674</v>
      </c>
      <c r="AJ33" s="544" t="s">
        <v>1674</v>
      </c>
      <c r="AK33" s="544" t="s">
        <v>1674</v>
      </c>
      <c r="AL33" s="544" t="s">
        <v>1674</v>
      </c>
      <c r="AM33" s="544" t="s">
        <v>1674</v>
      </c>
      <c r="AN33" s="544" t="s">
        <v>1674</v>
      </c>
      <c r="AP33" s="542">
        <f t="shared" si="0"/>
        <v>0</v>
      </c>
      <c r="AR33" s="552">
        <f t="shared" si="1"/>
        <v>0</v>
      </c>
    </row>
    <row r="34" spans="1:44" outlineLevel="1" x14ac:dyDescent="0.25">
      <c r="A34" s="544" t="s">
        <v>1674</v>
      </c>
      <c r="B34" s="545">
        <v>0</v>
      </c>
      <c r="C34" s="544" t="s">
        <v>1674</v>
      </c>
      <c r="D34" s="544" t="s">
        <v>2717</v>
      </c>
      <c r="E34" s="542" t="s">
        <v>2680</v>
      </c>
      <c r="G34" s="546"/>
      <c r="H34" s="546">
        <v>942.48</v>
      </c>
      <c r="I34" s="546"/>
      <c r="J34" s="542" t="s">
        <v>806</v>
      </c>
      <c r="K34" s="547">
        <v>1200</v>
      </c>
      <c r="L34" s="542" t="s">
        <v>806</v>
      </c>
      <c r="M34" s="548"/>
      <c r="N34" s="549"/>
      <c r="O34" s="544" t="s">
        <v>1674</v>
      </c>
      <c r="P34" s="544" t="s">
        <v>1674</v>
      </c>
      <c r="Q34" s="544" t="s">
        <v>2681</v>
      </c>
      <c r="R34" s="544" t="s">
        <v>1674</v>
      </c>
      <c r="S34" s="544" t="s">
        <v>1674</v>
      </c>
      <c r="T34" s="550"/>
      <c r="U34" s="544" t="s">
        <v>2682</v>
      </c>
      <c r="V34" s="547">
        <v>1626</v>
      </c>
      <c r="W34" s="548"/>
      <c r="Y34" s="544" t="s">
        <v>1674</v>
      </c>
      <c r="AA34" s="544" t="s">
        <v>1674</v>
      </c>
      <c r="AE34" s="551"/>
      <c r="AF34" s="544" t="s">
        <v>1674</v>
      </c>
      <c r="AG34" s="544" t="s">
        <v>1674</v>
      </c>
      <c r="AH34" s="544" t="s">
        <v>1674</v>
      </c>
      <c r="AI34" s="544" t="s">
        <v>1674</v>
      </c>
      <c r="AJ34" s="544" t="s">
        <v>1674</v>
      </c>
      <c r="AK34" s="544" t="s">
        <v>1674</v>
      </c>
      <c r="AL34" s="544" t="s">
        <v>1674</v>
      </c>
      <c r="AM34" s="544" t="s">
        <v>1674</v>
      </c>
      <c r="AN34" s="544" t="s">
        <v>1674</v>
      </c>
      <c r="AP34" s="542">
        <f t="shared" si="0"/>
        <v>0</v>
      </c>
      <c r="AR34" s="552">
        <f t="shared" si="1"/>
        <v>0</v>
      </c>
    </row>
    <row r="35" spans="1:44" outlineLevel="1" x14ac:dyDescent="0.25">
      <c r="A35" s="544" t="s">
        <v>1674</v>
      </c>
      <c r="B35" s="545">
        <v>0</v>
      </c>
      <c r="C35" s="544" t="s">
        <v>1674</v>
      </c>
      <c r="D35" s="544" t="s">
        <v>2717</v>
      </c>
      <c r="E35" s="542" t="s">
        <v>2680</v>
      </c>
      <c r="G35" s="546"/>
      <c r="H35" s="546">
        <v>9.52</v>
      </c>
      <c r="I35" s="546"/>
      <c r="J35" s="542" t="s">
        <v>806</v>
      </c>
      <c r="K35" s="547">
        <v>8736</v>
      </c>
      <c r="L35" s="542" t="s">
        <v>806</v>
      </c>
      <c r="M35" s="548"/>
      <c r="N35" s="549"/>
      <c r="O35" s="544" t="s">
        <v>1674</v>
      </c>
      <c r="P35" s="544" t="s">
        <v>1674</v>
      </c>
      <c r="Q35" s="544" t="s">
        <v>2681</v>
      </c>
      <c r="R35" s="544" t="s">
        <v>1674</v>
      </c>
      <c r="S35" s="544" t="s">
        <v>1674</v>
      </c>
      <c r="T35" s="550">
        <v>19</v>
      </c>
      <c r="U35" s="544" t="s">
        <v>2682</v>
      </c>
      <c r="V35" s="547">
        <v>1626</v>
      </c>
      <c r="W35" s="548"/>
      <c r="Y35" s="544" t="s">
        <v>1674</v>
      </c>
      <c r="AA35" s="544" t="s">
        <v>1674</v>
      </c>
      <c r="AE35" s="551"/>
      <c r="AF35" s="544" t="s">
        <v>1674</v>
      </c>
      <c r="AG35" s="544" t="s">
        <v>1674</v>
      </c>
      <c r="AH35" s="544" t="s">
        <v>1674</v>
      </c>
      <c r="AI35" s="544" t="s">
        <v>1674</v>
      </c>
      <c r="AJ35" s="544" t="s">
        <v>1674</v>
      </c>
      <c r="AK35" s="544" t="s">
        <v>1674</v>
      </c>
      <c r="AL35" s="544" t="s">
        <v>1674</v>
      </c>
      <c r="AM35" s="544" t="s">
        <v>1674</v>
      </c>
      <c r="AN35" s="544" t="s">
        <v>1674</v>
      </c>
      <c r="AP35" s="542">
        <f t="shared" si="0"/>
        <v>0</v>
      </c>
      <c r="AR35" s="552">
        <f t="shared" si="1"/>
        <v>0</v>
      </c>
    </row>
    <row r="36" spans="1:44" outlineLevel="1" x14ac:dyDescent="0.25">
      <c r="A36" s="544" t="s">
        <v>1674</v>
      </c>
      <c r="B36" s="545">
        <v>0</v>
      </c>
      <c r="C36" s="544" t="s">
        <v>1674</v>
      </c>
      <c r="D36" s="544" t="s">
        <v>2717</v>
      </c>
      <c r="E36" s="542" t="s">
        <v>2683</v>
      </c>
      <c r="G36" s="546"/>
      <c r="H36" s="546">
        <v>942.48</v>
      </c>
      <c r="I36" s="546"/>
      <c r="J36" s="542" t="s">
        <v>806</v>
      </c>
      <c r="K36" s="547">
        <v>1200</v>
      </c>
      <c r="L36" s="542" t="s">
        <v>806</v>
      </c>
      <c r="M36" s="548"/>
      <c r="N36" s="549"/>
      <c r="O36" s="544" t="s">
        <v>1674</v>
      </c>
      <c r="P36" s="544" t="s">
        <v>1674</v>
      </c>
      <c r="Q36" s="544" t="s">
        <v>2684</v>
      </c>
      <c r="R36" s="544" t="s">
        <v>1674</v>
      </c>
      <c r="S36" s="544" t="s">
        <v>1674</v>
      </c>
      <c r="T36" s="550"/>
      <c r="U36" s="544" t="s">
        <v>2685</v>
      </c>
      <c r="V36" s="547">
        <v>1705</v>
      </c>
      <c r="W36" s="548"/>
      <c r="Y36" s="544" t="s">
        <v>1674</v>
      </c>
      <c r="AA36" s="544" t="s">
        <v>1674</v>
      </c>
      <c r="AE36" s="551"/>
      <c r="AF36" s="544" t="s">
        <v>1674</v>
      </c>
      <c r="AG36" s="544" t="s">
        <v>1674</v>
      </c>
      <c r="AH36" s="544" t="s">
        <v>1674</v>
      </c>
      <c r="AI36" s="544" t="s">
        <v>1674</v>
      </c>
      <c r="AJ36" s="544" t="s">
        <v>1674</v>
      </c>
      <c r="AK36" s="544" t="s">
        <v>1674</v>
      </c>
      <c r="AL36" s="544" t="s">
        <v>1674</v>
      </c>
      <c r="AM36" s="544" t="s">
        <v>1674</v>
      </c>
      <c r="AN36" s="544" t="s">
        <v>1674</v>
      </c>
      <c r="AP36" s="542">
        <f t="shared" si="0"/>
        <v>0</v>
      </c>
      <c r="AR36" s="552">
        <f t="shared" si="1"/>
        <v>0</v>
      </c>
    </row>
    <row r="37" spans="1:44" outlineLevel="1" x14ac:dyDescent="0.25">
      <c r="A37" s="544" t="s">
        <v>1674</v>
      </c>
      <c r="B37" s="545">
        <v>0</v>
      </c>
      <c r="C37" s="544" t="s">
        <v>1674</v>
      </c>
      <c r="D37" s="544" t="s">
        <v>2717</v>
      </c>
      <c r="E37" s="542" t="s">
        <v>2683</v>
      </c>
      <c r="G37" s="546"/>
      <c r="H37" s="546">
        <v>9.52</v>
      </c>
      <c r="I37" s="546"/>
      <c r="J37" s="542" t="s">
        <v>806</v>
      </c>
      <c r="K37" s="547">
        <v>8736</v>
      </c>
      <c r="L37" s="542" t="s">
        <v>806</v>
      </c>
      <c r="M37" s="548"/>
      <c r="N37" s="549"/>
      <c r="O37" s="544" t="s">
        <v>1674</v>
      </c>
      <c r="P37" s="544" t="s">
        <v>1674</v>
      </c>
      <c r="Q37" s="544" t="s">
        <v>2684</v>
      </c>
      <c r="R37" s="544" t="s">
        <v>1674</v>
      </c>
      <c r="S37" s="544" t="s">
        <v>1674</v>
      </c>
      <c r="T37" s="550">
        <v>19</v>
      </c>
      <c r="U37" s="544" t="s">
        <v>2685</v>
      </c>
      <c r="V37" s="547">
        <v>1705</v>
      </c>
      <c r="W37" s="548"/>
      <c r="Y37" s="544" t="s">
        <v>1674</v>
      </c>
      <c r="AA37" s="544" t="s">
        <v>1674</v>
      </c>
      <c r="AE37" s="551"/>
      <c r="AF37" s="544" t="s">
        <v>1674</v>
      </c>
      <c r="AG37" s="544" t="s">
        <v>1674</v>
      </c>
      <c r="AH37" s="544" t="s">
        <v>1674</v>
      </c>
      <c r="AI37" s="544" t="s">
        <v>1674</v>
      </c>
      <c r="AJ37" s="544" t="s">
        <v>1674</v>
      </c>
      <c r="AK37" s="544" t="s">
        <v>1674</v>
      </c>
      <c r="AL37" s="544" t="s">
        <v>1674</v>
      </c>
      <c r="AM37" s="544" t="s">
        <v>1674</v>
      </c>
      <c r="AN37" s="544" t="s">
        <v>1674</v>
      </c>
      <c r="AP37" s="542">
        <f t="shared" si="0"/>
        <v>0</v>
      </c>
      <c r="AR37" s="552">
        <f t="shared" si="1"/>
        <v>0</v>
      </c>
    </row>
    <row r="38" spans="1:44" outlineLevel="1" x14ac:dyDescent="0.25">
      <c r="A38" s="544" t="s">
        <v>1674</v>
      </c>
      <c r="B38" s="545">
        <v>0</v>
      </c>
      <c r="C38" s="544" t="s">
        <v>1674</v>
      </c>
      <c r="D38" s="544" t="s">
        <v>2717</v>
      </c>
      <c r="E38" s="542" t="s">
        <v>2686</v>
      </c>
      <c r="G38" s="546"/>
      <c r="H38" s="546">
        <v>942.48</v>
      </c>
      <c r="I38" s="546"/>
      <c r="J38" s="542" t="s">
        <v>806</v>
      </c>
      <c r="K38" s="547">
        <v>1200</v>
      </c>
      <c r="L38" s="542" t="s">
        <v>806</v>
      </c>
      <c r="M38" s="548"/>
      <c r="N38" s="549"/>
      <c r="O38" s="544" t="s">
        <v>1674</v>
      </c>
      <c r="P38" s="544" t="s">
        <v>1674</v>
      </c>
      <c r="Q38" s="544" t="s">
        <v>2687</v>
      </c>
      <c r="R38" s="544" t="s">
        <v>1674</v>
      </c>
      <c r="S38" s="544" t="s">
        <v>1674</v>
      </c>
      <c r="T38" s="550"/>
      <c r="U38" s="544" t="s">
        <v>2688</v>
      </c>
      <c r="V38" s="547">
        <v>1504</v>
      </c>
      <c r="W38" s="548"/>
      <c r="Y38" s="544" t="s">
        <v>1674</v>
      </c>
      <c r="AA38" s="544" t="s">
        <v>1674</v>
      </c>
      <c r="AE38" s="551"/>
      <c r="AF38" s="544" t="s">
        <v>1674</v>
      </c>
      <c r="AG38" s="544" t="s">
        <v>1674</v>
      </c>
      <c r="AH38" s="544" t="s">
        <v>1674</v>
      </c>
      <c r="AI38" s="544" t="s">
        <v>1674</v>
      </c>
      <c r="AJ38" s="544" t="s">
        <v>1674</v>
      </c>
      <c r="AK38" s="544" t="s">
        <v>1674</v>
      </c>
      <c r="AL38" s="544" t="s">
        <v>1674</v>
      </c>
      <c r="AM38" s="544" t="s">
        <v>1674</v>
      </c>
      <c r="AN38" s="544" t="s">
        <v>1674</v>
      </c>
      <c r="AP38" s="542">
        <f t="shared" si="0"/>
        <v>0</v>
      </c>
      <c r="AR38" s="552">
        <f t="shared" si="1"/>
        <v>0</v>
      </c>
    </row>
    <row r="39" spans="1:44" outlineLevel="1" x14ac:dyDescent="0.25">
      <c r="A39" s="544" t="s">
        <v>1674</v>
      </c>
      <c r="B39" s="545">
        <v>0</v>
      </c>
      <c r="C39" s="544" t="s">
        <v>1674</v>
      </c>
      <c r="D39" s="544" t="s">
        <v>2717</v>
      </c>
      <c r="E39" s="542" t="s">
        <v>2686</v>
      </c>
      <c r="G39" s="546"/>
      <c r="H39" s="546">
        <v>9.52</v>
      </c>
      <c r="I39" s="546"/>
      <c r="J39" s="542" t="s">
        <v>806</v>
      </c>
      <c r="K39" s="547">
        <v>8736</v>
      </c>
      <c r="L39" s="542" t="s">
        <v>806</v>
      </c>
      <c r="M39" s="548"/>
      <c r="N39" s="549"/>
      <c r="O39" s="544" t="s">
        <v>1674</v>
      </c>
      <c r="P39" s="544" t="s">
        <v>1674</v>
      </c>
      <c r="Q39" s="544" t="s">
        <v>2687</v>
      </c>
      <c r="R39" s="544" t="s">
        <v>1674</v>
      </c>
      <c r="S39" s="544" t="s">
        <v>1674</v>
      </c>
      <c r="T39" s="550">
        <v>19</v>
      </c>
      <c r="U39" s="544" t="s">
        <v>2688</v>
      </c>
      <c r="V39" s="547">
        <v>1504</v>
      </c>
      <c r="W39" s="548"/>
      <c r="Y39" s="544" t="s">
        <v>1674</v>
      </c>
      <c r="AA39" s="544" t="s">
        <v>1674</v>
      </c>
      <c r="AE39" s="551"/>
      <c r="AF39" s="544" t="s">
        <v>1674</v>
      </c>
      <c r="AG39" s="544" t="s">
        <v>1674</v>
      </c>
      <c r="AH39" s="544" t="s">
        <v>1674</v>
      </c>
      <c r="AI39" s="544" t="s">
        <v>1674</v>
      </c>
      <c r="AJ39" s="544" t="s">
        <v>1674</v>
      </c>
      <c r="AK39" s="544" t="s">
        <v>1674</v>
      </c>
      <c r="AL39" s="544" t="s">
        <v>1674</v>
      </c>
      <c r="AM39" s="544" t="s">
        <v>1674</v>
      </c>
      <c r="AN39" s="544" t="s">
        <v>1674</v>
      </c>
      <c r="AP39" s="542">
        <f t="shared" si="0"/>
        <v>0</v>
      </c>
      <c r="AR39" s="552">
        <f t="shared" si="1"/>
        <v>0</v>
      </c>
    </row>
    <row r="40" spans="1:44" outlineLevel="1" x14ac:dyDescent="0.25">
      <c r="A40" s="544" t="s">
        <v>1674</v>
      </c>
      <c r="B40" s="545">
        <v>0</v>
      </c>
      <c r="C40" s="544" t="s">
        <v>1674</v>
      </c>
      <c r="D40" s="544" t="s">
        <v>2717</v>
      </c>
      <c r="E40" s="542" t="s">
        <v>2689</v>
      </c>
      <c r="G40" s="546"/>
      <c r="H40" s="546">
        <v>942.48</v>
      </c>
      <c r="I40" s="546"/>
      <c r="J40" s="542" t="s">
        <v>806</v>
      </c>
      <c r="K40" s="547">
        <v>1200</v>
      </c>
      <c r="L40" s="542" t="s">
        <v>806</v>
      </c>
      <c r="M40" s="548"/>
      <c r="N40" s="549"/>
      <c r="O40" s="544" t="s">
        <v>1674</v>
      </c>
      <c r="P40" s="544" t="s">
        <v>1674</v>
      </c>
      <c r="Q40" s="544" t="s">
        <v>2690</v>
      </c>
      <c r="R40" s="544" t="s">
        <v>1674</v>
      </c>
      <c r="S40" s="544" t="s">
        <v>1674</v>
      </c>
      <c r="T40" s="550"/>
      <c r="U40" s="544" t="s">
        <v>2691</v>
      </c>
      <c r="V40" s="547">
        <v>1746</v>
      </c>
      <c r="W40" s="548"/>
      <c r="Y40" s="544" t="s">
        <v>1674</v>
      </c>
      <c r="AA40" s="544" t="s">
        <v>1674</v>
      </c>
      <c r="AE40" s="551"/>
      <c r="AF40" s="544" t="s">
        <v>1674</v>
      </c>
      <c r="AG40" s="544" t="s">
        <v>1674</v>
      </c>
      <c r="AH40" s="544" t="s">
        <v>1674</v>
      </c>
      <c r="AI40" s="544" t="s">
        <v>1674</v>
      </c>
      <c r="AJ40" s="544" t="s">
        <v>1674</v>
      </c>
      <c r="AK40" s="544" t="s">
        <v>1674</v>
      </c>
      <c r="AL40" s="544" t="s">
        <v>1674</v>
      </c>
      <c r="AM40" s="544" t="s">
        <v>1674</v>
      </c>
      <c r="AN40" s="544" t="s">
        <v>1674</v>
      </c>
      <c r="AP40" s="542">
        <f t="shared" si="0"/>
        <v>0</v>
      </c>
      <c r="AR40" s="552">
        <f t="shared" si="1"/>
        <v>0</v>
      </c>
    </row>
    <row r="41" spans="1:44" outlineLevel="1" x14ac:dyDescent="0.25">
      <c r="A41" s="544" t="s">
        <v>1674</v>
      </c>
      <c r="B41" s="545">
        <v>0</v>
      </c>
      <c r="C41" s="544" t="s">
        <v>1674</v>
      </c>
      <c r="D41" s="544" t="s">
        <v>2717</v>
      </c>
      <c r="E41" s="542" t="s">
        <v>2689</v>
      </c>
      <c r="G41" s="546"/>
      <c r="H41" s="546">
        <v>9.52</v>
      </c>
      <c r="I41" s="546"/>
      <c r="J41" s="542" t="s">
        <v>806</v>
      </c>
      <c r="K41" s="547">
        <v>8736</v>
      </c>
      <c r="L41" s="542" t="s">
        <v>806</v>
      </c>
      <c r="M41" s="548"/>
      <c r="N41" s="549"/>
      <c r="O41" s="544" t="s">
        <v>1674</v>
      </c>
      <c r="P41" s="544" t="s">
        <v>1674</v>
      </c>
      <c r="Q41" s="544" t="s">
        <v>2690</v>
      </c>
      <c r="R41" s="544" t="s">
        <v>1674</v>
      </c>
      <c r="S41" s="544" t="s">
        <v>1674</v>
      </c>
      <c r="T41" s="550">
        <v>19</v>
      </c>
      <c r="U41" s="544" t="s">
        <v>2691</v>
      </c>
      <c r="V41" s="547">
        <v>1747</v>
      </c>
      <c r="W41" s="548"/>
      <c r="Y41" s="544" t="s">
        <v>1674</v>
      </c>
      <c r="AA41" s="544" t="s">
        <v>1674</v>
      </c>
      <c r="AE41" s="551"/>
      <c r="AF41" s="544" t="s">
        <v>1674</v>
      </c>
      <c r="AG41" s="544" t="s">
        <v>1674</v>
      </c>
      <c r="AH41" s="544" t="s">
        <v>1674</v>
      </c>
      <c r="AI41" s="544" t="s">
        <v>1674</v>
      </c>
      <c r="AJ41" s="544" t="s">
        <v>1674</v>
      </c>
      <c r="AK41" s="544" t="s">
        <v>1674</v>
      </c>
      <c r="AL41" s="544" t="s">
        <v>1674</v>
      </c>
      <c r="AM41" s="544" t="s">
        <v>1674</v>
      </c>
      <c r="AN41" s="544" t="s">
        <v>1674</v>
      </c>
      <c r="AP41" s="542">
        <f t="shared" si="0"/>
        <v>0</v>
      </c>
      <c r="AR41" s="552">
        <f t="shared" si="1"/>
        <v>0</v>
      </c>
    </row>
    <row r="42" spans="1:44" outlineLevel="1" x14ac:dyDescent="0.25">
      <c r="A42" s="544" t="s">
        <v>1674</v>
      </c>
      <c r="B42" s="545">
        <v>0</v>
      </c>
      <c r="C42" s="544" t="s">
        <v>1674</v>
      </c>
      <c r="D42" s="544" t="s">
        <v>2717</v>
      </c>
      <c r="E42" s="542" t="s">
        <v>2692</v>
      </c>
      <c r="G42" s="546"/>
      <c r="H42" s="546">
        <v>942.48</v>
      </c>
      <c r="I42" s="546"/>
      <c r="J42" s="542" t="s">
        <v>806</v>
      </c>
      <c r="K42" s="547">
        <v>1200</v>
      </c>
      <c r="L42" s="542" t="s">
        <v>806</v>
      </c>
      <c r="M42" s="548"/>
      <c r="N42" s="549"/>
      <c r="O42" s="544" t="s">
        <v>1674</v>
      </c>
      <c r="P42" s="544" t="s">
        <v>1674</v>
      </c>
      <c r="Q42" s="544" t="s">
        <v>2693</v>
      </c>
      <c r="R42" s="544" t="s">
        <v>1674</v>
      </c>
      <c r="S42" s="544" t="s">
        <v>1674</v>
      </c>
      <c r="T42" s="550"/>
      <c r="U42" s="544" t="s">
        <v>2694</v>
      </c>
      <c r="V42" s="547">
        <v>1829</v>
      </c>
      <c r="W42" s="548"/>
      <c r="Y42" s="544" t="s">
        <v>1674</v>
      </c>
      <c r="AA42" s="544" t="s">
        <v>1674</v>
      </c>
      <c r="AE42" s="551"/>
      <c r="AF42" s="544" t="s">
        <v>1674</v>
      </c>
      <c r="AG42" s="544" t="s">
        <v>1674</v>
      </c>
      <c r="AH42" s="544" t="s">
        <v>1674</v>
      </c>
      <c r="AI42" s="544" t="s">
        <v>1674</v>
      </c>
      <c r="AJ42" s="544" t="s">
        <v>1674</v>
      </c>
      <c r="AK42" s="544" t="s">
        <v>1674</v>
      </c>
      <c r="AL42" s="544" t="s">
        <v>1674</v>
      </c>
      <c r="AM42" s="544" t="s">
        <v>1674</v>
      </c>
      <c r="AN42" s="544" t="s">
        <v>1674</v>
      </c>
      <c r="AP42" s="542">
        <f t="shared" si="0"/>
        <v>0</v>
      </c>
      <c r="AR42" s="552">
        <f t="shared" si="1"/>
        <v>0</v>
      </c>
    </row>
    <row r="43" spans="1:44" outlineLevel="1" x14ac:dyDescent="0.25">
      <c r="A43" s="544" t="s">
        <v>1674</v>
      </c>
      <c r="B43" s="545">
        <v>0</v>
      </c>
      <c r="C43" s="544" t="s">
        <v>1674</v>
      </c>
      <c r="D43" s="544" t="s">
        <v>2717</v>
      </c>
      <c r="E43" s="542" t="s">
        <v>2692</v>
      </c>
      <c r="G43" s="546"/>
      <c r="H43" s="546">
        <v>9.52</v>
      </c>
      <c r="I43" s="546"/>
      <c r="J43" s="542" t="s">
        <v>806</v>
      </c>
      <c r="K43" s="547">
        <v>8736</v>
      </c>
      <c r="L43" s="542" t="s">
        <v>806</v>
      </c>
      <c r="M43" s="548"/>
      <c r="N43" s="549"/>
      <c r="O43" s="544" t="s">
        <v>1674</v>
      </c>
      <c r="P43" s="544" t="s">
        <v>1674</v>
      </c>
      <c r="Q43" s="544" t="s">
        <v>2693</v>
      </c>
      <c r="R43" s="544" t="s">
        <v>1674</v>
      </c>
      <c r="S43" s="544" t="s">
        <v>1674</v>
      </c>
      <c r="T43" s="550">
        <v>19</v>
      </c>
      <c r="U43" s="544" t="s">
        <v>2694</v>
      </c>
      <c r="V43" s="547">
        <v>1830</v>
      </c>
      <c r="W43" s="548"/>
      <c r="Y43" s="544" t="s">
        <v>1674</v>
      </c>
      <c r="AA43" s="544" t="s">
        <v>1674</v>
      </c>
      <c r="AE43" s="551"/>
      <c r="AF43" s="544" t="s">
        <v>1674</v>
      </c>
      <c r="AG43" s="544" t="s">
        <v>1674</v>
      </c>
      <c r="AH43" s="544" t="s">
        <v>1674</v>
      </c>
      <c r="AI43" s="544" t="s">
        <v>1674</v>
      </c>
      <c r="AJ43" s="544" t="s">
        <v>1674</v>
      </c>
      <c r="AK43" s="544" t="s">
        <v>1674</v>
      </c>
      <c r="AL43" s="544" t="s">
        <v>1674</v>
      </c>
      <c r="AM43" s="544" t="s">
        <v>1674</v>
      </c>
      <c r="AN43" s="544" t="s">
        <v>1674</v>
      </c>
      <c r="AP43" s="542">
        <f t="shared" si="0"/>
        <v>0</v>
      </c>
      <c r="AR43" s="552">
        <f t="shared" si="1"/>
        <v>0</v>
      </c>
    </row>
    <row r="44" spans="1:44" outlineLevel="1" x14ac:dyDescent="0.25">
      <c r="A44" s="544" t="s">
        <v>1674</v>
      </c>
      <c r="B44" s="545">
        <v>0</v>
      </c>
      <c r="C44" s="544" t="s">
        <v>1674</v>
      </c>
      <c r="D44" s="544" t="s">
        <v>2717</v>
      </c>
      <c r="E44" s="542" t="s">
        <v>2695</v>
      </c>
      <c r="G44" s="546"/>
      <c r="H44" s="546">
        <v>942.48</v>
      </c>
      <c r="I44" s="546"/>
      <c r="J44" s="542" t="s">
        <v>806</v>
      </c>
      <c r="K44" s="547">
        <v>1200</v>
      </c>
      <c r="L44" s="542" t="s">
        <v>806</v>
      </c>
      <c r="M44" s="548"/>
      <c r="N44" s="549"/>
      <c r="O44" s="544" t="s">
        <v>1674</v>
      </c>
      <c r="P44" s="544" t="s">
        <v>1674</v>
      </c>
      <c r="Q44" s="544" t="s">
        <v>2696</v>
      </c>
      <c r="R44" s="544" t="s">
        <v>1674</v>
      </c>
      <c r="S44" s="544" t="s">
        <v>1674</v>
      </c>
      <c r="T44" s="550"/>
      <c r="U44" s="544" t="s">
        <v>2697</v>
      </c>
      <c r="V44" s="547">
        <v>1663</v>
      </c>
      <c r="W44" s="548"/>
      <c r="Y44" s="544" t="s">
        <v>1674</v>
      </c>
      <c r="AA44" s="544" t="s">
        <v>1674</v>
      </c>
      <c r="AE44" s="551"/>
      <c r="AF44" s="544" t="s">
        <v>1674</v>
      </c>
      <c r="AG44" s="544" t="s">
        <v>1674</v>
      </c>
      <c r="AH44" s="544" t="s">
        <v>1674</v>
      </c>
      <c r="AI44" s="544" t="s">
        <v>1674</v>
      </c>
      <c r="AJ44" s="544" t="s">
        <v>1674</v>
      </c>
      <c r="AK44" s="544" t="s">
        <v>1674</v>
      </c>
      <c r="AL44" s="544" t="s">
        <v>1674</v>
      </c>
      <c r="AM44" s="544" t="s">
        <v>1674</v>
      </c>
      <c r="AN44" s="544" t="s">
        <v>1674</v>
      </c>
      <c r="AP44" s="542">
        <f t="shared" si="0"/>
        <v>0</v>
      </c>
      <c r="AR44" s="552">
        <f t="shared" si="1"/>
        <v>0</v>
      </c>
    </row>
    <row r="45" spans="1:44" outlineLevel="1" x14ac:dyDescent="0.25">
      <c r="A45" s="544" t="s">
        <v>1674</v>
      </c>
      <c r="B45" s="545">
        <v>0</v>
      </c>
      <c r="C45" s="544" t="s">
        <v>1674</v>
      </c>
      <c r="D45" s="544" t="s">
        <v>2717</v>
      </c>
      <c r="E45" s="542" t="s">
        <v>2695</v>
      </c>
      <c r="G45" s="546"/>
      <c r="H45" s="546">
        <v>9.52</v>
      </c>
      <c r="I45" s="546"/>
      <c r="J45" s="542" t="s">
        <v>806</v>
      </c>
      <c r="K45" s="547">
        <v>8736</v>
      </c>
      <c r="L45" s="542" t="s">
        <v>806</v>
      </c>
      <c r="M45" s="548"/>
      <c r="N45" s="549"/>
      <c r="O45" s="544" t="s">
        <v>1674</v>
      </c>
      <c r="P45" s="544" t="s">
        <v>1674</v>
      </c>
      <c r="Q45" s="544" t="s">
        <v>2696</v>
      </c>
      <c r="R45" s="544" t="s">
        <v>1674</v>
      </c>
      <c r="S45" s="544" t="s">
        <v>1674</v>
      </c>
      <c r="T45" s="550">
        <v>19</v>
      </c>
      <c r="U45" s="544" t="s">
        <v>2697</v>
      </c>
      <c r="V45" s="547">
        <v>1664</v>
      </c>
      <c r="W45" s="548"/>
      <c r="Y45" s="544" t="s">
        <v>1674</v>
      </c>
      <c r="AA45" s="544" t="s">
        <v>1674</v>
      </c>
      <c r="AE45" s="551"/>
      <c r="AF45" s="544" t="s">
        <v>1674</v>
      </c>
      <c r="AG45" s="544" t="s">
        <v>1674</v>
      </c>
      <c r="AH45" s="544" t="s">
        <v>1674</v>
      </c>
      <c r="AI45" s="544" t="s">
        <v>1674</v>
      </c>
      <c r="AJ45" s="544" t="s">
        <v>1674</v>
      </c>
      <c r="AK45" s="544" t="s">
        <v>1674</v>
      </c>
      <c r="AL45" s="544" t="s">
        <v>1674</v>
      </c>
      <c r="AM45" s="544" t="s">
        <v>1674</v>
      </c>
      <c r="AN45" s="544" t="s">
        <v>1674</v>
      </c>
      <c r="AP45" s="542">
        <f t="shared" si="0"/>
        <v>0</v>
      </c>
      <c r="AR45" s="552">
        <f t="shared" si="1"/>
        <v>0</v>
      </c>
    </row>
    <row r="46" spans="1:44" outlineLevel="1" x14ac:dyDescent="0.25">
      <c r="A46" s="544" t="s">
        <v>1674</v>
      </c>
      <c r="B46" s="545">
        <v>0</v>
      </c>
      <c r="C46" s="544" t="s">
        <v>1674</v>
      </c>
      <c r="D46" s="544" t="s">
        <v>2717</v>
      </c>
      <c r="E46" s="542" t="s">
        <v>2698</v>
      </c>
      <c r="G46" s="546"/>
      <c r="H46" s="546">
        <v>942.48</v>
      </c>
      <c r="I46" s="546"/>
      <c r="J46" s="542" t="s">
        <v>806</v>
      </c>
      <c r="K46" s="547">
        <v>1200</v>
      </c>
      <c r="L46" s="542" t="s">
        <v>806</v>
      </c>
      <c r="M46" s="548"/>
      <c r="N46" s="549"/>
      <c r="O46" s="544" t="s">
        <v>1674</v>
      </c>
      <c r="P46" s="544" t="s">
        <v>1674</v>
      </c>
      <c r="Q46" s="544" t="s">
        <v>2699</v>
      </c>
      <c r="R46" s="544" t="s">
        <v>1674</v>
      </c>
      <c r="S46" s="544" t="s">
        <v>1674</v>
      </c>
      <c r="T46" s="550"/>
      <c r="U46" s="544" t="s">
        <v>2700</v>
      </c>
      <c r="V46" s="547">
        <v>1594</v>
      </c>
      <c r="W46" s="548"/>
      <c r="Y46" s="544" t="s">
        <v>1674</v>
      </c>
      <c r="AA46" s="544" t="s">
        <v>1674</v>
      </c>
      <c r="AE46" s="551"/>
      <c r="AF46" s="544" t="s">
        <v>1674</v>
      </c>
      <c r="AG46" s="544" t="s">
        <v>1674</v>
      </c>
      <c r="AH46" s="544" t="s">
        <v>1674</v>
      </c>
      <c r="AI46" s="544" t="s">
        <v>1674</v>
      </c>
      <c r="AJ46" s="544" t="s">
        <v>1674</v>
      </c>
      <c r="AK46" s="544" t="s">
        <v>1674</v>
      </c>
      <c r="AL46" s="544" t="s">
        <v>1674</v>
      </c>
      <c r="AM46" s="544" t="s">
        <v>1674</v>
      </c>
      <c r="AN46" s="544" t="s">
        <v>1674</v>
      </c>
      <c r="AP46" s="542">
        <f t="shared" si="0"/>
        <v>0</v>
      </c>
      <c r="AR46" s="552">
        <f t="shared" si="1"/>
        <v>0</v>
      </c>
    </row>
    <row r="47" spans="1:44" outlineLevel="1" x14ac:dyDescent="0.25">
      <c r="A47" s="544" t="s">
        <v>1674</v>
      </c>
      <c r="B47" s="545">
        <v>0</v>
      </c>
      <c r="C47" s="544" t="s">
        <v>1674</v>
      </c>
      <c r="D47" s="544" t="s">
        <v>2717</v>
      </c>
      <c r="E47" s="542" t="s">
        <v>2698</v>
      </c>
      <c r="G47" s="546"/>
      <c r="H47" s="546">
        <v>9.52</v>
      </c>
      <c r="I47" s="546"/>
      <c r="J47" s="542" t="s">
        <v>806</v>
      </c>
      <c r="K47" s="547">
        <v>8736</v>
      </c>
      <c r="L47" s="542" t="s">
        <v>806</v>
      </c>
      <c r="M47" s="548"/>
      <c r="N47" s="549"/>
      <c r="O47" s="544" t="s">
        <v>1674</v>
      </c>
      <c r="P47" s="544" t="s">
        <v>1674</v>
      </c>
      <c r="Q47" s="544" t="s">
        <v>2699</v>
      </c>
      <c r="R47" s="544" t="s">
        <v>1674</v>
      </c>
      <c r="S47" s="544" t="s">
        <v>1674</v>
      </c>
      <c r="T47" s="550">
        <v>19</v>
      </c>
      <c r="U47" s="544" t="s">
        <v>2700</v>
      </c>
      <c r="V47" s="547">
        <v>1595</v>
      </c>
      <c r="W47" s="548"/>
      <c r="Y47" s="544" t="s">
        <v>1674</v>
      </c>
      <c r="AA47" s="544" t="s">
        <v>1674</v>
      </c>
      <c r="AE47" s="551"/>
      <c r="AF47" s="544" t="s">
        <v>1674</v>
      </c>
      <c r="AG47" s="544" t="s">
        <v>1674</v>
      </c>
      <c r="AH47" s="544" t="s">
        <v>1674</v>
      </c>
      <c r="AI47" s="544" t="s">
        <v>1674</v>
      </c>
      <c r="AJ47" s="544" t="s">
        <v>1674</v>
      </c>
      <c r="AK47" s="544" t="s">
        <v>1674</v>
      </c>
      <c r="AL47" s="544" t="s">
        <v>1674</v>
      </c>
      <c r="AM47" s="544" t="s">
        <v>1674</v>
      </c>
      <c r="AN47" s="544" t="s">
        <v>1674</v>
      </c>
      <c r="AP47" s="542">
        <f t="shared" si="0"/>
        <v>0</v>
      </c>
      <c r="AR47" s="552">
        <f t="shared" si="1"/>
        <v>0</v>
      </c>
    </row>
    <row r="48" spans="1:44" outlineLevel="1" x14ac:dyDescent="0.25">
      <c r="A48" s="544" t="s">
        <v>1674</v>
      </c>
      <c r="B48" s="545">
        <v>0</v>
      </c>
      <c r="C48" s="544" t="s">
        <v>1674</v>
      </c>
      <c r="D48" s="544" t="s">
        <v>2717</v>
      </c>
      <c r="E48" s="542" t="s">
        <v>3296</v>
      </c>
      <c r="G48" s="546"/>
      <c r="H48" s="546">
        <v>942.48</v>
      </c>
      <c r="I48" s="546"/>
      <c r="J48" s="542" t="s">
        <v>806</v>
      </c>
      <c r="K48" s="547">
        <v>1200</v>
      </c>
      <c r="L48" s="542" t="s">
        <v>806</v>
      </c>
      <c r="M48" s="548"/>
      <c r="N48" s="549"/>
      <c r="O48" s="544" t="s">
        <v>1674</v>
      </c>
      <c r="P48" s="544" t="s">
        <v>1674</v>
      </c>
      <c r="Q48" s="544" t="s">
        <v>3302</v>
      </c>
      <c r="R48" s="544" t="s">
        <v>1674</v>
      </c>
      <c r="S48" s="544" t="s">
        <v>1674</v>
      </c>
      <c r="T48" s="550"/>
      <c r="U48" s="544" t="s">
        <v>3303</v>
      </c>
      <c r="V48" s="547">
        <v>1669</v>
      </c>
      <c r="W48" s="548"/>
      <c r="Y48" s="544" t="s">
        <v>1674</v>
      </c>
      <c r="AA48" s="544" t="s">
        <v>1674</v>
      </c>
      <c r="AE48" s="551"/>
      <c r="AF48" s="544" t="s">
        <v>1674</v>
      </c>
      <c r="AG48" s="544" t="s">
        <v>1674</v>
      </c>
      <c r="AH48" s="544" t="s">
        <v>1674</v>
      </c>
      <c r="AI48" s="544" t="s">
        <v>1674</v>
      </c>
      <c r="AJ48" s="544" t="s">
        <v>1674</v>
      </c>
      <c r="AK48" s="544" t="s">
        <v>1674</v>
      </c>
      <c r="AL48" s="544" t="s">
        <v>1674</v>
      </c>
      <c r="AM48" s="544" t="s">
        <v>1674</v>
      </c>
      <c r="AN48" s="544" t="s">
        <v>1674</v>
      </c>
      <c r="AP48" s="542">
        <f t="shared" si="0"/>
        <v>0</v>
      </c>
      <c r="AR48" s="552">
        <f t="shared" si="1"/>
        <v>0</v>
      </c>
    </row>
    <row r="49" spans="1:44" outlineLevel="1" x14ac:dyDescent="0.25">
      <c r="A49" s="544" t="s">
        <v>1674</v>
      </c>
      <c r="B49" s="545">
        <v>0</v>
      </c>
      <c r="C49" s="544" t="s">
        <v>1674</v>
      </c>
      <c r="D49" s="544" t="s">
        <v>2717</v>
      </c>
      <c r="E49" s="542" t="s">
        <v>3296</v>
      </c>
      <c r="G49" s="546"/>
      <c r="H49" s="546">
        <v>9.52</v>
      </c>
      <c r="I49" s="546"/>
      <c r="J49" s="542" t="s">
        <v>806</v>
      </c>
      <c r="K49" s="547">
        <v>8736</v>
      </c>
      <c r="L49" s="542" t="s">
        <v>806</v>
      </c>
      <c r="M49" s="548"/>
      <c r="N49" s="549"/>
      <c r="O49" s="544" t="s">
        <v>1674</v>
      </c>
      <c r="P49" s="544" t="s">
        <v>1674</v>
      </c>
      <c r="Q49" s="544" t="s">
        <v>3302</v>
      </c>
      <c r="R49" s="544" t="s">
        <v>1674</v>
      </c>
      <c r="S49" s="544" t="s">
        <v>1674</v>
      </c>
      <c r="T49" s="550">
        <v>19</v>
      </c>
      <c r="U49" s="544" t="s">
        <v>3303</v>
      </c>
      <c r="V49" s="547">
        <v>1670</v>
      </c>
      <c r="W49" s="548"/>
      <c r="Y49" s="544" t="s">
        <v>1674</v>
      </c>
      <c r="AA49" s="544" t="s">
        <v>1674</v>
      </c>
      <c r="AE49" s="551"/>
      <c r="AF49" s="544" t="s">
        <v>1674</v>
      </c>
      <c r="AG49" s="544" t="s">
        <v>1674</v>
      </c>
      <c r="AH49" s="544" t="s">
        <v>1674</v>
      </c>
      <c r="AI49" s="544" t="s">
        <v>1674</v>
      </c>
      <c r="AJ49" s="544" t="s">
        <v>1674</v>
      </c>
      <c r="AK49" s="544" t="s">
        <v>1674</v>
      </c>
      <c r="AL49" s="544" t="s">
        <v>1674</v>
      </c>
      <c r="AM49" s="544" t="s">
        <v>1674</v>
      </c>
      <c r="AN49" s="544" t="s">
        <v>1674</v>
      </c>
      <c r="AP49" s="542">
        <f t="shared" si="0"/>
        <v>0</v>
      </c>
      <c r="AR49" s="552">
        <f t="shared" si="1"/>
        <v>0</v>
      </c>
    </row>
    <row r="50" spans="1:44" outlineLevel="1" x14ac:dyDescent="0.25">
      <c r="A50" s="544" t="s">
        <v>1674</v>
      </c>
      <c r="B50" s="545">
        <v>0</v>
      </c>
      <c r="C50" s="544" t="s">
        <v>1674</v>
      </c>
      <c r="D50" s="544" t="s">
        <v>2717</v>
      </c>
      <c r="E50" s="542" t="s">
        <v>3304</v>
      </c>
      <c r="G50" s="546"/>
      <c r="H50" s="546">
        <v>942.48</v>
      </c>
      <c r="I50" s="546"/>
      <c r="J50" s="542" t="s">
        <v>806</v>
      </c>
      <c r="K50" s="547">
        <v>1200</v>
      </c>
      <c r="L50" s="542" t="s">
        <v>806</v>
      </c>
      <c r="M50" s="548"/>
      <c r="N50" s="549"/>
      <c r="O50" s="544" t="s">
        <v>1674</v>
      </c>
      <c r="P50" s="544" t="s">
        <v>1674</v>
      </c>
      <c r="Q50" s="544" t="s">
        <v>3305</v>
      </c>
      <c r="R50" s="544" t="s">
        <v>1674</v>
      </c>
      <c r="S50" s="544" t="s">
        <v>1674</v>
      </c>
      <c r="T50" s="550"/>
      <c r="U50" s="544" t="s">
        <v>3306</v>
      </c>
      <c r="V50" s="547">
        <v>1603</v>
      </c>
      <c r="W50" s="548"/>
      <c r="Y50" s="544" t="s">
        <v>1674</v>
      </c>
      <c r="AA50" s="544" t="s">
        <v>1674</v>
      </c>
      <c r="AE50" s="551"/>
      <c r="AF50" s="544" t="s">
        <v>1674</v>
      </c>
      <c r="AG50" s="544" t="s">
        <v>1674</v>
      </c>
      <c r="AH50" s="544" t="s">
        <v>1674</v>
      </c>
      <c r="AI50" s="544" t="s">
        <v>1674</v>
      </c>
      <c r="AJ50" s="544" t="s">
        <v>1674</v>
      </c>
      <c r="AK50" s="544" t="s">
        <v>1674</v>
      </c>
      <c r="AL50" s="544" t="s">
        <v>1674</v>
      </c>
      <c r="AM50" s="544" t="s">
        <v>1674</v>
      </c>
      <c r="AN50" s="544" t="s">
        <v>1674</v>
      </c>
      <c r="AP50" s="542">
        <f t="shared" si="0"/>
        <v>0</v>
      </c>
      <c r="AR50" s="552">
        <f t="shared" si="1"/>
        <v>0</v>
      </c>
    </row>
    <row r="51" spans="1:44" outlineLevel="1" x14ac:dyDescent="0.25">
      <c r="A51" s="544" t="s">
        <v>1674</v>
      </c>
      <c r="B51" s="545">
        <v>0</v>
      </c>
      <c r="C51" s="544" t="s">
        <v>1674</v>
      </c>
      <c r="D51" s="544" t="s">
        <v>2717</v>
      </c>
      <c r="E51" s="542" t="s">
        <v>3304</v>
      </c>
      <c r="G51" s="546"/>
      <c r="H51" s="546">
        <v>9.52</v>
      </c>
      <c r="I51" s="546"/>
      <c r="J51" s="542" t="s">
        <v>806</v>
      </c>
      <c r="K51" s="547">
        <v>8736</v>
      </c>
      <c r="L51" s="542" t="s">
        <v>806</v>
      </c>
      <c r="M51" s="548"/>
      <c r="N51" s="549"/>
      <c r="O51" s="544" t="s">
        <v>1674</v>
      </c>
      <c r="P51" s="544" t="s">
        <v>1674</v>
      </c>
      <c r="Q51" s="544" t="s">
        <v>3305</v>
      </c>
      <c r="R51" s="544" t="s">
        <v>1674</v>
      </c>
      <c r="S51" s="544" t="s">
        <v>1674</v>
      </c>
      <c r="T51" s="550">
        <v>19</v>
      </c>
      <c r="U51" s="544" t="s">
        <v>3306</v>
      </c>
      <c r="V51" s="547">
        <v>1604</v>
      </c>
      <c r="W51" s="548"/>
      <c r="Y51" s="544" t="s">
        <v>1674</v>
      </c>
      <c r="AA51" s="544" t="s">
        <v>1674</v>
      </c>
      <c r="AE51" s="551"/>
      <c r="AF51" s="544" t="s">
        <v>1674</v>
      </c>
      <c r="AG51" s="544" t="s">
        <v>1674</v>
      </c>
      <c r="AH51" s="544" t="s">
        <v>1674</v>
      </c>
      <c r="AI51" s="544" t="s">
        <v>1674</v>
      </c>
      <c r="AJ51" s="544" t="s">
        <v>1674</v>
      </c>
      <c r="AK51" s="544" t="s">
        <v>1674</v>
      </c>
      <c r="AL51" s="544" t="s">
        <v>1674</v>
      </c>
      <c r="AM51" s="544" t="s">
        <v>1674</v>
      </c>
      <c r="AN51" s="544" t="s">
        <v>1674</v>
      </c>
      <c r="AP51" s="542">
        <f t="shared" si="0"/>
        <v>0</v>
      </c>
      <c r="AR51" s="552">
        <f t="shared" si="1"/>
        <v>0</v>
      </c>
    </row>
    <row r="52" spans="1:44" outlineLevel="1" x14ac:dyDescent="0.25">
      <c r="A52" s="544" t="s">
        <v>1674</v>
      </c>
      <c r="B52" s="545">
        <v>0</v>
      </c>
      <c r="C52" s="544" t="s">
        <v>1674</v>
      </c>
      <c r="D52" s="544" t="s">
        <v>2717</v>
      </c>
      <c r="E52" s="542" t="s">
        <v>3307</v>
      </c>
      <c r="G52" s="546"/>
      <c r="H52" s="546">
        <v>942.48</v>
      </c>
      <c r="I52" s="546"/>
      <c r="J52" s="542" t="s">
        <v>806</v>
      </c>
      <c r="K52" s="547">
        <v>1200</v>
      </c>
      <c r="L52" s="542" t="s">
        <v>806</v>
      </c>
      <c r="M52" s="548"/>
      <c r="N52" s="549"/>
      <c r="O52" s="544" t="s">
        <v>1674</v>
      </c>
      <c r="P52" s="544" t="s">
        <v>1674</v>
      </c>
      <c r="Q52" s="544" t="s">
        <v>3308</v>
      </c>
      <c r="R52" s="544" t="s">
        <v>1674</v>
      </c>
      <c r="S52" s="544" t="s">
        <v>1674</v>
      </c>
      <c r="T52" s="550"/>
      <c r="U52" s="544" t="s">
        <v>3309</v>
      </c>
      <c r="V52" s="547">
        <v>1707</v>
      </c>
      <c r="W52" s="548"/>
      <c r="Y52" s="544" t="s">
        <v>1674</v>
      </c>
      <c r="AA52" s="544" t="s">
        <v>1674</v>
      </c>
      <c r="AE52" s="551"/>
      <c r="AF52" s="544" t="s">
        <v>1674</v>
      </c>
      <c r="AG52" s="544" t="s">
        <v>1674</v>
      </c>
      <c r="AH52" s="544" t="s">
        <v>1674</v>
      </c>
      <c r="AI52" s="544" t="s">
        <v>1674</v>
      </c>
      <c r="AJ52" s="544" t="s">
        <v>1674</v>
      </c>
      <c r="AK52" s="544" t="s">
        <v>1674</v>
      </c>
      <c r="AL52" s="544" t="s">
        <v>1674</v>
      </c>
      <c r="AM52" s="544" t="s">
        <v>1674</v>
      </c>
      <c r="AN52" s="544" t="s">
        <v>1674</v>
      </c>
      <c r="AP52" s="542">
        <f t="shared" si="0"/>
        <v>0</v>
      </c>
      <c r="AR52" s="552">
        <f t="shared" si="1"/>
        <v>0</v>
      </c>
    </row>
    <row r="53" spans="1:44" outlineLevel="1" x14ac:dyDescent="0.25">
      <c r="A53" s="544" t="s">
        <v>1674</v>
      </c>
      <c r="B53" s="545">
        <v>0</v>
      </c>
      <c r="C53" s="544" t="s">
        <v>1674</v>
      </c>
      <c r="D53" s="544" t="s">
        <v>2717</v>
      </c>
      <c r="E53" s="542" t="s">
        <v>3307</v>
      </c>
      <c r="G53" s="546"/>
      <c r="H53" s="546">
        <v>9.52</v>
      </c>
      <c r="I53" s="546"/>
      <c r="J53" s="542" t="s">
        <v>806</v>
      </c>
      <c r="K53" s="547">
        <v>8736</v>
      </c>
      <c r="L53" s="542" t="s">
        <v>806</v>
      </c>
      <c r="M53" s="548"/>
      <c r="N53" s="549"/>
      <c r="O53" s="544" t="s">
        <v>1674</v>
      </c>
      <c r="P53" s="544" t="s">
        <v>1674</v>
      </c>
      <c r="Q53" s="544" t="s">
        <v>3308</v>
      </c>
      <c r="R53" s="544" t="s">
        <v>1674</v>
      </c>
      <c r="S53" s="544" t="s">
        <v>1674</v>
      </c>
      <c r="T53" s="550">
        <v>19</v>
      </c>
      <c r="U53" s="544" t="s">
        <v>3309</v>
      </c>
      <c r="V53" s="547">
        <v>1708</v>
      </c>
      <c r="W53" s="548"/>
      <c r="Y53" s="544" t="s">
        <v>1674</v>
      </c>
      <c r="AA53" s="544" t="s">
        <v>1674</v>
      </c>
      <c r="AE53" s="551"/>
      <c r="AF53" s="544" t="s">
        <v>1674</v>
      </c>
      <c r="AG53" s="544" t="s">
        <v>1674</v>
      </c>
      <c r="AH53" s="544" t="s">
        <v>1674</v>
      </c>
      <c r="AI53" s="544" t="s">
        <v>1674</v>
      </c>
      <c r="AJ53" s="544" t="s">
        <v>1674</v>
      </c>
      <c r="AK53" s="544" t="s">
        <v>1674</v>
      </c>
      <c r="AL53" s="544" t="s">
        <v>1674</v>
      </c>
      <c r="AM53" s="544" t="s">
        <v>1674</v>
      </c>
      <c r="AN53" s="544" t="s">
        <v>1674</v>
      </c>
      <c r="AP53" s="542">
        <f t="shared" si="0"/>
        <v>0</v>
      </c>
      <c r="AR53" s="552">
        <f t="shared" si="1"/>
        <v>0</v>
      </c>
    </row>
    <row r="54" spans="1:44" outlineLevel="1" x14ac:dyDescent="0.25">
      <c r="A54" s="544" t="s">
        <v>1674</v>
      </c>
      <c r="B54" s="545">
        <v>0</v>
      </c>
      <c r="C54" s="544" t="s">
        <v>1674</v>
      </c>
      <c r="D54" s="544" t="s">
        <v>2717</v>
      </c>
      <c r="E54" s="542" t="s">
        <v>3310</v>
      </c>
      <c r="G54" s="546"/>
      <c r="H54" s="546">
        <v>952</v>
      </c>
      <c r="I54" s="546"/>
      <c r="J54" s="542" t="s">
        <v>806</v>
      </c>
      <c r="K54" s="547">
        <v>1200</v>
      </c>
      <c r="L54" s="542" t="s">
        <v>806</v>
      </c>
      <c r="M54" s="548"/>
      <c r="N54" s="549"/>
      <c r="O54" s="544" t="s">
        <v>1674</v>
      </c>
      <c r="P54" s="544" t="s">
        <v>1674</v>
      </c>
      <c r="Q54" s="544" t="s">
        <v>3311</v>
      </c>
      <c r="R54" s="544" t="s">
        <v>1674</v>
      </c>
      <c r="S54" s="544" t="s">
        <v>1674</v>
      </c>
      <c r="T54" s="550"/>
      <c r="U54" s="544" t="s">
        <v>3312</v>
      </c>
      <c r="V54" s="547">
        <v>1868</v>
      </c>
      <c r="W54" s="548"/>
      <c r="Y54" s="544" t="s">
        <v>1674</v>
      </c>
      <c r="AA54" s="544" t="s">
        <v>1674</v>
      </c>
      <c r="AE54" s="551"/>
      <c r="AF54" s="544" t="s">
        <v>1674</v>
      </c>
      <c r="AG54" s="544" t="s">
        <v>1674</v>
      </c>
      <c r="AH54" s="544" t="s">
        <v>1674</v>
      </c>
      <c r="AI54" s="544" t="s">
        <v>1674</v>
      </c>
      <c r="AJ54" s="544" t="s">
        <v>1674</v>
      </c>
      <c r="AK54" s="544" t="s">
        <v>1674</v>
      </c>
      <c r="AL54" s="544" t="s">
        <v>1674</v>
      </c>
      <c r="AM54" s="544" t="s">
        <v>1674</v>
      </c>
      <c r="AN54" s="544" t="s">
        <v>1674</v>
      </c>
      <c r="AP54" s="542">
        <f t="shared" si="0"/>
        <v>0</v>
      </c>
      <c r="AR54" s="552">
        <f t="shared" si="1"/>
        <v>0</v>
      </c>
    </row>
    <row r="55" spans="1:44" outlineLevel="1" x14ac:dyDescent="0.25">
      <c r="A55" s="544" t="s">
        <v>1674</v>
      </c>
      <c r="B55" s="545">
        <v>0</v>
      </c>
      <c r="C55" s="544" t="s">
        <v>1674</v>
      </c>
      <c r="D55" s="544" t="s">
        <v>2717</v>
      </c>
      <c r="E55" s="542" t="s">
        <v>3313</v>
      </c>
      <c r="G55" s="546"/>
      <c r="H55" s="546">
        <v>9.52</v>
      </c>
      <c r="I55" s="546"/>
      <c r="J55" s="542" t="s">
        <v>806</v>
      </c>
      <c r="K55" s="547">
        <v>8736</v>
      </c>
      <c r="L55" s="542" t="s">
        <v>806</v>
      </c>
      <c r="M55" s="548"/>
      <c r="N55" s="549"/>
      <c r="O55" s="544" t="s">
        <v>1674</v>
      </c>
      <c r="P55" s="544" t="s">
        <v>1674</v>
      </c>
      <c r="Q55" s="544" t="s">
        <v>3314</v>
      </c>
      <c r="R55" s="544" t="s">
        <v>1674</v>
      </c>
      <c r="S55" s="544" t="s">
        <v>1674</v>
      </c>
      <c r="T55" s="550">
        <v>19</v>
      </c>
      <c r="U55" s="544" t="s">
        <v>3315</v>
      </c>
      <c r="V55" s="547">
        <v>18</v>
      </c>
      <c r="W55" s="548"/>
      <c r="Y55" s="544" t="s">
        <v>1674</v>
      </c>
      <c r="AA55" s="544" t="s">
        <v>1674</v>
      </c>
      <c r="AE55" s="551"/>
      <c r="AF55" s="544" t="s">
        <v>1674</v>
      </c>
      <c r="AG55" s="544" t="s">
        <v>1674</v>
      </c>
      <c r="AH55" s="544" t="s">
        <v>1674</v>
      </c>
      <c r="AI55" s="544" t="s">
        <v>1674</v>
      </c>
      <c r="AJ55" s="544" t="s">
        <v>1674</v>
      </c>
      <c r="AK55" s="544" t="s">
        <v>1674</v>
      </c>
      <c r="AL55" s="544" t="s">
        <v>1674</v>
      </c>
      <c r="AM55" s="544" t="s">
        <v>1674</v>
      </c>
      <c r="AN55" s="544" t="s">
        <v>1674</v>
      </c>
      <c r="AP55" s="542">
        <f t="shared" si="0"/>
        <v>0</v>
      </c>
      <c r="AR55" s="552">
        <f t="shared" si="1"/>
        <v>0</v>
      </c>
    </row>
    <row r="56" spans="1:44" outlineLevel="1" x14ac:dyDescent="0.25">
      <c r="A56" s="544" t="s">
        <v>1674</v>
      </c>
      <c r="B56" s="545">
        <v>0</v>
      </c>
      <c r="C56" s="544" t="s">
        <v>1674</v>
      </c>
      <c r="D56" s="544" t="s">
        <v>2717</v>
      </c>
      <c r="E56" s="542" t="s">
        <v>3313</v>
      </c>
      <c r="G56" s="546"/>
      <c r="H56" s="546">
        <v>942.48</v>
      </c>
      <c r="I56" s="546"/>
      <c r="J56" s="542" t="s">
        <v>806</v>
      </c>
      <c r="K56" s="547">
        <v>1200</v>
      </c>
      <c r="L56" s="542" t="s">
        <v>806</v>
      </c>
      <c r="M56" s="548"/>
      <c r="N56" s="549"/>
      <c r="O56" s="544" t="s">
        <v>1674</v>
      </c>
      <c r="P56" s="544" t="s">
        <v>1674</v>
      </c>
      <c r="Q56" s="544" t="s">
        <v>3314</v>
      </c>
      <c r="R56" s="544" t="s">
        <v>1674</v>
      </c>
      <c r="S56" s="544" t="s">
        <v>1674</v>
      </c>
      <c r="T56" s="550"/>
      <c r="U56" s="544" t="s">
        <v>3315</v>
      </c>
      <c r="V56" s="547">
        <v>58</v>
      </c>
      <c r="W56" s="548"/>
      <c r="Y56" s="544" t="s">
        <v>1674</v>
      </c>
      <c r="AA56" s="544" t="s">
        <v>1674</v>
      </c>
      <c r="AE56" s="551"/>
      <c r="AF56" s="544" t="s">
        <v>1674</v>
      </c>
      <c r="AG56" s="544" t="s">
        <v>1674</v>
      </c>
      <c r="AH56" s="544" t="s">
        <v>1674</v>
      </c>
      <c r="AI56" s="544" t="s">
        <v>1674</v>
      </c>
      <c r="AJ56" s="544" t="s">
        <v>1674</v>
      </c>
      <c r="AK56" s="544" t="s">
        <v>1674</v>
      </c>
      <c r="AL56" s="544" t="s">
        <v>1674</v>
      </c>
      <c r="AM56" s="544" t="s">
        <v>1674</v>
      </c>
      <c r="AN56" s="544" t="s">
        <v>1674</v>
      </c>
      <c r="AP56" s="542">
        <f t="shared" si="0"/>
        <v>0</v>
      </c>
      <c r="AR56" s="552">
        <f t="shared" si="1"/>
        <v>0</v>
      </c>
    </row>
    <row r="57" spans="1:44" outlineLevel="1" x14ac:dyDescent="0.25">
      <c r="A57" s="544" t="s">
        <v>1674</v>
      </c>
      <c r="B57" s="545">
        <v>0</v>
      </c>
      <c r="C57" s="544" t="s">
        <v>1674</v>
      </c>
      <c r="D57" s="544" t="s">
        <v>2717</v>
      </c>
      <c r="E57" s="542" t="s">
        <v>3316</v>
      </c>
      <c r="G57" s="546"/>
      <c r="H57" s="546">
        <v>952</v>
      </c>
      <c r="I57" s="546"/>
      <c r="J57" s="542" t="s">
        <v>806</v>
      </c>
      <c r="K57" s="547">
        <v>1200</v>
      </c>
      <c r="L57" s="542" t="s">
        <v>806</v>
      </c>
      <c r="M57" s="548"/>
      <c r="N57" s="549"/>
      <c r="O57" s="544" t="s">
        <v>1674</v>
      </c>
      <c r="P57" s="544" t="s">
        <v>1674</v>
      </c>
      <c r="Q57" s="544" t="s">
        <v>3317</v>
      </c>
      <c r="R57" s="544" t="s">
        <v>1674</v>
      </c>
      <c r="S57" s="544" t="s">
        <v>1674</v>
      </c>
      <c r="T57" s="550"/>
      <c r="U57" s="544" t="s">
        <v>3315</v>
      </c>
      <c r="V57" s="547">
        <v>1655</v>
      </c>
      <c r="W57" s="548"/>
      <c r="Y57" s="544" t="s">
        <v>1674</v>
      </c>
      <c r="AA57" s="544" t="s">
        <v>1674</v>
      </c>
      <c r="AE57" s="551"/>
      <c r="AF57" s="544" t="s">
        <v>1674</v>
      </c>
      <c r="AG57" s="544" t="s">
        <v>1674</v>
      </c>
      <c r="AH57" s="544" t="s">
        <v>1674</v>
      </c>
      <c r="AI57" s="544" t="s">
        <v>1674</v>
      </c>
      <c r="AJ57" s="544" t="s">
        <v>1674</v>
      </c>
      <c r="AK57" s="544" t="s">
        <v>1674</v>
      </c>
      <c r="AL57" s="544" t="s">
        <v>1674</v>
      </c>
      <c r="AM57" s="544" t="s">
        <v>1674</v>
      </c>
      <c r="AN57" s="544" t="s">
        <v>1674</v>
      </c>
      <c r="AP57" s="542">
        <f t="shared" si="0"/>
        <v>0</v>
      </c>
      <c r="AR57" s="552">
        <f t="shared" si="1"/>
        <v>0</v>
      </c>
    </row>
    <row r="58" spans="1:44" outlineLevel="1" x14ac:dyDescent="0.25">
      <c r="A58" s="544" t="s">
        <v>1674</v>
      </c>
      <c r="B58" s="545">
        <v>0</v>
      </c>
      <c r="C58" s="544" t="s">
        <v>1674</v>
      </c>
      <c r="D58" s="544" t="s">
        <v>2717</v>
      </c>
      <c r="E58" s="542" t="s">
        <v>3318</v>
      </c>
      <c r="G58" s="546"/>
      <c r="H58" s="546">
        <v>952</v>
      </c>
      <c r="I58" s="546"/>
      <c r="J58" s="542" t="s">
        <v>806</v>
      </c>
      <c r="K58" s="547">
        <v>1200</v>
      </c>
      <c r="L58" s="542" t="s">
        <v>806</v>
      </c>
      <c r="M58" s="548"/>
      <c r="N58" s="549"/>
      <c r="O58" s="544" t="s">
        <v>1674</v>
      </c>
      <c r="P58" s="544" t="s">
        <v>1674</v>
      </c>
      <c r="Q58" s="544" t="s">
        <v>3319</v>
      </c>
      <c r="R58" s="544" t="s">
        <v>1674</v>
      </c>
      <c r="S58" s="544" t="s">
        <v>1674</v>
      </c>
      <c r="T58" s="550"/>
      <c r="U58" s="544" t="s">
        <v>3320</v>
      </c>
      <c r="V58" s="547">
        <v>1745</v>
      </c>
      <c r="W58" s="548"/>
      <c r="Y58" s="544" t="s">
        <v>1674</v>
      </c>
      <c r="AA58" s="544" t="s">
        <v>1674</v>
      </c>
      <c r="AE58" s="551"/>
      <c r="AF58" s="544" t="s">
        <v>1674</v>
      </c>
      <c r="AG58" s="544" t="s">
        <v>1674</v>
      </c>
      <c r="AH58" s="544" t="s">
        <v>1674</v>
      </c>
      <c r="AI58" s="544" t="s">
        <v>1674</v>
      </c>
      <c r="AJ58" s="544" t="s">
        <v>1674</v>
      </c>
      <c r="AK58" s="544" t="s">
        <v>1674</v>
      </c>
      <c r="AL58" s="544" t="s">
        <v>1674</v>
      </c>
      <c r="AM58" s="544" t="s">
        <v>1674</v>
      </c>
      <c r="AN58" s="544" t="s">
        <v>1674</v>
      </c>
      <c r="AP58" s="542">
        <f t="shared" si="0"/>
        <v>0</v>
      </c>
      <c r="AR58" s="552">
        <f t="shared" si="1"/>
        <v>0</v>
      </c>
    </row>
    <row r="59" spans="1:44" outlineLevel="1" x14ac:dyDescent="0.25">
      <c r="A59" s="544" t="s">
        <v>1674</v>
      </c>
      <c r="B59" s="545">
        <v>0</v>
      </c>
      <c r="C59" s="544" t="s">
        <v>1674</v>
      </c>
      <c r="D59" s="544" t="s">
        <v>2717</v>
      </c>
      <c r="E59" s="542" t="s">
        <v>3321</v>
      </c>
      <c r="G59" s="546"/>
      <c r="H59" s="546">
        <v>952</v>
      </c>
      <c r="I59" s="546">
        <v>238</v>
      </c>
      <c r="J59" s="542" t="s">
        <v>2701</v>
      </c>
      <c r="K59" s="547">
        <v>1200</v>
      </c>
      <c r="L59" s="542" t="s">
        <v>806</v>
      </c>
      <c r="M59" s="548"/>
      <c r="N59" s="549"/>
      <c r="O59" s="544" t="s">
        <v>1674</v>
      </c>
      <c r="P59" s="544" t="s">
        <v>1674</v>
      </c>
      <c r="Q59" s="544" t="s">
        <v>3322</v>
      </c>
      <c r="R59" s="544" t="s">
        <v>1674</v>
      </c>
      <c r="S59" s="544" t="s">
        <v>1674</v>
      </c>
      <c r="T59" s="550"/>
      <c r="U59" s="544" t="s">
        <v>3323</v>
      </c>
      <c r="V59" s="547">
        <v>1472</v>
      </c>
      <c r="W59" s="548"/>
      <c r="Y59" s="544" t="s">
        <v>1674</v>
      </c>
      <c r="AA59" s="544" t="s">
        <v>1674</v>
      </c>
      <c r="AE59" s="551"/>
      <c r="AF59" s="544" t="s">
        <v>1674</v>
      </c>
      <c r="AG59" s="544" t="s">
        <v>1674</v>
      </c>
      <c r="AH59" s="544" t="s">
        <v>1674</v>
      </c>
      <c r="AI59" s="544" t="s">
        <v>1674</v>
      </c>
      <c r="AJ59" s="544" t="s">
        <v>1674</v>
      </c>
      <c r="AK59" s="544" t="s">
        <v>1674</v>
      </c>
      <c r="AL59" s="544" t="s">
        <v>1674</v>
      </c>
      <c r="AM59" s="544" t="s">
        <v>1674</v>
      </c>
      <c r="AN59" s="544" t="s">
        <v>1674</v>
      </c>
      <c r="AP59" s="542">
        <f t="shared" si="0"/>
        <v>0</v>
      </c>
      <c r="AR59" s="552">
        <f t="shared" si="1"/>
        <v>238</v>
      </c>
    </row>
    <row r="60" spans="1:44" outlineLevel="1" x14ac:dyDescent="0.25">
      <c r="A60" s="544" t="s">
        <v>1674</v>
      </c>
      <c r="B60" s="545">
        <v>22801</v>
      </c>
      <c r="C60" s="544" t="s">
        <v>2607</v>
      </c>
      <c r="D60" s="544" t="s">
        <v>2721</v>
      </c>
      <c r="E60" s="542" t="s">
        <v>2712</v>
      </c>
      <c r="G60" s="546"/>
      <c r="H60" s="546">
        <v>123.75</v>
      </c>
      <c r="I60" s="546">
        <v>123.75</v>
      </c>
      <c r="J60" s="542" t="s">
        <v>2584</v>
      </c>
      <c r="K60" s="547">
        <v>8125</v>
      </c>
      <c r="L60" s="542" t="s">
        <v>806</v>
      </c>
      <c r="M60" s="548"/>
      <c r="N60" s="549"/>
      <c r="O60" s="544" t="s">
        <v>1674</v>
      </c>
      <c r="P60" s="544" t="s">
        <v>1674</v>
      </c>
      <c r="Q60" s="544" t="s">
        <v>2610</v>
      </c>
      <c r="R60" s="544" t="s">
        <v>1674</v>
      </c>
      <c r="S60" s="544" t="s">
        <v>1674</v>
      </c>
      <c r="T60" s="550"/>
      <c r="U60" s="544" t="s">
        <v>2667</v>
      </c>
      <c r="V60" s="547">
        <v>243</v>
      </c>
      <c r="W60" s="548"/>
      <c r="Y60" s="544" t="s">
        <v>1674</v>
      </c>
      <c r="AA60" s="544" t="s">
        <v>1674</v>
      </c>
      <c r="AE60" s="551"/>
      <c r="AF60" s="544" t="s">
        <v>1674</v>
      </c>
      <c r="AG60" s="544" t="s">
        <v>1674</v>
      </c>
      <c r="AH60" s="544" t="s">
        <v>1674</v>
      </c>
      <c r="AI60" s="544" t="s">
        <v>1674</v>
      </c>
      <c r="AJ60" s="544" t="s">
        <v>1674</v>
      </c>
      <c r="AK60" s="544" t="s">
        <v>1674</v>
      </c>
      <c r="AL60" s="544" t="s">
        <v>1674</v>
      </c>
      <c r="AM60" s="544" t="s">
        <v>2612</v>
      </c>
      <c r="AN60" s="544" t="s">
        <v>1674</v>
      </c>
      <c r="AP60" s="542">
        <f t="shared" si="0"/>
        <v>0</v>
      </c>
      <c r="AR60" s="552">
        <f t="shared" si="1"/>
        <v>-123.75</v>
      </c>
    </row>
    <row r="61" spans="1:44" outlineLevel="1" x14ac:dyDescent="0.25">
      <c r="A61" s="544" t="s">
        <v>2722</v>
      </c>
      <c r="B61" s="545">
        <v>11800</v>
      </c>
      <c r="C61" s="544" t="s">
        <v>2581</v>
      </c>
      <c r="D61" s="544" t="s">
        <v>2723</v>
      </c>
      <c r="E61" s="542" t="s">
        <v>2724</v>
      </c>
      <c r="F61" s="542" t="s">
        <v>2725</v>
      </c>
      <c r="G61" s="546">
        <v>17195.5</v>
      </c>
      <c r="H61" s="546"/>
      <c r="I61" s="546"/>
      <c r="J61" s="542" t="s">
        <v>806</v>
      </c>
      <c r="K61" s="547">
        <v>8820</v>
      </c>
      <c r="L61" s="542" t="s">
        <v>806</v>
      </c>
      <c r="M61" s="548"/>
      <c r="N61" s="549">
        <v>-653</v>
      </c>
      <c r="O61" s="544" t="s">
        <v>1674</v>
      </c>
      <c r="P61" s="544" t="s">
        <v>1674</v>
      </c>
      <c r="Q61" s="544" t="s">
        <v>2720</v>
      </c>
      <c r="R61" s="544" t="s">
        <v>2622</v>
      </c>
      <c r="S61" s="544" t="s">
        <v>1674</v>
      </c>
      <c r="T61" s="550">
        <v>19</v>
      </c>
      <c r="U61" s="544" t="s">
        <v>2726</v>
      </c>
      <c r="V61" s="547">
        <v>19</v>
      </c>
      <c r="W61" s="548"/>
      <c r="Y61" s="544" t="s">
        <v>1674</v>
      </c>
      <c r="AA61" s="544" t="s">
        <v>1674</v>
      </c>
      <c r="AE61" s="551"/>
      <c r="AF61" s="544" t="s">
        <v>1674</v>
      </c>
      <c r="AG61" s="544" t="s">
        <v>1674</v>
      </c>
      <c r="AH61" s="544" t="s">
        <v>1674</v>
      </c>
      <c r="AI61" s="544" t="s">
        <v>1674</v>
      </c>
      <c r="AJ61" s="544" t="s">
        <v>1674</v>
      </c>
      <c r="AK61" s="544" t="s">
        <v>1674</v>
      </c>
      <c r="AL61" s="544" t="s">
        <v>1674</v>
      </c>
      <c r="AM61" s="544" t="s">
        <v>2581</v>
      </c>
      <c r="AN61" s="544" t="s">
        <v>1674</v>
      </c>
      <c r="AP61" s="542">
        <f t="shared" si="0"/>
        <v>-592</v>
      </c>
      <c r="AR61" s="552">
        <f t="shared" si="1"/>
        <v>0</v>
      </c>
    </row>
    <row r="62" spans="1:44" outlineLevel="1" x14ac:dyDescent="0.25">
      <c r="A62" s="544" t="s">
        <v>2722</v>
      </c>
      <c r="B62" s="545">
        <v>0</v>
      </c>
      <c r="C62" s="544" t="s">
        <v>1674</v>
      </c>
      <c r="D62" s="544" t="s">
        <v>2723</v>
      </c>
      <c r="E62" s="542" t="s">
        <v>2724</v>
      </c>
      <c r="F62" s="542" t="s">
        <v>2725</v>
      </c>
      <c r="G62" s="546">
        <v>3034.5</v>
      </c>
      <c r="H62" s="546"/>
      <c r="I62" s="546"/>
      <c r="J62" s="542" t="s">
        <v>806</v>
      </c>
      <c r="K62" s="547">
        <v>8820</v>
      </c>
      <c r="L62" s="542" t="s">
        <v>806</v>
      </c>
      <c r="M62" s="548"/>
      <c r="N62" s="549">
        <v>-653</v>
      </c>
      <c r="O62" s="544" t="s">
        <v>1674</v>
      </c>
      <c r="P62" s="544" t="s">
        <v>1674</v>
      </c>
      <c r="Q62" s="544" t="s">
        <v>2720</v>
      </c>
      <c r="R62" s="544" t="s">
        <v>1674</v>
      </c>
      <c r="S62" s="544" t="s">
        <v>1674</v>
      </c>
      <c r="T62" s="550">
        <v>19</v>
      </c>
      <c r="U62" s="544" t="s">
        <v>2726</v>
      </c>
      <c r="V62" s="547">
        <v>20</v>
      </c>
      <c r="W62" s="548"/>
      <c r="Y62" s="544" t="s">
        <v>1674</v>
      </c>
      <c r="AA62" s="544" t="s">
        <v>1674</v>
      </c>
      <c r="AE62" s="551"/>
      <c r="AF62" s="544" t="s">
        <v>1674</v>
      </c>
      <c r="AG62" s="544" t="s">
        <v>1674</v>
      </c>
      <c r="AH62" s="544" t="s">
        <v>1674</v>
      </c>
      <c r="AI62" s="544" t="s">
        <v>1674</v>
      </c>
      <c r="AJ62" s="544" t="s">
        <v>1674</v>
      </c>
      <c r="AK62" s="544" t="s">
        <v>1674</v>
      </c>
      <c r="AL62" s="544" t="s">
        <v>1674</v>
      </c>
      <c r="AM62" s="544" t="s">
        <v>1674</v>
      </c>
      <c r="AN62" s="544" t="s">
        <v>1674</v>
      </c>
      <c r="AP62" s="542">
        <f t="shared" si="0"/>
        <v>-592</v>
      </c>
      <c r="AR62" s="552">
        <f t="shared" si="1"/>
        <v>0</v>
      </c>
    </row>
    <row r="63" spans="1:44" outlineLevel="1" x14ac:dyDescent="0.25">
      <c r="A63" s="544" t="s">
        <v>1674</v>
      </c>
      <c r="B63" s="545">
        <v>0</v>
      </c>
      <c r="C63" s="544" t="s">
        <v>1674</v>
      </c>
      <c r="D63" s="544" t="s">
        <v>2723</v>
      </c>
      <c r="E63" s="542" t="s">
        <v>2665</v>
      </c>
      <c r="G63" s="546"/>
      <c r="H63" s="546">
        <v>942.48</v>
      </c>
      <c r="I63" s="546"/>
      <c r="J63" s="542" t="s">
        <v>806</v>
      </c>
      <c r="K63" s="547">
        <v>1200</v>
      </c>
      <c r="L63" s="542" t="s">
        <v>806</v>
      </c>
      <c r="M63" s="548"/>
      <c r="N63" s="549"/>
      <c r="O63" s="544" t="s">
        <v>1674</v>
      </c>
      <c r="P63" s="544" t="s">
        <v>1674</v>
      </c>
      <c r="Q63" s="544" t="s">
        <v>2666</v>
      </c>
      <c r="R63" s="544" t="s">
        <v>1674</v>
      </c>
      <c r="S63" s="544" t="s">
        <v>1674</v>
      </c>
      <c r="T63" s="550"/>
      <c r="U63" s="544" t="s">
        <v>2667</v>
      </c>
      <c r="V63" s="547">
        <v>1704</v>
      </c>
      <c r="W63" s="548"/>
      <c r="Y63" s="544" t="s">
        <v>1674</v>
      </c>
      <c r="AA63" s="544" t="s">
        <v>1674</v>
      </c>
      <c r="AE63" s="551"/>
      <c r="AF63" s="544" t="s">
        <v>1674</v>
      </c>
      <c r="AG63" s="544" t="s">
        <v>1674</v>
      </c>
      <c r="AH63" s="544" t="s">
        <v>1674</v>
      </c>
      <c r="AI63" s="544" t="s">
        <v>1674</v>
      </c>
      <c r="AJ63" s="544" t="s">
        <v>1674</v>
      </c>
      <c r="AK63" s="544" t="s">
        <v>1674</v>
      </c>
      <c r="AL63" s="544" t="s">
        <v>1674</v>
      </c>
      <c r="AM63" s="544" t="s">
        <v>1674</v>
      </c>
      <c r="AN63" s="544" t="s">
        <v>1674</v>
      </c>
      <c r="AP63" s="542">
        <f t="shared" si="0"/>
        <v>0</v>
      </c>
      <c r="AR63" s="552">
        <f t="shared" si="1"/>
        <v>0</v>
      </c>
    </row>
    <row r="64" spans="1:44" outlineLevel="1" x14ac:dyDescent="0.25">
      <c r="A64" s="544" t="s">
        <v>1674</v>
      </c>
      <c r="B64" s="545">
        <v>0</v>
      </c>
      <c r="C64" s="544" t="s">
        <v>1674</v>
      </c>
      <c r="D64" s="544" t="s">
        <v>2723</v>
      </c>
      <c r="E64" s="542" t="s">
        <v>2665</v>
      </c>
      <c r="G64" s="546"/>
      <c r="H64" s="546">
        <v>9.52</v>
      </c>
      <c r="I64" s="546"/>
      <c r="J64" s="542" t="s">
        <v>806</v>
      </c>
      <c r="K64" s="547">
        <v>8736</v>
      </c>
      <c r="L64" s="542" t="s">
        <v>806</v>
      </c>
      <c r="M64" s="548"/>
      <c r="N64" s="549"/>
      <c r="O64" s="544" t="s">
        <v>1674</v>
      </c>
      <c r="P64" s="544" t="s">
        <v>1674</v>
      </c>
      <c r="Q64" s="544" t="s">
        <v>2666</v>
      </c>
      <c r="R64" s="544" t="s">
        <v>1674</v>
      </c>
      <c r="S64" s="544" t="s">
        <v>1674</v>
      </c>
      <c r="T64" s="550">
        <v>19</v>
      </c>
      <c r="U64" s="544" t="s">
        <v>2667</v>
      </c>
      <c r="V64" s="547">
        <v>1704</v>
      </c>
      <c r="W64" s="548"/>
      <c r="Y64" s="544" t="s">
        <v>1674</v>
      </c>
      <c r="AA64" s="544" t="s">
        <v>1674</v>
      </c>
      <c r="AE64" s="551"/>
      <c r="AF64" s="544" t="s">
        <v>1674</v>
      </c>
      <c r="AG64" s="544" t="s">
        <v>1674</v>
      </c>
      <c r="AH64" s="544" t="s">
        <v>1674</v>
      </c>
      <c r="AI64" s="544" t="s">
        <v>1674</v>
      </c>
      <c r="AJ64" s="544" t="s">
        <v>1674</v>
      </c>
      <c r="AK64" s="544" t="s">
        <v>1674</v>
      </c>
      <c r="AL64" s="544" t="s">
        <v>1674</v>
      </c>
      <c r="AM64" s="544" t="s">
        <v>1674</v>
      </c>
      <c r="AN64" s="544" t="s">
        <v>1674</v>
      </c>
      <c r="AP64" s="542">
        <f t="shared" si="0"/>
        <v>0</v>
      </c>
      <c r="AR64" s="552">
        <f t="shared" si="1"/>
        <v>0</v>
      </c>
    </row>
    <row r="65" spans="1:44" outlineLevel="1" x14ac:dyDescent="0.25">
      <c r="A65" s="544" t="s">
        <v>1674</v>
      </c>
      <c r="B65" s="545">
        <v>0</v>
      </c>
      <c r="C65" s="544" t="s">
        <v>1674</v>
      </c>
      <c r="D65" s="544" t="s">
        <v>2723</v>
      </c>
      <c r="E65" s="542" t="s">
        <v>2668</v>
      </c>
      <c r="G65" s="546"/>
      <c r="H65" s="546">
        <v>942.48</v>
      </c>
      <c r="I65" s="546"/>
      <c r="J65" s="542" t="s">
        <v>806</v>
      </c>
      <c r="K65" s="547">
        <v>1200</v>
      </c>
      <c r="L65" s="542" t="s">
        <v>806</v>
      </c>
      <c r="M65" s="548"/>
      <c r="N65" s="549"/>
      <c r="O65" s="544" t="s">
        <v>1674</v>
      </c>
      <c r="P65" s="544" t="s">
        <v>1674</v>
      </c>
      <c r="Q65" s="544" t="s">
        <v>2669</v>
      </c>
      <c r="R65" s="544" t="s">
        <v>1674</v>
      </c>
      <c r="S65" s="544" t="s">
        <v>1674</v>
      </c>
      <c r="T65" s="550"/>
      <c r="U65" s="544" t="s">
        <v>2670</v>
      </c>
      <c r="V65" s="547">
        <v>1587</v>
      </c>
      <c r="W65" s="548"/>
      <c r="Y65" s="544" t="s">
        <v>1674</v>
      </c>
      <c r="AA65" s="544" t="s">
        <v>1674</v>
      </c>
      <c r="AE65" s="551"/>
      <c r="AF65" s="544" t="s">
        <v>1674</v>
      </c>
      <c r="AG65" s="544" t="s">
        <v>1674</v>
      </c>
      <c r="AH65" s="544" t="s">
        <v>1674</v>
      </c>
      <c r="AI65" s="544" t="s">
        <v>1674</v>
      </c>
      <c r="AJ65" s="544" t="s">
        <v>1674</v>
      </c>
      <c r="AK65" s="544" t="s">
        <v>1674</v>
      </c>
      <c r="AL65" s="544" t="s">
        <v>1674</v>
      </c>
      <c r="AM65" s="544" t="s">
        <v>1674</v>
      </c>
      <c r="AN65" s="544" t="s">
        <v>1674</v>
      </c>
      <c r="AP65" s="542">
        <f t="shared" si="0"/>
        <v>0</v>
      </c>
      <c r="AR65" s="552">
        <f t="shared" si="1"/>
        <v>0</v>
      </c>
    </row>
    <row r="66" spans="1:44" outlineLevel="1" x14ac:dyDescent="0.25">
      <c r="A66" s="544" t="s">
        <v>1674</v>
      </c>
      <c r="B66" s="545">
        <v>0</v>
      </c>
      <c r="C66" s="544" t="s">
        <v>1674</v>
      </c>
      <c r="D66" s="544" t="s">
        <v>2723</v>
      </c>
      <c r="E66" s="542" t="s">
        <v>2668</v>
      </c>
      <c r="G66" s="546"/>
      <c r="H66" s="546">
        <v>9.52</v>
      </c>
      <c r="I66" s="546"/>
      <c r="J66" s="542" t="s">
        <v>806</v>
      </c>
      <c r="K66" s="547">
        <v>8736</v>
      </c>
      <c r="L66" s="542" t="s">
        <v>806</v>
      </c>
      <c r="M66" s="548"/>
      <c r="N66" s="549"/>
      <c r="O66" s="544" t="s">
        <v>1674</v>
      </c>
      <c r="P66" s="544" t="s">
        <v>1674</v>
      </c>
      <c r="Q66" s="544" t="s">
        <v>2669</v>
      </c>
      <c r="R66" s="544" t="s">
        <v>1674</v>
      </c>
      <c r="S66" s="544" t="s">
        <v>1674</v>
      </c>
      <c r="T66" s="550">
        <v>19</v>
      </c>
      <c r="U66" s="544" t="s">
        <v>2670</v>
      </c>
      <c r="V66" s="547">
        <v>1587</v>
      </c>
      <c r="W66" s="548"/>
      <c r="Y66" s="544" t="s">
        <v>1674</v>
      </c>
      <c r="AA66" s="544" t="s">
        <v>1674</v>
      </c>
      <c r="AE66" s="551"/>
      <c r="AF66" s="544" t="s">
        <v>1674</v>
      </c>
      <c r="AG66" s="544" t="s">
        <v>1674</v>
      </c>
      <c r="AH66" s="544" t="s">
        <v>1674</v>
      </c>
      <c r="AI66" s="544" t="s">
        <v>1674</v>
      </c>
      <c r="AJ66" s="544" t="s">
        <v>1674</v>
      </c>
      <c r="AK66" s="544" t="s">
        <v>1674</v>
      </c>
      <c r="AL66" s="544" t="s">
        <v>1674</v>
      </c>
      <c r="AM66" s="544" t="s">
        <v>1674</v>
      </c>
      <c r="AN66" s="544" t="s">
        <v>1674</v>
      </c>
      <c r="AP66" s="542">
        <f t="shared" si="0"/>
        <v>0</v>
      </c>
      <c r="AR66" s="552">
        <f t="shared" si="1"/>
        <v>0</v>
      </c>
    </row>
    <row r="67" spans="1:44" outlineLevel="1" x14ac:dyDescent="0.25">
      <c r="A67" s="544" t="s">
        <v>1674</v>
      </c>
      <c r="B67" s="545">
        <v>0</v>
      </c>
      <c r="C67" s="544" t="s">
        <v>1674</v>
      </c>
      <c r="D67" s="544" t="s">
        <v>2723</v>
      </c>
      <c r="E67" s="542" t="s">
        <v>2671</v>
      </c>
      <c r="G67" s="546"/>
      <c r="H67" s="546">
        <v>942.48</v>
      </c>
      <c r="I67" s="546"/>
      <c r="J67" s="542" t="s">
        <v>806</v>
      </c>
      <c r="K67" s="547">
        <v>1200</v>
      </c>
      <c r="L67" s="542" t="s">
        <v>806</v>
      </c>
      <c r="M67" s="548"/>
      <c r="N67" s="549"/>
      <c r="O67" s="544" t="s">
        <v>1674</v>
      </c>
      <c r="P67" s="544" t="s">
        <v>1674</v>
      </c>
      <c r="Q67" s="544" t="s">
        <v>2672</v>
      </c>
      <c r="R67" s="544" t="s">
        <v>1674</v>
      </c>
      <c r="S67" s="544" t="s">
        <v>1674</v>
      </c>
      <c r="T67" s="550"/>
      <c r="U67" s="544" t="s">
        <v>2673</v>
      </c>
      <c r="V67" s="547">
        <v>1679</v>
      </c>
      <c r="W67" s="548"/>
      <c r="Y67" s="544" t="s">
        <v>1674</v>
      </c>
      <c r="AA67" s="544" t="s">
        <v>1674</v>
      </c>
      <c r="AE67" s="551"/>
      <c r="AF67" s="544" t="s">
        <v>1674</v>
      </c>
      <c r="AG67" s="544" t="s">
        <v>1674</v>
      </c>
      <c r="AH67" s="544" t="s">
        <v>1674</v>
      </c>
      <c r="AI67" s="544" t="s">
        <v>1674</v>
      </c>
      <c r="AJ67" s="544" t="s">
        <v>1674</v>
      </c>
      <c r="AK67" s="544" t="s">
        <v>1674</v>
      </c>
      <c r="AL67" s="544" t="s">
        <v>1674</v>
      </c>
      <c r="AM67" s="544" t="s">
        <v>1674</v>
      </c>
      <c r="AN67" s="544" t="s">
        <v>1674</v>
      </c>
      <c r="AP67" s="542">
        <f t="shared" si="0"/>
        <v>0</v>
      </c>
      <c r="AR67" s="552">
        <f t="shared" si="1"/>
        <v>0</v>
      </c>
    </row>
    <row r="68" spans="1:44" outlineLevel="1" x14ac:dyDescent="0.25">
      <c r="A68" s="544" t="s">
        <v>1674</v>
      </c>
      <c r="B68" s="545">
        <v>0</v>
      </c>
      <c r="C68" s="544" t="s">
        <v>1674</v>
      </c>
      <c r="D68" s="544" t="s">
        <v>2723</v>
      </c>
      <c r="E68" s="542" t="s">
        <v>2671</v>
      </c>
      <c r="G68" s="546"/>
      <c r="H68" s="546">
        <v>9.52</v>
      </c>
      <c r="I68" s="546"/>
      <c r="J68" s="542" t="s">
        <v>806</v>
      </c>
      <c r="K68" s="547">
        <v>8736</v>
      </c>
      <c r="L68" s="542" t="s">
        <v>806</v>
      </c>
      <c r="M68" s="548"/>
      <c r="N68" s="549"/>
      <c r="O68" s="544" t="s">
        <v>1674</v>
      </c>
      <c r="P68" s="544" t="s">
        <v>1674</v>
      </c>
      <c r="Q68" s="544" t="s">
        <v>2672</v>
      </c>
      <c r="R68" s="544" t="s">
        <v>1674</v>
      </c>
      <c r="S68" s="544" t="s">
        <v>1674</v>
      </c>
      <c r="T68" s="550">
        <v>19</v>
      </c>
      <c r="U68" s="544" t="s">
        <v>2673</v>
      </c>
      <c r="V68" s="547">
        <v>1679</v>
      </c>
      <c r="W68" s="548"/>
      <c r="Y68" s="544" t="s">
        <v>1674</v>
      </c>
      <c r="AA68" s="544" t="s">
        <v>1674</v>
      </c>
      <c r="AE68" s="551"/>
      <c r="AF68" s="544" t="s">
        <v>1674</v>
      </c>
      <c r="AG68" s="544" t="s">
        <v>1674</v>
      </c>
      <c r="AH68" s="544" t="s">
        <v>1674</v>
      </c>
      <c r="AI68" s="544" t="s">
        <v>1674</v>
      </c>
      <c r="AJ68" s="544" t="s">
        <v>1674</v>
      </c>
      <c r="AK68" s="544" t="s">
        <v>1674</v>
      </c>
      <c r="AL68" s="544" t="s">
        <v>1674</v>
      </c>
      <c r="AM68" s="544" t="s">
        <v>1674</v>
      </c>
      <c r="AN68" s="544" t="s">
        <v>1674</v>
      </c>
      <c r="AP68" s="542">
        <f t="shared" ref="AP68:AP131" si="2">IF(F68&lt;&gt;0,($AP$2-$F68)*-1,0)</f>
        <v>0</v>
      </c>
      <c r="AR68" s="552">
        <f t="shared" ref="AR68:AR131" si="3">IF(J68="S",+I68,-I68)</f>
        <v>0</v>
      </c>
    </row>
    <row r="69" spans="1:44" outlineLevel="1" x14ac:dyDescent="0.25">
      <c r="A69" s="544" t="s">
        <v>1674</v>
      </c>
      <c r="B69" s="545">
        <v>0</v>
      </c>
      <c r="C69" s="544" t="s">
        <v>1674</v>
      </c>
      <c r="D69" s="544" t="s">
        <v>2723</v>
      </c>
      <c r="E69" s="542" t="s">
        <v>2674</v>
      </c>
      <c r="G69" s="546"/>
      <c r="H69" s="546">
        <v>942.48</v>
      </c>
      <c r="I69" s="546"/>
      <c r="J69" s="542" t="s">
        <v>806</v>
      </c>
      <c r="K69" s="547">
        <v>1200</v>
      </c>
      <c r="L69" s="542" t="s">
        <v>806</v>
      </c>
      <c r="M69" s="548"/>
      <c r="N69" s="549"/>
      <c r="O69" s="544" t="s">
        <v>1674</v>
      </c>
      <c r="P69" s="544" t="s">
        <v>1674</v>
      </c>
      <c r="Q69" s="544" t="s">
        <v>2675</v>
      </c>
      <c r="R69" s="544" t="s">
        <v>1674</v>
      </c>
      <c r="S69" s="544" t="s">
        <v>1674</v>
      </c>
      <c r="T69" s="550"/>
      <c r="U69" s="544" t="s">
        <v>2676</v>
      </c>
      <c r="V69" s="547">
        <v>1536</v>
      </c>
      <c r="W69" s="548"/>
      <c r="Y69" s="544" t="s">
        <v>1674</v>
      </c>
      <c r="AA69" s="544" t="s">
        <v>1674</v>
      </c>
      <c r="AE69" s="551"/>
      <c r="AF69" s="544" t="s">
        <v>1674</v>
      </c>
      <c r="AG69" s="544" t="s">
        <v>1674</v>
      </c>
      <c r="AH69" s="544" t="s">
        <v>1674</v>
      </c>
      <c r="AI69" s="544" t="s">
        <v>1674</v>
      </c>
      <c r="AJ69" s="544" t="s">
        <v>1674</v>
      </c>
      <c r="AK69" s="544" t="s">
        <v>1674</v>
      </c>
      <c r="AL69" s="544" t="s">
        <v>1674</v>
      </c>
      <c r="AM69" s="544" t="s">
        <v>1674</v>
      </c>
      <c r="AN69" s="544" t="s">
        <v>1674</v>
      </c>
      <c r="AP69" s="542">
        <f t="shared" si="2"/>
        <v>0</v>
      </c>
      <c r="AR69" s="552">
        <f t="shared" si="3"/>
        <v>0</v>
      </c>
    </row>
    <row r="70" spans="1:44" outlineLevel="1" x14ac:dyDescent="0.25">
      <c r="A70" s="544" t="s">
        <v>1674</v>
      </c>
      <c r="B70" s="545">
        <v>0</v>
      </c>
      <c r="C70" s="544" t="s">
        <v>1674</v>
      </c>
      <c r="D70" s="544" t="s">
        <v>2723</v>
      </c>
      <c r="E70" s="542" t="s">
        <v>2674</v>
      </c>
      <c r="G70" s="546"/>
      <c r="H70" s="546">
        <v>9.52</v>
      </c>
      <c r="I70" s="546"/>
      <c r="J70" s="542" t="s">
        <v>806</v>
      </c>
      <c r="K70" s="547">
        <v>8736</v>
      </c>
      <c r="L70" s="542" t="s">
        <v>806</v>
      </c>
      <c r="M70" s="548"/>
      <c r="N70" s="549"/>
      <c r="O70" s="544" t="s">
        <v>1674</v>
      </c>
      <c r="P70" s="544" t="s">
        <v>1674</v>
      </c>
      <c r="Q70" s="544" t="s">
        <v>2675</v>
      </c>
      <c r="R70" s="544" t="s">
        <v>1674</v>
      </c>
      <c r="S70" s="544" t="s">
        <v>1674</v>
      </c>
      <c r="T70" s="550">
        <v>19</v>
      </c>
      <c r="U70" s="544" t="s">
        <v>2676</v>
      </c>
      <c r="V70" s="547">
        <v>1536</v>
      </c>
      <c r="W70" s="548"/>
      <c r="Y70" s="544" t="s">
        <v>1674</v>
      </c>
      <c r="AA70" s="544" t="s">
        <v>1674</v>
      </c>
      <c r="AE70" s="551"/>
      <c r="AF70" s="544" t="s">
        <v>1674</v>
      </c>
      <c r="AG70" s="544" t="s">
        <v>1674</v>
      </c>
      <c r="AH70" s="544" t="s">
        <v>1674</v>
      </c>
      <c r="AI70" s="544" t="s">
        <v>1674</v>
      </c>
      <c r="AJ70" s="544" t="s">
        <v>1674</v>
      </c>
      <c r="AK70" s="544" t="s">
        <v>1674</v>
      </c>
      <c r="AL70" s="544" t="s">
        <v>1674</v>
      </c>
      <c r="AM70" s="544" t="s">
        <v>1674</v>
      </c>
      <c r="AN70" s="544" t="s">
        <v>1674</v>
      </c>
      <c r="AP70" s="542">
        <f t="shared" si="2"/>
        <v>0</v>
      </c>
      <c r="AR70" s="552">
        <f t="shared" si="3"/>
        <v>0</v>
      </c>
    </row>
    <row r="71" spans="1:44" outlineLevel="1" x14ac:dyDescent="0.25">
      <c r="A71" s="544" t="s">
        <v>1674</v>
      </c>
      <c r="B71" s="545">
        <v>0</v>
      </c>
      <c r="C71" s="544" t="s">
        <v>1674</v>
      </c>
      <c r="D71" s="544" t="s">
        <v>2723</v>
      </c>
      <c r="E71" s="542" t="s">
        <v>2677</v>
      </c>
      <c r="G71" s="546"/>
      <c r="H71" s="546">
        <v>942.48</v>
      </c>
      <c r="I71" s="546"/>
      <c r="J71" s="542" t="s">
        <v>806</v>
      </c>
      <c r="K71" s="547">
        <v>1200</v>
      </c>
      <c r="L71" s="542" t="s">
        <v>806</v>
      </c>
      <c r="M71" s="548"/>
      <c r="N71" s="549"/>
      <c r="O71" s="544" t="s">
        <v>1674</v>
      </c>
      <c r="P71" s="544" t="s">
        <v>1674</v>
      </c>
      <c r="Q71" s="544" t="s">
        <v>2678</v>
      </c>
      <c r="R71" s="544" t="s">
        <v>1674</v>
      </c>
      <c r="S71" s="544" t="s">
        <v>1674</v>
      </c>
      <c r="T71" s="550"/>
      <c r="U71" s="544" t="s">
        <v>2679</v>
      </c>
      <c r="V71" s="547">
        <v>1726</v>
      </c>
      <c r="W71" s="548"/>
      <c r="Y71" s="544" t="s">
        <v>1674</v>
      </c>
      <c r="AA71" s="544" t="s">
        <v>1674</v>
      </c>
      <c r="AE71" s="551"/>
      <c r="AF71" s="544" t="s">
        <v>1674</v>
      </c>
      <c r="AG71" s="544" t="s">
        <v>1674</v>
      </c>
      <c r="AH71" s="544" t="s">
        <v>1674</v>
      </c>
      <c r="AI71" s="544" t="s">
        <v>1674</v>
      </c>
      <c r="AJ71" s="544" t="s">
        <v>1674</v>
      </c>
      <c r="AK71" s="544" t="s">
        <v>1674</v>
      </c>
      <c r="AL71" s="544" t="s">
        <v>1674</v>
      </c>
      <c r="AM71" s="544" t="s">
        <v>1674</v>
      </c>
      <c r="AN71" s="544" t="s">
        <v>1674</v>
      </c>
      <c r="AP71" s="542">
        <f t="shared" si="2"/>
        <v>0</v>
      </c>
      <c r="AR71" s="552">
        <f t="shared" si="3"/>
        <v>0</v>
      </c>
    </row>
    <row r="72" spans="1:44" outlineLevel="1" x14ac:dyDescent="0.25">
      <c r="A72" s="544" t="s">
        <v>1674</v>
      </c>
      <c r="B72" s="545">
        <v>0</v>
      </c>
      <c r="C72" s="544" t="s">
        <v>1674</v>
      </c>
      <c r="D72" s="544" t="s">
        <v>2723</v>
      </c>
      <c r="E72" s="542" t="s">
        <v>2677</v>
      </c>
      <c r="G72" s="546"/>
      <c r="H72" s="546">
        <v>9.52</v>
      </c>
      <c r="I72" s="546"/>
      <c r="J72" s="542" t="s">
        <v>806</v>
      </c>
      <c r="K72" s="547">
        <v>8736</v>
      </c>
      <c r="L72" s="542" t="s">
        <v>806</v>
      </c>
      <c r="M72" s="548"/>
      <c r="N72" s="549"/>
      <c r="O72" s="544" t="s">
        <v>1674</v>
      </c>
      <c r="P72" s="544" t="s">
        <v>1674</v>
      </c>
      <c r="Q72" s="544" t="s">
        <v>2678</v>
      </c>
      <c r="R72" s="544" t="s">
        <v>1674</v>
      </c>
      <c r="S72" s="544" t="s">
        <v>1674</v>
      </c>
      <c r="T72" s="550">
        <v>19</v>
      </c>
      <c r="U72" s="544" t="s">
        <v>2679</v>
      </c>
      <c r="V72" s="547">
        <v>1726</v>
      </c>
      <c r="W72" s="548"/>
      <c r="Y72" s="544" t="s">
        <v>1674</v>
      </c>
      <c r="AA72" s="544" t="s">
        <v>1674</v>
      </c>
      <c r="AE72" s="551"/>
      <c r="AF72" s="544" t="s">
        <v>1674</v>
      </c>
      <c r="AG72" s="544" t="s">
        <v>1674</v>
      </c>
      <c r="AH72" s="544" t="s">
        <v>1674</v>
      </c>
      <c r="AI72" s="544" t="s">
        <v>1674</v>
      </c>
      <c r="AJ72" s="544" t="s">
        <v>1674</v>
      </c>
      <c r="AK72" s="544" t="s">
        <v>1674</v>
      </c>
      <c r="AL72" s="544" t="s">
        <v>1674</v>
      </c>
      <c r="AM72" s="544" t="s">
        <v>1674</v>
      </c>
      <c r="AN72" s="544" t="s">
        <v>1674</v>
      </c>
      <c r="AP72" s="542">
        <f t="shared" si="2"/>
        <v>0</v>
      </c>
      <c r="AR72" s="552">
        <f t="shared" si="3"/>
        <v>0</v>
      </c>
    </row>
    <row r="73" spans="1:44" outlineLevel="1" x14ac:dyDescent="0.25">
      <c r="A73" s="544" t="s">
        <v>1674</v>
      </c>
      <c r="B73" s="545">
        <v>0</v>
      </c>
      <c r="C73" s="544" t="s">
        <v>1674</v>
      </c>
      <c r="D73" s="544" t="s">
        <v>2723</v>
      </c>
      <c r="E73" s="542" t="s">
        <v>2680</v>
      </c>
      <c r="G73" s="546"/>
      <c r="H73" s="546">
        <v>942.48</v>
      </c>
      <c r="I73" s="546"/>
      <c r="J73" s="542" t="s">
        <v>806</v>
      </c>
      <c r="K73" s="547">
        <v>1200</v>
      </c>
      <c r="L73" s="542" t="s">
        <v>806</v>
      </c>
      <c r="M73" s="548"/>
      <c r="N73" s="549"/>
      <c r="O73" s="544" t="s">
        <v>1674</v>
      </c>
      <c r="P73" s="544" t="s">
        <v>1674</v>
      </c>
      <c r="Q73" s="544" t="s">
        <v>2681</v>
      </c>
      <c r="R73" s="544" t="s">
        <v>1674</v>
      </c>
      <c r="S73" s="544" t="s">
        <v>1674</v>
      </c>
      <c r="T73" s="550"/>
      <c r="U73" s="544" t="s">
        <v>2682</v>
      </c>
      <c r="V73" s="547">
        <v>1576</v>
      </c>
      <c r="W73" s="548"/>
      <c r="Y73" s="544" t="s">
        <v>1674</v>
      </c>
      <c r="AA73" s="544" t="s">
        <v>1674</v>
      </c>
      <c r="AE73" s="551"/>
      <c r="AF73" s="544" t="s">
        <v>1674</v>
      </c>
      <c r="AG73" s="544" t="s">
        <v>1674</v>
      </c>
      <c r="AH73" s="544" t="s">
        <v>1674</v>
      </c>
      <c r="AI73" s="544" t="s">
        <v>1674</v>
      </c>
      <c r="AJ73" s="544" t="s">
        <v>1674</v>
      </c>
      <c r="AK73" s="544" t="s">
        <v>1674</v>
      </c>
      <c r="AL73" s="544" t="s">
        <v>1674</v>
      </c>
      <c r="AM73" s="544" t="s">
        <v>1674</v>
      </c>
      <c r="AN73" s="544" t="s">
        <v>1674</v>
      </c>
      <c r="AP73" s="542">
        <f t="shared" si="2"/>
        <v>0</v>
      </c>
      <c r="AR73" s="552">
        <f t="shared" si="3"/>
        <v>0</v>
      </c>
    </row>
    <row r="74" spans="1:44" outlineLevel="1" x14ac:dyDescent="0.25">
      <c r="A74" s="544" t="s">
        <v>1674</v>
      </c>
      <c r="B74" s="545">
        <v>0</v>
      </c>
      <c r="C74" s="544" t="s">
        <v>1674</v>
      </c>
      <c r="D74" s="544" t="s">
        <v>2723</v>
      </c>
      <c r="E74" s="542" t="s">
        <v>2680</v>
      </c>
      <c r="G74" s="546"/>
      <c r="H74" s="546">
        <v>9.52</v>
      </c>
      <c r="I74" s="546"/>
      <c r="J74" s="542" t="s">
        <v>806</v>
      </c>
      <c r="K74" s="547">
        <v>8736</v>
      </c>
      <c r="L74" s="542" t="s">
        <v>806</v>
      </c>
      <c r="M74" s="548"/>
      <c r="N74" s="549"/>
      <c r="O74" s="544" t="s">
        <v>1674</v>
      </c>
      <c r="P74" s="544" t="s">
        <v>1674</v>
      </c>
      <c r="Q74" s="544" t="s">
        <v>2681</v>
      </c>
      <c r="R74" s="544" t="s">
        <v>1674</v>
      </c>
      <c r="S74" s="544" t="s">
        <v>1674</v>
      </c>
      <c r="T74" s="550">
        <v>19</v>
      </c>
      <c r="U74" s="544" t="s">
        <v>2682</v>
      </c>
      <c r="V74" s="547">
        <v>1576</v>
      </c>
      <c r="W74" s="548"/>
      <c r="Y74" s="544" t="s">
        <v>1674</v>
      </c>
      <c r="AA74" s="544" t="s">
        <v>1674</v>
      </c>
      <c r="AE74" s="551"/>
      <c r="AF74" s="544" t="s">
        <v>1674</v>
      </c>
      <c r="AG74" s="544" t="s">
        <v>1674</v>
      </c>
      <c r="AH74" s="544" t="s">
        <v>1674</v>
      </c>
      <c r="AI74" s="544" t="s">
        <v>1674</v>
      </c>
      <c r="AJ74" s="544" t="s">
        <v>1674</v>
      </c>
      <c r="AK74" s="544" t="s">
        <v>1674</v>
      </c>
      <c r="AL74" s="544" t="s">
        <v>1674</v>
      </c>
      <c r="AM74" s="544" t="s">
        <v>1674</v>
      </c>
      <c r="AN74" s="544" t="s">
        <v>1674</v>
      </c>
      <c r="AP74" s="542">
        <f t="shared" si="2"/>
        <v>0</v>
      </c>
      <c r="AR74" s="552">
        <f t="shared" si="3"/>
        <v>0</v>
      </c>
    </row>
    <row r="75" spans="1:44" outlineLevel="1" x14ac:dyDescent="0.25">
      <c r="A75" s="544" t="s">
        <v>1674</v>
      </c>
      <c r="B75" s="545">
        <v>0</v>
      </c>
      <c r="C75" s="544" t="s">
        <v>1674</v>
      </c>
      <c r="D75" s="544" t="s">
        <v>2723</v>
      </c>
      <c r="E75" s="542" t="s">
        <v>2683</v>
      </c>
      <c r="G75" s="546"/>
      <c r="H75" s="546">
        <v>942.48</v>
      </c>
      <c r="I75" s="546"/>
      <c r="J75" s="542" t="s">
        <v>806</v>
      </c>
      <c r="K75" s="547">
        <v>1200</v>
      </c>
      <c r="L75" s="542" t="s">
        <v>806</v>
      </c>
      <c r="M75" s="548"/>
      <c r="N75" s="549"/>
      <c r="O75" s="544" t="s">
        <v>1674</v>
      </c>
      <c r="P75" s="544" t="s">
        <v>1674</v>
      </c>
      <c r="Q75" s="544" t="s">
        <v>2684</v>
      </c>
      <c r="R75" s="544" t="s">
        <v>1674</v>
      </c>
      <c r="S75" s="544" t="s">
        <v>1674</v>
      </c>
      <c r="T75" s="550"/>
      <c r="U75" s="544" t="s">
        <v>2685</v>
      </c>
      <c r="V75" s="547">
        <v>1708</v>
      </c>
      <c r="W75" s="548"/>
      <c r="Y75" s="544" t="s">
        <v>1674</v>
      </c>
      <c r="AA75" s="544" t="s">
        <v>1674</v>
      </c>
      <c r="AE75" s="551"/>
      <c r="AF75" s="544" t="s">
        <v>1674</v>
      </c>
      <c r="AG75" s="544" t="s">
        <v>1674</v>
      </c>
      <c r="AH75" s="544" t="s">
        <v>1674</v>
      </c>
      <c r="AI75" s="544" t="s">
        <v>1674</v>
      </c>
      <c r="AJ75" s="544" t="s">
        <v>1674</v>
      </c>
      <c r="AK75" s="544" t="s">
        <v>1674</v>
      </c>
      <c r="AL75" s="544" t="s">
        <v>1674</v>
      </c>
      <c r="AM75" s="544" t="s">
        <v>1674</v>
      </c>
      <c r="AN75" s="544" t="s">
        <v>1674</v>
      </c>
      <c r="AP75" s="542">
        <f t="shared" si="2"/>
        <v>0</v>
      </c>
      <c r="AR75" s="552">
        <f t="shared" si="3"/>
        <v>0</v>
      </c>
    </row>
    <row r="76" spans="1:44" outlineLevel="1" x14ac:dyDescent="0.25">
      <c r="A76" s="544" t="s">
        <v>1674</v>
      </c>
      <c r="B76" s="545">
        <v>0</v>
      </c>
      <c r="C76" s="544" t="s">
        <v>1674</v>
      </c>
      <c r="D76" s="544" t="s">
        <v>2723</v>
      </c>
      <c r="E76" s="542" t="s">
        <v>2683</v>
      </c>
      <c r="G76" s="546"/>
      <c r="H76" s="546">
        <v>9.52</v>
      </c>
      <c r="I76" s="546"/>
      <c r="J76" s="542" t="s">
        <v>806</v>
      </c>
      <c r="K76" s="547">
        <v>8736</v>
      </c>
      <c r="L76" s="542" t="s">
        <v>806</v>
      </c>
      <c r="M76" s="548"/>
      <c r="N76" s="549"/>
      <c r="O76" s="544" t="s">
        <v>1674</v>
      </c>
      <c r="P76" s="544" t="s">
        <v>1674</v>
      </c>
      <c r="Q76" s="544" t="s">
        <v>2684</v>
      </c>
      <c r="R76" s="544" t="s">
        <v>1674</v>
      </c>
      <c r="S76" s="544" t="s">
        <v>1674</v>
      </c>
      <c r="T76" s="550">
        <v>19</v>
      </c>
      <c r="U76" s="544" t="s">
        <v>2685</v>
      </c>
      <c r="V76" s="547">
        <v>1708</v>
      </c>
      <c r="W76" s="548"/>
      <c r="Y76" s="544" t="s">
        <v>1674</v>
      </c>
      <c r="AA76" s="544" t="s">
        <v>1674</v>
      </c>
      <c r="AE76" s="551"/>
      <c r="AF76" s="544" t="s">
        <v>1674</v>
      </c>
      <c r="AG76" s="544" t="s">
        <v>1674</v>
      </c>
      <c r="AH76" s="544" t="s">
        <v>1674</v>
      </c>
      <c r="AI76" s="544" t="s">
        <v>1674</v>
      </c>
      <c r="AJ76" s="544" t="s">
        <v>1674</v>
      </c>
      <c r="AK76" s="544" t="s">
        <v>1674</v>
      </c>
      <c r="AL76" s="544" t="s">
        <v>1674</v>
      </c>
      <c r="AM76" s="544" t="s">
        <v>1674</v>
      </c>
      <c r="AN76" s="544" t="s">
        <v>1674</v>
      </c>
      <c r="AP76" s="542">
        <f t="shared" si="2"/>
        <v>0</v>
      </c>
      <c r="AR76" s="552">
        <f t="shared" si="3"/>
        <v>0</v>
      </c>
    </row>
    <row r="77" spans="1:44" outlineLevel="1" x14ac:dyDescent="0.25">
      <c r="A77" s="544" t="s">
        <v>1674</v>
      </c>
      <c r="B77" s="545">
        <v>0</v>
      </c>
      <c r="C77" s="544" t="s">
        <v>1674</v>
      </c>
      <c r="D77" s="544" t="s">
        <v>2723</v>
      </c>
      <c r="E77" s="542" t="s">
        <v>2686</v>
      </c>
      <c r="G77" s="546"/>
      <c r="H77" s="546">
        <v>942.48</v>
      </c>
      <c r="I77" s="546"/>
      <c r="J77" s="542" t="s">
        <v>806</v>
      </c>
      <c r="K77" s="547">
        <v>1200</v>
      </c>
      <c r="L77" s="542" t="s">
        <v>806</v>
      </c>
      <c r="M77" s="548"/>
      <c r="N77" s="549"/>
      <c r="O77" s="544" t="s">
        <v>1674</v>
      </c>
      <c r="P77" s="544" t="s">
        <v>1674</v>
      </c>
      <c r="Q77" s="544" t="s">
        <v>2687</v>
      </c>
      <c r="R77" s="544" t="s">
        <v>1674</v>
      </c>
      <c r="S77" s="544" t="s">
        <v>1674</v>
      </c>
      <c r="T77" s="550"/>
      <c r="U77" s="544" t="s">
        <v>2688</v>
      </c>
      <c r="V77" s="547">
        <v>1490</v>
      </c>
      <c r="W77" s="548"/>
      <c r="Y77" s="544" t="s">
        <v>1674</v>
      </c>
      <c r="AA77" s="544" t="s">
        <v>1674</v>
      </c>
      <c r="AE77" s="551"/>
      <c r="AF77" s="544" t="s">
        <v>1674</v>
      </c>
      <c r="AG77" s="544" t="s">
        <v>1674</v>
      </c>
      <c r="AH77" s="544" t="s">
        <v>1674</v>
      </c>
      <c r="AI77" s="544" t="s">
        <v>1674</v>
      </c>
      <c r="AJ77" s="544" t="s">
        <v>1674</v>
      </c>
      <c r="AK77" s="544" t="s">
        <v>1674</v>
      </c>
      <c r="AL77" s="544" t="s">
        <v>1674</v>
      </c>
      <c r="AM77" s="544" t="s">
        <v>1674</v>
      </c>
      <c r="AN77" s="544" t="s">
        <v>1674</v>
      </c>
      <c r="AP77" s="542">
        <f t="shared" si="2"/>
        <v>0</v>
      </c>
      <c r="AR77" s="552">
        <f t="shared" si="3"/>
        <v>0</v>
      </c>
    </row>
    <row r="78" spans="1:44" outlineLevel="1" x14ac:dyDescent="0.25">
      <c r="A78" s="544" t="s">
        <v>1674</v>
      </c>
      <c r="B78" s="545">
        <v>0</v>
      </c>
      <c r="C78" s="544" t="s">
        <v>1674</v>
      </c>
      <c r="D78" s="544" t="s">
        <v>2723</v>
      </c>
      <c r="E78" s="542" t="s">
        <v>2686</v>
      </c>
      <c r="G78" s="546"/>
      <c r="H78" s="546">
        <v>9.52</v>
      </c>
      <c r="I78" s="546"/>
      <c r="J78" s="542" t="s">
        <v>806</v>
      </c>
      <c r="K78" s="547">
        <v>8736</v>
      </c>
      <c r="L78" s="542" t="s">
        <v>806</v>
      </c>
      <c r="M78" s="548"/>
      <c r="N78" s="549"/>
      <c r="O78" s="544" t="s">
        <v>1674</v>
      </c>
      <c r="P78" s="544" t="s">
        <v>1674</v>
      </c>
      <c r="Q78" s="544" t="s">
        <v>2687</v>
      </c>
      <c r="R78" s="544" t="s">
        <v>1674</v>
      </c>
      <c r="S78" s="544" t="s">
        <v>1674</v>
      </c>
      <c r="T78" s="550">
        <v>19</v>
      </c>
      <c r="U78" s="544" t="s">
        <v>2688</v>
      </c>
      <c r="V78" s="547">
        <v>1490</v>
      </c>
      <c r="W78" s="548"/>
      <c r="Y78" s="544" t="s">
        <v>1674</v>
      </c>
      <c r="AA78" s="544" t="s">
        <v>1674</v>
      </c>
      <c r="AE78" s="551"/>
      <c r="AF78" s="544" t="s">
        <v>1674</v>
      </c>
      <c r="AG78" s="544" t="s">
        <v>1674</v>
      </c>
      <c r="AH78" s="544" t="s">
        <v>1674</v>
      </c>
      <c r="AI78" s="544" t="s">
        <v>1674</v>
      </c>
      <c r="AJ78" s="544" t="s">
        <v>1674</v>
      </c>
      <c r="AK78" s="544" t="s">
        <v>1674</v>
      </c>
      <c r="AL78" s="544" t="s">
        <v>1674</v>
      </c>
      <c r="AM78" s="544" t="s">
        <v>1674</v>
      </c>
      <c r="AN78" s="544" t="s">
        <v>1674</v>
      </c>
      <c r="AP78" s="542">
        <f t="shared" si="2"/>
        <v>0</v>
      </c>
      <c r="AR78" s="552">
        <f t="shared" si="3"/>
        <v>0</v>
      </c>
    </row>
    <row r="79" spans="1:44" outlineLevel="1" x14ac:dyDescent="0.25">
      <c r="A79" s="544" t="s">
        <v>1674</v>
      </c>
      <c r="B79" s="545">
        <v>0</v>
      </c>
      <c r="C79" s="544" t="s">
        <v>1674</v>
      </c>
      <c r="D79" s="544" t="s">
        <v>2723</v>
      </c>
      <c r="E79" s="542" t="s">
        <v>2689</v>
      </c>
      <c r="G79" s="546"/>
      <c r="H79" s="546">
        <v>942.48</v>
      </c>
      <c r="I79" s="546"/>
      <c r="J79" s="542" t="s">
        <v>806</v>
      </c>
      <c r="K79" s="547">
        <v>1200</v>
      </c>
      <c r="L79" s="542" t="s">
        <v>806</v>
      </c>
      <c r="M79" s="548"/>
      <c r="N79" s="549"/>
      <c r="O79" s="544" t="s">
        <v>1674</v>
      </c>
      <c r="P79" s="544" t="s">
        <v>1674</v>
      </c>
      <c r="Q79" s="544" t="s">
        <v>2690</v>
      </c>
      <c r="R79" s="544" t="s">
        <v>1674</v>
      </c>
      <c r="S79" s="544" t="s">
        <v>1674</v>
      </c>
      <c r="T79" s="550"/>
      <c r="U79" s="544" t="s">
        <v>2691</v>
      </c>
      <c r="V79" s="547">
        <v>1707</v>
      </c>
      <c r="W79" s="548"/>
      <c r="Y79" s="544" t="s">
        <v>1674</v>
      </c>
      <c r="AA79" s="544" t="s">
        <v>1674</v>
      </c>
      <c r="AE79" s="551"/>
      <c r="AF79" s="544" t="s">
        <v>1674</v>
      </c>
      <c r="AG79" s="544" t="s">
        <v>1674</v>
      </c>
      <c r="AH79" s="544" t="s">
        <v>1674</v>
      </c>
      <c r="AI79" s="544" t="s">
        <v>1674</v>
      </c>
      <c r="AJ79" s="544" t="s">
        <v>1674</v>
      </c>
      <c r="AK79" s="544" t="s">
        <v>1674</v>
      </c>
      <c r="AL79" s="544" t="s">
        <v>1674</v>
      </c>
      <c r="AM79" s="544" t="s">
        <v>1674</v>
      </c>
      <c r="AN79" s="544" t="s">
        <v>1674</v>
      </c>
      <c r="AP79" s="542">
        <f t="shared" si="2"/>
        <v>0</v>
      </c>
      <c r="AR79" s="552">
        <f t="shared" si="3"/>
        <v>0</v>
      </c>
    </row>
    <row r="80" spans="1:44" outlineLevel="1" x14ac:dyDescent="0.25">
      <c r="A80" s="544" t="s">
        <v>1674</v>
      </c>
      <c r="B80" s="545">
        <v>0</v>
      </c>
      <c r="C80" s="544" t="s">
        <v>1674</v>
      </c>
      <c r="D80" s="544" t="s">
        <v>2723</v>
      </c>
      <c r="E80" s="542" t="s">
        <v>2689</v>
      </c>
      <c r="G80" s="546"/>
      <c r="H80" s="546">
        <v>9.52</v>
      </c>
      <c r="I80" s="546"/>
      <c r="J80" s="542" t="s">
        <v>806</v>
      </c>
      <c r="K80" s="547">
        <v>8736</v>
      </c>
      <c r="L80" s="542" t="s">
        <v>806</v>
      </c>
      <c r="M80" s="548"/>
      <c r="N80" s="549"/>
      <c r="O80" s="544" t="s">
        <v>1674</v>
      </c>
      <c r="P80" s="544" t="s">
        <v>1674</v>
      </c>
      <c r="Q80" s="544" t="s">
        <v>2690</v>
      </c>
      <c r="R80" s="544" t="s">
        <v>1674</v>
      </c>
      <c r="S80" s="544" t="s">
        <v>1674</v>
      </c>
      <c r="T80" s="550">
        <v>19</v>
      </c>
      <c r="U80" s="544" t="s">
        <v>2691</v>
      </c>
      <c r="V80" s="547">
        <v>1708</v>
      </c>
      <c r="W80" s="548"/>
      <c r="Y80" s="544" t="s">
        <v>1674</v>
      </c>
      <c r="AA80" s="544" t="s">
        <v>1674</v>
      </c>
      <c r="AE80" s="551"/>
      <c r="AF80" s="544" t="s">
        <v>1674</v>
      </c>
      <c r="AG80" s="544" t="s">
        <v>1674</v>
      </c>
      <c r="AH80" s="544" t="s">
        <v>1674</v>
      </c>
      <c r="AI80" s="544" t="s">
        <v>1674</v>
      </c>
      <c r="AJ80" s="544" t="s">
        <v>1674</v>
      </c>
      <c r="AK80" s="544" t="s">
        <v>1674</v>
      </c>
      <c r="AL80" s="544" t="s">
        <v>1674</v>
      </c>
      <c r="AM80" s="544" t="s">
        <v>1674</v>
      </c>
      <c r="AN80" s="544" t="s">
        <v>1674</v>
      </c>
      <c r="AP80" s="542">
        <f t="shared" si="2"/>
        <v>0</v>
      </c>
      <c r="AR80" s="552">
        <f t="shared" si="3"/>
        <v>0</v>
      </c>
    </row>
    <row r="81" spans="1:44" outlineLevel="1" x14ac:dyDescent="0.25">
      <c r="A81" s="544" t="s">
        <v>1674</v>
      </c>
      <c r="B81" s="545">
        <v>0</v>
      </c>
      <c r="C81" s="544" t="s">
        <v>1674</v>
      </c>
      <c r="D81" s="544" t="s">
        <v>2723</v>
      </c>
      <c r="E81" s="542" t="s">
        <v>2692</v>
      </c>
      <c r="G81" s="546"/>
      <c r="H81" s="546">
        <v>942.48</v>
      </c>
      <c r="I81" s="546"/>
      <c r="J81" s="542" t="s">
        <v>806</v>
      </c>
      <c r="K81" s="547">
        <v>1200</v>
      </c>
      <c r="L81" s="542" t="s">
        <v>806</v>
      </c>
      <c r="M81" s="548"/>
      <c r="N81" s="549"/>
      <c r="O81" s="544" t="s">
        <v>1674</v>
      </c>
      <c r="P81" s="544" t="s">
        <v>1674</v>
      </c>
      <c r="Q81" s="544" t="s">
        <v>2693</v>
      </c>
      <c r="R81" s="544" t="s">
        <v>1674</v>
      </c>
      <c r="S81" s="544" t="s">
        <v>1674</v>
      </c>
      <c r="T81" s="550"/>
      <c r="U81" s="544" t="s">
        <v>2694</v>
      </c>
      <c r="V81" s="547">
        <v>1831</v>
      </c>
      <c r="W81" s="548"/>
      <c r="Y81" s="544" t="s">
        <v>1674</v>
      </c>
      <c r="AA81" s="544" t="s">
        <v>1674</v>
      </c>
      <c r="AE81" s="551"/>
      <c r="AF81" s="544" t="s">
        <v>1674</v>
      </c>
      <c r="AG81" s="544" t="s">
        <v>1674</v>
      </c>
      <c r="AH81" s="544" t="s">
        <v>1674</v>
      </c>
      <c r="AI81" s="544" t="s">
        <v>1674</v>
      </c>
      <c r="AJ81" s="544" t="s">
        <v>1674</v>
      </c>
      <c r="AK81" s="544" t="s">
        <v>1674</v>
      </c>
      <c r="AL81" s="544" t="s">
        <v>1674</v>
      </c>
      <c r="AM81" s="544" t="s">
        <v>1674</v>
      </c>
      <c r="AN81" s="544" t="s">
        <v>1674</v>
      </c>
      <c r="AP81" s="542">
        <f t="shared" si="2"/>
        <v>0</v>
      </c>
      <c r="AR81" s="552">
        <f t="shared" si="3"/>
        <v>0</v>
      </c>
    </row>
    <row r="82" spans="1:44" outlineLevel="1" x14ac:dyDescent="0.25">
      <c r="A82" s="544" t="s">
        <v>1674</v>
      </c>
      <c r="B82" s="545">
        <v>0</v>
      </c>
      <c r="C82" s="544" t="s">
        <v>1674</v>
      </c>
      <c r="D82" s="544" t="s">
        <v>2723</v>
      </c>
      <c r="E82" s="542" t="s">
        <v>2692</v>
      </c>
      <c r="G82" s="546"/>
      <c r="H82" s="546">
        <v>9.52</v>
      </c>
      <c r="I82" s="546"/>
      <c r="J82" s="542" t="s">
        <v>806</v>
      </c>
      <c r="K82" s="547">
        <v>8736</v>
      </c>
      <c r="L82" s="542" t="s">
        <v>806</v>
      </c>
      <c r="M82" s="548"/>
      <c r="N82" s="549"/>
      <c r="O82" s="544" t="s">
        <v>1674</v>
      </c>
      <c r="P82" s="544" t="s">
        <v>1674</v>
      </c>
      <c r="Q82" s="544" t="s">
        <v>2693</v>
      </c>
      <c r="R82" s="544" t="s">
        <v>1674</v>
      </c>
      <c r="S82" s="544" t="s">
        <v>1674</v>
      </c>
      <c r="T82" s="550">
        <v>19</v>
      </c>
      <c r="U82" s="544" t="s">
        <v>2694</v>
      </c>
      <c r="V82" s="547">
        <v>1832</v>
      </c>
      <c r="W82" s="548"/>
      <c r="Y82" s="544" t="s">
        <v>1674</v>
      </c>
      <c r="AA82" s="544" t="s">
        <v>1674</v>
      </c>
      <c r="AE82" s="551"/>
      <c r="AF82" s="544" t="s">
        <v>1674</v>
      </c>
      <c r="AG82" s="544" t="s">
        <v>1674</v>
      </c>
      <c r="AH82" s="544" t="s">
        <v>1674</v>
      </c>
      <c r="AI82" s="544" t="s">
        <v>1674</v>
      </c>
      <c r="AJ82" s="544" t="s">
        <v>1674</v>
      </c>
      <c r="AK82" s="544" t="s">
        <v>1674</v>
      </c>
      <c r="AL82" s="544" t="s">
        <v>1674</v>
      </c>
      <c r="AM82" s="544" t="s">
        <v>1674</v>
      </c>
      <c r="AN82" s="544" t="s">
        <v>1674</v>
      </c>
      <c r="AP82" s="542">
        <f t="shared" si="2"/>
        <v>0</v>
      </c>
      <c r="AR82" s="552">
        <f t="shared" si="3"/>
        <v>0</v>
      </c>
    </row>
    <row r="83" spans="1:44" outlineLevel="1" x14ac:dyDescent="0.25">
      <c r="A83" s="544" t="s">
        <v>1674</v>
      </c>
      <c r="B83" s="545">
        <v>0</v>
      </c>
      <c r="C83" s="544" t="s">
        <v>1674</v>
      </c>
      <c r="D83" s="544" t="s">
        <v>2723</v>
      </c>
      <c r="E83" s="542" t="s">
        <v>2695</v>
      </c>
      <c r="G83" s="546"/>
      <c r="H83" s="546">
        <v>942.48</v>
      </c>
      <c r="I83" s="546"/>
      <c r="J83" s="542" t="s">
        <v>806</v>
      </c>
      <c r="K83" s="547">
        <v>1200</v>
      </c>
      <c r="L83" s="542" t="s">
        <v>806</v>
      </c>
      <c r="M83" s="548"/>
      <c r="N83" s="549"/>
      <c r="O83" s="544" t="s">
        <v>1674</v>
      </c>
      <c r="P83" s="544" t="s">
        <v>1674</v>
      </c>
      <c r="Q83" s="544" t="s">
        <v>2696</v>
      </c>
      <c r="R83" s="544" t="s">
        <v>1674</v>
      </c>
      <c r="S83" s="544" t="s">
        <v>1674</v>
      </c>
      <c r="T83" s="550"/>
      <c r="U83" s="544" t="s">
        <v>2697</v>
      </c>
      <c r="V83" s="547">
        <v>1618</v>
      </c>
      <c r="W83" s="548"/>
      <c r="Y83" s="544" t="s">
        <v>1674</v>
      </c>
      <c r="AA83" s="544" t="s">
        <v>1674</v>
      </c>
      <c r="AE83" s="551"/>
      <c r="AF83" s="544" t="s">
        <v>1674</v>
      </c>
      <c r="AG83" s="544" t="s">
        <v>1674</v>
      </c>
      <c r="AH83" s="544" t="s">
        <v>1674</v>
      </c>
      <c r="AI83" s="544" t="s">
        <v>1674</v>
      </c>
      <c r="AJ83" s="544" t="s">
        <v>1674</v>
      </c>
      <c r="AK83" s="544" t="s">
        <v>1674</v>
      </c>
      <c r="AL83" s="544" t="s">
        <v>1674</v>
      </c>
      <c r="AM83" s="544" t="s">
        <v>1674</v>
      </c>
      <c r="AN83" s="544" t="s">
        <v>1674</v>
      </c>
      <c r="AP83" s="542">
        <f t="shared" si="2"/>
        <v>0</v>
      </c>
      <c r="AR83" s="552">
        <f t="shared" si="3"/>
        <v>0</v>
      </c>
    </row>
    <row r="84" spans="1:44" outlineLevel="1" x14ac:dyDescent="0.25">
      <c r="A84" s="544" t="s">
        <v>1674</v>
      </c>
      <c r="B84" s="545">
        <v>0</v>
      </c>
      <c r="C84" s="544" t="s">
        <v>1674</v>
      </c>
      <c r="D84" s="544" t="s">
        <v>2723</v>
      </c>
      <c r="E84" s="542" t="s">
        <v>2695</v>
      </c>
      <c r="G84" s="546"/>
      <c r="H84" s="546">
        <v>9.52</v>
      </c>
      <c r="I84" s="546"/>
      <c r="J84" s="542" t="s">
        <v>806</v>
      </c>
      <c r="K84" s="547">
        <v>8736</v>
      </c>
      <c r="L84" s="542" t="s">
        <v>806</v>
      </c>
      <c r="M84" s="548"/>
      <c r="N84" s="549"/>
      <c r="O84" s="544" t="s">
        <v>1674</v>
      </c>
      <c r="P84" s="544" t="s">
        <v>1674</v>
      </c>
      <c r="Q84" s="544" t="s">
        <v>2696</v>
      </c>
      <c r="R84" s="544" t="s">
        <v>1674</v>
      </c>
      <c r="S84" s="544" t="s">
        <v>1674</v>
      </c>
      <c r="T84" s="550">
        <v>19</v>
      </c>
      <c r="U84" s="544" t="s">
        <v>2697</v>
      </c>
      <c r="V84" s="547">
        <v>1619</v>
      </c>
      <c r="W84" s="548"/>
      <c r="Y84" s="544" t="s">
        <v>1674</v>
      </c>
      <c r="AA84" s="544" t="s">
        <v>1674</v>
      </c>
      <c r="AE84" s="551"/>
      <c r="AF84" s="544" t="s">
        <v>1674</v>
      </c>
      <c r="AG84" s="544" t="s">
        <v>1674</v>
      </c>
      <c r="AH84" s="544" t="s">
        <v>1674</v>
      </c>
      <c r="AI84" s="544" t="s">
        <v>1674</v>
      </c>
      <c r="AJ84" s="544" t="s">
        <v>1674</v>
      </c>
      <c r="AK84" s="544" t="s">
        <v>1674</v>
      </c>
      <c r="AL84" s="544" t="s">
        <v>1674</v>
      </c>
      <c r="AM84" s="544" t="s">
        <v>1674</v>
      </c>
      <c r="AN84" s="544" t="s">
        <v>1674</v>
      </c>
      <c r="AP84" s="542">
        <f t="shared" si="2"/>
        <v>0</v>
      </c>
      <c r="AR84" s="552">
        <f t="shared" si="3"/>
        <v>0</v>
      </c>
    </row>
    <row r="85" spans="1:44" outlineLevel="1" x14ac:dyDescent="0.25">
      <c r="A85" s="544" t="s">
        <v>1674</v>
      </c>
      <c r="B85" s="545">
        <v>0</v>
      </c>
      <c r="C85" s="544" t="s">
        <v>1674</v>
      </c>
      <c r="D85" s="544" t="s">
        <v>2723</v>
      </c>
      <c r="E85" s="542" t="s">
        <v>2698</v>
      </c>
      <c r="G85" s="546"/>
      <c r="H85" s="546">
        <v>942.48</v>
      </c>
      <c r="I85" s="546"/>
      <c r="J85" s="542" t="s">
        <v>806</v>
      </c>
      <c r="K85" s="547">
        <v>1200</v>
      </c>
      <c r="L85" s="542" t="s">
        <v>806</v>
      </c>
      <c r="M85" s="548"/>
      <c r="N85" s="549"/>
      <c r="O85" s="544" t="s">
        <v>1674</v>
      </c>
      <c r="P85" s="544" t="s">
        <v>1674</v>
      </c>
      <c r="Q85" s="544" t="s">
        <v>2699</v>
      </c>
      <c r="R85" s="544" t="s">
        <v>1674</v>
      </c>
      <c r="S85" s="544" t="s">
        <v>1674</v>
      </c>
      <c r="T85" s="550"/>
      <c r="U85" s="544" t="s">
        <v>2700</v>
      </c>
      <c r="V85" s="547">
        <v>1596</v>
      </c>
      <c r="W85" s="548"/>
      <c r="Y85" s="544" t="s">
        <v>1674</v>
      </c>
      <c r="AA85" s="544" t="s">
        <v>1674</v>
      </c>
      <c r="AE85" s="551"/>
      <c r="AF85" s="544" t="s">
        <v>1674</v>
      </c>
      <c r="AG85" s="544" t="s">
        <v>1674</v>
      </c>
      <c r="AH85" s="544" t="s">
        <v>1674</v>
      </c>
      <c r="AI85" s="544" t="s">
        <v>1674</v>
      </c>
      <c r="AJ85" s="544" t="s">
        <v>1674</v>
      </c>
      <c r="AK85" s="544" t="s">
        <v>1674</v>
      </c>
      <c r="AL85" s="544" t="s">
        <v>1674</v>
      </c>
      <c r="AM85" s="544" t="s">
        <v>1674</v>
      </c>
      <c r="AN85" s="544" t="s">
        <v>1674</v>
      </c>
      <c r="AP85" s="542">
        <f t="shared" si="2"/>
        <v>0</v>
      </c>
      <c r="AR85" s="552">
        <f t="shared" si="3"/>
        <v>0</v>
      </c>
    </row>
    <row r="86" spans="1:44" outlineLevel="1" x14ac:dyDescent="0.25">
      <c r="A86" s="544" t="s">
        <v>1674</v>
      </c>
      <c r="B86" s="545">
        <v>0</v>
      </c>
      <c r="C86" s="544" t="s">
        <v>1674</v>
      </c>
      <c r="D86" s="544" t="s">
        <v>2723</v>
      </c>
      <c r="E86" s="542" t="s">
        <v>2698</v>
      </c>
      <c r="G86" s="546"/>
      <c r="H86" s="546">
        <v>9.52</v>
      </c>
      <c r="I86" s="546"/>
      <c r="J86" s="542" t="s">
        <v>806</v>
      </c>
      <c r="K86" s="547">
        <v>8736</v>
      </c>
      <c r="L86" s="542" t="s">
        <v>806</v>
      </c>
      <c r="M86" s="548"/>
      <c r="N86" s="549"/>
      <c r="O86" s="544" t="s">
        <v>1674</v>
      </c>
      <c r="P86" s="544" t="s">
        <v>1674</v>
      </c>
      <c r="Q86" s="544" t="s">
        <v>2699</v>
      </c>
      <c r="R86" s="544" t="s">
        <v>1674</v>
      </c>
      <c r="S86" s="544" t="s">
        <v>1674</v>
      </c>
      <c r="T86" s="550">
        <v>19</v>
      </c>
      <c r="U86" s="544" t="s">
        <v>2700</v>
      </c>
      <c r="V86" s="547">
        <v>1597</v>
      </c>
      <c r="W86" s="548"/>
      <c r="Y86" s="544" t="s">
        <v>1674</v>
      </c>
      <c r="AA86" s="544" t="s">
        <v>1674</v>
      </c>
      <c r="AE86" s="551"/>
      <c r="AF86" s="544" t="s">
        <v>1674</v>
      </c>
      <c r="AG86" s="544" t="s">
        <v>1674</v>
      </c>
      <c r="AH86" s="544" t="s">
        <v>1674</v>
      </c>
      <c r="AI86" s="544" t="s">
        <v>1674</v>
      </c>
      <c r="AJ86" s="544" t="s">
        <v>1674</v>
      </c>
      <c r="AK86" s="544" t="s">
        <v>1674</v>
      </c>
      <c r="AL86" s="544" t="s">
        <v>1674</v>
      </c>
      <c r="AM86" s="544" t="s">
        <v>1674</v>
      </c>
      <c r="AN86" s="544" t="s">
        <v>1674</v>
      </c>
      <c r="AP86" s="542">
        <f t="shared" si="2"/>
        <v>0</v>
      </c>
      <c r="AR86" s="552">
        <f t="shared" si="3"/>
        <v>0</v>
      </c>
    </row>
    <row r="87" spans="1:44" outlineLevel="1" x14ac:dyDescent="0.25">
      <c r="A87" s="544" t="s">
        <v>1674</v>
      </c>
      <c r="B87" s="545">
        <v>0</v>
      </c>
      <c r="C87" s="544" t="s">
        <v>1674</v>
      </c>
      <c r="D87" s="544" t="s">
        <v>2723</v>
      </c>
      <c r="E87" s="542" t="s">
        <v>3296</v>
      </c>
      <c r="G87" s="546"/>
      <c r="H87" s="546">
        <v>942.48</v>
      </c>
      <c r="I87" s="546"/>
      <c r="J87" s="542" t="s">
        <v>806</v>
      </c>
      <c r="K87" s="547">
        <v>1200</v>
      </c>
      <c r="L87" s="542" t="s">
        <v>806</v>
      </c>
      <c r="M87" s="548"/>
      <c r="N87" s="549"/>
      <c r="O87" s="544" t="s">
        <v>1674</v>
      </c>
      <c r="P87" s="544" t="s">
        <v>1674</v>
      </c>
      <c r="Q87" s="544" t="s">
        <v>3302</v>
      </c>
      <c r="R87" s="544" t="s">
        <v>1674</v>
      </c>
      <c r="S87" s="544" t="s">
        <v>1674</v>
      </c>
      <c r="T87" s="550"/>
      <c r="U87" s="544" t="s">
        <v>3303</v>
      </c>
      <c r="V87" s="547">
        <v>1671</v>
      </c>
      <c r="W87" s="548"/>
      <c r="Y87" s="544" t="s">
        <v>1674</v>
      </c>
      <c r="AA87" s="544" t="s">
        <v>1674</v>
      </c>
      <c r="AE87" s="551"/>
      <c r="AF87" s="544" t="s">
        <v>1674</v>
      </c>
      <c r="AG87" s="544" t="s">
        <v>1674</v>
      </c>
      <c r="AH87" s="544" t="s">
        <v>1674</v>
      </c>
      <c r="AI87" s="544" t="s">
        <v>1674</v>
      </c>
      <c r="AJ87" s="544" t="s">
        <v>1674</v>
      </c>
      <c r="AK87" s="544" t="s">
        <v>1674</v>
      </c>
      <c r="AL87" s="544" t="s">
        <v>1674</v>
      </c>
      <c r="AM87" s="544" t="s">
        <v>1674</v>
      </c>
      <c r="AN87" s="544" t="s">
        <v>1674</v>
      </c>
      <c r="AP87" s="542">
        <f t="shared" si="2"/>
        <v>0</v>
      </c>
      <c r="AR87" s="552">
        <f t="shared" si="3"/>
        <v>0</v>
      </c>
    </row>
    <row r="88" spans="1:44" outlineLevel="1" x14ac:dyDescent="0.25">
      <c r="A88" s="544" t="s">
        <v>1674</v>
      </c>
      <c r="B88" s="545">
        <v>0</v>
      </c>
      <c r="C88" s="544" t="s">
        <v>1674</v>
      </c>
      <c r="D88" s="544" t="s">
        <v>2723</v>
      </c>
      <c r="E88" s="542" t="s">
        <v>3296</v>
      </c>
      <c r="G88" s="546"/>
      <c r="H88" s="546">
        <v>9.52</v>
      </c>
      <c r="I88" s="546"/>
      <c r="J88" s="542" t="s">
        <v>806</v>
      </c>
      <c r="K88" s="547">
        <v>8736</v>
      </c>
      <c r="L88" s="542" t="s">
        <v>806</v>
      </c>
      <c r="M88" s="548"/>
      <c r="N88" s="549"/>
      <c r="O88" s="544" t="s">
        <v>1674</v>
      </c>
      <c r="P88" s="544" t="s">
        <v>1674</v>
      </c>
      <c r="Q88" s="544" t="s">
        <v>3302</v>
      </c>
      <c r="R88" s="544" t="s">
        <v>1674</v>
      </c>
      <c r="S88" s="544" t="s">
        <v>1674</v>
      </c>
      <c r="T88" s="550">
        <v>19</v>
      </c>
      <c r="U88" s="544" t="s">
        <v>3303</v>
      </c>
      <c r="V88" s="547">
        <v>1672</v>
      </c>
      <c r="W88" s="548"/>
      <c r="Y88" s="544" t="s">
        <v>1674</v>
      </c>
      <c r="AA88" s="544" t="s">
        <v>1674</v>
      </c>
      <c r="AE88" s="551"/>
      <c r="AF88" s="544" t="s">
        <v>1674</v>
      </c>
      <c r="AG88" s="544" t="s">
        <v>1674</v>
      </c>
      <c r="AH88" s="544" t="s">
        <v>1674</v>
      </c>
      <c r="AI88" s="544" t="s">
        <v>1674</v>
      </c>
      <c r="AJ88" s="544" t="s">
        <v>1674</v>
      </c>
      <c r="AK88" s="544" t="s">
        <v>1674</v>
      </c>
      <c r="AL88" s="544" t="s">
        <v>1674</v>
      </c>
      <c r="AM88" s="544" t="s">
        <v>1674</v>
      </c>
      <c r="AN88" s="544" t="s">
        <v>1674</v>
      </c>
      <c r="AP88" s="542">
        <f t="shared" si="2"/>
        <v>0</v>
      </c>
      <c r="AR88" s="552">
        <f t="shared" si="3"/>
        <v>0</v>
      </c>
    </row>
    <row r="89" spans="1:44" outlineLevel="1" x14ac:dyDescent="0.25">
      <c r="A89" s="544" t="s">
        <v>1674</v>
      </c>
      <c r="B89" s="545">
        <v>0</v>
      </c>
      <c r="C89" s="544" t="s">
        <v>1674</v>
      </c>
      <c r="D89" s="544" t="s">
        <v>2723</v>
      </c>
      <c r="E89" s="542" t="s">
        <v>3304</v>
      </c>
      <c r="G89" s="546"/>
      <c r="H89" s="546">
        <v>942.48</v>
      </c>
      <c r="I89" s="546"/>
      <c r="J89" s="542" t="s">
        <v>806</v>
      </c>
      <c r="K89" s="547">
        <v>1200</v>
      </c>
      <c r="L89" s="542" t="s">
        <v>806</v>
      </c>
      <c r="M89" s="548"/>
      <c r="N89" s="549"/>
      <c r="O89" s="544" t="s">
        <v>1674</v>
      </c>
      <c r="P89" s="544" t="s">
        <v>1674</v>
      </c>
      <c r="Q89" s="544" t="s">
        <v>3305</v>
      </c>
      <c r="R89" s="544" t="s">
        <v>1674</v>
      </c>
      <c r="S89" s="544" t="s">
        <v>1674</v>
      </c>
      <c r="T89" s="550"/>
      <c r="U89" s="544" t="s">
        <v>3306</v>
      </c>
      <c r="V89" s="547">
        <v>1605</v>
      </c>
      <c r="W89" s="548"/>
      <c r="Y89" s="544" t="s">
        <v>1674</v>
      </c>
      <c r="AA89" s="544" t="s">
        <v>1674</v>
      </c>
      <c r="AE89" s="551"/>
      <c r="AF89" s="544" t="s">
        <v>1674</v>
      </c>
      <c r="AG89" s="544" t="s">
        <v>1674</v>
      </c>
      <c r="AH89" s="544" t="s">
        <v>1674</v>
      </c>
      <c r="AI89" s="544" t="s">
        <v>1674</v>
      </c>
      <c r="AJ89" s="544" t="s">
        <v>1674</v>
      </c>
      <c r="AK89" s="544" t="s">
        <v>1674</v>
      </c>
      <c r="AL89" s="544" t="s">
        <v>1674</v>
      </c>
      <c r="AM89" s="544" t="s">
        <v>1674</v>
      </c>
      <c r="AN89" s="544" t="s">
        <v>1674</v>
      </c>
      <c r="AP89" s="542">
        <f t="shared" si="2"/>
        <v>0</v>
      </c>
      <c r="AR89" s="552">
        <f t="shared" si="3"/>
        <v>0</v>
      </c>
    </row>
    <row r="90" spans="1:44" outlineLevel="1" x14ac:dyDescent="0.25">
      <c r="A90" s="544" t="s">
        <v>1674</v>
      </c>
      <c r="B90" s="545">
        <v>0</v>
      </c>
      <c r="C90" s="544" t="s">
        <v>1674</v>
      </c>
      <c r="D90" s="544" t="s">
        <v>2723</v>
      </c>
      <c r="E90" s="542" t="s">
        <v>3304</v>
      </c>
      <c r="G90" s="546"/>
      <c r="H90" s="546">
        <v>9.52</v>
      </c>
      <c r="I90" s="546"/>
      <c r="J90" s="542" t="s">
        <v>806</v>
      </c>
      <c r="K90" s="547">
        <v>8736</v>
      </c>
      <c r="L90" s="542" t="s">
        <v>806</v>
      </c>
      <c r="M90" s="548"/>
      <c r="N90" s="549"/>
      <c r="O90" s="544" t="s">
        <v>1674</v>
      </c>
      <c r="P90" s="544" t="s">
        <v>1674</v>
      </c>
      <c r="Q90" s="544" t="s">
        <v>3305</v>
      </c>
      <c r="R90" s="544" t="s">
        <v>1674</v>
      </c>
      <c r="S90" s="544" t="s">
        <v>1674</v>
      </c>
      <c r="T90" s="550">
        <v>19</v>
      </c>
      <c r="U90" s="544" t="s">
        <v>3306</v>
      </c>
      <c r="V90" s="547">
        <v>1606</v>
      </c>
      <c r="W90" s="548"/>
      <c r="Y90" s="544" t="s">
        <v>1674</v>
      </c>
      <c r="AA90" s="544" t="s">
        <v>1674</v>
      </c>
      <c r="AE90" s="551"/>
      <c r="AF90" s="544" t="s">
        <v>1674</v>
      </c>
      <c r="AG90" s="544" t="s">
        <v>1674</v>
      </c>
      <c r="AH90" s="544" t="s">
        <v>1674</v>
      </c>
      <c r="AI90" s="544" t="s">
        <v>1674</v>
      </c>
      <c r="AJ90" s="544" t="s">
        <v>1674</v>
      </c>
      <c r="AK90" s="544" t="s">
        <v>1674</v>
      </c>
      <c r="AL90" s="544" t="s">
        <v>1674</v>
      </c>
      <c r="AM90" s="544" t="s">
        <v>1674</v>
      </c>
      <c r="AN90" s="544" t="s">
        <v>1674</v>
      </c>
      <c r="AP90" s="542">
        <f t="shared" si="2"/>
        <v>0</v>
      </c>
      <c r="AR90" s="552">
        <f t="shared" si="3"/>
        <v>0</v>
      </c>
    </row>
    <row r="91" spans="1:44" outlineLevel="1" x14ac:dyDescent="0.25">
      <c r="A91" s="544" t="s">
        <v>1674</v>
      </c>
      <c r="B91" s="545">
        <v>0</v>
      </c>
      <c r="C91" s="544" t="s">
        <v>1674</v>
      </c>
      <c r="D91" s="544" t="s">
        <v>2723</v>
      </c>
      <c r="E91" s="542" t="s">
        <v>3307</v>
      </c>
      <c r="G91" s="546"/>
      <c r="H91" s="546">
        <v>942.48</v>
      </c>
      <c r="I91" s="546"/>
      <c r="J91" s="542" t="s">
        <v>806</v>
      </c>
      <c r="K91" s="547">
        <v>1200</v>
      </c>
      <c r="L91" s="542" t="s">
        <v>806</v>
      </c>
      <c r="M91" s="548"/>
      <c r="N91" s="549"/>
      <c r="O91" s="544" t="s">
        <v>1674</v>
      </c>
      <c r="P91" s="544" t="s">
        <v>1674</v>
      </c>
      <c r="Q91" s="544" t="s">
        <v>3308</v>
      </c>
      <c r="R91" s="544" t="s">
        <v>1674</v>
      </c>
      <c r="S91" s="544" t="s">
        <v>1674</v>
      </c>
      <c r="T91" s="550"/>
      <c r="U91" s="544" t="s">
        <v>3309</v>
      </c>
      <c r="V91" s="547">
        <v>1685</v>
      </c>
      <c r="W91" s="548"/>
      <c r="Y91" s="544" t="s">
        <v>1674</v>
      </c>
      <c r="AA91" s="544" t="s">
        <v>1674</v>
      </c>
      <c r="AE91" s="551"/>
      <c r="AF91" s="544" t="s">
        <v>1674</v>
      </c>
      <c r="AG91" s="544" t="s">
        <v>1674</v>
      </c>
      <c r="AH91" s="544" t="s">
        <v>1674</v>
      </c>
      <c r="AI91" s="544" t="s">
        <v>1674</v>
      </c>
      <c r="AJ91" s="544" t="s">
        <v>1674</v>
      </c>
      <c r="AK91" s="544" t="s">
        <v>1674</v>
      </c>
      <c r="AL91" s="544" t="s">
        <v>1674</v>
      </c>
      <c r="AM91" s="544" t="s">
        <v>1674</v>
      </c>
      <c r="AN91" s="544" t="s">
        <v>1674</v>
      </c>
      <c r="AP91" s="542">
        <f t="shared" si="2"/>
        <v>0</v>
      </c>
      <c r="AR91" s="552">
        <f t="shared" si="3"/>
        <v>0</v>
      </c>
    </row>
    <row r="92" spans="1:44" outlineLevel="1" x14ac:dyDescent="0.25">
      <c r="A92" s="544" t="s">
        <v>1674</v>
      </c>
      <c r="B92" s="545">
        <v>0</v>
      </c>
      <c r="C92" s="544" t="s">
        <v>1674</v>
      </c>
      <c r="D92" s="544" t="s">
        <v>2723</v>
      </c>
      <c r="E92" s="542" t="s">
        <v>3307</v>
      </c>
      <c r="G92" s="546"/>
      <c r="H92" s="546">
        <v>9.52</v>
      </c>
      <c r="I92" s="546"/>
      <c r="J92" s="542" t="s">
        <v>806</v>
      </c>
      <c r="K92" s="547">
        <v>8736</v>
      </c>
      <c r="L92" s="542" t="s">
        <v>806</v>
      </c>
      <c r="M92" s="548"/>
      <c r="N92" s="549"/>
      <c r="O92" s="544" t="s">
        <v>1674</v>
      </c>
      <c r="P92" s="544" t="s">
        <v>1674</v>
      </c>
      <c r="Q92" s="544" t="s">
        <v>3308</v>
      </c>
      <c r="R92" s="544" t="s">
        <v>1674</v>
      </c>
      <c r="S92" s="544" t="s">
        <v>1674</v>
      </c>
      <c r="T92" s="550">
        <v>19</v>
      </c>
      <c r="U92" s="544" t="s">
        <v>3309</v>
      </c>
      <c r="V92" s="547">
        <v>1686</v>
      </c>
      <c r="W92" s="548"/>
      <c r="Y92" s="544" t="s">
        <v>1674</v>
      </c>
      <c r="AA92" s="544" t="s">
        <v>1674</v>
      </c>
      <c r="AE92" s="551"/>
      <c r="AF92" s="544" t="s">
        <v>1674</v>
      </c>
      <c r="AG92" s="544" t="s">
        <v>1674</v>
      </c>
      <c r="AH92" s="544" t="s">
        <v>1674</v>
      </c>
      <c r="AI92" s="544" t="s">
        <v>1674</v>
      </c>
      <c r="AJ92" s="544" t="s">
        <v>1674</v>
      </c>
      <c r="AK92" s="544" t="s">
        <v>1674</v>
      </c>
      <c r="AL92" s="544" t="s">
        <v>1674</v>
      </c>
      <c r="AM92" s="544" t="s">
        <v>1674</v>
      </c>
      <c r="AN92" s="544" t="s">
        <v>1674</v>
      </c>
      <c r="AP92" s="542">
        <f t="shared" si="2"/>
        <v>0</v>
      </c>
      <c r="AR92" s="552">
        <f t="shared" si="3"/>
        <v>0</v>
      </c>
    </row>
    <row r="93" spans="1:44" outlineLevel="1" x14ac:dyDescent="0.25">
      <c r="A93" s="544" t="s">
        <v>1674</v>
      </c>
      <c r="B93" s="545">
        <v>0</v>
      </c>
      <c r="C93" s="544" t="s">
        <v>1674</v>
      </c>
      <c r="D93" s="544" t="s">
        <v>2723</v>
      </c>
      <c r="E93" s="542" t="s">
        <v>3310</v>
      </c>
      <c r="G93" s="546"/>
      <c r="H93" s="546">
        <v>952</v>
      </c>
      <c r="I93" s="546"/>
      <c r="J93" s="542" t="s">
        <v>806</v>
      </c>
      <c r="K93" s="547">
        <v>1200</v>
      </c>
      <c r="L93" s="542" t="s">
        <v>806</v>
      </c>
      <c r="M93" s="548"/>
      <c r="N93" s="549"/>
      <c r="O93" s="544" t="s">
        <v>1674</v>
      </c>
      <c r="P93" s="544" t="s">
        <v>1674</v>
      </c>
      <c r="Q93" s="544" t="s">
        <v>3311</v>
      </c>
      <c r="R93" s="544" t="s">
        <v>1674</v>
      </c>
      <c r="S93" s="544" t="s">
        <v>1674</v>
      </c>
      <c r="T93" s="550"/>
      <c r="U93" s="544" t="s">
        <v>3312</v>
      </c>
      <c r="V93" s="547">
        <v>1869</v>
      </c>
      <c r="W93" s="548"/>
      <c r="Y93" s="544" t="s">
        <v>1674</v>
      </c>
      <c r="AA93" s="544" t="s">
        <v>1674</v>
      </c>
      <c r="AE93" s="551"/>
      <c r="AF93" s="544" t="s">
        <v>1674</v>
      </c>
      <c r="AG93" s="544" t="s">
        <v>1674</v>
      </c>
      <c r="AH93" s="544" t="s">
        <v>1674</v>
      </c>
      <c r="AI93" s="544" t="s">
        <v>1674</v>
      </c>
      <c r="AJ93" s="544" t="s">
        <v>1674</v>
      </c>
      <c r="AK93" s="544" t="s">
        <v>1674</v>
      </c>
      <c r="AL93" s="544" t="s">
        <v>1674</v>
      </c>
      <c r="AM93" s="544" t="s">
        <v>1674</v>
      </c>
      <c r="AN93" s="544" t="s">
        <v>1674</v>
      </c>
      <c r="AP93" s="542">
        <f t="shared" si="2"/>
        <v>0</v>
      </c>
      <c r="AR93" s="552">
        <f t="shared" si="3"/>
        <v>0</v>
      </c>
    </row>
    <row r="94" spans="1:44" outlineLevel="1" x14ac:dyDescent="0.25">
      <c r="A94" s="544" t="s">
        <v>1674</v>
      </c>
      <c r="B94" s="545">
        <v>0</v>
      </c>
      <c r="C94" s="544" t="s">
        <v>1674</v>
      </c>
      <c r="D94" s="544" t="s">
        <v>2723</v>
      </c>
      <c r="E94" s="542" t="s">
        <v>3313</v>
      </c>
      <c r="G94" s="546"/>
      <c r="H94" s="546">
        <v>942.48</v>
      </c>
      <c r="I94" s="546"/>
      <c r="J94" s="542" t="s">
        <v>806</v>
      </c>
      <c r="K94" s="547">
        <v>1200</v>
      </c>
      <c r="L94" s="542" t="s">
        <v>806</v>
      </c>
      <c r="M94" s="548"/>
      <c r="N94" s="549"/>
      <c r="O94" s="544" t="s">
        <v>1674</v>
      </c>
      <c r="P94" s="544" t="s">
        <v>1674</v>
      </c>
      <c r="Q94" s="544" t="s">
        <v>3314</v>
      </c>
      <c r="R94" s="544" t="s">
        <v>1674</v>
      </c>
      <c r="S94" s="544" t="s">
        <v>1674</v>
      </c>
      <c r="T94" s="550"/>
      <c r="U94" s="544" t="s">
        <v>3315</v>
      </c>
      <c r="V94" s="547">
        <v>62</v>
      </c>
      <c r="W94" s="548"/>
      <c r="Y94" s="544" t="s">
        <v>1674</v>
      </c>
      <c r="AA94" s="544" t="s">
        <v>1674</v>
      </c>
      <c r="AE94" s="551"/>
      <c r="AF94" s="544" t="s">
        <v>1674</v>
      </c>
      <c r="AG94" s="544" t="s">
        <v>1674</v>
      </c>
      <c r="AH94" s="544" t="s">
        <v>1674</v>
      </c>
      <c r="AI94" s="544" t="s">
        <v>1674</v>
      </c>
      <c r="AJ94" s="544" t="s">
        <v>1674</v>
      </c>
      <c r="AK94" s="544" t="s">
        <v>1674</v>
      </c>
      <c r="AL94" s="544" t="s">
        <v>1674</v>
      </c>
      <c r="AM94" s="544" t="s">
        <v>1674</v>
      </c>
      <c r="AN94" s="544" t="s">
        <v>1674</v>
      </c>
      <c r="AP94" s="542">
        <f t="shared" si="2"/>
        <v>0</v>
      </c>
      <c r="AR94" s="552">
        <f t="shared" si="3"/>
        <v>0</v>
      </c>
    </row>
    <row r="95" spans="1:44" outlineLevel="1" x14ac:dyDescent="0.25">
      <c r="A95" s="544" t="s">
        <v>1674</v>
      </c>
      <c r="B95" s="545">
        <v>0</v>
      </c>
      <c r="C95" s="544" t="s">
        <v>1674</v>
      </c>
      <c r="D95" s="544" t="s">
        <v>2723</v>
      </c>
      <c r="E95" s="542" t="s">
        <v>3313</v>
      </c>
      <c r="G95" s="546"/>
      <c r="H95" s="546">
        <v>9.52</v>
      </c>
      <c r="I95" s="546"/>
      <c r="J95" s="542" t="s">
        <v>806</v>
      </c>
      <c r="K95" s="547">
        <v>8736</v>
      </c>
      <c r="L95" s="542" t="s">
        <v>806</v>
      </c>
      <c r="M95" s="548"/>
      <c r="N95" s="549"/>
      <c r="O95" s="544" t="s">
        <v>1674</v>
      </c>
      <c r="P95" s="544" t="s">
        <v>1674</v>
      </c>
      <c r="Q95" s="544" t="s">
        <v>3314</v>
      </c>
      <c r="R95" s="544" t="s">
        <v>1674</v>
      </c>
      <c r="S95" s="544" t="s">
        <v>1674</v>
      </c>
      <c r="T95" s="550">
        <v>19</v>
      </c>
      <c r="U95" s="544" t="s">
        <v>3315</v>
      </c>
      <c r="V95" s="547">
        <v>63</v>
      </c>
      <c r="W95" s="548"/>
      <c r="Y95" s="544" t="s">
        <v>1674</v>
      </c>
      <c r="AA95" s="544" t="s">
        <v>1674</v>
      </c>
      <c r="AE95" s="551"/>
      <c r="AF95" s="544" t="s">
        <v>1674</v>
      </c>
      <c r="AG95" s="544" t="s">
        <v>1674</v>
      </c>
      <c r="AH95" s="544" t="s">
        <v>1674</v>
      </c>
      <c r="AI95" s="544" t="s">
        <v>1674</v>
      </c>
      <c r="AJ95" s="544" t="s">
        <v>1674</v>
      </c>
      <c r="AK95" s="544" t="s">
        <v>1674</v>
      </c>
      <c r="AL95" s="544" t="s">
        <v>1674</v>
      </c>
      <c r="AM95" s="544" t="s">
        <v>1674</v>
      </c>
      <c r="AN95" s="544" t="s">
        <v>1674</v>
      </c>
      <c r="AP95" s="542">
        <f t="shared" si="2"/>
        <v>0</v>
      </c>
      <c r="AR95" s="552">
        <f t="shared" si="3"/>
        <v>0</v>
      </c>
    </row>
    <row r="96" spans="1:44" outlineLevel="1" x14ac:dyDescent="0.25">
      <c r="A96" s="544" t="s">
        <v>1674</v>
      </c>
      <c r="B96" s="545">
        <v>0</v>
      </c>
      <c r="C96" s="544" t="s">
        <v>1674</v>
      </c>
      <c r="D96" s="544" t="s">
        <v>2723</v>
      </c>
      <c r="E96" s="542" t="s">
        <v>3316</v>
      </c>
      <c r="G96" s="546"/>
      <c r="H96" s="546">
        <v>952</v>
      </c>
      <c r="I96" s="546"/>
      <c r="J96" s="542" t="s">
        <v>806</v>
      </c>
      <c r="K96" s="547">
        <v>1200</v>
      </c>
      <c r="L96" s="542" t="s">
        <v>806</v>
      </c>
      <c r="M96" s="548"/>
      <c r="N96" s="549"/>
      <c r="O96" s="544" t="s">
        <v>1674</v>
      </c>
      <c r="P96" s="544" t="s">
        <v>1674</v>
      </c>
      <c r="Q96" s="544" t="s">
        <v>3317</v>
      </c>
      <c r="R96" s="544" t="s">
        <v>1674</v>
      </c>
      <c r="S96" s="544" t="s">
        <v>1674</v>
      </c>
      <c r="T96" s="550"/>
      <c r="U96" s="544" t="s">
        <v>3315</v>
      </c>
      <c r="V96" s="547">
        <v>1656</v>
      </c>
      <c r="W96" s="548"/>
      <c r="Y96" s="544" t="s">
        <v>1674</v>
      </c>
      <c r="AA96" s="544" t="s">
        <v>1674</v>
      </c>
      <c r="AE96" s="551"/>
      <c r="AF96" s="544" t="s">
        <v>1674</v>
      </c>
      <c r="AG96" s="544" t="s">
        <v>1674</v>
      </c>
      <c r="AH96" s="544" t="s">
        <v>1674</v>
      </c>
      <c r="AI96" s="544" t="s">
        <v>1674</v>
      </c>
      <c r="AJ96" s="544" t="s">
        <v>1674</v>
      </c>
      <c r="AK96" s="544" t="s">
        <v>1674</v>
      </c>
      <c r="AL96" s="544" t="s">
        <v>1674</v>
      </c>
      <c r="AM96" s="544" t="s">
        <v>1674</v>
      </c>
      <c r="AN96" s="544" t="s">
        <v>1674</v>
      </c>
      <c r="AP96" s="542">
        <f t="shared" si="2"/>
        <v>0</v>
      </c>
      <c r="AR96" s="552">
        <f t="shared" si="3"/>
        <v>0</v>
      </c>
    </row>
    <row r="97" spans="1:44" outlineLevel="1" x14ac:dyDescent="0.25">
      <c r="A97" s="544" t="s">
        <v>1674</v>
      </c>
      <c r="B97" s="545">
        <v>0</v>
      </c>
      <c r="C97" s="544" t="s">
        <v>1674</v>
      </c>
      <c r="D97" s="544" t="s">
        <v>2723</v>
      </c>
      <c r="E97" s="542" t="s">
        <v>3318</v>
      </c>
      <c r="G97" s="546"/>
      <c r="H97" s="546">
        <v>952</v>
      </c>
      <c r="I97" s="546"/>
      <c r="J97" s="542" t="s">
        <v>806</v>
      </c>
      <c r="K97" s="547">
        <v>1200</v>
      </c>
      <c r="L97" s="542" t="s">
        <v>806</v>
      </c>
      <c r="M97" s="548"/>
      <c r="N97" s="549"/>
      <c r="O97" s="544" t="s">
        <v>1674</v>
      </c>
      <c r="P97" s="544" t="s">
        <v>1674</v>
      </c>
      <c r="Q97" s="544" t="s">
        <v>3319</v>
      </c>
      <c r="R97" s="544" t="s">
        <v>1674</v>
      </c>
      <c r="S97" s="544" t="s">
        <v>1674</v>
      </c>
      <c r="T97" s="550"/>
      <c r="U97" s="544" t="s">
        <v>3320</v>
      </c>
      <c r="V97" s="547">
        <v>1757</v>
      </c>
      <c r="W97" s="548"/>
      <c r="Y97" s="544" t="s">
        <v>1674</v>
      </c>
      <c r="AA97" s="544" t="s">
        <v>1674</v>
      </c>
      <c r="AE97" s="551"/>
      <c r="AF97" s="544" t="s">
        <v>1674</v>
      </c>
      <c r="AG97" s="544" t="s">
        <v>1674</v>
      </c>
      <c r="AH97" s="544" t="s">
        <v>1674</v>
      </c>
      <c r="AI97" s="544" t="s">
        <v>1674</v>
      </c>
      <c r="AJ97" s="544" t="s">
        <v>1674</v>
      </c>
      <c r="AK97" s="544" t="s">
        <v>1674</v>
      </c>
      <c r="AL97" s="544" t="s">
        <v>1674</v>
      </c>
      <c r="AM97" s="544" t="s">
        <v>1674</v>
      </c>
      <c r="AN97" s="544" t="s">
        <v>1674</v>
      </c>
      <c r="AP97" s="542">
        <f t="shared" si="2"/>
        <v>0</v>
      </c>
      <c r="AR97" s="552">
        <f t="shared" si="3"/>
        <v>0</v>
      </c>
    </row>
    <row r="98" spans="1:44" outlineLevel="1" x14ac:dyDescent="0.25">
      <c r="A98" s="544" t="s">
        <v>1674</v>
      </c>
      <c r="B98" s="545">
        <v>0</v>
      </c>
      <c r="C98" s="544" t="s">
        <v>1674</v>
      </c>
      <c r="D98" s="544" t="s">
        <v>2723</v>
      </c>
      <c r="E98" s="542" t="s">
        <v>3321</v>
      </c>
      <c r="G98" s="546"/>
      <c r="H98" s="546">
        <v>952</v>
      </c>
      <c r="I98" s="546">
        <v>1190</v>
      </c>
      <c r="J98" s="542" t="s">
        <v>2701</v>
      </c>
      <c r="K98" s="547">
        <v>1200</v>
      </c>
      <c r="L98" s="542" t="s">
        <v>806</v>
      </c>
      <c r="M98" s="548"/>
      <c r="N98" s="549"/>
      <c r="O98" s="544" t="s">
        <v>1674</v>
      </c>
      <c r="P98" s="544" t="s">
        <v>1674</v>
      </c>
      <c r="Q98" s="544" t="s">
        <v>3322</v>
      </c>
      <c r="R98" s="544" t="s">
        <v>1674</v>
      </c>
      <c r="S98" s="544" t="s">
        <v>1674</v>
      </c>
      <c r="T98" s="550"/>
      <c r="U98" s="544" t="s">
        <v>3323</v>
      </c>
      <c r="V98" s="547">
        <v>1473</v>
      </c>
      <c r="W98" s="548"/>
      <c r="Y98" s="544" t="s">
        <v>1674</v>
      </c>
      <c r="AA98" s="544" t="s">
        <v>1674</v>
      </c>
      <c r="AE98" s="551"/>
      <c r="AF98" s="544" t="s">
        <v>1674</v>
      </c>
      <c r="AG98" s="544" t="s">
        <v>1674</v>
      </c>
      <c r="AH98" s="544" t="s">
        <v>1674</v>
      </c>
      <c r="AI98" s="544" t="s">
        <v>1674</v>
      </c>
      <c r="AJ98" s="544" t="s">
        <v>1674</v>
      </c>
      <c r="AK98" s="544" t="s">
        <v>1674</v>
      </c>
      <c r="AL98" s="544" t="s">
        <v>1674</v>
      </c>
      <c r="AM98" s="544" t="s">
        <v>1674</v>
      </c>
      <c r="AN98" s="544" t="s">
        <v>1674</v>
      </c>
      <c r="AP98" s="542">
        <f t="shared" si="2"/>
        <v>0</v>
      </c>
      <c r="AR98" s="552">
        <f t="shared" si="3"/>
        <v>1190</v>
      </c>
    </row>
    <row r="99" spans="1:44" outlineLevel="1" x14ac:dyDescent="0.25">
      <c r="A99" s="544" t="s">
        <v>2722</v>
      </c>
      <c r="B99" s="545">
        <v>0</v>
      </c>
      <c r="C99" s="544" t="s">
        <v>1674</v>
      </c>
      <c r="D99" s="544" t="s">
        <v>2727</v>
      </c>
      <c r="E99" s="542" t="s">
        <v>2728</v>
      </c>
      <c r="F99" s="542" t="s">
        <v>2729</v>
      </c>
      <c r="G99" s="546">
        <v>17195.5</v>
      </c>
      <c r="H99" s="546"/>
      <c r="I99" s="546"/>
      <c r="J99" s="542" t="s">
        <v>806</v>
      </c>
      <c r="K99" s="547">
        <v>8820</v>
      </c>
      <c r="L99" s="542" t="s">
        <v>806</v>
      </c>
      <c r="M99" s="548"/>
      <c r="N99" s="549">
        <v>-651</v>
      </c>
      <c r="O99" s="544" t="s">
        <v>1674</v>
      </c>
      <c r="P99" s="544" t="s">
        <v>1674</v>
      </c>
      <c r="Q99" s="544" t="s">
        <v>2720</v>
      </c>
      <c r="R99" s="544" t="s">
        <v>2622</v>
      </c>
      <c r="S99" s="544" t="s">
        <v>1674</v>
      </c>
      <c r="T99" s="550">
        <v>19</v>
      </c>
      <c r="U99" s="544" t="s">
        <v>2667</v>
      </c>
      <c r="V99" s="547">
        <v>1185</v>
      </c>
      <c r="W99" s="548"/>
      <c r="Y99" s="544" t="s">
        <v>1674</v>
      </c>
      <c r="AA99" s="544" t="s">
        <v>1674</v>
      </c>
      <c r="AE99" s="551"/>
      <c r="AF99" s="544" t="s">
        <v>1674</v>
      </c>
      <c r="AG99" s="544" t="s">
        <v>1674</v>
      </c>
      <c r="AH99" s="544" t="s">
        <v>1674</v>
      </c>
      <c r="AI99" s="544" t="s">
        <v>1674</v>
      </c>
      <c r="AJ99" s="544" t="s">
        <v>1674</v>
      </c>
      <c r="AK99" s="544" t="s">
        <v>1674</v>
      </c>
      <c r="AL99" s="544" t="s">
        <v>1674</v>
      </c>
      <c r="AM99" s="544" t="s">
        <v>1674</v>
      </c>
      <c r="AN99" s="544" t="s">
        <v>1674</v>
      </c>
      <c r="AP99" s="542">
        <f t="shared" si="2"/>
        <v>-590</v>
      </c>
      <c r="AR99" s="552">
        <f t="shared" si="3"/>
        <v>0</v>
      </c>
    </row>
    <row r="100" spans="1:44" outlineLevel="1" x14ac:dyDescent="0.25">
      <c r="A100" s="544" t="s">
        <v>2722</v>
      </c>
      <c r="B100" s="545">
        <v>0</v>
      </c>
      <c r="C100" s="544" t="s">
        <v>1674</v>
      </c>
      <c r="D100" s="544" t="s">
        <v>2727</v>
      </c>
      <c r="E100" s="542" t="s">
        <v>2728</v>
      </c>
      <c r="F100" s="542" t="s">
        <v>2729</v>
      </c>
      <c r="G100" s="546">
        <v>3034.5</v>
      </c>
      <c r="H100" s="546"/>
      <c r="I100" s="546"/>
      <c r="J100" s="542" t="s">
        <v>806</v>
      </c>
      <c r="K100" s="547">
        <v>8820</v>
      </c>
      <c r="L100" s="542" t="s">
        <v>806</v>
      </c>
      <c r="M100" s="548"/>
      <c r="N100" s="549">
        <v>-651</v>
      </c>
      <c r="O100" s="544" t="s">
        <v>1674</v>
      </c>
      <c r="P100" s="544" t="s">
        <v>1674</v>
      </c>
      <c r="Q100" s="544" t="s">
        <v>2720</v>
      </c>
      <c r="R100" s="544" t="s">
        <v>1674</v>
      </c>
      <c r="S100" s="544" t="s">
        <v>1674</v>
      </c>
      <c r="T100" s="550">
        <v>19</v>
      </c>
      <c r="U100" s="544" t="s">
        <v>2667</v>
      </c>
      <c r="V100" s="547">
        <v>1186</v>
      </c>
      <c r="W100" s="548"/>
      <c r="Y100" s="544" t="s">
        <v>1674</v>
      </c>
      <c r="AA100" s="544" t="s">
        <v>1674</v>
      </c>
      <c r="AE100" s="551"/>
      <c r="AF100" s="544" t="s">
        <v>1674</v>
      </c>
      <c r="AG100" s="544" t="s">
        <v>1674</v>
      </c>
      <c r="AH100" s="544" t="s">
        <v>1674</v>
      </c>
      <c r="AI100" s="544" t="s">
        <v>1674</v>
      </c>
      <c r="AJ100" s="544" t="s">
        <v>1674</v>
      </c>
      <c r="AK100" s="544" t="s">
        <v>1674</v>
      </c>
      <c r="AL100" s="544" t="s">
        <v>1674</v>
      </c>
      <c r="AM100" s="544" t="s">
        <v>1674</v>
      </c>
      <c r="AN100" s="544" t="s">
        <v>1674</v>
      </c>
      <c r="AP100" s="542">
        <f t="shared" si="2"/>
        <v>-590</v>
      </c>
      <c r="AR100" s="552">
        <f t="shared" si="3"/>
        <v>0</v>
      </c>
    </row>
    <row r="101" spans="1:44" outlineLevel="1" x14ac:dyDescent="0.25">
      <c r="A101" s="544" t="s">
        <v>1674</v>
      </c>
      <c r="B101" s="545">
        <v>0</v>
      </c>
      <c r="C101" s="544" t="s">
        <v>1674</v>
      </c>
      <c r="D101" s="544" t="s">
        <v>2727</v>
      </c>
      <c r="E101" s="542" t="s">
        <v>2668</v>
      </c>
      <c r="G101" s="546"/>
      <c r="H101" s="546">
        <v>942.48</v>
      </c>
      <c r="I101" s="546"/>
      <c r="J101" s="542" t="s">
        <v>806</v>
      </c>
      <c r="K101" s="547">
        <v>1200</v>
      </c>
      <c r="L101" s="542" t="s">
        <v>806</v>
      </c>
      <c r="M101" s="548"/>
      <c r="N101" s="549"/>
      <c r="O101" s="544" t="s">
        <v>1674</v>
      </c>
      <c r="P101" s="544" t="s">
        <v>1674</v>
      </c>
      <c r="Q101" s="544" t="s">
        <v>2669</v>
      </c>
      <c r="R101" s="544" t="s">
        <v>1674</v>
      </c>
      <c r="S101" s="544" t="s">
        <v>1674</v>
      </c>
      <c r="T101" s="550"/>
      <c r="U101" s="544" t="s">
        <v>2670</v>
      </c>
      <c r="V101" s="547">
        <v>1604</v>
      </c>
      <c r="W101" s="548"/>
      <c r="Y101" s="544" t="s">
        <v>1674</v>
      </c>
      <c r="AA101" s="544" t="s">
        <v>1674</v>
      </c>
      <c r="AE101" s="551"/>
      <c r="AF101" s="544" t="s">
        <v>1674</v>
      </c>
      <c r="AG101" s="544" t="s">
        <v>1674</v>
      </c>
      <c r="AH101" s="544" t="s">
        <v>1674</v>
      </c>
      <c r="AI101" s="544" t="s">
        <v>1674</v>
      </c>
      <c r="AJ101" s="544" t="s">
        <v>1674</v>
      </c>
      <c r="AK101" s="544" t="s">
        <v>1674</v>
      </c>
      <c r="AL101" s="544" t="s">
        <v>1674</v>
      </c>
      <c r="AM101" s="544" t="s">
        <v>1674</v>
      </c>
      <c r="AN101" s="544" t="s">
        <v>1674</v>
      </c>
      <c r="AP101" s="542">
        <f t="shared" si="2"/>
        <v>0</v>
      </c>
      <c r="AR101" s="552">
        <f t="shared" si="3"/>
        <v>0</v>
      </c>
    </row>
    <row r="102" spans="1:44" outlineLevel="1" x14ac:dyDescent="0.25">
      <c r="A102" s="544" t="s">
        <v>1674</v>
      </c>
      <c r="B102" s="545">
        <v>0</v>
      </c>
      <c r="C102" s="544" t="s">
        <v>1674</v>
      </c>
      <c r="D102" s="544" t="s">
        <v>2727</v>
      </c>
      <c r="E102" s="542" t="s">
        <v>2668</v>
      </c>
      <c r="G102" s="546"/>
      <c r="H102" s="546">
        <v>9.52</v>
      </c>
      <c r="I102" s="546"/>
      <c r="J102" s="542" t="s">
        <v>806</v>
      </c>
      <c r="K102" s="547">
        <v>8736</v>
      </c>
      <c r="L102" s="542" t="s">
        <v>806</v>
      </c>
      <c r="M102" s="548"/>
      <c r="N102" s="549"/>
      <c r="O102" s="544" t="s">
        <v>1674</v>
      </c>
      <c r="P102" s="544" t="s">
        <v>1674</v>
      </c>
      <c r="Q102" s="544" t="s">
        <v>2669</v>
      </c>
      <c r="R102" s="544" t="s">
        <v>1674</v>
      </c>
      <c r="S102" s="544" t="s">
        <v>1674</v>
      </c>
      <c r="T102" s="550">
        <v>19</v>
      </c>
      <c r="U102" s="544" t="s">
        <v>2670</v>
      </c>
      <c r="V102" s="547">
        <v>1604</v>
      </c>
      <c r="W102" s="548"/>
      <c r="Y102" s="544" t="s">
        <v>1674</v>
      </c>
      <c r="AA102" s="544" t="s">
        <v>1674</v>
      </c>
      <c r="AE102" s="551"/>
      <c r="AF102" s="544" t="s">
        <v>1674</v>
      </c>
      <c r="AG102" s="544" t="s">
        <v>1674</v>
      </c>
      <c r="AH102" s="544" t="s">
        <v>1674</v>
      </c>
      <c r="AI102" s="544" t="s">
        <v>1674</v>
      </c>
      <c r="AJ102" s="544" t="s">
        <v>1674</v>
      </c>
      <c r="AK102" s="544" t="s">
        <v>1674</v>
      </c>
      <c r="AL102" s="544" t="s">
        <v>1674</v>
      </c>
      <c r="AM102" s="544" t="s">
        <v>1674</v>
      </c>
      <c r="AN102" s="544" t="s">
        <v>1674</v>
      </c>
      <c r="AP102" s="542">
        <f t="shared" si="2"/>
        <v>0</v>
      </c>
      <c r="AR102" s="552">
        <f t="shared" si="3"/>
        <v>0</v>
      </c>
    </row>
    <row r="103" spans="1:44" outlineLevel="1" x14ac:dyDescent="0.25">
      <c r="A103" s="544" t="s">
        <v>1674</v>
      </c>
      <c r="B103" s="545">
        <v>0</v>
      </c>
      <c r="C103" s="544" t="s">
        <v>1674</v>
      </c>
      <c r="D103" s="544" t="s">
        <v>2727</v>
      </c>
      <c r="E103" s="542" t="s">
        <v>2668</v>
      </c>
      <c r="G103" s="546"/>
      <c r="H103" s="546">
        <v>942.48</v>
      </c>
      <c r="I103" s="546"/>
      <c r="J103" s="542" t="s">
        <v>806</v>
      </c>
      <c r="K103" s="547">
        <v>1200</v>
      </c>
      <c r="L103" s="542" t="s">
        <v>806</v>
      </c>
      <c r="M103" s="548"/>
      <c r="N103" s="549"/>
      <c r="O103" s="544" t="s">
        <v>1674</v>
      </c>
      <c r="P103" s="544" t="s">
        <v>1674</v>
      </c>
      <c r="Q103" s="544" t="s">
        <v>2669</v>
      </c>
      <c r="R103" s="544" t="s">
        <v>1674</v>
      </c>
      <c r="S103" s="544" t="s">
        <v>1674</v>
      </c>
      <c r="T103" s="550"/>
      <c r="U103" s="544" t="s">
        <v>2670</v>
      </c>
      <c r="V103" s="547">
        <v>1605</v>
      </c>
      <c r="W103" s="548"/>
      <c r="Y103" s="544" t="s">
        <v>1674</v>
      </c>
      <c r="AA103" s="544" t="s">
        <v>1674</v>
      </c>
      <c r="AE103" s="551"/>
      <c r="AF103" s="544" t="s">
        <v>1674</v>
      </c>
      <c r="AG103" s="544" t="s">
        <v>1674</v>
      </c>
      <c r="AH103" s="544" t="s">
        <v>1674</v>
      </c>
      <c r="AI103" s="544" t="s">
        <v>1674</v>
      </c>
      <c r="AJ103" s="544" t="s">
        <v>1674</v>
      </c>
      <c r="AK103" s="544" t="s">
        <v>1674</v>
      </c>
      <c r="AL103" s="544" t="s">
        <v>1674</v>
      </c>
      <c r="AM103" s="544" t="s">
        <v>1674</v>
      </c>
      <c r="AN103" s="544" t="s">
        <v>1674</v>
      </c>
      <c r="AP103" s="542">
        <f t="shared" si="2"/>
        <v>0</v>
      </c>
      <c r="AR103" s="552">
        <f t="shared" si="3"/>
        <v>0</v>
      </c>
    </row>
    <row r="104" spans="1:44" outlineLevel="1" x14ac:dyDescent="0.25">
      <c r="A104" s="544" t="s">
        <v>1674</v>
      </c>
      <c r="B104" s="545">
        <v>0</v>
      </c>
      <c r="C104" s="544" t="s">
        <v>1674</v>
      </c>
      <c r="D104" s="544" t="s">
        <v>2727</v>
      </c>
      <c r="E104" s="542" t="s">
        <v>2668</v>
      </c>
      <c r="G104" s="546"/>
      <c r="H104" s="546">
        <v>9.52</v>
      </c>
      <c r="I104" s="546"/>
      <c r="J104" s="542" t="s">
        <v>806</v>
      </c>
      <c r="K104" s="547">
        <v>8736</v>
      </c>
      <c r="L104" s="542" t="s">
        <v>806</v>
      </c>
      <c r="M104" s="548"/>
      <c r="N104" s="549"/>
      <c r="O104" s="544" t="s">
        <v>1674</v>
      </c>
      <c r="P104" s="544" t="s">
        <v>1674</v>
      </c>
      <c r="Q104" s="544" t="s">
        <v>2669</v>
      </c>
      <c r="R104" s="544" t="s">
        <v>1674</v>
      </c>
      <c r="S104" s="544" t="s">
        <v>1674</v>
      </c>
      <c r="T104" s="550">
        <v>19</v>
      </c>
      <c r="U104" s="544" t="s">
        <v>2670</v>
      </c>
      <c r="V104" s="547">
        <v>1605</v>
      </c>
      <c r="W104" s="548"/>
      <c r="Y104" s="544" t="s">
        <v>1674</v>
      </c>
      <c r="AA104" s="544" t="s">
        <v>1674</v>
      </c>
      <c r="AE104" s="551"/>
      <c r="AF104" s="544" t="s">
        <v>1674</v>
      </c>
      <c r="AG104" s="544" t="s">
        <v>1674</v>
      </c>
      <c r="AH104" s="544" t="s">
        <v>1674</v>
      </c>
      <c r="AI104" s="544" t="s">
        <v>1674</v>
      </c>
      <c r="AJ104" s="544" t="s">
        <v>1674</v>
      </c>
      <c r="AK104" s="544" t="s">
        <v>1674</v>
      </c>
      <c r="AL104" s="544" t="s">
        <v>1674</v>
      </c>
      <c r="AM104" s="544" t="s">
        <v>1674</v>
      </c>
      <c r="AN104" s="544" t="s">
        <v>1674</v>
      </c>
      <c r="AP104" s="542">
        <f t="shared" si="2"/>
        <v>0</v>
      </c>
      <c r="AR104" s="552">
        <f t="shared" si="3"/>
        <v>0</v>
      </c>
    </row>
    <row r="105" spans="1:44" outlineLevel="1" x14ac:dyDescent="0.25">
      <c r="A105" s="544" t="s">
        <v>1674</v>
      </c>
      <c r="B105" s="545">
        <v>0</v>
      </c>
      <c r="C105" s="544" t="s">
        <v>1674</v>
      </c>
      <c r="D105" s="544" t="s">
        <v>2727</v>
      </c>
      <c r="E105" s="542" t="s">
        <v>2671</v>
      </c>
      <c r="G105" s="546"/>
      <c r="H105" s="546">
        <v>942.48</v>
      </c>
      <c r="I105" s="546"/>
      <c r="J105" s="542" t="s">
        <v>806</v>
      </c>
      <c r="K105" s="547">
        <v>1200</v>
      </c>
      <c r="L105" s="542" t="s">
        <v>806</v>
      </c>
      <c r="M105" s="548"/>
      <c r="N105" s="549"/>
      <c r="O105" s="544" t="s">
        <v>1674</v>
      </c>
      <c r="P105" s="544" t="s">
        <v>1674</v>
      </c>
      <c r="Q105" s="544" t="s">
        <v>2672</v>
      </c>
      <c r="R105" s="544" t="s">
        <v>1674</v>
      </c>
      <c r="S105" s="544" t="s">
        <v>1674</v>
      </c>
      <c r="T105" s="550"/>
      <c r="U105" s="544" t="s">
        <v>2673</v>
      </c>
      <c r="V105" s="547">
        <v>1681</v>
      </c>
      <c r="W105" s="548"/>
      <c r="Y105" s="544" t="s">
        <v>1674</v>
      </c>
      <c r="AA105" s="544" t="s">
        <v>1674</v>
      </c>
      <c r="AE105" s="551"/>
      <c r="AF105" s="544" t="s">
        <v>1674</v>
      </c>
      <c r="AG105" s="544" t="s">
        <v>1674</v>
      </c>
      <c r="AH105" s="544" t="s">
        <v>1674</v>
      </c>
      <c r="AI105" s="544" t="s">
        <v>1674</v>
      </c>
      <c r="AJ105" s="544" t="s">
        <v>1674</v>
      </c>
      <c r="AK105" s="544" t="s">
        <v>1674</v>
      </c>
      <c r="AL105" s="544" t="s">
        <v>1674</v>
      </c>
      <c r="AM105" s="544" t="s">
        <v>1674</v>
      </c>
      <c r="AN105" s="544" t="s">
        <v>1674</v>
      </c>
      <c r="AP105" s="542">
        <f t="shared" si="2"/>
        <v>0</v>
      </c>
      <c r="AR105" s="552">
        <f t="shared" si="3"/>
        <v>0</v>
      </c>
    </row>
    <row r="106" spans="1:44" outlineLevel="1" x14ac:dyDescent="0.25">
      <c r="A106" s="544" t="s">
        <v>1674</v>
      </c>
      <c r="B106" s="545">
        <v>0</v>
      </c>
      <c r="C106" s="544" t="s">
        <v>1674</v>
      </c>
      <c r="D106" s="544" t="s">
        <v>2727</v>
      </c>
      <c r="E106" s="542" t="s">
        <v>2671</v>
      </c>
      <c r="G106" s="546"/>
      <c r="H106" s="546">
        <v>9.52</v>
      </c>
      <c r="I106" s="546"/>
      <c r="J106" s="542" t="s">
        <v>806</v>
      </c>
      <c r="K106" s="547">
        <v>8736</v>
      </c>
      <c r="L106" s="542" t="s">
        <v>806</v>
      </c>
      <c r="M106" s="548"/>
      <c r="N106" s="549"/>
      <c r="O106" s="544" t="s">
        <v>1674</v>
      </c>
      <c r="P106" s="544" t="s">
        <v>1674</v>
      </c>
      <c r="Q106" s="544" t="s">
        <v>2672</v>
      </c>
      <c r="R106" s="544" t="s">
        <v>1674</v>
      </c>
      <c r="S106" s="544" t="s">
        <v>1674</v>
      </c>
      <c r="T106" s="550">
        <v>19</v>
      </c>
      <c r="U106" s="544" t="s">
        <v>2673</v>
      </c>
      <c r="V106" s="547">
        <v>1681</v>
      </c>
      <c r="W106" s="548"/>
      <c r="Y106" s="544" t="s">
        <v>1674</v>
      </c>
      <c r="AA106" s="544" t="s">
        <v>1674</v>
      </c>
      <c r="AE106" s="551"/>
      <c r="AF106" s="544" t="s">
        <v>1674</v>
      </c>
      <c r="AG106" s="544" t="s">
        <v>1674</v>
      </c>
      <c r="AH106" s="544" t="s">
        <v>1674</v>
      </c>
      <c r="AI106" s="544" t="s">
        <v>1674</v>
      </c>
      <c r="AJ106" s="544" t="s">
        <v>1674</v>
      </c>
      <c r="AK106" s="544" t="s">
        <v>1674</v>
      </c>
      <c r="AL106" s="544" t="s">
        <v>1674</v>
      </c>
      <c r="AM106" s="544" t="s">
        <v>1674</v>
      </c>
      <c r="AN106" s="544" t="s">
        <v>1674</v>
      </c>
      <c r="AP106" s="542">
        <f t="shared" si="2"/>
        <v>0</v>
      </c>
      <c r="AR106" s="552">
        <f t="shared" si="3"/>
        <v>0</v>
      </c>
    </row>
    <row r="107" spans="1:44" outlineLevel="1" x14ac:dyDescent="0.25">
      <c r="A107" s="544" t="s">
        <v>1674</v>
      </c>
      <c r="B107" s="545">
        <v>0</v>
      </c>
      <c r="C107" s="544" t="s">
        <v>1674</v>
      </c>
      <c r="D107" s="544" t="s">
        <v>2727</v>
      </c>
      <c r="E107" s="542" t="s">
        <v>2674</v>
      </c>
      <c r="G107" s="546"/>
      <c r="H107" s="546">
        <v>942.48</v>
      </c>
      <c r="I107" s="546"/>
      <c r="J107" s="542" t="s">
        <v>806</v>
      </c>
      <c r="K107" s="547">
        <v>1200</v>
      </c>
      <c r="L107" s="542" t="s">
        <v>806</v>
      </c>
      <c r="M107" s="548"/>
      <c r="N107" s="549"/>
      <c r="O107" s="544" t="s">
        <v>1674</v>
      </c>
      <c r="P107" s="544" t="s">
        <v>1674</v>
      </c>
      <c r="Q107" s="544" t="s">
        <v>2675</v>
      </c>
      <c r="R107" s="544" t="s">
        <v>1674</v>
      </c>
      <c r="S107" s="544" t="s">
        <v>1674</v>
      </c>
      <c r="T107" s="550"/>
      <c r="U107" s="544" t="s">
        <v>2676</v>
      </c>
      <c r="V107" s="547">
        <v>1538</v>
      </c>
      <c r="W107" s="548"/>
      <c r="Y107" s="544" t="s">
        <v>1674</v>
      </c>
      <c r="AA107" s="544" t="s">
        <v>1674</v>
      </c>
      <c r="AE107" s="551"/>
      <c r="AF107" s="544" t="s">
        <v>1674</v>
      </c>
      <c r="AG107" s="544" t="s">
        <v>1674</v>
      </c>
      <c r="AH107" s="544" t="s">
        <v>1674</v>
      </c>
      <c r="AI107" s="544" t="s">
        <v>1674</v>
      </c>
      <c r="AJ107" s="544" t="s">
        <v>1674</v>
      </c>
      <c r="AK107" s="544" t="s">
        <v>1674</v>
      </c>
      <c r="AL107" s="544" t="s">
        <v>1674</v>
      </c>
      <c r="AM107" s="544" t="s">
        <v>1674</v>
      </c>
      <c r="AN107" s="544" t="s">
        <v>1674</v>
      </c>
      <c r="AP107" s="542">
        <f t="shared" si="2"/>
        <v>0</v>
      </c>
      <c r="AR107" s="552">
        <f t="shared" si="3"/>
        <v>0</v>
      </c>
    </row>
    <row r="108" spans="1:44" outlineLevel="1" x14ac:dyDescent="0.25">
      <c r="A108" s="544" t="s">
        <v>1674</v>
      </c>
      <c r="B108" s="545">
        <v>0</v>
      </c>
      <c r="C108" s="544" t="s">
        <v>1674</v>
      </c>
      <c r="D108" s="544" t="s">
        <v>2727</v>
      </c>
      <c r="E108" s="542" t="s">
        <v>2674</v>
      </c>
      <c r="G108" s="546"/>
      <c r="H108" s="546">
        <v>9.52</v>
      </c>
      <c r="I108" s="546"/>
      <c r="J108" s="542" t="s">
        <v>806</v>
      </c>
      <c r="K108" s="547">
        <v>8736</v>
      </c>
      <c r="L108" s="542" t="s">
        <v>806</v>
      </c>
      <c r="M108" s="548"/>
      <c r="N108" s="549"/>
      <c r="O108" s="544" t="s">
        <v>1674</v>
      </c>
      <c r="P108" s="544" t="s">
        <v>1674</v>
      </c>
      <c r="Q108" s="544" t="s">
        <v>2675</v>
      </c>
      <c r="R108" s="544" t="s">
        <v>1674</v>
      </c>
      <c r="S108" s="544" t="s">
        <v>1674</v>
      </c>
      <c r="T108" s="550">
        <v>19</v>
      </c>
      <c r="U108" s="544" t="s">
        <v>2676</v>
      </c>
      <c r="V108" s="547">
        <v>1538</v>
      </c>
      <c r="W108" s="548"/>
      <c r="Y108" s="544" t="s">
        <v>1674</v>
      </c>
      <c r="AA108" s="544" t="s">
        <v>1674</v>
      </c>
      <c r="AE108" s="551"/>
      <c r="AF108" s="544" t="s">
        <v>1674</v>
      </c>
      <c r="AG108" s="544" t="s">
        <v>1674</v>
      </c>
      <c r="AH108" s="544" t="s">
        <v>1674</v>
      </c>
      <c r="AI108" s="544" t="s">
        <v>1674</v>
      </c>
      <c r="AJ108" s="544" t="s">
        <v>1674</v>
      </c>
      <c r="AK108" s="544" t="s">
        <v>1674</v>
      </c>
      <c r="AL108" s="544" t="s">
        <v>1674</v>
      </c>
      <c r="AM108" s="544" t="s">
        <v>1674</v>
      </c>
      <c r="AN108" s="544" t="s">
        <v>1674</v>
      </c>
      <c r="AP108" s="542">
        <f t="shared" si="2"/>
        <v>0</v>
      </c>
      <c r="AR108" s="552">
        <f t="shared" si="3"/>
        <v>0</v>
      </c>
    </row>
    <row r="109" spans="1:44" outlineLevel="1" x14ac:dyDescent="0.25">
      <c r="A109" s="544" t="s">
        <v>1674</v>
      </c>
      <c r="B109" s="545">
        <v>0</v>
      </c>
      <c r="C109" s="544" t="s">
        <v>1674</v>
      </c>
      <c r="D109" s="544" t="s">
        <v>2727</v>
      </c>
      <c r="E109" s="542" t="s">
        <v>2677</v>
      </c>
      <c r="G109" s="546"/>
      <c r="H109" s="546">
        <v>942.48</v>
      </c>
      <c r="I109" s="546"/>
      <c r="J109" s="542" t="s">
        <v>806</v>
      </c>
      <c r="K109" s="547">
        <v>1200</v>
      </c>
      <c r="L109" s="542" t="s">
        <v>806</v>
      </c>
      <c r="M109" s="548"/>
      <c r="N109" s="549"/>
      <c r="O109" s="544" t="s">
        <v>1674</v>
      </c>
      <c r="P109" s="544" t="s">
        <v>1674</v>
      </c>
      <c r="Q109" s="544" t="s">
        <v>2678</v>
      </c>
      <c r="R109" s="544" t="s">
        <v>1674</v>
      </c>
      <c r="S109" s="544" t="s">
        <v>1674</v>
      </c>
      <c r="T109" s="550"/>
      <c r="U109" s="544" t="s">
        <v>2679</v>
      </c>
      <c r="V109" s="547">
        <v>1744</v>
      </c>
      <c r="W109" s="548"/>
      <c r="Y109" s="544" t="s">
        <v>1674</v>
      </c>
      <c r="AA109" s="544" t="s">
        <v>1674</v>
      </c>
      <c r="AE109" s="551"/>
      <c r="AF109" s="544" t="s">
        <v>1674</v>
      </c>
      <c r="AG109" s="544" t="s">
        <v>1674</v>
      </c>
      <c r="AH109" s="544" t="s">
        <v>1674</v>
      </c>
      <c r="AI109" s="544" t="s">
        <v>1674</v>
      </c>
      <c r="AJ109" s="544" t="s">
        <v>1674</v>
      </c>
      <c r="AK109" s="544" t="s">
        <v>1674</v>
      </c>
      <c r="AL109" s="544" t="s">
        <v>1674</v>
      </c>
      <c r="AM109" s="544" t="s">
        <v>1674</v>
      </c>
      <c r="AN109" s="544" t="s">
        <v>1674</v>
      </c>
      <c r="AP109" s="542">
        <f t="shared" si="2"/>
        <v>0</v>
      </c>
      <c r="AR109" s="552">
        <f t="shared" si="3"/>
        <v>0</v>
      </c>
    </row>
    <row r="110" spans="1:44" outlineLevel="1" x14ac:dyDescent="0.25">
      <c r="A110" s="544" t="s">
        <v>1674</v>
      </c>
      <c r="B110" s="545">
        <v>0</v>
      </c>
      <c r="C110" s="544" t="s">
        <v>1674</v>
      </c>
      <c r="D110" s="544" t="s">
        <v>2727</v>
      </c>
      <c r="E110" s="542" t="s">
        <v>2677</v>
      </c>
      <c r="G110" s="546"/>
      <c r="H110" s="546">
        <v>9.52</v>
      </c>
      <c r="I110" s="546"/>
      <c r="J110" s="542" t="s">
        <v>806</v>
      </c>
      <c r="K110" s="547">
        <v>8736</v>
      </c>
      <c r="L110" s="542" t="s">
        <v>806</v>
      </c>
      <c r="M110" s="548"/>
      <c r="N110" s="549"/>
      <c r="O110" s="544" t="s">
        <v>1674</v>
      </c>
      <c r="P110" s="544" t="s">
        <v>1674</v>
      </c>
      <c r="Q110" s="544" t="s">
        <v>2678</v>
      </c>
      <c r="R110" s="544" t="s">
        <v>1674</v>
      </c>
      <c r="S110" s="544" t="s">
        <v>1674</v>
      </c>
      <c r="T110" s="550">
        <v>19</v>
      </c>
      <c r="U110" s="544" t="s">
        <v>2679</v>
      </c>
      <c r="V110" s="547">
        <v>1744</v>
      </c>
      <c r="W110" s="548"/>
      <c r="Y110" s="544" t="s">
        <v>1674</v>
      </c>
      <c r="AA110" s="544" t="s">
        <v>1674</v>
      </c>
      <c r="AE110" s="551"/>
      <c r="AF110" s="544" t="s">
        <v>1674</v>
      </c>
      <c r="AG110" s="544" t="s">
        <v>1674</v>
      </c>
      <c r="AH110" s="544" t="s">
        <v>1674</v>
      </c>
      <c r="AI110" s="544" t="s">
        <v>1674</v>
      </c>
      <c r="AJ110" s="544" t="s">
        <v>1674</v>
      </c>
      <c r="AK110" s="544" t="s">
        <v>1674</v>
      </c>
      <c r="AL110" s="544" t="s">
        <v>1674</v>
      </c>
      <c r="AM110" s="544" t="s">
        <v>1674</v>
      </c>
      <c r="AN110" s="544" t="s">
        <v>1674</v>
      </c>
      <c r="AP110" s="542">
        <f t="shared" si="2"/>
        <v>0</v>
      </c>
      <c r="AR110" s="552">
        <f t="shared" si="3"/>
        <v>0</v>
      </c>
    </row>
    <row r="111" spans="1:44" outlineLevel="1" x14ac:dyDescent="0.25">
      <c r="A111" s="544" t="s">
        <v>1674</v>
      </c>
      <c r="B111" s="545">
        <v>0</v>
      </c>
      <c r="C111" s="544" t="s">
        <v>1674</v>
      </c>
      <c r="D111" s="544" t="s">
        <v>2727</v>
      </c>
      <c r="E111" s="542" t="s">
        <v>2680</v>
      </c>
      <c r="G111" s="546"/>
      <c r="H111" s="546">
        <v>942.48</v>
      </c>
      <c r="I111" s="546"/>
      <c r="J111" s="542" t="s">
        <v>806</v>
      </c>
      <c r="K111" s="547">
        <v>1200</v>
      </c>
      <c r="L111" s="542" t="s">
        <v>806</v>
      </c>
      <c r="M111" s="548"/>
      <c r="N111" s="549"/>
      <c r="O111" s="544" t="s">
        <v>1674</v>
      </c>
      <c r="P111" s="544" t="s">
        <v>1674</v>
      </c>
      <c r="Q111" s="544" t="s">
        <v>2681</v>
      </c>
      <c r="R111" s="544" t="s">
        <v>1674</v>
      </c>
      <c r="S111" s="544" t="s">
        <v>1674</v>
      </c>
      <c r="T111" s="550"/>
      <c r="U111" s="544" t="s">
        <v>2682</v>
      </c>
      <c r="V111" s="547">
        <v>1622</v>
      </c>
      <c r="W111" s="548"/>
      <c r="Y111" s="544" t="s">
        <v>1674</v>
      </c>
      <c r="AA111" s="544" t="s">
        <v>1674</v>
      </c>
      <c r="AE111" s="551"/>
      <c r="AF111" s="544" t="s">
        <v>1674</v>
      </c>
      <c r="AG111" s="544" t="s">
        <v>1674</v>
      </c>
      <c r="AH111" s="544" t="s">
        <v>1674</v>
      </c>
      <c r="AI111" s="544" t="s">
        <v>1674</v>
      </c>
      <c r="AJ111" s="544" t="s">
        <v>1674</v>
      </c>
      <c r="AK111" s="544" t="s">
        <v>1674</v>
      </c>
      <c r="AL111" s="544" t="s">
        <v>1674</v>
      </c>
      <c r="AM111" s="544" t="s">
        <v>1674</v>
      </c>
      <c r="AN111" s="544" t="s">
        <v>1674</v>
      </c>
      <c r="AP111" s="542">
        <f t="shared" si="2"/>
        <v>0</v>
      </c>
      <c r="AR111" s="552">
        <f t="shared" si="3"/>
        <v>0</v>
      </c>
    </row>
    <row r="112" spans="1:44" outlineLevel="1" x14ac:dyDescent="0.25">
      <c r="A112" s="544" t="s">
        <v>1674</v>
      </c>
      <c r="B112" s="545">
        <v>0</v>
      </c>
      <c r="C112" s="544" t="s">
        <v>1674</v>
      </c>
      <c r="D112" s="544" t="s">
        <v>2727</v>
      </c>
      <c r="E112" s="542" t="s">
        <v>2680</v>
      </c>
      <c r="G112" s="546"/>
      <c r="H112" s="546">
        <v>9.52</v>
      </c>
      <c r="I112" s="546"/>
      <c r="J112" s="542" t="s">
        <v>806</v>
      </c>
      <c r="K112" s="547">
        <v>8736</v>
      </c>
      <c r="L112" s="542" t="s">
        <v>806</v>
      </c>
      <c r="M112" s="548"/>
      <c r="N112" s="549"/>
      <c r="O112" s="544" t="s">
        <v>1674</v>
      </c>
      <c r="P112" s="544" t="s">
        <v>1674</v>
      </c>
      <c r="Q112" s="544" t="s">
        <v>2681</v>
      </c>
      <c r="R112" s="544" t="s">
        <v>1674</v>
      </c>
      <c r="S112" s="544" t="s">
        <v>1674</v>
      </c>
      <c r="T112" s="550">
        <v>19</v>
      </c>
      <c r="U112" s="544" t="s">
        <v>2682</v>
      </c>
      <c r="V112" s="547">
        <v>1622</v>
      </c>
      <c r="W112" s="548"/>
      <c r="Y112" s="544" t="s">
        <v>1674</v>
      </c>
      <c r="AA112" s="544" t="s">
        <v>1674</v>
      </c>
      <c r="AE112" s="551"/>
      <c r="AF112" s="544" t="s">
        <v>1674</v>
      </c>
      <c r="AG112" s="544" t="s">
        <v>1674</v>
      </c>
      <c r="AH112" s="544" t="s">
        <v>1674</v>
      </c>
      <c r="AI112" s="544" t="s">
        <v>1674</v>
      </c>
      <c r="AJ112" s="544" t="s">
        <v>1674</v>
      </c>
      <c r="AK112" s="544" t="s">
        <v>1674</v>
      </c>
      <c r="AL112" s="544" t="s">
        <v>1674</v>
      </c>
      <c r="AM112" s="544" t="s">
        <v>1674</v>
      </c>
      <c r="AN112" s="544" t="s">
        <v>1674</v>
      </c>
      <c r="AP112" s="542">
        <f t="shared" si="2"/>
        <v>0</v>
      </c>
      <c r="AR112" s="552">
        <f t="shared" si="3"/>
        <v>0</v>
      </c>
    </row>
    <row r="113" spans="1:44" outlineLevel="1" x14ac:dyDescent="0.25">
      <c r="A113" s="544" t="s">
        <v>1674</v>
      </c>
      <c r="B113" s="545">
        <v>0</v>
      </c>
      <c r="C113" s="544" t="s">
        <v>1674</v>
      </c>
      <c r="D113" s="544" t="s">
        <v>2727</v>
      </c>
      <c r="E113" s="542" t="s">
        <v>2683</v>
      </c>
      <c r="G113" s="546"/>
      <c r="H113" s="546">
        <v>942.48</v>
      </c>
      <c r="I113" s="546"/>
      <c r="J113" s="542" t="s">
        <v>806</v>
      </c>
      <c r="K113" s="547">
        <v>1200</v>
      </c>
      <c r="L113" s="542" t="s">
        <v>806</v>
      </c>
      <c r="M113" s="548"/>
      <c r="N113" s="549"/>
      <c r="O113" s="544" t="s">
        <v>1674</v>
      </c>
      <c r="P113" s="544" t="s">
        <v>1674</v>
      </c>
      <c r="Q113" s="544" t="s">
        <v>2684</v>
      </c>
      <c r="R113" s="544" t="s">
        <v>1674</v>
      </c>
      <c r="S113" s="544" t="s">
        <v>1674</v>
      </c>
      <c r="T113" s="550"/>
      <c r="U113" s="544" t="s">
        <v>2685</v>
      </c>
      <c r="V113" s="547">
        <v>1709</v>
      </c>
      <c r="W113" s="548"/>
      <c r="Y113" s="544" t="s">
        <v>1674</v>
      </c>
      <c r="AA113" s="544" t="s">
        <v>1674</v>
      </c>
      <c r="AE113" s="551"/>
      <c r="AF113" s="544" t="s">
        <v>1674</v>
      </c>
      <c r="AG113" s="544" t="s">
        <v>1674</v>
      </c>
      <c r="AH113" s="544" t="s">
        <v>1674</v>
      </c>
      <c r="AI113" s="544" t="s">
        <v>1674</v>
      </c>
      <c r="AJ113" s="544" t="s">
        <v>1674</v>
      </c>
      <c r="AK113" s="544" t="s">
        <v>1674</v>
      </c>
      <c r="AL113" s="544" t="s">
        <v>1674</v>
      </c>
      <c r="AM113" s="544" t="s">
        <v>1674</v>
      </c>
      <c r="AN113" s="544" t="s">
        <v>1674</v>
      </c>
      <c r="AP113" s="542">
        <f t="shared" si="2"/>
        <v>0</v>
      </c>
      <c r="AR113" s="552">
        <f t="shared" si="3"/>
        <v>0</v>
      </c>
    </row>
    <row r="114" spans="1:44" outlineLevel="1" x14ac:dyDescent="0.25">
      <c r="A114" s="544" t="s">
        <v>1674</v>
      </c>
      <c r="B114" s="545">
        <v>0</v>
      </c>
      <c r="C114" s="544" t="s">
        <v>1674</v>
      </c>
      <c r="D114" s="544" t="s">
        <v>2727</v>
      </c>
      <c r="E114" s="542" t="s">
        <v>2683</v>
      </c>
      <c r="G114" s="546"/>
      <c r="H114" s="546">
        <v>9.52</v>
      </c>
      <c r="I114" s="546"/>
      <c r="J114" s="542" t="s">
        <v>806</v>
      </c>
      <c r="K114" s="547">
        <v>8736</v>
      </c>
      <c r="L114" s="542" t="s">
        <v>806</v>
      </c>
      <c r="M114" s="548"/>
      <c r="N114" s="549"/>
      <c r="O114" s="544" t="s">
        <v>1674</v>
      </c>
      <c r="P114" s="544" t="s">
        <v>1674</v>
      </c>
      <c r="Q114" s="544" t="s">
        <v>2684</v>
      </c>
      <c r="R114" s="544" t="s">
        <v>1674</v>
      </c>
      <c r="S114" s="544" t="s">
        <v>1674</v>
      </c>
      <c r="T114" s="550">
        <v>19</v>
      </c>
      <c r="U114" s="544" t="s">
        <v>2685</v>
      </c>
      <c r="V114" s="547">
        <v>1709</v>
      </c>
      <c r="W114" s="548"/>
      <c r="Y114" s="544" t="s">
        <v>1674</v>
      </c>
      <c r="AA114" s="544" t="s">
        <v>1674</v>
      </c>
      <c r="AE114" s="551"/>
      <c r="AF114" s="544" t="s">
        <v>1674</v>
      </c>
      <c r="AG114" s="544" t="s">
        <v>1674</v>
      </c>
      <c r="AH114" s="544" t="s">
        <v>1674</v>
      </c>
      <c r="AI114" s="544" t="s">
        <v>1674</v>
      </c>
      <c r="AJ114" s="544" t="s">
        <v>1674</v>
      </c>
      <c r="AK114" s="544" t="s">
        <v>1674</v>
      </c>
      <c r="AL114" s="544" t="s">
        <v>1674</v>
      </c>
      <c r="AM114" s="544" t="s">
        <v>1674</v>
      </c>
      <c r="AN114" s="544" t="s">
        <v>1674</v>
      </c>
      <c r="AP114" s="542">
        <f t="shared" si="2"/>
        <v>0</v>
      </c>
      <c r="AR114" s="552">
        <f t="shared" si="3"/>
        <v>0</v>
      </c>
    </row>
    <row r="115" spans="1:44" outlineLevel="1" x14ac:dyDescent="0.25">
      <c r="A115" s="544" t="s">
        <v>1674</v>
      </c>
      <c r="B115" s="545">
        <v>0</v>
      </c>
      <c r="C115" s="544" t="s">
        <v>1674</v>
      </c>
      <c r="D115" s="544" t="s">
        <v>2727</v>
      </c>
      <c r="E115" s="542" t="s">
        <v>2686</v>
      </c>
      <c r="G115" s="546"/>
      <c r="H115" s="546">
        <v>942.48</v>
      </c>
      <c r="I115" s="546"/>
      <c r="J115" s="542" t="s">
        <v>806</v>
      </c>
      <c r="K115" s="547">
        <v>1200</v>
      </c>
      <c r="L115" s="542" t="s">
        <v>806</v>
      </c>
      <c r="M115" s="548"/>
      <c r="N115" s="549"/>
      <c r="O115" s="544" t="s">
        <v>1674</v>
      </c>
      <c r="P115" s="544" t="s">
        <v>1674</v>
      </c>
      <c r="Q115" s="544" t="s">
        <v>2687</v>
      </c>
      <c r="R115" s="544" t="s">
        <v>1674</v>
      </c>
      <c r="S115" s="544" t="s">
        <v>1674</v>
      </c>
      <c r="T115" s="550"/>
      <c r="U115" s="544" t="s">
        <v>2688</v>
      </c>
      <c r="V115" s="547">
        <v>1502</v>
      </c>
      <c r="W115" s="548"/>
      <c r="Y115" s="544" t="s">
        <v>1674</v>
      </c>
      <c r="AA115" s="544" t="s">
        <v>1674</v>
      </c>
      <c r="AE115" s="551"/>
      <c r="AF115" s="544" t="s">
        <v>1674</v>
      </c>
      <c r="AG115" s="544" t="s">
        <v>1674</v>
      </c>
      <c r="AH115" s="544" t="s">
        <v>1674</v>
      </c>
      <c r="AI115" s="544" t="s">
        <v>1674</v>
      </c>
      <c r="AJ115" s="544" t="s">
        <v>1674</v>
      </c>
      <c r="AK115" s="544" t="s">
        <v>1674</v>
      </c>
      <c r="AL115" s="544" t="s">
        <v>1674</v>
      </c>
      <c r="AM115" s="544" t="s">
        <v>1674</v>
      </c>
      <c r="AN115" s="544" t="s">
        <v>1674</v>
      </c>
      <c r="AP115" s="542">
        <f t="shared" si="2"/>
        <v>0</v>
      </c>
      <c r="AR115" s="552">
        <f t="shared" si="3"/>
        <v>0</v>
      </c>
    </row>
    <row r="116" spans="1:44" outlineLevel="1" x14ac:dyDescent="0.25">
      <c r="A116" s="544" t="s">
        <v>1674</v>
      </c>
      <c r="B116" s="545">
        <v>0</v>
      </c>
      <c r="C116" s="544" t="s">
        <v>1674</v>
      </c>
      <c r="D116" s="544" t="s">
        <v>2727</v>
      </c>
      <c r="E116" s="542" t="s">
        <v>2686</v>
      </c>
      <c r="G116" s="546"/>
      <c r="H116" s="546">
        <v>9.52</v>
      </c>
      <c r="I116" s="546"/>
      <c r="J116" s="542" t="s">
        <v>806</v>
      </c>
      <c r="K116" s="547">
        <v>8736</v>
      </c>
      <c r="L116" s="542" t="s">
        <v>806</v>
      </c>
      <c r="M116" s="548"/>
      <c r="N116" s="549"/>
      <c r="O116" s="544" t="s">
        <v>1674</v>
      </c>
      <c r="P116" s="544" t="s">
        <v>1674</v>
      </c>
      <c r="Q116" s="544" t="s">
        <v>2687</v>
      </c>
      <c r="R116" s="544" t="s">
        <v>1674</v>
      </c>
      <c r="S116" s="544" t="s">
        <v>1674</v>
      </c>
      <c r="T116" s="550">
        <v>19</v>
      </c>
      <c r="U116" s="544" t="s">
        <v>2688</v>
      </c>
      <c r="V116" s="547">
        <v>1502</v>
      </c>
      <c r="W116" s="548"/>
      <c r="Y116" s="544" t="s">
        <v>1674</v>
      </c>
      <c r="AA116" s="544" t="s">
        <v>1674</v>
      </c>
      <c r="AE116" s="551"/>
      <c r="AF116" s="544" t="s">
        <v>1674</v>
      </c>
      <c r="AG116" s="544" t="s">
        <v>1674</v>
      </c>
      <c r="AH116" s="544" t="s">
        <v>1674</v>
      </c>
      <c r="AI116" s="544" t="s">
        <v>1674</v>
      </c>
      <c r="AJ116" s="544" t="s">
        <v>1674</v>
      </c>
      <c r="AK116" s="544" t="s">
        <v>1674</v>
      </c>
      <c r="AL116" s="544" t="s">
        <v>1674</v>
      </c>
      <c r="AM116" s="544" t="s">
        <v>1674</v>
      </c>
      <c r="AN116" s="544" t="s">
        <v>1674</v>
      </c>
      <c r="AP116" s="542">
        <f t="shared" si="2"/>
        <v>0</v>
      </c>
      <c r="AR116" s="552">
        <f t="shared" si="3"/>
        <v>0</v>
      </c>
    </row>
    <row r="117" spans="1:44" outlineLevel="1" x14ac:dyDescent="0.25">
      <c r="A117" s="544" t="s">
        <v>1674</v>
      </c>
      <c r="B117" s="545">
        <v>0</v>
      </c>
      <c r="C117" s="544" t="s">
        <v>1674</v>
      </c>
      <c r="D117" s="544" t="s">
        <v>2727</v>
      </c>
      <c r="E117" s="542" t="s">
        <v>2689</v>
      </c>
      <c r="G117" s="546"/>
      <c r="H117" s="546">
        <v>942.48</v>
      </c>
      <c r="I117" s="546"/>
      <c r="J117" s="542" t="s">
        <v>806</v>
      </c>
      <c r="K117" s="547">
        <v>1200</v>
      </c>
      <c r="L117" s="542" t="s">
        <v>806</v>
      </c>
      <c r="M117" s="548"/>
      <c r="N117" s="549"/>
      <c r="O117" s="544" t="s">
        <v>1674</v>
      </c>
      <c r="P117" s="544" t="s">
        <v>1674</v>
      </c>
      <c r="Q117" s="544" t="s">
        <v>2690</v>
      </c>
      <c r="R117" s="544" t="s">
        <v>1674</v>
      </c>
      <c r="S117" s="544" t="s">
        <v>1674</v>
      </c>
      <c r="T117" s="550"/>
      <c r="U117" s="544" t="s">
        <v>2691</v>
      </c>
      <c r="V117" s="547">
        <v>1744</v>
      </c>
      <c r="W117" s="548"/>
      <c r="Y117" s="544" t="s">
        <v>1674</v>
      </c>
      <c r="AA117" s="544" t="s">
        <v>1674</v>
      </c>
      <c r="AE117" s="551"/>
      <c r="AF117" s="544" t="s">
        <v>1674</v>
      </c>
      <c r="AG117" s="544" t="s">
        <v>1674</v>
      </c>
      <c r="AH117" s="544" t="s">
        <v>1674</v>
      </c>
      <c r="AI117" s="544" t="s">
        <v>1674</v>
      </c>
      <c r="AJ117" s="544" t="s">
        <v>1674</v>
      </c>
      <c r="AK117" s="544" t="s">
        <v>1674</v>
      </c>
      <c r="AL117" s="544" t="s">
        <v>1674</v>
      </c>
      <c r="AM117" s="544" t="s">
        <v>1674</v>
      </c>
      <c r="AN117" s="544" t="s">
        <v>1674</v>
      </c>
      <c r="AP117" s="542">
        <f t="shared" si="2"/>
        <v>0</v>
      </c>
      <c r="AR117" s="552">
        <f t="shared" si="3"/>
        <v>0</v>
      </c>
    </row>
    <row r="118" spans="1:44" outlineLevel="1" x14ac:dyDescent="0.25">
      <c r="A118" s="544" t="s">
        <v>1674</v>
      </c>
      <c r="B118" s="545">
        <v>0</v>
      </c>
      <c r="C118" s="544" t="s">
        <v>1674</v>
      </c>
      <c r="D118" s="544" t="s">
        <v>2727</v>
      </c>
      <c r="E118" s="542" t="s">
        <v>2689</v>
      </c>
      <c r="G118" s="546"/>
      <c r="H118" s="546">
        <v>9.52</v>
      </c>
      <c r="I118" s="546"/>
      <c r="J118" s="542" t="s">
        <v>806</v>
      </c>
      <c r="K118" s="547">
        <v>8736</v>
      </c>
      <c r="L118" s="542" t="s">
        <v>806</v>
      </c>
      <c r="M118" s="548"/>
      <c r="N118" s="549"/>
      <c r="O118" s="544" t="s">
        <v>1674</v>
      </c>
      <c r="P118" s="544" t="s">
        <v>1674</v>
      </c>
      <c r="Q118" s="544" t="s">
        <v>2690</v>
      </c>
      <c r="R118" s="544" t="s">
        <v>1674</v>
      </c>
      <c r="S118" s="544" t="s">
        <v>1674</v>
      </c>
      <c r="T118" s="550">
        <v>19</v>
      </c>
      <c r="U118" s="544" t="s">
        <v>2691</v>
      </c>
      <c r="V118" s="547">
        <v>1745</v>
      </c>
      <c r="W118" s="548"/>
      <c r="Y118" s="544" t="s">
        <v>1674</v>
      </c>
      <c r="AA118" s="544" t="s">
        <v>1674</v>
      </c>
      <c r="AE118" s="551"/>
      <c r="AF118" s="544" t="s">
        <v>1674</v>
      </c>
      <c r="AG118" s="544" t="s">
        <v>1674</v>
      </c>
      <c r="AH118" s="544" t="s">
        <v>1674</v>
      </c>
      <c r="AI118" s="544" t="s">
        <v>1674</v>
      </c>
      <c r="AJ118" s="544" t="s">
        <v>1674</v>
      </c>
      <c r="AK118" s="544" t="s">
        <v>1674</v>
      </c>
      <c r="AL118" s="544" t="s">
        <v>1674</v>
      </c>
      <c r="AM118" s="544" t="s">
        <v>1674</v>
      </c>
      <c r="AN118" s="544" t="s">
        <v>1674</v>
      </c>
      <c r="AP118" s="542">
        <f t="shared" si="2"/>
        <v>0</v>
      </c>
      <c r="AR118" s="552">
        <f t="shared" si="3"/>
        <v>0</v>
      </c>
    </row>
    <row r="119" spans="1:44" outlineLevel="1" x14ac:dyDescent="0.25">
      <c r="A119" s="544" t="s">
        <v>1674</v>
      </c>
      <c r="B119" s="545">
        <v>0</v>
      </c>
      <c r="C119" s="544" t="s">
        <v>1674</v>
      </c>
      <c r="D119" s="544" t="s">
        <v>2727</v>
      </c>
      <c r="E119" s="542" t="s">
        <v>2692</v>
      </c>
      <c r="G119" s="546"/>
      <c r="H119" s="546">
        <v>942.48</v>
      </c>
      <c r="I119" s="546"/>
      <c r="J119" s="542" t="s">
        <v>806</v>
      </c>
      <c r="K119" s="547">
        <v>1200</v>
      </c>
      <c r="L119" s="542" t="s">
        <v>806</v>
      </c>
      <c r="M119" s="548"/>
      <c r="N119" s="549"/>
      <c r="O119" s="544" t="s">
        <v>1674</v>
      </c>
      <c r="P119" s="544" t="s">
        <v>1674</v>
      </c>
      <c r="Q119" s="544" t="s">
        <v>2693</v>
      </c>
      <c r="R119" s="544" t="s">
        <v>1674</v>
      </c>
      <c r="S119" s="544" t="s">
        <v>1674</v>
      </c>
      <c r="T119" s="550"/>
      <c r="U119" s="544" t="s">
        <v>2694</v>
      </c>
      <c r="V119" s="547">
        <v>1825</v>
      </c>
      <c r="W119" s="548"/>
      <c r="Y119" s="544" t="s">
        <v>1674</v>
      </c>
      <c r="AA119" s="544" t="s">
        <v>1674</v>
      </c>
      <c r="AE119" s="551"/>
      <c r="AF119" s="544" t="s">
        <v>1674</v>
      </c>
      <c r="AG119" s="544" t="s">
        <v>1674</v>
      </c>
      <c r="AH119" s="544" t="s">
        <v>1674</v>
      </c>
      <c r="AI119" s="544" t="s">
        <v>1674</v>
      </c>
      <c r="AJ119" s="544" t="s">
        <v>1674</v>
      </c>
      <c r="AK119" s="544" t="s">
        <v>1674</v>
      </c>
      <c r="AL119" s="544" t="s">
        <v>1674</v>
      </c>
      <c r="AM119" s="544" t="s">
        <v>1674</v>
      </c>
      <c r="AN119" s="544" t="s">
        <v>1674</v>
      </c>
      <c r="AP119" s="542">
        <f t="shared" si="2"/>
        <v>0</v>
      </c>
      <c r="AR119" s="552">
        <f t="shared" si="3"/>
        <v>0</v>
      </c>
    </row>
    <row r="120" spans="1:44" outlineLevel="1" x14ac:dyDescent="0.25">
      <c r="A120" s="544" t="s">
        <v>1674</v>
      </c>
      <c r="B120" s="545">
        <v>0</v>
      </c>
      <c r="C120" s="544" t="s">
        <v>1674</v>
      </c>
      <c r="D120" s="544" t="s">
        <v>2727</v>
      </c>
      <c r="E120" s="542" t="s">
        <v>2692</v>
      </c>
      <c r="G120" s="546"/>
      <c r="H120" s="546">
        <v>9.52</v>
      </c>
      <c r="I120" s="546"/>
      <c r="J120" s="542" t="s">
        <v>806</v>
      </c>
      <c r="K120" s="547">
        <v>8736</v>
      </c>
      <c r="L120" s="542" t="s">
        <v>806</v>
      </c>
      <c r="M120" s="548"/>
      <c r="N120" s="549"/>
      <c r="O120" s="544" t="s">
        <v>1674</v>
      </c>
      <c r="P120" s="544" t="s">
        <v>1674</v>
      </c>
      <c r="Q120" s="544" t="s">
        <v>2693</v>
      </c>
      <c r="R120" s="544" t="s">
        <v>1674</v>
      </c>
      <c r="S120" s="544" t="s">
        <v>1674</v>
      </c>
      <c r="T120" s="550">
        <v>19</v>
      </c>
      <c r="U120" s="544" t="s">
        <v>2694</v>
      </c>
      <c r="V120" s="547">
        <v>1826</v>
      </c>
      <c r="W120" s="548"/>
      <c r="Y120" s="544" t="s">
        <v>1674</v>
      </c>
      <c r="AA120" s="544" t="s">
        <v>1674</v>
      </c>
      <c r="AE120" s="551"/>
      <c r="AF120" s="544" t="s">
        <v>1674</v>
      </c>
      <c r="AG120" s="544" t="s">
        <v>1674</v>
      </c>
      <c r="AH120" s="544" t="s">
        <v>1674</v>
      </c>
      <c r="AI120" s="544" t="s">
        <v>1674</v>
      </c>
      <c r="AJ120" s="544" t="s">
        <v>1674</v>
      </c>
      <c r="AK120" s="544" t="s">
        <v>1674</v>
      </c>
      <c r="AL120" s="544" t="s">
        <v>1674</v>
      </c>
      <c r="AM120" s="544" t="s">
        <v>1674</v>
      </c>
      <c r="AN120" s="544" t="s">
        <v>1674</v>
      </c>
      <c r="AP120" s="542">
        <f t="shared" si="2"/>
        <v>0</v>
      </c>
      <c r="AR120" s="552">
        <f t="shared" si="3"/>
        <v>0</v>
      </c>
    </row>
    <row r="121" spans="1:44" outlineLevel="1" x14ac:dyDescent="0.25">
      <c r="A121" s="544" t="s">
        <v>1674</v>
      </c>
      <c r="B121" s="545">
        <v>0</v>
      </c>
      <c r="C121" s="544" t="s">
        <v>1674</v>
      </c>
      <c r="D121" s="544" t="s">
        <v>2727</v>
      </c>
      <c r="E121" s="542" t="s">
        <v>2695</v>
      </c>
      <c r="G121" s="546"/>
      <c r="H121" s="546">
        <v>942.48</v>
      </c>
      <c r="I121" s="546"/>
      <c r="J121" s="542" t="s">
        <v>806</v>
      </c>
      <c r="K121" s="547">
        <v>1200</v>
      </c>
      <c r="L121" s="542" t="s">
        <v>806</v>
      </c>
      <c r="M121" s="548"/>
      <c r="N121" s="549"/>
      <c r="O121" s="544" t="s">
        <v>1674</v>
      </c>
      <c r="P121" s="544" t="s">
        <v>1674</v>
      </c>
      <c r="Q121" s="544" t="s">
        <v>2696</v>
      </c>
      <c r="R121" s="544" t="s">
        <v>1674</v>
      </c>
      <c r="S121" s="544" t="s">
        <v>1674</v>
      </c>
      <c r="T121" s="550"/>
      <c r="U121" s="544" t="s">
        <v>2697</v>
      </c>
      <c r="V121" s="547">
        <v>1656</v>
      </c>
      <c r="W121" s="548"/>
      <c r="Y121" s="544" t="s">
        <v>1674</v>
      </c>
      <c r="AA121" s="544" t="s">
        <v>1674</v>
      </c>
      <c r="AE121" s="551"/>
      <c r="AF121" s="544" t="s">
        <v>1674</v>
      </c>
      <c r="AG121" s="544" t="s">
        <v>1674</v>
      </c>
      <c r="AH121" s="544" t="s">
        <v>1674</v>
      </c>
      <c r="AI121" s="544" t="s">
        <v>1674</v>
      </c>
      <c r="AJ121" s="544" t="s">
        <v>1674</v>
      </c>
      <c r="AK121" s="544" t="s">
        <v>1674</v>
      </c>
      <c r="AL121" s="544" t="s">
        <v>1674</v>
      </c>
      <c r="AM121" s="544" t="s">
        <v>1674</v>
      </c>
      <c r="AN121" s="544" t="s">
        <v>1674</v>
      </c>
      <c r="AP121" s="542">
        <f t="shared" si="2"/>
        <v>0</v>
      </c>
      <c r="AR121" s="552">
        <f t="shared" si="3"/>
        <v>0</v>
      </c>
    </row>
    <row r="122" spans="1:44" outlineLevel="1" x14ac:dyDescent="0.25">
      <c r="A122" s="544" t="s">
        <v>1674</v>
      </c>
      <c r="B122" s="545">
        <v>0</v>
      </c>
      <c r="C122" s="544" t="s">
        <v>1674</v>
      </c>
      <c r="D122" s="544" t="s">
        <v>2727</v>
      </c>
      <c r="E122" s="542" t="s">
        <v>2695</v>
      </c>
      <c r="G122" s="546"/>
      <c r="H122" s="546">
        <v>9.52</v>
      </c>
      <c r="I122" s="546"/>
      <c r="J122" s="542" t="s">
        <v>806</v>
      </c>
      <c r="K122" s="547">
        <v>8736</v>
      </c>
      <c r="L122" s="542" t="s">
        <v>806</v>
      </c>
      <c r="M122" s="548"/>
      <c r="N122" s="549"/>
      <c r="O122" s="544" t="s">
        <v>1674</v>
      </c>
      <c r="P122" s="544" t="s">
        <v>1674</v>
      </c>
      <c r="Q122" s="544" t="s">
        <v>2696</v>
      </c>
      <c r="R122" s="544" t="s">
        <v>1674</v>
      </c>
      <c r="S122" s="544" t="s">
        <v>1674</v>
      </c>
      <c r="T122" s="550">
        <v>19</v>
      </c>
      <c r="U122" s="544" t="s">
        <v>2697</v>
      </c>
      <c r="V122" s="547">
        <v>1657</v>
      </c>
      <c r="W122" s="548"/>
      <c r="Y122" s="544" t="s">
        <v>1674</v>
      </c>
      <c r="AA122" s="544" t="s">
        <v>1674</v>
      </c>
      <c r="AE122" s="551"/>
      <c r="AF122" s="544" t="s">
        <v>1674</v>
      </c>
      <c r="AG122" s="544" t="s">
        <v>1674</v>
      </c>
      <c r="AH122" s="544" t="s">
        <v>1674</v>
      </c>
      <c r="AI122" s="544" t="s">
        <v>1674</v>
      </c>
      <c r="AJ122" s="544" t="s">
        <v>1674</v>
      </c>
      <c r="AK122" s="544" t="s">
        <v>1674</v>
      </c>
      <c r="AL122" s="544" t="s">
        <v>1674</v>
      </c>
      <c r="AM122" s="544" t="s">
        <v>1674</v>
      </c>
      <c r="AN122" s="544" t="s">
        <v>1674</v>
      </c>
      <c r="AP122" s="542">
        <f t="shared" si="2"/>
        <v>0</v>
      </c>
      <c r="AR122" s="552">
        <f t="shared" si="3"/>
        <v>0</v>
      </c>
    </row>
    <row r="123" spans="1:44" outlineLevel="1" x14ac:dyDescent="0.25">
      <c r="A123" s="544" t="s">
        <v>1674</v>
      </c>
      <c r="B123" s="545">
        <v>0</v>
      </c>
      <c r="C123" s="544" t="s">
        <v>1674</v>
      </c>
      <c r="D123" s="544" t="s">
        <v>2727</v>
      </c>
      <c r="E123" s="542" t="s">
        <v>2698</v>
      </c>
      <c r="G123" s="546"/>
      <c r="H123" s="546">
        <v>942.48</v>
      </c>
      <c r="I123" s="546"/>
      <c r="J123" s="542" t="s">
        <v>806</v>
      </c>
      <c r="K123" s="547">
        <v>1200</v>
      </c>
      <c r="L123" s="542" t="s">
        <v>806</v>
      </c>
      <c r="M123" s="548"/>
      <c r="N123" s="549"/>
      <c r="O123" s="544" t="s">
        <v>1674</v>
      </c>
      <c r="P123" s="544" t="s">
        <v>1674</v>
      </c>
      <c r="Q123" s="544" t="s">
        <v>2699</v>
      </c>
      <c r="R123" s="544" t="s">
        <v>1674</v>
      </c>
      <c r="S123" s="544" t="s">
        <v>1674</v>
      </c>
      <c r="T123" s="550"/>
      <c r="U123" s="544" t="s">
        <v>2700</v>
      </c>
      <c r="V123" s="547">
        <v>1600</v>
      </c>
      <c r="W123" s="548"/>
      <c r="Y123" s="544" t="s">
        <v>1674</v>
      </c>
      <c r="AA123" s="544" t="s">
        <v>1674</v>
      </c>
      <c r="AE123" s="551"/>
      <c r="AF123" s="544" t="s">
        <v>1674</v>
      </c>
      <c r="AG123" s="544" t="s">
        <v>1674</v>
      </c>
      <c r="AH123" s="544" t="s">
        <v>1674</v>
      </c>
      <c r="AI123" s="544" t="s">
        <v>1674</v>
      </c>
      <c r="AJ123" s="544" t="s">
        <v>1674</v>
      </c>
      <c r="AK123" s="544" t="s">
        <v>1674</v>
      </c>
      <c r="AL123" s="544" t="s">
        <v>1674</v>
      </c>
      <c r="AM123" s="544" t="s">
        <v>1674</v>
      </c>
      <c r="AN123" s="544" t="s">
        <v>1674</v>
      </c>
      <c r="AP123" s="542">
        <f t="shared" si="2"/>
        <v>0</v>
      </c>
      <c r="AR123" s="552">
        <f t="shared" si="3"/>
        <v>0</v>
      </c>
    </row>
    <row r="124" spans="1:44" outlineLevel="1" x14ac:dyDescent="0.25">
      <c r="A124" s="544" t="s">
        <v>1674</v>
      </c>
      <c r="B124" s="545">
        <v>0</v>
      </c>
      <c r="C124" s="544" t="s">
        <v>1674</v>
      </c>
      <c r="D124" s="544" t="s">
        <v>2727</v>
      </c>
      <c r="E124" s="542" t="s">
        <v>2698</v>
      </c>
      <c r="G124" s="546"/>
      <c r="H124" s="546">
        <v>9.52</v>
      </c>
      <c r="I124" s="546"/>
      <c r="J124" s="542" t="s">
        <v>806</v>
      </c>
      <c r="K124" s="547">
        <v>8736</v>
      </c>
      <c r="L124" s="542" t="s">
        <v>806</v>
      </c>
      <c r="M124" s="548"/>
      <c r="N124" s="549"/>
      <c r="O124" s="544" t="s">
        <v>1674</v>
      </c>
      <c r="P124" s="544" t="s">
        <v>1674</v>
      </c>
      <c r="Q124" s="544" t="s">
        <v>2699</v>
      </c>
      <c r="R124" s="544" t="s">
        <v>1674</v>
      </c>
      <c r="S124" s="544" t="s">
        <v>1674</v>
      </c>
      <c r="T124" s="550">
        <v>19</v>
      </c>
      <c r="U124" s="544" t="s">
        <v>2700</v>
      </c>
      <c r="V124" s="547">
        <v>1601</v>
      </c>
      <c r="W124" s="548"/>
      <c r="Y124" s="544" t="s">
        <v>1674</v>
      </c>
      <c r="AA124" s="544" t="s">
        <v>1674</v>
      </c>
      <c r="AE124" s="551"/>
      <c r="AF124" s="544" t="s">
        <v>1674</v>
      </c>
      <c r="AG124" s="544" t="s">
        <v>1674</v>
      </c>
      <c r="AH124" s="544" t="s">
        <v>1674</v>
      </c>
      <c r="AI124" s="544" t="s">
        <v>1674</v>
      </c>
      <c r="AJ124" s="544" t="s">
        <v>1674</v>
      </c>
      <c r="AK124" s="544" t="s">
        <v>1674</v>
      </c>
      <c r="AL124" s="544" t="s">
        <v>1674</v>
      </c>
      <c r="AM124" s="544" t="s">
        <v>1674</v>
      </c>
      <c r="AN124" s="544" t="s">
        <v>1674</v>
      </c>
      <c r="AP124" s="542">
        <f t="shared" si="2"/>
        <v>0</v>
      </c>
      <c r="AR124" s="552">
        <f t="shared" si="3"/>
        <v>0</v>
      </c>
    </row>
    <row r="125" spans="1:44" outlineLevel="1" x14ac:dyDescent="0.25">
      <c r="A125" s="544" t="s">
        <v>1674</v>
      </c>
      <c r="B125" s="545">
        <v>0</v>
      </c>
      <c r="C125" s="544" t="s">
        <v>1674</v>
      </c>
      <c r="D125" s="544" t="s">
        <v>2727</v>
      </c>
      <c r="E125" s="542" t="s">
        <v>3296</v>
      </c>
      <c r="G125" s="546"/>
      <c r="H125" s="546">
        <v>942.48</v>
      </c>
      <c r="I125" s="546"/>
      <c r="J125" s="542" t="s">
        <v>806</v>
      </c>
      <c r="K125" s="547">
        <v>1200</v>
      </c>
      <c r="L125" s="542" t="s">
        <v>806</v>
      </c>
      <c r="M125" s="548"/>
      <c r="N125" s="549"/>
      <c r="O125" s="544" t="s">
        <v>1674</v>
      </c>
      <c r="P125" s="544" t="s">
        <v>1674</v>
      </c>
      <c r="Q125" s="544" t="s">
        <v>3302</v>
      </c>
      <c r="R125" s="544" t="s">
        <v>1674</v>
      </c>
      <c r="S125" s="544" t="s">
        <v>1674</v>
      </c>
      <c r="T125" s="550"/>
      <c r="U125" s="544" t="s">
        <v>3303</v>
      </c>
      <c r="V125" s="547">
        <v>1665</v>
      </c>
      <c r="W125" s="548"/>
      <c r="Y125" s="544" t="s">
        <v>1674</v>
      </c>
      <c r="AA125" s="544" t="s">
        <v>1674</v>
      </c>
      <c r="AE125" s="551"/>
      <c r="AF125" s="544" t="s">
        <v>1674</v>
      </c>
      <c r="AG125" s="544" t="s">
        <v>1674</v>
      </c>
      <c r="AH125" s="544" t="s">
        <v>1674</v>
      </c>
      <c r="AI125" s="544" t="s">
        <v>1674</v>
      </c>
      <c r="AJ125" s="544" t="s">
        <v>1674</v>
      </c>
      <c r="AK125" s="544" t="s">
        <v>1674</v>
      </c>
      <c r="AL125" s="544" t="s">
        <v>1674</v>
      </c>
      <c r="AM125" s="544" t="s">
        <v>1674</v>
      </c>
      <c r="AN125" s="544" t="s">
        <v>1674</v>
      </c>
      <c r="AP125" s="542">
        <f t="shared" si="2"/>
        <v>0</v>
      </c>
      <c r="AR125" s="552">
        <f t="shared" si="3"/>
        <v>0</v>
      </c>
    </row>
    <row r="126" spans="1:44" outlineLevel="1" x14ac:dyDescent="0.25">
      <c r="A126" s="544" t="s">
        <v>1674</v>
      </c>
      <c r="B126" s="545">
        <v>0</v>
      </c>
      <c r="C126" s="544" t="s">
        <v>1674</v>
      </c>
      <c r="D126" s="544" t="s">
        <v>2727</v>
      </c>
      <c r="E126" s="542" t="s">
        <v>3296</v>
      </c>
      <c r="G126" s="546"/>
      <c r="H126" s="546">
        <v>9.52</v>
      </c>
      <c r="I126" s="546"/>
      <c r="J126" s="542" t="s">
        <v>806</v>
      </c>
      <c r="K126" s="547">
        <v>8736</v>
      </c>
      <c r="L126" s="542" t="s">
        <v>806</v>
      </c>
      <c r="M126" s="548"/>
      <c r="N126" s="549"/>
      <c r="O126" s="544" t="s">
        <v>1674</v>
      </c>
      <c r="P126" s="544" t="s">
        <v>1674</v>
      </c>
      <c r="Q126" s="544" t="s">
        <v>3302</v>
      </c>
      <c r="R126" s="544" t="s">
        <v>1674</v>
      </c>
      <c r="S126" s="544" t="s">
        <v>1674</v>
      </c>
      <c r="T126" s="550">
        <v>19</v>
      </c>
      <c r="U126" s="544" t="s">
        <v>3303</v>
      </c>
      <c r="V126" s="547">
        <v>1666</v>
      </c>
      <c r="W126" s="548"/>
      <c r="Y126" s="544" t="s">
        <v>1674</v>
      </c>
      <c r="AA126" s="544" t="s">
        <v>1674</v>
      </c>
      <c r="AE126" s="551"/>
      <c r="AF126" s="544" t="s">
        <v>1674</v>
      </c>
      <c r="AG126" s="544" t="s">
        <v>1674</v>
      </c>
      <c r="AH126" s="544" t="s">
        <v>1674</v>
      </c>
      <c r="AI126" s="544" t="s">
        <v>1674</v>
      </c>
      <c r="AJ126" s="544" t="s">
        <v>1674</v>
      </c>
      <c r="AK126" s="544" t="s">
        <v>1674</v>
      </c>
      <c r="AL126" s="544" t="s">
        <v>1674</v>
      </c>
      <c r="AM126" s="544" t="s">
        <v>1674</v>
      </c>
      <c r="AN126" s="544" t="s">
        <v>1674</v>
      </c>
      <c r="AP126" s="542">
        <f t="shared" si="2"/>
        <v>0</v>
      </c>
      <c r="AR126" s="552">
        <f t="shared" si="3"/>
        <v>0</v>
      </c>
    </row>
    <row r="127" spans="1:44" outlineLevel="1" x14ac:dyDescent="0.25">
      <c r="A127" s="544" t="s">
        <v>1674</v>
      </c>
      <c r="B127" s="545">
        <v>0</v>
      </c>
      <c r="C127" s="544" t="s">
        <v>1674</v>
      </c>
      <c r="D127" s="544" t="s">
        <v>2727</v>
      </c>
      <c r="E127" s="542" t="s">
        <v>3304</v>
      </c>
      <c r="G127" s="546"/>
      <c r="H127" s="546">
        <v>942.48</v>
      </c>
      <c r="I127" s="546"/>
      <c r="J127" s="542" t="s">
        <v>806</v>
      </c>
      <c r="K127" s="547">
        <v>1200</v>
      </c>
      <c r="L127" s="542" t="s">
        <v>806</v>
      </c>
      <c r="M127" s="548"/>
      <c r="N127" s="549"/>
      <c r="O127" s="544" t="s">
        <v>1674</v>
      </c>
      <c r="P127" s="544" t="s">
        <v>1674</v>
      </c>
      <c r="Q127" s="544" t="s">
        <v>3305</v>
      </c>
      <c r="R127" s="544" t="s">
        <v>1674</v>
      </c>
      <c r="S127" s="544" t="s">
        <v>1674</v>
      </c>
      <c r="T127" s="550"/>
      <c r="U127" s="544" t="s">
        <v>3306</v>
      </c>
      <c r="V127" s="547">
        <v>1607</v>
      </c>
      <c r="W127" s="548"/>
      <c r="Y127" s="544" t="s">
        <v>1674</v>
      </c>
      <c r="AA127" s="544" t="s">
        <v>1674</v>
      </c>
      <c r="AE127" s="551"/>
      <c r="AF127" s="544" t="s">
        <v>1674</v>
      </c>
      <c r="AG127" s="544" t="s">
        <v>1674</v>
      </c>
      <c r="AH127" s="544" t="s">
        <v>1674</v>
      </c>
      <c r="AI127" s="544" t="s">
        <v>1674</v>
      </c>
      <c r="AJ127" s="544" t="s">
        <v>1674</v>
      </c>
      <c r="AK127" s="544" t="s">
        <v>1674</v>
      </c>
      <c r="AL127" s="544" t="s">
        <v>1674</v>
      </c>
      <c r="AM127" s="544" t="s">
        <v>1674</v>
      </c>
      <c r="AN127" s="544" t="s">
        <v>1674</v>
      </c>
      <c r="AP127" s="542">
        <f t="shared" si="2"/>
        <v>0</v>
      </c>
      <c r="AR127" s="552">
        <f t="shared" si="3"/>
        <v>0</v>
      </c>
    </row>
    <row r="128" spans="1:44" outlineLevel="1" x14ac:dyDescent="0.25">
      <c r="A128" s="544" t="s">
        <v>1674</v>
      </c>
      <c r="B128" s="545">
        <v>0</v>
      </c>
      <c r="C128" s="544" t="s">
        <v>1674</v>
      </c>
      <c r="D128" s="544" t="s">
        <v>2727</v>
      </c>
      <c r="E128" s="542" t="s">
        <v>3304</v>
      </c>
      <c r="G128" s="546"/>
      <c r="H128" s="546">
        <v>9.52</v>
      </c>
      <c r="I128" s="546"/>
      <c r="J128" s="542" t="s">
        <v>806</v>
      </c>
      <c r="K128" s="547">
        <v>8736</v>
      </c>
      <c r="L128" s="542" t="s">
        <v>806</v>
      </c>
      <c r="M128" s="548"/>
      <c r="N128" s="549"/>
      <c r="O128" s="544" t="s">
        <v>1674</v>
      </c>
      <c r="P128" s="544" t="s">
        <v>1674</v>
      </c>
      <c r="Q128" s="544" t="s">
        <v>3305</v>
      </c>
      <c r="R128" s="544" t="s">
        <v>1674</v>
      </c>
      <c r="S128" s="544" t="s">
        <v>1674</v>
      </c>
      <c r="T128" s="550">
        <v>19</v>
      </c>
      <c r="U128" s="544" t="s">
        <v>3306</v>
      </c>
      <c r="V128" s="547">
        <v>1608</v>
      </c>
      <c r="W128" s="548"/>
      <c r="Y128" s="544" t="s">
        <v>1674</v>
      </c>
      <c r="AA128" s="544" t="s">
        <v>1674</v>
      </c>
      <c r="AE128" s="551"/>
      <c r="AF128" s="544" t="s">
        <v>1674</v>
      </c>
      <c r="AG128" s="544" t="s">
        <v>1674</v>
      </c>
      <c r="AH128" s="544" t="s">
        <v>1674</v>
      </c>
      <c r="AI128" s="544" t="s">
        <v>1674</v>
      </c>
      <c r="AJ128" s="544" t="s">
        <v>1674</v>
      </c>
      <c r="AK128" s="544" t="s">
        <v>1674</v>
      </c>
      <c r="AL128" s="544" t="s">
        <v>1674</v>
      </c>
      <c r="AM128" s="544" t="s">
        <v>1674</v>
      </c>
      <c r="AN128" s="544" t="s">
        <v>1674</v>
      </c>
      <c r="AP128" s="542">
        <f t="shared" si="2"/>
        <v>0</v>
      </c>
      <c r="AR128" s="552">
        <f t="shared" si="3"/>
        <v>0</v>
      </c>
    </row>
    <row r="129" spans="1:44" outlineLevel="1" x14ac:dyDescent="0.25">
      <c r="A129" s="544" t="s">
        <v>1674</v>
      </c>
      <c r="B129" s="545">
        <v>0</v>
      </c>
      <c r="C129" s="544" t="s">
        <v>1674</v>
      </c>
      <c r="D129" s="544" t="s">
        <v>2727</v>
      </c>
      <c r="E129" s="542" t="s">
        <v>3307</v>
      </c>
      <c r="G129" s="546"/>
      <c r="H129" s="546">
        <v>942.48</v>
      </c>
      <c r="I129" s="546"/>
      <c r="J129" s="542" t="s">
        <v>806</v>
      </c>
      <c r="K129" s="547">
        <v>1200</v>
      </c>
      <c r="L129" s="542" t="s">
        <v>806</v>
      </c>
      <c r="M129" s="548"/>
      <c r="N129" s="549"/>
      <c r="O129" s="544" t="s">
        <v>1674</v>
      </c>
      <c r="P129" s="544" t="s">
        <v>1674</v>
      </c>
      <c r="Q129" s="544" t="s">
        <v>3308</v>
      </c>
      <c r="R129" s="544" t="s">
        <v>1674</v>
      </c>
      <c r="S129" s="544" t="s">
        <v>1674</v>
      </c>
      <c r="T129" s="550"/>
      <c r="U129" s="544" t="s">
        <v>3309</v>
      </c>
      <c r="V129" s="547">
        <v>1703</v>
      </c>
      <c r="W129" s="548"/>
      <c r="Y129" s="544" t="s">
        <v>1674</v>
      </c>
      <c r="AA129" s="544" t="s">
        <v>1674</v>
      </c>
      <c r="AE129" s="551"/>
      <c r="AF129" s="544" t="s">
        <v>1674</v>
      </c>
      <c r="AG129" s="544" t="s">
        <v>1674</v>
      </c>
      <c r="AH129" s="544" t="s">
        <v>1674</v>
      </c>
      <c r="AI129" s="544" t="s">
        <v>1674</v>
      </c>
      <c r="AJ129" s="544" t="s">
        <v>1674</v>
      </c>
      <c r="AK129" s="544" t="s">
        <v>1674</v>
      </c>
      <c r="AL129" s="544" t="s">
        <v>1674</v>
      </c>
      <c r="AM129" s="544" t="s">
        <v>1674</v>
      </c>
      <c r="AN129" s="544" t="s">
        <v>1674</v>
      </c>
      <c r="AP129" s="542">
        <f t="shared" si="2"/>
        <v>0</v>
      </c>
      <c r="AR129" s="552">
        <f t="shared" si="3"/>
        <v>0</v>
      </c>
    </row>
    <row r="130" spans="1:44" outlineLevel="1" x14ac:dyDescent="0.25">
      <c r="A130" s="544" t="s">
        <v>1674</v>
      </c>
      <c r="B130" s="545">
        <v>0</v>
      </c>
      <c r="C130" s="544" t="s">
        <v>1674</v>
      </c>
      <c r="D130" s="544" t="s">
        <v>2727</v>
      </c>
      <c r="E130" s="542" t="s">
        <v>3307</v>
      </c>
      <c r="G130" s="546"/>
      <c r="H130" s="546">
        <v>9.52</v>
      </c>
      <c r="I130" s="546"/>
      <c r="J130" s="542" t="s">
        <v>806</v>
      </c>
      <c r="K130" s="547">
        <v>8736</v>
      </c>
      <c r="L130" s="542" t="s">
        <v>806</v>
      </c>
      <c r="M130" s="548"/>
      <c r="N130" s="549"/>
      <c r="O130" s="544" t="s">
        <v>1674</v>
      </c>
      <c r="P130" s="544" t="s">
        <v>1674</v>
      </c>
      <c r="Q130" s="544" t="s">
        <v>3308</v>
      </c>
      <c r="R130" s="544" t="s">
        <v>1674</v>
      </c>
      <c r="S130" s="544" t="s">
        <v>1674</v>
      </c>
      <c r="T130" s="550">
        <v>19</v>
      </c>
      <c r="U130" s="544" t="s">
        <v>3309</v>
      </c>
      <c r="V130" s="547">
        <v>1704</v>
      </c>
      <c r="W130" s="548"/>
      <c r="Y130" s="544" t="s">
        <v>1674</v>
      </c>
      <c r="AA130" s="544" t="s">
        <v>1674</v>
      </c>
      <c r="AE130" s="551"/>
      <c r="AF130" s="544" t="s">
        <v>1674</v>
      </c>
      <c r="AG130" s="544" t="s">
        <v>1674</v>
      </c>
      <c r="AH130" s="544" t="s">
        <v>1674</v>
      </c>
      <c r="AI130" s="544" t="s">
        <v>1674</v>
      </c>
      <c r="AJ130" s="544" t="s">
        <v>1674</v>
      </c>
      <c r="AK130" s="544" t="s">
        <v>1674</v>
      </c>
      <c r="AL130" s="544" t="s">
        <v>1674</v>
      </c>
      <c r="AM130" s="544" t="s">
        <v>1674</v>
      </c>
      <c r="AN130" s="544" t="s">
        <v>1674</v>
      </c>
      <c r="AP130" s="542">
        <f t="shared" si="2"/>
        <v>0</v>
      </c>
      <c r="AR130" s="552">
        <f t="shared" si="3"/>
        <v>0</v>
      </c>
    </row>
    <row r="131" spans="1:44" outlineLevel="1" x14ac:dyDescent="0.25">
      <c r="A131" s="544" t="s">
        <v>1674</v>
      </c>
      <c r="B131" s="545">
        <v>0</v>
      </c>
      <c r="C131" s="544" t="s">
        <v>1674</v>
      </c>
      <c r="D131" s="544" t="s">
        <v>2727</v>
      </c>
      <c r="E131" s="542" t="s">
        <v>3310</v>
      </c>
      <c r="G131" s="546"/>
      <c r="H131" s="546">
        <v>847.28</v>
      </c>
      <c r="I131" s="546"/>
      <c r="J131" s="542" t="s">
        <v>806</v>
      </c>
      <c r="K131" s="547">
        <v>1200</v>
      </c>
      <c r="L131" s="542" t="s">
        <v>806</v>
      </c>
      <c r="M131" s="548"/>
      <c r="N131" s="549"/>
      <c r="O131" s="544" t="s">
        <v>1674</v>
      </c>
      <c r="P131" s="544" t="s">
        <v>1674</v>
      </c>
      <c r="Q131" s="544" t="s">
        <v>3311</v>
      </c>
      <c r="R131" s="544" t="s">
        <v>1674</v>
      </c>
      <c r="S131" s="544" t="s">
        <v>1674</v>
      </c>
      <c r="T131" s="550"/>
      <c r="U131" s="544" t="s">
        <v>3312</v>
      </c>
      <c r="V131" s="547">
        <v>1859</v>
      </c>
      <c r="W131" s="548"/>
      <c r="Y131" s="544" t="s">
        <v>1674</v>
      </c>
      <c r="AA131" s="544" t="s">
        <v>1674</v>
      </c>
      <c r="AE131" s="551"/>
      <c r="AF131" s="544" t="s">
        <v>1674</v>
      </c>
      <c r="AG131" s="544" t="s">
        <v>1674</v>
      </c>
      <c r="AH131" s="544" t="s">
        <v>1674</v>
      </c>
      <c r="AI131" s="544" t="s">
        <v>1674</v>
      </c>
      <c r="AJ131" s="544" t="s">
        <v>1674</v>
      </c>
      <c r="AK131" s="544" t="s">
        <v>1674</v>
      </c>
      <c r="AL131" s="544" t="s">
        <v>1674</v>
      </c>
      <c r="AM131" s="544" t="s">
        <v>1674</v>
      </c>
      <c r="AN131" s="544" t="s">
        <v>1674</v>
      </c>
      <c r="AP131" s="542">
        <f t="shared" si="2"/>
        <v>0</v>
      </c>
      <c r="AR131" s="552">
        <f t="shared" si="3"/>
        <v>0</v>
      </c>
    </row>
    <row r="132" spans="1:44" outlineLevel="1" x14ac:dyDescent="0.25">
      <c r="A132" s="544" t="s">
        <v>1674</v>
      </c>
      <c r="B132" s="545">
        <v>0</v>
      </c>
      <c r="C132" s="544" t="s">
        <v>1674</v>
      </c>
      <c r="D132" s="544" t="s">
        <v>2727</v>
      </c>
      <c r="E132" s="542" t="s">
        <v>3310</v>
      </c>
      <c r="G132" s="546"/>
      <c r="H132" s="546">
        <v>104.72</v>
      </c>
      <c r="I132" s="546"/>
      <c r="J132" s="542" t="s">
        <v>806</v>
      </c>
      <c r="K132" s="547">
        <v>8736</v>
      </c>
      <c r="L132" s="542" t="s">
        <v>806</v>
      </c>
      <c r="M132" s="548"/>
      <c r="N132" s="549"/>
      <c r="O132" s="544" t="s">
        <v>1674</v>
      </c>
      <c r="P132" s="544" t="s">
        <v>1674</v>
      </c>
      <c r="Q132" s="544" t="s">
        <v>3311</v>
      </c>
      <c r="R132" s="544" t="s">
        <v>1674</v>
      </c>
      <c r="S132" s="544" t="s">
        <v>1674</v>
      </c>
      <c r="T132" s="550">
        <v>19</v>
      </c>
      <c r="U132" s="544" t="s">
        <v>3312</v>
      </c>
      <c r="V132" s="547">
        <v>1860</v>
      </c>
      <c r="W132" s="548"/>
      <c r="Y132" s="544" t="s">
        <v>1674</v>
      </c>
      <c r="AA132" s="544" t="s">
        <v>1674</v>
      </c>
      <c r="AE132" s="551"/>
      <c r="AF132" s="544" t="s">
        <v>1674</v>
      </c>
      <c r="AG132" s="544" t="s">
        <v>1674</v>
      </c>
      <c r="AH132" s="544" t="s">
        <v>1674</v>
      </c>
      <c r="AI132" s="544" t="s">
        <v>1674</v>
      </c>
      <c r="AJ132" s="544" t="s">
        <v>1674</v>
      </c>
      <c r="AK132" s="544" t="s">
        <v>1674</v>
      </c>
      <c r="AL132" s="544" t="s">
        <v>1674</v>
      </c>
      <c r="AM132" s="544" t="s">
        <v>1674</v>
      </c>
      <c r="AN132" s="544" t="s">
        <v>1674</v>
      </c>
      <c r="AP132" s="542">
        <f t="shared" ref="AP132:AP158" si="4">IF(F132&lt;&gt;0,($AP$2-$F132)*-1,0)</f>
        <v>0</v>
      </c>
      <c r="AR132" s="552">
        <f t="shared" ref="AR132:AR195" si="5">IF(J132="S",+I132,-I132)</f>
        <v>0</v>
      </c>
    </row>
    <row r="133" spans="1:44" outlineLevel="1" x14ac:dyDescent="0.25">
      <c r="A133" s="544" t="s">
        <v>1674</v>
      </c>
      <c r="B133" s="545">
        <v>0</v>
      </c>
      <c r="C133" s="544" t="s">
        <v>1674</v>
      </c>
      <c r="D133" s="544" t="s">
        <v>2727</v>
      </c>
      <c r="E133" s="542" t="s">
        <v>3313</v>
      </c>
      <c r="G133" s="546"/>
      <c r="H133" s="546">
        <v>942.48</v>
      </c>
      <c r="I133" s="546"/>
      <c r="J133" s="542" t="s">
        <v>806</v>
      </c>
      <c r="K133" s="547">
        <v>1200</v>
      </c>
      <c r="L133" s="542" t="s">
        <v>806</v>
      </c>
      <c r="M133" s="548"/>
      <c r="N133" s="549"/>
      <c r="O133" s="544" t="s">
        <v>1674</v>
      </c>
      <c r="P133" s="544" t="s">
        <v>1674</v>
      </c>
      <c r="Q133" s="544" t="s">
        <v>3314</v>
      </c>
      <c r="R133" s="544" t="s">
        <v>1674</v>
      </c>
      <c r="S133" s="544" t="s">
        <v>1674</v>
      </c>
      <c r="T133" s="550"/>
      <c r="U133" s="544" t="s">
        <v>3315</v>
      </c>
      <c r="V133" s="547">
        <v>66</v>
      </c>
      <c r="W133" s="548"/>
      <c r="Y133" s="544" t="s">
        <v>1674</v>
      </c>
      <c r="AA133" s="544" t="s">
        <v>1674</v>
      </c>
      <c r="AE133" s="551"/>
      <c r="AF133" s="544" t="s">
        <v>1674</v>
      </c>
      <c r="AG133" s="544" t="s">
        <v>1674</v>
      </c>
      <c r="AH133" s="544" t="s">
        <v>1674</v>
      </c>
      <c r="AI133" s="544" t="s">
        <v>1674</v>
      </c>
      <c r="AJ133" s="544" t="s">
        <v>1674</v>
      </c>
      <c r="AK133" s="544" t="s">
        <v>1674</v>
      </c>
      <c r="AL133" s="544" t="s">
        <v>1674</v>
      </c>
      <c r="AM133" s="544" t="s">
        <v>1674</v>
      </c>
      <c r="AN133" s="544" t="s">
        <v>1674</v>
      </c>
      <c r="AP133" s="542">
        <f t="shared" si="4"/>
        <v>0</v>
      </c>
      <c r="AR133" s="552">
        <f t="shared" si="5"/>
        <v>0</v>
      </c>
    </row>
    <row r="134" spans="1:44" outlineLevel="1" x14ac:dyDescent="0.25">
      <c r="A134" s="544" t="s">
        <v>1674</v>
      </c>
      <c r="B134" s="545">
        <v>0</v>
      </c>
      <c r="C134" s="544" t="s">
        <v>1674</v>
      </c>
      <c r="D134" s="544" t="s">
        <v>2727</v>
      </c>
      <c r="E134" s="542" t="s">
        <v>3313</v>
      </c>
      <c r="G134" s="546"/>
      <c r="H134" s="546">
        <v>9.52</v>
      </c>
      <c r="I134" s="546"/>
      <c r="J134" s="542" t="s">
        <v>806</v>
      </c>
      <c r="K134" s="547">
        <v>8736</v>
      </c>
      <c r="L134" s="542" t="s">
        <v>806</v>
      </c>
      <c r="M134" s="548"/>
      <c r="N134" s="549"/>
      <c r="O134" s="544" t="s">
        <v>1674</v>
      </c>
      <c r="P134" s="544" t="s">
        <v>1674</v>
      </c>
      <c r="Q134" s="544" t="s">
        <v>3314</v>
      </c>
      <c r="R134" s="544" t="s">
        <v>1674</v>
      </c>
      <c r="S134" s="544" t="s">
        <v>1674</v>
      </c>
      <c r="T134" s="550">
        <v>19</v>
      </c>
      <c r="U134" s="544" t="s">
        <v>3315</v>
      </c>
      <c r="V134" s="547">
        <v>67</v>
      </c>
      <c r="W134" s="548"/>
      <c r="Y134" s="544" t="s">
        <v>1674</v>
      </c>
      <c r="AA134" s="544" t="s">
        <v>1674</v>
      </c>
      <c r="AE134" s="551"/>
      <c r="AF134" s="544" t="s">
        <v>1674</v>
      </c>
      <c r="AG134" s="544" t="s">
        <v>1674</v>
      </c>
      <c r="AH134" s="544" t="s">
        <v>1674</v>
      </c>
      <c r="AI134" s="544" t="s">
        <v>1674</v>
      </c>
      <c r="AJ134" s="544" t="s">
        <v>1674</v>
      </c>
      <c r="AK134" s="544" t="s">
        <v>1674</v>
      </c>
      <c r="AL134" s="544" t="s">
        <v>1674</v>
      </c>
      <c r="AM134" s="544" t="s">
        <v>1674</v>
      </c>
      <c r="AN134" s="544" t="s">
        <v>1674</v>
      </c>
      <c r="AP134" s="542">
        <f t="shared" si="4"/>
        <v>0</v>
      </c>
      <c r="AR134" s="552">
        <f t="shared" si="5"/>
        <v>0</v>
      </c>
    </row>
    <row r="135" spans="1:44" outlineLevel="1" x14ac:dyDescent="0.25">
      <c r="A135" s="544" t="s">
        <v>1674</v>
      </c>
      <c r="B135" s="545">
        <v>0</v>
      </c>
      <c r="C135" s="544" t="s">
        <v>1674</v>
      </c>
      <c r="D135" s="544" t="s">
        <v>2727</v>
      </c>
      <c r="E135" s="542" t="s">
        <v>3316</v>
      </c>
      <c r="G135" s="546"/>
      <c r="H135" s="546">
        <v>847.28</v>
      </c>
      <c r="I135" s="546"/>
      <c r="J135" s="542" t="s">
        <v>806</v>
      </c>
      <c r="K135" s="547">
        <v>1200</v>
      </c>
      <c r="L135" s="542" t="s">
        <v>806</v>
      </c>
      <c r="M135" s="548"/>
      <c r="N135" s="549"/>
      <c r="O135" s="544" t="s">
        <v>1674</v>
      </c>
      <c r="P135" s="544" t="s">
        <v>1674</v>
      </c>
      <c r="Q135" s="544" t="s">
        <v>3317</v>
      </c>
      <c r="R135" s="544" t="s">
        <v>1674</v>
      </c>
      <c r="S135" s="544" t="s">
        <v>1674</v>
      </c>
      <c r="T135" s="550"/>
      <c r="U135" s="544" t="s">
        <v>3315</v>
      </c>
      <c r="V135" s="547">
        <v>1658</v>
      </c>
      <c r="W135" s="548"/>
      <c r="Y135" s="544" t="s">
        <v>1674</v>
      </c>
      <c r="AA135" s="544" t="s">
        <v>1674</v>
      </c>
      <c r="AE135" s="551"/>
      <c r="AF135" s="544" t="s">
        <v>1674</v>
      </c>
      <c r="AG135" s="544" t="s">
        <v>1674</v>
      </c>
      <c r="AH135" s="544" t="s">
        <v>1674</v>
      </c>
      <c r="AI135" s="544" t="s">
        <v>1674</v>
      </c>
      <c r="AJ135" s="544" t="s">
        <v>1674</v>
      </c>
      <c r="AK135" s="544" t="s">
        <v>1674</v>
      </c>
      <c r="AL135" s="544" t="s">
        <v>1674</v>
      </c>
      <c r="AM135" s="544" t="s">
        <v>1674</v>
      </c>
      <c r="AN135" s="544" t="s">
        <v>1674</v>
      </c>
      <c r="AP135" s="542">
        <f t="shared" si="4"/>
        <v>0</v>
      </c>
      <c r="AR135" s="552">
        <f t="shared" si="5"/>
        <v>0</v>
      </c>
    </row>
    <row r="136" spans="1:44" outlineLevel="1" x14ac:dyDescent="0.25">
      <c r="A136" s="544" t="s">
        <v>1674</v>
      </c>
      <c r="B136" s="545">
        <v>0</v>
      </c>
      <c r="C136" s="544" t="s">
        <v>1674</v>
      </c>
      <c r="D136" s="544" t="s">
        <v>2727</v>
      </c>
      <c r="E136" s="542" t="s">
        <v>3316</v>
      </c>
      <c r="G136" s="546"/>
      <c r="H136" s="546">
        <v>104.72</v>
      </c>
      <c r="I136" s="546"/>
      <c r="J136" s="542" t="s">
        <v>806</v>
      </c>
      <c r="K136" s="547">
        <v>8736</v>
      </c>
      <c r="L136" s="542" t="s">
        <v>806</v>
      </c>
      <c r="M136" s="548"/>
      <c r="N136" s="549"/>
      <c r="O136" s="544" t="s">
        <v>1674</v>
      </c>
      <c r="P136" s="544" t="s">
        <v>1674</v>
      </c>
      <c r="Q136" s="544" t="s">
        <v>3317</v>
      </c>
      <c r="R136" s="544" t="s">
        <v>1674</v>
      </c>
      <c r="S136" s="544" t="s">
        <v>1674</v>
      </c>
      <c r="T136" s="550">
        <v>19</v>
      </c>
      <c r="U136" s="544" t="s">
        <v>3315</v>
      </c>
      <c r="V136" s="547">
        <v>1659</v>
      </c>
      <c r="W136" s="548"/>
      <c r="Y136" s="544" t="s">
        <v>1674</v>
      </c>
      <c r="AA136" s="544" t="s">
        <v>1674</v>
      </c>
      <c r="AE136" s="551"/>
      <c r="AF136" s="544" t="s">
        <v>1674</v>
      </c>
      <c r="AG136" s="544" t="s">
        <v>1674</v>
      </c>
      <c r="AH136" s="544" t="s">
        <v>1674</v>
      </c>
      <c r="AI136" s="544" t="s">
        <v>1674</v>
      </c>
      <c r="AJ136" s="544" t="s">
        <v>1674</v>
      </c>
      <c r="AK136" s="544" t="s">
        <v>1674</v>
      </c>
      <c r="AL136" s="544" t="s">
        <v>1674</v>
      </c>
      <c r="AM136" s="544" t="s">
        <v>1674</v>
      </c>
      <c r="AN136" s="544" t="s">
        <v>1674</v>
      </c>
      <c r="AP136" s="542">
        <f t="shared" si="4"/>
        <v>0</v>
      </c>
      <c r="AR136" s="552">
        <f t="shared" si="5"/>
        <v>0</v>
      </c>
    </row>
    <row r="137" spans="1:44" outlineLevel="1" x14ac:dyDescent="0.25">
      <c r="A137" s="544" t="s">
        <v>1674</v>
      </c>
      <c r="B137" s="545">
        <v>0</v>
      </c>
      <c r="C137" s="544" t="s">
        <v>1674</v>
      </c>
      <c r="D137" s="544" t="s">
        <v>2727</v>
      </c>
      <c r="E137" s="542" t="s">
        <v>3318</v>
      </c>
      <c r="G137" s="546"/>
      <c r="H137" s="546">
        <v>847.28</v>
      </c>
      <c r="I137" s="546"/>
      <c r="J137" s="542" t="s">
        <v>806</v>
      </c>
      <c r="K137" s="547">
        <v>1200</v>
      </c>
      <c r="L137" s="542" t="s">
        <v>806</v>
      </c>
      <c r="M137" s="548"/>
      <c r="N137" s="549"/>
      <c r="O137" s="544" t="s">
        <v>1674</v>
      </c>
      <c r="P137" s="544" t="s">
        <v>1674</v>
      </c>
      <c r="Q137" s="544" t="s">
        <v>3319</v>
      </c>
      <c r="R137" s="544" t="s">
        <v>1674</v>
      </c>
      <c r="S137" s="544" t="s">
        <v>1674</v>
      </c>
      <c r="T137" s="550"/>
      <c r="U137" s="544" t="s">
        <v>3320</v>
      </c>
      <c r="V137" s="547">
        <v>1741</v>
      </c>
      <c r="W137" s="548"/>
      <c r="Y137" s="544" t="s">
        <v>1674</v>
      </c>
      <c r="AA137" s="544" t="s">
        <v>1674</v>
      </c>
      <c r="AE137" s="551"/>
      <c r="AF137" s="544" t="s">
        <v>1674</v>
      </c>
      <c r="AG137" s="544" t="s">
        <v>1674</v>
      </c>
      <c r="AH137" s="544" t="s">
        <v>1674</v>
      </c>
      <c r="AI137" s="544" t="s">
        <v>1674</v>
      </c>
      <c r="AJ137" s="544" t="s">
        <v>1674</v>
      </c>
      <c r="AK137" s="544" t="s">
        <v>1674</v>
      </c>
      <c r="AL137" s="544" t="s">
        <v>1674</v>
      </c>
      <c r="AM137" s="544" t="s">
        <v>1674</v>
      </c>
      <c r="AN137" s="544" t="s">
        <v>1674</v>
      </c>
      <c r="AP137" s="542">
        <f t="shared" si="4"/>
        <v>0</v>
      </c>
      <c r="AR137" s="552">
        <f t="shared" si="5"/>
        <v>0</v>
      </c>
    </row>
    <row r="138" spans="1:44" outlineLevel="1" x14ac:dyDescent="0.25">
      <c r="A138" s="544" t="s">
        <v>1674</v>
      </c>
      <c r="B138" s="545">
        <v>0</v>
      </c>
      <c r="C138" s="544" t="s">
        <v>1674</v>
      </c>
      <c r="D138" s="544" t="s">
        <v>2727</v>
      </c>
      <c r="E138" s="542" t="s">
        <v>3318</v>
      </c>
      <c r="G138" s="546"/>
      <c r="H138" s="546">
        <v>104.72</v>
      </c>
      <c r="I138" s="546"/>
      <c r="J138" s="542" t="s">
        <v>806</v>
      </c>
      <c r="K138" s="547">
        <v>8736</v>
      </c>
      <c r="L138" s="542" t="s">
        <v>806</v>
      </c>
      <c r="M138" s="548"/>
      <c r="N138" s="549"/>
      <c r="O138" s="544" t="s">
        <v>1674</v>
      </c>
      <c r="P138" s="544" t="s">
        <v>1674</v>
      </c>
      <c r="Q138" s="544" t="s">
        <v>3319</v>
      </c>
      <c r="R138" s="544" t="s">
        <v>1674</v>
      </c>
      <c r="S138" s="544" t="s">
        <v>1674</v>
      </c>
      <c r="T138" s="550">
        <v>19</v>
      </c>
      <c r="U138" s="544" t="s">
        <v>3320</v>
      </c>
      <c r="V138" s="547">
        <v>1742</v>
      </c>
      <c r="W138" s="548"/>
      <c r="Y138" s="544" t="s">
        <v>1674</v>
      </c>
      <c r="AA138" s="544" t="s">
        <v>1674</v>
      </c>
      <c r="AE138" s="551"/>
      <c r="AF138" s="544" t="s">
        <v>1674</v>
      </c>
      <c r="AG138" s="544" t="s">
        <v>1674</v>
      </c>
      <c r="AH138" s="544" t="s">
        <v>1674</v>
      </c>
      <c r="AI138" s="544" t="s">
        <v>1674</v>
      </c>
      <c r="AJ138" s="544" t="s">
        <v>1674</v>
      </c>
      <c r="AK138" s="544" t="s">
        <v>1674</v>
      </c>
      <c r="AL138" s="544" t="s">
        <v>1674</v>
      </c>
      <c r="AM138" s="544" t="s">
        <v>1674</v>
      </c>
      <c r="AN138" s="544" t="s">
        <v>1674</v>
      </c>
      <c r="AP138" s="542">
        <f t="shared" si="4"/>
        <v>0</v>
      </c>
      <c r="AR138" s="552">
        <f t="shared" si="5"/>
        <v>0</v>
      </c>
    </row>
    <row r="139" spans="1:44" outlineLevel="1" x14ac:dyDescent="0.25">
      <c r="A139" s="544" t="s">
        <v>1674</v>
      </c>
      <c r="B139" s="545">
        <v>0</v>
      </c>
      <c r="C139" s="544" t="s">
        <v>1674</v>
      </c>
      <c r="D139" s="544" t="s">
        <v>2727</v>
      </c>
      <c r="E139" s="542" t="s">
        <v>3321</v>
      </c>
      <c r="G139" s="546"/>
      <c r="H139" s="546">
        <v>952</v>
      </c>
      <c r="I139" s="546">
        <v>1190</v>
      </c>
      <c r="J139" s="542" t="s">
        <v>2701</v>
      </c>
      <c r="K139" s="547">
        <v>1200</v>
      </c>
      <c r="L139" s="542" t="s">
        <v>806</v>
      </c>
      <c r="M139" s="548"/>
      <c r="N139" s="549"/>
      <c r="O139" s="544" t="s">
        <v>1674</v>
      </c>
      <c r="P139" s="544" t="s">
        <v>1674</v>
      </c>
      <c r="Q139" s="544" t="s">
        <v>3322</v>
      </c>
      <c r="R139" s="544" t="s">
        <v>1674</v>
      </c>
      <c r="S139" s="544" t="s">
        <v>1674</v>
      </c>
      <c r="T139" s="550"/>
      <c r="U139" s="544" t="s">
        <v>3323</v>
      </c>
      <c r="V139" s="547">
        <v>1464</v>
      </c>
      <c r="W139" s="548"/>
      <c r="Y139" s="544" t="s">
        <v>1674</v>
      </c>
      <c r="AA139" s="544" t="s">
        <v>1674</v>
      </c>
      <c r="AE139" s="551"/>
      <c r="AF139" s="544" t="s">
        <v>1674</v>
      </c>
      <c r="AG139" s="544" t="s">
        <v>1674</v>
      </c>
      <c r="AH139" s="544" t="s">
        <v>1674</v>
      </c>
      <c r="AI139" s="544" t="s">
        <v>1674</v>
      </c>
      <c r="AJ139" s="544" t="s">
        <v>1674</v>
      </c>
      <c r="AK139" s="544" t="s">
        <v>1674</v>
      </c>
      <c r="AL139" s="544" t="s">
        <v>1674</v>
      </c>
      <c r="AM139" s="544" t="s">
        <v>1674</v>
      </c>
      <c r="AN139" s="544" t="s">
        <v>1674</v>
      </c>
      <c r="AP139" s="542">
        <f t="shared" si="4"/>
        <v>0</v>
      </c>
      <c r="AR139" s="552">
        <f t="shared" si="5"/>
        <v>1190</v>
      </c>
    </row>
    <row r="140" spans="1:44" outlineLevel="1" x14ac:dyDescent="0.25">
      <c r="A140" s="544" t="s">
        <v>1674</v>
      </c>
      <c r="B140" s="545">
        <v>10400</v>
      </c>
      <c r="C140" s="544" t="s">
        <v>2730</v>
      </c>
      <c r="D140" s="544" t="s">
        <v>2731</v>
      </c>
      <c r="E140" s="542" t="s">
        <v>2732</v>
      </c>
      <c r="F140" s="542" t="s">
        <v>2668</v>
      </c>
      <c r="G140" s="546">
        <v>142.80000000000001</v>
      </c>
      <c r="H140" s="546"/>
      <c r="I140" s="546">
        <v>142.80000000000001</v>
      </c>
      <c r="J140" s="542" t="s">
        <v>2701</v>
      </c>
      <c r="K140" s="547">
        <v>8404</v>
      </c>
      <c r="L140" s="542" t="s">
        <v>806</v>
      </c>
      <c r="M140" s="548"/>
      <c r="N140" s="549">
        <v>-640</v>
      </c>
      <c r="O140" s="544" t="s">
        <v>1674</v>
      </c>
      <c r="P140" s="544" t="s">
        <v>1674</v>
      </c>
      <c r="Q140" s="544" t="s">
        <v>2733</v>
      </c>
      <c r="R140" s="544" t="s">
        <v>1674</v>
      </c>
      <c r="S140" s="544" t="s">
        <v>1674</v>
      </c>
      <c r="T140" s="550">
        <v>19</v>
      </c>
      <c r="U140" s="544" t="s">
        <v>2667</v>
      </c>
      <c r="V140" s="547">
        <v>1665</v>
      </c>
      <c r="W140" s="548"/>
      <c r="Y140" s="544" t="s">
        <v>1674</v>
      </c>
      <c r="AA140" s="544" t="s">
        <v>1674</v>
      </c>
      <c r="AE140" s="551"/>
      <c r="AF140" s="544" t="s">
        <v>1674</v>
      </c>
      <c r="AG140" s="544" t="s">
        <v>1674</v>
      </c>
      <c r="AH140" s="544" t="s">
        <v>1674</v>
      </c>
      <c r="AI140" s="544" t="s">
        <v>1674</v>
      </c>
      <c r="AJ140" s="544" t="s">
        <v>1674</v>
      </c>
      <c r="AK140" s="544" t="s">
        <v>1674</v>
      </c>
      <c r="AL140" s="544" t="s">
        <v>1674</v>
      </c>
      <c r="AM140" s="544" t="s">
        <v>2730</v>
      </c>
      <c r="AN140" s="544" t="s">
        <v>1674</v>
      </c>
      <c r="AP140" s="542">
        <f t="shared" si="4"/>
        <v>-579</v>
      </c>
      <c r="AR140" s="552">
        <f t="shared" si="5"/>
        <v>142.80000000000001</v>
      </c>
    </row>
    <row r="141" spans="1:44" outlineLevel="1" x14ac:dyDescent="0.25">
      <c r="A141" s="544" t="s">
        <v>2722</v>
      </c>
      <c r="B141" s="545">
        <v>11800</v>
      </c>
      <c r="C141" s="544" t="s">
        <v>2581</v>
      </c>
      <c r="D141" s="544" t="s">
        <v>2739</v>
      </c>
      <c r="E141" s="542" t="s">
        <v>2740</v>
      </c>
      <c r="F141" s="542" t="s">
        <v>2741</v>
      </c>
      <c r="G141" s="546">
        <v>17195.5</v>
      </c>
      <c r="H141" s="546"/>
      <c r="I141" s="546"/>
      <c r="J141" s="542" t="s">
        <v>806</v>
      </c>
      <c r="K141" s="547">
        <v>8820</v>
      </c>
      <c r="L141" s="542" t="s">
        <v>806</v>
      </c>
      <c r="M141" s="548"/>
      <c r="N141" s="549">
        <v>-619</v>
      </c>
      <c r="O141" s="544" t="s">
        <v>1674</v>
      </c>
      <c r="P141" s="544" t="s">
        <v>1674</v>
      </c>
      <c r="Q141" s="544" t="s">
        <v>2720</v>
      </c>
      <c r="R141" s="544" t="s">
        <v>2622</v>
      </c>
      <c r="S141" s="544" t="s">
        <v>1674</v>
      </c>
      <c r="T141" s="550">
        <v>19</v>
      </c>
      <c r="U141" s="544" t="s">
        <v>2670</v>
      </c>
      <c r="V141" s="547">
        <v>1112</v>
      </c>
      <c r="W141" s="548"/>
      <c r="Y141" s="544" t="s">
        <v>1674</v>
      </c>
      <c r="AA141" s="544" t="s">
        <v>1674</v>
      </c>
      <c r="AE141" s="551"/>
      <c r="AF141" s="544" t="s">
        <v>1674</v>
      </c>
      <c r="AG141" s="544" t="s">
        <v>1674</v>
      </c>
      <c r="AH141" s="544" t="s">
        <v>1674</v>
      </c>
      <c r="AI141" s="544" t="s">
        <v>1674</v>
      </c>
      <c r="AJ141" s="544" t="s">
        <v>1674</v>
      </c>
      <c r="AK141" s="544" t="s">
        <v>1674</v>
      </c>
      <c r="AL141" s="544" t="s">
        <v>1674</v>
      </c>
      <c r="AM141" s="544" t="s">
        <v>2581</v>
      </c>
      <c r="AN141" s="544" t="s">
        <v>1674</v>
      </c>
      <c r="AP141" s="542">
        <f t="shared" si="4"/>
        <v>-558</v>
      </c>
      <c r="AR141" s="552">
        <f t="shared" si="5"/>
        <v>0</v>
      </c>
    </row>
    <row r="142" spans="1:44" outlineLevel="1" x14ac:dyDescent="0.25">
      <c r="A142" s="544" t="s">
        <v>2722</v>
      </c>
      <c r="B142" s="545">
        <v>0</v>
      </c>
      <c r="C142" s="544" t="s">
        <v>1674</v>
      </c>
      <c r="D142" s="544" t="s">
        <v>2739</v>
      </c>
      <c r="E142" s="542" t="s">
        <v>2740</v>
      </c>
      <c r="F142" s="542" t="s">
        <v>2741</v>
      </c>
      <c r="G142" s="546">
        <v>3034.5</v>
      </c>
      <c r="H142" s="546"/>
      <c r="I142" s="546"/>
      <c r="J142" s="542" t="s">
        <v>806</v>
      </c>
      <c r="K142" s="547">
        <v>8820</v>
      </c>
      <c r="L142" s="542" t="s">
        <v>806</v>
      </c>
      <c r="M142" s="548"/>
      <c r="N142" s="549">
        <v>-619</v>
      </c>
      <c r="O142" s="544" t="s">
        <v>1674</v>
      </c>
      <c r="P142" s="544" t="s">
        <v>1674</v>
      </c>
      <c r="Q142" s="544" t="s">
        <v>2720</v>
      </c>
      <c r="R142" s="544" t="s">
        <v>1674</v>
      </c>
      <c r="S142" s="544" t="s">
        <v>1674</v>
      </c>
      <c r="T142" s="550">
        <v>19</v>
      </c>
      <c r="U142" s="544" t="s">
        <v>2670</v>
      </c>
      <c r="V142" s="547">
        <v>1113</v>
      </c>
      <c r="W142" s="548"/>
      <c r="Y142" s="544" t="s">
        <v>1674</v>
      </c>
      <c r="AA142" s="544" t="s">
        <v>1674</v>
      </c>
      <c r="AE142" s="551"/>
      <c r="AF142" s="544" t="s">
        <v>1674</v>
      </c>
      <c r="AG142" s="544" t="s">
        <v>1674</v>
      </c>
      <c r="AH142" s="544" t="s">
        <v>1674</v>
      </c>
      <c r="AI142" s="544" t="s">
        <v>1674</v>
      </c>
      <c r="AJ142" s="544" t="s">
        <v>1674</v>
      </c>
      <c r="AK142" s="544" t="s">
        <v>1674</v>
      </c>
      <c r="AL142" s="544" t="s">
        <v>1674</v>
      </c>
      <c r="AM142" s="544" t="s">
        <v>1674</v>
      </c>
      <c r="AN142" s="544" t="s">
        <v>1674</v>
      </c>
      <c r="AP142" s="542">
        <f t="shared" si="4"/>
        <v>-558</v>
      </c>
      <c r="AR142" s="552">
        <f t="shared" si="5"/>
        <v>0</v>
      </c>
    </row>
    <row r="143" spans="1:44" outlineLevel="1" x14ac:dyDescent="0.25">
      <c r="A143" s="544" t="s">
        <v>1674</v>
      </c>
      <c r="B143" s="545">
        <v>0</v>
      </c>
      <c r="C143" s="544" t="s">
        <v>1674</v>
      </c>
      <c r="D143" s="544" t="s">
        <v>2739</v>
      </c>
      <c r="E143" s="542" t="s">
        <v>2671</v>
      </c>
      <c r="G143" s="546"/>
      <c r="H143" s="546">
        <v>942.48</v>
      </c>
      <c r="I143" s="546"/>
      <c r="J143" s="542" t="s">
        <v>806</v>
      </c>
      <c r="K143" s="547">
        <v>1200</v>
      </c>
      <c r="L143" s="542" t="s">
        <v>806</v>
      </c>
      <c r="M143" s="548"/>
      <c r="N143" s="549"/>
      <c r="O143" s="544" t="s">
        <v>1674</v>
      </c>
      <c r="P143" s="544" t="s">
        <v>1674</v>
      </c>
      <c r="Q143" s="544" t="s">
        <v>2672</v>
      </c>
      <c r="R143" s="544" t="s">
        <v>1674</v>
      </c>
      <c r="S143" s="544" t="s">
        <v>1674</v>
      </c>
      <c r="T143" s="550"/>
      <c r="U143" s="544" t="s">
        <v>2673</v>
      </c>
      <c r="V143" s="547">
        <v>1682</v>
      </c>
      <c r="W143" s="548"/>
      <c r="Y143" s="544" t="s">
        <v>1674</v>
      </c>
      <c r="AA143" s="544" t="s">
        <v>1674</v>
      </c>
      <c r="AE143" s="551"/>
      <c r="AF143" s="544" t="s">
        <v>1674</v>
      </c>
      <c r="AG143" s="544" t="s">
        <v>1674</v>
      </c>
      <c r="AH143" s="544" t="s">
        <v>1674</v>
      </c>
      <c r="AI143" s="544" t="s">
        <v>1674</v>
      </c>
      <c r="AJ143" s="544" t="s">
        <v>1674</v>
      </c>
      <c r="AK143" s="544" t="s">
        <v>1674</v>
      </c>
      <c r="AL143" s="544" t="s">
        <v>1674</v>
      </c>
      <c r="AM143" s="544" t="s">
        <v>1674</v>
      </c>
      <c r="AN143" s="544" t="s">
        <v>1674</v>
      </c>
      <c r="AP143" s="542">
        <f t="shared" si="4"/>
        <v>0</v>
      </c>
      <c r="AR143" s="552">
        <f t="shared" si="5"/>
        <v>0</v>
      </c>
    </row>
    <row r="144" spans="1:44" outlineLevel="1" x14ac:dyDescent="0.25">
      <c r="A144" s="544" t="s">
        <v>1674</v>
      </c>
      <c r="B144" s="545">
        <v>0</v>
      </c>
      <c r="C144" s="544" t="s">
        <v>1674</v>
      </c>
      <c r="D144" s="544" t="s">
        <v>2739</v>
      </c>
      <c r="E144" s="542" t="s">
        <v>2671</v>
      </c>
      <c r="G144" s="546"/>
      <c r="H144" s="546">
        <v>9.52</v>
      </c>
      <c r="I144" s="546"/>
      <c r="J144" s="542" t="s">
        <v>806</v>
      </c>
      <c r="K144" s="547">
        <v>8736</v>
      </c>
      <c r="L144" s="542" t="s">
        <v>806</v>
      </c>
      <c r="M144" s="548"/>
      <c r="N144" s="549"/>
      <c r="O144" s="544" t="s">
        <v>1674</v>
      </c>
      <c r="P144" s="544" t="s">
        <v>1674</v>
      </c>
      <c r="Q144" s="544" t="s">
        <v>2672</v>
      </c>
      <c r="R144" s="544" t="s">
        <v>1674</v>
      </c>
      <c r="S144" s="544" t="s">
        <v>1674</v>
      </c>
      <c r="T144" s="550">
        <v>19</v>
      </c>
      <c r="U144" s="544" t="s">
        <v>2673</v>
      </c>
      <c r="V144" s="547">
        <v>1682</v>
      </c>
      <c r="W144" s="548"/>
      <c r="Y144" s="544" t="s">
        <v>1674</v>
      </c>
      <c r="AA144" s="544" t="s">
        <v>1674</v>
      </c>
      <c r="AE144" s="551"/>
      <c r="AF144" s="544" t="s">
        <v>1674</v>
      </c>
      <c r="AG144" s="544" t="s">
        <v>1674</v>
      </c>
      <c r="AH144" s="544" t="s">
        <v>1674</v>
      </c>
      <c r="AI144" s="544" t="s">
        <v>1674</v>
      </c>
      <c r="AJ144" s="544" t="s">
        <v>1674</v>
      </c>
      <c r="AK144" s="544" t="s">
        <v>1674</v>
      </c>
      <c r="AL144" s="544" t="s">
        <v>1674</v>
      </c>
      <c r="AM144" s="544" t="s">
        <v>1674</v>
      </c>
      <c r="AN144" s="544" t="s">
        <v>1674</v>
      </c>
      <c r="AP144" s="542">
        <f t="shared" si="4"/>
        <v>0</v>
      </c>
      <c r="AR144" s="552">
        <f t="shared" si="5"/>
        <v>0</v>
      </c>
    </row>
    <row r="145" spans="1:44" outlineLevel="1" x14ac:dyDescent="0.25">
      <c r="A145" s="544" t="s">
        <v>1674</v>
      </c>
      <c r="B145" s="545">
        <v>0</v>
      </c>
      <c r="C145" s="544" t="s">
        <v>1674</v>
      </c>
      <c r="D145" s="544" t="s">
        <v>2739</v>
      </c>
      <c r="E145" s="542" t="s">
        <v>2674</v>
      </c>
      <c r="G145" s="546"/>
      <c r="H145" s="546">
        <v>942.48</v>
      </c>
      <c r="I145" s="546"/>
      <c r="J145" s="542" t="s">
        <v>806</v>
      </c>
      <c r="K145" s="547">
        <v>1200</v>
      </c>
      <c r="L145" s="542" t="s">
        <v>806</v>
      </c>
      <c r="M145" s="548"/>
      <c r="N145" s="549"/>
      <c r="O145" s="544" t="s">
        <v>1674</v>
      </c>
      <c r="P145" s="544" t="s">
        <v>1674</v>
      </c>
      <c r="Q145" s="544" t="s">
        <v>2675</v>
      </c>
      <c r="R145" s="544" t="s">
        <v>1674</v>
      </c>
      <c r="S145" s="544" t="s">
        <v>1674</v>
      </c>
      <c r="T145" s="550"/>
      <c r="U145" s="544" t="s">
        <v>2676</v>
      </c>
      <c r="V145" s="547">
        <v>1537</v>
      </c>
      <c r="W145" s="548"/>
      <c r="Y145" s="544" t="s">
        <v>1674</v>
      </c>
      <c r="AA145" s="544" t="s">
        <v>1674</v>
      </c>
      <c r="AE145" s="551"/>
      <c r="AF145" s="544" t="s">
        <v>1674</v>
      </c>
      <c r="AG145" s="544" t="s">
        <v>1674</v>
      </c>
      <c r="AH145" s="544" t="s">
        <v>1674</v>
      </c>
      <c r="AI145" s="544" t="s">
        <v>1674</v>
      </c>
      <c r="AJ145" s="544" t="s">
        <v>1674</v>
      </c>
      <c r="AK145" s="544" t="s">
        <v>1674</v>
      </c>
      <c r="AL145" s="544" t="s">
        <v>1674</v>
      </c>
      <c r="AM145" s="544" t="s">
        <v>1674</v>
      </c>
      <c r="AN145" s="544" t="s">
        <v>1674</v>
      </c>
      <c r="AP145" s="542">
        <f t="shared" si="4"/>
        <v>0</v>
      </c>
      <c r="AR145" s="552">
        <f t="shared" si="5"/>
        <v>0</v>
      </c>
    </row>
    <row r="146" spans="1:44" outlineLevel="1" x14ac:dyDescent="0.25">
      <c r="A146" s="544" t="s">
        <v>1674</v>
      </c>
      <c r="B146" s="545">
        <v>0</v>
      </c>
      <c r="C146" s="544" t="s">
        <v>1674</v>
      </c>
      <c r="D146" s="544" t="s">
        <v>2739</v>
      </c>
      <c r="E146" s="542" t="s">
        <v>2674</v>
      </c>
      <c r="G146" s="546"/>
      <c r="H146" s="546">
        <v>9.52</v>
      </c>
      <c r="I146" s="546"/>
      <c r="J146" s="542" t="s">
        <v>806</v>
      </c>
      <c r="K146" s="547">
        <v>8736</v>
      </c>
      <c r="L146" s="542" t="s">
        <v>806</v>
      </c>
      <c r="M146" s="548"/>
      <c r="N146" s="549"/>
      <c r="O146" s="544" t="s">
        <v>1674</v>
      </c>
      <c r="P146" s="544" t="s">
        <v>1674</v>
      </c>
      <c r="Q146" s="544" t="s">
        <v>2675</v>
      </c>
      <c r="R146" s="544" t="s">
        <v>1674</v>
      </c>
      <c r="S146" s="544" t="s">
        <v>1674</v>
      </c>
      <c r="T146" s="550">
        <v>19</v>
      </c>
      <c r="U146" s="544" t="s">
        <v>2676</v>
      </c>
      <c r="V146" s="547">
        <v>1537</v>
      </c>
      <c r="W146" s="548"/>
      <c r="Y146" s="544" t="s">
        <v>1674</v>
      </c>
      <c r="AA146" s="544" t="s">
        <v>1674</v>
      </c>
      <c r="AE146" s="551"/>
      <c r="AF146" s="544" t="s">
        <v>1674</v>
      </c>
      <c r="AG146" s="544" t="s">
        <v>1674</v>
      </c>
      <c r="AH146" s="544" t="s">
        <v>1674</v>
      </c>
      <c r="AI146" s="544" t="s">
        <v>1674</v>
      </c>
      <c r="AJ146" s="544" t="s">
        <v>1674</v>
      </c>
      <c r="AK146" s="544" t="s">
        <v>1674</v>
      </c>
      <c r="AL146" s="544" t="s">
        <v>1674</v>
      </c>
      <c r="AM146" s="544" t="s">
        <v>1674</v>
      </c>
      <c r="AN146" s="544" t="s">
        <v>1674</v>
      </c>
      <c r="AP146" s="542">
        <f t="shared" si="4"/>
        <v>0</v>
      </c>
      <c r="AR146" s="552">
        <f t="shared" si="5"/>
        <v>0</v>
      </c>
    </row>
    <row r="147" spans="1:44" outlineLevel="1" x14ac:dyDescent="0.25">
      <c r="A147" s="544" t="s">
        <v>1674</v>
      </c>
      <c r="B147" s="545">
        <v>0</v>
      </c>
      <c r="C147" s="544" t="s">
        <v>1674</v>
      </c>
      <c r="D147" s="544" t="s">
        <v>2739</v>
      </c>
      <c r="E147" s="542" t="s">
        <v>2677</v>
      </c>
      <c r="G147" s="546"/>
      <c r="H147" s="546">
        <v>942.48</v>
      </c>
      <c r="I147" s="546"/>
      <c r="J147" s="542" t="s">
        <v>806</v>
      </c>
      <c r="K147" s="547">
        <v>1200</v>
      </c>
      <c r="L147" s="542" t="s">
        <v>806</v>
      </c>
      <c r="M147" s="548"/>
      <c r="N147" s="549"/>
      <c r="O147" s="544" t="s">
        <v>1674</v>
      </c>
      <c r="P147" s="544" t="s">
        <v>1674</v>
      </c>
      <c r="Q147" s="544" t="s">
        <v>2678</v>
      </c>
      <c r="R147" s="544" t="s">
        <v>1674</v>
      </c>
      <c r="S147" s="544" t="s">
        <v>1674</v>
      </c>
      <c r="T147" s="550"/>
      <c r="U147" s="544" t="s">
        <v>2679</v>
      </c>
      <c r="V147" s="547">
        <v>1733</v>
      </c>
      <c r="W147" s="548"/>
      <c r="Y147" s="544" t="s">
        <v>1674</v>
      </c>
      <c r="AA147" s="544" t="s">
        <v>1674</v>
      </c>
      <c r="AE147" s="551"/>
      <c r="AF147" s="544" t="s">
        <v>1674</v>
      </c>
      <c r="AG147" s="544" t="s">
        <v>1674</v>
      </c>
      <c r="AH147" s="544" t="s">
        <v>1674</v>
      </c>
      <c r="AI147" s="544" t="s">
        <v>1674</v>
      </c>
      <c r="AJ147" s="544" t="s">
        <v>1674</v>
      </c>
      <c r="AK147" s="544" t="s">
        <v>1674</v>
      </c>
      <c r="AL147" s="544" t="s">
        <v>1674</v>
      </c>
      <c r="AM147" s="544" t="s">
        <v>1674</v>
      </c>
      <c r="AN147" s="544" t="s">
        <v>1674</v>
      </c>
      <c r="AP147" s="542">
        <f t="shared" si="4"/>
        <v>0</v>
      </c>
      <c r="AR147" s="552">
        <f t="shared" si="5"/>
        <v>0</v>
      </c>
    </row>
    <row r="148" spans="1:44" outlineLevel="1" x14ac:dyDescent="0.25">
      <c r="A148" s="544" t="s">
        <v>1674</v>
      </c>
      <c r="B148" s="545">
        <v>0</v>
      </c>
      <c r="C148" s="544" t="s">
        <v>1674</v>
      </c>
      <c r="D148" s="544" t="s">
        <v>2739</v>
      </c>
      <c r="E148" s="542" t="s">
        <v>2677</v>
      </c>
      <c r="G148" s="546"/>
      <c r="H148" s="546">
        <v>9.52</v>
      </c>
      <c r="I148" s="546"/>
      <c r="J148" s="542" t="s">
        <v>806</v>
      </c>
      <c r="K148" s="547">
        <v>8736</v>
      </c>
      <c r="L148" s="542" t="s">
        <v>806</v>
      </c>
      <c r="M148" s="548"/>
      <c r="N148" s="549"/>
      <c r="O148" s="544" t="s">
        <v>1674</v>
      </c>
      <c r="P148" s="544" t="s">
        <v>1674</v>
      </c>
      <c r="Q148" s="544" t="s">
        <v>2678</v>
      </c>
      <c r="R148" s="544" t="s">
        <v>1674</v>
      </c>
      <c r="S148" s="544" t="s">
        <v>1674</v>
      </c>
      <c r="T148" s="550">
        <v>19</v>
      </c>
      <c r="U148" s="544" t="s">
        <v>2679</v>
      </c>
      <c r="V148" s="547">
        <v>1733</v>
      </c>
      <c r="W148" s="548"/>
      <c r="Y148" s="544" t="s">
        <v>1674</v>
      </c>
      <c r="AA148" s="544" t="s">
        <v>1674</v>
      </c>
      <c r="AE148" s="551"/>
      <c r="AF148" s="544" t="s">
        <v>1674</v>
      </c>
      <c r="AG148" s="544" t="s">
        <v>1674</v>
      </c>
      <c r="AH148" s="544" t="s">
        <v>1674</v>
      </c>
      <c r="AI148" s="544" t="s">
        <v>1674</v>
      </c>
      <c r="AJ148" s="544" t="s">
        <v>1674</v>
      </c>
      <c r="AK148" s="544" t="s">
        <v>1674</v>
      </c>
      <c r="AL148" s="544" t="s">
        <v>1674</v>
      </c>
      <c r="AM148" s="544" t="s">
        <v>1674</v>
      </c>
      <c r="AN148" s="544" t="s">
        <v>1674</v>
      </c>
      <c r="AP148" s="542">
        <f t="shared" si="4"/>
        <v>0</v>
      </c>
      <c r="AR148" s="552">
        <f t="shared" si="5"/>
        <v>0</v>
      </c>
    </row>
    <row r="149" spans="1:44" outlineLevel="1" x14ac:dyDescent="0.25">
      <c r="A149" s="544" t="s">
        <v>1674</v>
      </c>
      <c r="B149" s="545">
        <v>0</v>
      </c>
      <c r="C149" s="544" t="s">
        <v>1674</v>
      </c>
      <c r="D149" s="544" t="s">
        <v>2739</v>
      </c>
      <c r="E149" s="542" t="s">
        <v>2680</v>
      </c>
      <c r="G149" s="546"/>
      <c r="H149" s="546">
        <v>942.48</v>
      </c>
      <c r="I149" s="546"/>
      <c r="J149" s="542" t="s">
        <v>806</v>
      </c>
      <c r="K149" s="547">
        <v>1200</v>
      </c>
      <c r="L149" s="542" t="s">
        <v>806</v>
      </c>
      <c r="M149" s="548"/>
      <c r="N149" s="549"/>
      <c r="O149" s="544" t="s">
        <v>1674</v>
      </c>
      <c r="P149" s="544" t="s">
        <v>1674</v>
      </c>
      <c r="Q149" s="544" t="s">
        <v>2681</v>
      </c>
      <c r="R149" s="544" t="s">
        <v>1674</v>
      </c>
      <c r="S149" s="544" t="s">
        <v>1674</v>
      </c>
      <c r="T149" s="550"/>
      <c r="U149" s="544" t="s">
        <v>2682</v>
      </c>
      <c r="V149" s="547">
        <v>1585</v>
      </c>
      <c r="W149" s="548"/>
      <c r="Y149" s="544" t="s">
        <v>1674</v>
      </c>
      <c r="AA149" s="544" t="s">
        <v>1674</v>
      </c>
      <c r="AE149" s="551"/>
      <c r="AF149" s="544" t="s">
        <v>1674</v>
      </c>
      <c r="AG149" s="544" t="s">
        <v>1674</v>
      </c>
      <c r="AH149" s="544" t="s">
        <v>1674</v>
      </c>
      <c r="AI149" s="544" t="s">
        <v>1674</v>
      </c>
      <c r="AJ149" s="544" t="s">
        <v>1674</v>
      </c>
      <c r="AK149" s="544" t="s">
        <v>1674</v>
      </c>
      <c r="AL149" s="544" t="s">
        <v>1674</v>
      </c>
      <c r="AM149" s="544" t="s">
        <v>1674</v>
      </c>
      <c r="AN149" s="544" t="s">
        <v>1674</v>
      </c>
      <c r="AP149" s="542">
        <f t="shared" si="4"/>
        <v>0</v>
      </c>
      <c r="AR149" s="552">
        <f t="shared" si="5"/>
        <v>0</v>
      </c>
    </row>
    <row r="150" spans="1:44" outlineLevel="1" x14ac:dyDescent="0.25">
      <c r="A150" s="544" t="s">
        <v>1674</v>
      </c>
      <c r="B150" s="545">
        <v>0</v>
      </c>
      <c r="C150" s="544" t="s">
        <v>1674</v>
      </c>
      <c r="D150" s="544" t="s">
        <v>2739</v>
      </c>
      <c r="E150" s="542" t="s">
        <v>2680</v>
      </c>
      <c r="G150" s="546"/>
      <c r="H150" s="546">
        <v>9.52</v>
      </c>
      <c r="I150" s="546"/>
      <c r="J150" s="542" t="s">
        <v>806</v>
      </c>
      <c r="K150" s="547">
        <v>8736</v>
      </c>
      <c r="L150" s="542" t="s">
        <v>806</v>
      </c>
      <c r="M150" s="548"/>
      <c r="N150" s="549"/>
      <c r="O150" s="544" t="s">
        <v>1674</v>
      </c>
      <c r="P150" s="544" t="s">
        <v>1674</v>
      </c>
      <c r="Q150" s="544" t="s">
        <v>2681</v>
      </c>
      <c r="R150" s="544" t="s">
        <v>1674</v>
      </c>
      <c r="S150" s="544" t="s">
        <v>1674</v>
      </c>
      <c r="T150" s="550">
        <v>19</v>
      </c>
      <c r="U150" s="544" t="s">
        <v>2682</v>
      </c>
      <c r="V150" s="547">
        <v>1585</v>
      </c>
      <c r="W150" s="548"/>
      <c r="Y150" s="544" t="s">
        <v>1674</v>
      </c>
      <c r="AA150" s="544" t="s">
        <v>1674</v>
      </c>
      <c r="AE150" s="551"/>
      <c r="AF150" s="544" t="s">
        <v>1674</v>
      </c>
      <c r="AG150" s="544" t="s">
        <v>1674</v>
      </c>
      <c r="AH150" s="544" t="s">
        <v>1674</v>
      </c>
      <c r="AI150" s="544" t="s">
        <v>1674</v>
      </c>
      <c r="AJ150" s="544" t="s">
        <v>1674</v>
      </c>
      <c r="AK150" s="544" t="s">
        <v>1674</v>
      </c>
      <c r="AL150" s="544" t="s">
        <v>1674</v>
      </c>
      <c r="AM150" s="544" t="s">
        <v>1674</v>
      </c>
      <c r="AN150" s="544" t="s">
        <v>1674</v>
      </c>
      <c r="AP150" s="542">
        <f t="shared" si="4"/>
        <v>0</v>
      </c>
      <c r="AR150" s="552">
        <f t="shared" si="5"/>
        <v>0</v>
      </c>
    </row>
    <row r="151" spans="1:44" outlineLevel="1" x14ac:dyDescent="0.25">
      <c r="A151" s="544" t="s">
        <v>1674</v>
      </c>
      <c r="B151" s="545">
        <v>0</v>
      </c>
      <c r="C151" s="544" t="s">
        <v>1674</v>
      </c>
      <c r="D151" s="544" t="s">
        <v>2739</v>
      </c>
      <c r="E151" s="542" t="s">
        <v>2683</v>
      </c>
      <c r="G151" s="546"/>
      <c r="H151" s="546">
        <v>942.48</v>
      </c>
      <c r="I151" s="546"/>
      <c r="J151" s="542" t="s">
        <v>806</v>
      </c>
      <c r="K151" s="547">
        <v>1200</v>
      </c>
      <c r="L151" s="542" t="s">
        <v>806</v>
      </c>
      <c r="M151" s="548"/>
      <c r="N151" s="549"/>
      <c r="O151" s="544" t="s">
        <v>1674</v>
      </c>
      <c r="P151" s="544" t="s">
        <v>1674</v>
      </c>
      <c r="Q151" s="544" t="s">
        <v>2684</v>
      </c>
      <c r="R151" s="544" t="s">
        <v>1674</v>
      </c>
      <c r="S151" s="544" t="s">
        <v>1674</v>
      </c>
      <c r="T151" s="550"/>
      <c r="U151" s="544" t="s">
        <v>2685</v>
      </c>
      <c r="V151" s="547">
        <v>1710</v>
      </c>
      <c r="W151" s="548"/>
      <c r="Y151" s="544" t="s">
        <v>1674</v>
      </c>
      <c r="AA151" s="544" t="s">
        <v>1674</v>
      </c>
      <c r="AE151" s="551"/>
      <c r="AF151" s="544" t="s">
        <v>1674</v>
      </c>
      <c r="AG151" s="544" t="s">
        <v>1674</v>
      </c>
      <c r="AH151" s="544" t="s">
        <v>1674</v>
      </c>
      <c r="AI151" s="544" t="s">
        <v>1674</v>
      </c>
      <c r="AJ151" s="544" t="s">
        <v>1674</v>
      </c>
      <c r="AK151" s="544" t="s">
        <v>1674</v>
      </c>
      <c r="AL151" s="544" t="s">
        <v>1674</v>
      </c>
      <c r="AM151" s="544" t="s">
        <v>1674</v>
      </c>
      <c r="AN151" s="544" t="s">
        <v>1674</v>
      </c>
      <c r="AP151" s="542">
        <f t="shared" si="4"/>
        <v>0</v>
      </c>
      <c r="AR151" s="552">
        <f t="shared" si="5"/>
        <v>0</v>
      </c>
    </row>
    <row r="152" spans="1:44" outlineLevel="1" x14ac:dyDescent="0.25">
      <c r="A152" s="544" t="s">
        <v>1674</v>
      </c>
      <c r="B152" s="545">
        <v>0</v>
      </c>
      <c r="C152" s="544" t="s">
        <v>1674</v>
      </c>
      <c r="D152" s="544" t="s">
        <v>2739</v>
      </c>
      <c r="E152" s="542" t="s">
        <v>2683</v>
      </c>
      <c r="G152" s="546"/>
      <c r="H152" s="546">
        <v>9.52</v>
      </c>
      <c r="I152" s="546"/>
      <c r="J152" s="542" t="s">
        <v>806</v>
      </c>
      <c r="K152" s="547">
        <v>8736</v>
      </c>
      <c r="L152" s="542" t="s">
        <v>806</v>
      </c>
      <c r="M152" s="548"/>
      <c r="N152" s="549"/>
      <c r="O152" s="544" t="s">
        <v>1674</v>
      </c>
      <c r="P152" s="544" t="s">
        <v>1674</v>
      </c>
      <c r="Q152" s="544" t="s">
        <v>2684</v>
      </c>
      <c r="R152" s="544" t="s">
        <v>1674</v>
      </c>
      <c r="S152" s="544" t="s">
        <v>1674</v>
      </c>
      <c r="T152" s="550">
        <v>19</v>
      </c>
      <c r="U152" s="544" t="s">
        <v>2685</v>
      </c>
      <c r="V152" s="547">
        <v>1710</v>
      </c>
      <c r="W152" s="548"/>
      <c r="Y152" s="544" t="s">
        <v>1674</v>
      </c>
      <c r="AA152" s="544" t="s">
        <v>1674</v>
      </c>
      <c r="AE152" s="551"/>
      <c r="AF152" s="544" t="s">
        <v>1674</v>
      </c>
      <c r="AG152" s="544" t="s">
        <v>1674</v>
      </c>
      <c r="AH152" s="544" t="s">
        <v>1674</v>
      </c>
      <c r="AI152" s="544" t="s">
        <v>1674</v>
      </c>
      <c r="AJ152" s="544" t="s">
        <v>1674</v>
      </c>
      <c r="AK152" s="544" t="s">
        <v>1674</v>
      </c>
      <c r="AL152" s="544" t="s">
        <v>1674</v>
      </c>
      <c r="AM152" s="544" t="s">
        <v>1674</v>
      </c>
      <c r="AN152" s="544" t="s">
        <v>1674</v>
      </c>
      <c r="AP152" s="542">
        <f t="shared" si="4"/>
        <v>0</v>
      </c>
      <c r="AR152" s="552">
        <f t="shared" si="5"/>
        <v>0</v>
      </c>
    </row>
    <row r="153" spans="1:44" outlineLevel="1" x14ac:dyDescent="0.25">
      <c r="A153" s="544" t="s">
        <v>1674</v>
      </c>
      <c r="B153" s="545">
        <v>0</v>
      </c>
      <c r="C153" s="544" t="s">
        <v>1674</v>
      </c>
      <c r="D153" s="544" t="s">
        <v>2739</v>
      </c>
      <c r="E153" s="542" t="s">
        <v>2686</v>
      </c>
      <c r="G153" s="546"/>
      <c r="H153" s="546">
        <v>942.48</v>
      </c>
      <c r="I153" s="546"/>
      <c r="J153" s="542" t="s">
        <v>806</v>
      </c>
      <c r="K153" s="547">
        <v>1200</v>
      </c>
      <c r="L153" s="542" t="s">
        <v>806</v>
      </c>
      <c r="M153" s="548"/>
      <c r="N153" s="549"/>
      <c r="O153" s="544" t="s">
        <v>1674</v>
      </c>
      <c r="P153" s="544" t="s">
        <v>1674</v>
      </c>
      <c r="Q153" s="544" t="s">
        <v>2687</v>
      </c>
      <c r="R153" s="544" t="s">
        <v>1674</v>
      </c>
      <c r="S153" s="544" t="s">
        <v>1674</v>
      </c>
      <c r="T153" s="550"/>
      <c r="U153" s="544" t="s">
        <v>2688</v>
      </c>
      <c r="V153" s="547">
        <v>1495</v>
      </c>
      <c r="W153" s="548"/>
      <c r="Y153" s="544" t="s">
        <v>1674</v>
      </c>
      <c r="AA153" s="544" t="s">
        <v>1674</v>
      </c>
      <c r="AE153" s="551"/>
      <c r="AF153" s="544" t="s">
        <v>1674</v>
      </c>
      <c r="AG153" s="544" t="s">
        <v>1674</v>
      </c>
      <c r="AH153" s="544" t="s">
        <v>1674</v>
      </c>
      <c r="AI153" s="544" t="s">
        <v>1674</v>
      </c>
      <c r="AJ153" s="544" t="s">
        <v>1674</v>
      </c>
      <c r="AK153" s="544" t="s">
        <v>1674</v>
      </c>
      <c r="AL153" s="544" t="s">
        <v>1674</v>
      </c>
      <c r="AM153" s="544" t="s">
        <v>1674</v>
      </c>
      <c r="AN153" s="544" t="s">
        <v>1674</v>
      </c>
      <c r="AP153" s="542">
        <f t="shared" si="4"/>
        <v>0</v>
      </c>
      <c r="AR153" s="552">
        <f t="shared" si="5"/>
        <v>0</v>
      </c>
    </row>
    <row r="154" spans="1:44" outlineLevel="1" x14ac:dyDescent="0.25">
      <c r="A154" s="544" t="s">
        <v>1674</v>
      </c>
      <c r="B154" s="545">
        <v>0</v>
      </c>
      <c r="C154" s="544" t="s">
        <v>1674</v>
      </c>
      <c r="D154" s="544" t="s">
        <v>2739</v>
      </c>
      <c r="E154" s="542" t="s">
        <v>2686</v>
      </c>
      <c r="G154" s="546"/>
      <c r="H154" s="546">
        <v>9.52</v>
      </c>
      <c r="I154" s="546"/>
      <c r="J154" s="542" t="s">
        <v>806</v>
      </c>
      <c r="K154" s="547">
        <v>8736</v>
      </c>
      <c r="L154" s="542" t="s">
        <v>806</v>
      </c>
      <c r="M154" s="548"/>
      <c r="N154" s="549"/>
      <c r="O154" s="544" t="s">
        <v>1674</v>
      </c>
      <c r="P154" s="544" t="s">
        <v>1674</v>
      </c>
      <c r="Q154" s="544" t="s">
        <v>2687</v>
      </c>
      <c r="R154" s="544" t="s">
        <v>1674</v>
      </c>
      <c r="S154" s="544" t="s">
        <v>1674</v>
      </c>
      <c r="T154" s="550">
        <v>19</v>
      </c>
      <c r="U154" s="544" t="s">
        <v>2688</v>
      </c>
      <c r="V154" s="547">
        <v>1495</v>
      </c>
      <c r="W154" s="548"/>
      <c r="Y154" s="544" t="s">
        <v>1674</v>
      </c>
      <c r="AA154" s="544" t="s">
        <v>1674</v>
      </c>
      <c r="AE154" s="551"/>
      <c r="AF154" s="544" t="s">
        <v>1674</v>
      </c>
      <c r="AG154" s="544" t="s">
        <v>1674</v>
      </c>
      <c r="AH154" s="544" t="s">
        <v>1674</v>
      </c>
      <c r="AI154" s="544" t="s">
        <v>1674</v>
      </c>
      <c r="AJ154" s="544" t="s">
        <v>1674</v>
      </c>
      <c r="AK154" s="544" t="s">
        <v>1674</v>
      </c>
      <c r="AL154" s="544" t="s">
        <v>1674</v>
      </c>
      <c r="AM154" s="544" t="s">
        <v>1674</v>
      </c>
      <c r="AN154" s="544" t="s">
        <v>1674</v>
      </c>
      <c r="AP154" s="542">
        <f t="shared" si="4"/>
        <v>0</v>
      </c>
      <c r="AR154" s="552">
        <f t="shared" si="5"/>
        <v>0</v>
      </c>
    </row>
    <row r="155" spans="1:44" outlineLevel="1" x14ac:dyDescent="0.25">
      <c r="A155" s="544" t="s">
        <v>1674</v>
      </c>
      <c r="B155" s="545">
        <v>0</v>
      </c>
      <c r="C155" s="544" t="s">
        <v>1674</v>
      </c>
      <c r="D155" s="544" t="s">
        <v>2739</v>
      </c>
      <c r="E155" s="542" t="s">
        <v>2689</v>
      </c>
      <c r="G155" s="546"/>
      <c r="H155" s="546">
        <v>942.48</v>
      </c>
      <c r="I155" s="546"/>
      <c r="J155" s="542" t="s">
        <v>806</v>
      </c>
      <c r="K155" s="547">
        <v>1200</v>
      </c>
      <c r="L155" s="542" t="s">
        <v>806</v>
      </c>
      <c r="M155" s="548"/>
      <c r="N155" s="549"/>
      <c r="O155" s="544" t="s">
        <v>1674</v>
      </c>
      <c r="P155" s="544" t="s">
        <v>1674</v>
      </c>
      <c r="Q155" s="544" t="s">
        <v>2690</v>
      </c>
      <c r="R155" s="544" t="s">
        <v>1674</v>
      </c>
      <c r="S155" s="544" t="s">
        <v>1674</v>
      </c>
      <c r="T155" s="550"/>
      <c r="U155" s="544" t="s">
        <v>2691</v>
      </c>
      <c r="V155" s="547">
        <v>1718</v>
      </c>
      <c r="W155" s="548"/>
      <c r="Y155" s="544" t="s">
        <v>1674</v>
      </c>
      <c r="AA155" s="544" t="s">
        <v>1674</v>
      </c>
      <c r="AE155" s="551"/>
      <c r="AF155" s="544" t="s">
        <v>1674</v>
      </c>
      <c r="AG155" s="544" t="s">
        <v>1674</v>
      </c>
      <c r="AH155" s="544" t="s">
        <v>1674</v>
      </c>
      <c r="AI155" s="544" t="s">
        <v>1674</v>
      </c>
      <c r="AJ155" s="544" t="s">
        <v>1674</v>
      </c>
      <c r="AK155" s="544" t="s">
        <v>1674</v>
      </c>
      <c r="AL155" s="544" t="s">
        <v>1674</v>
      </c>
      <c r="AM155" s="544" t="s">
        <v>1674</v>
      </c>
      <c r="AN155" s="544" t="s">
        <v>1674</v>
      </c>
      <c r="AP155" s="542">
        <f t="shared" si="4"/>
        <v>0</v>
      </c>
      <c r="AR155" s="552">
        <f t="shared" si="5"/>
        <v>0</v>
      </c>
    </row>
    <row r="156" spans="1:44" outlineLevel="1" x14ac:dyDescent="0.25">
      <c r="A156" s="544" t="s">
        <v>1674</v>
      </c>
      <c r="B156" s="545">
        <v>0</v>
      </c>
      <c r="C156" s="544" t="s">
        <v>1674</v>
      </c>
      <c r="D156" s="544" t="s">
        <v>2739</v>
      </c>
      <c r="E156" s="542" t="s">
        <v>2689</v>
      </c>
      <c r="G156" s="546"/>
      <c r="H156" s="546">
        <v>9.52</v>
      </c>
      <c r="I156" s="546"/>
      <c r="J156" s="542" t="s">
        <v>806</v>
      </c>
      <c r="K156" s="547">
        <v>8736</v>
      </c>
      <c r="L156" s="542" t="s">
        <v>806</v>
      </c>
      <c r="M156" s="548"/>
      <c r="N156" s="549"/>
      <c r="O156" s="544" t="s">
        <v>1674</v>
      </c>
      <c r="P156" s="544" t="s">
        <v>1674</v>
      </c>
      <c r="Q156" s="544" t="s">
        <v>2690</v>
      </c>
      <c r="R156" s="544" t="s">
        <v>1674</v>
      </c>
      <c r="S156" s="544" t="s">
        <v>1674</v>
      </c>
      <c r="T156" s="550">
        <v>19</v>
      </c>
      <c r="U156" s="544" t="s">
        <v>2691</v>
      </c>
      <c r="V156" s="547">
        <v>1719</v>
      </c>
      <c r="W156" s="548"/>
      <c r="Y156" s="544" t="s">
        <v>1674</v>
      </c>
      <c r="AA156" s="544" t="s">
        <v>1674</v>
      </c>
      <c r="AE156" s="551"/>
      <c r="AF156" s="544" t="s">
        <v>1674</v>
      </c>
      <c r="AG156" s="544" t="s">
        <v>1674</v>
      </c>
      <c r="AH156" s="544" t="s">
        <v>1674</v>
      </c>
      <c r="AI156" s="544" t="s">
        <v>1674</v>
      </c>
      <c r="AJ156" s="544" t="s">
        <v>1674</v>
      </c>
      <c r="AK156" s="544" t="s">
        <v>1674</v>
      </c>
      <c r="AL156" s="544" t="s">
        <v>1674</v>
      </c>
      <c r="AM156" s="544" t="s">
        <v>1674</v>
      </c>
      <c r="AN156" s="544" t="s">
        <v>1674</v>
      </c>
      <c r="AP156" s="542">
        <f t="shared" si="4"/>
        <v>0</v>
      </c>
      <c r="AR156" s="552">
        <f t="shared" si="5"/>
        <v>0</v>
      </c>
    </row>
    <row r="157" spans="1:44" outlineLevel="1" x14ac:dyDescent="0.25">
      <c r="A157" s="544" t="s">
        <v>1674</v>
      </c>
      <c r="B157" s="545">
        <v>0</v>
      </c>
      <c r="C157" s="544" t="s">
        <v>1674</v>
      </c>
      <c r="D157" s="544" t="s">
        <v>2739</v>
      </c>
      <c r="E157" s="542" t="s">
        <v>2692</v>
      </c>
      <c r="G157" s="546"/>
      <c r="H157" s="546">
        <v>942.48</v>
      </c>
      <c r="I157" s="546"/>
      <c r="J157" s="542" t="s">
        <v>806</v>
      </c>
      <c r="K157" s="547">
        <v>1200</v>
      </c>
      <c r="L157" s="542" t="s">
        <v>806</v>
      </c>
      <c r="M157" s="548"/>
      <c r="N157" s="549"/>
      <c r="O157" s="544" t="s">
        <v>1674</v>
      </c>
      <c r="P157" s="544" t="s">
        <v>1674</v>
      </c>
      <c r="Q157" s="544" t="s">
        <v>2693</v>
      </c>
      <c r="R157" s="544" t="s">
        <v>1674</v>
      </c>
      <c r="S157" s="544" t="s">
        <v>1674</v>
      </c>
      <c r="T157" s="550"/>
      <c r="U157" s="544" t="s">
        <v>2694</v>
      </c>
      <c r="V157" s="547">
        <v>1827</v>
      </c>
      <c r="W157" s="548"/>
      <c r="Y157" s="544" t="s">
        <v>1674</v>
      </c>
      <c r="AA157" s="544" t="s">
        <v>1674</v>
      </c>
      <c r="AE157" s="551"/>
      <c r="AF157" s="544" t="s">
        <v>1674</v>
      </c>
      <c r="AG157" s="544" t="s">
        <v>1674</v>
      </c>
      <c r="AH157" s="544" t="s">
        <v>1674</v>
      </c>
      <c r="AI157" s="544" t="s">
        <v>1674</v>
      </c>
      <c r="AJ157" s="544" t="s">
        <v>1674</v>
      </c>
      <c r="AK157" s="544" t="s">
        <v>1674</v>
      </c>
      <c r="AL157" s="544" t="s">
        <v>1674</v>
      </c>
      <c r="AM157" s="544" t="s">
        <v>1674</v>
      </c>
      <c r="AN157" s="544" t="s">
        <v>1674</v>
      </c>
      <c r="AP157" s="542">
        <f t="shared" si="4"/>
        <v>0</v>
      </c>
      <c r="AR157" s="552">
        <f t="shared" si="5"/>
        <v>0</v>
      </c>
    </row>
    <row r="158" spans="1:44" outlineLevel="1" x14ac:dyDescent="0.25">
      <c r="A158" s="544" t="s">
        <v>1674</v>
      </c>
      <c r="B158" s="545">
        <v>0</v>
      </c>
      <c r="C158" s="544" t="s">
        <v>1674</v>
      </c>
      <c r="D158" s="544" t="s">
        <v>2739</v>
      </c>
      <c r="E158" s="542" t="s">
        <v>2692</v>
      </c>
      <c r="G158" s="546"/>
      <c r="H158" s="546">
        <v>9.52</v>
      </c>
      <c r="I158" s="546"/>
      <c r="J158" s="542" t="s">
        <v>806</v>
      </c>
      <c r="K158" s="547">
        <v>8736</v>
      </c>
      <c r="L158" s="542" t="s">
        <v>806</v>
      </c>
      <c r="M158" s="548"/>
      <c r="N158" s="549"/>
      <c r="O158" s="544" t="s">
        <v>1674</v>
      </c>
      <c r="P158" s="544" t="s">
        <v>1674</v>
      </c>
      <c r="Q158" s="544" t="s">
        <v>2693</v>
      </c>
      <c r="R158" s="544" t="s">
        <v>1674</v>
      </c>
      <c r="S158" s="544" t="s">
        <v>1674</v>
      </c>
      <c r="T158" s="550">
        <v>19</v>
      </c>
      <c r="U158" s="544" t="s">
        <v>2694</v>
      </c>
      <c r="V158" s="547">
        <v>1828</v>
      </c>
      <c r="W158" s="548"/>
      <c r="Y158" s="544" t="s">
        <v>1674</v>
      </c>
      <c r="AA158" s="544" t="s">
        <v>1674</v>
      </c>
      <c r="AE158" s="551"/>
      <c r="AF158" s="544" t="s">
        <v>1674</v>
      </c>
      <c r="AG158" s="544" t="s">
        <v>1674</v>
      </c>
      <c r="AH158" s="544" t="s">
        <v>1674</v>
      </c>
      <c r="AI158" s="544" t="s">
        <v>1674</v>
      </c>
      <c r="AJ158" s="544" t="s">
        <v>1674</v>
      </c>
      <c r="AK158" s="544" t="s">
        <v>1674</v>
      </c>
      <c r="AL158" s="544" t="s">
        <v>1674</v>
      </c>
      <c r="AM158" s="544" t="s">
        <v>1674</v>
      </c>
      <c r="AN158" s="544" t="s">
        <v>1674</v>
      </c>
      <c r="AP158" s="542">
        <f t="shared" si="4"/>
        <v>0</v>
      </c>
      <c r="AR158" s="552">
        <f t="shared" si="5"/>
        <v>0</v>
      </c>
    </row>
    <row r="159" spans="1:44" outlineLevel="1" x14ac:dyDescent="0.25">
      <c r="A159" s="544" t="s">
        <v>1674</v>
      </c>
      <c r="B159" s="545">
        <v>0</v>
      </c>
      <c r="C159" s="544" t="s">
        <v>1674</v>
      </c>
      <c r="D159" s="544" t="s">
        <v>2739</v>
      </c>
      <c r="E159" s="542" t="s">
        <v>2695</v>
      </c>
      <c r="G159" s="546"/>
      <c r="H159" s="546">
        <v>942.48</v>
      </c>
      <c r="I159" s="546"/>
      <c r="J159" s="542" t="s">
        <v>806</v>
      </c>
      <c r="K159" s="547">
        <v>1200</v>
      </c>
      <c r="L159" s="542" t="s">
        <v>806</v>
      </c>
      <c r="M159" s="548"/>
      <c r="N159" s="549"/>
      <c r="O159" s="544" t="s">
        <v>1674</v>
      </c>
      <c r="P159" s="544" t="s">
        <v>1674</v>
      </c>
      <c r="Q159" s="544" t="s">
        <v>2696</v>
      </c>
      <c r="R159" s="544" t="s">
        <v>1674</v>
      </c>
      <c r="S159" s="544" t="s">
        <v>1674</v>
      </c>
      <c r="T159" s="550"/>
      <c r="U159" s="544" t="s">
        <v>2697</v>
      </c>
      <c r="V159" s="547">
        <v>1634</v>
      </c>
      <c r="W159" s="548"/>
      <c r="Y159" s="544" t="s">
        <v>1674</v>
      </c>
      <c r="AA159" s="544" t="s">
        <v>1674</v>
      </c>
      <c r="AE159" s="551"/>
      <c r="AF159" s="544" t="s">
        <v>1674</v>
      </c>
      <c r="AG159" s="544" t="s">
        <v>1674</v>
      </c>
      <c r="AH159" s="544" t="s">
        <v>1674</v>
      </c>
      <c r="AI159" s="544" t="s">
        <v>1674</v>
      </c>
      <c r="AJ159" s="544" t="s">
        <v>1674</v>
      </c>
      <c r="AK159" s="544" t="s">
        <v>1674</v>
      </c>
      <c r="AL159" s="544" t="s">
        <v>1674</v>
      </c>
      <c r="AM159" s="544" t="s">
        <v>1674</v>
      </c>
      <c r="AN159" s="544" t="s">
        <v>1674</v>
      </c>
      <c r="AP159" s="542">
        <f>IF(F159&lt;&gt;0,($AP$2-$F159)*-1,0)</f>
        <v>0</v>
      </c>
      <c r="AR159" s="552">
        <f t="shared" si="5"/>
        <v>0</v>
      </c>
    </row>
    <row r="160" spans="1:44" outlineLevel="1" x14ac:dyDescent="0.25">
      <c r="A160" s="544" t="s">
        <v>1674</v>
      </c>
      <c r="B160" s="545">
        <v>0</v>
      </c>
      <c r="C160" s="544" t="s">
        <v>1674</v>
      </c>
      <c r="D160" s="544" t="s">
        <v>2739</v>
      </c>
      <c r="E160" s="542" t="s">
        <v>2695</v>
      </c>
      <c r="G160" s="546"/>
      <c r="H160" s="546">
        <v>9.52</v>
      </c>
      <c r="I160" s="546"/>
      <c r="J160" s="542" t="s">
        <v>806</v>
      </c>
      <c r="K160" s="547">
        <v>8736</v>
      </c>
      <c r="L160" s="542" t="s">
        <v>806</v>
      </c>
      <c r="M160" s="548"/>
      <c r="N160" s="549"/>
      <c r="O160" s="544" t="s">
        <v>1674</v>
      </c>
      <c r="P160" s="544" t="s">
        <v>1674</v>
      </c>
      <c r="Q160" s="544" t="s">
        <v>2696</v>
      </c>
      <c r="R160" s="544" t="s">
        <v>1674</v>
      </c>
      <c r="S160" s="544" t="s">
        <v>1674</v>
      </c>
      <c r="T160" s="550">
        <v>19</v>
      </c>
      <c r="U160" s="544" t="s">
        <v>2697</v>
      </c>
      <c r="V160" s="547">
        <v>1635</v>
      </c>
      <c r="W160" s="548"/>
      <c r="Y160" s="544" t="s">
        <v>1674</v>
      </c>
      <c r="AA160" s="544" t="s">
        <v>1674</v>
      </c>
      <c r="AE160" s="551"/>
      <c r="AF160" s="544" t="s">
        <v>1674</v>
      </c>
      <c r="AG160" s="544" t="s">
        <v>1674</v>
      </c>
      <c r="AH160" s="544" t="s">
        <v>1674</v>
      </c>
      <c r="AI160" s="544" t="s">
        <v>1674</v>
      </c>
      <c r="AJ160" s="544" t="s">
        <v>1674</v>
      </c>
      <c r="AK160" s="544" t="s">
        <v>1674</v>
      </c>
      <c r="AL160" s="544" t="s">
        <v>1674</v>
      </c>
      <c r="AM160" s="544" t="s">
        <v>1674</v>
      </c>
      <c r="AN160" s="544" t="s">
        <v>1674</v>
      </c>
      <c r="AP160" s="542">
        <f t="shared" ref="AP160:AP223" si="6">IF(F160&lt;&gt;0,($AP$2-$F160)*-1,0)</f>
        <v>0</v>
      </c>
      <c r="AR160" s="552">
        <f t="shared" si="5"/>
        <v>0</v>
      </c>
    </row>
    <row r="161" spans="1:44" outlineLevel="1" x14ac:dyDescent="0.25">
      <c r="A161" s="544" t="s">
        <v>1674</v>
      </c>
      <c r="B161" s="545">
        <v>0</v>
      </c>
      <c r="C161" s="544" t="s">
        <v>1674</v>
      </c>
      <c r="D161" s="544" t="s">
        <v>2739</v>
      </c>
      <c r="E161" s="542" t="s">
        <v>2698</v>
      </c>
      <c r="G161" s="546"/>
      <c r="H161" s="546">
        <v>942.48</v>
      </c>
      <c r="I161" s="546"/>
      <c r="J161" s="542" t="s">
        <v>806</v>
      </c>
      <c r="K161" s="547">
        <v>1200</v>
      </c>
      <c r="L161" s="542" t="s">
        <v>806</v>
      </c>
      <c r="M161" s="548"/>
      <c r="N161" s="549"/>
      <c r="O161" s="544" t="s">
        <v>1674</v>
      </c>
      <c r="P161" s="544" t="s">
        <v>1674</v>
      </c>
      <c r="Q161" s="544" t="s">
        <v>2699</v>
      </c>
      <c r="R161" s="544" t="s">
        <v>1674</v>
      </c>
      <c r="S161" s="544" t="s">
        <v>1674</v>
      </c>
      <c r="T161" s="550"/>
      <c r="U161" s="544" t="s">
        <v>2700</v>
      </c>
      <c r="V161" s="547">
        <v>1598</v>
      </c>
      <c r="W161" s="548"/>
      <c r="Y161" s="544" t="s">
        <v>1674</v>
      </c>
      <c r="AA161" s="544" t="s">
        <v>1674</v>
      </c>
      <c r="AE161" s="551"/>
      <c r="AF161" s="544" t="s">
        <v>1674</v>
      </c>
      <c r="AG161" s="544" t="s">
        <v>1674</v>
      </c>
      <c r="AH161" s="544" t="s">
        <v>1674</v>
      </c>
      <c r="AI161" s="544" t="s">
        <v>1674</v>
      </c>
      <c r="AJ161" s="544" t="s">
        <v>1674</v>
      </c>
      <c r="AK161" s="544" t="s">
        <v>1674</v>
      </c>
      <c r="AL161" s="544" t="s">
        <v>1674</v>
      </c>
      <c r="AM161" s="544" t="s">
        <v>1674</v>
      </c>
      <c r="AN161" s="544" t="s">
        <v>1674</v>
      </c>
      <c r="AP161" s="542">
        <f t="shared" si="6"/>
        <v>0</v>
      </c>
      <c r="AR161" s="552">
        <f t="shared" si="5"/>
        <v>0</v>
      </c>
    </row>
    <row r="162" spans="1:44" outlineLevel="1" x14ac:dyDescent="0.25">
      <c r="A162" s="544" t="s">
        <v>1674</v>
      </c>
      <c r="B162" s="545">
        <v>0</v>
      </c>
      <c r="C162" s="544" t="s">
        <v>1674</v>
      </c>
      <c r="D162" s="544" t="s">
        <v>2739</v>
      </c>
      <c r="E162" s="542" t="s">
        <v>2698</v>
      </c>
      <c r="G162" s="546"/>
      <c r="H162" s="546">
        <v>9.52</v>
      </c>
      <c r="I162" s="546"/>
      <c r="J162" s="542" t="s">
        <v>806</v>
      </c>
      <c r="K162" s="547">
        <v>8736</v>
      </c>
      <c r="L162" s="542" t="s">
        <v>806</v>
      </c>
      <c r="M162" s="548"/>
      <c r="N162" s="549"/>
      <c r="O162" s="544" t="s">
        <v>1674</v>
      </c>
      <c r="P162" s="544" t="s">
        <v>1674</v>
      </c>
      <c r="Q162" s="544" t="s">
        <v>2699</v>
      </c>
      <c r="R162" s="544" t="s">
        <v>1674</v>
      </c>
      <c r="S162" s="544" t="s">
        <v>1674</v>
      </c>
      <c r="T162" s="550">
        <v>19</v>
      </c>
      <c r="U162" s="544" t="s">
        <v>2700</v>
      </c>
      <c r="V162" s="547">
        <v>1599</v>
      </c>
      <c r="W162" s="548"/>
      <c r="Y162" s="544" t="s">
        <v>1674</v>
      </c>
      <c r="AA162" s="544" t="s">
        <v>1674</v>
      </c>
      <c r="AE162" s="551"/>
      <c r="AF162" s="544" t="s">
        <v>1674</v>
      </c>
      <c r="AG162" s="544" t="s">
        <v>1674</v>
      </c>
      <c r="AH162" s="544" t="s">
        <v>1674</v>
      </c>
      <c r="AI162" s="544" t="s">
        <v>1674</v>
      </c>
      <c r="AJ162" s="544" t="s">
        <v>1674</v>
      </c>
      <c r="AK162" s="544" t="s">
        <v>1674</v>
      </c>
      <c r="AL162" s="544" t="s">
        <v>1674</v>
      </c>
      <c r="AM162" s="544" t="s">
        <v>1674</v>
      </c>
      <c r="AN162" s="544" t="s">
        <v>1674</v>
      </c>
      <c r="AP162" s="542">
        <f t="shared" si="6"/>
        <v>0</v>
      </c>
      <c r="AR162" s="552">
        <f t="shared" si="5"/>
        <v>0</v>
      </c>
    </row>
    <row r="163" spans="1:44" outlineLevel="1" x14ac:dyDescent="0.25">
      <c r="A163" s="544" t="s">
        <v>1674</v>
      </c>
      <c r="B163" s="545">
        <v>0</v>
      </c>
      <c r="C163" s="544" t="s">
        <v>1674</v>
      </c>
      <c r="D163" s="544" t="s">
        <v>2739</v>
      </c>
      <c r="E163" s="542" t="s">
        <v>3296</v>
      </c>
      <c r="G163" s="546"/>
      <c r="H163" s="546">
        <v>942.48</v>
      </c>
      <c r="I163" s="546"/>
      <c r="J163" s="542" t="s">
        <v>806</v>
      </c>
      <c r="K163" s="547">
        <v>1200</v>
      </c>
      <c r="L163" s="542" t="s">
        <v>806</v>
      </c>
      <c r="M163" s="548"/>
      <c r="N163" s="549"/>
      <c r="O163" s="544" t="s">
        <v>1674</v>
      </c>
      <c r="P163" s="544" t="s">
        <v>1674</v>
      </c>
      <c r="Q163" s="544" t="s">
        <v>3302</v>
      </c>
      <c r="R163" s="544" t="s">
        <v>1674</v>
      </c>
      <c r="S163" s="544" t="s">
        <v>1674</v>
      </c>
      <c r="T163" s="550"/>
      <c r="U163" s="544" t="s">
        <v>3303</v>
      </c>
      <c r="V163" s="547">
        <v>1667</v>
      </c>
      <c r="W163" s="548"/>
      <c r="Y163" s="544" t="s">
        <v>1674</v>
      </c>
      <c r="AA163" s="544" t="s">
        <v>1674</v>
      </c>
      <c r="AE163" s="551"/>
      <c r="AF163" s="544" t="s">
        <v>1674</v>
      </c>
      <c r="AG163" s="544" t="s">
        <v>1674</v>
      </c>
      <c r="AH163" s="544" t="s">
        <v>1674</v>
      </c>
      <c r="AI163" s="544" t="s">
        <v>1674</v>
      </c>
      <c r="AJ163" s="544" t="s">
        <v>1674</v>
      </c>
      <c r="AK163" s="544" t="s">
        <v>1674</v>
      </c>
      <c r="AL163" s="544" t="s">
        <v>1674</v>
      </c>
      <c r="AM163" s="544" t="s">
        <v>1674</v>
      </c>
      <c r="AN163" s="544" t="s">
        <v>1674</v>
      </c>
      <c r="AP163" s="542">
        <f t="shared" si="6"/>
        <v>0</v>
      </c>
      <c r="AR163" s="552">
        <f t="shared" si="5"/>
        <v>0</v>
      </c>
    </row>
    <row r="164" spans="1:44" outlineLevel="1" x14ac:dyDescent="0.25">
      <c r="A164" s="544" t="s">
        <v>1674</v>
      </c>
      <c r="B164" s="545">
        <v>0</v>
      </c>
      <c r="C164" s="544" t="s">
        <v>1674</v>
      </c>
      <c r="D164" s="544" t="s">
        <v>2739</v>
      </c>
      <c r="E164" s="542" t="s">
        <v>3296</v>
      </c>
      <c r="G164" s="546"/>
      <c r="H164" s="546">
        <v>9.52</v>
      </c>
      <c r="I164" s="546"/>
      <c r="J164" s="542" t="s">
        <v>806</v>
      </c>
      <c r="K164" s="547">
        <v>8736</v>
      </c>
      <c r="L164" s="542" t="s">
        <v>806</v>
      </c>
      <c r="M164" s="548"/>
      <c r="N164" s="549"/>
      <c r="O164" s="544" t="s">
        <v>1674</v>
      </c>
      <c r="P164" s="544" t="s">
        <v>1674</v>
      </c>
      <c r="Q164" s="544" t="s">
        <v>3302</v>
      </c>
      <c r="R164" s="544" t="s">
        <v>1674</v>
      </c>
      <c r="S164" s="544" t="s">
        <v>1674</v>
      </c>
      <c r="T164" s="550">
        <v>19</v>
      </c>
      <c r="U164" s="544" t="s">
        <v>3303</v>
      </c>
      <c r="V164" s="547">
        <v>1668</v>
      </c>
      <c r="W164" s="548"/>
      <c r="Y164" s="544" t="s">
        <v>1674</v>
      </c>
      <c r="AA164" s="544" t="s">
        <v>1674</v>
      </c>
      <c r="AE164" s="551"/>
      <c r="AF164" s="544" t="s">
        <v>1674</v>
      </c>
      <c r="AG164" s="544" t="s">
        <v>1674</v>
      </c>
      <c r="AH164" s="544" t="s">
        <v>1674</v>
      </c>
      <c r="AI164" s="544" t="s">
        <v>1674</v>
      </c>
      <c r="AJ164" s="544" t="s">
        <v>1674</v>
      </c>
      <c r="AK164" s="544" t="s">
        <v>1674</v>
      </c>
      <c r="AL164" s="544" t="s">
        <v>1674</v>
      </c>
      <c r="AM164" s="544" t="s">
        <v>1674</v>
      </c>
      <c r="AN164" s="544" t="s">
        <v>1674</v>
      </c>
      <c r="AP164" s="542">
        <f t="shared" si="6"/>
        <v>0</v>
      </c>
      <c r="AR164" s="552">
        <f t="shared" si="5"/>
        <v>0</v>
      </c>
    </row>
    <row r="165" spans="1:44" outlineLevel="1" x14ac:dyDescent="0.25">
      <c r="A165" s="544" t="s">
        <v>1674</v>
      </c>
      <c r="B165" s="545">
        <v>0</v>
      </c>
      <c r="C165" s="544" t="s">
        <v>1674</v>
      </c>
      <c r="D165" s="544" t="s">
        <v>2739</v>
      </c>
      <c r="E165" s="542" t="s">
        <v>3304</v>
      </c>
      <c r="G165" s="546"/>
      <c r="H165" s="546">
        <v>942.48</v>
      </c>
      <c r="I165" s="546"/>
      <c r="J165" s="542" t="s">
        <v>806</v>
      </c>
      <c r="K165" s="547">
        <v>1200</v>
      </c>
      <c r="L165" s="542" t="s">
        <v>806</v>
      </c>
      <c r="M165" s="548"/>
      <c r="N165" s="549"/>
      <c r="O165" s="544" t="s">
        <v>1674</v>
      </c>
      <c r="P165" s="544" t="s">
        <v>1674</v>
      </c>
      <c r="Q165" s="544" t="s">
        <v>3305</v>
      </c>
      <c r="R165" s="544" t="s">
        <v>1674</v>
      </c>
      <c r="S165" s="544" t="s">
        <v>1674</v>
      </c>
      <c r="T165" s="550"/>
      <c r="U165" s="544" t="s">
        <v>3306</v>
      </c>
      <c r="V165" s="547">
        <v>1611</v>
      </c>
      <c r="W165" s="548"/>
      <c r="Y165" s="544" t="s">
        <v>1674</v>
      </c>
      <c r="AA165" s="544" t="s">
        <v>1674</v>
      </c>
      <c r="AE165" s="551"/>
      <c r="AF165" s="544" t="s">
        <v>1674</v>
      </c>
      <c r="AG165" s="544" t="s">
        <v>1674</v>
      </c>
      <c r="AH165" s="544" t="s">
        <v>1674</v>
      </c>
      <c r="AI165" s="544" t="s">
        <v>1674</v>
      </c>
      <c r="AJ165" s="544" t="s">
        <v>1674</v>
      </c>
      <c r="AK165" s="544" t="s">
        <v>1674</v>
      </c>
      <c r="AL165" s="544" t="s">
        <v>1674</v>
      </c>
      <c r="AM165" s="544" t="s">
        <v>1674</v>
      </c>
      <c r="AN165" s="544" t="s">
        <v>1674</v>
      </c>
      <c r="AP165" s="542">
        <f t="shared" si="6"/>
        <v>0</v>
      </c>
      <c r="AR165" s="552">
        <f t="shared" si="5"/>
        <v>0</v>
      </c>
    </row>
    <row r="166" spans="1:44" outlineLevel="1" x14ac:dyDescent="0.25">
      <c r="A166" s="544" t="s">
        <v>1674</v>
      </c>
      <c r="B166" s="545">
        <v>0</v>
      </c>
      <c r="C166" s="544" t="s">
        <v>1674</v>
      </c>
      <c r="D166" s="544" t="s">
        <v>2739</v>
      </c>
      <c r="E166" s="542" t="s">
        <v>3304</v>
      </c>
      <c r="G166" s="546"/>
      <c r="H166" s="546">
        <v>9.52</v>
      </c>
      <c r="I166" s="546"/>
      <c r="J166" s="542" t="s">
        <v>806</v>
      </c>
      <c r="K166" s="547">
        <v>8736</v>
      </c>
      <c r="L166" s="542" t="s">
        <v>806</v>
      </c>
      <c r="M166" s="548"/>
      <c r="N166" s="549"/>
      <c r="O166" s="544" t="s">
        <v>1674</v>
      </c>
      <c r="P166" s="544" t="s">
        <v>1674</v>
      </c>
      <c r="Q166" s="544" t="s">
        <v>3305</v>
      </c>
      <c r="R166" s="544" t="s">
        <v>1674</v>
      </c>
      <c r="S166" s="544" t="s">
        <v>1674</v>
      </c>
      <c r="T166" s="550">
        <v>19</v>
      </c>
      <c r="U166" s="544" t="s">
        <v>3306</v>
      </c>
      <c r="V166" s="547">
        <v>1612</v>
      </c>
      <c r="W166" s="548"/>
      <c r="Y166" s="544" t="s">
        <v>1674</v>
      </c>
      <c r="AA166" s="544" t="s">
        <v>1674</v>
      </c>
      <c r="AE166" s="551"/>
      <c r="AF166" s="544" t="s">
        <v>1674</v>
      </c>
      <c r="AG166" s="544" t="s">
        <v>1674</v>
      </c>
      <c r="AH166" s="544" t="s">
        <v>1674</v>
      </c>
      <c r="AI166" s="544" t="s">
        <v>1674</v>
      </c>
      <c r="AJ166" s="544" t="s">
        <v>1674</v>
      </c>
      <c r="AK166" s="544" t="s">
        <v>1674</v>
      </c>
      <c r="AL166" s="544" t="s">
        <v>1674</v>
      </c>
      <c r="AM166" s="544" t="s">
        <v>1674</v>
      </c>
      <c r="AN166" s="544" t="s">
        <v>1674</v>
      </c>
      <c r="AP166" s="542">
        <f t="shared" si="6"/>
        <v>0</v>
      </c>
      <c r="AR166" s="552">
        <f t="shared" si="5"/>
        <v>0</v>
      </c>
    </row>
    <row r="167" spans="1:44" outlineLevel="1" x14ac:dyDescent="0.25">
      <c r="A167" s="544" t="s">
        <v>1674</v>
      </c>
      <c r="B167" s="545">
        <v>0</v>
      </c>
      <c r="C167" s="544" t="s">
        <v>1674</v>
      </c>
      <c r="D167" s="544" t="s">
        <v>2739</v>
      </c>
      <c r="E167" s="542" t="s">
        <v>3307</v>
      </c>
      <c r="G167" s="546"/>
      <c r="H167" s="546">
        <v>942.48</v>
      </c>
      <c r="I167" s="546"/>
      <c r="J167" s="542" t="s">
        <v>806</v>
      </c>
      <c r="K167" s="547">
        <v>1200</v>
      </c>
      <c r="L167" s="542" t="s">
        <v>806</v>
      </c>
      <c r="M167" s="548"/>
      <c r="N167" s="549"/>
      <c r="O167" s="544" t="s">
        <v>1674</v>
      </c>
      <c r="P167" s="544" t="s">
        <v>1674</v>
      </c>
      <c r="Q167" s="544" t="s">
        <v>3308</v>
      </c>
      <c r="R167" s="544" t="s">
        <v>1674</v>
      </c>
      <c r="S167" s="544" t="s">
        <v>1674</v>
      </c>
      <c r="T167" s="550"/>
      <c r="U167" s="544" t="s">
        <v>3309</v>
      </c>
      <c r="V167" s="547">
        <v>1691</v>
      </c>
      <c r="W167" s="548"/>
      <c r="Y167" s="544" t="s">
        <v>1674</v>
      </c>
      <c r="AA167" s="544" t="s">
        <v>1674</v>
      </c>
      <c r="AE167" s="551"/>
      <c r="AF167" s="544" t="s">
        <v>1674</v>
      </c>
      <c r="AG167" s="544" t="s">
        <v>1674</v>
      </c>
      <c r="AH167" s="544" t="s">
        <v>1674</v>
      </c>
      <c r="AI167" s="544" t="s">
        <v>1674</v>
      </c>
      <c r="AJ167" s="544" t="s">
        <v>1674</v>
      </c>
      <c r="AK167" s="544" t="s">
        <v>1674</v>
      </c>
      <c r="AL167" s="544" t="s">
        <v>1674</v>
      </c>
      <c r="AM167" s="544" t="s">
        <v>1674</v>
      </c>
      <c r="AN167" s="544" t="s">
        <v>1674</v>
      </c>
      <c r="AP167" s="542">
        <f t="shared" si="6"/>
        <v>0</v>
      </c>
      <c r="AR167" s="552">
        <f t="shared" si="5"/>
        <v>0</v>
      </c>
    </row>
    <row r="168" spans="1:44" outlineLevel="1" x14ac:dyDescent="0.25">
      <c r="A168" s="544" t="s">
        <v>1674</v>
      </c>
      <c r="B168" s="545">
        <v>0</v>
      </c>
      <c r="C168" s="544" t="s">
        <v>1674</v>
      </c>
      <c r="D168" s="544" t="s">
        <v>2739</v>
      </c>
      <c r="E168" s="542" t="s">
        <v>3307</v>
      </c>
      <c r="G168" s="546"/>
      <c r="H168" s="546">
        <v>9.52</v>
      </c>
      <c r="I168" s="546"/>
      <c r="J168" s="542" t="s">
        <v>806</v>
      </c>
      <c r="K168" s="547">
        <v>8736</v>
      </c>
      <c r="L168" s="542" t="s">
        <v>806</v>
      </c>
      <c r="M168" s="548"/>
      <c r="N168" s="549"/>
      <c r="O168" s="544" t="s">
        <v>1674</v>
      </c>
      <c r="P168" s="544" t="s">
        <v>1674</v>
      </c>
      <c r="Q168" s="544" t="s">
        <v>3308</v>
      </c>
      <c r="R168" s="544" t="s">
        <v>1674</v>
      </c>
      <c r="S168" s="544" t="s">
        <v>1674</v>
      </c>
      <c r="T168" s="550">
        <v>19</v>
      </c>
      <c r="U168" s="544" t="s">
        <v>3309</v>
      </c>
      <c r="V168" s="547">
        <v>1692</v>
      </c>
      <c r="W168" s="548"/>
      <c r="Y168" s="544" t="s">
        <v>1674</v>
      </c>
      <c r="AA168" s="544" t="s">
        <v>1674</v>
      </c>
      <c r="AE168" s="551"/>
      <c r="AF168" s="544" t="s">
        <v>1674</v>
      </c>
      <c r="AG168" s="544" t="s">
        <v>1674</v>
      </c>
      <c r="AH168" s="544" t="s">
        <v>1674</v>
      </c>
      <c r="AI168" s="544" t="s">
        <v>1674</v>
      </c>
      <c r="AJ168" s="544" t="s">
        <v>1674</v>
      </c>
      <c r="AK168" s="544" t="s">
        <v>1674</v>
      </c>
      <c r="AL168" s="544" t="s">
        <v>1674</v>
      </c>
      <c r="AM168" s="544" t="s">
        <v>1674</v>
      </c>
      <c r="AN168" s="544" t="s">
        <v>1674</v>
      </c>
      <c r="AP168" s="542">
        <f t="shared" si="6"/>
        <v>0</v>
      </c>
      <c r="AR168" s="552">
        <f t="shared" si="5"/>
        <v>0</v>
      </c>
    </row>
    <row r="169" spans="1:44" outlineLevel="1" x14ac:dyDescent="0.25">
      <c r="A169" s="544" t="s">
        <v>1674</v>
      </c>
      <c r="B169" s="545">
        <v>0</v>
      </c>
      <c r="C169" s="544" t="s">
        <v>1674</v>
      </c>
      <c r="D169" s="544" t="s">
        <v>2739</v>
      </c>
      <c r="E169" s="542" t="s">
        <v>3310</v>
      </c>
      <c r="G169" s="546"/>
      <c r="H169" s="546">
        <v>952</v>
      </c>
      <c r="I169" s="546"/>
      <c r="J169" s="542" t="s">
        <v>806</v>
      </c>
      <c r="K169" s="547">
        <v>1200</v>
      </c>
      <c r="L169" s="542" t="s">
        <v>806</v>
      </c>
      <c r="M169" s="548"/>
      <c r="N169" s="549"/>
      <c r="O169" s="544" t="s">
        <v>1674</v>
      </c>
      <c r="P169" s="544" t="s">
        <v>1674</v>
      </c>
      <c r="Q169" s="544" t="s">
        <v>3311</v>
      </c>
      <c r="R169" s="544" t="s">
        <v>1674</v>
      </c>
      <c r="S169" s="544" t="s">
        <v>1674</v>
      </c>
      <c r="T169" s="550"/>
      <c r="U169" s="544" t="s">
        <v>3312</v>
      </c>
      <c r="V169" s="547">
        <v>1861</v>
      </c>
      <c r="W169" s="548"/>
      <c r="Y169" s="544" t="s">
        <v>1674</v>
      </c>
      <c r="AA169" s="544" t="s">
        <v>1674</v>
      </c>
      <c r="AE169" s="551"/>
      <c r="AF169" s="544" t="s">
        <v>1674</v>
      </c>
      <c r="AG169" s="544" t="s">
        <v>1674</v>
      </c>
      <c r="AH169" s="544" t="s">
        <v>1674</v>
      </c>
      <c r="AI169" s="544" t="s">
        <v>1674</v>
      </c>
      <c r="AJ169" s="544" t="s">
        <v>1674</v>
      </c>
      <c r="AK169" s="544" t="s">
        <v>1674</v>
      </c>
      <c r="AL169" s="544" t="s">
        <v>1674</v>
      </c>
      <c r="AM169" s="544" t="s">
        <v>1674</v>
      </c>
      <c r="AN169" s="544" t="s">
        <v>1674</v>
      </c>
      <c r="AP169" s="542">
        <f t="shared" si="6"/>
        <v>0</v>
      </c>
      <c r="AR169" s="552">
        <f t="shared" si="5"/>
        <v>0</v>
      </c>
    </row>
    <row r="170" spans="1:44" outlineLevel="1" x14ac:dyDescent="0.25">
      <c r="A170" s="544" t="s">
        <v>1674</v>
      </c>
      <c r="B170" s="545">
        <v>0</v>
      </c>
      <c r="C170" s="544" t="s">
        <v>1674</v>
      </c>
      <c r="D170" s="544" t="s">
        <v>2739</v>
      </c>
      <c r="E170" s="542" t="s">
        <v>3313</v>
      </c>
      <c r="G170" s="546"/>
      <c r="H170" s="546">
        <v>942.48</v>
      </c>
      <c r="I170" s="546"/>
      <c r="J170" s="542" t="s">
        <v>806</v>
      </c>
      <c r="K170" s="547">
        <v>1200</v>
      </c>
      <c r="L170" s="542" t="s">
        <v>806</v>
      </c>
      <c r="M170" s="548"/>
      <c r="N170" s="549"/>
      <c r="O170" s="544" t="s">
        <v>1674</v>
      </c>
      <c r="P170" s="544" t="s">
        <v>1674</v>
      </c>
      <c r="Q170" s="544" t="s">
        <v>3314</v>
      </c>
      <c r="R170" s="544" t="s">
        <v>1674</v>
      </c>
      <c r="S170" s="544" t="s">
        <v>1674</v>
      </c>
      <c r="T170" s="550"/>
      <c r="U170" s="544" t="s">
        <v>3315</v>
      </c>
      <c r="V170" s="547">
        <v>64</v>
      </c>
      <c r="W170" s="548"/>
      <c r="Y170" s="544" t="s">
        <v>1674</v>
      </c>
      <c r="AA170" s="544" t="s">
        <v>1674</v>
      </c>
      <c r="AE170" s="551"/>
      <c r="AF170" s="544" t="s">
        <v>1674</v>
      </c>
      <c r="AG170" s="544" t="s">
        <v>1674</v>
      </c>
      <c r="AH170" s="544" t="s">
        <v>1674</v>
      </c>
      <c r="AI170" s="544" t="s">
        <v>1674</v>
      </c>
      <c r="AJ170" s="544" t="s">
        <v>1674</v>
      </c>
      <c r="AK170" s="544" t="s">
        <v>1674</v>
      </c>
      <c r="AL170" s="544" t="s">
        <v>1674</v>
      </c>
      <c r="AM170" s="544" t="s">
        <v>1674</v>
      </c>
      <c r="AN170" s="544" t="s">
        <v>1674</v>
      </c>
      <c r="AP170" s="542">
        <f t="shared" si="6"/>
        <v>0</v>
      </c>
      <c r="AR170" s="552">
        <f t="shared" si="5"/>
        <v>0</v>
      </c>
    </row>
    <row r="171" spans="1:44" outlineLevel="1" x14ac:dyDescent="0.25">
      <c r="A171" s="544" t="s">
        <v>1674</v>
      </c>
      <c r="B171" s="545">
        <v>0</v>
      </c>
      <c r="C171" s="544" t="s">
        <v>1674</v>
      </c>
      <c r="D171" s="544" t="s">
        <v>2739</v>
      </c>
      <c r="E171" s="542" t="s">
        <v>3313</v>
      </c>
      <c r="G171" s="546"/>
      <c r="H171" s="546">
        <v>9.52</v>
      </c>
      <c r="I171" s="546"/>
      <c r="J171" s="542" t="s">
        <v>806</v>
      </c>
      <c r="K171" s="547">
        <v>8736</v>
      </c>
      <c r="L171" s="542" t="s">
        <v>806</v>
      </c>
      <c r="M171" s="548"/>
      <c r="N171" s="549"/>
      <c r="O171" s="544" t="s">
        <v>1674</v>
      </c>
      <c r="P171" s="544" t="s">
        <v>1674</v>
      </c>
      <c r="Q171" s="544" t="s">
        <v>3314</v>
      </c>
      <c r="R171" s="544" t="s">
        <v>1674</v>
      </c>
      <c r="S171" s="544" t="s">
        <v>1674</v>
      </c>
      <c r="T171" s="550">
        <v>19</v>
      </c>
      <c r="U171" s="544" t="s">
        <v>3315</v>
      </c>
      <c r="V171" s="547">
        <v>65</v>
      </c>
      <c r="W171" s="548"/>
      <c r="Y171" s="544" t="s">
        <v>1674</v>
      </c>
      <c r="AA171" s="544" t="s">
        <v>1674</v>
      </c>
      <c r="AE171" s="551"/>
      <c r="AF171" s="544" t="s">
        <v>1674</v>
      </c>
      <c r="AG171" s="544" t="s">
        <v>1674</v>
      </c>
      <c r="AH171" s="544" t="s">
        <v>1674</v>
      </c>
      <c r="AI171" s="544" t="s">
        <v>1674</v>
      </c>
      <c r="AJ171" s="544" t="s">
        <v>1674</v>
      </c>
      <c r="AK171" s="544" t="s">
        <v>1674</v>
      </c>
      <c r="AL171" s="544" t="s">
        <v>1674</v>
      </c>
      <c r="AM171" s="544" t="s">
        <v>1674</v>
      </c>
      <c r="AN171" s="544" t="s">
        <v>1674</v>
      </c>
      <c r="AP171" s="542">
        <f t="shared" si="6"/>
        <v>0</v>
      </c>
      <c r="AR171" s="552">
        <f t="shared" si="5"/>
        <v>0</v>
      </c>
    </row>
    <row r="172" spans="1:44" outlineLevel="1" x14ac:dyDescent="0.25">
      <c r="A172" s="544" t="s">
        <v>1674</v>
      </c>
      <c r="B172" s="545">
        <v>0</v>
      </c>
      <c r="C172" s="544" t="s">
        <v>1674</v>
      </c>
      <c r="D172" s="544" t="s">
        <v>2739</v>
      </c>
      <c r="E172" s="542" t="s">
        <v>3316</v>
      </c>
      <c r="G172" s="546"/>
      <c r="H172" s="546">
        <v>952</v>
      </c>
      <c r="I172" s="546"/>
      <c r="J172" s="542" t="s">
        <v>806</v>
      </c>
      <c r="K172" s="547">
        <v>1200</v>
      </c>
      <c r="L172" s="542" t="s">
        <v>806</v>
      </c>
      <c r="M172" s="548"/>
      <c r="N172" s="549"/>
      <c r="O172" s="544" t="s">
        <v>1674</v>
      </c>
      <c r="P172" s="544" t="s">
        <v>1674</v>
      </c>
      <c r="Q172" s="544" t="s">
        <v>3317</v>
      </c>
      <c r="R172" s="544" t="s">
        <v>1674</v>
      </c>
      <c r="S172" s="544" t="s">
        <v>1674</v>
      </c>
      <c r="T172" s="550"/>
      <c r="U172" s="544" t="s">
        <v>3315</v>
      </c>
      <c r="V172" s="547">
        <v>1657</v>
      </c>
      <c r="W172" s="548"/>
      <c r="Y172" s="544" t="s">
        <v>1674</v>
      </c>
      <c r="AA172" s="544" t="s">
        <v>1674</v>
      </c>
      <c r="AE172" s="551"/>
      <c r="AF172" s="544" t="s">
        <v>1674</v>
      </c>
      <c r="AG172" s="544" t="s">
        <v>1674</v>
      </c>
      <c r="AH172" s="544" t="s">
        <v>1674</v>
      </c>
      <c r="AI172" s="544" t="s">
        <v>1674</v>
      </c>
      <c r="AJ172" s="544" t="s">
        <v>1674</v>
      </c>
      <c r="AK172" s="544" t="s">
        <v>1674</v>
      </c>
      <c r="AL172" s="544" t="s">
        <v>1674</v>
      </c>
      <c r="AM172" s="544" t="s">
        <v>1674</v>
      </c>
      <c r="AN172" s="544" t="s">
        <v>1674</v>
      </c>
      <c r="AP172" s="542">
        <f t="shared" si="6"/>
        <v>0</v>
      </c>
      <c r="AR172" s="552">
        <f t="shared" si="5"/>
        <v>0</v>
      </c>
    </row>
    <row r="173" spans="1:44" outlineLevel="1" x14ac:dyDescent="0.25">
      <c r="A173" s="544" t="s">
        <v>1674</v>
      </c>
      <c r="B173" s="545">
        <v>0</v>
      </c>
      <c r="C173" s="544" t="s">
        <v>1674</v>
      </c>
      <c r="D173" s="544" t="s">
        <v>2739</v>
      </c>
      <c r="E173" s="542" t="s">
        <v>3318</v>
      </c>
      <c r="G173" s="546"/>
      <c r="H173" s="546">
        <v>952</v>
      </c>
      <c r="I173" s="546"/>
      <c r="J173" s="542" t="s">
        <v>806</v>
      </c>
      <c r="K173" s="547">
        <v>1200</v>
      </c>
      <c r="L173" s="542" t="s">
        <v>806</v>
      </c>
      <c r="M173" s="548"/>
      <c r="N173" s="549"/>
      <c r="O173" s="544" t="s">
        <v>1674</v>
      </c>
      <c r="P173" s="544" t="s">
        <v>1674</v>
      </c>
      <c r="Q173" s="544" t="s">
        <v>3319</v>
      </c>
      <c r="R173" s="544" t="s">
        <v>1674</v>
      </c>
      <c r="S173" s="544" t="s">
        <v>1674</v>
      </c>
      <c r="T173" s="550"/>
      <c r="U173" s="544" t="s">
        <v>3320</v>
      </c>
      <c r="V173" s="547">
        <v>1764</v>
      </c>
      <c r="W173" s="548"/>
      <c r="Y173" s="544" t="s">
        <v>1674</v>
      </c>
      <c r="AA173" s="544" t="s">
        <v>1674</v>
      </c>
      <c r="AE173" s="551"/>
      <c r="AF173" s="544" t="s">
        <v>1674</v>
      </c>
      <c r="AG173" s="544" t="s">
        <v>1674</v>
      </c>
      <c r="AH173" s="544" t="s">
        <v>1674</v>
      </c>
      <c r="AI173" s="544" t="s">
        <v>1674</v>
      </c>
      <c r="AJ173" s="544" t="s">
        <v>1674</v>
      </c>
      <c r="AK173" s="544" t="s">
        <v>1674</v>
      </c>
      <c r="AL173" s="544" t="s">
        <v>1674</v>
      </c>
      <c r="AM173" s="544" t="s">
        <v>1674</v>
      </c>
      <c r="AN173" s="544" t="s">
        <v>1674</v>
      </c>
      <c r="AP173" s="542">
        <f t="shared" si="6"/>
        <v>0</v>
      </c>
      <c r="AR173" s="552">
        <f t="shared" si="5"/>
        <v>0</v>
      </c>
    </row>
    <row r="174" spans="1:44" outlineLevel="1" x14ac:dyDescent="0.25">
      <c r="A174" s="544" t="s">
        <v>1674</v>
      </c>
      <c r="B174" s="545">
        <v>0</v>
      </c>
      <c r="C174" s="544" t="s">
        <v>1674</v>
      </c>
      <c r="D174" s="544" t="s">
        <v>2739</v>
      </c>
      <c r="E174" s="542" t="s">
        <v>3321</v>
      </c>
      <c r="G174" s="546"/>
      <c r="H174" s="546">
        <v>952</v>
      </c>
      <c r="I174" s="546">
        <v>3094</v>
      </c>
      <c r="J174" s="542" t="s">
        <v>2701</v>
      </c>
      <c r="K174" s="547">
        <v>1200</v>
      </c>
      <c r="L174" s="542" t="s">
        <v>806</v>
      </c>
      <c r="M174" s="548"/>
      <c r="N174" s="549"/>
      <c r="O174" s="544" t="s">
        <v>1674</v>
      </c>
      <c r="P174" s="544" t="s">
        <v>1674</v>
      </c>
      <c r="Q174" s="544" t="s">
        <v>3322</v>
      </c>
      <c r="R174" s="544" t="s">
        <v>1674</v>
      </c>
      <c r="S174" s="544" t="s">
        <v>1674</v>
      </c>
      <c r="T174" s="550"/>
      <c r="U174" s="544" t="s">
        <v>3323</v>
      </c>
      <c r="V174" s="547">
        <v>1465</v>
      </c>
      <c r="W174" s="548"/>
      <c r="Y174" s="544" t="s">
        <v>1674</v>
      </c>
      <c r="AA174" s="544" t="s">
        <v>1674</v>
      </c>
      <c r="AE174" s="551"/>
      <c r="AF174" s="544" t="s">
        <v>1674</v>
      </c>
      <c r="AG174" s="544" t="s">
        <v>1674</v>
      </c>
      <c r="AH174" s="544" t="s">
        <v>1674</v>
      </c>
      <c r="AI174" s="544" t="s">
        <v>1674</v>
      </c>
      <c r="AJ174" s="544" t="s">
        <v>1674</v>
      </c>
      <c r="AK174" s="544" t="s">
        <v>1674</v>
      </c>
      <c r="AL174" s="544" t="s">
        <v>1674</v>
      </c>
      <c r="AM174" s="544" t="s">
        <v>1674</v>
      </c>
      <c r="AN174" s="544" t="s">
        <v>1674</v>
      </c>
      <c r="AP174" s="542">
        <f t="shared" si="6"/>
        <v>0</v>
      </c>
      <c r="AR174" s="552">
        <f t="shared" si="5"/>
        <v>3094</v>
      </c>
    </row>
    <row r="175" spans="1:44" outlineLevel="1" x14ac:dyDescent="0.25">
      <c r="A175" s="544" t="s">
        <v>1674</v>
      </c>
      <c r="B175" s="545">
        <v>11100</v>
      </c>
      <c r="C175" s="544" t="s">
        <v>2742</v>
      </c>
      <c r="D175" s="544" t="s">
        <v>2743</v>
      </c>
      <c r="E175" s="542" t="s">
        <v>2744</v>
      </c>
      <c r="G175" s="546"/>
      <c r="H175" s="546">
        <v>885.36</v>
      </c>
      <c r="I175" s="546"/>
      <c r="J175" s="542" t="s">
        <v>806</v>
      </c>
      <c r="K175" s="547">
        <v>8400</v>
      </c>
      <c r="L175" s="542" t="s">
        <v>806</v>
      </c>
      <c r="M175" s="548"/>
      <c r="N175" s="549"/>
      <c r="O175" s="544" t="s">
        <v>1674</v>
      </c>
      <c r="P175" s="544" t="s">
        <v>1674</v>
      </c>
      <c r="Q175" s="544" t="s">
        <v>2745</v>
      </c>
      <c r="R175" s="544" t="s">
        <v>2622</v>
      </c>
      <c r="S175" s="544" t="s">
        <v>1674</v>
      </c>
      <c r="T175" s="550">
        <v>19</v>
      </c>
      <c r="U175" s="544" t="s">
        <v>2676</v>
      </c>
      <c r="V175" s="547">
        <v>1000</v>
      </c>
      <c r="W175" s="548"/>
      <c r="Y175" s="544" t="s">
        <v>1674</v>
      </c>
      <c r="AA175" s="544" t="s">
        <v>1674</v>
      </c>
      <c r="AE175" s="551"/>
      <c r="AF175" s="544" t="s">
        <v>1674</v>
      </c>
      <c r="AG175" s="544" t="s">
        <v>1674</v>
      </c>
      <c r="AH175" s="544" t="s">
        <v>1674</v>
      </c>
      <c r="AI175" s="544" t="s">
        <v>1674</v>
      </c>
      <c r="AJ175" s="544" t="s">
        <v>1674</v>
      </c>
      <c r="AK175" s="544" t="s">
        <v>1674</v>
      </c>
      <c r="AL175" s="544" t="s">
        <v>1674</v>
      </c>
      <c r="AM175" s="544" t="s">
        <v>2742</v>
      </c>
      <c r="AN175" s="544" t="s">
        <v>1674</v>
      </c>
      <c r="AP175" s="542">
        <f t="shared" si="6"/>
        <v>0</v>
      </c>
      <c r="AR175" s="552">
        <f t="shared" si="5"/>
        <v>0</v>
      </c>
    </row>
    <row r="176" spans="1:44" outlineLevel="1" x14ac:dyDescent="0.25">
      <c r="A176" s="544" t="s">
        <v>1674</v>
      </c>
      <c r="B176" s="545">
        <v>0</v>
      </c>
      <c r="C176" s="544" t="s">
        <v>1674</v>
      </c>
      <c r="D176" s="544" t="s">
        <v>2743</v>
      </c>
      <c r="E176" s="542" t="s">
        <v>2744</v>
      </c>
      <c r="F176" s="542" t="s">
        <v>2746</v>
      </c>
      <c r="G176" s="546">
        <v>178.5</v>
      </c>
      <c r="H176" s="546"/>
      <c r="I176" s="546">
        <v>706.86</v>
      </c>
      <c r="J176" s="542" t="s">
        <v>2584</v>
      </c>
      <c r="K176" s="547">
        <v>8400</v>
      </c>
      <c r="L176" s="542" t="s">
        <v>806</v>
      </c>
      <c r="M176" s="548"/>
      <c r="N176" s="549">
        <v>-561</v>
      </c>
      <c r="O176" s="544" t="s">
        <v>1674</v>
      </c>
      <c r="P176" s="544" t="s">
        <v>1674</v>
      </c>
      <c r="Q176" s="544" t="s">
        <v>2745</v>
      </c>
      <c r="R176" s="544" t="s">
        <v>1674</v>
      </c>
      <c r="S176" s="544" t="s">
        <v>1674</v>
      </c>
      <c r="T176" s="550">
        <v>19</v>
      </c>
      <c r="U176" s="544" t="s">
        <v>2676</v>
      </c>
      <c r="V176" s="547">
        <v>1001</v>
      </c>
      <c r="W176" s="548"/>
      <c r="Y176" s="544" t="s">
        <v>1674</v>
      </c>
      <c r="AA176" s="544" t="s">
        <v>1674</v>
      </c>
      <c r="AE176" s="551"/>
      <c r="AF176" s="544" t="s">
        <v>1674</v>
      </c>
      <c r="AG176" s="544" t="s">
        <v>1674</v>
      </c>
      <c r="AH176" s="544" t="s">
        <v>1674</v>
      </c>
      <c r="AI176" s="544" t="s">
        <v>1674</v>
      </c>
      <c r="AJ176" s="544" t="s">
        <v>1674</v>
      </c>
      <c r="AK176" s="544" t="s">
        <v>1674</v>
      </c>
      <c r="AL176" s="544" t="s">
        <v>1674</v>
      </c>
      <c r="AM176" s="544" t="s">
        <v>1674</v>
      </c>
      <c r="AN176" s="544" t="s">
        <v>1674</v>
      </c>
      <c r="AP176" s="542">
        <f t="shared" si="6"/>
        <v>-500</v>
      </c>
      <c r="AR176" s="552">
        <f t="shared" si="5"/>
        <v>-706.86</v>
      </c>
    </row>
    <row r="177" spans="1:44" outlineLevel="1" x14ac:dyDescent="0.25">
      <c r="A177" s="544" t="s">
        <v>1674</v>
      </c>
      <c r="B177" s="545">
        <v>10102</v>
      </c>
      <c r="C177" s="544" t="s">
        <v>2747</v>
      </c>
      <c r="D177" s="544" t="s">
        <v>2748</v>
      </c>
      <c r="E177" s="542" t="s">
        <v>2749</v>
      </c>
      <c r="G177" s="546"/>
      <c r="H177" s="546">
        <v>11.9</v>
      </c>
      <c r="I177" s="546">
        <v>11.9</v>
      </c>
      <c r="J177" s="542" t="s">
        <v>2584</v>
      </c>
      <c r="K177" s="547">
        <v>8400</v>
      </c>
      <c r="L177" s="542" t="s">
        <v>806</v>
      </c>
      <c r="M177" s="548"/>
      <c r="N177" s="549"/>
      <c r="O177" s="544" t="s">
        <v>1674</v>
      </c>
      <c r="P177" s="544" t="s">
        <v>1674</v>
      </c>
      <c r="Q177" s="544" t="s">
        <v>2747</v>
      </c>
      <c r="R177" s="544" t="s">
        <v>1674</v>
      </c>
      <c r="S177" s="544" t="s">
        <v>1674</v>
      </c>
      <c r="T177" s="550">
        <v>19</v>
      </c>
      <c r="U177" s="544" t="s">
        <v>2676</v>
      </c>
      <c r="V177" s="547">
        <v>1479</v>
      </c>
      <c r="W177" s="548"/>
      <c r="Y177" s="544" t="s">
        <v>1674</v>
      </c>
      <c r="AA177" s="544" t="s">
        <v>1674</v>
      </c>
      <c r="AE177" s="551"/>
      <c r="AF177" s="544" t="s">
        <v>1674</v>
      </c>
      <c r="AG177" s="544" t="s">
        <v>1674</v>
      </c>
      <c r="AH177" s="544" t="s">
        <v>1674</v>
      </c>
      <c r="AI177" s="544" t="s">
        <v>1674</v>
      </c>
      <c r="AJ177" s="544" t="s">
        <v>1674</v>
      </c>
      <c r="AK177" s="544" t="s">
        <v>1674</v>
      </c>
      <c r="AL177" s="544" t="s">
        <v>1674</v>
      </c>
      <c r="AM177" s="544" t="s">
        <v>2747</v>
      </c>
      <c r="AN177" s="544" t="s">
        <v>1674</v>
      </c>
      <c r="AP177" s="542">
        <f t="shared" si="6"/>
        <v>0</v>
      </c>
      <c r="AR177" s="552">
        <f t="shared" si="5"/>
        <v>-11.9</v>
      </c>
    </row>
    <row r="178" spans="1:44" outlineLevel="1" x14ac:dyDescent="0.25">
      <c r="A178" s="544" t="s">
        <v>1674</v>
      </c>
      <c r="B178" s="545">
        <v>11800</v>
      </c>
      <c r="C178" s="544" t="s">
        <v>2581</v>
      </c>
      <c r="D178" s="544" t="s">
        <v>2756</v>
      </c>
      <c r="E178" s="542" t="s">
        <v>2757</v>
      </c>
      <c r="F178" s="542" t="s">
        <v>2680</v>
      </c>
      <c r="G178" s="546">
        <v>17195.5</v>
      </c>
      <c r="H178" s="546"/>
      <c r="I178" s="546"/>
      <c r="J178" s="542" t="s">
        <v>806</v>
      </c>
      <c r="K178" s="547">
        <v>8820</v>
      </c>
      <c r="L178" s="542" t="s">
        <v>806</v>
      </c>
      <c r="M178" s="548"/>
      <c r="N178" s="549">
        <v>-520</v>
      </c>
      <c r="O178" s="544" t="s">
        <v>1674</v>
      </c>
      <c r="P178" s="544" t="s">
        <v>1674</v>
      </c>
      <c r="Q178" s="544" t="s">
        <v>2720</v>
      </c>
      <c r="R178" s="544" t="s">
        <v>2622</v>
      </c>
      <c r="S178" s="544" t="s">
        <v>1674</v>
      </c>
      <c r="T178" s="550">
        <v>19</v>
      </c>
      <c r="U178" s="544" t="s">
        <v>2679</v>
      </c>
      <c r="V178" s="547">
        <v>1674</v>
      </c>
      <c r="W178" s="548"/>
      <c r="Y178" s="544" t="s">
        <v>1674</v>
      </c>
      <c r="AA178" s="544" t="s">
        <v>1674</v>
      </c>
      <c r="AE178" s="551"/>
      <c r="AF178" s="544" t="s">
        <v>1674</v>
      </c>
      <c r="AG178" s="544" t="s">
        <v>1674</v>
      </c>
      <c r="AH178" s="544" t="s">
        <v>1674</v>
      </c>
      <c r="AI178" s="544" t="s">
        <v>1674</v>
      </c>
      <c r="AJ178" s="544" t="s">
        <v>1674</v>
      </c>
      <c r="AK178" s="544" t="s">
        <v>1674</v>
      </c>
      <c r="AL178" s="544" t="s">
        <v>1674</v>
      </c>
      <c r="AM178" s="544" t="s">
        <v>2581</v>
      </c>
      <c r="AN178" s="544" t="s">
        <v>1674</v>
      </c>
      <c r="AP178" s="542">
        <f t="shared" si="6"/>
        <v>-459</v>
      </c>
      <c r="AR178" s="552">
        <f t="shared" si="5"/>
        <v>0</v>
      </c>
    </row>
    <row r="179" spans="1:44" outlineLevel="1" x14ac:dyDescent="0.25">
      <c r="A179" s="544" t="s">
        <v>1674</v>
      </c>
      <c r="B179" s="545">
        <v>0</v>
      </c>
      <c r="C179" s="544" t="s">
        <v>1674</v>
      </c>
      <c r="D179" s="544" t="s">
        <v>2756</v>
      </c>
      <c r="E179" s="542" t="s">
        <v>2757</v>
      </c>
      <c r="F179" s="542" t="s">
        <v>2680</v>
      </c>
      <c r="G179" s="546">
        <v>3034.5</v>
      </c>
      <c r="H179" s="546"/>
      <c r="I179" s="546"/>
      <c r="J179" s="542" t="s">
        <v>806</v>
      </c>
      <c r="K179" s="547">
        <v>8820</v>
      </c>
      <c r="L179" s="542" t="s">
        <v>806</v>
      </c>
      <c r="M179" s="548"/>
      <c r="N179" s="549">
        <v>-520</v>
      </c>
      <c r="O179" s="544" t="s">
        <v>1674</v>
      </c>
      <c r="P179" s="544" t="s">
        <v>1674</v>
      </c>
      <c r="Q179" s="544" t="s">
        <v>2720</v>
      </c>
      <c r="R179" s="544" t="s">
        <v>1674</v>
      </c>
      <c r="S179" s="544" t="s">
        <v>1674</v>
      </c>
      <c r="T179" s="550">
        <v>19</v>
      </c>
      <c r="U179" s="544" t="s">
        <v>2679</v>
      </c>
      <c r="V179" s="547">
        <v>1675</v>
      </c>
      <c r="W179" s="548"/>
      <c r="Y179" s="544" t="s">
        <v>1674</v>
      </c>
      <c r="AA179" s="544" t="s">
        <v>1674</v>
      </c>
      <c r="AE179" s="551"/>
      <c r="AF179" s="544" t="s">
        <v>1674</v>
      </c>
      <c r="AG179" s="544" t="s">
        <v>1674</v>
      </c>
      <c r="AH179" s="544" t="s">
        <v>1674</v>
      </c>
      <c r="AI179" s="544" t="s">
        <v>1674</v>
      </c>
      <c r="AJ179" s="544" t="s">
        <v>1674</v>
      </c>
      <c r="AK179" s="544" t="s">
        <v>1674</v>
      </c>
      <c r="AL179" s="544" t="s">
        <v>1674</v>
      </c>
      <c r="AM179" s="544" t="s">
        <v>1674</v>
      </c>
      <c r="AN179" s="544" t="s">
        <v>1674</v>
      </c>
      <c r="AP179" s="542">
        <f t="shared" si="6"/>
        <v>-459</v>
      </c>
      <c r="AR179" s="552">
        <f t="shared" si="5"/>
        <v>0</v>
      </c>
    </row>
    <row r="180" spans="1:44" outlineLevel="1" x14ac:dyDescent="0.25">
      <c r="A180" s="544" t="s">
        <v>1674</v>
      </c>
      <c r="B180" s="545">
        <v>0</v>
      </c>
      <c r="C180" s="544" t="s">
        <v>1674</v>
      </c>
      <c r="D180" s="544" t="s">
        <v>2756</v>
      </c>
      <c r="E180" s="542" t="s">
        <v>2680</v>
      </c>
      <c r="G180" s="546"/>
      <c r="H180" s="546">
        <v>942.48</v>
      </c>
      <c r="I180" s="546"/>
      <c r="J180" s="542" t="s">
        <v>806</v>
      </c>
      <c r="K180" s="547">
        <v>1200</v>
      </c>
      <c r="L180" s="542" t="s">
        <v>806</v>
      </c>
      <c r="M180" s="548"/>
      <c r="N180" s="549"/>
      <c r="O180" s="544" t="s">
        <v>1674</v>
      </c>
      <c r="P180" s="544" t="s">
        <v>1674</v>
      </c>
      <c r="Q180" s="544" t="s">
        <v>2681</v>
      </c>
      <c r="R180" s="544" t="s">
        <v>1674</v>
      </c>
      <c r="S180" s="544" t="s">
        <v>1674</v>
      </c>
      <c r="T180" s="550"/>
      <c r="U180" s="544" t="s">
        <v>2682</v>
      </c>
      <c r="V180" s="547">
        <v>1587</v>
      </c>
      <c r="W180" s="548"/>
      <c r="Y180" s="544" t="s">
        <v>1674</v>
      </c>
      <c r="AA180" s="544" t="s">
        <v>1674</v>
      </c>
      <c r="AE180" s="551"/>
      <c r="AF180" s="544" t="s">
        <v>1674</v>
      </c>
      <c r="AG180" s="544" t="s">
        <v>1674</v>
      </c>
      <c r="AH180" s="544" t="s">
        <v>1674</v>
      </c>
      <c r="AI180" s="544" t="s">
        <v>1674</v>
      </c>
      <c r="AJ180" s="544" t="s">
        <v>1674</v>
      </c>
      <c r="AK180" s="544" t="s">
        <v>1674</v>
      </c>
      <c r="AL180" s="544" t="s">
        <v>1674</v>
      </c>
      <c r="AM180" s="544" t="s">
        <v>1674</v>
      </c>
      <c r="AN180" s="544" t="s">
        <v>1674</v>
      </c>
      <c r="AP180" s="542">
        <f t="shared" si="6"/>
        <v>0</v>
      </c>
      <c r="AR180" s="552">
        <f t="shared" si="5"/>
        <v>0</v>
      </c>
    </row>
    <row r="181" spans="1:44" outlineLevel="1" x14ac:dyDescent="0.25">
      <c r="A181" s="544" t="s">
        <v>1674</v>
      </c>
      <c r="B181" s="545">
        <v>0</v>
      </c>
      <c r="C181" s="544" t="s">
        <v>1674</v>
      </c>
      <c r="D181" s="544" t="s">
        <v>2756</v>
      </c>
      <c r="E181" s="542" t="s">
        <v>2680</v>
      </c>
      <c r="G181" s="546"/>
      <c r="H181" s="546">
        <v>9.52</v>
      </c>
      <c r="I181" s="546"/>
      <c r="J181" s="542" t="s">
        <v>806</v>
      </c>
      <c r="K181" s="547">
        <v>8736</v>
      </c>
      <c r="L181" s="542" t="s">
        <v>806</v>
      </c>
      <c r="M181" s="548"/>
      <c r="N181" s="549"/>
      <c r="O181" s="544" t="s">
        <v>1674</v>
      </c>
      <c r="P181" s="544" t="s">
        <v>1674</v>
      </c>
      <c r="Q181" s="544" t="s">
        <v>2681</v>
      </c>
      <c r="R181" s="544" t="s">
        <v>1674</v>
      </c>
      <c r="S181" s="544" t="s">
        <v>1674</v>
      </c>
      <c r="T181" s="550">
        <v>19</v>
      </c>
      <c r="U181" s="544" t="s">
        <v>2682</v>
      </c>
      <c r="V181" s="547">
        <v>1587</v>
      </c>
      <c r="W181" s="548"/>
      <c r="Y181" s="544" t="s">
        <v>1674</v>
      </c>
      <c r="AA181" s="544" t="s">
        <v>1674</v>
      </c>
      <c r="AE181" s="551"/>
      <c r="AF181" s="544" t="s">
        <v>1674</v>
      </c>
      <c r="AG181" s="544" t="s">
        <v>1674</v>
      </c>
      <c r="AH181" s="544" t="s">
        <v>1674</v>
      </c>
      <c r="AI181" s="544" t="s">
        <v>1674</v>
      </c>
      <c r="AJ181" s="544" t="s">
        <v>1674</v>
      </c>
      <c r="AK181" s="544" t="s">
        <v>1674</v>
      </c>
      <c r="AL181" s="544" t="s">
        <v>1674</v>
      </c>
      <c r="AM181" s="544" t="s">
        <v>1674</v>
      </c>
      <c r="AN181" s="544" t="s">
        <v>1674</v>
      </c>
      <c r="AP181" s="542">
        <f t="shared" si="6"/>
        <v>0</v>
      </c>
      <c r="AR181" s="552">
        <f t="shared" si="5"/>
        <v>0</v>
      </c>
    </row>
    <row r="182" spans="1:44" outlineLevel="1" x14ac:dyDescent="0.25">
      <c r="A182" s="544" t="s">
        <v>1674</v>
      </c>
      <c r="B182" s="545">
        <v>0</v>
      </c>
      <c r="C182" s="544" t="s">
        <v>1674</v>
      </c>
      <c r="D182" s="544" t="s">
        <v>2756</v>
      </c>
      <c r="E182" s="542" t="s">
        <v>2683</v>
      </c>
      <c r="G182" s="546"/>
      <c r="H182" s="546">
        <v>942.48</v>
      </c>
      <c r="I182" s="546"/>
      <c r="J182" s="542" t="s">
        <v>806</v>
      </c>
      <c r="K182" s="547">
        <v>1200</v>
      </c>
      <c r="L182" s="542" t="s">
        <v>806</v>
      </c>
      <c r="M182" s="548"/>
      <c r="N182" s="549"/>
      <c r="O182" s="544" t="s">
        <v>1674</v>
      </c>
      <c r="P182" s="544" t="s">
        <v>1674</v>
      </c>
      <c r="Q182" s="544" t="s">
        <v>2684</v>
      </c>
      <c r="R182" s="544" t="s">
        <v>1674</v>
      </c>
      <c r="S182" s="544" t="s">
        <v>1674</v>
      </c>
      <c r="T182" s="550"/>
      <c r="U182" s="544" t="s">
        <v>2685</v>
      </c>
      <c r="V182" s="547">
        <v>1749</v>
      </c>
      <c r="W182" s="548"/>
      <c r="Y182" s="544" t="s">
        <v>1674</v>
      </c>
      <c r="AA182" s="544" t="s">
        <v>1674</v>
      </c>
      <c r="AE182" s="551"/>
      <c r="AF182" s="544" t="s">
        <v>1674</v>
      </c>
      <c r="AG182" s="544" t="s">
        <v>1674</v>
      </c>
      <c r="AH182" s="544" t="s">
        <v>1674</v>
      </c>
      <c r="AI182" s="544" t="s">
        <v>1674</v>
      </c>
      <c r="AJ182" s="544" t="s">
        <v>1674</v>
      </c>
      <c r="AK182" s="544" t="s">
        <v>1674</v>
      </c>
      <c r="AL182" s="544" t="s">
        <v>1674</v>
      </c>
      <c r="AM182" s="544" t="s">
        <v>1674</v>
      </c>
      <c r="AN182" s="544" t="s">
        <v>1674</v>
      </c>
      <c r="AP182" s="542">
        <f t="shared" si="6"/>
        <v>0</v>
      </c>
      <c r="AR182" s="552">
        <f t="shared" si="5"/>
        <v>0</v>
      </c>
    </row>
    <row r="183" spans="1:44" outlineLevel="1" x14ac:dyDescent="0.25">
      <c r="A183" s="544" t="s">
        <v>1674</v>
      </c>
      <c r="B183" s="545">
        <v>0</v>
      </c>
      <c r="C183" s="544" t="s">
        <v>1674</v>
      </c>
      <c r="D183" s="544" t="s">
        <v>2756</v>
      </c>
      <c r="E183" s="542" t="s">
        <v>2683</v>
      </c>
      <c r="G183" s="546"/>
      <c r="H183" s="546">
        <v>9.52</v>
      </c>
      <c r="I183" s="546"/>
      <c r="J183" s="542" t="s">
        <v>806</v>
      </c>
      <c r="K183" s="547">
        <v>8736</v>
      </c>
      <c r="L183" s="542" t="s">
        <v>806</v>
      </c>
      <c r="M183" s="548"/>
      <c r="N183" s="549"/>
      <c r="O183" s="544" t="s">
        <v>1674</v>
      </c>
      <c r="P183" s="544" t="s">
        <v>1674</v>
      </c>
      <c r="Q183" s="544" t="s">
        <v>2684</v>
      </c>
      <c r="R183" s="544" t="s">
        <v>1674</v>
      </c>
      <c r="S183" s="544" t="s">
        <v>1674</v>
      </c>
      <c r="T183" s="550">
        <v>19</v>
      </c>
      <c r="U183" s="544" t="s">
        <v>2685</v>
      </c>
      <c r="V183" s="547">
        <v>1749</v>
      </c>
      <c r="W183" s="548"/>
      <c r="Y183" s="544" t="s">
        <v>1674</v>
      </c>
      <c r="AA183" s="544" t="s">
        <v>1674</v>
      </c>
      <c r="AE183" s="551"/>
      <c r="AF183" s="544" t="s">
        <v>1674</v>
      </c>
      <c r="AG183" s="544" t="s">
        <v>1674</v>
      </c>
      <c r="AH183" s="544" t="s">
        <v>1674</v>
      </c>
      <c r="AI183" s="544" t="s">
        <v>1674</v>
      </c>
      <c r="AJ183" s="544" t="s">
        <v>1674</v>
      </c>
      <c r="AK183" s="544" t="s">
        <v>1674</v>
      </c>
      <c r="AL183" s="544" t="s">
        <v>1674</v>
      </c>
      <c r="AM183" s="544" t="s">
        <v>1674</v>
      </c>
      <c r="AN183" s="544" t="s">
        <v>1674</v>
      </c>
      <c r="AP183" s="542">
        <f t="shared" si="6"/>
        <v>0</v>
      </c>
      <c r="AR183" s="552">
        <f t="shared" si="5"/>
        <v>0</v>
      </c>
    </row>
    <row r="184" spans="1:44" outlineLevel="1" x14ac:dyDescent="0.25">
      <c r="A184" s="544" t="s">
        <v>1674</v>
      </c>
      <c r="B184" s="545">
        <v>0</v>
      </c>
      <c r="C184" s="544" t="s">
        <v>1674</v>
      </c>
      <c r="D184" s="544" t="s">
        <v>2756</v>
      </c>
      <c r="E184" s="542" t="s">
        <v>2686</v>
      </c>
      <c r="G184" s="546"/>
      <c r="H184" s="546">
        <v>942.48</v>
      </c>
      <c r="I184" s="546"/>
      <c r="J184" s="542" t="s">
        <v>806</v>
      </c>
      <c r="K184" s="547">
        <v>1200</v>
      </c>
      <c r="L184" s="542" t="s">
        <v>806</v>
      </c>
      <c r="M184" s="548"/>
      <c r="N184" s="549"/>
      <c r="O184" s="544" t="s">
        <v>1674</v>
      </c>
      <c r="P184" s="544" t="s">
        <v>1674</v>
      </c>
      <c r="Q184" s="544" t="s">
        <v>2687</v>
      </c>
      <c r="R184" s="544" t="s">
        <v>1674</v>
      </c>
      <c r="S184" s="544" t="s">
        <v>1674</v>
      </c>
      <c r="T184" s="550"/>
      <c r="U184" s="544" t="s">
        <v>2688</v>
      </c>
      <c r="V184" s="547">
        <v>1498</v>
      </c>
      <c r="W184" s="548"/>
      <c r="Y184" s="544" t="s">
        <v>1674</v>
      </c>
      <c r="AA184" s="544" t="s">
        <v>1674</v>
      </c>
      <c r="AE184" s="551"/>
      <c r="AF184" s="544" t="s">
        <v>1674</v>
      </c>
      <c r="AG184" s="544" t="s">
        <v>1674</v>
      </c>
      <c r="AH184" s="544" t="s">
        <v>1674</v>
      </c>
      <c r="AI184" s="544" t="s">
        <v>1674</v>
      </c>
      <c r="AJ184" s="544" t="s">
        <v>1674</v>
      </c>
      <c r="AK184" s="544" t="s">
        <v>1674</v>
      </c>
      <c r="AL184" s="544" t="s">
        <v>1674</v>
      </c>
      <c r="AM184" s="544" t="s">
        <v>1674</v>
      </c>
      <c r="AN184" s="544" t="s">
        <v>1674</v>
      </c>
      <c r="AP184" s="542">
        <f t="shared" si="6"/>
        <v>0</v>
      </c>
      <c r="AR184" s="552">
        <f t="shared" si="5"/>
        <v>0</v>
      </c>
    </row>
    <row r="185" spans="1:44" outlineLevel="1" x14ac:dyDescent="0.25">
      <c r="A185" s="544" t="s">
        <v>1674</v>
      </c>
      <c r="B185" s="545">
        <v>0</v>
      </c>
      <c r="C185" s="544" t="s">
        <v>1674</v>
      </c>
      <c r="D185" s="544" t="s">
        <v>2756</v>
      </c>
      <c r="E185" s="542" t="s">
        <v>2686</v>
      </c>
      <c r="G185" s="546"/>
      <c r="H185" s="546">
        <v>9.52</v>
      </c>
      <c r="I185" s="546"/>
      <c r="J185" s="542" t="s">
        <v>806</v>
      </c>
      <c r="K185" s="547">
        <v>8736</v>
      </c>
      <c r="L185" s="542" t="s">
        <v>806</v>
      </c>
      <c r="M185" s="548"/>
      <c r="N185" s="549"/>
      <c r="O185" s="544" t="s">
        <v>1674</v>
      </c>
      <c r="P185" s="544" t="s">
        <v>1674</v>
      </c>
      <c r="Q185" s="544" t="s">
        <v>2687</v>
      </c>
      <c r="R185" s="544" t="s">
        <v>1674</v>
      </c>
      <c r="S185" s="544" t="s">
        <v>1674</v>
      </c>
      <c r="T185" s="550">
        <v>19</v>
      </c>
      <c r="U185" s="544" t="s">
        <v>2688</v>
      </c>
      <c r="V185" s="547">
        <v>1498</v>
      </c>
      <c r="W185" s="548"/>
      <c r="Y185" s="544" t="s">
        <v>1674</v>
      </c>
      <c r="AA185" s="544" t="s">
        <v>1674</v>
      </c>
      <c r="AE185" s="551"/>
      <c r="AF185" s="544" t="s">
        <v>1674</v>
      </c>
      <c r="AG185" s="544" t="s">
        <v>1674</v>
      </c>
      <c r="AH185" s="544" t="s">
        <v>1674</v>
      </c>
      <c r="AI185" s="544" t="s">
        <v>1674</v>
      </c>
      <c r="AJ185" s="544" t="s">
        <v>1674</v>
      </c>
      <c r="AK185" s="544" t="s">
        <v>1674</v>
      </c>
      <c r="AL185" s="544" t="s">
        <v>1674</v>
      </c>
      <c r="AM185" s="544" t="s">
        <v>1674</v>
      </c>
      <c r="AN185" s="544" t="s">
        <v>1674</v>
      </c>
      <c r="AP185" s="542">
        <f t="shared" si="6"/>
        <v>0</v>
      </c>
      <c r="AR185" s="552">
        <f t="shared" si="5"/>
        <v>0</v>
      </c>
    </row>
    <row r="186" spans="1:44" outlineLevel="1" x14ac:dyDescent="0.25">
      <c r="A186" s="544" t="s">
        <v>1674</v>
      </c>
      <c r="B186" s="545">
        <v>0</v>
      </c>
      <c r="C186" s="544" t="s">
        <v>1674</v>
      </c>
      <c r="D186" s="544" t="s">
        <v>2756</v>
      </c>
      <c r="E186" s="542" t="s">
        <v>2689</v>
      </c>
      <c r="G186" s="546"/>
      <c r="H186" s="546">
        <v>942.48</v>
      </c>
      <c r="I186" s="546"/>
      <c r="J186" s="542" t="s">
        <v>806</v>
      </c>
      <c r="K186" s="547">
        <v>1200</v>
      </c>
      <c r="L186" s="542" t="s">
        <v>806</v>
      </c>
      <c r="M186" s="548"/>
      <c r="N186" s="549"/>
      <c r="O186" s="544" t="s">
        <v>1674</v>
      </c>
      <c r="P186" s="544" t="s">
        <v>1674</v>
      </c>
      <c r="Q186" s="544" t="s">
        <v>2690</v>
      </c>
      <c r="R186" s="544" t="s">
        <v>1674</v>
      </c>
      <c r="S186" s="544" t="s">
        <v>1674</v>
      </c>
      <c r="T186" s="550"/>
      <c r="U186" s="544" t="s">
        <v>2691</v>
      </c>
      <c r="V186" s="547">
        <v>1724</v>
      </c>
      <c r="W186" s="548"/>
      <c r="Y186" s="544" t="s">
        <v>1674</v>
      </c>
      <c r="AA186" s="544" t="s">
        <v>1674</v>
      </c>
      <c r="AE186" s="551"/>
      <c r="AF186" s="544" t="s">
        <v>1674</v>
      </c>
      <c r="AG186" s="544" t="s">
        <v>1674</v>
      </c>
      <c r="AH186" s="544" t="s">
        <v>1674</v>
      </c>
      <c r="AI186" s="544" t="s">
        <v>1674</v>
      </c>
      <c r="AJ186" s="544" t="s">
        <v>1674</v>
      </c>
      <c r="AK186" s="544" t="s">
        <v>1674</v>
      </c>
      <c r="AL186" s="544" t="s">
        <v>1674</v>
      </c>
      <c r="AM186" s="544" t="s">
        <v>1674</v>
      </c>
      <c r="AN186" s="544" t="s">
        <v>1674</v>
      </c>
      <c r="AP186" s="542">
        <f t="shared" si="6"/>
        <v>0</v>
      </c>
      <c r="AR186" s="552">
        <f t="shared" si="5"/>
        <v>0</v>
      </c>
    </row>
    <row r="187" spans="1:44" outlineLevel="1" x14ac:dyDescent="0.25">
      <c r="A187" s="544" t="s">
        <v>1674</v>
      </c>
      <c r="B187" s="545">
        <v>0</v>
      </c>
      <c r="C187" s="544" t="s">
        <v>1674</v>
      </c>
      <c r="D187" s="544" t="s">
        <v>2756</v>
      </c>
      <c r="E187" s="542" t="s">
        <v>2689</v>
      </c>
      <c r="G187" s="546"/>
      <c r="H187" s="546">
        <v>9.52</v>
      </c>
      <c r="I187" s="546"/>
      <c r="J187" s="542" t="s">
        <v>806</v>
      </c>
      <c r="K187" s="547">
        <v>8736</v>
      </c>
      <c r="L187" s="542" t="s">
        <v>806</v>
      </c>
      <c r="M187" s="548"/>
      <c r="N187" s="549"/>
      <c r="O187" s="544" t="s">
        <v>1674</v>
      </c>
      <c r="P187" s="544" t="s">
        <v>1674</v>
      </c>
      <c r="Q187" s="544" t="s">
        <v>2690</v>
      </c>
      <c r="R187" s="544" t="s">
        <v>1674</v>
      </c>
      <c r="S187" s="544" t="s">
        <v>1674</v>
      </c>
      <c r="T187" s="550">
        <v>19</v>
      </c>
      <c r="U187" s="544" t="s">
        <v>2691</v>
      </c>
      <c r="V187" s="547">
        <v>1725</v>
      </c>
      <c r="W187" s="548"/>
      <c r="Y187" s="544" t="s">
        <v>1674</v>
      </c>
      <c r="AA187" s="544" t="s">
        <v>1674</v>
      </c>
      <c r="AE187" s="551"/>
      <c r="AF187" s="544" t="s">
        <v>1674</v>
      </c>
      <c r="AG187" s="544" t="s">
        <v>1674</v>
      </c>
      <c r="AH187" s="544" t="s">
        <v>1674</v>
      </c>
      <c r="AI187" s="544" t="s">
        <v>1674</v>
      </c>
      <c r="AJ187" s="544" t="s">
        <v>1674</v>
      </c>
      <c r="AK187" s="544" t="s">
        <v>1674</v>
      </c>
      <c r="AL187" s="544" t="s">
        <v>1674</v>
      </c>
      <c r="AM187" s="544" t="s">
        <v>1674</v>
      </c>
      <c r="AN187" s="544" t="s">
        <v>1674</v>
      </c>
      <c r="AP187" s="542">
        <f t="shared" si="6"/>
        <v>0</v>
      </c>
      <c r="AR187" s="552">
        <f t="shared" si="5"/>
        <v>0</v>
      </c>
    </row>
    <row r="188" spans="1:44" outlineLevel="1" x14ac:dyDescent="0.25">
      <c r="A188" s="544" t="s">
        <v>1674</v>
      </c>
      <c r="B188" s="545">
        <v>0</v>
      </c>
      <c r="C188" s="544" t="s">
        <v>1674</v>
      </c>
      <c r="D188" s="544" t="s">
        <v>2756</v>
      </c>
      <c r="E188" s="542" t="s">
        <v>2692</v>
      </c>
      <c r="G188" s="546"/>
      <c r="H188" s="546">
        <v>942.48</v>
      </c>
      <c r="I188" s="546"/>
      <c r="J188" s="542" t="s">
        <v>806</v>
      </c>
      <c r="K188" s="547">
        <v>1200</v>
      </c>
      <c r="L188" s="542" t="s">
        <v>806</v>
      </c>
      <c r="M188" s="548"/>
      <c r="N188" s="549"/>
      <c r="O188" s="544" t="s">
        <v>1674</v>
      </c>
      <c r="P188" s="544" t="s">
        <v>1674</v>
      </c>
      <c r="Q188" s="544" t="s">
        <v>2693</v>
      </c>
      <c r="R188" s="544" t="s">
        <v>1674</v>
      </c>
      <c r="S188" s="544" t="s">
        <v>1674</v>
      </c>
      <c r="T188" s="550"/>
      <c r="U188" s="544" t="s">
        <v>2694</v>
      </c>
      <c r="V188" s="547">
        <v>1846</v>
      </c>
      <c r="W188" s="548"/>
      <c r="Y188" s="544" t="s">
        <v>1674</v>
      </c>
      <c r="AA188" s="544" t="s">
        <v>1674</v>
      </c>
      <c r="AE188" s="551"/>
      <c r="AF188" s="544" t="s">
        <v>1674</v>
      </c>
      <c r="AG188" s="544" t="s">
        <v>1674</v>
      </c>
      <c r="AH188" s="544" t="s">
        <v>1674</v>
      </c>
      <c r="AI188" s="544" t="s">
        <v>1674</v>
      </c>
      <c r="AJ188" s="544" t="s">
        <v>1674</v>
      </c>
      <c r="AK188" s="544" t="s">
        <v>1674</v>
      </c>
      <c r="AL188" s="544" t="s">
        <v>1674</v>
      </c>
      <c r="AM188" s="544" t="s">
        <v>1674</v>
      </c>
      <c r="AN188" s="544" t="s">
        <v>1674</v>
      </c>
      <c r="AP188" s="542">
        <f t="shared" si="6"/>
        <v>0</v>
      </c>
      <c r="AR188" s="552">
        <f t="shared" si="5"/>
        <v>0</v>
      </c>
    </row>
    <row r="189" spans="1:44" outlineLevel="1" x14ac:dyDescent="0.25">
      <c r="A189" s="544" t="s">
        <v>1674</v>
      </c>
      <c r="B189" s="545">
        <v>0</v>
      </c>
      <c r="C189" s="544" t="s">
        <v>1674</v>
      </c>
      <c r="D189" s="544" t="s">
        <v>2756</v>
      </c>
      <c r="E189" s="542" t="s">
        <v>2692</v>
      </c>
      <c r="G189" s="546"/>
      <c r="H189" s="546">
        <v>9.52</v>
      </c>
      <c r="I189" s="546"/>
      <c r="J189" s="542" t="s">
        <v>806</v>
      </c>
      <c r="K189" s="547">
        <v>8736</v>
      </c>
      <c r="L189" s="542" t="s">
        <v>806</v>
      </c>
      <c r="M189" s="548"/>
      <c r="N189" s="549"/>
      <c r="O189" s="544" t="s">
        <v>1674</v>
      </c>
      <c r="P189" s="544" t="s">
        <v>1674</v>
      </c>
      <c r="Q189" s="544" t="s">
        <v>2693</v>
      </c>
      <c r="R189" s="544" t="s">
        <v>1674</v>
      </c>
      <c r="S189" s="544" t="s">
        <v>1674</v>
      </c>
      <c r="T189" s="550">
        <v>19</v>
      </c>
      <c r="U189" s="544" t="s">
        <v>2694</v>
      </c>
      <c r="V189" s="547">
        <v>1847</v>
      </c>
      <c r="W189" s="548"/>
      <c r="Y189" s="544" t="s">
        <v>1674</v>
      </c>
      <c r="AA189" s="544" t="s">
        <v>1674</v>
      </c>
      <c r="AE189" s="551"/>
      <c r="AF189" s="544" t="s">
        <v>1674</v>
      </c>
      <c r="AG189" s="544" t="s">
        <v>1674</v>
      </c>
      <c r="AH189" s="544" t="s">
        <v>1674</v>
      </c>
      <c r="AI189" s="544" t="s">
        <v>1674</v>
      </c>
      <c r="AJ189" s="544" t="s">
        <v>1674</v>
      </c>
      <c r="AK189" s="544" t="s">
        <v>1674</v>
      </c>
      <c r="AL189" s="544" t="s">
        <v>1674</v>
      </c>
      <c r="AM189" s="544" t="s">
        <v>1674</v>
      </c>
      <c r="AN189" s="544" t="s">
        <v>1674</v>
      </c>
      <c r="AP189" s="542">
        <f t="shared" si="6"/>
        <v>0</v>
      </c>
      <c r="AR189" s="552">
        <f t="shared" si="5"/>
        <v>0</v>
      </c>
    </row>
    <row r="190" spans="1:44" outlineLevel="1" x14ac:dyDescent="0.25">
      <c r="A190" s="544" t="s">
        <v>1674</v>
      </c>
      <c r="B190" s="545">
        <v>0</v>
      </c>
      <c r="C190" s="544" t="s">
        <v>1674</v>
      </c>
      <c r="D190" s="544" t="s">
        <v>2756</v>
      </c>
      <c r="E190" s="542" t="s">
        <v>2695</v>
      </c>
      <c r="G190" s="546"/>
      <c r="H190" s="546">
        <v>942.48</v>
      </c>
      <c r="I190" s="546"/>
      <c r="J190" s="542" t="s">
        <v>806</v>
      </c>
      <c r="K190" s="547">
        <v>1200</v>
      </c>
      <c r="L190" s="542" t="s">
        <v>806</v>
      </c>
      <c r="M190" s="548"/>
      <c r="N190" s="549"/>
      <c r="O190" s="544" t="s">
        <v>1674</v>
      </c>
      <c r="P190" s="544" t="s">
        <v>1674</v>
      </c>
      <c r="Q190" s="544" t="s">
        <v>2696</v>
      </c>
      <c r="R190" s="544" t="s">
        <v>1674</v>
      </c>
      <c r="S190" s="544" t="s">
        <v>1674</v>
      </c>
      <c r="T190" s="550"/>
      <c r="U190" s="544" t="s">
        <v>2697</v>
      </c>
      <c r="V190" s="547">
        <v>1649</v>
      </c>
      <c r="W190" s="548"/>
      <c r="Y190" s="544" t="s">
        <v>1674</v>
      </c>
      <c r="AA190" s="544" t="s">
        <v>1674</v>
      </c>
      <c r="AE190" s="551"/>
      <c r="AF190" s="544" t="s">
        <v>1674</v>
      </c>
      <c r="AG190" s="544" t="s">
        <v>1674</v>
      </c>
      <c r="AH190" s="544" t="s">
        <v>1674</v>
      </c>
      <c r="AI190" s="544" t="s">
        <v>1674</v>
      </c>
      <c r="AJ190" s="544" t="s">
        <v>1674</v>
      </c>
      <c r="AK190" s="544" t="s">
        <v>1674</v>
      </c>
      <c r="AL190" s="544" t="s">
        <v>1674</v>
      </c>
      <c r="AM190" s="544" t="s">
        <v>1674</v>
      </c>
      <c r="AN190" s="544" t="s">
        <v>1674</v>
      </c>
      <c r="AP190" s="542">
        <f t="shared" si="6"/>
        <v>0</v>
      </c>
      <c r="AR190" s="552">
        <f t="shared" si="5"/>
        <v>0</v>
      </c>
    </row>
    <row r="191" spans="1:44" outlineLevel="1" x14ac:dyDescent="0.25">
      <c r="A191" s="544" t="s">
        <v>1674</v>
      </c>
      <c r="B191" s="545">
        <v>0</v>
      </c>
      <c r="C191" s="544" t="s">
        <v>1674</v>
      </c>
      <c r="D191" s="544" t="s">
        <v>2756</v>
      </c>
      <c r="E191" s="542" t="s">
        <v>2695</v>
      </c>
      <c r="G191" s="546"/>
      <c r="H191" s="546">
        <v>9.52</v>
      </c>
      <c r="I191" s="546"/>
      <c r="J191" s="542" t="s">
        <v>806</v>
      </c>
      <c r="K191" s="547">
        <v>8736</v>
      </c>
      <c r="L191" s="542" t="s">
        <v>806</v>
      </c>
      <c r="M191" s="548"/>
      <c r="N191" s="549"/>
      <c r="O191" s="544" t="s">
        <v>1674</v>
      </c>
      <c r="P191" s="544" t="s">
        <v>1674</v>
      </c>
      <c r="Q191" s="544" t="s">
        <v>2696</v>
      </c>
      <c r="R191" s="544" t="s">
        <v>1674</v>
      </c>
      <c r="S191" s="544" t="s">
        <v>1674</v>
      </c>
      <c r="T191" s="550">
        <v>19</v>
      </c>
      <c r="U191" s="544" t="s">
        <v>2697</v>
      </c>
      <c r="V191" s="547">
        <v>1650</v>
      </c>
      <c r="W191" s="548"/>
      <c r="Y191" s="544" t="s">
        <v>1674</v>
      </c>
      <c r="AA191" s="544" t="s">
        <v>1674</v>
      </c>
      <c r="AE191" s="551"/>
      <c r="AF191" s="544" t="s">
        <v>1674</v>
      </c>
      <c r="AG191" s="544" t="s">
        <v>1674</v>
      </c>
      <c r="AH191" s="544" t="s">
        <v>1674</v>
      </c>
      <c r="AI191" s="544" t="s">
        <v>1674</v>
      </c>
      <c r="AJ191" s="544" t="s">
        <v>1674</v>
      </c>
      <c r="AK191" s="544" t="s">
        <v>1674</v>
      </c>
      <c r="AL191" s="544" t="s">
        <v>1674</v>
      </c>
      <c r="AM191" s="544" t="s">
        <v>1674</v>
      </c>
      <c r="AN191" s="544" t="s">
        <v>1674</v>
      </c>
      <c r="AP191" s="542">
        <f t="shared" si="6"/>
        <v>0</v>
      </c>
      <c r="AR191" s="552">
        <f t="shared" si="5"/>
        <v>0</v>
      </c>
    </row>
    <row r="192" spans="1:44" outlineLevel="1" x14ac:dyDescent="0.25">
      <c r="A192" s="544" t="s">
        <v>1674</v>
      </c>
      <c r="B192" s="545">
        <v>0</v>
      </c>
      <c r="C192" s="544" t="s">
        <v>1674</v>
      </c>
      <c r="D192" s="544" t="s">
        <v>2756</v>
      </c>
      <c r="E192" s="542" t="s">
        <v>2698</v>
      </c>
      <c r="G192" s="546"/>
      <c r="H192" s="546">
        <v>942.48</v>
      </c>
      <c r="I192" s="546"/>
      <c r="J192" s="542" t="s">
        <v>806</v>
      </c>
      <c r="K192" s="547">
        <v>1200</v>
      </c>
      <c r="L192" s="542" t="s">
        <v>806</v>
      </c>
      <c r="M192" s="548"/>
      <c r="N192" s="549"/>
      <c r="O192" s="544" t="s">
        <v>1674</v>
      </c>
      <c r="P192" s="544" t="s">
        <v>1674</v>
      </c>
      <c r="Q192" s="544" t="s">
        <v>2699</v>
      </c>
      <c r="R192" s="544" t="s">
        <v>1674</v>
      </c>
      <c r="S192" s="544" t="s">
        <v>1674</v>
      </c>
      <c r="T192" s="550"/>
      <c r="U192" s="544" t="s">
        <v>2700</v>
      </c>
      <c r="V192" s="547">
        <v>1602</v>
      </c>
      <c r="W192" s="548"/>
      <c r="Y192" s="544" t="s">
        <v>1674</v>
      </c>
      <c r="AA192" s="544" t="s">
        <v>1674</v>
      </c>
      <c r="AE192" s="551"/>
      <c r="AF192" s="544" t="s">
        <v>1674</v>
      </c>
      <c r="AG192" s="544" t="s">
        <v>1674</v>
      </c>
      <c r="AH192" s="544" t="s">
        <v>1674</v>
      </c>
      <c r="AI192" s="544" t="s">
        <v>1674</v>
      </c>
      <c r="AJ192" s="544" t="s">
        <v>1674</v>
      </c>
      <c r="AK192" s="544" t="s">
        <v>1674</v>
      </c>
      <c r="AL192" s="544" t="s">
        <v>1674</v>
      </c>
      <c r="AM192" s="544" t="s">
        <v>1674</v>
      </c>
      <c r="AN192" s="544" t="s">
        <v>1674</v>
      </c>
      <c r="AP192" s="542">
        <f t="shared" si="6"/>
        <v>0</v>
      </c>
      <c r="AR192" s="552">
        <f t="shared" si="5"/>
        <v>0</v>
      </c>
    </row>
    <row r="193" spans="1:44" outlineLevel="1" x14ac:dyDescent="0.25">
      <c r="A193" s="544" t="s">
        <v>1674</v>
      </c>
      <c r="B193" s="545">
        <v>0</v>
      </c>
      <c r="C193" s="544" t="s">
        <v>1674</v>
      </c>
      <c r="D193" s="544" t="s">
        <v>2756</v>
      </c>
      <c r="E193" s="542" t="s">
        <v>2698</v>
      </c>
      <c r="G193" s="546"/>
      <c r="H193" s="546">
        <v>9.52</v>
      </c>
      <c r="I193" s="546"/>
      <c r="J193" s="542" t="s">
        <v>806</v>
      </c>
      <c r="K193" s="547">
        <v>8736</v>
      </c>
      <c r="L193" s="542" t="s">
        <v>806</v>
      </c>
      <c r="M193" s="548"/>
      <c r="N193" s="549"/>
      <c r="O193" s="544" t="s">
        <v>1674</v>
      </c>
      <c r="P193" s="544" t="s">
        <v>1674</v>
      </c>
      <c r="Q193" s="544" t="s">
        <v>2699</v>
      </c>
      <c r="R193" s="544" t="s">
        <v>1674</v>
      </c>
      <c r="S193" s="544" t="s">
        <v>1674</v>
      </c>
      <c r="T193" s="550">
        <v>19</v>
      </c>
      <c r="U193" s="544" t="s">
        <v>2700</v>
      </c>
      <c r="V193" s="547">
        <v>1603</v>
      </c>
      <c r="W193" s="548"/>
      <c r="Y193" s="544" t="s">
        <v>1674</v>
      </c>
      <c r="AA193" s="544" t="s">
        <v>1674</v>
      </c>
      <c r="AE193" s="551"/>
      <c r="AF193" s="544" t="s">
        <v>1674</v>
      </c>
      <c r="AG193" s="544" t="s">
        <v>1674</v>
      </c>
      <c r="AH193" s="544" t="s">
        <v>1674</v>
      </c>
      <c r="AI193" s="544" t="s">
        <v>1674</v>
      </c>
      <c r="AJ193" s="544" t="s">
        <v>1674</v>
      </c>
      <c r="AK193" s="544" t="s">
        <v>1674</v>
      </c>
      <c r="AL193" s="544" t="s">
        <v>1674</v>
      </c>
      <c r="AM193" s="544" t="s">
        <v>1674</v>
      </c>
      <c r="AN193" s="544" t="s">
        <v>1674</v>
      </c>
      <c r="AP193" s="542">
        <f t="shared" si="6"/>
        <v>0</v>
      </c>
      <c r="AR193" s="552">
        <f t="shared" si="5"/>
        <v>0</v>
      </c>
    </row>
    <row r="194" spans="1:44" outlineLevel="1" x14ac:dyDescent="0.25">
      <c r="A194" s="544" t="s">
        <v>1674</v>
      </c>
      <c r="B194" s="545">
        <v>0</v>
      </c>
      <c r="C194" s="544" t="s">
        <v>1674</v>
      </c>
      <c r="D194" s="544" t="s">
        <v>2756</v>
      </c>
      <c r="E194" s="542" t="s">
        <v>3296</v>
      </c>
      <c r="G194" s="546"/>
      <c r="H194" s="546">
        <v>942.48</v>
      </c>
      <c r="I194" s="546"/>
      <c r="J194" s="542" t="s">
        <v>806</v>
      </c>
      <c r="K194" s="547">
        <v>1200</v>
      </c>
      <c r="L194" s="542" t="s">
        <v>806</v>
      </c>
      <c r="M194" s="548"/>
      <c r="N194" s="549"/>
      <c r="O194" s="544" t="s">
        <v>1674</v>
      </c>
      <c r="P194" s="544" t="s">
        <v>1674</v>
      </c>
      <c r="Q194" s="544" t="s">
        <v>3302</v>
      </c>
      <c r="R194" s="544" t="s">
        <v>1674</v>
      </c>
      <c r="S194" s="544" t="s">
        <v>1674</v>
      </c>
      <c r="T194" s="550"/>
      <c r="U194" s="544" t="s">
        <v>3303</v>
      </c>
      <c r="V194" s="547">
        <v>1681</v>
      </c>
      <c r="W194" s="548"/>
      <c r="Y194" s="544" t="s">
        <v>1674</v>
      </c>
      <c r="AA194" s="544" t="s">
        <v>1674</v>
      </c>
      <c r="AE194" s="551"/>
      <c r="AF194" s="544" t="s">
        <v>1674</v>
      </c>
      <c r="AG194" s="544" t="s">
        <v>1674</v>
      </c>
      <c r="AH194" s="544" t="s">
        <v>1674</v>
      </c>
      <c r="AI194" s="544" t="s">
        <v>1674</v>
      </c>
      <c r="AJ194" s="544" t="s">
        <v>1674</v>
      </c>
      <c r="AK194" s="544" t="s">
        <v>1674</v>
      </c>
      <c r="AL194" s="544" t="s">
        <v>1674</v>
      </c>
      <c r="AM194" s="544" t="s">
        <v>1674</v>
      </c>
      <c r="AN194" s="544" t="s">
        <v>1674</v>
      </c>
      <c r="AP194" s="542">
        <f t="shared" si="6"/>
        <v>0</v>
      </c>
      <c r="AR194" s="552">
        <f t="shared" si="5"/>
        <v>0</v>
      </c>
    </row>
    <row r="195" spans="1:44" outlineLevel="1" x14ac:dyDescent="0.25">
      <c r="A195" s="544" t="s">
        <v>1674</v>
      </c>
      <c r="B195" s="545">
        <v>0</v>
      </c>
      <c r="C195" s="544" t="s">
        <v>1674</v>
      </c>
      <c r="D195" s="544" t="s">
        <v>2756</v>
      </c>
      <c r="E195" s="542" t="s">
        <v>3296</v>
      </c>
      <c r="G195" s="546"/>
      <c r="H195" s="546">
        <v>9.52</v>
      </c>
      <c r="I195" s="546"/>
      <c r="J195" s="542" t="s">
        <v>806</v>
      </c>
      <c r="K195" s="547">
        <v>8736</v>
      </c>
      <c r="L195" s="542" t="s">
        <v>806</v>
      </c>
      <c r="M195" s="548"/>
      <c r="N195" s="549"/>
      <c r="O195" s="544" t="s">
        <v>1674</v>
      </c>
      <c r="P195" s="544" t="s">
        <v>1674</v>
      </c>
      <c r="Q195" s="544" t="s">
        <v>3302</v>
      </c>
      <c r="R195" s="544" t="s">
        <v>1674</v>
      </c>
      <c r="S195" s="544" t="s">
        <v>1674</v>
      </c>
      <c r="T195" s="550">
        <v>19</v>
      </c>
      <c r="U195" s="544" t="s">
        <v>3303</v>
      </c>
      <c r="V195" s="547">
        <v>1682</v>
      </c>
      <c r="W195" s="548"/>
      <c r="Y195" s="544" t="s">
        <v>1674</v>
      </c>
      <c r="AA195" s="544" t="s">
        <v>1674</v>
      </c>
      <c r="AE195" s="551"/>
      <c r="AF195" s="544" t="s">
        <v>1674</v>
      </c>
      <c r="AG195" s="544" t="s">
        <v>1674</v>
      </c>
      <c r="AH195" s="544" t="s">
        <v>1674</v>
      </c>
      <c r="AI195" s="544" t="s">
        <v>1674</v>
      </c>
      <c r="AJ195" s="544" t="s">
        <v>1674</v>
      </c>
      <c r="AK195" s="544" t="s">
        <v>1674</v>
      </c>
      <c r="AL195" s="544" t="s">
        <v>1674</v>
      </c>
      <c r="AM195" s="544" t="s">
        <v>1674</v>
      </c>
      <c r="AN195" s="544" t="s">
        <v>1674</v>
      </c>
      <c r="AP195" s="542">
        <f t="shared" si="6"/>
        <v>0</v>
      </c>
      <c r="AR195" s="552">
        <f t="shared" si="5"/>
        <v>0</v>
      </c>
    </row>
    <row r="196" spans="1:44" outlineLevel="1" x14ac:dyDescent="0.25">
      <c r="A196" s="544" t="s">
        <v>1674</v>
      </c>
      <c r="B196" s="545">
        <v>0</v>
      </c>
      <c r="C196" s="544" t="s">
        <v>1674</v>
      </c>
      <c r="D196" s="544" t="s">
        <v>2756</v>
      </c>
      <c r="E196" s="542" t="s">
        <v>3304</v>
      </c>
      <c r="G196" s="546"/>
      <c r="H196" s="546">
        <v>942.48</v>
      </c>
      <c r="I196" s="546"/>
      <c r="J196" s="542" t="s">
        <v>806</v>
      </c>
      <c r="K196" s="547">
        <v>1200</v>
      </c>
      <c r="L196" s="542" t="s">
        <v>806</v>
      </c>
      <c r="M196" s="548"/>
      <c r="N196" s="549"/>
      <c r="O196" s="544" t="s">
        <v>1674</v>
      </c>
      <c r="P196" s="544" t="s">
        <v>1674</v>
      </c>
      <c r="Q196" s="544" t="s">
        <v>3305</v>
      </c>
      <c r="R196" s="544" t="s">
        <v>1674</v>
      </c>
      <c r="S196" s="544" t="s">
        <v>1674</v>
      </c>
      <c r="T196" s="550"/>
      <c r="U196" s="544" t="s">
        <v>3306</v>
      </c>
      <c r="V196" s="547">
        <v>1613</v>
      </c>
      <c r="W196" s="548"/>
      <c r="Y196" s="544" t="s">
        <v>1674</v>
      </c>
      <c r="AA196" s="544" t="s">
        <v>1674</v>
      </c>
      <c r="AE196" s="551"/>
      <c r="AF196" s="544" t="s">
        <v>1674</v>
      </c>
      <c r="AG196" s="544" t="s">
        <v>1674</v>
      </c>
      <c r="AH196" s="544" t="s">
        <v>1674</v>
      </c>
      <c r="AI196" s="544" t="s">
        <v>1674</v>
      </c>
      <c r="AJ196" s="544" t="s">
        <v>1674</v>
      </c>
      <c r="AK196" s="544" t="s">
        <v>1674</v>
      </c>
      <c r="AL196" s="544" t="s">
        <v>1674</v>
      </c>
      <c r="AM196" s="544" t="s">
        <v>1674</v>
      </c>
      <c r="AN196" s="544" t="s">
        <v>1674</v>
      </c>
      <c r="AP196" s="542">
        <f t="shared" si="6"/>
        <v>0</v>
      </c>
      <c r="AR196" s="552">
        <f t="shared" ref="AR196:AR259" si="7">IF(J196="S",+I196,-I196)</f>
        <v>0</v>
      </c>
    </row>
    <row r="197" spans="1:44" outlineLevel="1" x14ac:dyDescent="0.25">
      <c r="A197" s="544" t="s">
        <v>1674</v>
      </c>
      <c r="B197" s="545">
        <v>0</v>
      </c>
      <c r="C197" s="544" t="s">
        <v>1674</v>
      </c>
      <c r="D197" s="544" t="s">
        <v>2756</v>
      </c>
      <c r="E197" s="542" t="s">
        <v>3304</v>
      </c>
      <c r="G197" s="546"/>
      <c r="H197" s="546">
        <v>9.52</v>
      </c>
      <c r="I197" s="546"/>
      <c r="J197" s="542" t="s">
        <v>806</v>
      </c>
      <c r="K197" s="547">
        <v>8736</v>
      </c>
      <c r="L197" s="542" t="s">
        <v>806</v>
      </c>
      <c r="M197" s="548"/>
      <c r="N197" s="549"/>
      <c r="O197" s="544" t="s">
        <v>1674</v>
      </c>
      <c r="P197" s="544" t="s">
        <v>1674</v>
      </c>
      <c r="Q197" s="544" t="s">
        <v>3305</v>
      </c>
      <c r="R197" s="544" t="s">
        <v>1674</v>
      </c>
      <c r="S197" s="544" t="s">
        <v>1674</v>
      </c>
      <c r="T197" s="550">
        <v>19</v>
      </c>
      <c r="U197" s="544" t="s">
        <v>3306</v>
      </c>
      <c r="V197" s="547">
        <v>1614</v>
      </c>
      <c r="W197" s="548"/>
      <c r="Y197" s="544" t="s">
        <v>1674</v>
      </c>
      <c r="AA197" s="544" t="s">
        <v>1674</v>
      </c>
      <c r="AE197" s="551"/>
      <c r="AF197" s="544" t="s">
        <v>1674</v>
      </c>
      <c r="AG197" s="544" t="s">
        <v>1674</v>
      </c>
      <c r="AH197" s="544" t="s">
        <v>1674</v>
      </c>
      <c r="AI197" s="544" t="s">
        <v>1674</v>
      </c>
      <c r="AJ197" s="544" t="s">
        <v>1674</v>
      </c>
      <c r="AK197" s="544" t="s">
        <v>1674</v>
      </c>
      <c r="AL197" s="544" t="s">
        <v>1674</v>
      </c>
      <c r="AM197" s="544" t="s">
        <v>1674</v>
      </c>
      <c r="AN197" s="544" t="s">
        <v>1674</v>
      </c>
      <c r="AP197" s="542">
        <f t="shared" si="6"/>
        <v>0</v>
      </c>
      <c r="AR197" s="552">
        <f t="shared" si="7"/>
        <v>0</v>
      </c>
    </row>
    <row r="198" spans="1:44" outlineLevel="1" x14ac:dyDescent="0.25">
      <c r="A198" s="544" t="s">
        <v>1674</v>
      </c>
      <c r="B198" s="545">
        <v>0</v>
      </c>
      <c r="C198" s="544" t="s">
        <v>1674</v>
      </c>
      <c r="D198" s="544" t="s">
        <v>2756</v>
      </c>
      <c r="E198" s="542" t="s">
        <v>3307</v>
      </c>
      <c r="G198" s="546"/>
      <c r="H198" s="546">
        <v>942.48</v>
      </c>
      <c r="I198" s="546"/>
      <c r="J198" s="542" t="s">
        <v>806</v>
      </c>
      <c r="K198" s="547">
        <v>1200</v>
      </c>
      <c r="L198" s="542" t="s">
        <v>806</v>
      </c>
      <c r="M198" s="548"/>
      <c r="N198" s="549"/>
      <c r="O198" s="544" t="s">
        <v>1674</v>
      </c>
      <c r="P198" s="544" t="s">
        <v>1674</v>
      </c>
      <c r="Q198" s="544" t="s">
        <v>3308</v>
      </c>
      <c r="R198" s="544" t="s">
        <v>1674</v>
      </c>
      <c r="S198" s="544" t="s">
        <v>1674</v>
      </c>
      <c r="T198" s="550"/>
      <c r="U198" s="544" t="s">
        <v>3309</v>
      </c>
      <c r="V198" s="547">
        <v>1696</v>
      </c>
      <c r="W198" s="548"/>
      <c r="Y198" s="544" t="s">
        <v>1674</v>
      </c>
      <c r="AA198" s="544" t="s">
        <v>1674</v>
      </c>
      <c r="AE198" s="551"/>
      <c r="AF198" s="544" t="s">
        <v>1674</v>
      </c>
      <c r="AG198" s="544" t="s">
        <v>1674</v>
      </c>
      <c r="AH198" s="544" t="s">
        <v>1674</v>
      </c>
      <c r="AI198" s="544" t="s">
        <v>1674</v>
      </c>
      <c r="AJ198" s="544" t="s">
        <v>1674</v>
      </c>
      <c r="AK198" s="544" t="s">
        <v>1674</v>
      </c>
      <c r="AL198" s="544" t="s">
        <v>1674</v>
      </c>
      <c r="AM198" s="544" t="s">
        <v>1674</v>
      </c>
      <c r="AN198" s="544" t="s">
        <v>1674</v>
      </c>
      <c r="AP198" s="542">
        <f t="shared" si="6"/>
        <v>0</v>
      </c>
      <c r="AR198" s="552">
        <f t="shared" si="7"/>
        <v>0</v>
      </c>
    </row>
    <row r="199" spans="1:44" outlineLevel="1" x14ac:dyDescent="0.25">
      <c r="A199" s="544" t="s">
        <v>1674</v>
      </c>
      <c r="B199" s="545">
        <v>0</v>
      </c>
      <c r="C199" s="544" t="s">
        <v>1674</v>
      </c>
      <c r="D199" s="544" t="s">
        <v>2756</v>
      </c>
      <c r="E199" s="542" t="s">
        <v>3307</v>
      </c>
      <c r="G199" s="546"/>
      <c r="H199" s="546">
        <v>9.52</v>
      </c>
      <c r="I199" s="546"/>
      <c r="J199" s="542" t="s">
        <v>806</v>
      </c>
      <c r="K199" s="547">
        <v>8736</v>
      </c>
      <c r="L199" s="542" t="s">
        <v>806</v>
      </c>
      <c r="M199" s="548"/>
      <c r="N199" s="549"/>
      <c r="O199" s="544" t="s">
        <v>1674</v>
      </c>
      <c r="P199" s="544" t="s">
        <v>1674</v>
      </c>
      <c r="Q199" s="544" t="s">
        <v>3308</v>
      </c>
      <c r="R199" s="544" t="s">
        <v>1674</v>
      </c>
      <c r="S199" s="544" t="s">
        <v>1674</v>
      </c>
      <c r="T199" s="550">
        <v>19</v>
      </c>
      <c r="U199" s="544" t="s">
        <v>3309</v>
      </c>
      <c r="V199" s="547">
        <v>1697</v>
      </c>
      <c r="W199" s="548"/>
      <c r="Y199" s="544" t="s">
        <v>1674</v>
      </c>
      <c r="AA199" s="544" t="s">
        <v>1674</v>
      </c>
      <c r="AE199" s="551"/>
      <c r="AF199" s="544" t="s">
        <v>1674</v>
      </c>
      <c r="AG199" s="544" t="s">
        <v>1674</v>
      </c>
      <c r="AH199" s="544" t="s">
        <v>1674</v>
      </c>
      <c r="AI199" s="544" t="s">
        <v>1674</v>
      </c>
      <c r="AJ199" s="544" t="s">
        <v>1674</v>
      </c>
      <c r="AK199" s="544" t="s">
        <v>1674</v>
      </c>
      <c r="AL199" s="544" t="s">
        <v>1674</v>
      </c>
      <c r="AM199" s="544" t="s">
        <v>1674</v>
      </c>
      <c r="AN199" s="544" t="s">
        <v>1674</v>
      </c>
      <c r="AP199" s="542">
        <f t="shared" si="6"/>
        <v>0</v>
      </c>
      <c r="AR199" s="552">
        <f t="shared" si="7"/>
        <v>0</v>
      </c>
    </row>
    <row r="200" spans="1:44" outlineLevel="1" x14ac:dyDescent="0.25">
      <c r="A200" s="544" t="s">
        <v>1674</v>
      </c>
      <c r="B200" s="545">
        <v>0</v>
      </c>
      <c r="C200" s="544" t="s">
        <v>1674</v>
      </c>
      <c r="D200" s="544" t="s">
        <v>2756</v>
      </c>
      <c r="E200" s="542" t="s">
        <v>3310</v>
      </c>
      <c r="G200" s="546"/>
      <c r="H200" s="546">
        <v>952</v>
      </c>
      <c r="I200" s="546"/>
      <c r="J200" s="542" t="s">
        <v>806</v>
      </c>
      <c r="K200" s="547">
        <v>1200</v>
      </c>
      <c r="L200" s="542" t="s">
        <v>806</v>
      </c>
      <c r="M200" s="548"/>
      <c r="N200" s="549"/>
      <c r="O200" s="544" t="s">
        <v>1674</v>
      </c>
      <c r="P200" s="544" t="s">
        <v>1674</v>
      </c>
      <c r="Q200" s="544" t="s">
        <v>3311</v>
      </c>
      <c r="R200" s="544" t="s">
        <v>1674</v>
      </c>
      <c r="S200" s="544" t="s">
        <v>1674</v>
      </c>
      <c r="T200" s="550"/>
      <c r="U200" s="544" t="s">
        <v>3312</v>
      </c>
      <c r="V200" s="547">
        <v>1874</v>
      </c>
      <c r="W200" s="548"/>
      <c r="Y200" s="544" t="s">
        <v>1674</v>
      </c>
      <c r="AA200" s="544" t="s">
        <v>1674</v>
      </c>
      <c r="AE200" s="551"/>
      <c r="AF200" s="544" t="s">
        <v>1674</v>
      </c>
      <c r="AG200" s="544" t="s">
        <v>1674</v>
      </c>
      <c r="AH200" s="544" t="s">
        <v>1674</v>
      </c>
      <c r="AI200" s="544" t="s">
        <v>1674</v>
      </c>
      <c r="AJ200" s="544" t="s">
        <v>1674</v>
      </c>
      <c r="AK200" s="544" t="s">
        <v>1674</v>
      </c>
      <c r="AL200" s="544" t="s">
        <v>1674</v>
      </c>
      <c r="AM200" s="544" t="s">
        <v>1674</v>
      </c>
      <c r="AN200" s="544" t="s">
        <v>1674</v>
      </c>
      <c r="AP200" s="542">
        <f t="shared" si="6"/>
        <v>0</v>
      </c>
      <c r="AR200" s="552">
        <f t="shared" si="7"/>
        <v>0</v>
      </c>
    </row>
    <row r="201" spans="1:44" outlineLevel="1" x14ac:dyDescent="0.25">
      <c r="A201" s="544" t="s">
        <v>1674</v>
      </c>
      <c r="B201" s="545">
        <v>0</v>
      </c>
      <c r="C201" s="544" t="s">
        <v>1674</v>
      </c>
      <c r="D201" s="544" t="s">
        <v>2756</v>
      </c>
      <c r="E201" s="542" t="s">
        <v>3313</v>
      </c>
      <c r="G201" s="546"/>
      <c r="H201" s="546">
        <v>942.48</v>
      </c>
      <c r="I201" s="546"/>
      <c r="J201" s="542" t="s">
        <v>806</v>
      </c>
      <c r="K201" s="547">
        <v>1200</v>
      </c>
      <c r="L201" s="542" t="s">
        <v>806</v>
      </c>
      <c r="M201" s="548"/>
      <c r="N201" s="549"/>
      <c r="O201" s="544" t="s">
        <v>1674</v>
      </c>
      <c r="P201" s="544" t="s">
        <v>1674</v>
      </c>
      <c r="Q201" s="544" t="s">
        <v>3314</v>
      </c>
      <c r="R201" s="544" t="s">
        <v>1674</v>
      </c>
      <c r="S201" s="544" t="s">
        <v>1674</v>
      </c>
      <c r="T201" s="550"/>
      <c r="U201" s="544" t="s">
        <v>3315</v>
      </c>
      <c r="V201" s="547">
        <v>68</v>
      </c>
      <c r="W201" s="548"/>
      <c r="Y201" s="544" t="s">
        <v>1674</v>
      </c>
      <c r="AA201" s="544" t="s">
        <v>1674</v>
      </c>
      <c r="AE201" s="551"/>
      <c r="AF201" s="544" t="s">
        <v>1674</v>
      </c>
      <c r="AG201" s="544" t="s">
        <v>1674</v>
      </c>
      <c r="AH201" s="544" t="s">
        <v>1674</v>
      </c>
      <c r="AI201" s="544" t="s">
        <v>1674</v>
      </c>
      <c r="AJ201" s="544" t="s">
        <v>1674</v>
      </c>
      <c r="AK201" s="544" t="s">
        <v>1674</v>
      </c>
      <c r="AL201" s="544" t="s">
        <v>1674</v>
      </c>
      <c r="AM201" s="544" t="s">
        <v>1674</v>
      </c>
      <c r="AN201" s="544" t="s">
        <v>1674</v>
      </c>
      <c r="AP201" s="542">
        <f t="shared" si="6"/>
        <v>0</v>
      </c>
      <c r="AR201" s="552">
        <f t="shared" si="7"/>
        <v>0</v>
      </c>
    </row>
    <row r="202" spans="1:44" outlineLevel="1" x14ac:dyDescent="0.25">
      <c r="A202" s="544" t="s">
        <v>1674</v>
      </c>
      <c r="B202" s="545">
        <v>0</v>
      </c>
      <c r="C202" s="544" t="s">
        <v>1674</v>
      </c>
      <c r="D202" s="544" t="s">
        <v>2756</v>
      </c>
      <c r="E202" s="542" t="s">
        <v>3313</v>
      </c>
      <c r="G202" s="546"/>
      <c r="H202" s="546">
        <v>9.52</v>
      </c>
      <c r="I202" s="546"/>
      <c r="J202" s="542" t="s">
        <v>806</v>
      </c>
      <c r="K202" s="547">
        <v>8736</v>
      </c>
      <c r="L202" s="542" t="s">
        <v>806</v>
      </c>
      <c r="M202" s="548"/>
      <c r="N202" s="549"/>
      <c r="O202" s="544" t="s">
        <v>1674</v>
      </c>
      <c r="P202" s="544" t="s">
        <v>1674</v>
      </c>
      <c r="Q202" s="544" t="s">
        <v>3314</v>
      </c>
      <c r="R202" s="544" t="s">
        <v>1674</v>
      </c>
      <c r="S202" s="544" t="s">
        <v>1674</v>
      </c>
      <c r="T202" s="550">
        <v>19</v>
      </c>
      <c r="U202" s="544" t="s">
        <v>3315</v>
      </c>
      <c r="V202" s="547">
        <v>69</v>
      </c>
      <c r="W202" s="548"/>
      <c r="Y202" s="544" t="s">
        <v>1674</v>
      </c>
      <c r="AA202" s="544" t="s">
        <v>1674</v>
      </c>
      <c r="AE202" s="551"/>
      <c r="AF202" s="544" t="s">
        <v>1674</v>
      </c>
      <c r="AG202" s="544" t="s">
        <v>1674</v>
      </c>
      <c r="AH202" s="544" t="s">
        <v>1674</v>
      </c>
      <c r="AI202" s="544" t="s">
        <v>1674</v>
      </c>
      <c r="AJ202" s="544" t="s">
        <v>1674</v>
      </c>
      <c r="AK202" s="544" t="s">
        <v>1674</v>
      </c>
      <c r="AL202" s="544" t="s">
        <v>1674</v>
      </c>
      <c r="AM202" s="544" t="s">
        <v>1674</v>
      </c>
      <c r="AN202" s="544" t="s">
        <v>1674</v>
      </c>
      <c r="AP202" s="542">
        <f t="shared" si="6"/>
        <v>0</v>
      </c>
      <c r="AR202" s="552">
        <f t="shared" si="7"/>
        <v>0</v>
      </c>
    </row>
    <row r="203" spans="1:44" outlineLevel="1" x14ac:dyDescent="0.25">
      <c r="A203" s="544" t="s">
        <v>1674</v>
      </c>
      <c r="B203" s="545">
        <v>0</v>
      </c>
      <c r="C203" s="544" t="s">
        <v>1674</v>
      </c>
      <c r="D203" s="544" t="s">
        <v>2756</v>
      </c>
      <c r="E203" s="542" t="s">
        <v>3316</v>
      </c>
      <c r="G203" s="546"/>
      <c r="H203" s="546">
        <v>952</v>
      </c>
      <c r="I203" s="546"/>
      <c r="J203" s="542" t="s">
        <v>806</v>
      </c>
      <c r="K203" s="547">
        <v>1200</v>
      </c>
      <c r="L203" s="542" t="s">
        <v>806</v>
      </c>
      <c r="M203" s="548"/>
      <c r="N203" s="549"/>
      <c r="O203" s="544" t="s">
        <v>1674</v>
      </c>
      <c r="P203" s="544" t="s">
        <v>1674</v>
      </c>
      <c r="Q203" s="544" t="s">
        <v>3317</v>
      </c>
      <c r="R203" s="544" t="s">
        <v>1674</v>
      </c>
      <c r="S203" s="544" t="s">
        <v>1674</v>
      </c>
      <c r="T203" s="550"/>
      <c r="U203" s="544" t="s">
        <v>3315</v>
      </c>
      <c r="V203" s="547">
        <v>1660</v>
      </c>
      <c r="W203" s="548"/>
      <c r="Y203" s="544" t="s">
        <v>1674</v>
      </c>
      <c r="AA203" s="544" t="s">
        <v>1674</v>
      </c>
      <c r="AE203" s="551"/>
      <c r="AF203" s="544" t="s">
        <v>1674</v>
      </c>
      <c r="AG203" s="544" t="s">
        <v>1674</v>
      </c>
      <c r="AH203" s="544" t="s">
        <v>1674</v>
      </c>
      <c r="AI203" s="544" t="s">
        <v>1674</v>
      </c>
      <c r="AJ203" s="544" t="s">
        <v>1674</v>
      </c>
      <c r="AK203" s="544" t="s">
        <v>1674</v>
      </c>
      <c r="AL203" s="544" t="s">
        <v>1674</v>
      </c>
      <c r="AM203" s="544" t="s">
        <v>1674</v>
      </c>
      <c r="AN203" s="544" t="s">
        <v>1674</v>
      </c>
      <c r="AP203" s="542">
        <f t="shared" si="6"/>
        <v>0</v>
      </c>
      <c r="AR203" s="552">
        <f t="shared" si="7"/>
        <v>0</v>
      </c>
    </row>
    <row r="204" spans="1:44" outlineLevel="1" x14ac:dyDescent="0.25">
      <c r="A204" s="544" t="s">
        <v>1674</v>
      </c>
      <c r="B204" s="545">
        <v>0</v>
      </c>
      <c r="C204" s="544" t="s">
        <v>1674</v>
      </c>
      <c r="D204" s="544" t="s">
        <v>2756</v>
      </c>
      <c r="E204" s="542" t="s">
        <v>3318</v>
      </c>
      <c r="G204" s="546"/>
      <c r="H204" s="546">
        <v>952</v>
      </c>
      <c r="I204" s="546"/>
      <c r="J204" s="542" t="s">
        <v>806</v>
      </c>
      <c r="K204" s="547">
        <v>1200</v>
      </c>
      <c r="L204" s="542" t="s">
        <v>806</v>
      </c>
      <c r="M204" s="548"/>
      <c r="N204" s="549"/>
      <c r="O204" s="544" t="s">
        <v>1674</v>
      </c>
      <c r="P204" s="544" t="s">
        <v>1674</v>
      </c>
      <c r="Q204" s="544" t="s">
        <v>3319</v>
      </c>
      <c r="R204" s="544" t="s">
        <v>1674</v>
      </c>
      <c r="S204" s="544" t="s">
        <v>1674</v>
      </c>
      <c r="T204" s="550"/>
      <c r="U204" s="544" t="s">
        <v>3320</v>
      </c>
      <c r="V204" s="547">
        <v>1733</v>
      </c>
      <c r="W204" s="548"/>
      <c r="Y204" s="544" t="s">
        <v>1674</v>
      </c>
      <c r="AA204" s="544" t="s">
        <v>1674</v>
      </c>
      <c r="AE204" s="551"/>
      <c r="AF204" s="544" t="s">
        <v>1674</v>
      </c>
      <c r="AG204" s="544" t="s">
        <v>1674</v>
      </c>
      <c r="AH204" s="544" t="s">
        <v>1674</v>
      </c>
      <c r="AI204" s="544" t="s">
        <v>1674</v>
      </c>
      <c r="AJ204" s="544" t="s">
        <v>1674</v>
      </c>
      <c r="AK204" s="544" t="s">
        <v>1674</v>
      </c>
      <c r="AL204" s="544" t="s">
        <v>1674</v>
      </c>
      <c r="AM204" s="544" t="s">
        <v>1674</v>
      </c>
      <c r="AN204" s="544" t="s">
        <v>1674</v>
      </c>
      <c r="AP204" s="542">
        <f t="shared" si="6"/>
        <v>0</v>
      </c>
      <c r="AR204" s="552">
        <f t="shared" si="7"/>
        <v>0</v>
      </c>
    </row>
    <row r="205" spans="1:44" outlineLevel="1" x14ac:dyDescent="0.25">
      <c r="A205" s="544" t="s">
        <v>1674</v>
      </c>
      <c r="B205" s="545">
        <v>0</v>
      </c>
      <c r="C205" s="544" t="s">
        <v>1674</v>
      </c>
      <c r="D205" s="544" t="s">
        <v>2756</v>
      </c>
      <c r="E205" s="542" t="s">
        <v>3321</v>
      </c>
      <c r="G205" s="546"/>
      <c r="H205" s="546">
        <v>847.28</v>
      </c>
      <c r="I205" s="546"/>
      <c r="J205" s="542" t="s">
        <v>806</v>
      </c>
      <c r="K205" s="547">
        <v>1200</v>
      </c>
      <c r="L205" s="542" t="s">
        <v>806</v>
      </c>
      <c r="M205" s="548"/>
      <c r="N205" s="549"/>
      <c r="O205" s="544" t="s">
        <v>1674</v>
      </c>
      <c r="P205" s="544" t="s">
        <v>1674</v>
      </c>
      <c r="Q205" s="544" t="s">
        <v>3322</v>
      </c>
      <c r="R205" s="544" t="s">
        <v>1674</v>
      </c>
      <c r="S205" s="544" t="s">
        <v>1674</v>
      </c>
      <c r="T205" s="550"/>
      <c r="U205" s="544" t="s">
        <v>3323</v>
      </c>
      <c r="V205" s="547">
        <v>1478</v>
      </c>
      <c r="W205" s="548"/>
      <c r="Y205" s="544" t="s">
        <v>1674</v>
      </c>
      <c r="AA205" s="544" t="s">
        <v>1674</v>
      </c>
      <c r="AE205" s="551"/>
      <c r="AF205" s="544" t="s">
        <v>1674</v>
      </c>
      <c r="AG205" s="544" t="s">
        <v>1674</v>
      </c>
      <c r="AH205" s="544" t="s">
        <v>1674</v>
      </c>
      <c r="AI205" s="544" t="s">
        <v>1674</v>
      </c>
      <c r="AJ205" s="544" t="s">
        <v>1674</v>
      </c>
      <c r="AK205" s="544" t="s">
        <v>1674</v>
      </c>
      <c r="AL205" s="544" t="s">
        <v>1674</v>
      </c>
      <c r="AM205" s="544" t="s">
        <v>1674</v>
      </c>
      <c r="AN205" s="544" t="s">
        <v>1674</v>
      </c>
      <c r="AP205" s="542">
        <f t="shared" si="6"/>
        <v>0</v>
      </c>
      <c r="AR205" s="552">
        <f t="shared" si="7"/>
        <v>0</v>
      </c>
    </row>
    <row r="206" spans="1:44" outlineLevel="1" x14ac:dyDescent="0.25">
      <c r="A206" s="544" t="s">
        <v>1674</v>
      </c>
      <c r="B206" s="545">
        <v>0</v>
      </c>
      <c r="C206" s="544" t="s">
        <v>1674</v>
      </c>
      <c r="D206" s="544" t="s">
        <v>2756</v>
      </c>
      <c r="E206" s="542" t="s">
        <v>3321</v>
      </c>
      <c r="G206" s="546"/>
      <c r="H206" s="546">
        <v>104.72</v>
      </c>
      <c r="I206" s="546">
        <v>5950</v>
      </c>
      <c r="J206" s="542" t="s">
        <v>2701</v>
      </c>
      <c r="K206" s="547">
        <v>8736</v>
      </c>
      <c r="L206" s="542" t="s">
        <v>806</v>
      </c>
      <c r="M206" s="548"/>
      <c r="N206" s="549"/>
      <c r="O206" s="544" t="s">
        <v>1674</v>
      </c>
      <c r="P206" s="544" t="s">
        <v>1674</v>
      </c>
      <c r="Q206" s="544" t="s">
        <v>3322</v>
      </c>
      <c r="R206" s="544" t="s">
        <v>1674</v>
      </c>
      <c r="S206" s="544" t="s">
        <v>1674</v>
      </c>
      <c r="T206" s="550">
        <v>19</v>
      </c>
      <c r="U206" s="544" t="s">
        <v>3323</v>
      </c>
      <c r="V206" s="547">
        <v>1479</v>
      </c>
      <c r="W206" s="548"/>
      <c r="Y206" s="544" t="s">
        <v>1674</v>
      </c>
      <c r="AA206" s="544" t="s">
        <v>1674</v>
      </c>
      <c r="AE206" s="551"/>
      <c r="AF206" s="544" t="s">
        <v>1674</v>
      </c>
      <c r="AG206" s="544" t="s">
        <v>1674</v>
      </c>
      <c r="AH206" s="544" t="s">
        <v>1674</v>
      </c>
      <c r="AI206" s="544" t="s">
        <v>1674</v>
      </c>
      <c r="AJ206" s="544" t="s">
        <v>1674</v>
      </c>
      <c r="AK206" s="544" t="s">
        <v>1674</v>
      </c>
      <c r="AL206" s="544" t="s">
        <v>1674</v>
      </c>
      <c r="AM206" s="544" t="s">
        <v>1674</v>
      </c>
      <c r="AN206" s="544" t="s">
        <v>1674</v>
      </c>
      <c r="AP206" s="542">
        <f t="shared" si="6"/>
        <v>0</v>
      </c>
      <c r="AR206" s="552">
        <f t="shared" si="7"/>
        <v>5950</v>
      </c>
    </row>
    <row r="207" spans="1:44" outlineLevel="1" x14ac:dyDescent="0.25">
      <c r="A207" s="544" t="s">
        <v>2722</v>
      </c>
      <c r="B207" s="545">
        <v>31204</v>
      </c>
      <c r="C207" s="544" t="s">
        <v>2766</v>
      </c>
      <c r="D207" s="544" t="s">
        <v>2767</v>
      </c>
      <c r="E207" s="542" t="s">
        <v>2764</v>
      </c>
      <c r="F207" s="542" t="s">
        <v>2765</v>
      </c>
      <c r="G207" s="546">
        <v>1</v>
      </c>
      <c r="H207" s="546"/>
      <c r="I207" s="546">
        <v>1</v>
      </c>
      <c r="J207" s="542" t="s">
        <v>2701</v>
      </c>
      <c r="K207" s="547">
        <v>8807</v>
      </c>
      <c r="L207" s="542" t="s">
        <v>806</v>
      </c>
      <c r="M207" s="548"/>
      <c r="N207" s="549">
        <v>-486</v>
      </c>
      <c r="O207" s="544" t="s">
        <v>1674</v>
      </c>
      <c r="P207" s="544" t="s">
        <v>1674</v>
      </c>
      <c r="Q207" s="544" t="s">
        <v>2768</v>
      </c>
      <c r="R207" s="544" t="s">
        <v>2622</v>
      </c>
      <c r="S207" s="544" t="s">
        <v>1674</v>
      </c>
      <c r="T207" s="550"/>
      <c r="U207" s="544" t="s">
        <v>2685</v>
      </c>
      <c r="V207" s="547">
        <v>201</v>
      </c>
      <c r="W207" s="548"/>
      <c r="Y207" s="544" t="s">
        <v>1674</v>
      </c>
      <c r="AA207" s="544" t="s">
        <v>1674</v>
      </c>
      <c r="AE207" s="551"/>
      <c r="AF207" s="544" t="s">
        <v>1674</v>
      </c>
      <c r="AG207" s="544" t="s">
        <v>1674</v>
      </c>
      <c r="AH207" s="544" t="s">
        <v>1674</v>
      </c>
      <c r="AI207" s="544" t="s">
        <v>1674</v>
      </c>
      <c r="AJ207" s="544" t="s">
        <v>1674</v>
      </c>
      <c r="AK207" s="544" t="s">
        <v>1674</v>
      </c>
      <c r="AL207" s="544" t="s">
        <v>1674</v>
      </c>
      <c r="AM207" s="544" t="s">
        <v>2769</v>
      </c>
      <c r="AN207" s="544" t="s">
        <v>1674</v>
      </c>
      <c r="AP207" s="542">
        <f t="shared" si="6"/>
        <v>-425</v>
      </c>
      <c r="AR207" s="552">
        <f t="shared" si="7"/>
        <v>1</v>
      </c>
    </row>
    <row r="208" spans="1:44" outlineLevel="1" x14ac:dyDescent="0.25">
      <c r="A208" s="544" t="s">
        <v>2722</v>
      </c>
      <c r="B208" s="545">
        <v>11800</v>
      </c>
      <c r="C208" s="544" t="s">
        <v>2581</v>
      </c>
      <c r="D208" s="544" t="s">
        <v>2770</v>
      </c>
      <c r="E208" s="542" t="s">
        <v>2771</v>
      </c>
      <c r="F208" s="542" t="s">
        <v>2772</v>
      </c>
      <c r="G208" s="546">
        <v>13387.5</v>
      </c>
      <c r="H208" s="546"/>
      <c r="I208" s="546"/>
      <c r="J208" s="542" t="s">
        <v>806</v>
      </c>
      <c r="K208" s="547">
        <v>8820</v>
      </c>
      <c r="L208" s="542" t="s">
        <v>806</v>
      </c>
      <c r="M208" s="548"/>
      <c r="N208" s="549">
        <v>-458</v>
      </c>
      <c r="O208" s="544" t="s">
        <v>1674</v>
      </c>
      <c r="P208" s="544" t="s">
        <v>1674</v>
      </c>
      <c r="Q208" s="544" t="s">
        <v>2720</v>
      </c>
      <c r="R208" s="544" t="s">
        <v>2622</v>
      </c>
      <c r="S208" s="544" t="s">
        <v>1674</v>
      </c>
      <c r="T208" s="550">
        <v>19</v>
      </c>
      <c r="U208" s="544" t="s">
        <v>2685</v>
      </c>
      <c r="V208" s="547">
        <v>1616</v>
      </c>
      <c r="W208" s="548"/>
      <c r="Y208" s="544" t="s">
        <v>1674</v>
      </c>
      <c r="AA208" s="544" t="s">
        <v>1674</v>
      </c>
      <c r="AE208" s="551"/>
      <c r="AF208" s="544" t="s">
        <v>1674</v>
      </c>
      <c r="AG208" s="544" t="s">
        <v>1674</v>
      </c>
      <c r="AH208" s="544" t="s">
        <v>1674</v>
      </c>
      <c r="AI208" s="544" t="s">
        <v>1674</v>
      </c>
      <c r="AJ208" s="544" t="s">
        <v>1674</v>
      </c>
      <c r="AK208" s="544" t="s">
        <v>1674</v>
      </c>
      <c r="AL208" s="544" t="s">
        <v>1674</v>
      </c>
      <c r="AM208" s="544" t="s">
        <v>2581</v>
      </c>
      <c r="AN208" s="544" t="s">
        <v>1674</v>
      </c>
      <c r="AP208" s="542">
        <f t="shared" si="6"/>
        <v>-397</v>
      </c>
      <c r="AR208" s="552">
        <f t="shared" si="7"/>
        <v>0</v>
      </c>
    </row>
    <row r="209" spans="1:44" outlineLevel="1" x14ac:dyDescent="0.25">
      <c r="A209" s="544" t="s">
        <v>2722</v>
      </c>
      <c r="B209" s="545">
        <v>0</v>
      </c>
      <c r="C209" s="544" t="s">
        <v>1674</v>
      </c>
      <c r="D209" s="544" t="s">
        <v>2770</v>
      </c>
      <c r="E209" s="542" t="s">
        <v>2771</v>
      </c>
      <c r="F209" s="542" t="s">
        <v>2772</v>
      </c>
      <c r="G209" s="546">
        <v>3034.5</v>
      </c>
      <c r="H209" s="546"/>
      <c r="I209" s="546"/>
      <c r="J209" s="542" t="s">
        <v>806</v>
      </c>
      <c r="K209" s="547">
        <v>8820</v>
      </c>
      <c r="L209" s="542" t="s">
        <v>806</v>
      </c>
      <c r="M209" s="548"/>
      <c r="N209" s="549">
        <v>-458</v>
      </c>
      <c r="O209" s="544" t="s">
        <v>1674</v>
      </c>
      <c r="P209" s="544" t="s">
        <v>1674</v>
      </c>
      <c r="Q209" s="544" t="s">
        <v>2720</v>
      </c>
      <c r="R209" s="544" t="s">
        <v>1674</v>
      </c>
      <c r="S209" s="544" t="s">
        <v>1674</v>
      </c>
      <c r="T209" s="550">
        <v>19</v>
      </c>
      <c r="U209" s="544" t="s">
        <v>2685</v>
      </c>
      <c r="V209" s="547">
        <v>1617</v>
      </c>
      <c r="W209" s="548"/>
      <c r="Y209" s="544" t="s">
        <v>1674</v>
      </c>
      <c r="AA209" s="544" t="s">
        <v>1674</v>
      </c>
      <c r="AE209" s="551"/>
      <c r="AF209" s="544" t="s">
        <v>1674</v>
      </c>
      <c r="AG209" s="544" t="s">
        <v>1674</v>
      </c>
      <c r="AH209" s="544" t="s">
        <v>1674</v>
      </c>
      <c r="AI209" s="544" t="s">
        <v>1674</v>
      </c>
      <c r="AJ209" s="544" t="s">
        <v>1674</v>
      </c>
      <c r="AK209" s="544" t="s">
        <v>1674</v>
      </c>
      <c r="AL209" s="544" t="s">
        <v>1674</v>
      </c>
      <c r="AM209" s="544" t="s">
        <v>1674</v>
      </c>
      <c r="AN209" s="544" t="s">
        <v>1674</v>
      </c>
      <c r="AP209" s="542">
        <f t="shared" si="6"/>
        <v>-397</v>
      </c>
      <c r="AR209" s="552">
        <f t="shared" si="7"/>
        <v>0</v>
      </c>
    </row>
    <row r="210" spans="1:44" outlineLevel="1" x14ac:dyDescent="0.25">
      <c r="A210" s="544" t="s">
        <v>1674</v>
      </c>
      <c r="B210" s="545">
        <v>0</v>
      </c>
      <c r="C210" s="544" t="s">
        <v>1674</v>
      </c>
      <c r="D210" s="544" t="s">
        <v>2770</v>
      </c>
      <c r="E210" s="542" t="s">
        <v>2683</v>
      </c>
      <c r="G210" s="546"/>
      <c r="H210" s="546">
        <v>942.48</v>
      </c>
      <c r="I210" s="546"/>
      <c r="J210" s="542" t="s">
        <v>806</v>
      </c>
      <c r="K210" s="547">
        <v>1200</v>
      </c>
      <c r="L210" s="542" t="s">
        <v>806</v>
      </c>
      <c r="M210" s="548"/>
      <c r="N210" s="549"/>
      <c r="O210" s="544" t="s">
        <v>1674</v>
      </c>
      <c r="P210" s="544" t="s">
        <v>1674</v>
      </c>
      <c r="Q210" s="544" t="s">
        <v>2684</v>
      </c>
      <c r="R210" s="544" t="s">
        <v>1674</v>
      </c>
      <c r="S210" s="544" t="s">
        <v>1674</v>
      </c>
      <c r="T210" s="550"/>
      <c r="U210" s="544" t="s">
        <v>2685</v>
      </c>
      <c r="V210" s="547">
        <v>1750</v>
      </c>
      <c r="W210" s="548"/>
      <c r="Y210" s="544" t="s">
        <v>1674</v>
      </c>
      <c r="AA210" s="544" t="s">
        <v>1674</v>
      </c>
      <c r="AE210" s="551"/>
      <c r="AF210" s="544" t="s">
        <v>1674</v>
      </c>
      <c r="AG210" s="544" t="s">
        <v>1674</v>
      </c>
      <c r="AH210" s="544" t="s">
        <v>1674</v>
      </c>
      <c r="AI210" s="544" t="s">
        <v>1674</v>
      </c>
      <c r="AJ210" s="544" t="s">
        <v>1674</v>
      </c>
      <c r="AK210" s="544" t="s">
        <v>1674</v>
      </c>
      <c r="AL210" s="544" t="s">
        <v>1674</v>
      </c>
      <c r="AM210" s="544" t="s">
        <v>1674</v>
      </c>
      <c r="AN210" s="544" t="s">
        <v>1674</v>
      </c>
      <c r="AP210" s="542">
        <f t="shared" si="6"/>
        <v>0</v>
      </c>
      <c r="AR210" s="552">
        <f t="shared" si="7"/>
        <v>0</v>
      </c>
    </row>
    <row r="211" spans="1:44" outlineLevel="1" x14ac:dyDescent="0.25">
      <c r="A211" s="544" t="s">
        <v>1674</v>
      </c>
      <c r="B211" s="545">
        <v>0</v>
      </c>
      <c r="C211" s="544" t="s">
        <v>1674</v>
      </c>
      <c r="D211" s="544" t="s">
        <v>2770</v>
      </c>
      <c r="E211" s="542" t="s">
        <v>2683</v>
      </c>
      <c r="G211" s="546"/>
      <c r="H211" s="546">
        <v>9.52</v>
      </c>
      <c r="I211" s="546"/>
      <c r="J211" s="542" t="s">
        <v>806</v>
      </c>
      <c r="K211" s="547">
        <v>8736</v>
      </c>
      <c r="L211" s="542" t="s">
        <v>806</v>
      </c>
      <c r="M211" s="548"/>
      <c r="N211" s="549"/>
      <c r="O211" s="544" t="s">
        <v>1674</v>
      </c>
      <c r="P211" s="544" t="s">
        <v>1674</v>
      </c>
      <c r="Q211" s="544" t="s">
        <v>2684</v>
      </c>
      <c r="R211" s="544" t="s">
        <v>1674</v>
      </c>
      <c r="S211" s="544" t="s">
        <v>1674</v>
      </c>
      <c r="T211" s="550">
        <v>19</v>
      </c>
      <c r="U211" s="544" t="s">
        <v>2685</v>
      </c>
      <c r="V211" s="547">
        <v>1750</v>
      </c>
      <c r="W211" s="548"/>
      <c r="Y211" s="544" t="s">
        <v>1674</v>
      </c>
      <c r="AA211" s="544" t="s">
        <v>1674</v>
      </c>
      <c r="AE211" s="551"/>
      <c r="AF211" s="544" t="s">
        <v>1674</v>
      </c>
      <c r="AG211" s="544" t="s">
        <v>1674</v>
      </c>
      <c r="AH211" s="544" t="s">
        <v>1674</v>
      </c>
      <c r="AI211" s="544" t="s">
        <v>1674</v>
      </c>
      <c r="AJ211" s="544" t="s">
        <v>1674</v>
      </c>
      <c r="AK211" s="544" t="s">
        <v>1674</v>
      </c>
      <c r="AL211" s="544" t="s">
        <v>1674</v>
      </c>
      <c r="AM211" s="544" t="s">
        <v>1674</v>
      </c>
      <c r="AN211" s="544" t="s">
        <v>1674</v>
      </c>
      <c r="AP211" s="542">
        <f t="shared" si="6"/>
        <v>0</v>
      </c>
      <c r="AR211" s="552">
        <f t="shared" si="7"/>
        <v>0</v>
      </c>
    </row>
    <row r="212" spans="1:44" outlineLevel="1" x14ac:dyDescent="0.25">
      <c r="A212" s="544" t="s">
        <v>1674</v>
      </c>
      <c r="B212" s="545">
        <v>0</v>
      </c>
      <c r="C212" s="544" t="s">
        <v>1674</v>
      </c>
      <c r="D212" s="544" t="s">
        <v>2770</v>
      </c>
      <c r="E212" s="542" t="s">
        <v>2686</v>
      </c>
      <c r="G212" s="546"/>
      <c r="H212" s="546">
        <v>942.48</v>
      </c>
      <c r="I212" s="546"/>
      <c r="J212" s="542" t="s">
        <v>806</v>
      </c>
      <c r="K212" s="547">
        <v>1200</v>
      </c>
      <c r="L212" s="542" t="s">
        <v>806</v>
      </c>
      <c r="M212" s="548"/>
      <c r="N212" s="549"/>
      <c r="O212" s="544" t="s">
        <v>1674</v>
      </c>
      <c r="P212" s="544" t="s">
        <v>1674</v>
      </c>
      <c r="Q212" s="544" t="s">
        <v>2687</v>
      </c>
      <c r="R212" s="544" t="s">
        <v>1674</v>
      </c>
      <c r="S212" s="544" t="s">
        <v>1674</v>
      </c>
      <c r="T212" s="550"/>
      <c r="U212" s="544" t="s">
        <v>2688</v>
      </c>
      <c r="V212" s="547">
        <v>1492</v>
      </c>
      <c r="W212" s="548"/>
      <c r="Y212" s="544" t="s">
        <v>1674</v>
      </c>
      <c r="AA212" s="544" t="s">
        <v>1674</v>
      </c>
      <c r="AE212" s="551"/>
      <c r="AF212" s="544" t="s">
        <v>1674</v>
      </c>
      <c r="AG212" s="544" t="s">
        <v>1674</v>
      </c>
      <c r="AH212" s="544" t="s">
        <v>1674</v>
      </c>
      <c r="AI212" s="544" t="s">
        <v>1674</v>
      </c>
      <c r="AJ212" s="544" t="s">
        <v>1674</v>
      </c>
      <c r="AK212" s="544" t="s">
        <v>1674</v>
      </c>
      <c r="AL212" s="544" t="s">
        <v>1674</v>
      </c>
      <c r="AM212" s="544" t="s">
        <v>1674</v>
      </c>
      <c r="AN212" s="544" t="s">
        <v>1674</v>
      </c>
      <c r="AP212" s="542">
        <f t="shared" si="6"/>
        <v>0</v>
      </c>
      <c r="AR212" s="552">
        <f t="shared" si="7"/>
        <v>0</v>
      </c>
    </row>
    <row r="213" spans="1:44" outlineLevel="1" x14ac:dyDescent="0.25">
      <c r="A213" s="544" t="s">
        <v>1674</v>
      </c>
      <c r="B213" s="545">
        <v>0</v>
      </c>
      <c r="C213" s="544" t="s">
        <v>1674</v>
      </c>
      <c r="D213" s="544" t="s">
        <v>2770</v>
      </c>
      <c r="E213" s="542" t="s">
        <v>2686</v>
      </c>
      <c r="G213" s="546"/>
      <c r="H213" s="546">
        <v>9.52</v>
      </c>
      <c r="I213" s="546"/>
      <c r="J213" s="542" t="s">
        <v>806</v>
      </c>
      <c r="K213" s="547">
        <v>8736</v>
      </c>
      <c r="L213" s="542" t="s">
        <v>806</v>
      </c>
      <c r="M213" s="548"/>
      <c r="N213" s="549"/>
      <c r="O213" s="544" t="s">
        <v>1674</v>
      </c>
      <c r="P213" s="544" t="s">
        <v>1674</v>
      </c>
      <c r="Q213" s="544" t="s">
        <v>2687</v>
      </c>
      <c r="R213" s="544" t="s">
        <v>1674</v>
      </c>
      <c r="S213" s="544" t="s">
        <v>1674</v>
      </c>
      <c r="T213" s="550">
        <v>19</v>
      </c>
      <c r="U213" s="544" t="s">
        <v>2688</v>
      </c>
      <c r="V213" s="547">
        <v>1492</v>
      </c>
      <c r="W213" s="548"/>
      <c r="Y213" s="544" t="s">
        <v>1674</v>
      </c>
      <c r="AA213" s="544" t="s">
        <v>1674</v>
      </c>
      <c r="AE213" s="551"/>
      <c r="AF213" s="544" t="s">
        <v>1674</v>
      </c>
      <c r="AG213" s="544" t="s">
        <v>1674</v>
      </c>
      <c r="AH213" s="544" t="s">
        <v>1674</v>
      </c>
      <c r="AI213" s="544" t="s">
        <v>1674</v>
      </c>
      <c r="AJ213" s="544" t="s">
        <v>1674</v>
      </c>
      <c r="AK213" s="544" t="s">
        <v>1674</v>
      </c>
      <c r="AL213" s="544" t="s">
        <v>1674</v>
      </c>
      <c r="AM213" s="544" t="s">
        <v>1674</v>
      </c>
      <c r="AN213" s="544" t="s">
        <v>1674</v>
      </c>
      <c r="AP213" s="542">
        <f t="shared" si="6"/>
        <v>0</v>
      </c>
      <c r="AR213" s="552">
        <f t="shared" si="7"/>
        <v>0</v>
      </c>
    </row>
    <row r="214" spans="1:44" outlineLevel="1" x14ac:dyDescent="0.25">
      <c r="A214" s="544" t="s">
        <v>1674</v>
      </c>
      <c r="B214" s="545">
        <v>0</v>
      </c>
      <c r="C214" s="544" t="s">
        <v>1674</v>
      </c>
      <c r="D214" s="544" t="s">
        <v>2770</v>
      </c>
      <c r="E214" s="542" t="s">
        <v>2689</v>
      </c>
      <c r="G214" s="546"/>
      <c r="H214" s="546">
        <v>942.48</v>
      </c>
      <c r="I214" s="546"/>
      <c r="J214" s="542" t="s">
        <v>806</v>
      </c>
      <c r="K214" s="547">
        <v>1200</v>
      </c>
      <c r="L214" s="542" t="s">
        <v>806</v>
      </c>
      <c r="M214" s="548"/>
      <c r="N214" s="549"/>
      <c r="O214" s="544" t="s">
        <v>1674</v>
      </c>
      <c r="P214" s="544" t="s">
        <v>1674</v>
      </c>
      <c r="Q214" s="544" t="s">
        <v>2690</v>
      </c>
      <c r="R214" s="544" t="s">
        <v>1674</v>
      </c>
      <c r="S214" s="544" t="s">
        <v>1674</v>
      </c>
      <c r="T214" s="550"/>
      <c r="U214" s="544" t="s">
        <v>2691</v>
      </c>
      <c r="V214" s="547">
        <v>1713</v>
      </c>
      <c r="W214" s="548"/>
      <c r="Y214" s="544" t="s">
        <v>1674</v>
      </c>
      <c r="AA214" s="544" t="s">
        <v>1674</v>
      </c>
      <c r="AE214" s="551"/>
      <c r="AF214" s="544" t="s">
        <v>1674</v>
      </c>
      <c r="AG214" s="544" t="s">
        <v>1674</v>
      </c>
      <c r="AH214" s="544" t="s">
        <v>1674</v>
      </c>
      <c r="AI214" s="544" t="s">
        <v>1674</v>
      </c>
      <c r="AJ214" s="544" t="s">
        <v>1674</v>
      </c>
      <c r="AK214" s="544" t="s">
        <v>1674</v>
      </c>
      <c r="AL214" s="544" t="s">
        <v>1674</v>
      </c>
      <c r="AM214" s="544" t="s">
        <v>1674</v>
      </c>
      <c r="AN214" s="544" t="s">
        <v>1674</v>
      </c>
      <c r="AP214" s="542">
        <f t="shared" si="6"/>
        <v>0</v>
      </c>
      <c r="AR214" s="552">
        <f t="shared" si="7"/>
        <v>0</v>
      </c>
    </row>
    <row r="215" spans="1:44" outlineLevel="1" x14ac:dyDescent="0.25">
      <c r="A215" s="544" t="s">
        <v>1674</v>
      </c>
      <c r="B215" s="545">
        <v>0</v>
      </c>
      <c r="C215" s="544" t="s">
        <v>1674</v>
      </c>
      <c r="D215" s="544" t="s">
        <v>2770</v>
      </c>
      <c r="E215" s="542" t="s">
        <v>2689</v>
      </c>
      <c r="G215" s="546"/>
      <c r="H215" s="546">
        <v>9.52</v>
      </c>
      <c r="I215" s="546"/>
      <c r="J215" s="542" t="s">
        <v>806</v>
      </c>
      <c r="K215" s="547">
        <v>8736</v>
      </c>
      <c r="L215" s="542" t="s">
        <v>806</v>
      </c>
      <c r="M215" s="548"/>
      <c r="N215" s="549"/>
      <c r="O215" s="544" t="s">
        <v>1674</v>
      </c>
      <c r="P215" s="544" t="s">
        <v>1674</v>
      </c>
      <c r="Q215" s="544" t="s">
        <v>2690</v>
      </c>
      <c r="R215" s="544" t="s">
        <v>1674</v>
      </c>
      <c r="S215" s="544" t="s">
        <v>1674</v>
      </c>
      <c r="T215" s="550">
        <v>19</v>
      </c>
      <c r="U215" s="544" t="s">
        <v>2691</v>
      </c>
      <c r="V215" s="547">
        <v>1714</v>
      </c>
      <c r="W215" s="548"/>
      <c r="Y215" s="544" t="s">
        <v>1674</v>
      </c>
      <c r="AA215" s="544" t="s">
        <v>1674</v>
      </c>
      <c r="AE215" s="551"/>
      <c r="AF215" s="544" t="s">
        <v>1674</v>
      </c>
      <c r="AG215" s="544" t="s">
        <v>1674</v>
      </c>
      <c r="AH215" s="544" t="s">
        <v>1674</v>
      </c>
      <c r="AI215" s="544" t="s">
        <v>1674</v>
      </c>
      <c r="AJ215" s="544" t="s">
        <v>1674</v>
      </c>
      <c r="AK215" s="544" t="s">
        <v>1674</v>
      </c>
      <c r="AL215" s="544" t="s">
        <v>1674</v>
      </c>
      <c r="AM215" s="544" t="s">
        <v>1674</v>
      </c>
      <c r="AN215" s="544" t="s">
        <v>1674</v>
      </c>
      <c r="AP215" s="542">
        <f t="shared" si="6"/>
        <v>0</v>
      </c>
      <c r="AR215" s="552">
        <f t="shared" si="7"/>
        <v>0</v>
      </c>
    </row>
    <row r="216" spans="1:44" outlineLevel="1" x14ac:dyDescent="0.25">
      <c r="A216" s="544" t="s">
        <v>1674</v>
      </c>
      <c r="B216" s="545">
        <v>0</v>
      </c>
      <c r="C216" s="544" t="s">
        <v>1674</v>
      </c>
      <c r="D216" s="544" t="s">
        <v>2770</v>
      </c>
      <c r="E216" s="542" t="s">
        <v>2692</v>
      </c>
      <c r="G216" s="546"/>
      <c r="H216" s="546">
        <v>942.48</v>
      </c>
      <c r="I216" s="546"/>
      <c r="J216" s="542" t="s">
        <v>806</v>
      </c>
      <c r="K216" s="547">
        <v>1200</v>
      </c>
      <c r="L216" s="542" t="s">
        <v>806</v>
      </c>
      <c r="M216" s="548"/>
      <c r="N216" s="549"/>
      <c r="O216" s="544" t="s">
        <v>1674</v>
      </c>
      <c r="P216" s="544" t="s">
        <v>1674</v>
      </c>
      <c r="Q216" s="544" t="s">
        <v>2693</v>
      </c>
      <c r="R216" s="544" t="s">
        <v>1674</v>
      </c>
      <c r="S216" s="544" t="s">
        <v>1674</v>
      </c>
      <c r="T216" s="550"/>
      <c r="U216" s="544" t="s">
        <v>2694</v>
      </c>
      <c r="V216" s="547">
        <v>1835</v>
      </c>
      <c r="W216" s="548"/>
      <c r="Y216" s="544" t="s">
        <v>1674</v>
      </c>
      <c r="AA216" s="544" t="s">
        <v>1674</v>
      </c>
      <c r="AE216" s="551"/>
      <c r="AF216" s="544" t="s">
        <v>1674</v>
      </c>
      <c r="AG216" s="544" t="s">
        <v>1674</v>
      </c>
      <c r="AH216" s="544" t="s">
        <v>1674</v>
      </c>
      <c r="AI216" s="544" t="s">
        <v>1674</v>
      </c>
      <c r="AJ216" s="544" t="s">
        <v>1674</v>
      </c>
      <c r="AK216" s="544" t="s">
        <v>1674</v>
      </c>
      <c r="AL216" s="544" t="s">
        <v>1674</v>
      </c>
      <c r="AM216" s="544" t="s">
        <v>1674</v>
      </c>
      <c r="AN216" s="544" t="s">
        <v>1674</v>
      </c>
      <c r="AP216" s="542">
        <f t="shared" si="6"/>
        <v>0</v>
      </c>
      <c r="AR216" s="552">
        <f t="shared" si="7"/>
        <v>0</v>
      </c>
    </row>
    <row r="217" spans="1:44" outlineLevel="1" x14ac:dyDescent="0.25">
      <c r="A217" s="544" t="s">
        <v>1674</v>
      </c>
      <c r="B217" s="545">
        <v>0</v>
      </c>
      <c r="C217" s="544" t="s">
        <v>1674</v>
      </c>
      <c r="D217" s="544" t="s">
        <v>2770</v>
      </c>
      <c r="E217" s="542" t="s">
        <v>2692</v>
      </c>
      <c r="G217" s="546"/>
      <c r="H217" s="546">
        <v>9.52</v>
      </c>
      <c r="I217" s="546"/>
      <c r="J217" s="542" t="s">
        <v>806</v>
      </c>
      <c r="K217" s="547">
        <v>8736</v>
      </c>
      <c r="L217" s="542" t="s">
        <v>806</v>
      </c>
      <c r="M217" s="548"/>
      <c r="N217" s="549"/>
      <c r="O217" s="544" t="s">
        <v>1674</v>
      </c>
      <c r="P217" s="544" t="s">
        <v>1674</v>
      </c>
      <c r="Q217" s="544" t="s">
        <v>2693</v>
      </c>
      <c r="R217" s="544" t="s">
        <v>1674</v>
      </c>
      <c r="S217" s="544" t="s">
        <v>1674</v>
      </c>
      <c r="T217" s="550">
        <v>19</v>
      </c>
      <c r="U217" s="544" t="s">
        <v>2694</v>
      </c>
      <c r="V217" s="547">
        <v>1843</v>
      </c>
      <c r="W217" s="548"/>
      <c r="Y217" s="544" t="s">
        <v>1674</v>
      </c>
      <c r="AA217" s="544" t="s">
        <v>1674</v>
      </c>
      <c r="AE217" s="551"/>
      <c r="AF217" s="544" t="s">
        <v>1674</v>
      </c>
      <c r="AG217" s="544" t="s">
        <v>1674</v>
      </c>
      <c r="AH217" s="544" t="s">
        <v>1674</v>
      </c>
      <c r="AI217" s="544" t="s">
        <v>1674</v>
      </c>
      <c r="AJ217" s="544" t="s">
        <v>1674</v>
      </c>
      <c r="AK217" s="544" t="s">
        <v>1674</v>
      </c>
      <c r="AL217" s="544" t="s">
        <v>1674</v>
      </c>
      <c r="AM217" s="544" t="s">
        <v>1674</v>
      </c>
      <c r="AN217" s="544" t="s">
        <v>1674</v>
      </c>
      <c r="AP217" s="542">
        <f t="shared" si="6"/>
        <v>0</v>
      </c>
      <c r="AR217" s="552">
        <f t="shared" si="7"/>
        <v>0</v>
      </c>
    </row>
    <row r="218" spans="1:44" outlineLevel="1" x14ac:dyDescent="0.25">
      <c r="A218" s="544" t="s">
        <v>1674</v>
      </c>
      <c r="B218" s="545">
        <v>0</v>
      </c>
      <c r="C218" s="544" t="s">
        <v>1674</v>
      </c>
      <c r="D218" s="544" t="s">
        <v>2770</v>
      </c>
      <c r="E218" s="542" t="s">
        <v>2695</v>
      </c>
      <c r="G218" s="546"/>
      <c r="H218" s="546">
        <v>942.48</v>
      </c>
      <c r="I218" s="546"/>
      <c r="J218" s="542" t="s">
        <v>806</v>
      </c>
      <c r="K218" s="547">
        <v>1200</v>
      </c>
      <c r="L218" s="542" t="s">
        <v>806</v>
      </c>
      <c r="M218" s="548"/>
      <c r="N218" s="549"/>
      <c r="O218" s="544" t="s">
        <v>1674</v>
      </c>
      <c r="P218" s="544" t="s">
        <v>1674</v>
      </c>
      <c r="Q218" s="544" t="s">
        <v>2696</v>
      </c>
      <c r="R218" s="544" t="s">
        <v>1674</v>
      </c>
      <c r="S218" s="544" t="s">
        <v>1674</v>
      </c>
      <c r="T218" s="550"/>
      <c r="U218" s="544" t="s">
        <v>2697</v>
      </c>
      <c r="V218" s="547">
        <v>1628</v>
      </c>
      <c r="W218" s="548"/>
      <c r="Y218" s="544" t="s">
        <v>1674</v>
      </c>
      <c r="AA218" s="544" t="s">
        <v>1674</v>
      </c>
      <c r="AE218" s="551"/>
      <c r="AF218" s="544" t="s">
        <v>1674</v>
      </c>
      <c r="AG218" s="544" t="s">
        <v>1674</v>
      </c>
      <c r="AH218" s="544" t="s">
        <v>1674</v>
      </c>
      <c r="AI218" s="544" t="s">
        <v>1674</v>
      </c>
      <c r="AJ218" s="544" t="s">
        <v>1674</v>
      </c>
      <c r="AK218" s="544" t="s">
        <v>1674</v>
      </c>
      <c r="AL218" s="544" t="s">
        <v>1674</v>
      </c>
      <c r="AM218" s="544" t="s">
        <v>1674</v>
      </c>
      <c r="AN218" s="544" t="s">
        <v>1674</v>
      </c>
      <c r="AP218" s="542">
        <f t="shared" si="6"/>
        <v>0</v>
      </c>
      <c r="AR218" s="552">
        <f t="shared" si="7"/>
        <v>0</v>
      </c>
    </row>
    <row r="219" spans="1:44" outlineLevel="1" x14ac:dyDescent="0.25">
      <c r="A219" s="544" t="s">
        <v>1674</v>
      </c>
      <c r="B219" s="545">
        <v>0</v>
      </c>
      <c r="C219" s="544" t="s">
        <v>1674</v>
      </c>
      <c r="D219" s="544" t="s">
        <v>2770</v>
      </c>
      <c r="E219" s="542" t="s">
        <v>2695</v>
      </c>
      <c r="G219" s="546"/>
      <c r="H219" s="546">
        <v>9.52</v>
      </c>
      <c r="I219" s="546"/>
      <c r="J219" s="542" t="s">
        <v>806</v>
      </c>
      <c r="K219" s="547">
        <v>8736</v>
      </c>
      <c r="L219" s="542" t="s">
        <v>806</v>
      </c>
      <c r="M219" s="548"/>
      <c r="N219" s="549"/>
      <c r="O219" s="544" t="s">
        <v>1674</v>
      </c>
      <c r="P219" s="544" t="s">
        <v>1674</v>
      </c>
      <c r="Q219" s="544" t="s">
        <v>2696</v>
      </c>
      <c r="R219" s="544" t="s">
        <v>1674</v>
      </c>
      <c r="S219" s="544" t="s">
        <v>1674</v>
      </c>
      <c r="T219" s="550">
        <v>19</v>
      </c>
      <c r="U219" s="544" t="s">
        <v>2697</v>
      </c>
      <c r="V219" s="547">
        <v>1629</v>
      </c>
      <c r="W219" s="548"/>
      <c r="Y219" s="544" t="s">
        <v>1674</v>
      </c>
      <c r="AA219" s="544" t="s">
        <v>1674</v>
      </c>
      <c r="AE219" s="551"/>
      <c r="AF219" s="544" t="s">
        <v>1674</v>
      </c>
      <c r="AG219" s="544" t="s">
        <v>1674</v>
      </c>
      <c r="AH219" s="544" t="s">
        <v>1674</v>
      </c>
      <c r="AI219" s="544" t="s">
        <v>1674</v>
      </c>
      <c r="AJ219" s="544" t="s">
        <v>1674</v>
      </c>
      <c r="AK219" s="544" t="s">
        <v>1674</v>
      </c>
      <c r="AL219" s="544" t="s">
        <v>1674</v>
      </c>
      <c r="AM219" s="544" t="s">
        <v>1674</v>
      </c>
      <c r="AN219" s="544" t="s">
        <v>1674</v>
      </c>
      <c r="AP219" s="542">
        <f t="shared" si="6"/>
        <v>0</v>
      </c>
      <c r="AR219" s="552">
        <f t="shared" si="7"/>
        <v>0</v>
      </c>
    </row>
    <row r="220" spans="1:44" outlineLevel="1" x14ac:dyDescent="0.25">
      <c r="A220" s="544" t="s">
        <v>1674</v>
      </c>
      <c r="B220" s="545">
        <v>0</v>
      </c>
      <c r="C220" s="544" t="s">
        <v>1674</v>
      </c>
      <c r="D220" s="544" t="s">
        <v>2770</v>
      </c>
      <c r="E220" s="542" t="s">
        <v>2698</v>
      </c>
      <c r="G220" s="546"/>
      <c r="H220" s="546">
        <v>942.48</v>
      </c>
      <c r="I220" s="546"/>
      <c r="J220" s="542" t="s">
        <v>806</v>
      </c>
      <c r="K220" s="547">
        <v>1200</v>
      </c>
      <c r="L220" s="542" t="s">
        <v>806</v>
      </c>
      <c r="M220" s="548"/>
      <c r="N220" s="549"/>
      <c r="O220" s="544" t="s">
        <v>1674</v>
      </c>
      <c r="P220" s="544" t="s">
        <v>1674</v>
      </c>
      <c r="Q220" s="544" t="s">
        <v>2699</v>
      </c>
      <c r="R220" s="544" t="s">
        <v>1674</v>
      </c>
      <c r="S220" s="544" t="s">
        <v>1674</v>
      </c>
      <c r="T220" s="550"/>
      <c r="U220" s="544" t="s">
        <v>2700</v>
      </c>
      <c r="V220" s="547">
        <v>1606</v>
      </c>
      <c r="W220" s="548"/>
      <c r="Y220" s="544" t="s">
        <v>1674</v>
      </c>
      <c r="AA220" s="544" t="s">
        <v>1674</v>
      </c>
      <c r="AE220" s="551"/>
      <c r="AF220" s="544" t="s">
        <v>1674</v>
      </c>
      <c r="AG220" s="544" t="s">
        <v>1674</v>
      </c>
      <c r="AH220" s="544" t="s">
        <v>1674</v>
      </c>
      <c r="AI220" s="544" t="s">
        <v>1674</v>
      </c>
      <c r="AJ220" s="544" t="s">
        <v>1674</v>
      </c>
      <c r="AK220" s="544" t="s">
        <v>1674</v>
      </c>
      <c r="AL220" s="544" t="s">
        <v>1674</v>
      </c>
      <c r="AM220" s="544" t="s">
        <v>1674</v>
      </c>
      <c r="AN220" s="544" t="s">
        <v>1674</v>
      </c>
      <c r="AP220" s="542">
        <f t="shared" si="6"/>
        <v>0</v>
      </c>
      <c r="AR220" s="552">
        <f t="shared" si="7"/>
        <v>0</v>
      </c>
    </row>
    <row r="221" spans="1:44" outlineLevel="1" x14ac:dyDescent="0.25">
      <c r="A221" s="544" t="s">
        <v>1674</v>
      </c>
      <c r="B221" s="545">
        <v>0</v>
      </c>
      <c r="C221" s="544" t="s">
        <v>1674</v>
      </c>
      <c r="D221" s="544" t="s">
        <v>2770</v>
      </c>
      <c r="E221" s="542" t="s">
        <v>2698</v>
      </c>
      <c r="G221" s="546"/>
      <c r="H221" s="546">
        <v>9.52</v>
      </c>
      <c r="I221" s="546"/>
      <c r="J221" s="542" t="s">
        <v>806</v>
      </c>
      <c r="K221" s="547">
        <v>8736</v>
      </c>
      <c r="L221" s="542" t="s">
        <v>806</v>
      </c>
      <c r="M221" s="548"/>
      <c r="N221" s="549"/>
      <c r="O221" s="544" t="s">
        <v>1674</v>
      </c>
      <c r="P221" s="544" t="s">
        <v>1674</v>
      </c>
      <c r="Q221" s="544" t="s">
        <v>2699</v>
      </c>
      <c r="R221" s="544" t="s">
        <v>1674</v>
      </c>
      <c r="S221" s="544" t="s">
        <v>1674</v>
      </c>
      <c r="T221" s="550">
        <v>19</v>
      </c>
      <c r="U221" s="544" t="s">
        <v>2700</v>
      </c>
      <c r="V221" s="547">
        <v>1607</v>
      </c>
      <c r="W221" s="548"/>
      <c r="Y221" s="544" t="s">
        <v>1674</v>
      </c>
      <c r="AA221" s="544" t="s">
        <v>1674</v>
      </c>
      <c r="AE221" s="551"/>
      <c r="AF221" s="544" t="s">
        <v>1674</v>
      </c>
      <c r="AG221" s="544" t="s">
        <v>1674</v>
      </c>
      <c r="AH221" s="544" t="s">
        <v>1674</v>
      </c>
      <c r="AI221" s="544" t="s">
        <v>1674</v>
      </c>
      <c r="AJ221" s="544" t="s">
        <v>1674</v>
      </c>
      <c r="AK221" s="544" t="s">
        <v>1674</v>
      </c>
      <c r="AL221" s="544" t="s">
        <v>1674</v>
      </c>
      <c r="AM221" s="544" t="s">
        <v>1674</v>
      </c>
      <c r="AN221" s="544" t="s">
        <v>1674</v>
      </c>
      <c r="AP221" s="542">
        <f t="shared" si="6"/>
        <v>0</v>
      </c>
      <c r="AR221" s="552">
        <f t="shared" si="7"/>
        <v>0</v>
      </c>
    </row>
    <row r="222" spans="1:44" outlineLevel="1" x14ac:dyDescent="0.25">
      <c r="A222" s="544" t="s">
        <v>1674</v>
      </c>
      <c r="B222" s="545">
        <v>0</v>
      </c>
      <c r="C222" s="544" t="s">
        <v>1674</v>
      </c>
      <c r="D222" s="544" t="s">
        <v>2770</v>
      </c>
      <c r="E222" s="542" t="s">
        <v>3296</v>
      </c>
      <c r="G222" s="546"/>
      <c r="H222" s="546">
        <v>942.48</v>
      </c>
      <c r="I222" s="546"/>
      <c r="J222" s="542" t="s">
        <v>806</v>
      </c>
      <c r="K222" s="547">
        <v>1200</v>
      </c>
      <c r="L222" s="542" t="s">
        <v>806</v>
      </c>
      <c r="M222" s="548"/>
      <c r="N222" s="549"/>
      <c r="O222" s="544" t="s">
        <v>1674</v>
      </c>
      <c r="P222" s="544" t="s">
        <v>1674</v>
      </c>
      <c r="Q222" s="544" t="s">
        <v>3302</v>
      </c>
      <c r="R222" s="544" t="s">
        <v>1674</v>
      </c>
      <c r="S222" s="544" t="s">
        <v>1674</v>
      </c>
      <c r="T222" s="550"/>
      <c r="U222" s="544" t="s">
        <v>3303</v>
      </c>
      <c r="V222" s="547">
        <v>1675</v>
      </c>
      <c r="W222" s="548"/>
      <c r="Y222" s="544" t="s">
        <v>1674</v>
      </c>
      <c r="AA222" s="544" t="s">
        <v>1674</v>
      </c>
      <c r="AE222" s="551"/>
      <c r="AF222" s="544" t="s">
        <v>1674</v>
      </c>
      <c r="AG222" s="544" t="s">
        <v>1674</v>
      </c>
      <c r="AH222" s="544" t="s">
        <v>1674</v>
      </c>
      <c r="AI222" s="544" t="s">
        <v>1674</v>
      </c>
      <c r="AJ222" s="544" t="s">
        <v>1674</v>
      </c>
      <c r="AK222" s="544" t="s">
        <v>1674</v>
      </c>
      <c r="AL222" s="544" t="s">
        <v>1674</v>
      </c>
      <c r="AM222" s="544" t="s">
        <v>1674</v>
      </c>
      <c r="AN222" s="544" t="s">
        <v>1674</v>
      </c>
      <c r="AP222" s="542">
        <f t="shared" si="6"/>
        <v>0</v>
      </c>
      <c r="AR222" s="552">
        <f t="shared" si="7"/>
        <v>0</v>
      </c>
    </row>
    <row r="223" spans="1:44" outlineLevel="1" x14ac:dyDescent="0.25">
      <c r="A223" s="544" t="s">
        <v>1674</v>
      </c>
      <c r="B223" s="545">
        <v>0</v>
      </c>
      <c r="C223" s="544" t="s">
        <v>1674</v>
      </c>
      <c r="D223" s="544" t="s">
        <v>2770</v>
      </c>
      <c r="E223" s="542" t="s">
        <v>3296</v>
      </c>
      <c r="G223" s="546"/>
      <c r="H223" s="546">
        <v>9.52</v>
      </c>
      <c r="I223" s="546"/>
      <c r="J223" s="542" t="s">
        <v>806</v>
      </c>
      <c r="K223" s="547">
        <v>8736</v>
      </c>
      <c r="L223" s="542" t="s">
        <v>806</v>
      </c>
      <c r="M223" s="548"/>
      <c r="N223" s="549"/>
      <c r="O223" s="544" t="s">
        <v>1674</v>
      </c>
      <c r="P223" s="544" t="s">
        <v>1674</v>
      </c>
      <c r="Q223" s="544" t="s">
        <v>3302</v>
      </c>
      <c r="R223" s="544" t="s">
        <v>1674</v>
      </c>
      <c r="S223" s="544" t="s">
        <v>1674</v>
      </c>
      <c r="T223" s="550">
        <v>19</v>
      </c>
      <c r="U223" s="544" t="s">
        <v>3303</v>
      </c>
      <c r="V223" s="547">
        <v>1676</v>
      </c>
      <c r="W223" s="548"/>
      <c r="Y223" s="544" t="s">
        <v>1674</v>
      </c>
      <c r="AA223" s="544" t="s">
        <v>1674</v>
      </c>
      <c r="AE223" s="551"/>
      <c r="AF223" s="544" t="s">
        <v>1674</v>
      </c>
      <c r="AG223" s="544" t="s">
        <v>1674</v>
      </c>
      <c r="AH223" s="544" t="s">
        <v>1674</v>
      </c>
      <c r="AI223" s="544" t="s">
        <v>1674</v>
      </c>
      <c r="AJ223" s="544" t="s">
        <v>1674</v>
      </c>
      <c r="AK223" s="544" t="s">
        <v>1674</v>
      </c>
      <c r="AL223" s="544" t="s">
        <v>1674</v>
      </c>
      <c r="AM223" s="544" t="s">
        <v>1674</v>
      </c>
      <c r="AN223" s="544" t="s">
        <v>1674</v>
      </c>
      <c r="AP223" s="542">
        <f t="shared" si="6"/>
        <v>0</v>
      </c>
      <c r="AR223" s="552">
        <f t="shared" si="7"/>
        <v>0</v>
      </c>
    </row>
    <row r="224" spans="1:44" outlineLevel="1" x14ac:dyDescent="0.25">
      <c r="A224" s="544" t="s">
        <v>1674</v>
      </c>
      <c r="B224" s="545">
        <v>0</v>
      </c>
      <c r="C224" s="544" t="s">
        <v>1674</v>
      </c>
      <c r="D224" s="544" t="s">
        <v>2770</v>
      </c>
      <c r="E224" s="542" t="s">
        <v>3304</v>
      </c>
      <c r="G224" s="546"/>
      <c r="H224" s="546">
        <v>942.48</v>
      </c>
      <c r="I224" s="546"/>
      <c r="J224" s="542" t="s">
        <v>806</v>
      </c>
      <c r="K224" s="547">
        <v>1200</v>
      </c>
      <c r="L224" s="542" t="s">
        <v>806</v>
      </c>
      <c r="M224" s="548"/>
      <c r="N224" s="549"/>
      <c r="O224" s="544" t="s">
        <v>1674</v>
      </c>
      <c r="P224" s="544" t="s">
        <v>1674</v>
      </c>
      <c r="Q224" s="544" t="s">
        <v>3305</v>
      </c>
      <c r="R224" s="544" t="s">
        <v>1674</v>
      </c>
      <c r="S224" s="544" t="s">
        <v>1674</v>
      </c>
      <c r="T224" s="550"/>
      <c r="U224" s="544" t="s">
        <v>3306</v>
      </c>
      <c r="V224" s="547">
        <v>1615</v>
      </c>
      <c r="W224" s="548"/>
      <c r="Y224" s="544" t="s">
        <v>1674</v>
      </c>
      <c r="AA224" s="544" t="s">
        <v>1674</v>
      </c>
      <c r="AE224" s="551"/>
      <c r="AF224" s="544" t="s">
        <v>1674</v>
      </c>
      <c r="AG224" s="544" t="s">
        <v>1674</v>
      </c>
      <c r="AH224" s="544" t="s">
        <v>1674</v>
      </c>
      <c r="AI224" s="544" t="s">
        <v>1674</v>
      </c>
      <c r="AJ224" s="544" t="s">
        <v>1674</v>
      </c>
      <c r="AK224" s="544" t="s">
        <v>1674</v>
      </c>
      <c r="AL224" s="544" t="s">
        <v>1674</v>
      </c>
      <c r="AM224" s="544" t="s">
        <v>1674</v>
      </c>
      <c r="AN224" s="544" t="s">
        <v>1674</v>
      </c>
      <c r="AP224" s="542">
        <f t="shared" ref="AP224:AP287" si="8">IF(F224&lt;&gt;0,($AP$2-$F224)*-1,0)</f>
        <v>0</v>
      </c>
      <c r="AR224" s="552">
        <f t="shared" si="7"/>
        <v>0</v>
      </c>
    </row>
    <row r="225" spans="1:44" outlineLevel="1" x14ac:dyDescent="0.25">
      <c r="A225" s="544" t="s">
        <v>1674</v>
      </c>
      <c r="B225" s="545">
        <v>0</v>
      </c>
      <c r="C225" s="544" t="s">
        <v>1674</v>
      </c>
      <c r="D225" s="544" t="s">
        <v>2770</v>
      </c>
      <c r="E225" s="542" t="s">
        <v>3304</v>
      </c>
      <c r="G225" s="546"/>
      <c r="H225" s="546">
        <v>9.52</v>
      </c>
      <c r="I225" s="546"/>
      <c r="J225" s="542" t="s">
        <v>806</v>
      </c>
      <c r="K225" s="547">
        <v>8736</v>
      </c>
      <c r="L225" s="542" t="s">
        <v>806</v>
      </c>
      <c r="M225" s="548"/>
      <c r="N225" s="549"/>
      <c r="O225" s="544" t="s">
        <v>1674</v>
      </c>
      <c r="P225" s="544" t="s">
        <v>1674</v>
      </c>
      <c r="Q225" s="544" t="s">
        <v>3305</v>
      </c>
      <c r="R225" s="544" t="s">
        <v>1674</v>
      </c>
      <c r="S225" s="544" t="s">
        <v>1674</v>
      </c>
      <c r="T225" s="550">
        <v>19</v>
      </c>
      <c r="U225" s="544" t="s">
        <v>3306</v>
      </c>
      <c r="V225" s="547">
        <v>1616</v>
      </c>
      <c r="W225" s="548"/>
      <c r="Y225" s="544" t="s">
        <v>1674</v>
      </c>
      <c r="AA225" s="544" t="s">
        <v>1674</v>
      </c>
      <c r="AE225" s="551"/>
      <c r="AF225" s="544" t="s">
        <v>1674</v>
      </c>
      <c r="AG225" s="544" t="s">
        <v>1674</v>
      </c>
      <c r="AH225" s="544" t="s">
        <v>1674</v>
      </c>
      <c r="AI225" s="544" t="s">
        <v>1674</v>
      </c>
      <c r="AJ225" s="544" t="s">
        <v>1674</v>
      </c>
      <c r="AK225" s="544" t="s">
        <v>1674</v>
      </c>
      <c r="AL225" s="544" t="s">
        <v>1674</v>
      </c>
      <c r="AM225" s="544" t="s">
        <v>1674</v>
      </c>
      <c r="AN225" s="544" t="s">
        <v>1674</v>
      </c>
      <c r="AP225" s="542">
        <f t="shared" si="8"/>
        <v>0</v>
      </c>
      <c r="AR225" s="552">
        <f t="shared" si="7"/>
        <v>0</v>
      </c>
    </row>
    <row r="226" spans="1:44" outlineLevel="1" x14ac:dyDescent="0.25">
      <c r="A226" s="544" t="s">
        <v>1674</v>
      </c>
      <c r="B226" s="545">
        <v>0</v>
      </c>
      <c r="C226" s="544" t="s">
        <v>1674</v>
      </c>
      <c r="D226" s="544" t="s">
        <v>2770</v>
      </c>
      <c r="E226" s="542" t="s">
        <v>3307</v>
      </c>
      <c r="G226" s="546"/>
      <c r="H226" s="546">
        <v>942.48</v>
      </c>
      <c r="I226" s="546"/>
      <c r="J226" s="542" t="s">
        <v>806</v>
      </c>
      <c r="K226" s="547">
        <v>1200</v>
      </c>
      <c r="L226" s="542" t="s">
        <v>806</v>
      </c>
      <c r="M226" s="548"/>
      <c r="N226" s="549"/>
      <c r="O226" s="544" t="s">
        <v>1674</v>
      </c>
      <c r="P226" s="544" t="s">
        <v>1674</v>
      </c>
      <c r="Q226" s="544" t="s">
        <v>3308</v>
      </c>
      <c r="R226" s="544" t="s">
        <v>1674</v>
      </c>
      <c r="S226" s="544" t="s">
        <v>1674</v>
      </c>
      <c r="T226" s="550"/>
      <c r="U226" s="544" t="s">
        <v>3309</v>
      </c>
      <c r="V226" s="547">
        <v>1687</v>
      </c>
      <c r="W226" s="548"/>
      <c r="Y226" s="544" t="s">
        <v>1674</v>
      </c>
      <c r="AA226" s="544" t="s">
        <v>1674</v>
      </c>
      <c r="AE226" s="551"/>
      <c r="AF226" s="544" t="s">
        <v>1674</v>
      </c>
      <c r="AG226" s="544" t="s">
        <v>1674</v>
      </c>
      <c r="AH226" s="544" t="s">
        <v>1674</v>
      </c>
      <c r="AI226" s="544" t="s">
        <v>1674</v>
      </c>
      <c r="AJ226" s="544" t="s">
        <v>1674</v>
      </c>
      <c r="AK226" s="544" t="s">
        <v>1674</v>
      </c>
      <c r="AL226" s="544" t="s">
        <v>1674</v>
      </c>
      <c r="AM226" s="544" t="s">
        <v>1674</v>
      </c>
      <c r="AN226" s="544" t="s">
        <v>1674</v>
      </c>
      <c r="AP226" s="542">
        <f t="shared" si="8"/>
        <v>0</v>
      </c>
      <c r="AR226" s="552">
        <f t="shared" si="7"/>
        <v>0</v>
      </c>
    </row>
    <row r="227" spans="1:44" outlineLevel="1" x14ac:dyDescent="0.25">
      <c r="A227" s="544" t="s">
        <v>1674</v>
      </c>
      <c r="B227" s="545">
        <v>0</v>
      </c>
      <c r="C227" s="544" t="s">
        <v>1674</v>
      </c>
      <c r="D227" s="544" t="s">
        <v>2770</v>
      </c>
      <c r="E227" s="542" t="s">
        <v>3307</v>
      </c>
      <c r="G227" s="546"/>
      <c r="H227" s="546">
        <v>9.52</v>
      </c>
      <c r="I227" s="546"/>
      <c r="J227" s="542" t="s">
        <v>806</v>
      </c>
      <c r="K227" s="547">
        <v>8736</v>
      </c>
      <c r="L227" s="542" t="s">
        <v>806</v>
      </c>
      <c r="M227" s="548"/>
      <c r="N227" s="549"/>
      <c r="O227" s="544" t="s">
        <v>1674</v>
      </c>
      <c r="P227" s="544" t="s">
        <v>1674</v>
      </c>
      <c r="Q227" s="544" t="s">
        <v>3308</v>
      </c>
      <c r="R227" s="544" t="s">
        <v>1674</v>
      </c>
      <c r="S227" s="544" t="s">
        <v>1674</v>
      </c>
      <c r="T227" s="550">
        <v>19</v>
      </c>
      <c r="U227" s="544" t="s">
        <v>3309</v>
      </c>
      <c r="V227" s="547">
        <v>1688</v>
      </c>
      <c r="W227" s="548"/>
      <c r="Y227" s="544" t="s">
        <v>1674</v>
      </c>
      <c r="AA227" s="544" t="s">
        <v>1674</v>
      </c>
      <c r="AE227" s="551"/>
      <c r="AF227" s="544" t="s">
        <v>1674</v>
      </c>
      <c r="AG227" s="544" t="s">
        <v>1674</v>
      </c>
      <c r="AH227" s="544" t="s">
        <v>1674</v>
      </c>
      <c r="AI227" s="544" t="s">
        <v>1674</v>
      </c>
      <c r="AJ227" s="544" t="s">
        <v>1674</v>
      </c>
      <c r="AK227" s="544" t="s">
        <v>1674</v>
      </c>
      <c r="AL227" s="544" t="s">
        <v>1674</v>
      </c>
      <c r="AM227" s="544" t="s">
        <v>1674</v>
      </c>
      <c r="AN227" s="544" t="s">
        <v>1674</v>
      </c>
      <c r="AP227" s="542">
        <f t="shared" si="8"/>
        <v>0</v>
      </c>
      <c r="AR227" s="552">
        <f t="shared" si="7"/>
        <v>0</v>
      </c>
    </row>
    <row r="228" spans="1:44" outlineLevel="1" x14ac:dyDescent="0.25">
      <c r="A228" s="544" t="s">
        <v>1674</v>
      </c>
      <c r="B228" s="545">
        <v>0</v>
      </c>
      <c r="C228" s="544" t="s">
        <v>1674</v>
      </c>
      <c r="D228" s="544" t="s">
        <v>2770</v>
      </c>
      <c r="E228" s="542" t="s">
        <v>3310</v>
      </c>
      <c r="G228" s="546"/>
      <c r="H228" s="546">
        <v>952</v>
      </c>
      <c r="I228" s="546"/>
      <c r="J228" s="542" t="s">
        <v>806</v>
      </c>
      <c r="K228" s="547">
        <v>1200</v>
      </c>
      <c r="L228" s="542" t="s">
        <v>806</v>
      </c>
      <c r="M228" s="548"/>
      <c r="N228" s="549"/>
      <c r="O228" s="544" t="s">
        <v>1674</v>
      </c>
      <c r="P228" s="544" t="s">
        <v>1674</v>
      </c>
      <c r="Q228" s="544" t="s">
        <v>3311</v>
      </c>
      <c r="R228" s="544" t="s">
        <v>1674</v>
      </c>
      <c r="S228" s="544" t="s">
        <v>1674</v>
      </c>
      <c r="T228" s="550"/>
      <c r="U228" s="544" t="s">
        <v>3312</v>
      </c>
      <c r="V228" s="547">
        <v>1871</v>
      </c>
      <c r="W228" s="548"/>
      <c r="Y228" s="544" t="s">
        <v>1674</v>
      </c>
      <c r="AA228" s="544" t="s">
        <v>1674</v>
      </c>
      <c r="AE228" s="551"/>
      <c r="AF228" s="544" t="s">
        <v>1674</v>
      </c>
      <c r="AG228" s="544" t="s">
        <v>1674</v>
      </c>
      <c r="AH228" s="544" t="s">
        <v>1674</v>
      </c>
      <c r="AI228" s="544" t="s">
        <v>1674</v>
      </c>
      <c r="AJ228" s="544" t="s">
        <v>1674</v>
      </c>
      <c r="AK228" s="544" t="s">
        <v>1674</v>
      </c>
      <c r="AL228" s="544" t="s">
        <v>1674</v>
      </c>
      <c r="AM228" s="544" t="s">
        <v>1674</v>
      </c>
      <c r="AN228" s="544" t="s">
        <v>1674</v>
      </c>
      <c r="AP228" s="542">
        <f t="shared" si="8"/>
        <v>0</v>
      </c>
      <c r="AR228" s="552">
        <f t="shared" si="7"/>
        <v>0</v>
      </c>
    </row>
    <row r="229" spans="1:44" outlineLevel="1" x14ac:dyDescent="0.25">
      <c r="A229" s="544" t="s">
        <v>1674</v>
      </c>
      <c r="B229" s="545">
        <v>0</v>
      </c>
      <c r="C229" s="544" t="s">
        <v>1674</v>
      </c>
      <c r="D229" s="544" t="s">
        <v>2770</v>
      </c>
      <c r="E229" s="542" t="s">
        <v>3313</v>
      </c>
      <c r="G229" s="546"/>
      <c r="H229" s="546">
        <v>942.48</v>
      </c>
      <c r="I229" s="546"/>
      <c r="J229" s="542" t="s">
        <v>806</v>
      </c>
      <c r="K229" s="547">
        <v>1200</v>
      </c>
      <c r="L229" s="542" t="s">
        <v>806</v>
      </c>
      <c r="M229" s="548"/>
      <c r="N229" s="549"/>
      <c r="O229" s="544" t="s">
        <v>1674</v>
      </c>
      <c r="P229" s="544" t="s">
        <v>1674</v>
      </c>
      <c r="Q229" s="544" t="s">
        <v>3314</v>
      </c>
      <c r="R229" s="544" t="s">
        <v>1674</v>
      </c>
      <c r="S229" s="544" t="s">
        <v>1674</v>
      </c>
      <c r="T229" s="550"/>
      <c r="U229" s="544" t="s">
        <v>3315</v>
      </c>
      <c r="V229" s="547">
        <v>72</v>
      </c>
      <c r="W229" s="548"/>
      <c r="Y229" s="544" t="s">
        <v>1674</v>
      </c>
      <c r="AA229" s="544" t="s">
        <v>1674</v>
      </c>
      <c r="AE229" s="551"/>
      <c r="AF229" s="544" t="s">
        <v>1674</v>
      </c>
      <c r="AG229" s="544" t="s">
        <v>1674</v>
      </c>
      <c r="AH229" s="544" t="s">
        <v>1674</v>
      </c>
      <c r="AI229" s="544" t="s">
        <v>1674</v>
      </c>
      <c r="AJ229" s="544" t="s">
        <v>1674</v>
      </c>
      <c r="AK229" s="544" t="s">
        <v>1674</v>
      </c>
      <c r="AL229" s="544" t="s">
        <v>1674</v>
      </c>
      <c r="AM229" s="544" t="s">
        <v>1674</v>
      </c>
      <c r="AN229" s="544" t="s">
        <v>1674</v>
      </c>
      <c r="AP229" s="542">
        <f t="shared" si="8"/>
        <v>0</v>
      </c>
      <c r="AR229" s="552">
        <f t="shared" si="7"/>
        <v>0</v>
      </c>
    </row>
    <row r="230" spans="1:44" outlineLevel="1" x14ac:dyDescent="0.25">
      <c r="A230" s="544" t="s">
        <v>1674</v>
      </c>
      <c r="B230" s="545">
        <v>0</v>
      </c>
      <c r="C230" s="544" t="s">
        <v>1674</v>
      </c>
      <c r="D230" s="544" t="s">
        <v>2770</v>
      </c>
      <c r="E230" s="542" t="s">
        <v>3313</v>
      </c>
      <c r="G230" s="546"/>
      <c r="H230" s="546">
        <v>9.52</v>
      </c>
      <c r="I230" s="546"/>
      <c r="J230" s="542" t="s">
        <v>806</v>
      </c>
      <c r="K230" s="547">
        <v>8736</v>
      </c>
      <c r="L230" s="542" t="s">
        <v>806</v>
      </c>
      <c r="M230" s="548"/>
      <c r="N230" s="549"/>
      <c r="O230" s="544" t="s">
        <v>1674</v>
      </c>
      <c r="P230" s="544" t="s">
        <v>1674</v>
      </c>
      <c r="Q230" s="544" t="s">
        <v>3314</v>
      </c>
      <c r="R230" s="544" t="s">
        <v>1674</v>
      </c>
      <c r="S230" s="544" t="s">
        <v>1674</v>
      </c>
      <c r="T230" s="550">
        <v>19</v>
      </c>
      <c r="U230" s="544" t="s">
        <v>3315</v>
      </c>
      <c r="V230" s="547">
        <v>73</v>
      </c>
      <c r="W230" s="548"/>
      <c r="Y230" s="544" t="s">
        <v>1674</v>
      </c>
      <c r="AA230" s="544" t="s">
        <v>1674</v>
      </c>
      <c r="AE230" s="551"/>
      <c r="AF230" s="544" t="s">
        <v>1674</v>
      </c>
      <c r="AG230" s="544" t="s">
        <v>1674</v>
      </c>
      <c r="AH230" s="544" t="s">
        <v>1674</v>
      </c>
      <c r="AI230" s="544" t="s">
        <v>1674</v>
      </c>
      <c r="AJ230" s="544" t="s">
        <v>1674</v>
      </c>
      <c r="AK230" s="544" t="s">
        <v>1674</v>
      </c>
      <c r="AL230" s="544" t="s">
        <v>1674</v>
      </c>
      <c r="AM230" s="544" t="s">
        <v>1674</v>
      </c>
      <c r="AN230" s="544" t="s">
        <v>1674</v>
      </c>
      <c r="AP230" s="542">
        <f t="shared" si="8"/>
        <v>0</v>
      </c>
      <c r="AR230" s="552">
        <f t="shared" si="7"/>
        <v>0</v>
      </c>
    </row>
    <row r="231" spans="1:44" outlineLevel="1" x14ac:dyDescent="0.25">
      <c r="A231" s="544" t="s">
        <v>1674</v>
      </c>
      <c r="B231" s="545">
        <v>0</v>
      </c>
      <c r="C231" s="544" t="s">
        <v>1674</v>
      </c>
      <c r="D231" s="544" t="s">
        <v>2770</v>
      </c>
      <c r="E231" s="542" t="s">
        <v>3316</v>
      </c>
      <c r="G231" s="546"/>
      <c r="H231" s="546">
        <v>952</v>
      </c>
      <c r="I231" s="546"/>
      <c r="J231" s="542" t="s">
        <v>806</v>
      </c>
      <c r="K231" s="547">
        <v>1200</v>
      </c>
      <c r="L231" s="542" t="s">
        <v>806</v>
      </c>
      <c r="M231" s="548"/>
      <c r="N231" s="549"/>
      <c r="O231" s="544" t="s">
        <v>1674</v>
      </c>
      <c r="P231" s="544" t="s">
        <v>1674</v>
      </c>
      <c r="Q231" s="544" t="s">
        <v>3317</v>
      </c>
      <c r="R231" s="544" t="s">
        <v>1674</v>
      </c>
      <c r="S231" s="544" t="s">
        <v>1674</v>
      </c>
      <c r="T231" s="550"/>
      <c r="U231" s="544" t="s">
        <v>3315</v>
      </c>
      <c r="V231" s="547">
        <v>1662</v>
      </c>
      <c r="W231" s="548"/>
      <c r="Y231" s="544" t="s">
        <v>1674</v>
      </c>
      <c r="AA231" s="544" t="s">
        <v>1674</v>
      </c>
      <c r="AE231" s="551"/>
      <c r="AF231" s="544" t="s">
        <v>1674</v>
      </c>
      <c r="AG231" s="544" t="s">
        <v>1674</v>
      </c>
      <c r="AH231" s="544" t="s">
        <v>1674</v>
      </c>
      <c r="AI231" s="544" t="s">
        <v>1674</v>
      </c>
      <c r="AJ231" s="544" t="s">
        <v>1674</v>
      </c>
      <c r="AK231" s="544" t="s">
        <v>1674</v>
      </c>
      <c r="AL231" s="544" t="s">
        <v>1674</v>
      </c>
      <c r="AM231" s="544" t="s">
        <v>1674</v>
      </c>
      <c r="AN231" s="544" t="s">
        <v>1674</v>
      </c>
      <c r="AP231" s="542">
        <f t="shared" si="8"/>
        <v>0</v>
      </c>
      <c r="AR231" s="552">
        <f t="shared" si="7"/>
        <v>0</v>
      </c>
    </row>
    <row r="232" spans="1:44" outlineLevel="1" x14ac:dyDescent="0.25">
      <c r="A232" s="544" t="s">
        <v>1674</v>
      </c>
      <c r="B232" s="545">
        <v>0</v>
      </c>
      <c r="C232" s="544" t="s">
        <v>1674</v>
      </c>
      <c r="D232" s="544" t="s">
        <v>2770</v>
      </c>
      <c r="E232" s="542" t="s">
        <v>3318</v>
      </c>
      <c r="G232" s="546"/>
      <c r="H232" s="546">
        <v>952</v>
      </c>
      <c r="I232" s="546"/>
      <c r="J232" s="542" t="s">
        <v>806</v>
      </c>
      <c r="K232" s="547">
        <v>1200</v>
      </c>
      <c r="L232" s="542" t="s">
        <v>806</v>
      </c>
      <c r="M232" s="548"/>
      <c r="N232" s="549"/>
      <c r="O232" s="544" t="s">
        <v>1674</v>
      </c>
      <c r="P232" s="544" t="s">
        <v>1674</v>
      </c>
      <c r="Q232" s="544" t="s">
        <v>3319</v>
      </c>
      <c r="R232" s="544" t="s">
        <v>1674</v>
      </c>
      <c r="S232" s="544" t="s">
        <v>1674</v>
      </c>
      <c r="T232" s="550"/>
      <c r="U232" s="544" t="s">
        <v>3320</v>
      </c>
      <c r="V232" s="547">
        <v>1761</v>
      </c>
      <c r="W232" s="548"/>
      <c r="Y232" s="544" t="s">
        <v>1674</v>
      </c>
      <c r="AA232" s="544" t="s">
        <v>1674</v>
      </c>
      <c r="AE232" s="551"/>
      <c r="AF232" s="544" t="s">
        <v>1674</v>
      </c>
      <c r="AG232" s="544" t="s">
        <v>1674</v>
      </c>
      <c r="AH232" s="544" t="s">
        <v>1674</v>
      </c>
      <c r="AI232" s="544" t="s">
        <v>1674</v>
      </c>
      <c r="AJ232" s="544" t="s">
        <v>1674</v>
      </c>
      <c r="AK232" s="544" t="s">
        <v>1674</v>
      </c>
      <c r="AL232" s="544" t="s">
        <v>1674</v>
      </c>
      <c r="AM232" s="544" t="s">
        <v>1674</v>
      </c>
      <c r="AN232" s="544" t="s">
        <v>1674</v>
      </c>
      <c r="AP232" s="542">
        <f t="shared" si="8"/>
        <v>0</v>
      </c>
      <c r="AR232" s="552">
        <f t="shared" si="7"/>
        <v>0</v>
      </c>
    </row>
    <row r="233" spans="1:44" outlineLevel="1" x14ac:dyDescent="0.25">
      <c r="A233" s="544" t="s">
        <v>1674</v>
      </c>
      <c r="B233" s="545">
        <v>0</v>
      </c>
      <c r="C233" s="544" t="s">
        <v>1674</v>
      </c>
      <c r="D233" s="544" t="s">
        <v>2770</v>
      </c>
      <c r="E233" s="542" t="s">
        <v>3321</v>
      </c>
      <c r="G233" s="546"/>
      <c r="H233" s="546">
        <v>952</v>
      </c>
      <c r="I233" s="546">
        <v>3094</v>
      </c>
      <c r="J233" s="542" t="s">
        <v>2701</v>
      </c>
      <c r="K233" s="547">
        <v>1200</v>
      </c>
      <c r="L233" s="542" t="s">
        <v>806</v>
      </c>
      <c r="M233" s="548"/>
      <c r="N233" s="549"/>
      <c r="O233" s="544" t="s">
        <v>1674</v>
      </c>
      <c r="P233" s="544" t="s">
        <v>1674</v>
      </c>
      <c r="Q233" s="544" t="s">
        <v>3322</v>
      </c>
      <c r="R233" s="544" t="s">
        <v>1674</v>
      </c>
      <c r="S233" s="544" t="s">
        <v>1674</v>
      </c>
      <c r="T233" s="550"/>
      <c r="U233" s="544" t="s">
        <v>3323</v>
      </c>
      <c r="V233" s="547">
        <v>1475</v>
      </c>
      <c r="W233" s="548"/>
      <c r="Y233" s="544" t="s">
        <v>1674</v>
      </c>
      <c r="AA233" s="544" t="s">
        <v>1674</v>
      </c>
      <c r="AE233" s="551"/>
      <c r="AF233" s="544" t="s">
        <v>1674</v>
      </c>
      <c r="AG233" s="544" t="s">
        <v>1674</v>
      </c>
      <c r="AH233" s="544" t="s">
        <v>1674</v>
      </c>
      <c r="AI233" s="544" t="s">
        <v>1674</v>
      </c>
      <c r="AJ233" s="544" t="s">
        <v>1674</v>
      </c>
      <c r="AK233" s="544" t="s">
        <v>1674</v>
      </c>
      <c r="AL233" s="544" t="s">
        <v>1674</v>
      </c>
      <c r="AM233" s="544" t="s">
        <v>1674</v>
      </c>
      <c r="AN233" s="544" t="s">
        <v>1674</v>
      </c>
      <c r="AP233" s="542">
        <f t="shared" si="8"/>
        <v>0</v>
      </c>
      <c r="AR233" s="552">
        <f t="shared" si="7"/>
        <v>3094</v>
      </c>
    </row>
    <row r="234" spans="1:44" outlineLevel="1" x14ac:dyDescent="0.25">
      <c r="A234" s="544" t="s">
        <v>2722</v>
      </c>
      <c r="B234" s="545">
        <v>0</v>
      </c>
      <c r="C234" s="544" t="s">
        <v>1674</v>
      </c>
      <c r="D234" s="544" t="s">
        <v>2773</v>
      </c>
      <c r="E234" s="542" t="s">
        <v>2771</v>
      </c>
      <c r="F234" s="542" t="s">
        <v>2772</v>
      </c>
      <c r="G234" s="546">
        <v>15291.5</v>
      </c>
      <c r="H234" s="546"/>
      <c r="I234" s="546"/>
      <c r="J234" s="542" t="s">
        <v>806</v>
      </c>
      <c r="K234" s="547">
        <v>8820</v>
      </c>
      <c r="L234" s="542" t="s">
        <v>806</v>
      </c>
      <c r="M234" s="548"/>
      <c r="N234" s="549">
        <v>-458</v>
      </c>
      <c r="O234" s="544" t="s">
        <v>1674</v>
      </c>
      <c r="P234" s="544" t="s">
        <v>1674</v>
      </c>
      <c r="Q234" s="544" t="s">
        <v>2720</v>
      </c>
      <c r="R234" s="544" t="s">
        <v>2622</v>
      </c>
      <c r="S234" s="544" t="s">
        <v>1674</v>
      </c>
      <c r="T234" s="550">
        <v>19</v>
      </c>
      <c r="U234" s="544" t="s">
        <v>2685</v>
      </c>
      <c r="V234" s="547">
        <v>1618</v>
      </c>
      <c r="W234" s="548"/>
      <c r="Y234" s="544" t="s">
        <v>1674</v>
      </c>
      <c r="AA234" s="544" t="s">
        <v>1674</v>
      </c>
      <c r="AE234" s="551"/>
      <c r="AF234" s="544" t="s">
        <v>1674</v>
      </c>
      <c r="AG234" s="544" t="s">
        <v>1674</v>
      </c>
      <c r="AH234" s="544" t="s">
        <v>1674</v>
      </c>
      <c r="AI234" s="544" t="s">
        <v>1674</v>
      </c>
      <c r="AJ234" s="544" t="s">
        <v>1674</v>
      </c>
      <c r="AK234" s="544" t="s">
        <v>1674</v>
      </c>
      <c r="AL234" s="544" t="s">
        <v>1674</v>
      </c>
      <c r="AM234" s="544" t="s">
        <v>1674</v>
      </c>
      <c r="AN234" s="544" t="s">
        <v>1674</v>
      </c>
      <c r="AP234" s="542">
        <f t="shared" si="8"/>
        <v>-397</v>
      </c>
      <c r="AR234" s="552">
        <f t="shared" si="7"/>
        <v>0</v>
      </c>
    </row>
    <row r="235" spans="1:44" outlineLevel="1" x14ac:dyDescent="0.25">
      <c r="A235" s="544" t="s">
        <v>2722</v>
      </c>
      <c r="B235" s="545">
        <v>0</v>
      </c>
      <c r="C235" s="544" t="s">
        <v>1674</v>
      </c>
      <c r="D235" s="544" t="s">
        <v>2773</v>
      </c>
      <c r="E235" s="542" t="s">
        <v>2771</v>
      </c>
      <c r="F235" s="542" t="s">
        <v>2772</v>
      </c>
      <c r="G235" s="546">
        <v>3034.5</v>
      </c>
      <c r="H235" s="546"/>
      <c r="I235" s="546"/>
      <c r="J235" s="542" t="s">
        <v>806</v>
      </c>
      <c r="K235" s="547">
        <v>8820</v>
      </c>
      <c r="L235" s="542" t="s">
        <v>806</v>
      </c>
      <c r="M235" s="548"/>
      <c r="N235" s="549">
        <v>-458</v>
      </c>
      <c r="O235" s="544" t="s">
        <v>1674</v>
      </c>
      <c r="P235" s="544" t="s">
        <v>1674</v>
      </c>
      <c r="Q235" s="544" t="s">
        <v>2720</v>
      </c>
      <c r="R235" s="544" t="s">
        <v>1674</v>
      </c>
      <c r="S235" s="544" t="s">
        <v>1674</v>
      </c>
      <c r="T235" s="550">
        <v>19</v>
      </c>
      <c r="U235" s="544" t="s">
        <v>2685</v>
      </c>
      <c r="V235" s="547">
        <v>1619</v>
      </c>
      <c r="W235" s="548"/>
      <c r="Y235" s="544" t="s">
        <v>1674</v>
      </c>
      <c r="AA235" s="544" t="s">
        <v>1674</v>
      </c>
      <c r="AE235" s="551"/>
      <c r="AF235" s="544" t="s">
        <v>1674</v>
      </c>
      <c r="AG235" s="544" t="s">
        <v>1674</v>
      </c>
      <c r="AH235" s="544" t="s">
        <v>1674</v>
      </c>
      <c r="AI235" s="544" t="s">
        <v>1674</v>
      </c>
      <c r="AJ235" s="544" t="s">
        <v>1674</v>
      </c>
      <c r="AK235" s="544" t="s">
        <v>1674</v>
      </c>
      <c r="AL235" s="544" t="s">
        <v>1674</v>
      </c>
      <c r="AM235" s="544" t="s">
        <v>1674</v>
      </c>
      <c r="AN235" s="544" t="s">
        <v>1674</v>
      </c>
      <c r="AP235" s="542">
        <f t="shared" si="8"/>
        <v>-397</v>
      </c>
      <c r="AR235" s="552">
        <f t="shared" si="7"/>
        <v>0</v>
      </c>
    </row>
    <row r="236" spans="1:44" outlineLevel="1" x14ac:dyDescent="0.25">
      <c r="A236" s="544" t="s">
        <v>1674</v>
      </c>
      <c r="B236" s="545">
        <v>0</v>
      </c>
      <c r="C236" s="544" t="s">
        <v>1674</v>
      </c>
      <c r="D236" s="544" t="s">
        <v>2773</v>
      </c>
      <c r="E236" s="542" t="s">
        <v>2683</v>
      </c>
      <c r="G236" s="546"/>
      <c r="H236" s="546">
        <v>942.48</v>
      </c>
      <c r="I236" s="546"/>
      <c r="J236" s="542" t="s">
        <v>806</v>
      </c>
      <c r="K236" s="547">
        <v>1200</v>
      </c>
      <c r="L236" s="542" t="s">
        <v>806</v>
      </c>
      <c r="M236" s="548"/>
      <c r="N236" s="549"/>
      <c r="O236" s="544" t="s">
        <v>1674</v>
      </c>
      <c r="P236" s="544" t="s">
        <v>1674</v>
      </c>
      <c r="Q236" s="544" t="s">
        <v>2684</v>
      </c>
      <c r="R236" s="544" t="s">
        <v>1674</v>
      </c>
      <c r="S236" s="544" t="s">
        <v>1674</v>
      </c>
      <c r="T236" s="550"/>
      <c r="U236" s="544" t="s">
        <v>2685</v>
      </c>
      <c r="V236" s="547">
        <v>1751</v>
      </c>
      <c r="W236" s="548"/>
      <c r="Y236" s="544" t="s">
        <v>1674</v>
      </c>
      <c r="AA236" s="544" t="s">
        <v>1674</v>
      </c>
      <c r="AE236" s="551"/>
      <c r="AF236" s="544" t="s">
        <v>1674</v>
      </c>
      <c r="AG236" s="544" t="s">
        <v>1674</v>
      </c>
      <c r="AH236" s="544" t="s">
        <v>1674</v>
      </c>
      <c r="AI236" s="544" t="s">
        <v>1674</v>
      </c>
      <c r="AJ236" s="544" t="s">
        <v>1674</v>
      </c>
      <c r="AK236" s="544" t="s">
        <v>1674</v>
      </c>
      <c r="AL236" s="544" t="s">
        <v>1674</v>
      </c>
      <c r="AM236" s="544" t="s">
        <v>1674</v>
      </c>
      <c r="AN236" s="544" t="s">
        <v>1674</v>
      </c>
      <c r="AP236" s="542">
        <f t="shared" si="8"/>
        <v>0</v>
      </c>
      <c r="AR236" s="552">
        <f t="shared" si="7"/>
        <v>0</v>
      </c>
    </row>
    <row r="237" spans="1:44" outlineLevel="1" x14ac:dyDescent="0.25">
      <c r="A237" s="544" t="s">
        <v>1674</v>
      </c>
      <c r="B237" s="545">
        <v>0</v>
      </c>
      <c r="C237" s="544" t="s">
        <v>1674</v>
      </c>
      <c r="D237" s="544" t="s">
        <v>2773</v>
      </c>
      <c r="E237" s="542" t="s">
        <v>2683</v>
      </c>
      <c r="G237" s="546"/>
      <c r="H237" s="546">
        <v>9.52</v>
      </c>
      <c r="I237" s="546"/>
      <c r="J237" s="542" t="s">
        <v>806</v>
      </c>
      <c r="K237" s="547">
        <v>8736</v>
      </c>
      <c r="L237" s="542" t="s">
        <v>806</v>
      </c>
      <c r="M237" s="548"/>
      <c r="N237" s="549"/>
      <c r="O237" s="544" t="s">
        <v>1674</v>
      </c>
      <c r="P237" s="544" t="s">
        <v>1674</v>
      </c>
      <c r="Q237" s="544" t="s">
        <v>2684</v>
      </c>
      <c r="R237" s="544" t="s">
        <v>1674</v>
      </c>
      <c r="S237" s="544" t="s">
        <v>1674</v>
      </c>
      <c r="T237" s="550">
        <v>19</v>
      </c>
      <c r="U237" s="544" t="s">
        <v>2685</v>
      </c>
      <c r="V237" s="547">
        <v>1751</v>
      </c>
      <c r="W237" s="548"/>
      <c r="Y237" s="544" t="s">
        <v>1674</v>
      </c>
      <c r="AA237" s="544" t="s">
        <v>1674</v>
      </c>
      <c r="AE237" s="551"/>
      <c r="AF237" s="544" t="s">
        <v>1674</v>
      </c>
      <c r="AG237" s="544" t="s">
        <v>1674</v>
      </c>
      <c r="AH237" s="544" t="s">
        <v>1674</v>
      </c>
      <c r="AI237" s="544" t="s">
        <v>1674</v>
      </c>
      <c r="AJ237" s="544" t="s">
        <v>1674</v>
      </c>
      <c r="AK237" s="544" t="s">
        <v>1674</v>
      </c>
      <c r="AL237" s="544" t="s">
        <v>1674</v>
      </c>
      <c r="AM237" s="544" t="s">
        <v>1674</v>
      </c>
      <c r="AN237" s="544" t="s">
        <v>1674</v>
      </c>
      <c r="AP237" s="542">
        <f t="shared" si="8"/>
        <v>0</v>
      </c>
      <c r="AR237" s="552">
        <f t="shared" si="7"/>
        <v>0</v>
      </c>
    </row>
    <row r="238" spans="1:44" outlineLevel="1" x14ac:dyDescent="0.25">
      <c r="A238" s="544" t="s">
        <v>1674</v>
      </c>
      <c r="B238" s="545">
        <v>0</v>
      </c>
      <c r="C238" s="544" t="s">
        <v>1674</v>
      </c>
      <c r="D238" s="544" t="s">
        <v>2773</v>
      </c>
      <c r="E238" s="542" t="s">
        <v>2686</v>
      </c>
      <c r="G238" s="546"/>
      <c r="H238" s="546">
        <v>942.48</v>
      </c>
      <c r="I238" s="546"/>
      <c r="J238" s="542" t="s">
        <v>806</v>
      </c>
      <c r="K238" s="547">
        <v>1200</v>
      </c>
      <c r="L238" s="542" t="s">
        <v>806</v>
      </c>
      <c r="M238" s="548"/>
      <c r="N238" s="549"/>
      <c r="O238" s="544" t="s">
        <v>1674</v>
      </c>
      <c r="P238" s="544" t="s">
        <v>1674</v>
      </c>
      <c r="Q238" s="544" t="s">
        <v>2687</v>
      </c>
      <c r="R238" s="544" t="s">
        <v>1674</v>
      </c>
      <c r="S238" s="544" t="s">
        <v>1674</v>
      </c>
      <c r="T238" s="550"/>
      <c r="U238" s="544" t="s">
        <v>2688</v>
      </c>
      <c r="V238" s="547">
        <v>1489</v>
      </c>
      <c r="W238" s="548"/>
      <c r="Y238" s="544" t="s">
        <v>1674</v>
      </c>
      <c r="AA238" s="544" t="s">
        <v>1674</v>
      </c>
      <c r="AE238" s="551"/>
      <c r="AF238" s="544" t="s">
        <v>1674</v>
      </c>
      <c r="AG238" s="544" t="s">
        <v>1674</v>
      </c>
      <c r="AH238" s="544" t="s">
        <v>1674</v>
      </c>
      <c r="AI238" s="544" t="s">
        <v>1674</v>
      </c>
      <c r="AJ238" s="544" t="s">
        <v>1674</v>
      </c>
      <c r="AK238" s="544" t="s">
        <v>1674</v>
      </c>
      <c r="AL238" s="544" t="s">
        <v>1674</v>
      </c>
      <c r="AM238" s="544" t="s">
        <v>1674</v>
      </c>
      <c r="AN238" s="544" t="s">
        <v>1674</v>
      </c>
      <c r="AP238" s="542">
        <f t="shared" si="8"/>
        <v>0</v>
      </c>
      <c r="AR238" s="552">
        <f t="shared" si="7"/>
        <v>0</v>
      </c>
    </row>
    <row r="239" spans="1:44" outlineLevel="1" x14ac:dyDescent="0.25">
      <c r="A239" s="544" t="s">
        <v>1674</v>
      </c>
      <c r="B239" s="545">
        <v>0</v>
      </c>
      <c r="C239" s="544" t="s">
        <v>1674</v>
      </c>
      <c r="D239" s="544" t="s">
        <v>2773</v>
      </c>
      <c r="E239" s="542" t="s">
        <v>2686</v>
      </c>
      <c r="G239" s="546"/>
      <c r="H239" s="546">
        <v>9.52</v>
      </c>
      <c r="I239" s="546"/>
      <c r="J239" s="542" t="s">
        <v>806</v>
      </c>
      <c r="K239" s="547">
        <v>8736</v>
      </c>
      <c r="L239" s="542" t="s">
        <v>806</v>
      </c>
      <c r="M239" s="548"/>
      <c r="N239" s="549"/>
      <c r="O239" s="544" t="s">
        <v>1674</v>
      </c>
      <c r="P239" s="544" t="s">
        <v>1674</v>
      </c>
      <c r="Q239" s="544" t="s">
        <v>2687</v>
      </c>
      <c r="R239" s="544" t="s">
        <v>1674</v>
      </c>
      <c r="S239" s="544" t="s">
        <v>1674</v>
      </c>
      <c r="T239" s="550">
        <v>19</v>
      </c>
      <c r="U239" s="544" t="s">
        <v>2688</v>
      </c>
      <c r="V239" s="547">
        <v>1489</v>
      </c>
      <c r="W239" s="548"/>
      <c r="Y239" s="544" t="s">
        <v>1674</v>
      </c>
      <c r="AA239" s="544" t="s">
        <v>1674</v>
      </c>
      <c r="AE239" s="551"/>
      <c r="AF239" s="544" t="s">
        <v>1674</v>
      </c>
      <c r="AG239" s="544" t="s">
        <v>1674</v>
      </c>
      <c r="AH239" s="544" t="s">
        <v>1674</v>
      </c>
      <c r="AI239" s="544" t="s">
        <v>1674</v>
      </c>
      <c r="AJ239" s="544" t="s">
        <v>1674</v>
      </c>
      <c r="AK239" s="544" t="s">
        <v>1674</v>
      </c>
      <c r="AL239" s="544" t="s">
        <v>1674</v>
      </c>
      <c r="AM239" s="544" t="s">
        <v>1674</v>
      </c>
      <c r="AN239" s="544" t="s">
        <v>1674</v>
      </c>
      <c r="AP239" s="542">
        <f t="shared" si="8"/>
        <v>0</v>
      </c>
      <c r="AR239" s="552">
        <f t="shared" si="7"/>
        <v>0</v>
      </c>
    </row>
    <row r="240" spans="1:44" outlineLevel="1" x14ac:dyDescent="0.25">
      <c r="A240" s="544" t="s">
        <v>1674</v>
      </c>
      <c r="B240" s="545">
        <v>0</v>
      </c>
      <c r="C240" s="544" t="s">
        <v>1674</v>
      </c>
      <c r="D240" s="544" t="s">
        <v>2773</v>
      </c>
      <c r="E240" s="542" t="s">
        <v>2689</v>
      </c>
      <c r="G240" s="546"/>
      <c r="H240" s="546">
        <v>942.48</v>
      </c>
      <c r="I240" s="546"/>
      <c r="J240" s="542" t="s">
        <v>806</v>
      </c>
      <c r="K240" s="547">
        <v>1200</v>
      </c>
      <c r="L240" s="542" t="s">
        <v>806</v>
      </c>
      <c r="M240" s="548"/>
      <c r="N240" s="549"/>
      <c r="O240" s="544" t="s">
        <v>1674</v>
      </c>
      <c r="P240" s="544" t="s">
        <v>1674</v>
      </c>
      <c r="Q240" s="544" t="s">
        <v>2690</v>
      </c>
      <c r="R240" s="544" t="s">
        <v>1674</v>
      </c>
      <c r="S240" s="544" t="s">
        <v>1674</v>
      </c>
      <c r="T240" s="550"/>
      <c r="U240" s="544" t="s">
        <v>2691</v>
      </c>
      <c r="V240" s="547">
        <v>1700</v>
      </c>
      <c r="W240" s="548"/>
      <c r="Y240" s="544" t="s">
        <v>1674</v>
      </c>
      <c r="AA240" s="544" t="s">
        <v>1674</v>
      </c>
      <c r="AE240" s="551"/>
      <c r="AF240" s="544" t="s">
        <v>1674</v>
      </c>
      <c r="AG240" s="544" t="s">
        <v>1674</v>
      </c>
      <c r="AH240" s="544" t="s">
        <v>1674</v>
      </c>
      <c r="AI240" s="544" t="s">
        <v>1674</v>
      </c>
      <c r="AJ240" s="544" t="s">
        <v>1674</v>
      </c>
      <c r="AK240" s="544" t="s">
        <v>1674</v>
      </c>
      <c r="AL240" s="544" t="s">
        <v>1674</v>
      </c>
      <c r="AM240" s="544" t="s">
        <v>1674</v>
      </c>
      <c r="AN240" s="544" t="s">
        <v>1674</v>
      </c>
      <c r="AP240" s="542">
        <f t="shared" si="8"/>
        <v>0</v>
      </c>
      <c r="AR240" s="552">
        <f t="shared" si="7"/>
        <v>0</v>
      </c>
    </row>
    <row r="241" spans="1:44" outlineLevel="1" x14ac:dyDescent="0.25">
      <c r="A241" s="544" t="s">
        <v>1674</v>
      </c>
      <c r="B241" s="545">
        <v>0</v>
      </c>
      <c r="C241" s="544" t="s">
        <v>1674</v>
      </c>
      <c r="D241" s="544" t="s">
        <v>2773</v>
      </c>
      <c r="E241" s="542" t="s">
        <v>2689</v>
      </c>
      <c r="G241" s="546"/>
      <c r="H241" s="546">
        <v>9.52</v>
      </c>
      <c r="I241" s="546"/>
      <c r="J241" s="542" t="s">
        <v>806</v>
      </c>
      <c r="K241" s="547">
        <v>8736</v>
      </c>
      <c r="L241" s="542" t="s">
        <v>806</v>
      </c>
      <c r="M241" s="548"/>
      <c r="N241" s="549"/>
      <c r="O241" s="544" t="s">
        <v>1674</v>
      </c>
      <c r="P241" s="544" t="s">
        <v>1674</v>
      </c>
      <c r="Q241" s="544" t="s">
        <v>2690</v>
      </c>
      <c r="R241" s="544" t="s">
        <v>1674</v>
      </c>
      <c r="S241" s="544" t="s">
        <v>1674</v>
      </c>
      <c r="T241" s="550">
        <v>19</v>
      </c>
      <c r="U241" s="544" t="s">
        <v>2691</v>
      </c>
      <c r="V241" s="547">
        <v>1701</v>
      </c>
      <c r="W241" s="548"/>
      <c r="Y241" s="544" t="s">
        <v>1674</v>
      </c>
      <c r="AA241" s="544" t="s">
        <v>1674</v>
      </c>
      <c r="AE241" s="551"/>
      <c r="AF241" s="544" t="s">
        <v>1674</v>
      </c>
      <c r="AG241" s="544" t="s">
        <v>1674</v>
      </c>
      <c r="AH241" s="544" t="s">
        <v>1674</v>
      </c>
      <c r="AI241" s="544" t="s">
        <v>1674</v>
      </c>
      <c r="AJ241" s="544" t="s">
        <v>1674</v>
      </c>
      <c r="AK241" s="544" t="s">
        <v>1674</v>
      </c>
      <c r="AL241" s="544" t="s">
        <v>1674</v>
      </c>
      <c r="AM241" s="544" t="s">
        <v>1674</v>
      </c>
      <c r="AN241" s="544" t="s">
        <v>1674</v>
      </c>
      <c r="AP241" s="542">
        <f t="shared" si="8"/>
        <v>0</v>
      </c>
      <c r="AR241" s="552">
        <f t="shared" si="7"/>
        <v>0</v>
      </c>
    </row>
    <row r="242" spans="1:44" outlineLevel="1" x14ac:dyDescent="0.25">
      <c r="A242" s="544" t="s">
        <v>1674</v>
      </c>
      <c r="B242" s="545">
        <v>0</v>
      </c>
      <c r="C242" s="544" t="s">
        <v>1674</v>
      </c>
      <c r="D242" s="544" t="s">
        <v>2773</v>
      </c>
      <c r="E242" s="542" t="s">
        <v>2692</v>
      </c>
      <c r="G242" s="546"/>
      <c r="H242" s="546">
        <v>942.48</v>
      </c>
      <c r="I242" s="546"/>
      <c r="J242" s="542" t="s">
        <v>806</v>
      </c>
      <c r="K242" s="547">
        <v>1200</v>
      </c>
      <c r="L242" s="542" t="s">
        <v>806</v>
      </c>
      <c r="M242" s="548"/>
      <c r="N242" s="549"/>
      <c r="O242" s="544" t="s">
        <v>1674</v>
      </c>
      <c r="P242" s="544" t="s">
        <v>1674</v>
      </c>
      <c r="Q242" s="544" t="s">
        <v>2693</v>
      </c>
      <c r="R242" s="544" t="s">
        <v>1674</v>
      </c>
      <c r="S242" s="544" t="s">
        <v>1674</v>
      </c>
      <c r="T242" s="550"/>
      <c r="U242" s="544" t="s">
        <v>2694</v>
      </c>
      <c r="V242" s="547">
        <v>1833</v>
      </c>
      <c r="W242" s="548"/>
      <c r="Y242" s="544" t="s">
        <v>1674</v>
      </c>
      <c r="AA242" s="544" t="s">
        <v>1674</v>
      </c>
      <c r="AE242" s="551"/>
      <c r="AF242" s="544" t="s">
        <v>1674</v>
      </c>
      <c r="AG242" s="544" t="s">
        <v>1674</v>
      </c>
      <c r="AH242" s="544" t="s">
        <v>1674</v>
      </c>
      <c r="AI242" s="544" t="s">
        <v>1674</v>
      </c>
      <c r="AJ242" s="544" t="s">
        <v>1674</v>
      </c>
      <c r="AK242" s="544" t="s">
        <v>1674</v>
      </c>
      <c r="AL242" s="544" t="s">
        <v>1674</v>
      </c>
      <c r="AM242" s="544" t="s">
        <v>1674</v>
      </c>
      <c r="AN242" s="544" t="s">
        <v>1674</v>
      </c>
      <c r="AP242" s="542">
        <f t="shared" si="8"/>
        <v>0</v>
      </c>
      <c r="AR242" s="552">
        <f t="shared" si="7"/>
        <v>0</v>
      </c>
    </row>
    <row r="243" spans="1:44" outlineLevel="1" x14ac:dyDescent="0.25">
      <c r="A243" s="544" t="s">
        <v>1674</v>
      </c>
      <c r="B243" s="545">
        <v>0</v>
      </c>
      <c r="C243" s="544" t="s">
        <v>1674</v>
      </c>
      <c r="D243" s="544" t="s">
        <v>2773</v>
      </c>
      <c r="E243" s="542" t="s">
        <v>2692</v>
      </c>
      <c r="G243" s="546"/>
      <c r="H243" s="546">
        <v>9.52</v>
      </c>
      <c r="I243" s="546"/>
      <c r="J243" s="542" t="s">
        <v>806</v>
      </c>
      <c r="K243" s="547">
        <v>8736</v>
      </c>
      <c r="L243" s="542" t="s">
        <v>806</v>
      </c>
      <c r="M243" s="548"/>
      <c r="N243" s="549"/>
      <c r="O243" s="544" t="s">
        <v>1674</v>
      </c>
      <c r="P243" s="544" t="s">
        <v>1674</v>
      </c>
      <c r="Q243" s="544" t="s">
        <v>2693</v>
      </c>
      <c r="R243" s="544" t="s">
        <v>1674</v>
      </c>
      <c r="S243" s="544" t="s">
        <v>1674</v>
      </c>
      <c r="T243" s="550">
        <v>19</v>
      </c>
      <c r="U243" s="544" t="s">
        <v>2694</v>
      </c>
      <c r="V243" s="547">
        <v>1834</v>
      </c>
      <c r="W243" s="548"/>
      <c r="Y243" s="544" t="s">
        <v>1674</v>
      </c>
      <c r="AA243" s="544" t="s">
        <v>1674</v>
      </c>
      <c r="AE243" s="551"/>
      <c r="AF243" s="544" t="s">
        <v>1674</v>
      </c>
      <c r="AG243" s="544" t="s">
        <v>1674</v>
      </c>
      <c r="AH243" s="544" t="s">
        <v>1674</v>
      </c>
      <c r="AI243" s="544" t="s">
        <v>1674</v>
      </c>
      <c r="AJ243" s="544" t="s">
        <v>1674</v>
      </c>
      <c r="AK243" s="544" t="s">
        <v>1674</v>
      </c>
      <c r="AL243" s="544" t="s">
        <v>1674</v>
      </c>
      <c r="AM243" s="544" t="s">
        <v>1674</v>
      </c>
      <c r="AN243" s="544" t="s">
        <v>1674</v>
      </c>
      <c r="AP243" s="542">
        <f t="shared" si="8"/>
        <v>0</v>
      </c>
      <c r="AR243" s="552">
        <f t="shared" si="7"/>
        <v>0</v>
      </c>
    </row>
    <row r="244" spans="1:44" outlineLevel="1" x14ac:dyDescent="0.25">
      <c r="A244" s="544" t="s">
        <v>1674</v>
      </c>
      <c r="B244" s="545">
        <v>0</v>
      </c>
      <c r="C244" s="544" t="s">
        <v>1674</v>
      </c>
      <c r="D244" s="544" t="s">
        <v>2773</v>
      </c>
      <c r="E244" s="542" t="s">
        <v>2695</v>
      </c>
      <c r="G244" s="546"/>
      <c r="H244" s="546">
        <v>942.48</v>
      </c>
      <c r="I244" s="546"/>
      <c r="J244" s="542" t="s">
        <v>806</v>
      </c>
      <c r="K244" s="547">
        <v>1200</v>
      </c>
      <c r="L244" s="542" t="s">
        <v>806</v>
      </c>
      <c r="M244" s="548"/>
      <c r="N244" s="549"/>
      <c r="O244" s="544" t="s">
        <v>1674</v>
      </c>
      <c r="P244" s="544" t="s">
        <v>1674</v>
      </c>
      <c r="Q244" s="544" t="s">
        <v>2696</v>
      </c>
      <c r="R244" s="544" t="s">
        <v>1674</v>
      </c>
      <c r="S244" s="544" t="s">
        <v>1674</v>
      </c>
      <c r="T244" s="550"/>
      <c r="U244" s="544" t="s">
        <v>2697</v>
      </c>
      <c r="V244" s="547">
        <v>1616</v>
      </c>
      <c r="W244" s="548"/>
      <c r="Y244" s="544" t="s">
        <v>1674</v>
      </c>
      <c r="AA244" s="544" t="s">
        <v>1674</v>
      </c>
      <c r="AE244" s="551"/>
      <c r="AF244" s="544" t="s">
        <v>1674</v>
      </c>
      <c r="AG244" s="544" t="s">
        <v>1674</v>
      </c>
      <c r="AH244" s="544" t="s">
        <v>1674</v>
      </c>
      <c r="AI244" s="544" t="s">
        <v>1674</v>
      </c>
      <c r="AJ244" s="544" t="s">
        <v>1674</v>
      </c>
      <c r="AK244" s="544" t="s">
        <v>1674</v>
      </c>
      <c r="AL244" s="544" t="s">
        <v>1674</v>
      </c>
      <c r="AM244" s="544" t="s">
        <v>1674</v>
      </c>
      <c r="AN244" s="544" t="s">
        <v>1674</v>
      </c>
      <c r="AP244" s="542">
        <f t="shared" si="8"/>
        <v>0</v>
      </c>
      <c r="AR244" s="552">
        <f t="shared" si="7"/>
        <v>0</v>
      </c>
    </row>
    <row r="245" spans="1:44" outlineLevel="1" x14ac:dyDescent="0.25">
      <c r="A245" s="544" t="s">
        <v>1674</v>
      </c>
      <c r="B245" s="545">
        <v>0</v>
      </c>
      <c r="C245" s="544" t="s">
        <v>1674</v>
      </c>
      <c r="D245" s="544" t="s">
        <v>2773</v>
      </c>
      <c r="E245" s="542" t="s">
        <v>2695</v>
      </c>
      <c r="G245" s="546"/>
      <c r="H245" s="546">
        <v>9.52</v>
      </c>
      <c r="I245" s="546"/>
      <c r="J245" s="542" t="s">
        <v>806</v>
      </c>
      <c r="K245" s="547">
        <v>8736</v>
      </c>
      <c r="L245" s="542" t="s">
        <v>806</v>
      </c>
      <c r="M245" s="548"/>
      <c r="N245" s="549"/>
      <c r="O245" s="544" t="s">
        <v>1674</v>
      </c>
      <c r="P245" s="544" t="s">
        <v>1674</v>
      </c>
      <c r="Q245" s="544" t="s">
        <v>2696</v>
      </c>
      <c r="R245" s="544" t="s">
        <v>1674</v>
      </c>
      <c r="S245" s="544" t="s">
        <v>1674</v>
      </c>
      <c r="T245" s="550">
        <v>19</v>
      </c>
      <c r="U245" s="544" t="s">
        <v>2697</v>
      </c>
      <c r="V245" s="547">
        <v>1617</v>
      </c>
      <c r="W245" s="548"/>
      <c r="Y245" s="544" t="s">
        <v>1674</v>
      </c>
      <c r="AA245" s="544" t="s">
        <v>1674</v>
      </c>
      <c r="AE245" s="551"/>
      <c r="AF245" s="544" t="s">
        <v>1674</v>
      </c>
      <c r="AG245" s="544" t="s">
        <v>1674</v>
      </c>
      <c r="AH245" s="544" t="s">
        <v>1674</v>
      </c>
      <c r="AI245" s="544" t="s">
        <v>1674</v>
      </c>
      <c r="AJ245" s="544" t="s">
        <v>1674</v>
      </c>
      <c r="AK245" s="544" t="s">
        <v>1674</v>
      </c>
      <c r="AL245" s="544" t="s">
        <v>1674</v>
      </c>
      <c r="AM245" s="544" t="s">
        <v>1674</v>
      </c>
      <c r="AN245" s="544" t="s">
        <v>1674</v>
      </c>
      <c r="AP245" s="542">
        <f t="shared" si="8"/>
        <v>0</v>
      </c>
      <c r="AR245" s="552">
        <f t="shared" si="7"/>
        <v>0</v>
      </c>
    </row>
    <row r="246" spans="1:44" outlineLevel="1" x14ac:dyDescent="0.25">
      <c r="A246" s="544" t="s">
        <v>1674</v>
      </c>
      <c r="B246" s="545">
        <v>0</v>
      </c>
      <c r="C246" s="544" t="s">
        <v>1674</v>
      </c>
      <c r="D246" s="544" t="s">
        <v>2773</v>
      </c>
      <c r="E246" s="542" t="s">
        <v>2698</v>
      </c>
      <c r="G246" s="546"/>
      <c r="H246" s="546">
        <v>942.48</v>
      </c>
      <c r="I246" s="546"/>
      <c r="J246" s="542" t="s">
        <v>806</v>
      </c>
      <c r="K246" s="547">
        <v>1200</v>
      </c>
      <c r="L246" s="542" t="s">
        <v>806</v>
      </c>
      <c r="M246" s="548"/>
      <c r="N246" s="549"/>
      <c r="O246" s="544" t="s">
        <v>1674</v>
      </c>
      <c r="P246" s="544" t="s">
        <v>1674</v>
      </c>
      <c r="Q246" s="544" t="s">
        <v>2699</v>
      </c>
      <c r="R246" s="544" t="s">
        <v>1674</v>
      </c>
      <c r="S246" s="544" t="s">
        <v>1674</v>
      </c>
      <c r="T246" s="550"/>
      <c r="U246" s="544" t="s">
        <v>2700</v>
      </c>
      <c r="V246" s="547">
        <v>1604</v>
      </c>
      <c r="W246" s="548"/>
      <c r="Y246" s="544" t="s">
        <v>1674</v>
      </c>
      <c r="AA246" s="544" t="s">
        <v>1674</v>
      </c>
      <c r="AE246" s="551"/>
      <c r="AF246" s="544" t="s">
        <v>1674</v>
      </c>
      <c r="AG246" s="544" t="s">
        <v>1674</v>
      </c>
      <c r="AH246" s="544" t="s">
        <v>1674</v>
      </c>
      <c r="AI246" s="544" t="s">
        <v>1674</v>
      </c>
      <c r="AJ246" s="544" t="s">
        <v>1674</v>
      </c>
      <c r="AK246" s="544" t="s">
        <v>1674</v>
      </c>
      <c r="AL246" s="544" t="s">
        <v>1674</v>
      </c>
      <c r="AM246" s="544" t="s">
        <v>1674</v>
      </c>
      <c r="AN246" s="544" t="s">
        <v>1674</v>
      </c>
      <c r="AP246" s="542">
        <f t="shared" si="8"/>
        <v>0</v>
      </c>
      <c r="AR246" s="552">
        <f t="shared" si="7"/>
        <v>0</v>
      </c>
    </row>
    <row r="247" spans="1:44" outlineLevel="1" x14ac:dyDescent="0.25">
      <c r="A247" s="544" t="s">
        <v>1674</v>
      </c>
      <c r="B247" s="545">
        <v>0</v>
      </c>
      <c r="C247" s="544" t="s">
        <v>1674</v>
      </c>
      <c r="D247" s="544" t="s">
        <v>2773</v>
      </c>
      <c r="E247" s="542" t="s">
        <v>2698</v>
      </c>
      <c r="G247" s="546"/>
      <c r="H247" s="546">
        <v>9.52</v>
      </c>
      <c r="I247" s="546"/>
      <c r="J247" s="542" t="s">
        <v>806</v>
      </c>
      <c r="K247" s="547">
        <v>8736</v>
      </c>
      <c r="L247" s="542" t="s">
        <v>806</v>
      </c>
      <c r="M247" s="548"/>
      <c r="N247" s="549"/>
      <c r="O247" s="544" t="s">
        <v>1674</v>
      </c>
      <c r="P247" s="544" t="s">
        <v>1674</v>
      </c>
      <c r="Q247" s="544" t="s">
        <v>2699</v>
      </c>
      <c r="R247" s="544" t="s">
        <v>1674</v>
      </c>
      <c r="S247" s="544" t="s">
        <v>1674</v>
      </c>
      <c r="T247" s="550">
        <v>19</v>
      </c>
      <c r="U247" s="544" t="s">
        <v>2700</v>
      </c>
      <c r="V247" s="547">
        <v>1605</v>
      </c>
      <c r="W247" s="548"/>
      <c r="Y247" s="544" t="s">
        <v>1674</v>
      </c>
      <c r="AA247" s="544" t="s">
        <v>1674</v>
      </c>
      <c r="AE247" s="551"/>
      <c r="AF247" s="544" t="s">
        <v>1674</v>
      </c>
      <c r="AG247" s="544" t="s">
        <v>1674</v>
      </c>
      <c r="AH247" s="544" t="s">
        <v>1674</v>
      </c>
      <c r="AI247" s="544" t="s">
        <v>1674</v>
      </c>
      <c r="AJ247" s="544" t="s">
        <v>1674</v>
      </c>
      <c r="AK247" s="544" t="s">
        <v>1674</v>
      </c>
      <c r="AL247" s="544" t="s">
        <v>1674</v>
      </c>
      <c r="AM247" s="544" t="s">
        <v>1674</v>
      </c>
      <c r="AN247" s="544" t="s">
        <v>1674</v>
      </c>
      <c r="AP247" s="542">
        <f t="shared" si="8"/>
        <v>0</v>
      </c>
      <c r="AR247" s="552">
        <f t="shared" si="7"/>
        <v>0</v>
      </c>
    </row>
    <row r="248" spans="1:44" outlineLevel="1" x14ac:dyDescent="0.25">
      <c r="A248" s="544" t="s">
        <v>1674</v>
      </c>
      <c r="B248" s="545">
        <v>0</v>
      </c>
      <c r="C248" s="544" t="s">
        <v>1674</v>
      </c>
      <c r="D248" s="544" t="s">
        <v>2773</v>
      </c>
      <c r="E248" s="542" t="s">
        <v>3296</v>
      </c>
      <c r="G248" s="546"/>
      <c r="H248" s="546">
        <v>942.48</v>
      </c>
      <c r="I248" s="546"/>
      <c r="J248" s="542" t="s">
        <v>806</v>
      </c>
      <c r="K248" s="547">
        <v>1200</v>
      </c>
      <c r="L248" s="542" t="s">
        <v>806</v>
      </c>
      <c r="M248" s="548"/>
      <c r="N248" s="549"/>
      <c r="O248" s="544" t="s">
        <v>1674</v>
      </c>
      <c r="P248" s="544" t="s">
        <v>1674</v>
      </c>
      <c r="Q248" s="544" t="s">
        <v>3302</v>
      </c>
      <c r="R248" s="544" t="s">
        <v>1674</v>
      </c>
      <c r="S248" s="544" t="s">
        <v>1674</v>
      </c>
      <c r="T248" s="550"/>
      <c r="U248" s="544" t="s">
        <v>3303</v>
      </c>
      <c r="V248" s="547">
        <v>1673</v>
      </c>
      <c r="W248" s="548"/>
      <c r="Y248" s="544" t="s">
        <v>1674</v>
      </c>
      <c r="AA248" s="544" t="s">
        <v>1674</v>
      </c>
      <c r="AE248" s="551"/>
      <c r="AF248" s="544" t="s">
        <v>1674</v>
      </c>
      <c r="AG248" s="544" t="s">
        <v>1674</v>
      </c>
      <c r="AH248" s="544" t="s">
        <v>1674</v>
      </c>
      <c r="AI248" s="544" t="s">
        <v>1674</v>
      </c>
      <c r="AJ248" s="544" t="s">
        <v>1674</v>
      </c>
      <c r="AK248" s="544" t="s">
        <v>1674</v>
      </c>
      <c r="AL248" s="544" t="s">
        <v>1674</v>
      </c>
      <c r="AM248" s="544" t="s">
        <v>1674</v>
      </c>
      <c r="AN248" s="544" t="s">
        <v>1674</v>
      </c>
      <c r="AP248" s="542">
        <f t="shared" si="8"/>
        <v>0</v>
      </c>
      <c r="AR248" s="552">
        <f t="shared" si="7"/>
        <v>0</v>
      </c>
    </row>
    <row r="249" spans="1:44" outlineLevel="1" x14ac:dyDescent="0.25">
      <c r="A249" s="544" t="s">
        <v>1674</v>
      </c>
      <c r="B249" s="545">
        <v>0</v>
      </c>
      <c r="C249" s="544" t="s">
        <v>1674</v>
      </c>
      <c r="D249" s="544" t="s">
        <v>2773</v>
      </c>
      <c r="E249" s="542" t="s">
        <v>3296</v>
      </c>
      <c r="G249" s="546"/>
      <c r="H249" s="546">
        <v>9.52</v>
      </c>
      <c r="I249" s="546"/>
      <c r="J249" s="542" t="s">
        <v>806</v>
      </c>
      <c r="K249" s="547">
        <v>8736</v>
      </c>
      <c r="L249" s="542" t="s">
        <v>806</v>
      </c>
      <c r="M249" s="548"/>
      <c r="N249" s="549"/>
      <c r="O249" s="544" t="s">
        <v>1674</v>
      </c>
      <c r="P249" s="544" t="s">
        <v>1674</v>
      </c>
      <c r="Q249" s="544" t="s">
        <v>3302</v>
      </c>
      <c r="R249" s="544" t="s">
        <v>1674</v>
      </c>
      <c r="S249" s="544" t="s">
        <v>1674</v>
      </c>
      <c r="T249" s="550">
        <v>19</v>
      </c>
      <c r="U249" s="544" t="s">
        <v>3303</v>
      </c>
      <c r="V249" s="547">
        <v>1674</v>
      </c>
      <c r="W249" s="548"/>
      <c r="Y249" s="544" t="s">
        <v>1674</v>
      </c>
      <c r="AA249" s="544" t="s">
        <v>1674</v>
      </c>
      <c r="AE249" s="551"/>
      <c r="AF249" s="544" t="s">
        <v>1674</v>
      </c>
      <c r="AG249" s="544" t="s">
        <v>1674</v>
      </c>
      <c r="AH249" s="544" t="s">
        <v>1674</v>
      </c>
      <c r="AI249" s="544" t="s">
        <v>1674</v>
      </c>
      <c r="AJ249" s="544" t="s">
        <v>1674</v>
      </c>
      <c r="AK249" s="544" t="s">
        <v>1674</v>
      </c>
      <c r="AL249" s="544" t="s">
        <v>1674</v>
      </c>
      <c r="AM249" s="544" t="s">
        <v>1674</v>
      </c>
      <c r="AN249" s="544" t="s">
        <v>1674</v>
      </c>
      <c r="AP249" s="542">
        <f t="shared" si="8"/>
        <v>0</v>
      </c>
      <c r="AR249" s="552">
        <f t="shared" si="7"/>
        <v>0</v>
      </c>
    </row>
    <row r="250" spans="1:44" outlineLevel="1" x14ac:dyDescent="0.25">
      <c r="A250" s="544" t="s">
        <v>1674</v>
      </c>
      <c r="B250" s="545">
        <v>0</v>
      </c>
      <c r="C250" s="544" t="s">
        <v>1674</v>
      </c>
      <c r="D250" s="544" t="s">
        <v>2773</v>
      </c>
      <c r="E250" s="542" t="s">
        <v>3304</v>
      </c>
      <c r="G250" s="546"/>
      <c r="H250" s="546">
        <v>942.48</v>
      </c>
      <c r="I250" s="546"/>
      <c r="J250" s="542" t="s">
        <v>806</v>
      </c>
      <c r="K250" s="547">
        <v>1200</v>
      </c>
      <c r="L250" s="542" t="s">
        <v>806</v>
      </c>
      <c r="M250" s="548"/>
      <c r="N250" s="549"/>
      <c r="O250" s="544" t="s">
        <v>1674</v>
      </c>
      <c r="P250" s="544" t="s">
        <v>1674</v>
      </c>
      <c r="Q250" s="544" t="s">
        <v>3305</v>
      </c>
      <c r="R250" s="544" t="s">
        <v>1674</v>
      </c>
      <c r="S250" s="544" t="s">
        <v>1674</v>
      </c>
      <c r="T250" s="550"/>
      <c r="U250" s="544" t="s">
        <v>3306</v>
      </c>
      <c r="V250" s="547">
        <v>1617</v>
      </c>
      <c r="W250" s="548"/>
      <c r="Y250" s="544" t="s">
        <v>1674</v>
      </c>
      <c r="AA250" s="544" t="s">
        <v>1674</v>
      </c>
      <c r="AE250" s="551"/>
      <c r="AF250" s="544" t="s">
        <v>1674</v>
      </c>
      <c r="AG250" s="544" t="s">
        <v>1674</v>
      </c>
      <c r="AH250" s="544" t="s">
        <v>1674</v>
      </c>
      <c r="AI250" s="544" t="s">
        <v>1674</v>
      </c>
      <c r="AJ250" s="544" t="s">
        <v>1674</v>
      </c>
      <c r="AK250" s="544" t="s">
        <v>1674</v>
      </c>
      <c r="AL250" s="544" t="s">
        <v>1674</v>
      </c>
      <c r="AM250" s="544" t="s">
        <v>1674</v>
      </c>
      <c r="AN250" s="544" t="s">
        <v>1674</v>
      </c>
      <c r="AP250" s="542">
        <f t="shared" si="8"/>
        <v>0</v>
      </c>
      <c r="AR250" s="552">
        <f t="shared" si="7"/>
        <v>0</v>
      </c>
    </row>
    <row r="251" spans="1:44" outlineLevel="1" x14ac:dyDescent="0.25">
      <c r="A251" s="544" t="s">
        <v>1674</v>
      </c>
      <c r="B251" s="545">
        <v>0</v>
      </c>
      <c r="C251" s="544" t="s">
        <v>1674</v>
      </c>
      <c r="D251" s="544" t="s">
        <v>2773</v>
      </c>
      <c r="E251" s="542" t="s">
        <v>3304</v>
      </c>
      <c r="G251" s="546"/>
      <c r="H251" s="546">
        <v>9.52</v>
      </c>
      <c r="I251" s="546"/>
      <c r="J251" s="542" t="s">
        <v>806</v>
      </c>
      <c r="K251" s="547">
        <v>8736</v>
      </c>
      <c r="L251" s="542" t="s">
        <v>806</v>
      </c>
      <c r="M251" s="548"/>
      <c r="N251" s="549"/>
      <c r="O251" s="544" t="s">
        <v>1674</v>
      </c>
      <c r="P251" s="544" t="s">
        <v>1674</v>
      </c>
      <c r="Q251" s="544" t="s">
        <v>3305</v>
      </c>
      <c r="R251" s="544" t="s">
        <v>1674</v>
      </c>
      <c r="S251" s="544" t="s">
        <v>1674</v>
      </c>
      <c r="T251" s="550">
        <v>19</v>
      </c>
      <c r="U251" s="544" t="s">
        <v>3306</v>
      </c>
      <c r="V251" s="547">
        <v>1618</v>
      </c>
      <c r="W251" s="548"/>
      <c r="Y251" s="544" t="s">
        <v>1674</v>
      </c>
      <c r="AA251" s="544" t="s">
        <v>1674</v>
      </c>
      <c r="AE251" s="551"/>
      <c r="AF251" s="544" t="s">
        <v>1674</v>
      </c>
      <c r="AG251" s="544" t="s">
        <v>1674</v>
      </c>
      <c r="AH251" s="544" t="s">
        <v>1674</v>
      </c>
      <c r="AI251" s="544" t="s">
        <v>1674</v>
      </c>
      <c r="AJ251" s="544" t="s">
        <v>1674</v>
      </c>
      <c r="AK251" s="544" t="s">
        <v>1674</v>
      </c>
      <c r="AL251" s="544" t="s">
        <v>1674</v>
      </c>
      <c r="AM251" s="544" t="s">
        <v>1674</v>
      </c>
      <c r="AN251" s="544" t="s">
        <v>1674</v>
      </c>
      <c r="AP251" s="542">
        <f t="shared" si="8"/>
        <v>0</v>
      </c>
      <c r="AR251" s="552">
        <f t="shared" si="7"/>
        <v>0</v>
      </c>
    </row>
    <row r="252" spans="1:44" outlineLevel="1" x14ac:dyDescent="0.25">
      <c r="A252" s="544" t="s">
        <v>1674</v>
      </c>
      <c r="B252" s="545">
        <v>0</v>
      </c>
      <c r="C252" s="544" t="s">
        <v>1674</v>
      </c>
      <c r="D252" s="544" t="s">
        <v>2773</v>
      </c>
      <c r="E252" s="542" t="s">
        <v>3307</v>
      </c>
      <c r="G252" s="546"/>
      <c r="H252" s="546">
        <v>942.48</v>
      </c>
      <c r="I252" s="546"/>
      <c r="J252" s="542" t="s">
        <v>806</v>
      </c>
      <c r="K252" s="547">
        <v>1200</v>
      </c>
      <c r="L252" s="542" t="s">
        <v>806</v>
      </c>
      <c r="M252" s="548"/>
      <c r="N252" s="549"/>
      <c r="O252" s="544" t="s">
        <v>1674</v>
      </c>
      <c r="P252" s="544" t="s">
        <v>1674</v>
      </c>
      <c r="Q252" s="544" t="s">
        <v>3308</v>
      </c>
      <c r="R252" s="544" t="s">
        <v>1674</v>
      </c>
      <c r="S252" s="544" t="s">
        <v>1674</v>
      </c>
      <c r="T252" s="550"/>
      <c r="U252" s="544" t="s">
        <v>3309</v>
      </c>
      <c r="V252" s="547">
        <v>1679</v>
      </c>
      <c r="W252" s="548"/>
      <c r="Y252" s="544" t="s">
        <v>1674</v>
      </c>
      <c r="AA252" s="544" t="s">
        <v>1674</v>
      </c>
      <c r="AE252" s="551"/>
      <c r="AF252" s="544" t="s">
        <v>1674</v>
      </c>
      <c r="AG252" s="544" t="s">
        <v>1674</v>
      </c>
      <c r="AH252" s="544" t="s">
        <v>1674</v>
      </c>
      <c r="AI252" s="544" t="s">
        <v>1674</v>
      </c>
      <c r="AJ252" s="544" t="s">
        <v>1674</v>
      </c>
      <c r="AK252" s="544" t="s">
        <v>1674</v>
      </c>
      <c r="AL252" s="544" t="s">
        <v>1674</v>
      </c>
      <c r="AM252" s="544" t="s">
        <v>1674</v>
      </c>
      <c r="AN252" s="544" t="s">
        <v>1674</v>
      </c>
      <c r="AP252" s="542">
        <f t="shared" si="8"/>
        <v>0</v>
      </c>
      <c r="AR252" s="552">
        <f t="shared" si="7"/>
        <v>0</v>
      </c>
    </row>
    <row r="253" spans="1:44" outlineLevel="1" x14ac:dyDescent="0.25">
      <c r="A253" s="544" t="s">
        <v>1674</v>
      </c>
      <c r="B253" s="545">
        <v>0</v>
      </c>
      <c r="C253" s="544" t="s">
        <v>1674</v>
      </c>
      <c r="D253" s="544" t="s">
        <v>2773</v>
      </c>
      <c r="E253" s="542" t="s">
        <v>3307</v>
      </c>
      <c r="G253" s="546"/>
      <c r="H253" s="546">
        <v>9.52</v>
      </c>
      <c r="I253" s="546"/>
      <c r="J253" s="542" t="s">
        <v>806</v>
      </c>
      <c r="K253" s="547">
        <v>8736</v>
      </c>
      <c r="L253" s="542" t="s">
        <v>806</v>
      </c>
      <c r="M253" s="548"/>
      <c r="N253" s="549"/>
      <c r="O253" s="544" t="s">
        <v>1674</v>
      </c>
      <c r="P253" s="544" t="s">
        <v>1674</v>
      </c>
      <c r="Q253" s="544" t="s">
        <v>3308</v>
      </c>
      <c r="R253" s="544" t="s">
        <v>1674</v>
      </c>
      <c r="S253" s="544" t="s">
        <v>1674</v>
      </c>
      <c r="T253" s="550">
        <v>19</v>
      </c>
      <c r="U253" s="544" t="s">
        <v>3309</v>
      </c>
      <c r="V253" s="547">
        <v>1680</v>
      </c>
      <c r="W253" s="548"/>
      <c r="Y253" s="544" t="s">
        <v>1674</v>
      </c>
      <c r="AA253" s="544" t="s">
        <v>1674</v>
      </c>
      <c r="AE253" s="551"/>
      <c r="AF253" s="544" t="s">
        <v>1674</v>
      </c>
      <c r="AG253" s="544" t="s">
        <v>1674</v>
      </c>
      <c r="AH253" s="544" t="s">
        <v>1674</v>
      </c>
      <c r="AI253" s="544" t="s">
        <v>1674</v>
      </c>
      <c r="AJ253" s="544" t="s">
        <v>1674</v>
      </c>
      <c r="AK253" s="544" t="s">
        <v>1674</v>
      </c>
      <c r="AL253" s="544" t="s">
        <v>1674</v>
      </c>
      <c r="AM253" s="544" t="s">
        <v>1674</v>
      </c>
      <c r="AN253" s="544" t="s">
        <v>1674</v>
      </c>
      <c r="AP253" s="542">
        <f t="shared" si="8"/>
        <v>0</v>
      </c>
      <c r="AR253" s="552">
        <f t="shared" si="7"/>
        <v>0</v>
      </c>
    </row>
    <row r="254" spans="1:44" outlineLevel="1" x14ac:dyDescent="0.25">
      <c r="A254" s="544" t="s">
        <v>1674</v>
      </c>
      <c r="B254" s="545">
        <v>0</v>
      </c>
      <c r="C254" s="544" t="s">
        <v>1674</v>
      </c>
      <c r="D254" s="544" t="s">
        <v>2773</v>
      </c>
      <c r="E254" s="542" t="s">
        <v>3310</v>
      </c>
      <c r="G254" s="546"/>
      <c r="H254" s="546">
        <v>952</v>
      </c>
      <c r="I254" s="546"/>
      <c r="J254" s="542" t="s">
        <v>806</v>
      </c>
      <c r="K254" s="547">
        <v>1200</v>
      </c>
      <c r="L254" s="542" t="s">
        <v>806</v>
      </c>
      <c r="M254" s="548"/>
      <c r="N254" s="549"/>
      <c r="O254" s="544" t="s">
        <v>1674</v>
      </c>
      <c r="P254" s="544" t="s">
        <v>1674</v>
      </c>
      <c r="Q254" s="544" t="s">
        <v>3311</v>
      </c>
      <c r="R254" s="544" t="s">
        <v>1674</v>
      </c>
      <c r="S254" s="544" t="s">
        <v>1674</v>
      </c>
      <c r="T254" s="550"/>
      <c r="U254" s="544" t="s">
        <v>3312</v>
      </c>
      <c r="V254" s="547">
        <v>1870</v>
      </c>
      <c r="W254" s="548"/>
      <c r="Y254" s="544" t="s">
        <v>1674</v>
      </c>
      <c r="AA254" s="544" t="s">
        <v>1674</v>
      </c>
      <c r="AE254" s="551"/>
      <c r="AF254" s="544" t="s">
        <v>1674</v>
      </c>
      <c r="AG254" s="544" t="s">
        <v>1674</v>
      </c>
      <c r="AH254" s="544" t="s">
        <v>1674</v>
      </c>
      <c r="AI254" s="544" t="s">
        <v>1674</v>
      </c>
      <c r="AJ254" s="544" t="s">
        <v>1674</v>
      </c>
      <c r="AK254" s="544" t="s">
        <v>1674</v>
      </c>
      <c r="AL254" s="544" t="s">
        <v>1674</v>
      </c>
      <c r="AM254" s="544" t="s">
        <v>1674</v>
      </c>
      <c r="AN254" s="544" t="s">
        <v>1674</v>
      </c>
      <c r="AP254" s="542">
        <f t="shared" si="8"/>
        <v>0</v>
      </c>
      <c r="AR254" s="552">
        <f t="shared" si="7"/>
        <v>0</v>
      </c>
    </row>
    <row r="255" spans="1:44" outlineLevel="1" x14ac:dyDescent="0.25">
      <c r="A255" s="544" t="s">
        <v>1674</v>
      </c>
      <c r="B255" s="545">
        <v>0</v>
      </c>
      <c r="C255" s="544" t="s">
        <v>1674</v>
      </c>
      <c r="D255" s="544" t="s">
        <v>2773</v>
      </c>
      <c r="E255" s="542" t="s">
        <v>3313</v>
      </c>
      <c r="G255" s="546"/>
      <c r="H255" s="546">
        <v>942.48</v>
      </c>
      <c r="I255" s="546"/>
      <c r="J255" s="542" t="s">
        <v>806</v>
      </c>
      <c r="K255" s="547">
        <v>1200</v>
      </c>
      <c r="L255" s="542" t="s">
        <v>806</v>
      </c>
      <c r="M255" s="548"/>
      <c r="N255" s="549"/>
      <c r="O255" s="544" t="s">
        <v>1674</v>
      </c>
      <c r="P255" s="544" t="s">
        <v>1674</v>
      </c>
      <c r="Q255" s="544" t="s">
        <v>3314</v>
      </c>
      <c r="R255" s="544" t="s">
        <v>1674</v>
      </c>
      <c r="S255" s="544" t="s">
        <v>1674</v>
      </c>
      <c r="T255" s="550"/>
      <c r="U255" s="544" t="s">
        <v>3315</v>
      </c>
      <c r="V255" s="547">
        <v>70</v>
      </c>
      <c r="W255" s="548"/>
      <c r="Y255" s="544" t="s">
        <v>1674</v>
      </c>
      <c r="AA255" s="544" t="s">
        <v>1674</v>
      </c>
      <c r="AE255" s="551"/>
      <c r="AF255" s="544" t="s">
        <v>1674</v>
      </c>
      <c r="AG255" s="544" t="s">
        <v>1674</v>
      </c>
      <c r="AH255" s="544" t="s">
        <v>1674</v>
      </c>
      <c r="AI255" s="544" t="s">
        <v>1674</v>
      </c>
      <c r="AJ255" s="544" t="s">
        <v>1674</v>
      </c>
      <c r="AK255" s="544" t="s">
        <v>1674</v>
      </c>
      <c r="AL255" s="544" t="s">
        <v>1674</v>
      </c>
      <c r="AM255" s="544" t="s">
        <v>1674</v>
      </c>
      <c r="AN255" s="544" t="s">
        <v>1674</v>
      </c>
      <c r="AP255" s="542">
        <f t="shared" si="8"/>
        <v>0</v>
      </c>
      <c r="AR255" s="552">
        <f t="shared" si="7"/>
        <v>0</v>
      </c>
    </row>
    <row r="256" spans="1:44" outlineLevel="1" x14ac:dyDescent="0.25">
      <c r="A256" s="544" t="s">
        <v>1674</v>
      </c>
      <c r="B256" s="545">
        <v>0</v>
      </c>
      <c r="C256" s="544" t="s">
        <v>1674</v>
      </c>
      <c r="D256" s="544" t="s">
        <v>2773</v>
      </c>
      <c r="E256" s="542" t="s">
        <v>3313</v>
      </c>
      <c r="G256" s="546"/>
      <c r="H256" s="546">
        <v>9.52</v>
      </c>
      <c r="I256" s="546"/>
      <c r="J256" s="542" t="s">
        <v>806</v>
      </c>
      <c r="K256" s="547">
        <v>8736</v>
      </c>
      <c r="L256" s="542" t="s">
        <v>806</v>
      </c>
      <c r="M256" s="548"/>
      <c r="N256" s="549"/>
      <c r="O256" s="544" t="s">
        <v>1674</v>
      </c>
      <c r="P256" s="544" t="s">
        <v>1674</v>
      </c>
      <c r="Q256" s="544" t="s">
        <v>3314</v>
      </c>
      <c r="R256" s="544" t="s">
        <v>1674</v>
      </c>
      <c r="S256" s="544" t="s">
        <v>1674</v>
      </c>
      <c r="T256" s="550">
        <v>19</v>
      </c>
      <c r="U256" s="544" t="s">
        <v>3315</v>
      </c>
      <c r="V256" s="547">
        <v>71</v>
      </c>
      <c r="W256" s="548"/>
      <c r="Y256" s="544" t="s">
        <v>1674</v>
      </c>
      <c r="AA256" s="544" t="s">
        <v>1674</v>
      </c>
      <c r="AE256" s="551"/>
      <c r="AF256" s="544" t="s">
        <v>1674</v>
      </c>
      <c r="AG256" s="544" t="s">
        <v>1674</v>
      </c>
      <c r="AH256" s="544" t="s">
        <v>1674</v>
      </c>
      <c r="AI256" s="544" t="s">
        <v>1674</v>
      </c>
      <c r="AJ256" s="544" t="s">
        <v>1674</v>
      </c>
      <c r="AK256" s="544" t="s">
        <v>1674</v>
      </c>
      <c r="AL256" s="544" t="s">
        <v>1674</v>
      </c>
      <c r="AM256" s="544" t="s">
        <v>1674</v>
      </c>
      <c r="AN256" s="544" t="s">
        <v>1674</v>
      </c>
      <c r="AP256" s="542">
        <f t="shared" si="8"/>
        <v>0</v>
      </c>
      <c r="AR256" s="552">
        <f t="shared" si="7"/>
        <v>0</v>
      </c>
    </row>
    <row r="257" spans="1:44" outlineLevel="1" x14ac:dyDescent="0.25">
      <c r="A257" s="544" t="s">
        <v>1674</v>
      </c>
      <c r="B257" s="545">
        <v>0</v>
      </c>
      <c r="C257" s="544" t="s">
        <v>1674</v>
      </c>
      <c r="D257" s="544" t="s">
        <v>2773</v>
      </c>
      <c r="E257" s="542" t="s">
        <v>3316</v>
      </c>
      <c r="G257" s="546"/>
      <c r="H257" s="546">
        <v>952</v>
      </c>
      <c r="I257" s="546"/>
      <c r="J257" s="542" t="s">
        <v>806</v>
      </c>
      <c r="K257" s="547">
        <v>1200</v>
      </c>
      <c r="L257" s="542" t="s">
        <v>806</v>
      </c>
      <c r="M257" s="548"/>
      <c r="N257" s="549"/>
      <c r="O257" s="544" t="s">
        <v>1674</v>
      </c>
      <c r="P257" s="544" t="s">
        <v>1674</v>
      </c>
      <c r="Q257" s="544" t="s">
        <v>3317</v>
      </c>
      <c r="R257" s="544" t="s">
        <v>1674</v>
      </c>
      <c r="S257" s="544" t="s">
        <v>1674</v>
      </c>
      <c r="T257" s="550"/>
      <c r="U257" s="544" t="s">
        <v>3315</v>
      </c>
      <c r="V257" s="547">
        <v>1661</v>
      </c>
      <c r="W257" s="548"/>
      <c r="Y257" s="544" t="s">
        <v>1674</v>
      </c>
      <c r="AA257" s="544" t="s">
        <v>1674</v>
      </c>
      <c r="AE257" s="551"/>
      <c r="AF257" s="544" t="s">
        <v>1674</v>
      </c>
      <c r="AG257" s="544" t="s">
        <v>1674</v>
      </c>
      <c r="AH257" s="544" t="s">
        <v>1674</v>
      </c>
      <c r="AI257" s="544" t="s">
        <v>1674</v>
      </c>
      <c r="AJ257" s="544" t="s">
        <v>1674</v>
      </c>
      <c r="AK257" s="544" t="s">
        <v>1674</v>
      </c>
      <c r="AL257" s="544" t="s">
        <v>1674</v>
      </c>
      <c r="AM257" s="544" t="s">
        <v>1674</v>
      </c>
      <c r="AN257" s="544" t="s">
        <v>1674</v>
      </c>
      <c r="AP257" s="542">
        <f t="shared" si="8"/>
        <v>0</v>
      </c>
      <c r="AR257" s="552">
        <f t="shared" si="7"/>
        <v>0</v>
      </c>
    </row>
    <row r="258" spans="1:44" outlineLevel="1" x14ac:dyDescent="0.25">
      <c r="A258" s="544" t="s">
        <v>1674</v>
      </c>
      <c r="B258" s="545">
        <v>0</v>
      </c>
      <c r="C258" s="544" t="s">
        <v>1674</v>
      </c>
      <c r="D258" s="544" t="s">
        <v>2773</v>
      </c>
      <c r="E258" s="542" t="s">
        <v>3318</v>
      </c>
      <c r="G258" s="546"/>
      <c r="H258" s="546">
        <v>952</v>
      </c>
      <c r="I258" s="546"/>
      <c r="J258" s="542" t="s">
        <v>806</v>
      </c>
      <c r="K258" s="547">
        <v>1200</v>
      </c>
      <c r="L258" s="542" t="s">
        <v>806</v>
      </c>
      <c r="M258" s="548"/>
      <c r="N258" s="549"/>
      <c r="O258" s="544" t="s">
        <v>1674</v>
      </c>
      <c r="P258" s="544" t="s">
        <v>1674</v>
      </c>
      <c r="Q258" s="544" t="s">
        <v>3319</v>
      </c>
      <c r="R258" s="544" t="s">
        <v>1674</v>
      </c>
      <c r="S258" s="544" t="s">
        <v>1674</v>
      </c>
      <c r="T258" s="550"/>
      <c r="U258" s="544" t="s">
        <v>3320</v>
      </c>
      <c r="V258" s="547">
        <v>1755</v>
      </c>
      <c r="W258" s="548"/>
      <c r="Y258" s="544" t="s">
        <v>1674</v>
      </c>
      <c r="AA258" s="544" t="s">
        <v>1674</v>
      </c>
      <c r="AE258" s="551"/>
      <c r="AF258" s="544" t="s">
        <v>1674</v>
      </c>
      <c r="AG258" s="544" t="s">
        <v>1674</v>
      </c>
      <c r="AH258" s="544" t="s">
        <v>1674</v>
      </c>
      <c r="AI258" s="544" t="s">
        <v>1674</v>
      </c>
      <c r="AJ258" s="544" t="s">
        <v>1674</v>
      </c>
      <c r="AK258" s="544" t="s">
        <v>1674</v>
      </c>
      <c r="AL258" s="544" t="s">
        <v>1674</v>
      </c>
      <c r="AM258" s="544" t="s">
        <v>1674</v>
      </c>
      <c r="AN258" s="544" t="s">
        <v>1674</v>
      </c>
      <c r="AP258" s="542">
        <f t="shared" si="8"/>
        <v>0</v>
      </c>
      <c r="AR258" s="552">
        <f t="shared" si="7"/>
        <v>0</v>
      </c>
    </row>
    <row r="259" spans="1:44" outlineLevel="1" x14ac:dyDescent="0.25">
      <c r="A259" s="544" t="s">
        <v>1674</v>
      </c>
      <c r="B259" s="545">
        <v>0</v>
      </c>
      <c r="C259" s="544" t="s">
        <v>1674</v>
      </c>
      <c r="D259" s="544" t="s">
        <v>2773</v>
      </c>
      <c r="E259" s="542" t="s">
        <v>3321</v>
      </c>
      <c r="G259" s="546"/>
      <c r="H259" s="546">
        <v>952</v>
      </c>
      <c r="I259" s="546">
        <v>4998</v>
      </c>
      <c r="J259" s="542" t="s">
        <v>2701</v>
      </c>
      <c r="K259" s="547">
        <v>1200</v>
      </c>
      <c r="L259" s="542" t="s">
        <v>806</v>
      </c>
      <c r="M259" s="548"/>
      <c r="N259" s="549"/>
      <c r="O259" s="544" t="s">
        <v>1674</v>
      </c>
      <c r="P259" s="544" t="s">
        <v>1674</v>
      </c>
      <c r="Q259" s="544" t="s">
        <v>3322</v>
      </c>
      <c r="R259" s="544" t="s">
        <v>1674</v>
      </c>
      <c r="S259" s="544" t="s">
        <v>1674</v>
      </c>
      <c r="T259" s="550"/>
      <c r="U259" s="544" t="s">
        <v>3323</v>
      </c>
      <c r="V259" s="547">
        <v>1474</v>
      </c>
      <c r="W259" s="548"/>
      <c r="Y259" s="544" t="s">
        <v>1674</v>
      </c>
      <c r="AA259" s="544" t="s">
        <v>1674</v>
      </c>
      <c r="AE259" s="551"/>
      <c r="AF259" s="544" t="s">
        <v>1674</v>
      </c>
      <c r="AG259" s="544" t="s">
        <v>1674</v>
      </c>
      <c r="AH259" s="544" t="s">
        <v>1674</v>
      </c>
      <c r="AI259" s="544" t="s">
        <v>1674</v>
      </c>
      <c r="AJ259" s="544" t="s">
        <v>1674</v>
      </c>
      <c r="AK259" s="544" t="s">
        <v>1674</v>
      </c>
      <c r="AL259" s="544" t="s">
        <v>1674</v>
      </c>
      <c r="AM259" s="544" t="s">
        <v>1674</v>
      </c>
      <c r="AN259" s="544" t="s">
        <v>1674</v>
      </c>
      <c r="AP259" s="542">
        <f t="shared" si="8"/>
        <v>0</v>
      </c>
      <c r="AR259" s="552">
        <f t="shared" si="7"/>
        <v>4998</v>
      </c>
    </row>
    <row r="260" spans="1:44" outlineLevel="1" x14ac:dyDescent="0.25">
      <c r="A260" s="544" t="s">
        <v>1674</v>
      </c>
      <c r="B260" s="545">
        <v>10200</v>
      </c>
      <c r="C260" s="544" t="s">
        <v>2774</v>
      </c>
      <c r="D260" s="544" t="s">
        <v>2775</v>
      </c>
      <c r="E260" s="542" t="s">
        <v>2683</v>
      </c>
      <c r="F260" s="542" t="s">
        <v>2686</v>
      </c>
      <c r="G260" s="546">
        <v>220.49</v>
      </c>
      <c r="H260" s="546"/>
      <c r="I260" s="546"/>
      <c r="J260" s="542" t="s">
        <v>806</v>
      </c>
      <c r="K260" s="547">
        <v>8400</v>
      </c>
      <c r="L260" s="542" t="s">
        <v>806</v>
      </c>
      <c r="M260" s="548"/>
      <c r="N260" s="549">
        <v>-457</v>
      </c>
      <c r="O260" s="544" t="s">
        <v>1674</v>
      </c>
      <c r="P260" s="544" t="s">
        <v>1674</v>
      </c>
      <c r="Q260" s="544" t="s">
        <v>2776</v>
      </c>
      <c r="R260" s="544" t="s">
        <v>1674</v>
      </c>
      <c r="S260" s="544" t="s">
        <v>1674</v>
      </c>
      <c r="T260" s="550">
        <v>19</v>
      </c>
      <c r="U260" s="544" t="s">
        <v>2685</v>
      </c>
      <c r="V260" s="547">
        <v>1641</v>
      </c>
      <c r="W260" s="548"/>
      <c r="Y260" s="544" t="s">
        <v>1674</v>
      </c>
      <c r="AA260" s="544" t="s">
        <v>1674</v>
      </c>
      <c r="AE260" s="551"/>
      <c r="AF260" s="544" t="s">
        <v>1674</v>
      </c>
      <c r="AG260" s="544" t="s">
        <v>1674</v>
      </c>
      <c r="AH260" s="544" t="s">
        <v>1674</v>
      </c>
      <c r="AI260" s="544" t="s">
        <v>1674</v>
      </c>
      <c r="AJ260" s="544" t="s">
        <v>1674</v>
      </c>
      <c r="AK260" s="544" t="s">
        <v>1674</v>
      </c>
      <c r="AL260" s="544" t="s">
        <v>1674</v>
      </c>
      <c r="AM260" s="544" t="s">
        <v>2774</v>
      </c>
      <c r="AN260" s="544" t="s">
        <v>1674</v>
      </c>
      <c r="AP260" s="542">
        <f t="shared" si="8"/>
        <v>-396</v>
      </c>
      <c r="AR260" s="552">
        <f t="shared" ref="AR260:AR323" si="9">IF(J260="S",+I260,-I260)</f>
        <v>0</v>
      </c>
    </row>
    <row r="261" spans="1:44" outlineLevel="1" x14ac:dyDescent="0.25">
      <c r="A261" s="544" t="s">
        <v>1674</v>
      </c>
      <c r="B261" s="545">
        <v>0</v>
      </c>
      <c r="C261" s="544" t="s">
        <v>1674</v>
      </c>
      <c r="D261" s="544" t="s">
        <v>2775</v>
      </c>
      <c r="E261" s="542" t="s">
        <v>2683</v>
      </c>
      <c r="F261" s="542" t="s">
        <v>2686</v>
      </c>
      <c r="G261" s="546">
        <v>20.57</v>
      </c>
      <c r="H261" s="546"/>
      <c r="I261" s="546"/>
      <c r="J261" s="542" t="s">
        <v>806</v>
      </c>
      <c r="K261" s="547">
        <v>8400</v>
      </c>
      <c r="L261" s="542" t="s">
        <v>806</v>
      </c>
      <c r="M261" s="548"/>
      <c r="N261" s="549">
        <v>-457</v>
      </c>
      <c r="O261" s="544" t="s">
        <v>1674</v>
      </c>
      <c r="P261" s="544" t="s">
        <v>1674</v>
      </c>
      <c r="Q261" s="544" t="s">
        <v>2776</v>
      </c>
      <c r="R261" s="544" t="s">
        <v>2617</v>
      </c>
      <c r="S261" s="544" t="s">
        <v>1674</v>
      </c>
      <c r="T261" s="550">
        <v>19</v>
      </c>
      <c r="U261" s="544" t="s">
        <v>2685</v>
      </c>
      <c r="V261" s="547">
        <v>1642</v>
      </c>
      <c r="W261" s="548"/>
      <c r="Y261" s="544" t="s">
        <v>1674</v>
      </c>
      <c r="AA261" s="544" t="s">
        <v>1674</v>
      </c>
      <c r="AE261" s="551"/>
      <c r="AF261" s="544" t="s">
        <v>1674</v>
      </c>
      <c r="AG261" s="544" t="s">
        <v>1674</v>
      </c>
      <c r="AH261" s="544" t="s">
        <v>1674</v>
      </c>
      <c r="AI261" s="544" t="s">
        <v>1674</v>
      </c>
      <c r="AJ261" s="544" t="s">
        <v>1674</v>
      </c>
      <c r="AK261" s="544" t="s">
        <v>1674</v>
      </c>
      <c r="AL261" s="544" t="s">
        <v>1674</v>
      </c>
      <c r="AM261" s="544" t="s">
        <v>1674</v>
      </c>
      <c r="AN261" s="544" t="s">
        <v>1674</v>
      </c>
      <c r="AP261" s="542">
        <f t="shared" si="8"/>
        <v>-396</v>
      </c>
      <c r="AR261" s="552">
        <f t="shared" si="9"/>
        <v>0</v>
      </c>
    </row>
    <row r="262" spans="1:44" outlineLevel="1" x14ac:dyDescent="0.25">
      <c r="A262" s="544" t="s">
        <v>1674</v>
      </c>
      <c r="B262" s="545">
        <v>0</v>
      </c>
      <c r="C262" s="544" t="s">
        <v>1674</v>
      </c>
      <c r="D262" s="544" t="s">
        <v>2775</v>
      </c>
      <c r="E262" s="542" t="s">
        <v>2683</v>
      </c>
      <c r="F262" s="542" t="s">
        <v>2686</v>
      </c>
      <c r="G262" s="546">
        <v>3293.24</v>
      </c>
      <c r="H262" s="546"/>
      <c r="I262" s="546">
        <v>3534.3</v>
      </c>
      <c r="J262" s="542" t="s">
        <v>2701</v>
      </c>
      <c r="K262" s="547">
        <v>8401</v>
      </c>
      <c r="L262" s="542" t="s">
        <v>806</v>
      </c>
      <c r="M262" s="548"/>
      <c r="N262" s="549">
        <v>-457</v>
      </c>
      <c r="O262" s="544" t="s">
        <v>1674</v>
      </c>
      <c r="P262" s="544" t="s">
        <v>1674</v>
      </c>
      <c r="Q262" s="544" t="s">
        <v>2776</v>
      </c>
      <c r="R262" s="544" t="s">
        <v>1674</v>
      </c>
      <c r="S262" s="544" t="s">
        <v>1674</v>
      </c>
      <c r="T262" s="550">
        <v>19</v>
      </c>
      <c r="U262" s="544" t="s">
        <v>2685</v>
      </c>
      <c r="V262" s="547">
        <v>1643</v>
      </c>
      <c r="W262" s="548"/>
      <c r="Y262" s="544" t="s">
        <v>1674</v>
      </c>
      <c r="AA262" s="544" t="s">
        <v>1674</v>
      </c>
      <c r="AE262" s="551"/>
      <c r="AF262" s="544" t="s">
        <v>1674</v>
      </c>
      <c r="AG262" s="544" t="s">
        <v>1674</v>
      </c>
      <c r="AH262" s="544" t="s">
        <v>1674</v>
      </c>
      <c r="AI262" s="544" t="s">
        <v>1674</v>
      </c>
      <c r="AJ262" s="544" t="s">
        <v>1674</v>
      </c>
      <c r="AK262" s="544" t="s">
        <v>1674</v>
      </c>
      <c r="AL262" s="544" t="s">
        <v>1674</v>
      </c>
      <c r="AM262" s="544" t="s">
        <v>1674</v>
      </c>
      <c r="AN262" s="544" t="s">
        <v>1674</v>
      </c>
      <c r="AP262" s="542">
        <f t="shared" si="8"/>
        <v>-396</v>
      </c>
      <c r="AR262" s="552">
        <f t="shared" si="9"/>
        <v>3534.3</v>
      </c>
    </row>
    <row r="263" spans="1:44" outlineLevel="1" x14ac:dyDescent="0.25">
      <c r="A263" s="544" t="s">
        <v>2722</v>
      </c>
      <c r="B263" s="545">
        <v>11800</v>
      </c>
      <c r="C263" s="544" t="s">
        <v>2581</v>
      </c>
      <c r="D263" s="544" t="s">
        <v>2777</v>
      </c>
      <c r="E263" s="542" t="s">
        <v>2778</v>
      </c>
      <c r="F263" s="542" t="s">
        <v>2779</v>
      </c>
      <c r="G263" s="546">
        <v>17195.5</v>
      </c>
      <c r="H263" s="546"/>
      <c r="I263" s="546"/>
      <c r="J263" s="542" t="s">
        <v>806</v>
      </c>
      <c r="K263" s="547">
        <v>8820</v>
      </c>
      <c r="L263" s="542" t="s">
        <v>806</v>
      </c>
      <c r="M263" s="548"/>
      <c r="N263" s="549">
        <v>-445</v>
      </c>
      <c r="O263" s="544" t="s">
        <v>1674</v>
      </c>
      <c r="P263" s="544" t="s">
        <v>1674</v>
      </c>
      <c r="Q263" s="544" t="s">
        <v>2720</v>
      </c>
      <c r="R263" s="544" t="s">
        <v>2622</v>
      </c>
      <c r="S263" s="544" t="s">
        <v>1674</v>
      </c>
      <c r="T263" s="550">
        <v>19</v>
      </c>
      <c r="U263" s="544" t="s">
        <v>2688</v>
      </c>
      <c r="V263" s="547">
        <v>649</v>
      </c>
      <c r="W263" s="548"/>
      <c r="Y263" s="544" t="s">
        <v>1674</v>
      </c>
      <c r="AA263" s="544" t="s">
        <v>1674</v>
      </c>
      <c r="AE263" s="551"/>
      <c r="AF263" s="544" t="s">
        <v>1674</v>
      </c>
      <c r="AG263" s="544" t="s">
        <v>1674</v>
      </c>
      <c r="AH263" s="544" t="s">
        <v>1674</v>
      </c>
      <c r="AI263" s="544" t="s">
        <v>1674</v>
      </c>
      <c r="AJ263" s="544" t="s">
        <v>1674</v>
      </c>
      <c r="AK263" s="544" t="s">
        <v>1674</v>
      </c>
      <c r="AL263" s="544" t="s">
        <v>1674</v>
      </c>
      <c r="AM263" s="544" t="s">
        <v>2581</v>
      </c>
      <c r="AN263" s="544" t="s">
        <v>1674</v>
      </c>
      <c r="AP263" s="542">
        <f t="shared" si="8"/>
        <v>-384</v>
      </c>
      <c r="AR263" s="552">
        <f t="shared" si="9"/>
        <v>0</v>
      </c>
    </row>
    <row r="264" spans="1:44" outlineLevel="1" x14ac:dyDescent="0.25">
      <c r="A264" s="544" t="s">
        <v>2722</v>
      </c>
      <c r="B264" s="545">
        <v>0</v>
      </c>
      <c r="C264" s="544" t="s">
        <v>1674</v>
      </c>
      <c r="D264" s="544" t="s">
        <v>2777</v>
      </c>
      <c r="E264" s="542" t="s">
        <v>2778</v>
      </c>
      <c r="F264" s="542" t="s">
        <v>2779</v>
      </c>
      <c r="G264" s="546">
        <v>3034.5</v>
      </c>
      <c r="H264" s="546"/>
      <c r="I264" s="546"/>
      <c r="J264" s="542" t="s">
        <v>806</v>
      </c>
      <c r="K264" s="547">
        <v>8820</v>
      </c>
      <c r="L264" s="542" t="s">
        <v>806</v>
      </c>
      <c r="M264" s="548"/>
      <c r="N264" s="549">
        <v>-445</v>
      </c>
      <c r="O264" s="544" t="s">
        <v>1674</v>
      </c>
      <c r="P264" s="544" t="s">
        <v>1674</v>
      </c>
      <c r="Q264" s="544" t="s">
        <v>2720</v>
      </c>
      <c r="R264" s="544" t="s">
        <v>1674</v>
      </c>
      <c r="S264" s="544" t="s">
        <v>1674</v>
      </c>
      <c r="T264" s="550">
        <v>19</v>
      </c>
      <c r="U264" s="544" t="s">
        <v>2688</v>
      </c>
      <c r="V264" s="547">
        <v>650</v>
      </c>
      <c r="W264" s="548"/>
      <c r="Y264" s="544" t="s">
        <v>1674</v>
      </c>
      <c r="AA264" s="544" t="s">
        <v>1674</v>
      </c>
      <c r="AE264" s="551"/>
      <c r="AF264" s="544" t="s">
        <v>1674</v>
      </c>
      <c r="AG264" s="544" t="s">
        <v>1674</v>
      </c>
      <c r="AH264" s="544" t="s">
        <v>1674</v>
      </c>
      <c r="AI264" s="544" t="s">
        <v>1674</v>
      </c>
      <c r="AJ264" s="544" t="s">
        <v>1674</v>
      </c>
      <c r="AK264" s="544" t="s">
        <v>1674</v>
      </c>
      <c r="AL264" s="544" t="s">
        <v>1674</v>
      </c>
      <c r="AM264" s="544" t="s">
        <v>1674</v>
      </c>
      <c r="AN264" s="544" t="s">
        <v>1674</v>
      </c>
      <c r="AP264" s="542">
        <f t="shared" si="8"/>
        <v>-384</v>
      </c>
      <c r="AR264" s="552">
        <f t="shared" si="9"/>
        <v>0</v>
      </c>
    </row>
    <row r="265" spans="1:44" outlineLevel="1" x14ac:dyDescent="0.25">
      <c r="A265" s="544" t="s">
        <v>1674</v>
      </c>
      <c r="B265" s="545">
        <v>0</v>
      </c>
      <c r="C265" s="544" t="s">
        <v>1674</v>
      </c>
      <c r="D265" s="544" t="s">
        <v>2777</v>
      </c>
      <c r="E265" s="542" t="s">
        <v>2686</v>
      </c>
      <c r="G265" s="546"/>
      <c r="H265" s="546">
        <v>942.48</v>
      </c>
      <c r="I265" s="546"/>
      <c r="J265" s="542" t="s">
        <v>806</v>
      </c>
      <c r="K265" s="547">
        <v>1200</v>
      </c>
      <c r="L265" s="542" t="s">
        <v>806</v>
      </c>
      <c r="M265" s="548"/>
      <c r="N265" s="549"/>
      <c r="O265" s="544" t="s">
        <v>1674</v>
      </c>
      <c r="P265" s="544" t="s">
        <v>1674</v>
      </c>
      <c r="Q265" s="544" t="s">
        <v>2687</v>
      </c>
      <c r="R265" s="544" t="s">
        <v>1674</v>
      </c>
      <c r="S265" s="544" t="s">
        <v>1674</v>
      </c>
      <c r="T265" s="550"/>
      <c r="U265" s="544" t="s">
        <v>2688</v>
      </c>
      <c r="V265" s="547">
        <v>1505</v>
      </c>
      <c r="W265" s="548"/>
      <c r="Y265" s="544" t="s">
        <v>1674</v>
      </c>
      <c r="AA265" s="544" t="s">
        <v>1674</v>
      </c>
      <c r="AE265" s="551"/>
      <c r="AF265" s="544" t="s">
        <v>1674</v>
      </c>
      <c r="AG265" s="544" t="s">
        <v>1674</v>
      </c>
      <c r="AH265" s="544" t="s">
        <v>1674</v>
      </c>
      <c r="AI265" s="544" t="s">
        <v>1674</v>
      </c>
      <c r="AJ265" s="544" t="s">
        <v>1674</v>
      </c>
      <c r="AK265" s="544" t="s">
        <v>1674</v>
      </c>
      <c r="AL265" s="544" t="s">
        <v>1674</v>
      </c>
      <c r="AM265" s="544" t="s">
        <v>1674</v>
      </c>
      <c r="AN265" s="544" t="s">
        <v>1674</v>
      </c>
      <c r="AP265" s="542">
        <f t="shared" si="8"/>
        <v>0</v>
      </c>
      <c r="AR265" s="552">
        <f t="shared" si="9"/>
        <v>0</v>
      </c>
    </row>
    <row r="266" spans="1:44" outlineLevel="1" x14ac:dyDescent="0.25">
      <c r="A266" s="544" t="s">
        <v>1674</v>
      </c>
      <c r="B266" s="545">
        <v>0</v>
      </c>
      <c r="C266" s="544" t="s">
        <v>1674</v>
      </c>
      <c r="D266" s="544" t="s">
        <v>2777</v>
      </c>
      <c r="E266" s="542" t="s">
        <v>2686</v>
      </c>
      <c r="G266" s="546"/>
      <c r="H266" s="546">
        <v>9.52</v>
      </c>
      <c r="I266" s="546"/>
      <c r="J266" s="542" t="s">
        <v>806</v>
      </c>
      <c r="K266" s="547">
        <v>8736</v>
      </c>
      <c r="L266" s="542" t="s">
        <v>806</v>
      </c>
      <c r="M266" s="548"/>
      <c r="N266" s="549"/>
      <c r="O266" s="544" t="s">
        <v>1674</v>
      </c>
      <c r="P266" s="544" t="s">
        <v>1674</v>
      </c>
      <c r="Q266" s="544" t="s">
        <v>2687</v>
      </c>
      <c r="R266" s="544" t="s">
        <v>1674</v>
      </c>
      <c r="S266" s="544" t="s">
        <v>1674</v>
      </c>
      <c r="T266" s="550">
        <v>19</v>
      </c>
      <c r="U266" s="544" t="s">
        <v>2688</v>
      </c>
      <c r="V266" s="547">
        <v>1505</v>
      </c>
      <c r="W266" s="548"/>
      <c r="Y266" s="544" t="s">
        <v>1674</v>
      </c>
      <c r="AA266" s="544" t="s">
        <v>1674</v>
      </c>
      <c r="AE266" s="551"/>
      <c r="AF266" s="544" t="s">
        <v>1674</v>
      </c>
      <c r="AG266" s="544" t="s">
        <v>1674</v>
      </c>
      <c r="AH266" s="544" t="s">
        <v>1674</v>
      </c>
      <c r="AI266" s="544" t="s">
        <v>1674</v>
      </c>
      <c r="AJ266" s="544" t="s">
        <v>1674</v>
      </c>
      <c r="AK266" s="544" t="s">
        <v>1674</v>
      </c>
      <c r="AL266" s="544" t="s">
        <v>1674</v>
      </c>
      <c r="AM266" s="544" t="s">
        <v>1674</v>
      </c>
      <c r="AN266" s="544" t="s">
        <v>1674</v>
      </c>
      <c r="AP266" s="542">
        <f t="shared" si="8"/>
        <v>0</v>
      </c>
      <c r="AR266" s="552">
        <f t="shared" si="9"/>
        <v>0</v>
      </c>
    </row>
    <row r="267" spans="1:44" outlineLevel="1" x14ac:dyDescent="0.25">
      <c r="A267" s="544" t="s">
        <v>1674</v>
      </c>
      <c r="B267" s="545">
        <v>0</v>
      </c>
      <c r="C267" s="544" t="s">
        <v>1674</v>
      </c>
      <c r="D267" s="544" t="s">
        <v>2777</v>
      </c>
      <c r="E267" s="542" t="s">
        <v>2689</v>
      </c>
      <c r="G267" s="546"/>
      <c r="H267" s="546">
        <v>942.48</v>
      </c>
      <c r="I267" s="546"/>
      <c r="J267" s="542" t="s">
        <v>806</v>
      </c>
      <c r="K267" s="547">
        <v>1200</v>
      </c>
      <c r="L267" s="542" t="s">
        <v>806</v>
      </c>
      <c r="M267" s="548"/>
      <c r="N267" s="549"/>
      <c r="O267" s="544" t="s">
        <v>1674</v>
      </c>
      <c r="P267" s="544" t="s">
        <v>1674</v>
      </c>
      <c r="Q267" s="544" t="s">
        <v>2690</v>
      </c>
      <c r="R267" s="544" t="s">
        <v>1674</v>
      </c>
      <c r="S267" s="544" t="s">
        <v>1674</v>
      </c>
      <c r="T267" s="550"/>
      <c r="U267" s="544" t="s">
        <v>2691</v>
      </c>
      <c r="V267" s="547">
        <v>1687</v>
      </c>
      <c r="W267" s="548"/>
      <c r="Y267" s="544" t="s">
        <v>1674</v>
      </c>
      <c r="AA267" s="544" t="s">
        <v>1674</v>
      </c>
      <c r="AE267" s="551"/>
      <c r="AF267" s="544" t="s">
        <v>1674</v>
      </c>
      <c r="AG267" s="544" t="s">
        <v>1674</v>
      </c>
      <c r="AH267" s="544" t="s">
        <v>1674</v>
      </c>
      <c r="AI267" s="544" t="s">
        <v>1674</v>
      </c>
      <c r="AJ267" s="544" t="s">
        <v>1674</v>
      </c>
      <c r="AK267" s="544" t="s">
        <v>1674</v>
      </c>
      <c r="AL267" s="544" t="s">
        <v>1674</v>
      </c>
      <c r="AM267" s="544" t="s">
        <v>1674</v>
      </c>
      <c r="AN267" s="544" t="s">
        <v>1674</v>
      </c>
      <c r="AP267" s="542">
        <f t="shared" si="8"/>
        <v>0</v>
      </c>
      <c r="AR267" s="552">
        <f t="shared" si="9"/>
        <v>0</v>
      </c>
    </row>
    <row r="268" spans="1:44" outlineLevel="1" x14ac:dyDescent="0.25">
      <c r="A268" s="544" t="s">
        <v>1674</v>
      </c>
      <c r="B268" s="545">
        <v>0</v>
      </c>
      <c r="C268" s="544" t="s">
        <v>1674</v>
      </c>
      <c r="D268" s="544" t="s">
        <v>2777</v>
      </c>
      <c r="E268" s="542" t="s">
        <v>2689</v>
      </c>
      <c r="G268" s="546"/>
      <c r="H268" s="546">
        <v>9.52</v>
      </c>
      <c r="I268" s="546"/>
      <c r="J268" s="542" t="s">
        <v>806</v>
      </c>
      <c r="K268" s="547">
        <v>8736</v>
      </c>
      <c r="L268" s="542" t="s">
        <v>806</v>
      </c>
      <c r="M268" s="548"/>
      <c r="N268" s="549"/>
      <c r="O268" s="544" t="s">
        <v>1674</v>
      </c>
      <c r="P268" s="544" t="s">
        <v>1674</v>
      </c>
      <c r="Q268" s="544" t="s">
        <v>2690</v>
      </c>
      <c r="R268" s="544" t="s">
        <v>1674</v>
      </c>
      <c r="S268" s="544" t="s">
        <v>1674</v>
      </c>
      <c r="T268" s="550">
        <v>19</v>
      </c>
      <c r="U268" s="544" t="s">
        <v>2691</v>
      </c>
      <c r="V268" s="547">
        <v>1688</v>
      </c>
      <c r="W268" s="548"/>
      <c r="Y268" s="544" t="s">
        <v>1674</v>
      </c>
      <c r="AA268" s="544" t="s">
        <v>1674</v>
      </c>
      <c r="AE268" s="551"/>
      <c r="AF268" s="544" t="s">
        <v>1674</v>
      </c>
      <c r="AG268" s="544" t="s">
        <v>1674</v>
      </c>
      <c r="AH268" s="544" t="s">
        <v>1674</v>
      </c>
      <c r="AI268" s="544" t="s">
        <v>1674</v>
      </c>
      <c r="AJ268" s="544" t="s">
        <v>1674</v>
      </c>
      <c r="AK268" s="544" t="s">
        <v>1674</v>
      </c>
      <c r="AL268" s="544" t="s">
        <v>1674</v>
      </c>
      <c r="AM268" s="544" t="s">
        <v>1674</v>
      </c>
      <c r="AN268" s="544" t="s">
        <v>1674</v>
      </c>
      <c r="AP268" s="542">
        <f t="shared" si="8"/>
        <v>0</v>
      </c>
      <c r="AR268" s="552">
        <f t="shared" si="9"/>
        <v>0</v>
      </c>
    </row>
    <row r="269" spans="1:44" outlineLevel="1" x14ac:dyDescent="0.25">
      <c r="A269" s="544" t="s">
        <v>1674</v>
      </c>
      <c r="B269" s="545">
        <v>0</v>
      </c>
      <c r="C269" s="544" t="s">
        <v>1674</v>
      </c>
      <c r="D269" s="544" t="s">
        <v>2777</v>
      </c>
      <c r="E269" s="542" t="s">
        <v>2692</v>
      </c>
      <c r="G269" s="546"/>
      <c r="H269" s="546">
        <v>942.48</v>
      </c>
      <c r="I269" s="546"/>
      <c r="J269" s="542" t="s">
        <v>806</v>
      </c>
      <c r="K269" s="547">
        <v>1200</v>
      </c>
      <c r="L269" s="542" t="s">
        <v>806</v>
      </c>
      <c r="M269" s="548"/>
      <c r="N269" s="549"/>
      <c r="O269" s="544" t="s">
        <v>1674</v>
      </c>
      <c r="P269" s="544" t="s">
        <v>1674</v>
      </c>
      <c r="Q269" s="544" t="s">
        <v>2693</v>
      </c>
      <c r="R269" s="544" t="s">
        <v>1674</v>
      </c>
      <c r="S269" s="544" t="s">
        <v>1674</v>
      </c>
      <c r="T269" s="550"/>
      <c r="U269" s="544" t="s">
        <v>2694</v>
      </c>
      <c r="V269" s="547">
        <v>1844</v>
      </c>
      <c r="W269" s="548"/>
      <c r="Y269" s="544" t="s">
        <v>1674</v>
      </c>
      <c r="AA269" s="544" t="s">
        <v>1674</v>
      </c>
      <c r="AE269" s="551"/>
      <c r="AF269" s="544" t="s">
        <v>1674</v>
      </c>
      <c r="AG269" s="544" t="s">
        <v>1674</v>
      </c>
      <c r="AH269" s="544" t="s">
        <v>1674</v>
      </c>
      <c r="AI269" s="544" t="s">
        <v>1674</v>
      </c>
      <c r="AJ269" s="544" t="s">
        <v>1674</v>
      </c>
      <c r="AK269" s="544" t="s">
        <v>1674</v>
      </c>
      <c r="AL269" s="544" t="s">
        <v>1674</v>
      </c>
      <c r="AM269" s="544" t="s">
        <v>1674</v>
      </c>
      <c r="AN269" s="544" t="s">
        <v>1674</v>
      </c>
      <c r="AP269" s="542">
        <f t="shared" si="8"/>
        <v>0</v>
      </c>
      <c r="AR269" s="552">
        <f t="shared" si="9"/>
        <v>0</v>
      </c>
    </row>
    <row r="270" spans="1:44" outlineLevel="1" x14ac:dyDescent="0.25">
      <c r="A270" s="544" t="s">
        <v>1674</v>
      </c>
      <c r="B270" s="545">
        <v>0</v>
      </c>
      <c r="C270" s="544" t="s">
        <v>1674</v>
      </c>
      <c r="D270" s="544" t="s">
        <v>2777</v>
      </c>
      <c r="E270" s="542" t="s">
        <v>2692</v>
      </c>
      <c r="G270" s="546"/>
      <c r="H270" s="546">
        <v>9.52</v>
      </c>
      <c r="I270" s="546"/>
      <c r="J270" s="542" t="s">
        <v>806</v>
      </c>
      <c r="K270" s="547">
        <v>8736</v>
      </c>
      <c r="L270" s="542" t="s">
        <v>806</v>
      </c>
      <c r="M270" s="548"/>
      <c r="N270" s="549"/>
      <c r="O270" s="544" t="s">
        <v>1674</v>
      </c>
      <c r="P270" s="544" t="s">
        <v>1674</v>
      </c>
      <c r="Q270" s="544" t="s">
        <v>2693</v>
      </c>
      <c r="R270" s="544" t="s">
        <v>1674</v>
      </c>
      <c r="S270" s="544" t="s">
        <v>1674</v>
      </c>
      <c r="T270" s="550">
        <v>19</v>
      </c>
      <c r="U270" s="544" t="s">
        <v>2694</v>
      </c>
      <c r="V270" s="547">
        <v>1845</v>
      </c>
      <c r="W270" s="548"/>
      <c r="Y270" s="544" t="s">
        <v>1674</v>
      </c>
      <c r="AA270" s="544" t="s">
        <v>1674</v>
      </c>
      <c r="AE270" s="551"/>
      <c r="AF270" s="544" t="s">
        <v>1674</v>
      </c>
      <c r="AG270" s="544" t="s">
        <v>1674</v>
      </c>
      <c r="AH270" s="544" t="s">
        <v>1674</v>
      </c>
      <c r="AI270" s="544" t="s">
        <v>1674</v>
      </c>
      <c r="AJ270" s="544" t="s">
        <v>1674</v>
      </c>
      <c r="AK270" s="544" t="s">
        <v>1674</v>
      </c>
      <c r="AL270" s="544" t="s">
        <v>1674</v>
      </c>
      <c r="AM270" s="544" t="s">
        <v>1674</v>
      </c>
      <c r="AN270" s="544" t="s">
        <v>1674</v>
      </c>
      <c r="AP270" s="542">
        <f t="shared" si="8"/>
        <v>0</v>
      </c>
      <c r="AR270" s="552">
        <f t="shared" si="9"/>
        <v>0</v>
      </c>
    </row>
    <row r="271" spans="1:44" outlineLevel="1" x14ac:dyDescent="0.25">
      <c r="A271" s="544" t="s">
        <v>1674</v>
      </c>
      <c r="B271" s="545">
        <v>0</v>
      </c>
      <c r="C271" s="544" t="s">
        <v>1674</v>
      </c>
      <c r="D271" s="544" t="s">
        <v>2777</v>
      </c>
      <c r="E271" s="542" t="s">
        <v>2695</v>
      </c>
      <c r="G271" s="546"/>
      <c r="H271" s="546">
        <v>942.48</v>
      </c>
      <c r="I271" s="546"/>
      <c r="J271" s="542" t="s">
        <v>806</v>
      </c>
      <c r="K271" s="547">
        <v>1200</v>
      </c>
      <c r="L271" s="542" t="s">
        <v>806</v>
      </c>
      <c r="M271" s="548"/>
      <c r="N271" s="549"/>
      <c r="O271" s="544" t="s">
        <v>1674</v>
      </c>
      <c r="P271" s="544" t="s">
        <v>1674</v>
      </c>
      <c r="Q271" s="544" t="s">
        <v>2696</v>
      </c>
      <c r="R271" s="544" t="s">
        <v>1674</v>
      </c>
      <c r="S271" s="544" t="s">
        <v>1674</v>
      </c>
      <c r="T271" s="550"/>
      <c r="U271" s="544" t="s">
        <v>2697</v>
      </c>
      <c r="V271" s="547">
        <v>1666</v>
      </c>
      <c r="W271" s="548"/>
      <c r="Y271" s="544" t="s">
        <v>1674</v>
      </c>
      <c r="AA271" s="544" t="s">
        <v>1674</v>
      </c>
      <c r="AE271" s="551"/>
      <c r="AF271" s="544" t="s">
        <v>1674</v>
      </c>
      <c r="AG271" s="544" t="s">
        <v>1674</v>
      </c>
      <c r="AH271" s="544" t="s">
        <v>1674</v>
      </c>
      <c r="AI271" s="544" t="s">
        <v>1674</v>
      </c>
      <c r="AJ271" s="544" t="s">
        <v>1674</v>
      </c>
      <c r="AK271" s="544" t="s">
        <v>1674</v>
      </c>
      <c r="AL271" s="544" t="s">
        <v>1674</v>
      </c>
      <c r="AM271" s="544" t="s">
        <v>1674</v>
      </c>
      <c r="AN271" s="544" t="s">
        <v>1674</v>
      </c>
      <c r="AP271" s="542">
        <f t="shared" si="8"/>
        <v>0</v>
      </c>
      <c r="AR271" s="552">
        <f t="shared" si="9"/>
        <v>0</v>
      </c>
    </row>
    <row r="272" spans="1:44" outlineLevel="1" x14ac:dyDescent="0.25">
      <c r="A272" s="544" t="s">
        <v>1674</v>
      </c>
      <c r="B272" s="545">
        <v>0</v>
      </c>
      <c r="C272" s="544" t="s">
        <v>1674</v>
      </c>
      <c r="D272" s="544" t="s">
        <v>2777</v>
      </c>
      <c r="E272" s="542" t="s">
        <v>2695</v>
      </c>
      <c r="G272" s="546"/>
      <c r="H272" s="546">
        <v>9.52</v>
      </c>
      <c r="I272" s="546"/>
      <c r="J272" s="542" t="s">
        <v>806</v>
      </c>
      <c r="K272" s="547">
        <v>8736</v>
      </c>
      <c r="L272" s="542" t="s">
        <v>806</v>
      </c>
      <c r="M272" s="548"/>
      <c r="N272" s="549"/>
      <c r="O272" s="544" t="s">
        <v>1674</v>
      </c>
      <c r="P272" s="544" t="s">
        <v>1674</v>
      </c>
      <c r="Q272" s="544" t="s">
        <v>2696</v>
      </c>
      <c r="R272" s="544" t="s">
        <v>1674</v>
      </c>
      <c r="S272" s="544" t="s">
        <v>1674</v>
      </c>
      <c r="T272" s="550">
        <v>19</v>
      </c>
      <c r="U272" s="544" t="s">
        <v>2697</v>
      </c>
      <c r="V272" s="547">
        <v>1667</v>
      </c>
      <c r="W272" s="548"/>
      <c r="Y272" s="544" t="s">
        <v>1674</v>
      </c>
      <c r="AA272" s="544" t="s">
        <v>1674</v>
      </c>
      <c r="AE272" s="551"/>
      <c r="AF272" s="544" t="s">
        <v>1674</v>
      </c>
      <c r="AG272" s="544" t="s">
        <v>1674</v>
      </c>
      <c r="AH272" s="544" t="s">
        <v>1674</v>
      </c>
      <c r="AI272" s="544" t="s">
        <v>1674</v>
      </c>
      <c r="AJ272" s="544" t="s">
        <v>1674</v>
      </c>
      <c r="AK272" s="544" t="s">
        <v>1674</v>
      </c>
      <c r="AL272" s="544" t="s">
        <v>1674</v>
      </c>
      <c r="AM272" s="544" t="s">
        <v>1674</v>
      </c>
      <c r="AN272" s="544" t="s">
        <v>1674</v>
      </c>
      <c r="AP272" s="542">
        <f t="shared" si="8"/>
        <v>0</v>
      </c>
      <c r="AR272" s="552">
        <f t="shared" si="9"/>
        <v>0</v>
      </c>
    </row>
    <row r="273" spans="1:44" outlineLevel="1" x14ac:dyDescent="0.25">
      <c r="A273" s="544" t="s">
        <v>1674</v>
      </c>
      <c r="B273" s="545">
        <v>0</v>
      </c>
      <c r="C273" s="544" t="s">
        <v>1674</v>
      </c>
      <c r="D273" s="544" t="s">
        <v>2777</v>
      </c>
      <c r="E273" s="542" t="s">
        <v>2698</v>
      </c>
      <c r="G273" s="546"/>
      <c r="H273" s="546">
        <v>942.48</v>
      </c>
      <c r="I273" s="546"/>
      <c r="J273" s="542" t="s">
        <v>806</v>
      </c>
      <c r="K273" s="547">
        <v>1200</v>
      </c>
      <c r="L273" s="542" t="s">
        <v>806</v>
      </c>
      <c r="M273" s="548"/>
      <c r="N273" s="549"/>
      <c r="O273" s="544" t="s">
        <v>1674</v>
      </c>
      <c r="P273" s="544" t="s">
        <v>1674</v>
      </c>
      <c r="Q273" s="544" t="s">
        <v>2699</v>
      </c>
      <c r="R273" s="544" t="s">
        <v>1674</v>
      </c>
      <c r="S273" s="544" t="s">
        <v>1674</v>
      </c>
      <c r="T273" s="550"/>
      <c r="U273" s="544" t="s">
        <v>2700</v>
      </c>
      <c r="V273" s="547">
        <v>1608</v>
      </c>
      <c r="W273" s="548"/>
      <c r="Y273" s="544" t="s">
        <v>1674</v>
      </c>
      <c r="AA273" s="544" t="s">
        <v>1674</v>
      </c>
      <c r="AE273" s="551"/>
      <c r="AF273" s="544" t="s">
        <v>1674</v>
      </c>
      <c r="AG273" s="544" t="s">
        <v>1674</v>
      </c>
      <c r="AH273" s="544" t="s">
        <v>1674</v>
      </c>
      <c r="AI273" s="544" t="s">
        <v>1674</v>
      </c>
      <c r="AJ273" s="544" t="s">
        <v>1674</v>
      </c>
      <c r="AK273" s="544" t="s">
        <v>1674</v>
      </c>
      <c r="AL273" s="544" t="s">
        <v>1674</v>
      </c>
      <c r="AM273" s="544" t="s">
        <v>1674</v>
      </c>
      <c r="AN273" s="544" t="s">
        <v>1674</v>
      </c>
      <c r="AP273" s="542">
        <f t="shared" si="8"/>
        <v>0</v>
      </c>
      <c r="AR273" s="552">
        <f t="shared" si="9"/>
        <v>0</v>
      </c>
    </row>
    <row r="274" spans="1:44" outlineLevel="1" x14ac:dyDescent="0.25">
      <c r="A274" s="544" t="s">
        <v>1674</v>
      </c>
      <c r="B274" s="545">
        <v>0</v>
      </c>
      <c r="C274" s="544" t="s">
        <v>1674</v>
      </c>
      <c r="D274" s="544" t="s">
        <v>2777</v>
      </c>
      <c r="E274" s="542" t="s">
        <v>2698</v>
      </c>
      <c r="G274" s="546"/>
      <c r="H274" s="546">
        <v>9.52</v>
      </c>
      <c r="I274" s="546"/>
      <c r="J274" s="542" t="s">
        <v>806</v>
      </c>
      <c r="K274" s="547">
        <v>8736</v>
      </c>
      <c r="L274" s="542" t="s">
        <v>806</v>
      </c>
      <c r="M274" s="548"/>
      <c r="N274" s="549"/>
      <c r="O274" s="544" t="s">
        <v>1674</v>
      </c>
      <c r="P274" s="544" t="s">
        <v>1674</v>
      </c>
      <c r="Q274" s="544" t="s">
        <v>2699</v>
      </c>
      <c r="R274" s="544" t="s">
        <v>1674</v>
      </c>
      <c r="S274" s="544" t="s">
        <v>1674</v>
      </c>
      <c r="T274" s="550">
        <v>19</v>
      </c>
      <c r="U274" s="544" t="s">
        <v>2700</v>
      </c>
      <c r="V274" s="547">
        <v>1609</v>
      </c>
      <c r="W274" s="548"/>
      <c r="Y274" s="544" t="s">
        <v>1674</v>
      </c>
      <c r="AA274" s="544" t="s">
        <v>1674</v>
      </c>
      <c r="AE274" s="551"/>
      <c r="AF274" s="544" t="s">
        <v>1674</v>
      </c>
      <c r="AG274" s="544" t="s">
        <v>1674</v>
      </c>
      <c r="AH274" s="544" t="s">
        <v>1674</v>
      </c>
      <c r="AI274" s="544" t="s">
        <v>1674</v>
      </c>
      <c r="AJ274" s="544" t="s">
        <v>1674</v>
      </c>
      <c r="AK274" s="544" t="s">
        <v>1674</v>
      </c>
      <c r="AL274" s="544" t="s">
        <v>1674</v>
      </c>
      <c r="AM274" s="544" t="s">
        <v>1674</v>
      </c>
      <c r="AN274" s="544" t="s">
        <v>1674</v>
      </c>
      <c r="AP274" s="542">
        <f t="shared" si="8"/>
        <v>0</v>
      </c>
      <c r="AR274" s="552">
        <f t="shared" si="9"/>
        <v>0</v>
      </c>
    </row>
    <row r="275" spans="1:44" outlineLevel="1" x14ac:dyDescent="0.25">
      <c r="A275" s="544" t="s">
        <v>1674</v>
      </c>
      <c r="B275" s="545">
        <v>0</v>
      </c>
      <c r="C275" s="544" t="s">
        <v>1674</v>
      </c>
      <c r="D275" s="544" t="s">
        <v>2777</v>
      </c>
      <c r="E275" s="542" t="s">
        <v>3296</v>
      </c>
      <c r="G275" s="546"/>
      <c r="H275" s="546">
        <v>942.48</v>
      </c>
      <c r="I275" s="546"/>
      <c r="J275" s="542" t="s">
        <v>806</v>
      </c>
      <c r="K275" s="547">
        <v>1200</v>
      </c>
      <c r="L275" s="542" t="s">
        <v>806</v>
      </c>
      <c r="M275" s="548"/>
      <c r="N275" s="549"/>
      <c r="O275" s="544" t="s">
        <v>1674</v>
      </c>
      <c r="P275" s="544" t="s">
        <v>1674</v>
      </c>
      <c r="Q275" s="544" t="s">
        <v>3302</v>
      </c>
      <c r="R275" s="544" t="s">
        <v>1674</v>
      </c>
      <c r="S275" s="544" t="s">
        <v>1674</v>
      </c>
      <c r="T275" s="550"/>
      <c r="U275" s="544" t="s">
        <v>3303</v>
      </c>
      <c r="V275" s="547">
        <v>1679</v>
      </c>
      <c r="W275" s="548"/>
      <c r="Y275" s="544" t="s">
        <v>1674</v>
      </c>
      <c r="AA275" s="544" t="s">
        <v>1674</v>
      </c>
      <c r="AE275" s="551"/>
      <c r="AF275" s="544" t="s">
        <v>1674</v>
      </c>
      <c r="AG275" s="544" t="s">
        <v>1674</v>
      </c>
      <c r="AH275" s="544" t="s">
        <v>1674</v>
      </c>
      <c r="AI275" s="544" t="s">
        <v>1674</v>
      </c>
      <c r="AJ275" s="544" t="s">
        <v>1674</v>
      </c>
      <c r="AK275" s="544" t="s">
        <v>1674</v>
      </c>
      <c r="AL275" s="544" t="s">
        <v>1674</v>
      </c>
      <c r="AM275" s="544" t="s">
        <v>1674</v>
      </c>
      <c r="AN275" s="544" t="s">
        <v>1674</v>
      </c>
      <c r="AP275" s="542">
        <f t="shared" si="8"/>
        <v>0</v>
      </c>
      <c r="AR275" s="552">
        <f t="shared" si="9"/>
        <v>0</v>
      </c>
    </row>
    <row r="276" spans="1:44" outlineLevel="1" x14ac:dyDescent="0.25">
      <c r="A276" s="544" t="s">
        <v>1674</v>
      </c>
      <c r="B276" s="545">
        <v>0</v>
      </c>
      <c r="C276" s="544" t="s">
        <v>1674</v>
      </c>
      <c r="D276" s="544" t="s">
        <v>2777</v>
      </c>
      <c r="E276" s="542" t="s">
        <v>3296</v>
      </c>
      <c r="G276" s="546"/>
      <c r="H276" s="546">
        <v>9.52</v>
      </c>
      <c r="I276" s="546"/>
      <c r="J276" s="542" t="s">
        <v>806</v>
      </c>
      <c r="K276" s="547">
        <v>8736</v>
      </c>
      <c r="L276" s="542" t="s">
        <v>806</v>
      </c>
      <c r="M276" s="548"/>
      <c r="N276" s="549"/>
      <c r="O276" s="544" t="s">
        <v>1674</v>
      </c>
      <c r="P276" s="544" t="s">
        <v>1674</v>
      </c>
      <c r="Q276" s="544" t="s">
        <v>3302</v>
      </c>
      <c r="R276" s="544" t="s">
        <v>1674</v>
      </c>
      <c r="S276" s="544" t="s">
        <v>1674</v>
      </c>
      <c r="T276" s="550">
        <v>19</v>
      </c>
      <c r="U276" s="544" t="s">
        <v>3303</v>
      </c>
      <c r="V276" s="547">
        <v>1680</v>
      </c>
      <c r="W276" s="548"/>
      <c r="Y276" s="544" t="s">
        <v>1674</v>
      </c>
      <c r="AA276" s="544" t="s">
        <v>1674</v>
      </c>
      <c r="AE276" s="551"/>
      <c r="AF276" s="544" t="s">
        <v>1674</v>
      </c>
      <c r="AG276" s="544" t="s">
        <v>1674</v>
      </c>
      <c r="AH276" s="544" t="s">
        <v>1674</v>
      </c>
      <c r="AI276" s="544" t="s">
        <v>1674</v>
      </c>
      <c r="AJ276" s="544" t="s">
        <v>1674</v>
      </c>
      <c r="AK276" s="544" t="s">
        <v>1674</v>
      </c>
      <c r="AL276" s="544" t="s">
        <v>1674</v>
      </c>
      <c r="AM276" s="544" t="s">
        <v>1674</v>
      </c>
      <c r="AN276" s="544" t="s">
        <v>1674</v>
      </c>
      <c r="AP276" s="542">
        <f t="shared" si="8"/>
        <v>0</v>
      </c>
      <c r="AR276" s="552">
        <f t="shared" si="9"/>
        <v>0</v>
      </c>
    </row>
    <row r="277" spans="1:44" outlineLevel="1" x14ac:dyDescent="0.25">
      <c r="A277" s="544" t="s">
        <v>1674</v>
      </c>
      <c r="B277" s="545">
        <v>0</v>
      </c>
      <c r="C277" s="544" t="s">
        <v>1674</v>
      </c>
      <c r="D277" s="544" t="s">
        <v>2777</v>
      </c>
      <c r="E277" s="542" t="s">
        <v>3304</v>
      </c>
      <c r="G277" s="546"/>
      <c r="H277" s="546">
        <v>942.48</v>
      </c>
      <c r="I277" s="546"/>
      <c r="J277" s="542" t="s">
        <v>806</v>
      </c>
      <c r="K277" s="547">
        <v>1200</v>
      </c>
      <c r="L277" s="542" t="s">
        <v>806</v>
      </c>
      <c r="M277" s="548"/>
      <c r="N277" s="549"/>
      <c r="O277" s="544" t="s">
        <v>1674</v>
      </c>
      <c r="P277" s="544" t="s">
        <v>1674</v>
      </c>
      <c r="Q277" s="544" t="s">
        <v>3305</v>
      </c>
      <c r="R277" s="544" t="s">
        <v>1674</v>
      </c>
      <c r="S277" s="544" t="s">
        <v>1674</v>
      </c>
      <c r="T277" s="550"/>
      <c r="U277" s="544" t="s">
        <v>3306</v>
      </c>
      <c r="V277" s="547">
        <v>1619</v>
      </c>
      <c r="W277" s="548"/>
      <c r="Y277" s="544" t="s">
        <v>1674</v>
      </c>
      <c r="AA277" s="544" t="s">
        <v>1674</v>
      </c>
      <c r="AE277" s="551"/>
      <c r="AF277" s="544" t="s">
        <v>1674</v>
      </c>
      <c r="AG277" s="544" t="s">
        <v>1674</v>
      </c>
      <c r="AH277" s="544" t="s">
        <v>1674</v>
      </c>
      <c r="AI277" s="544" t="s">
        <v>1674</v>
      </c>
      <c r="AJ277" s="544" t="s">
        <v>1674</v>
      </c>
      <c r="AK277" s="544" t="s">
        <v>1674</v>
      </c>
      <c r="AL277" s="544" t="s">
        <v>1674</v>
      </c>
      <c r="AM277" s="544" t="s">
        <v>1674</v>
      </c>
      <c r="AN277" s="544" t="s">
        <v>1674</v>
      </c>
      <c r="AP277" s="542">
        <f t="shared" si="8"/>
        <v>0</v>
      </c>
      <c r="AR277" s="552">
        <f t="shared" si="9"/>
        <v>0</v>
      </c>
    </row>
    <row r="278" spans="1:44" outlineLevel="1" x14ac:dyDescent="0.25">
      <c r="A278" s="544" t="s">
        <v>1674</v>
      </c>
      <c r="B278" s="545">
        <v>0</v>
      </c>
      <c r="C278" s="544" t="s">
        <v>1674</v>
      </c>
      <c r="D278" s="544" t="s">
        <v>2777</v>
      </c>
      <c r="E278" s="542" t="s">
        <v>3304</v>
      </c>
      <c r="G278" s="546"/>
      <c r="H278" s="546">
        <v>9.52</v>
      </c>
      <c r="I278" s="546"/>
      <c r="J278" s="542" t="s">
        <v>806</v>
      </c>
      <c r="K278" s="547">
        <v>8736</v>
      </c>
      <c r="L278" s="542" t="s">
        <v>806</v>
      </c>
      <c r="M278" s="548"/>
      <c r="N278" s="549"/>
      <c r="O278" s="544" t="s">
        <v>1674</v>
      </c>
      <c r="P278" s="544" t="s">
        <v>1674</v>
      </c>
      <c r="Q278" s="544" t="s">
        <v>3305</v>
      </c>
      <c r="R278" s="544" t="s">
        <v>1674</v>
      </c>
      <c r="S278" s="544" t="s">
        <v>1674</v>
      </c>
      <c r="T278" s="550">
        <v>19</v>
      </c>
      <c r="U278" s="544" t="s">
        <v>3306</v>
      </c>
      <c r="V278" s="547">
        <v>1620</v>
      </c>
      <c r="W278" s="548"/>
      <c r="Y278" s="544" t="s">
        <v>1674</v>
      </c>
      <c r="AA278" s="544" t="s">
        <v>1674</v>
      </c>
      <c r="AE278" s="551"/>
      <c r="AF278" s="544" t="s">
        <v>1674</v>
      </c>
      <c r="AG278" s="544" t="s">
        <v>1674</v>
      </c>
      <c r="AH278" s="544" t="s">
        <v>1674</v>
      </c>
      <c r="AI278" s="544" t="s">
        <v>1674</v>
      </c>
      <c r="AJ278" s="544" t="s">
        <v>1674</v>
      </c>
      <c r="AK278" s="544" t="s">
        <v>1674</v>
      </c>
      <c r="AL278" s="544" t="s">
        <v>1674</v>
      </c>
      <c r="AM278" s="544" t="s">
        <v>1674</v>
      </c>
      <c r="AN278" s="544" t="s">
        <v>1674</v>
      </c>
      <c r="AP278" s="542">
        <f t="shared" si="8"/>
        <v>0</v>
      </c>
      <c r="AR278" s="552">
        <f t="shared" si="9"/>
        <v>0</v>
      </c>
    </row>
    <row r="279" spans="1:44" outlineLevel="1" x14ac:dyDescent="0.25">
      <c r="A279" s="544" t="s">
        <v>1674</v>
      </c>
      <c r="B279" s="545">
        <v>0</v>
      </c>
      <c r="C279" s="544" t="s">
        <v>1674</v>
      </c>
      <c r="D279" s="544" t="s">
        <v>2777</v>
      </c>
      <c r="E279" s="542" t="s">
        <v>3307</v>
      </c>
      <c r="G279" s="546"/>
      <c r="H279" s="546">
        <v>942.48</v>
      </c>
      <c r="I279" s="546"/>
      <c r="J279" s="542" t="s">
        <v>806</v>
      </c>
      <c r="K279" s="547">
        <v>1200</v>
      </c>
      <c r="L279" s="542" t="s">
        <v>806</v>
      </c>
      <c r="M279" s="548"/>
      <c r="N279" s="549"/>
      <c r="O279" s="544" t="s">
        <v>1674</v>
      </c>
      <c r="P279" s="544" t="s">
        <v>1674</v>
      </c>
      <c r="Q279" s="544" t="s">
        <v>3308</v>
      </c>
      <c r="R279" s="544" t="s">
        <v>1674</v>
      </c>
      <c r="S279" s="544" t="s">
        <v>1674</v>
      </c>
      <c r="T279" s="550"/>
      <c r="U279" s="544" t="s">
        <v>3309</v>
      </c>
      <c r="V279" s="547">
        <v>1709</v>
      </c>
      <c r="W279" s="548"/>
      <c r="Y279" s="544" t="s">
        <v>1674</v>
      </c>
      <c r="AA279" s="544" t="s">
        <v>1674</v>
      </c>
      <c r="AE279" s="551"/>
      <c r="AF279" s="544" t="s">
        <v>1674</v>
      </c>
      <c r="AG279" s="544" t="s">
        <v>1674</v>
      </c>
      <c r="AH279" s="544" t="s">
        <v>1674</v>
      </c>
      <c r="AI279" s="544" t="s">
        <v>1674</v>
      </c>
      <c r="AJ279" s="544" t="s">
        <v>1674</v>
      </c>
      <c r="AK279" s="544" t="s">
        <v>1674</v>
      </c>
      <c r="AL279" s="544" t="s">
        <v>1674</v>
      </c>
      <c r="AM279" s="544" t="s">
        <v>1674</v>
      </c>
      <c r="AN279" s="544" t="s">
        <v>1674</v>
      </c>
      <c r="AP279" s="542">
        <f t="shared" si="8"/>
        <v>0</v>
      </c>
      <c r="AR279" s="552">
        <f t="shared" si="9"/>
        <v>0</v>
      </c>
    </row>
    <row r="280" spans="1:44" outlineLevel="1" x14ac:dyDescent="0.25">
      <c r="A280" s="544" t="s">
        <v>1674</v>
      </c>
      <c r="B280" s="545">
        <v>0</v>
      </c>
      <c r="C280" s="544" t="s">
        <v>1674</v>
      </c>
      <c r="D280" s="544" t="s">
        <v>2777</v>
      </c>
      <c r="E280" s="542" t="s">
        <v>3307</v>
      </c>
      <c r="G280" s="546"/>
      <c r="H280" s="546">
        <v>9.52</v>
      </c>
      <c r="I280" s="546"/>
      <c r="J280" s="542" t="s">
        <v>806</v>
      </c>
      <c r="K280" s="547">
        <v>8736</v>
      </c>
      <c r="L280" s="542" t="s">
        <v>806</v>
      </c>
      <c r="M280" s="548"/>
      <c r="N280" s="549"/>
      <c r="O280" s="544" t="s">
        <v>1674</v>
      </c>
      <c r="P280" s="544" t="s">
        <v>1674</v>
      </c>
      <c r="Q280" s="544" t="s">
        <v>3308</v>
      </c>
      <c r="R280" s="544" t="s">
        <v>1674</v>
      </c>
      <c r="S280" s="544" t="s">
        <v>1674</v>
      </c>
      <c r="T280" s="550">
        <v>19</v>
      </c>
      <c r="U280" s="544" t="s">
        <v>3309</v>
      </c>
      <c r="V280" s="547">
        <v>1710</v>
      </c>
      <c r="W280" s="548"/>
      <c r="Y280" s="544" t="s">
        <v>1674</v>
      </c>
      <c r="AA280" s="544" t="s">
        <v>1674</v>
      </c>
      <c r="AE280" s="551"/>
      <c r="AF280" s="544" t="s">
        <v>1674</v>
      </c>
      <c r="AG280" s="544" t="s">
        <v>1674</v>
      </c>
      <c r="AH280" s="544" t="s">
        <v>1674</v>
      </c>
      <c r="AI280" s="544" t="s">
        <v>1674</v>
      </c>
      <c r="AJ280" s="544" t="s">
        <v>1674</v>
      </c>
      <c r="AK280" s="544" t="s">
        <v>1674</v>
      </c>
      <c r="AL280" s="544" t="s">
        <v>1674</v>
      </c>
      <c r="AM280" s="544" t="s">
        <v>1674</v>
      </c>
      <c r="AN280" s="544" t="s">
        <v>1674</v>
      </c>
      <c r="AP280" s="542">
        <f t="shared" si="8"/>
        <v>0</v>
      </c>
      <c r="AR280" s="552">
        <f t="shared" si="9"/>
        <v>0</v>
      </c>
    </row>
    <row r="281" spans="1:44" outlineLevel="1" x14ac:dyDescent="0.25">
      <c r="A281" s="544" t="s">
        <v>1674</v>
      </c>
      <c r="B281" s="545">
        <v>0</v>
      </c>
      <c r="C281" s="544" t="s">
        <v>1674</v>
      </c>
      <c r="D281" s="544" t="s">
        <v>2777</v>
      </c>
      <c r="E281" s="542" t="s">
        <v>3310</v>
      </c>
      <c r="G281" s="546"/>
      <c r="H281" s="546">
        <v>952</v>
      </c>
      <c r="I281" s="546"/>
      <c r="J281" s="542" t="s">
        <v>806</v>
      </c>
      <c r="K281" s="547">
        <v>1200</v>
      </c>
      <c r="L281" s="542" t="s">
        <v>806</v>
      </c>
      <c r="M281" s="548"/>
      <c r="N281" s="549"/>
      <c r="O281" s="544" t="s">
        <v>1674</v>
      </c>
      <c r="P281" s="544" t="s">
        <v>1674</v>
      </c>
      <c r="Q281" s="544" t="s">
        <v>3311</v>
      </c>
      <c r="R281" s="544" t="s">
        <v>1674</v>
      </c>
      <c r="S281" s="544" t="s">
        <v>1674</v>
      </c>
      <c r="T281" s="550"/>
      <c r="U281" s="544" t="s">
        <v>3312</v>
      </c>
      <c r="V281" s="547">
        <v>1873</v>
      </c>
      <c r="W281" s="548"/>
      <c r="Y281" s="544" t="s">
        <v>1674</v>
      </c>
      <c r="AA281" s="544" t="s">
        <v>1674</v>
      </c>
      <c r="AE281" s="551"/>
      <c r="AF281" s="544" t="s">
        <v>1674</v>
      </c>
      <c r="AG281" s="544" t="s">
        <v>1674</v>
      </c>
      <c r="AH281" s="544" t="s">
        <v>1674</v>
      </c>
      <c r="AI281" s="544" t="s">
        <v>1674</v>
      </c>
      <c r="AJ281" s="544" t="s">
        <v>1674</v>
      </c>
      <c r="AK281" s="544" t="s">
        <v>1674</v>
      </c>
      <c r="AL281" s="544" t="s">
        <v>1674</v>
      </c>
      <c r="AM281" s="544" t="s">
        <v>1674</v>
      </c>
      <c r="AN281" s="544" t="s">
        <v>1674</v>
      </c>
      <c r="AP281" s="542">
        <f t="shared" si="8"/>
        <v>0</v>
      </c>
      <c r="AR281" s="552">
        <f t="shared" si="9"/>
        <v>0</v>
      </c>
    </row>
    <row r="282" spans="1:44" outlineLevel="1" x14ac:dyDescent="0.25">
      <c r="A282" s="544" t="s">
        <v>1674</v>
      </c>
      <c r="B282" s="545">
        <v>0</v>
      </c>
      <c r="C282" s="544" t="s">
        <v>1674</v>
      </c>
      <c r="D282" s="544" t="s">
        <v>2777</v>
      </c>
      <c r="E282" s="542" t="s">
        <v>3313</v>
      </c>
      <c r="G282" s="546"/>
      <c r="H282" s="546">
        <v>942.48</v>
      </c>
      <c r="I282" s="546"/>
      <c r="J282" s="542" t="s">
        <v>806</v>
      </c>
      <c r="K282" s="547">
        <v>1200</v>
      </c>
      <c r="L282" s="542" t="s">
        <v>806</v>
      </c>
      <c r="M282" s="548"/>
      <c r="N282" s="549"/>
      <c r="O282" s="544" t="s">
        <v>1674</v>
      </c>
      <c r="P282" s="544" t="s">
        <v>1674</v>
      </c>
      <c r="Q282" s="544" t="s">
        <v>3314</v>
      </c>
      <c r="R282" s="544" t="s">
        <v>1674</v>
      </c>
      <c r="S282" s="544" t="s">
        <v>1674</v>
      </c>
      <c r="T282" s="550"/>
      <c r="U282" s="544" t="s">
        <v>3315</v>
      </c>
      <c r="V282" s="547">
        <v>74</v>
      </c>
      <c r="W282" s="548"/>
      <c r="Y282" s="544" t="s">
        <v>1674</v>
      </c>
      <c r="AA282" s="544" t="s">
        <v>1674</v>
      </c>
      <c r="AE282" s="551"/>
      <c r="AF282" s="544" t="s">
        <v>1674</v>
      </c>
      <c r="AG282" s="544" t="s">
        <v>1674</v>
      </c>
      <c r="AH282" s="544" t="s">
        <v>1674</v>
      </c>
      <c r="AI282" s="544" t="s">
        <v>1674</v>
      </c>
      <c r="AJ282" s="544" t="s">
        <v>1674</v>
      </c>
      <c r="AK282" s="544" t="s">
        <v>1674</v>
      </c>
      <c r="AL282" s="544" t="s">
        <v>1674</v>
      </c>
      <c r="AM282" s="544" t="s">
        <v>1674</v>
      </c>
      <c r="AN282" s="544" t="s">
        <v>1674</v>
      </c>
      <c r="AP282" s="542">
        <f t="shared" si="8"/>
        <v>0</v>
      </c>
      <c r="AR282" s="552">
        <f t="shared" si="9"/>
        <v>0</v>
      </c>
    </row>
    <row r="283" spans="1:44" outlineLevel="1" x14ac:dyDescent="0.25">
      <c r="A283" s="544" t="s">
        <v>1674</v>
      </c>
      <c r="B283" s="545">
        <v>0</v>
      </c>
      <c r="C283" s="544" t="s">
        <v>1674</v>
      </c>
      <c r="D283" s="544" t="s">
        <v>2777</v>
      </c>
      <c r="E283" s="542" t="s">
        <v>3313</v>
      </c>
      <c r="G283" s="546"/>
      <c r="H283" s="546">
        <v>9.52</v>
      </c>
      <c r="I283" s="546"/>
      <c r="J283" s="542" t="s">
        <v>806</v>
      </c>
      <c r="K283" s="547">
        <v>8736</v>
      </c>
      <c r="L283" s="542" t="s">
        <v>806</v>
      </c>
      <c r="M283" s="548"/>
      <c r="N283" s="549"/>
      <c r="O283" s="544" t="s">
        <v>1674</v>
      </c>
      <c r="P283" s="544" t="s">
        <v>1674</v>
      </c>
      <c r="Q283" s="544" t="s">
        <v>3314</v>
      </c>
      <c r="R283" s="544" t="s">
        <v>1674</v>
      </c>
      <c r="S283" s="544" t="s">
        <v>1674</v>
      </c>
      <c r="T283" s="550">
        <v>19</v>
      </c>
      <c r="U283" s="544" t="s">
        <v>3315</v>
      </c>
      <c r="V283" s="547">
        <v>88</v>
      </c>
      <c r="W283" s="548"/>
      <c r="Y283" s="544" t="s">
        <v>1674</v>
      </c>
      <c r="AA283" s="544" t="s">
        <v>1674</v>
      </c>
      <c r="AE283" s="551"/>
      <c r="AF283" s="544" t="s">
        <v>1674</v>
      </c>
      <c r="AG283" s="544" t="s">
        <v>1674</v>
      </c>
      <c r="AH283" s="544" t="s">
        <v>1674</v>
      </c>
      <c r="AI283" s="544" t="s">
        <v>1674</v>
      </c>
      <c r="AJ283" s="544" t="s">
        <v>1674</v>
      </c>
      <c r="AK283" s="544" t="s">
        <v>1674</v>
      </c>
      <c r="AL283" s="544" t="s">
        <v>1674</v>
      </c>
      <c r="AM283" s="544" t="s">
        <v>1674</v>
      </c>
      <c r="AN283" s="544" t="s">
        <v>1674</v>
      </c>
      <c r="AP283" s="542">
        <f t="shared" si="8"/>
        <v>0</v>
      </c>
      <c r="AR283" s="552">
        <f t="shared" si="9"/>
        <v>0</v>
      </c>
    </row>
    <row r="284" spans="1:44" outlineLevel="1" x14ac:dyDescent="0.25">
      <c r="A284" s="544" t="s">
        <v>1674</v>
      </c>
      <c r="B284" s="545">
        <v>0</v>
      </c>
      <c r="C284" s="544" t="s">
        <v>1674</v>
      </c>
      <c r="D284" s="544" t="s">
        <v>2777</v>
      </c>
      <c r="E284" s="542" t="s">
        <v>3316</v>
      </c>
      <c r="G284" s="546"/>
      <c r="H284" s="546">
        <v>952</v>
      </c>
      <c r="I284" s="546"/>
      <c r="J284" s="542" t="s">
        <v>806</v>
      </c>
      <c r="K284" s="547">
        <v>1200</v>
      </c>
      <c r="L284" s="542" t="s">
        <v>806</v>
      </c>
      <c r="M284" s="548"/>
      <c r="N284" s="549"/>
      <c r="O284" s="544" t="s">
        <v>1674</v>
      </c>
      <c r="P284" s="544" t="s">
        <v>1674</v>
      </c>
      <c r="Q284" s="544" t="s">
        <v>3317</v>
      </c>
      <c r="R284" s="544" t="s">
        <v>1674</v>
      </c>
      <c r="S284" s="544" t="s">
        <v>1674</v>
      </c>
      <c r="T284" s="550"/>
      <c r="U284" s="544" t="s">
        <v>3315</v>
      </c>
      <c r="V284" s="547">
        <v>1663</v>
      </c>
      <c r="W284" s="548"/>
      <c r="Y284" s="544" t="s">
        <v>1674</v>
      </c>
      <c r="AA284" s="544" t="s">
        <v>1674</v>
      </c>
      <c r="AE284" s="551"/>
      <c r="AF284" s="544" t="s">
        <v>1674</v>
      </c>
      <c r="AG284" s="544" t="s">
        <v>1674</v>
      </c>
      <c r="AH284" s="544" t="s">
        <v>1674</v>
      </c>
      <c r="AI284" s="544" t="s">
        <v>1674</v>
      </c>
      <c r="AJ284" s="544" t="s">
        <v>1674</v>
      </c>
      <c r="AK284" s="544" t="s">
        <v>1674</v>
      </c>
      <c r="AL284" s="544" t="s">
        <v>1674</v>
      </c>
      <c r="AM284" s="544" t="s">
        <v>1674</v>
      </c>
      <c r="AN284" s="544" t="s">
        <v>1674</v>
      </c>
      <c r="AP284" s="542">
        <f t="shared" si="8"/>
        <v>0</v>
      </c>
      <c r="AR284" s="552">
        <f t="shared" si="9"/>
        <v>0</v>
      </c>
    </row>
    <row r="285" spans="1:44" outlineLevel="1" x14ac:dyDescent="0.25">
      <c r="A285" s="544" t="s">
        <v>1674</v>
      </c>
      <c r="B285" s="545">
        <v>0</v>
      </c>
      <c r="C285" s="544" t="s">
        <v>1674</v>
      </c>
      <c r="D285" s="544" t="s">
        <v>2777</v>
      </c>
      <c r="E285" s="542" t="s">
        <v>3318</v>
      </c>
      <c r="G285" s="546"/>
      <c r="H285" s="546">
        <v>952</v>
      </c>
      <c r="I285" s="546"/>
      <c r="J285" s="542" t="s">
        <v>806</v>
      </c>
      <c r="K285" s="547">
        <v>1200</v>
      </c>
      <c r="L285" s="542" t="s">
        <v>806</v>
      </c>
      <c r="M285" s="548"/>
      <c r="N285" s="549"/>
      <c r="O285" s="544" t="s">
        <v>1674</v>
      </c>
      <c r="P285" s="544" t="s">
        <v>1674</v>
      </c>
      <c r="Q285" s="544" t="s">
        <v>3319</v>
      </c>
      <c r="R285" s="544" t="s">
        <v>1674</v>
      </c>
      <c r="S285" s="544" t="s">
        <v>1674</v>
      </c>
      <c r="T285" s="550"/>
      <c r="U285" s="544" t="s">
        <v>3320</v>
      </c>
      <c r="V285" s="547">
        <v>1746</v>
      </c>
      <c r="W285" s="548"/>
      <c r="Y285" s="544" t="s">
        <v>1674</v>
      </c>
      <c r="AA285" s="544" t="s">
        <v>1674</v>
      </c>
      <c r="AE285" s="551"/>
      <c r="AF285" s="544" t="s">
        <v>1674</v>
      </c>
      <c r="AG285" s="544" t="s">
        <v>1674</v>
      </c>
      <c r="AH285" s="544" t="s">
        <v>1674</v>
      </c>
      <c r="AI285" s="544" t="s">
        <v>1674</v>
      </c>
      <c r="AJ285" s="544" t="s">
        <v>1674</v>
      </c>
      <c r="AK285" s="544" t="s">
        <v>1674</v>
      </c>
      <c r="AL285" s="544" t="s">
        <v>1674</v>
      </c>
      <c r="AM285" s="544" t="s">
        <v>1674</v>
      </c>
      <c r="AN285" s="544" t="s">
        <v>1674</v>
      </c>
      <c r="AP285" s="542">
        <f t="shared" si="8"/>
        <v>0</v>
      </c>
      <c r="AR285" s="552">
        <f t="shared" si="9"/>
        <v>0</v>
      </c>
    </row>
    <row r="286" spans="1:44" outlineLevel="1" x14ac:dyDescent="0.25">
      <c r="A286" s="544" t="s">
        <v>1674</v>
      </c>
      <c r="B286" s="545">
        <v>0</v>
      </c>
      <c r="C286" s="544" t="s">
        <v>1674</v>
      </c>
      <c r="D286" s="544" t="s">
        <v>2777</v>
      </c>
      <c r="E286" s="542" t="s">
        <v>3321</v>
      </c>
      <c r="G286" s="546"/>
      <c r="H286" s="546">
        <v>952</v>
      </c>
      <c r="I286" s="546">
        <v>7854</v>
      </c>
      <c r="J286" s="542" t="s">
        <v>2701</v>
      </c>
      <c r="K286" s="547">
        <v>1200</v>
      </c>
      <c r="L286" s="542" t="s">
        <v>806</v>
      </c>
      <c r="M286" s="548"/>
      <c r="N286" s="549"/>
      <c r="O286" s="544" t="s">
        <v>1674</v>
      </c>
      <c r="P286" s="544" t="s">
        <v>1674</v>
      </c>
      <c r="Q286" s="544" t="s">
        <v>3322</v>
      </c>
      <c r="R286" s="544" t="s">
        <v>1674</v>
      </c>
      <c r="S286" s="544" t="s">
        <v>1674</v>
      </c>
      <c r="T286" s="550"/>
      <c r="U286" s="544" t="s">
        <v>3323</v>
      </c>
      <c r="V286" s="547">
        <v>1477</v>
      </c>
      <c r="W286" s="548"/>
      <c r="Y286" s="544" t="s">
        <v>1674</v>
      </c>
      <c r="AA286" s="544" t="s">
        <v>1674</v>
      </c>
      <c r="AE286" s="551"/>
      <c r="AF286" s="544" t="s">
        <v>1674</v>
      </c>
      <c r="AG286" s="544" t="s">
        <v>1674</v>
      </c>
      <c r="AH286" s="544" t="s">
        <v>1674</v>
      </c>
      <c r="AI286" s="544" t="s">
        <v>1674</v>
      </c>
      <c r="AJ286" s="544" t="s">
        <v>1674</v>
      </c>
      <c r="AK286" s="544" t="s">
        <v>1674</v>
      </c>
      <c r="AL286" s="544" t="s">
        <v>1674</v>
      </c>
      <c r="AM286" s="544" t="s">
        <v>1674</v>
      </c>
      <c r="AN286" s="544" t="s">
        <v>1674</v>
      </c>
      <c r="AP286" s="542">
        <f t="shared" si="8"/>
        <v>0</v>
      </c>
      <c r="AR286" s="552">
        <f t="shared" si="9"/>
        <v>7854</v>
      </c>
    </row>
    <row r="287" spans="1:44" outlineLevel="1" x14ac:dyDescent="0.25">
      <c r="A287" s="544" t="s">
        <v>1674</v>
      </c>
      <c r="B287" s="545">
        <v>20206</v>
      </c>
      <c r="C287" s="544" t="s">
        <v>2793</v>
      </c>
      <c r="D287" s="544" t="s">
        <v>2794</v>
      </c>
      <c r="E287" s="542" t="s">
        <v>2795</v>
      </c>
      <c r="G287" s="546">
        <v>-1340</v>
      </c>
      <c r="H287" s="546"/>
      <c r="I287" s="546"/>
      <c r="J287" s="542" t="s">
        <v>806</v>
      </c>
      <c r="K287" s="547">
        <v>8336</v>
      </c>
      <c r="L287" s="542" t="s">
        <v>806</v>
      </c>
      <c r="M287" s="548"/>
      <c r="N287" s="549"/>
      <c r="O287" s="544" t="s">
        <v>1674</v>
      </c>
      <c r="P287" s="544" t="s">
        <v>1674</v>
      </c>
      <c r="Q287" s="544" t="s">
        <v>2796</v>
      </c>
      <c r="R287" s="544" t="s">
        <v>1674</v>
      </c>
      <c r="S287" s="544" t="s">
        <v>1674</v>
      </c>
      <c r="T287" s="550"/>
      <c r="U287" s="544" t="s">
        <v>2797</v>
      </c>
      <c r="V287" s="547">
        <v>49</v>
      </c>
      <c r="W287" s="548"/>
      <c r="Y287" s="544" t="s">
        <v>1674</v>
      </c>
      <c r="AA287" s="544" t="s">
        <v>1674</v>
      </c>
      <c r="AE287" s="551"/>
      <c r="AF287" s="544" t="s">
        <v>1674</v>
      </c>
      <c r="AG287" s="544" t="s">
        <v>1674</v>
      </c>
      <c r="AH287" s="544" t="s">
        <v>1674</v>
      </c>
      <c r="AI287" s="544" t="s">
        <v>1674</v>
      </c>
      <c r="AJ287" s="544" t="s">
        <v>1674</v>
      </c>
      <c r="AK287" s="544" t="s">
        <v>1674</v>
      </c>
      <c r="AL287" s="544" t="s">
        <v>1674</v>
      </c>
      <c r="AM287" s="544" t="s">
        <v>2798</v>
      </c>
      <c r="AN287" s="544" t="s">
        <v>1674</v>
      </c>
      <c r="AP287" s="542">
        <f t="shared" si="8"/>
        <v>0</v>
      </c>
      <c r="AR287" s="552">
        <f t="shared" si="9"/>
        <v>0</v>
      </c>
    </row>
    <row r="288" spans="1:44" outlineLevel="1" x14ac:dyDescent="0.25">
      <c r="A288" s="544" t="s">
        <v>1674</v>
      </c>
      <c r="B288" s="545">
        <v>0</v>
      </c>
      <c r="C288" s="544" t="s">
        <v>1674</v>
      </c>
      <c r="D288" s="544" t="s">
        <v>2794</v>
      </c>
      <c r="E288" s="542" t="s">
        <v>2799</v>
      </c>
      <c r="G288" s="546">
        <v>-610</v>
      </c>
      <c r="H288" s="546"/>
      <c r="I288" s="546"/>
      <c r="J288" s="542" t="s">
        <v>806</v>
      </c>
      <c r="K288" s="547">
        <v>8125</v>
      </c>
      <c r="L288" s="542" t="s">
        <v>806</v>
      </c>
      <c r="M288" s="548"/>
      <c r="N288" s="549"/>
      <c r="O288" s="544" t="s">
        <v>1674</v>
      </c>
      <c r="P288" s="544" t="s">
        <v>1674</v>
      </c>
      <c r="Q288" s="544" t="s">
        <v>2796</v>
      </c>
      <c r="R288" s="544" t="s">
        <v>1674</v>
      </c>
      <c r="S288" s="544" t="s">
        <v>1674</v>
      </c>
      <c r="T288" s="550"/>
      <c r="U288" s="544" t="s">
        <v>2797</v>
      </c>
      <c r="V288" s="547">
        <v>47</v>
      </c>
      <c r="W288" s="548"/>
      <c r="Y288" s="544" t="s">
        <v>1674</v>
      </c>
      <c r="AA288" s="544" t="s">
        <v>1674</v>
      </c>
      <c r="AE288" s="551"/>
      <c r="AF288" s="544" t="s">
        <v>1674</v>
      </c>
      <c r="AG288" s="544" t="s">
        <v>1674</v>
      </c>
      <c r="AH288" s="544" t="s">
        <v>1674</v>
      </c>
      <c r="AI288" s="544" t="s">
        <v>1674</v>
      </c>
      <c r="AJ288" s="544" t="s">
        <v>1674</v>
      </c>
      <c r="AK288" s="544" t="s">
        <v>1674</v>
      </c>
      <c r="AL288" s="544" t="s">
        <v>1674</v>
      </c>
      <c r="AM288" s="544" t="s">
        <v>1674</v>
      </c>
      <c r="AN288" s="544" t="s">
        <v>1674</v>
      </c>
      <c r="AP288" s="542">
        <f t="shared" ref="AP288:AP351" si="10">IF(F288&lt;&gt;0,($AP$2-$F288)*-1,0)</f>
        <v>0</v>
      </c>
      <c r="AR288" s="552">
        <f t="shared" si="9"/>
        <v>0</v>
      </c>
    </row>
    <row r="289" spans="1:44" outlineLevel="1" x14ac:dyDescent="0.25">
      <c r="A289" s="544" t="s">
        <v>1674</v>
      </c>
      <c r="B289" s="545">
        <v>0</v>
      </c>
      <c r="C289" s="544" t="s">
        <v>1674</v>
      </c>
      <c r="D289" s="544" t="s">
        <v>2794</v>
      </c>
      <c r="E289" s="542" t="s">
        <v>2800</v>
      </c>
      <c r="G289" s="546">
        <v>-300</v>
      </c>
      <c r="H289" s="546"/>
      <c r="I289" s="546">
        <v>2250</v>
      </c>
      <c r="J289" s="542" t="s">
        <v>2584</v>
      </c>
      <c r="K289" s="547">
        <v>8336</v>
      </c>
      <c r="L289" s="542" t="s">
        <v>806</v>
      </c>
      <c r="M289" s="548"/>
      <c r="N289" s="549"/>
      <c r="O289" s="544" t="s">
        <v>1674</v>
      </c>
      <c r="P289" s="544" t="s">
        <v>1674</v>
      </c>
      <c r="Q289" s="544" t="s">
        <v>2801</v>
      </c>
      <c r="R289" s="544" t="s">
        <v>1674</v>
      </c>
      <c r="S289" s="544" t="s">
        <v>1674</v>
      </c>
      <c r="T289" s="550"/>
      <c r="U289" s="544" t="s">
        <v>2797</v>
      </c>
      <c r="V289" s="547">
        <v>51</v>
      </c>
      <c r="W289" s="548"/>
      <c r="Y289" s="544" t="s">
        <v>1674</v>
      </c>
      <c r="AA289" s="544" t="s">
        <v>1674</v>
      </c>
      <c r="AE289" s="551"/>
      <c r="AF289" s="544" t="s">
        <v>1674</v>
      </c>
      <c r="AG289" s="544" t="s">
        <v>1674</v>
      </c>
      <c r="AH289" s="544" t="s">
        <v>1674</v>
      </c>
      <c r="AI289" s="544" t="s">
        <v>1674</v>
      </c>
      <c r="AJ289" s="544" t="s">
        <v>1674</v>
      </c>
      <c r="AK289" s="544" t="s">
        <v>1674</v>
      </c>
      <c r="AL289" s="544" t="s">
        <v>1674</v>
      </c>
      <c r="AM289" s="544" t="s">
        <v>1674</v>
      </c>
      <c r="AN289" s="544" t="s">
        <v>1674</v>
      </c>
      <c r="AP289" s="542">
        <f t="shared" si="10"/>
        <v>0</v>
      </c>
      <c r="AR289" s="552">
        <f t="shared" si="9"/>
        <v>-2250</v>
      </c>
    </row>
    <row r="290" spans="1:44" outlineLevel="1" x14ac:dyDescent="0.25">
      <c r="A290" s="544" t="s">
        <v>1674</v>
      </c>
      <c r="B290" s="545">
        <v>10200</v>
      </c>
      <c r="C290" s="544" t="s">
        <v>2774</v>
      </c>
      <c r="D290" s="544" t="s">
        <v>2802</v>
      </c>
      <c r="E290" s="542" t="s">
        <v>2803</v>
      </c>
      <c r="G290" s="546"/>
      <c r="H290" s="546">
        <v>110.24</v>
      </c>
      <c r="I290" s="546"/>
      <c r="J290" s="542" t="s">
        <v>806</v>
      </c>
      <c r="K290" s="547">
        <v>8400</v>
      </c>
      <c r="L290" s="542" t="s">
        <v>806</v>
      </c>
      <c r="M290" s="548"/>
      <c r="N290" s="549"/>
      <c r="O290" s="544" t="s">
        <v>1674</v>
      </c>
      <c r="P290" s="544" t="s">
        <v>1674</v>
      </c>
      <c r="Q290" s="544" t="s">
        <v>2776</v>
      </c>
      <c r="R290" s="544" t="s">
        <v>1674</v>
      </c>
      <c r="S290" s="544" t="s">
        <v>1674</v>
      </c>
      <c r="T290" s="550">
        <v>19</v>
      </c>
      <c r="U290" s="544" t="s">
        <v>2691</v>
      </c>
      <c r="V290" s="547">
        <v>350</v>
      </c>
      <c r="W290" s="548"/>
      <c r="Y290" s="544" t="s">
        <v>1674</v>
      </c>
      <c r="AA290" s="544" t="s">
        <v>1674</v>
      </c>
      <c r="AE290" s="551"/>
      <c r="AF290" s="544" t="s">
        <v>1674</v>
      </c>
      <c r="AG290" s="544" t="s">
        <v>1674</v>
      </c>
      <c r="AH290" s="544" t="s">
        <v>1674</v>
      </c>
      <c r="AI290" s="544" t="s">
        <v>1674</v>
      </c>
      <c r="AJ290" s="544" t="s">
        <v>1674</v>
      </c>
      <c r="AK290" s="544" t="s">
        <v>1674</v>
      </c>
      <c r="AL290" s="544" t="s">
        <v>1674</v>
      </c>
      <c r="AM290" s="544" t="s">
        <v>2774</v>
      </c>
      <c r="AN290" s="544" t="s">
        <v>1674</v>
      </c>
      <c r="AP290" s="542">
        <f t="shared" si="10"/>
        <v>0</v>
      </c>
      <c r="AR290" s="552">
        <f t="shared" si="9"/>
        <v>0</v>
      </c>
    </row>
    <row r="291" spans="1:44" outlineLevel="1" x14ac:dyDescent="0.25">
      <c r="A291" s="544" t="s">
        <v>1674</v>
      </c>
      <c r="B291" s="545">
        <v>0</v>
      </c>
      <c r="C291" s="544" t="s">
        <v>1674</v>
      </c>
      <c r="D291" s="544" t="s">
        <v>2802</v>
      </c>
      <c r="E291" s="542" t="s">
        <v>2803</v>
      </c>
      <c r="G291" s="546"/>
      <c r="H291" s="546">
        <v>10.28</v>
      </c>
      <c r="I291" s="546"/>
      <c r="J291" s="542" t="s">
        <v>806</v>
      </c>
      <c r="K291" s="547">
        <v>8400</v>
      </c>
      <c r="L291" s="542" t="s">
        <v>806</v>
      </c>
      <c r="M291" s="548"/>
      <c r="N291" s="549"/>
      <c r="O291" s="544" t="s">
        <v>1674</v>
      </c>
      <c r="P291" s="544" t="s">
        <v>1674</v>
      </c>
      <c r="Q291" s="544" t="s">
        <v>2776</v>
      </c>
      <c r="R291" s="544" t="s">
        <v>2617</v>
      </c>
      <c r="S291" s="544" t="s">
        <v>1674</v>
      </c>
      <c r="T291" s="550">
        <v>19</v>
      </c>
      <c r="U291" s="544" t="s">
        <v>2691</v>
      </c>
      <c r="V291" s="547">
        <v>351</v>
      </c>
      <c r="W291" s="548"/>
      <c r="Y291" s="544" t="s">
        <v>1674</v>
      </c>
      <c r="AA291" s="544" t="s">
        <v>1674</v>
      </c>
      <c r="AE291" s="551"/>
      <c r="AF291" s="544" t="s">
        <v>1674</v>
      </c>
      <c r="AG291" s="544" t="s">
        <v>1674</v>
      </c>
      <c r="AH291" s="544" t="s">
        <v>1674</v>
      </c>
      <c r="AI291" s="544" t="s">
        <v>1674</v>
      </c>
      <c r="AJ291" s="544" t="s">
        <v>1674</v>
      </c>
      <c r="AK291" s="544" t="s">
        <v>1674</v>
      </c>
      <c r="AL291" s="544" t="s">
        <v>1674</v>
      </c>
      <c r="AM291" s="544" t="s">
        <v>1674</v>
      </c>
      <c r="AN291" s="544" t="s">
        <v>1674</v>
      </c>
      <c r="AP291" s="542">
        <f t="shared" si="10"/>
        <v>0</v>
      </c>
      <c r="AR291" s="552">
        <f t="shared" si="9"/>
        <v>0</v>
      </c>
    </row>
    <row r="292" spans="1:44" outlineLevel="1" x14ac:dyDescent="0.25">
      <c r="A292" s="544" t="s">
        <v>1674</v>
      </c>
      <c r="B292" s="545">
        <v>0</v>
      </c>
      <c r="C292" s="544" t="s">
        <v>1674</v>
      </c>
      <c r="D292" s="544" t="s">
        <v>2802</v>
      </c>
      <c r="E292" s="542" t="s">
        <v>2803</v>
      </c>
      <c r="G292" s="546"/>
      <c r="H292" s="546">
        <v>1646.63</v>
      </c>
      <c r="I292" s="546">
        <v>1767.15</v>
      </c>
      <c r="J292" s="542" t="s">
        <v>2584</v>
      </c>
      <c r="K292" s="547">
        <v>8401</v>
      </c>
      <c r="L292" s="542" t="s">
        <v>806</v>
      </c>
      <c r="M292" s="548"/>
      <c r="N292" s="549"/>
      <c r="O292" s="544" t="s">
        <v>1674</v>
      </c>
      <c r="P292" s="544" t="s">
        <v>1674</v>
      </c>
      <c r="Q292" s="544" t="s">
        <v>2776</v>
      </c>
      <c r="R292" s="544" t="s">
        <v>1674</v>
      </c>
      <c r="S292" s="544" t="s">
        <v>1674</v>
      </c>
      <c r="T292" s="550">
        <v>19</v>
      </c>
      <c r="U292" s="544" t="s">
        <v>2691</v>
      </c>
      <c r="V292" s="547">
        <v>352</v>
      </c>
      <c r="W292" s="548"/>
      <c r="Y292" s="544" t="s">
        <v>1674</v>
      </c>
      <c r="AA292" s="544" t="s">
        <v>1674</v>
      </c>
      <c r="AE292" s="551"/>
      <c r="AF292" s="544" t="s">
        <v>1674</v>
      </c>
      <c r="AG292" s="544" t="s">
        <v>1674</v>
      </c>
      <c r="AH292" s="544" t="s">
        <v>1674</v>
      </c>
      <c r="AI292" s="544" t="s">
        <v>1674</v>
      </c>
      <c r="AJ292" s="544" t="s">
        <v>1674</v>
      </c>
      <c r="AK292" s="544" t="s">
        <v>1674</v>
      </c>
      <c r="AL292" s="544" t="s">
        <v>1674</v>
      </c>
      <c r="AM292" s="544" t="s">
        <v>1674</v>
      </c>
      <c r="AN292" s="544" t="s">
        <v>1674</v>
      </c>
      <c r="AP292" s="542">
        <f t="shared" si="10"/>
        <v>0</v>
      </c>
      <c r="AR292" s="552">
        <f t="shared" si="9"/>
        <v>-1767.15</v>
      </c>
    </row>
    <row r="293" spans="1:44" outlineLevel="1" x14ac:dyDescent="0.25">
      <c r="A293" s="544" t="s">
        <v>1674</v>
      </c>
      <c r="B293" s="545">
        <v>10237</v>
      </c>
      <c r="C293" s="544" t="s">
        <v>2750</v>
      </c>
      <c r="D293" s="544" t="s">
        <v>2806</v>
      </c>
      <c r="E293" s="542" t="s">
        <v>2807</v>
      </c>
      <c r="F293" s="542" t="s">
        <v>2808</v>
      </c>
      <c r="G293" s="546">
        <v>773.5</v>
      </c>
      <c r="H293" s="546"/>
      <c r="I293" s="546">
        <v>773.5</v>
      </c>
      <c r="J293" s="542" t="s">
        <v>2701</v>
      </c>
      <c r="K293" s="547">
        <v>8403</v>
      </c>
      <c r="L293" s="542" t="s">
        <v>806</v>
      </c>
      <c r="M293" s="548"/>
      <c r="N293" s="549">
        <v>-400</v>
      </c>
      <c r="O293" s="544" t="s">
        <v>1674</v>
      </c>
      <c r="P293" s="544" t="s">
        <v>1674</v>
      </c>
      <c r="Q293" s="544" t="s">
        <v>2754</v>
      </c>
      <c r="R293" s="544" t="s">
        <v>1674</v>
      </c>
      <c r="S293" s="544" t="s">
        <v>1674</v>
      </c>
      <c r="T293" s="550">
        <v>19</v>
      </c>
      <c r="U293" s="544" t="s">
        <v>2691</v>
      </c>
      <c r="V293" s="547">
        <v>405</v>
      </c>
      <c r="W293" s="548"/>
      <c r="Y293" s="544" t="s">
        <v>1674</v>
      </c>
      <c r="AA293" s="544" t="s">
        <v>1674</v>
      </c>
      <c r="AE293" s="551"/>
      <c r="AF293" s="544" t="s">
        <v>1674</v>
      </c>
      <c r="AG293" s="544" t="s">
        <v>1674</v>
      </c>
      <c r="AH293" s="544" t="s">
        <v>1674</v>
      </c>
      <c r="AI293" s="544" t="s">
        <v>1674</v>
      </c>
      <c r="AJ293" s="544" t="s">
        <v>1674</v>
      </c>
      <c r="AK293" s="544" t="s">
        <v>1674</v>
      </c>
      <c r="AL293" s="544" t="s">
        <v>1674</v>
      </c>
      <c r="AM293" s="544" t="s">
        <v>2755</v>
      </c>
      <c r="AN293" s="544" t="s">
        <v>1674</v>
      </c>
      <c r="AP293" s="542">
        <f t="shared" si="10"/>
        <v>-339</v>
      </c>
      <c r="AR293" s="552">
        <f t="shared" si="9"/>
        <v>773.5</v>
      </c>
    </row>
    <row r="294" spans="1:44" outlineLevel="1" x14ac:dyDescent="0.25">
      <c r="A294" s="544" t="s">
        <v>1674</v>
      </c>
      <c r="B294" s="545">
        <v>11811</v>
      </c>
      <c r="C294" s="544" t="s">
        <v>2820</v>
      </c>
      <c r="D294" s="544" t="s">
        <v>2821</v>
      </c>
      <c r="E294" s="542" t="s">
        <v>2822</v>
      </c>
      <c r="F294" s="542" t="s">
        <v>2823</v>
      </c>
      <c r="G294" s="546">
        <v>111.15</v>
      </c>
      <c r="H294" s="546"/>
      <c r="I294" s="546"/>
      <c r="J294" s="542" t="s">
        <v>806</v>
      </c>
      <c r="K294" s="547">
        <v>8400</v>
      </c>
      <c r="L294" s="542" t="s">
        <v>806</v>
      </c>
      <c r="M294" s="548"/>
      <c r="N294" s="549">
        <v>-385</v>
      </c>
      <c r="O294" s="544" t="s">
        <v>1674</v>
      </c>
      <c r="P294" s="544" t="s">
        <v>1674</v>
      </c>
      <c r="Q294" s="544" t="s">
        <v>2824</v>
      </c>
      <c r="R294" s="544" t="s">
        <v>2622</v>
      </c>
      <c r="S294" s="544" t="s">
        <v>1674</v>
      </c>
      <c r="T294" s="550">
        <v>19</v>
      </c>
      <c r="U294" s="544" t="s">
        <v>2694</v>
      </c>
      <c r="V294" s="547">
        <v>179</v>
      </c>
      <c r="W294" s="548"/>
      <c r="Y294" s="544" t="s">
        <v>1674</v>
      </c>
      <c r="AA294" s="544" t="s">
        <v>1674</v>
      </c>
      <c r="AE294" s="551"/>
      <c r="AF294" s="544" t="s">
        <v>1674</v>
      </c>
      <c r="AG294" s="544" t="s">
        <v>1674</v>
      </c>
      <c r="AH294" s="544" t="s">
        <v>1674</v>
      </c>
      <c r="AI294" s="544" t="s">
        <v>1674</v>
      </c>
      <c r="AJ294" s="544" t="s">
        <v>1674</v>
      </c>
      <c r="AK294" s="544" t="s">
        <v>1674</v>
      </c>
      <c r="AL294" s="544" t="s">
        <v>1674</v>
      </c>
      <c r="AM294" s="544" t="s">
        <v>2825</v>
      </c>
      <c r="AN294" s="544" t="s">
        <v>1674</v>
      </c>
      <c r="AP294" s="542">
        <f t="shared" si="10"/>
        <v>-324</v>
      </c>
      <c r="AR294" s="552">
        <f t="shared" si="9"/>
        <v>0</v>
      </c>
    </row>
    <row r="295" spans="1:44" outlineLevel="1" x14ac:dyDescent="0.25">
      <c r="A295" s="544" t="s">
        <v>1674</v>
      </c>
      <c r="B295" s="545">
        <v>0</v>
      </c>
      <c r="C295" s="544" t="s">
        <v>1674</v>
      </c>
      <c r="D295" s="544" t="s">
        <v>2821</v>
      </c>
      <c r="E295" s="542" t="s">
        <v>2822</v>
      </c>
      <c r="F295" s="542" t="s">
        <v>2823</v>
      </c>
      <c r="G295" s="546">
        <v>543.59</v>
      </c>
      <c r="H295" s="546"/>
      <c r="I295" s="546">
        <v>654.74</v>
      </c>
      <c r="J295" s="542" t="s">
        <v>2701</v>
      </c>
      <c r="K295" s="547">
        <v>8400</v>
      </c>
      <c r="L295" s="542" t="s">
        <v>806</v>
      </c>
      <c r="M295" s="548"/>
      <c r="N295" s="549">
        <v>-385</v>
      </c>
      <c r="O295" s="544" t="s">
        <v>1674</v>
      </c>
      <c r="P295" s="544" t="s">
        <v>1674</v>
      </c>
      <c r="Q295" s="544" t="s">
        <v>2824</v>
      </c>
      <c r="R295" s="544" t="s">
        <v>1674</v>
      </c>
      <c r="S295" s="544" t="s">
        <v>1674</v>
      </c>
      <c r="T295" s="550">
        <v>19</v>
      </c>
      <c r="U295" s="544" t="s">
        <v>2694</v>
      </c>
      <c r="V295" s="547">
        <v>180</v>
      </c>
      <c r="W295" s="548"/>
      <c r="Y295" s="544" t="s">
        <v>1674</v>
      </c>
      <c r="AA295" s="544" t="s">
        <v>1674</v>
      </c>
      <c r="AE295" s="551"/>
      <c r="AF295" s="544" t="s">
        <v>1674</v>
      </c>
      <c r="AG295" s="544" t="s">
        <v>1674</v>
      </c>
      <c r="AH295" s="544" t="s">
        <v>1674</v>
      </c>
      <c r="AI295" s="544" t="s">
        <v>1674</v>
      </c>
      <c r="AJ295" s="544" t="s">
        <v>1674</v>
      </c>
      <c r="AK295" s="544" t="s">
        <v>1674</v>
      </c>
      <c r="AL295" s="544" t="s">
        <v>1674</v>
      </c>
      <c r="AM295" s="544" t="s">
        <v>1674</v>
      </c>
      <c r="AN295" s="544" t="s">
        <v>1674</v>
      </c>
      <c r="AP295" s="542">
        <f t="shared" si="10"/>
        <v>-324</v>
      </c>
      <c r="AR295" s="552">
        <f t="shared" si="9"/>
        <v>654.74</v>
      </c>
    </row>
    <row r="296" spans="1:44" outlineLevel="1" x14ac:dyDescent="0.25">
      <c r="A296" s="544" t="s">
        <v>1674</v>
      </c>
      <c r="B296" s="545">
        <v>22506</v>
      </c>
      <c r="C296" s="544" t="s">
        <v>2859</v>
      </c>
      <c r="D296" s="544" t="s">
        <v>2860</v>
      </c>
      <c r="E296" s="542" t="s">
        <v>2817</v>
      </c>
      <c r="G296" s="546"/>
      <c r="H296" s="546">
        <v>1410</v>
      </c>
      <c r="I296" s="546">
        <v>1410</v>
      </c>
      <c r="J296" s="542" t="s">
        <v>2584</v>
      </c>
      <c r="K296" s="547">
        <v>1360</v>
      </c>
      <c r="L296" s="542" t="s">
        <v>806</v>
      </c>
      <c r="M296" s="548"/>
      <c r="N296" s="549"/>
      <c r="O296" s="544" t="s">
        <v>1674</v>
      </c>
      <c r="P296" s="544" t="s">
        <v>1674</v>
      </c>
      <c r="Q296" s="544" t="s">
        <v>2861</v>
      </c>
      <c r="R296" s="544" t="s">
        <v>1674</v>
      </c>
      <c r="S296" s="544" t="s">
        <v>1674</v>
      </c>
      <c r="T296" s="550"/>
      <c r="U296" s="544" t="s">
        <v>2862</v>
      </c>
      <c r="V296" s="547">
        <v>50</v>
      </c>
      <c r="W296" s="548"/>
      <c r="Y296" s="544" t="s">
        <v>1674</v>
      </c>
      <c r="AA296" s="544" t="s">
        <v>1674</v>
      </c>
      <c r="AE296" s="551"/>
      <c r="AF296" s="544" t="s">
        <v>1674</v>
      </c>
      <c r="AG296" s="544" t="s">
        <v>1674</v>
      </c>
      <c r="AH296" s="544" t="s">
        <v>1674</v>
      </c>
      <c r="AI296" s="544" t="s">
        <v>1674</v>
      </c>
      <c r="AJ296" s="544" t="s">
        <v>1674</v>
      </c>
      <c r="AK296" s="544" t="s">
        <v>1674</v>
      </c>
      <c r="AL296" s="544" t="s">
        <v>1674</v>
      </c>
      <c r="AM296" s="544" t="s">
        <v>2863</v>
      </c>
      <c r="AN296" s="544" t="s">
        <v>1674</v>
      </c>
      <c r="AP296" s="542">
        <f t="shared" si="10"/>
        <v>0</v>
      </c>
      <c r="AR296" s="552">
        <f t="shared" si="9"/>
        <v>-1410</v>
      </c>
    </row>
    <row r="297" spans="1:44" outlineLevel="1" x14ac:dyDescent="0.25">
      <c r="A297" s="544" t="s">
        <v>1674</v>
      </c>
      <c r="B297" s="545">
        <v>11813</v>
      </c>
      <c r="C297" s="544" t="s">
        <v>2814</v>
      </c>
      <c r="D297" s="544" t="s">
        <v>2876</v>
      </c>
      <c r="E297" s="542" t="s">
        <v>2866</v>
      </c>
      <c r="F297" s="542" t="s">
        <v>2867</v>
      </c>
      <c r="G297" s="546">
        <v>761.6</v>
      </c>
      <c r="H297" s="546"/>
      <c r="I297" s="546"/>
      <c r="J297" s="542" t="s">
        <v>806</v>
      </c>
      <c r="K297" s="547">
        <v>8400</v>
      </c>
      <c r="L297" s="542" t="s">
        <v>806</v>
      </c>
      <c r="M297" s="548"/>
      <c r="N297" s="549">
        <v>-357</v>
      </c>
      <c r="O297" s="544" t="s">
        <v>1674</v>
      </c>
      <c r="P297" s="544" t="s">
        <v>1674</v>
      </c>
      <c r="Q297" s="544" t="s">
        <v>2818</v>
      </c>
      <c r="R297" s="544" t="s">
        <v>2622</v>
      </c>
      <c r="S297" s="544" t="s">
        <v>1674</v>
      </c>
      <c r="T297" s="550">
        <v>19</v>
      </c>
      <c r="U297" s="544" t="s">
        <v>2697</v>
      </c>
      <c r="V297" s="547">
        <v>533</v>
      </c>
      <c r="W297" s="548"/>
      <c r="Y297" s="544" t="s">
        <v>1674</v>
      </c>
      <c r="AA297" s="544" t="s">
        <v>1674</v>
      </c>
      <c r="AE297" s="551"/>
      <c r="AF297" s="544" t="s">
        <v>1674</v>
      </c>
      <c r="AG297" s="544" t="s">
        <v>1674</v>
      </c>
      <c r="AH297" s="544" t="s">
        <v>1674</v>
      </c>
      <c r="AI297" s="544" t="s">
        <v>1674</v>
      </c>
      <c r="AJ297" s="544" t="s">
        <v>1674</v>
      </c>
      <c r="AK297" s="544" t="s">
        <v>1674</v>
      </c>
      <c r="AL297" s="544" t="s">
        <v>1674</v>
      </c>
      <c r="AM297" s="544" t="s">
        <v>2819</v>
      </c>
      <c r="AN297" s="544" t="s">
        <v>1674</v>
      </c>
      <c r="AP297" s="542">
        <f t="shared" si="10"/>
        <v>-296</v>
      </c>
      <c r="AR297" s="552">
        <f t="shared" si="9"/>
        <v>0</v>
      </c>
    </row>
    <row r="298" spans="1:44" outlineLevel="1" x14ac:dyDescent="0.25">
      <c r="A298" s="544" t="s">
        <v>1674</v>
      </c>
      <c r="B298" s="545">
        <v>0</v>
      </c>
      <c r="C298" s="544" t="s">
        <v>1674</v>
      </c>
      <c r="D298" s="544" t="s">
        <v>2876</v>
      </c>
      <c r="E298" s="542" t="s">
        <v>2838</v>
      </c>
      <c r="G298" s="546"/>
      <c r="H298" s="546">
        <v>706.36</v>
      </c>
      <c r="I298" s="546">
        <v>55.24</v>
      </c>
      <c r="J298" s="542" t="s">
        <v>2701</v>
      </c>
      <c r="K298" s="547">
        <v>1200</v>
      </c>
      <c r="L298" s="542" t="s">
        <v>806</v>
      </c>
      <c r="M298" s="548"/>
      <c r="N298" s="549"/>
      <c r="O298" s="544" t="s">
        <v>1674</v>
      </c>
      <c r="P298" s="544" t="s">
        <v>1674</v>
      </c>
      <c r="Q298" s="544" t="s">
        <v>2877</v>
      </c>
      <c r="R298" s="544" t="s">
        <v>1674</v>
      </c>
      <c r="S298" s="544" t="s">
        <v>1674</v>
      </c>
      <c r="T298" s="550"/>
      <c r="U298" s="544" t="s">
        <v>2697</v>
      </c>
      <c r="V298" s="547">
        <v>1106</v>
      </c>
      <c r="W298" s="548"/>
      <c r="Y298" s="544" t="s">
        <v>1674</v>
      </c>
      <c r="AA298" s="544" t="s">
        <v>1674</v>
      </c>
      <c r="AE298" s="551"/>
      <c r="AF298" s="544" t="s">
        <v>1674</v>
      </c>
      <c r="AG298" s="544" t="s">
        <v>1674</v>
      </c>
      <c r="AH298" s="544" t="s">
        <v>1674</v>
      </c>
      <c r="AI298" s="544" t="s">
        <v>1674</v>
      </c>
      <c r="AJ298" s="544" t="s">
        <v>1674</v>
      </c>
      <c r="AK298" s="544" t="s">
        <v>1674</v>
      </c>
      <c r="AL298" s="544" t="s">
        <v>1674</v>
      </c>
      <c r="AM298" s="544" t="s">
        <v>1674</v>
      </c>
      <c r="AN298" s="544" t="s">
        <v>1674</v>
      </c>
      <c r="AP298" s="542">
        <f t="shared" si="10"/>
        <v>0</v>
      </c>
      <c r="AR298" s="552">
        <f t="shared" si="9"/>
        <v>55.24</v>
      </c>
    </row>
    <row r="299" spans="1:44" outlineLevel="1" x14ac:dyDescent="0.25">
      <c r="A299" s="544" t="s">
        <v>1674</v>
      </c>
      <c r="B299" s="545">
        <v>11900</v>
      </c>
      <c r="C299" s="544" t="s">
        <v>2854</v>
      </c>
      <c r="D299" s="544" t="s">
        <v>2906</v>
      </c>
      <c r="E299" s="542" t="s">
        <v>2832</v>
      </c>
      <c r="G299" s="546"/>
      <c r="H299" s="546">
        <v>16.239999999999998</v>
      </c>
      <c r="I299" s="546"/>
      <c r="J299" s="542" t="s">
        <v>806</v>
      </c>
      <c r="K299" s="547">
        <v>8400</v>
      </c>
      <c r="L299" s="542" t="s">
        <v>806</v>
      </c>
      <c r="M299" s="548"/>
      <c r="N299" s="549"/>
      <c r="O299" s="544" t="s">
        <v>1674</v>
      </c>
      <c r="P299" s="544" t="s">
        <v>1674</v>
      </c>
      <c r="Q299" s="544" t="s">
        <v>2907</v>
      </c>
      <c r="R299" s="544" t="s">
        <v>1674</v>
      </c>
      <c r="S299" s="544" t="s">
        <v>1674</v>
      </c>
      <c r="T299" s="550">
        <v>19</v>
      </c>
      <c r="U299" s="544" t="s">
        <v>2697</v>
      </c>
      <c r="V299" s="547">
        <v>707</v>
      </c>
      <c r="W299" s="548"/>
      <c r="Y299" s="544" t="s">
        <v>1674</v>
      </c>
      <c r="AA299" s="544" t="s">
        <v>1674</v>
      </c>
      <c r="AE299" s="551"/>
      <c r="AF299" s="544" t="s">
        <v>1674</v>
      </c>
      <c r="AG299" s="544" t="s">
        <v>1674</v>
      </c>
      <c r="AH299" s="544" t="s">
        <v>1674</v>
      </c>
      <c r="AI299" s="544" t="s">
        <v>1674</v>
      </c>
      <c r="AJ299" s="544" t="s">
        <v>1674</v>
      </c>
      <c r="AK299" s="544" t="s">
        <v>1674</v>
      </c>
      <c r="AL299" s="544" t="s">
        <v>1674</v>
      </c>
      <c r="AM299" s="544" t="s">
        <v>2854</v>
      </c>
      <c r="AN299" s="544" t="s">
        <v>1674</v>
      </c>
      <c r="AP299" s="542">
        <f t="shared" si="10"/>
        <v>0</v>
      </c>
      <c r="AR299" s="552">
        <f t="shared" si="9"/>
        <v>0</v>
      </c>
    </row>
    <row r="300" spans="1:44" outlineLevel="1" x14ac:dyDescent="0.25">
      <c r="A300" s="544" t="s">
        <v>1674</v>
      </c>
      <c r="B300" s="545">
        <v>0</v>
      </c>
      <c r="C300" s="544" t="s">
        <v>1674</v>
      </c>
      <c r="D300" s="544" t="s">
        <v>2906</v>
      </c>
      <c r="E300" s="542" t="s">
        <v>2832</v>
      </c>
      <c r="G300" s="546"/>
      <c r="H300" s="546">
        <v>0.79</v>
      </c>
      <c r="I300" s="546"/>
      <c r="J300" s="542" t="s">
        <v>806</v>
      </c>
      <c r="K300" s="547">
        <v>8400</v>
      </c>
      <c r="L300" s="542" t="s">
        <v>806</v>
      </c>
      <c r="M300" s="548"/>
      <c r="N300" s="549"/>
      <c r="O300" s="544" t="s">
        <v>1674</v>
      </c>
      <c r="P300" s="544" t="s">
        <v>1674</v>
      </c>
      <c r="Q300" s="544" t="s">
        <v>2907</v>
      </c>
      <c r="R300" s="544" t="s">
        <v>2617</v>
      </c>
      <c r="S300" s="544" t="s">
        <v>1674</v>
      </c>
      <c r="T300" s="550">
        <v>19</v>
      </c>
      <c r="U300" s="544" t="s">
        <v>2697</v>
      </c>
      <c r="V300" s="547">
        <v>708</v>
      </c>
      <c r="W300" s="548"/>
      <c r="Y300" s="544" t="s">
        <v>1674</v>
      </c>
      <c r="AA300" s="544" t="s">
        <v>1674</v>
      </c>
      <c r="AE300" s="551"/>
      <c r="AF300" s="544" t="s">
        <v>1674</v>
      </c>
      <c r="AG300" s="544" t="s">
        <v>1674</v>
      </c>
      <c r="AH300" s="544" t="s">
        <v>1674</v>
      </c>
      <c r="AI300" s="544" t="s">
        <v>1674</v>
      </c>
      <c r="AJ300" s="544" t="s">
        <v>1674</v>
      </c>
      <c r="AK300" s="544" t="s">
        <v>1674</v>
      </c>
      <c r="AL300" s="544" t="s">
        <v>1674</v>
      </c>
      <c r="AM300" s="544" t="s">
        <v>1674</v>
      </c>
      <c r="AN300" s="544" t="s">
        <v>1674</v>
      </c>
      <c r="AP300" s="542">
        <f t="shared" si="10"/>
        <v>0</v>
      </c>
      <c r="AR300" s="552">
        <f t="shared" si="9"/>
        <v>0</v>
      </c>
    </row>
    <row r="301" spans="1:44" outlineLevel="1" x14ac:dyDescent="0.25">
      <c r="A301" s="544" t="s">
        <v>1674</v>
      </c>
      <c r="B301" s="545">
        <v>0</v>
      </c>
      <c r="C301" s="544" t="s">
        <v>1674</v>
      </c>
      <c r="D301" s="544" t="s">
        <v>2906</v>
      </c>
      <c r="E301" s="542" t="s">
        <v>2832</v>
      </c>
      <c r="G301" s="546"/>
      <c r="H301" s="546">
        <v>244.77</v>
      </c>
      <c r="I301" s="546">
        <v>261.8</v>
      </c>
      <c r="J301" s="542" t="s">
        <v>2584</v>
      </c>
      <c r="K301" s="547">
        <v>8401</v>
      </c>
      <c r="L301" s="542" t="s">
        <v>806</v>
      </c>
      <c r="M301" s="548"/>
      <c r="N301" s="549"/>
      <c r="O301" s="544" t="s">
        <v>1674</v>
      </c>
      <c r="P301" s="544" t="s">
        <v>1674</v>
      </c>
      <c r="Q301" s="544" t="s">
        <v>2907</v>
      </c>
      <c r="R301" s="544" t="s">
        <v>1674</v>
      </c>
      <c r="S301" s="544" t="s">
        <v>1674</v>
      </c>
      <c r="T301" s="550">
        <v>19</v>
      </c>
      <c r="U301" s="544" t="s">
        <v>2697</v>
      </c>
      <c r="V301" s="547">
        <v>709</v>
      </c>
      <c r="W301" s="548"/>
      <c r="Y301" s="544" t="s">
        <v>1674</v>
      </c>
      <c r="AA301" s="544" t="s">
        <v>1674</v>
      </c>
      <c r="AE301" s="551"/>
      <c r="AF301" s="544" t="s">
        <v>1674</v>
      </c>
      <c r="AG301" s="544" t="s">
        <v>1674</v>
      </c>
      <c r="AH301" s="544" t="s">
        <v>1674</v>
      </c>
      <c r="AI301" s="544" t="s">
        <v>1674</v>
      </c>
      <c r="AJ301" s="544" t="s">
        <v>1674</v>
      </c>
      <c r="AK301" s="544" t="s">
        <v>1674</v>
      </c>
      <c r="AL301" s="544" t="s">
        <v>1674</v>
      </c>
      <c r="AM301" s="544" t="s">
        <v>1674</v>
      </c>
      <c r="AN301" s="544" t="s">
        <v>1674</v>
      </c>
      <c r="AP301" s="542">
        <f t="shared" si="10"/>
        <v>0</v>
      </c>
      <c r="AR301" s="552">
        <f t="shared" si="9"/>
        <v>-261.8</v>
      </c>
    </row>
    <row r="302" spans="1:44" outlineLevel="1" x14ac:dyDescent="0.25">
      <c r="A302" s="544" t="s">
        <v>1674</v>
      </c>
      <c r="B302" s="545">
        <v>10700</v>
      </c>
      <c r="C302" s="544" t="s">
        <v>2836</v>
      </c>
      <c r="D302" s="544" t="s">
        <v>2908</v>
      </c>
      <c r="E302" s="542" t="s">
        <v>2800</v>
      </c>
      <c r="G302" s="546"/>
      <c r="H302" s="546">
        <v>11.19</v>
      </c>
      <c r="I302" s="546"/>
      <c r="J302" s="542" t="s">
        <v>806</v>
      </c>
      <c r="K302" s="547">
        <v>8400</v>
      </c>
      <c r="L302" s="542" t="s">
        <v>806</v>
      </c>
      <c r="M302" s="548"/>
      <c r="N302" s="549"/>
      <c r="O302" s="544" t="s">
        <v>1674</v>
      </c>
      <c r="P302" s="544" t="s">
        <v>1674</v>
      </c>
      <c r="Q302" s="544" t="s">
        <v>2909</v>
      </c>
      <c r="R302" s="544" t="s">
        <v>1674</v>
      </c>
      <c r="S302" s="544" t="s">
        <v>1674</v>
      </c>
      <c r="T302" s="550">
        <v>19</v>
      </c>
      <c r="U302" s="544" t="s">
        <v>2697</v>
      </c>
      <c r="V302" s="547">
        <v>903</v>
      </c>
      <c r="W302" s="548"/>
      <c r="Y302" s="544" t="s">
        <v>1674</v>
      </c>
      <c r="AA302" s="544" t="s">
        <v>1674</v>
      </c>
      <c r="AE302" s="551"/>
      <c r="AF302" s="544" t="s">
        <v>1674</v>
      </c>
      <c r="AG302" s="544" t="s">
        <v>1674</v>
      </c>
      <c r="AH302" s="544" t="s">
        <v>1674</v>
      </c>
      <c r="AI302" s="544" t="s">
        <v>1674</v>
      </c>
      <c r="AJ302" s="544" t="s">
        <v>1674</v>
      </c>
      <c r="AK302" s="544" t="s">
        <v>1674</v>
      </c>
      <c r="AL302" s="544" t="s">
        <v>1674</v>
      </c>
      <c r="AM302" s="544" t="s">
        <v>2836</v>
      </c>
      <c r="AN302" s="544" t="s">
        <v>1674</v>
      </c>
      <c r="AP302" s="542">
        <f t="shared" si="10"/>
        <v>0</v>
      </c>
      <c r="AR302" s="552">
        <f t="shared" si="9"/>
        <v>0</v>
      </c>
    </row>
    <row r="303" spans="1:44" outlineLevel="1" x14ac:dyDescent="0.25">
      <c r="A303" s="544" t="s">
        <v>1674</v>
      </c>
      <c r="B303" s="545">
        <v>0</v>
      </c>
      <c r="C303" s="544" t="s">
        <v>1674</v>
      </c>
      <c r="D303" s="544" t="s">
        <v>2908</v>
      </c>
      <c r="E303" s="542" t="s">
        <v>2800</v>
      </c>
      <c r="G303" s="546"/>
      <c r="H303" s="546">
        <v>0.6</v>
      </c>
      <c r="I303" s="546"/>
      <c r="J303" s="542" t="s">
        <v>806</v>
      </c>
      <c r="K303" s="547">
        <v>8400</v>
      </c>
      <c r="L303" s="542" t="s">
        <v>806</v>
      </c>
      <c r="M303" s="548"/>
      <c r="N303" s="549"/>
      <c r="O303" s="544" t="s">
        <v>1674</v>
      </c>
      <c r="P303" s="544" t="s">
        <v>1674</v>
      </c>
      <c r="Q303" s="544" t="s">
        <v>2909</v>
      </c>
      <c r="R303" s="544" t="s">
        <v>2617</v>
      </c>
      <c r="S303" s="544" t="s">
        <v>1674</v>
      </c>
      <c r="T303" s="550">
        <v>19</v>
      </c>
      <c r="U303" s="544" t="s">
        <v>2697</v>
      </c>
      <c r="V303" s="547">
        <v>904</v>
      </c>
      <c r="W303" s="548"/>
      <c r="Y303" s="544" t="s">
        <v>1674</v>
      </c>
      <c r="AA303" s="544" t="s">
        <v>1674</v>
      </c>
      <c r="AE303" s="551"/>
      <c r="AF303" s="544" t="s">
        <v>1674</v>
      </c>
      <c r="AG303" s="544" t="s">
        <v>1674</v>
      </c>
      <c r="AH303" s="544" t="s">
        <v>1674</v>
      </c>
      <c r="AI303" s="544" t="s">
        <v>1674</v>
      </c>
      <c r="AJ303" s="544" t="s">
        <v>1674</v>
      </c>
      <c r="AK303" s="544" t="s">
        <v>1674</v>
      </c>
      <c r="AL303" s="544" t="s">
        <v>1674</v>
      </c>
      <c r="AM303" s="544" t="s">
        <v>1674</v>
      </c>
      <c r="AN303" s="544" t="s">
        <v>1674</v>
      </c>
      <c r="AP303" s="542">
        <f t="shared" si="10"/>
        <v>0</v>
      </c>
      <c r="AR303" s="552">
        <f t="shared" si="9"/>
        <v>0</v>
      </c>
    </row>
    <row r="304" spans="1:44" outlineLevel="1" x14ac:dyDescent="0.25">
      <c r="A304" s="544" t="s">
        <v>1674</v>
      </c>
      <c r="B304" s="545">
        <v>0</v>
      </c>
      <c r="C304" s="544" t="s">
        <v>1674</v>
      </c>
      <c r="D304" s="544" t="s">
        <v>2908</v>
      </c>
      <c r="E304" s="542" t="s">
        <v>2800</v>
      </c>
      <c r="G304" s="546"/>
      <c r="H304" s="546">
        <v>166.71</v>
      </c>
      <c r="I304" s="546">
        <v>178.5</v>
      </c>
      <c r="J304" s="542" t="s">
        <v>2584</v>
      </c>
      <c r="K304" s="547">
        <v>8401</v>
      </c>
      <c r="L304" s="542" t="s">
        <v>806</v>
      </c>
      <c r="M304" s="548"/>
      <c r="N304" s="549"/>
      <c r="O304" s="544" t="s">
        <v>1674</v>
      </c>
      <c r="P304" s="544" t="s">
        <v>1674</v>
      </c>
      <c r="Q304" s="544" t="s">
        <v>2909</v>
      </c>
      <c r="R304" s="544" t="s">
        <v>1674</v>
      </c>
      <c r="S304" s="544" t="s">
        <v>1674</v>
      </c>
      <c r="T304" s="550">
        <v>19</v>
      </c>
      <c r="U304" s="544" t="s">
        <v>2697</v>
      </c>
      <c r="V304" s="547">
        <v>905</v>
      </c>
      <c r="W304" s="548"/>
      <c r="Y304" s="544" t="s">
        <v>1674</v>
      </c>
      <c r="AA304" s="544" t="s">
        <v>1674</v>
      </c>
      <c r="AE304" s="551"/>
      <c r="AF304" s="544" t="s">
        <v>1674</v>
      </c>
      <c r="AG304" s="544" t="s">
        <v>1674</v>
      </c>
      <c r="AH304" s="544" t="s">
        <v>1674</v>
      </c>
      <c r="AI304" s="544" t="s">
        <v>1674</v>
      </c>
      <c r="AJ304" s="544" t="s">
        <v>1674</v>
      </c>
      <c r="AK304" s="544" t="s">
        <v>1674</v>
      </c>
      <c r="AL304" s="544" t="s">
        <v>1674</v>
      </c>
      <c r="AM304" s="544" t="s">
        <v>1674</v>
      </c>
      <c r="AN304" s="544" t="s">
        <v>1674</v>
      </c>
      <c r="AP304" s="542">
        <f t="shared" si="10"/>
        <v>0</v>
      </c>
      <c r="AR304" s="552">
        <f t="shared" si="9"/>
        <v>-178.5</v>
      </c>
    </row>
    <row r="305" spans="1:44" outlineLevel="1" x14ac:dyDescent="0.25">
      <c r="A305" s="544" t="s">
        <v>1674</v>
      </c>
      <c r="B305" s="545">
        <v>11813</v>
      </c>
      <c r="C305" s="544" t="s">
        <v>2814</v>
      </c>
      <c r="D305" s="544" t="s">
        <v>2929</v>
      </c>
      <c r="E305" s="542" t="s">
        <v>2844</v>
      </c>
      <c r="F305" s="542" t="s">
        <v>2930</v>
      </c>
      <c r="G305" s="546">
        <v>761.6</v>
      </c>
      <c r="H305" s="546"/>
      <c r="I305" s="546">
        <v>761.6</v>
      </c>
      <c r="J305" s="542" t="s">
        <v>2701</v>
      </c>
      <c r="K305" s="547">
        <v>8400</v>
      </c>
      <c r="L305" s="542" t="s">
        <v>806</v>
      </c>
      <c r="M305" s="548"/>
      <c r="N305" s="549">
        <v>-344</v>
      </c>
      <c r="O305" s="544" t="s">
        <v>1674</v>
      </c>
      <c r="P305" s="544" t="s">
        <v>1674</v>
      </c>
      <c r="Q305" s="544" t="s">
        <v>2818</v>
      </c>
      <c r="R305" s="544" t="s">
        <v>2622</v>
      </c>
      <c r="S305" s="544" t="s">
        <v>1674</v>
      </c>
      <c r="T305" s="550">
        <v>19</v>
      </c>
      <c r="U305" s="544" t="s">
        <v>2697</v>
      </c>
      <c r="V305" s="547">
        <v>1237</v>
      </c>
      <c r="W305" s="548"/>
      <c r="Y305" s="544" t="s">
        <v>1674</v>
      </c>
      <c r="AA305" s="544" t="s">
        <v>1674</v>
      </c>
      <c r="AE305" s="551"/>
      <c r="AF305" s="544" t="s">
        <v>1674</v>
      </c>
      <c r="AG305" s="544" t="s">
        <v>1674</v>
      </c>
      <c r="AH305" s="544" t="s">
        <v>1674</v>
      </c>
      <c r="AI305" s="544" t="s">
        <v>1674</v>
      </c>
      <c r="AJ305" s="544" t="s">
        <v>1674</v>
      </c>
      <c r="AK305" s="544" t="s">
        <v>1674</v>
      </c>
      <c r="AL305" s="544" t="s">
        <v>1674</v>
      </c>
      <c r="AM305" s="544" t="s">
        <v>2819</v>
      </c>
      <c r="AN305" s="544" t="s">
        <v>1674</v>
      </c>
      <c r="AP305" s="542">
        <f t="shared" si="10"/>
        <v>-283</v>
      </c>
      <c r="AR305" s="552">
        <f t="shared" si="9"/>
        <v>761.6</v>
      </c>
    </row>
    <row r="306" spans="1:44" outlineLevel="1" x14ac:dyDescent="0.25">
      <c r="A306" s="544" t="s">
        <v>1674</v>
      </c>
      <c r="B306" s="545">
        <v>31501</v>
      </c>
      <c r="C306" s="544" t="s">
        <v>2826</v>
      </c>
      <c r="D306" s="544" t="s">
        <v>2938</v>
      </c>
      <c r="E306" s="542" t="s">
        <v>2844</v>
      </c>
      <c r="G306" s="546"/>
      <c r="H306" s="546">
        <v>4999.87</v>
      </c>
      <c r="I306" s="546">
        <v>4999.87</v>
      </c>
      <c r="J306" s="542" t="s">
        <v>2584</v>
      </c>
      <c r="K306" s="547">
        <v>1200</v>
      </c>
      <c r="L306" s="542" t="s">
        <v>806</v>
      </c>
      <c r="M306" s="548"/>
      <c r="N306" s="549"/>
      <c r="O306" s="544" t="s">
        <v>1674</v>
      </c>
      <c r="P306" s="544" t="s">
        <v>1674</v>
      </c>
      <c r="Q306" s="544" t="s">
        <v>2939</v>
      </c>
      <c r="R306" s="544" t="s">
        <v>1674</v>
      </c>
      <c r="S306" s="544" t="s">
        <v>1674</v>
      </c>
      <c r="T306" s="550"/>
      <c r="U306" s="544" t="s">
        <v>2697</v>
      </c>
      <c r="V306" s="547">
        <v>1233</v>
      </c>
      <c r="W306" s="548"/>
      <c r="Y306" s="544" t="s">
        <v>1674</v>
      </c>
      <c r="AA306" s="544" t="s">
        <v>1674</v>
      </c>
      <c r="AE306" s="551"/>
      <c r="AF306" s="544" t="s">
        <v>1674</v>
      </c>
      <c r="AG306" s="544" t="s">
        <v>1674</v>
      </c>
      <c r="AH306" s="544" t="s">
        <v>1674</v>
      </c>
      <c r="AI306" s="544" t="s">
        <v>1674</v>
      </c>
      <c r="AJ306" s="544" t="s">
        <v>1674</v>
      </c>
      <c r="AK306" s="544" t="s">
        <v>1674</v>
      </c>
      <c r="AL306" s="544" t="s">
        <v>1674</v>
      </c>
      <c r="AM306" s="544" t="s">
        <v>2831</v>
      </c>
      <c r="AN306" s="544" t="s">
        <v>1674</v>
      </c>
      <c r="AP306" s="542">
        <f t="shared" si="10"/>
        <v>0</v>
      </c>
      <c r="AR306" s="552">
        <f t="shared" si="9"/>
        <v>-4999.87</v>
      </c>
    </row>
    <row r="307" spans="1:44" outlineLevel="1" x14ac:dyDescent="0.25">
      <c r="A307" s="544" t="s">
        <v>1674</v>
      </c>
      <c r="B307" s="545">
        <v>10600</v>
      </c>
      <c r="C307" s="544" t="s">
        <v>2946</v>
      </c>
      <c r="D307" s="544" t="s">
        <v>2947</v>
      </c>
      <c r="E307" s="542" t="s">
        <v>2942</v>
      </c>
      <c r="G307" s="546"/>
      <c r="H307" s="546">
        <v>1130.5</v>
      </c>
      <c r="I307" s="546">
        <v>1130.5</v>
      </c>
      <c r="J307" s="542" t="s">
        <v>2584</v>
      </c>
      <c r="K307" s="547">
        <v>8400</v>
      </c>
      <c r="L307" s="542" t="s">
        <v>806</v>
      </c>
      <c r="M307" s="548"/>
      <c r="N307" s="549"/>
      <c r="O307" s="544" t="s">
        <v>1674</v>
      </c>
      <c r="P307" s="544" t="s">
        <v>1674</v>
      </c>
      <c r="Q307" s="544" t="s">
        <v>2948</v>
      </c>
      <c r="R307" s="544" t="s">
        <v>2622</v>
      </c>
      <c r="S307" s="544" t="s">
        <v>1674</v>
      </c>
      <c r="T307" s="550">
        <v>19</v>
      </c>
      <c r="U307" s="544" t="s">
        <v>2697</v>
      </c>
      <c r="V307" s="547">
        <v>1418</v>
      </c>
      <c r="W307" s="548"/>
      <c r="Y307" s="544" t="s">
        <v>1674</v>
      </c>
      <c r="AA307" s="544" t="s">
        <v>1674</v>
      </c>
      <c r="AE307" s="551"/>
      <c r="AF307" s="544" t="s">
        <v>1674</v>
      </c>
      <c r="AG307" s="544" t="s">
        <v>1674</v>
      </c>
      <c r="AH307" s="544" t="s">
        <v>1674</v>
      </c>
      <c r="AI307" s="544" t="s">
        <v>1674</v>
      </c>
      <c r="AJ307" s="544" t="s">
        <v>1674</v>
      </c>
      <c r="AK307" s="544" t="s">
        <v>1674</v>
      </c>
      <c r="AL307" s="544" t="s">
        <v>1674</v>
      </c>
      <c r="AM307" s="544" t="s">
        <v>2946</v>
      </c>
      <c r="AN307" s="544" t="s">
        <v>1674</v>
      </c>
      <c r="AP307" s="542">
        <f t="shared" si="10"/>
        <v>0</v>
      </c>
      <c r="AR307" s="552">
        <f t="shared" si="9"/>
        <v>-1130.5</v>
      </c>
    </row>
    <row r="308" spans="1:44" outlineLevel="1" x14ac:dyDescent="0.25">
      <c r="A308" s="544" t="s">
        <v>1674</v>
      </c>
      <c r="B308" s="545">
        <v>10800</v>
      </c>
      <c r="C308" s="544" t="s">
        <v>2967</v>
      </c>
      <c r="D308" s="544" t="s">
        <v>2968</v>
      </c>
      <c r="E308" s="542" t="s">
        <v>2965</v>
      </c>
      <c r="F308" s="542" t="s">
        <v>2969</v>
      </c>
      <c r="G308" s="546">
        <v>595</v>
      </c>
      <c r="H308" s="546"/>
      <c r="I308" s="546">
        <v>595</v>
      </c>
      <c r="J308" s="542" t="s">
        <v>2701</v>
      </c>
      <c r="K308" s="547">
        <v>8404</v>
      </c>
      <c r="L308" s="542" t="s">
        <v>806</v>
      </c>
      <c r="M308" s="548"/>
      <c r="N308" s="549">
        <v>-338</v>
      </c>
      <c r="O308" s="544" t="s">
        <v>1674</v>
      </c>
      <c r="P308" s="544" t="s">
        <v>1674</v>
      </c>
      <c r="Q308" s="544" t="s">
        <v>2970</v>
      </c>
      <c r="R308" s="544" t="s">
        <v>1674</v>
      </c>
      <c r="S308" s="544" t="s">
        <v>1674</v>
      </c>
      <c r="T308" s="550">
        <v>19</v>
      </c>
      <c r="U308" s="544" t="s">
        <v>2697</v>
      </c>
      <c r="V308" s="547">
        <v>1599</v>
      </c>
      <c r="W308" s="548"/>
      <c r="Y308" s="544" t="s">
        <v>1674</v>
      </c>
      <c r="AA308" s="544" t="s">
        <v>1674</v>
      </c>
      <c r="AE308" s="551"/>
      <c r="AF308" s="544" t="s">
        <v>1674</v>
      </c>
      <c r="AG308" s="544" t="s">
        <v>1674</v>
      </c>
      <c r="AH308" s="544" t="s">
        <v>1674</v>
      </c>
      <c r="AI308" s="544" t="s">
        <v>1674</v>
      </c>
      <c r="AJ308" s="544" t="s">
        <v>1674</v>
      </c>
      <c r="AK308" s="544" t="s">
        <v>1674</v>
      </c>
      <c r="AL308" s="544" t="s">
        <v>1674</v>
      </c>
      <c r="AM308" s="544" t="s">
        <v>2967</v>
      </c>
      <c r="AN308" s="544" t="s">
        <v>1674</v>
      </c>
      <c r="AP308" s="542">
        <f t="shared" si="10"/>
        <v>-277</v>
      </c>
      <c r="AR308" s="552">
        <f t="shared" si="9"/>
        <v>595</v>
      </c>
    </row>
    <row r="309" spans="1:44" outlineLevel="1" x14ac:dyDescent="0.25">
      <c r="A309" s="544" t="s">
        <v>1674</v>
      </c>
      <c r="B309" s="545">
        <v>0</v>
      </c>
      <c r="C309" s="544" t="s">
        <v>1674</v>
      </c>
      <c r="D309" s="544" t="s">
        <v>2971</v>
      </c>
      <c r="E309" s="542" t="s">
        <v>2965</v>
      </c>
      <c r="F309" s="542" t="s">
        <v>2969</v>
      </c>
      <c r="G309" s="546">
        <v>595</v>
      </c>
      <c r="H309" s="546"/>
      <c r="I309" s="546">
        <v>595</v>
      </c>
      <c r="J309" s="542" t="s">
        <v>2701</v>
      </c>
      <c r="K309" s="547">
        <v>8404</v>
      </c>
      <c r="L309" s="542" t="s">
        <v>806</v>
      </c>
      <c r="M309" s="548"/>
      <c r="N309" s="549">
        <v>-338</v>
      </c>
      <c r="O309" s="544" t="s">
        <v>1674</v>
      </c>
      <c r="P309" s="544" t="s">
        <v>1674</v>
      </c>
      <c r="Q309" s="544" t="s">
        <v>2970</v>
      </c>
      <c r="R309" s="544" t="s">
        <v>1674</v>
      </c>
      <c r="S309" s="544" t="s">
        <v>1674</v>
      </c>
      <c r="T309" s="550">
        <v>19</v>
      </c>
      <c r="U309" s="544" t="s">
        <v>2697</v>
      </c>
      <c r="V309" s="547">
        <v>1600</v>
      </c>
      <c r="W309" s="548"/>
      <c r="Y309" s="544" t="s">
        <v>1674</v>
      </c>
      <c r="AA309" s="544" t="s">
        <v>1674</v>
      </c>
      <c r="AE309" s="551"/>
      <c r="AF309" s="544" t="s">
        <v>1674</v>
      </c>
      <c r="AG309" s="544" t="s">
        <v>1674</v>
      </c>
      <c r="AH309" s="544" t="s">
        <v>1674</v>
      </c>
      <c r="AI309" s="544" t="s">
        <v>1674</v>
      </c>
      <c r="AJ309" s="544" t="s">
        <v>1674</v>
      </c>
      <c r="AK309" s="544" t="s">
        <v>1674</v>
      </c>
      <c r="AL309" s="544" t="s">
        <v>1674</v>
      </c>
      <c r="AM309" s="544" t="s">
        <v>1674</v>
      </c>
      <c r="AN309" s="544" t="s">
        <v>1674</v>
      </c>
      <c r="AP309" s="542">
        <f t="shared" si="10"/>
        <v>-277</v>
      </c>
      <c r="AR309" s="552">
        <f t="shared" si="9"/>
        <v>595</v>
      </c>
    </row>
    <row r="310" spans="1:44" outlineLevel="1" x14ac:dyDescent="0.25">
      <c r="A310" s="544" t="s">
        <v>1674</v>
      </c>
      <c r="B310" s="545">
        <v>0</v>
      </c>
      <c r="C310" s="544" t="s">
        <v>1674</v>
      </c>
      <c r="D310" s="544" t="s">
        <v>2972</v>
      </c>
      <c r="E310" s="542" t="s">
        <v>2965</v>
      </c>
      <c r="F310" s="542" t="s">
        <v>2969</v>
      </c>
      <c r="G310" s="546">
        <v>595</v>
      </c>
      <c r="H310" s="546"/>
      <c r="I310" s="546">
        <v>595</v>
      </c>
      <c r="J310" s="542" t="s">
        <v>2701</v>
      </c>
      <c r="K310" s="547">
        <v>8404</v>
      </c>
      <c r="L310" s="542" t="s">
        <v>806</v>
      </c>
      <c r="M310" s="548"/>
      <c r="N310" s="549">
        <v>-338</v>
      </c>
      <c r="O310" s="544" t="s">
        <v>1674</v>
      </c>
      <c r="P310" s="544" t="s">
        <v>1674</v>
      </c>
      <c r="Q310" s="544" t="s">
        <v>2970</v>
      </c>
      <c r="R310" s="544" t="s">
        <v>1674</v>
      </c>
      <c r="S310" s="544" t="s">
        <v>1674</v>
      </c>
      <c r="T310" s="550">
        <v>19</v>
      </c>
      <c r="U310" s="544" t="s">
        <v>2697</v>
      </c>
      <c r="V310" s="547">
        <v>1601</v>
      </c>
      <c r="W310" s="548"/>
      <c r="Y310" s="544" t="s">
        <v>1674</v>
      </c>
      <c r="AA310" s="544" t="s">
        <v>1674</v>
      </c>
      <c r="AE310" s="551"/>
      <c r="AF310" s="544" t="s">
        <v>1674</v>
      </c>
      <c r="AG310" s="544" t="s">
        <v>1674</v>
      </c>
      <c r="AH310" s="544" t="s">
        <v>1674</v>
      </c>
      <c r="AI310" s="544" t="s">
        <v>1674</v>
      </c>
      <c r="AJ310" s="544" t="s">
        <v>1674</v>
      </c>
      <c r="AK310" s="544" t="s">
        <v>1674</v>
      </c>
      <c r="AL310" s="544" t="s">
        <v>1674</v>
      </c>
      <c r="AM310" s="544" t="s">
        <v>1674</v>
      </c>
      <c r="AN310" s="544" t="s">
        <v>1674</v>
      </c>
      <c r="AP310" s="542">
        <f t="shared" si="10"/>
        <v>-277</v>
      </c>
      <c r="AR310" s="552">
        <f t="shared" si="9"/>
        <v>595</v>
      </c>
    </row>
    <row r="311" spans="1:44" outlineLevel="1" x14ac:dyDescent="0.25">
      <c r="A311" s="544" t="s">
        <v>1674</v>
      </c>
      <c r="B311" s="545">
        <v>20301</v>
      </c>
      <c r="C311" s="544" t="s">
        <v>2981</v>
      </c>
      <c r="D311" s="544" t="s">
        <v>2982</v>
      </c>
      <c r="E311" s="542" t="s">
        <v>2979</v>
      </c>
      <c r="F311" s="542" t="s">
        <v>2980</v>
      </c>
      <c r="G311" s="546">
        <v>3053</v>
      </c>
      <c r="H311" s="546"/>
      <c r="I311" s="546"/>
      <c r="J311" s="542" t="s">
        <v>806</v>
      </c>
      <c r="K311" s="547">
        <v>8125</v>
      </c>
      <c r="L311" s="542" t="s">
        <v>806</v>
      </c>
      <c r="M311" s="548"/>
      <c r="N311" s="549">
        <v>-336</v>
      </c>
      <c r="O311" s="544" t="s">
        <v>1674</v>
      </c>
      <c r="P311" s="544" t="s">
        <v>1674</v>
      </c>
      <c r="Q311" s="544" t="s">
        <v>2983</v>
      </c>
      <c r="R311" s="544" t="s">
        <v>2984</v>
      </c>
      <c r="S311" s="544" t="s">
        <v>1674</v>
      </c>
      <c r="T311" s="550"/>
      <c r="U311" s="544" t="s">
        <v>2697</v>
      </c>
      <c r="V311" s="547">
        <v>1799</v>
      </c>
      <c r="W311" s="548"/>
      <c r="Y311" s="544" t="s">
        <v>1674</v>
      </c>
      <c r="AA311" s="544" t="s">
        <v>1674</v>
      </c>
      <c r="AE311" s="551"/>
      <c r="AF311" s="544" t="s">
        <v>1674</v>
      </c>
      <c r="AG311" s="544" t="s">
        <v>1674</v>
      </c>
      <c r="AH311" s="544" t="s">
        <v>1674</v>
      </c>
      <c r="AI311" s="544" t="s">
        <v>1674</v>
      </c>
      <c r="AJ311" s="544" t="s">
        <v>1674</v>
      </c>
      <c r="AK311" s="544" t="s">
        <v>1674</v>
      </c>
      <c r="AL311" s="544" t="s">
        <v>1674</v>
      </c>
      <c r="AM311" s="544" t="s">
        <v>2985</v>
      </c>
      <c r="AN311" s="544" t="s">
        <v>1674</v>
      </c>
      <c r="AP311" s="542">
        <f t="shared" si="10"/>
        <v>-275</v>
      </c>
      <c r="AR311" s="552">
        <f t="shared" si="9"/>
        <v>0</v>
      </c>
    </row>
    <row r="312" spans="1:44" outlineLevel="1" x14ac:dyDescent="0.25">
      <c r="A312" s="544" t="s">
        <v>1674</v>
      </c>
      <c r="B312" s="545">
        <v>0</v>
      </c>
      <c r="C312" s="544" t="s">
        <v>1674</v>
      </c>
      <c r="D312" s="544" t="s">
        <v>2982</v>
      </c>
      <c r="E312" s="542" t="s">
        <v>2979</v>
      </c>
      <c r="F312" s="542" t="s">
        <v>2980</v>
      </c>
      <c r="G312" s="546">
        <v>565</v>
      </c>
      <c r="H312" s="546"/>
      <c r="I312" s="546">
        <v>3618</v>
      </c>
      <c r="J312" s="542" t="s">
        <v>2701</v>
      </c>
      <c r="K312" s="547">
        <v>8125</v>
      </c>
      <c r="L312" s="542" t="s">
        <v>806</v>
      </c>
      <c r="M312" s="548"/>
      <c r="N312" s="549">
        <v>-336</v>
      </c>
      <c r="O312" s="544" t="s">
        <v>1674</v>
      </c>
      <c r="P312" s="544" t="s">
        <v>1674</v>
      </c>
      <c r="Q312" s="544" t="s">
        <v>2986</v>
      </c>
      <c r="R312" s="544" t="s">
        <v>1674</v>
      </c>
      <c r="S312" s="544" t="s">
        <v>1674</v>
      </c>
      <c r="T312" s="550"/>
      <c r="U312" s="544" t="s">
        <v>2697</v>
      </c>
      <c r="V312" s="547">
        <v>1800</v>
      </c>
      <c r="W312" s="548"/>
      <c r="Y312" s="544" t="s">
        <v>1674</v>
      </c>
      <c r="AA312" s="544" t="s">
        <v>1674</v>
      </c>
      <c r="AE312" s="551"/>
      <c r="AF312" s="544" t="s">
        <v>1674</v>
      </c>
      <c r="AG312" s="544" t="s">
        <v>1674</v>
      </c>
      <c r="AH312" s="544" t="s">
        <v>1674</v>
      </c>
      <c r="AI312" s="544" t="s">
        <v>1674</v>
      </c>
      <c r="AJ312" s="544" t="s">
        <v>1674</v>
      </c>
      <c r="AK312" s="544" t="s">
        <v>1674</v>
      </c>
      <c r="AL312" s="544" t="s">
        <v>1674</v>
      </c>
      <c r="AM312" s="544" t="s">
        <v>1674</v>
      </c>
      <c r="AN312" s="544" t="s">
        <v>1674</v>
      </c>
      <c r="AP312" s="542">
        <f t="shared" si="10"/>
        <v>-275</v>
      </c>
      <c r="AR312" s="552">
        <f t="shared" si="9"/>
        <v>3618</v>
      </c>
    </row>
    <row r="313" spans="1:44" outlineLevel="1" x14ac:dyDescent="0.25">
      <c r="A313" s="544" t="s">
        <v>1674</v>
      </c>
      <c r="B313" s="545">
        <v>11811</v>
      </c>
      <c r="C313" s="544" t="s">
        <v>2820</v>
      </c>
      <c r="D313" s="544" t="s">
        <v>3004</v>
      </c>
      <c r="E313" s="542" t="s">
        <v>2851</v>
      </c>
      <c r="F313" s="542" t="s">
        <v>3002</v>
      </c>
      <c r="G313" s="546">
        <v>111.15</v>
      </c>
      <c r="H313" s="546"/>
      <c r="I313" s="546"/>
      <c r="J313" s="542" t="s">
        <v>806</v>
      </c>
      <c r="K313" s="547">
        <v>8400</v>
      </c>
      <c r="L313" s="542" t="s">
        <v>806</v>
      </c>
      <c r="M313" s="548"/>
      <c r="N313" s="549">
        <v>-331</v>
      </c>
      <c r="O313" s="544" t="s">
        <v>1674</v>
      </c>
      <c r="P313" s="544" t="s">
        <v>1674</v>
      </c>
      <c r="Q313" s="544" t="s">
        <v>2824</v>
      </c>
      <c r="R313" s="544" t="s">
        <v>2622</v>
      </c>
      <c r="S313" s="544" t="s">
        <v>1674</v>
      </c>
      <c r="T313" s="550">
        <v>19</v>
      </c>
      <c r="U313" s="544" t="s">
        <v>2700</v>
      </c>
      <c r="V313" s="547">
        <v>56</v>
      </c>
      <c r="W313" s="548"/>
      <c r="Y313" s="544" t="s">
        <v>1674</v>
      </c>
      <c r="AA313" s="544" t="s">
        <v>1674</v>
      </c>
      <c r="AE313" s="551"/>
      <c r="AF313" s="544" t="s">
        <v>1674</v>
      </c>
      <c r="AG313" s="544" t="s">
        <v>1674</v>
      </c>
      <c r="AH313" s="544" t="s">
        <v>1674</v>
      </c>
      <c r="AI313" s="544" t="s">
        <v>1674</v>
      </c>
      <c r="AJ313" s="544" t="s">
        <v>1674</v>
      </c>
      <c r="AK313" s="544" t="s">
        <v>1674</v>
      </c>
      <c r="AL313" s="544" t="s">
        <v>1674</v>
      </c>
      <c r="AM313" s="544" t="s">
        <v>2825</v>
      </c>
      <c r="AN313" s="544" t="s">
        <v>1674</v>
      </c>
      <c r="AP313" s="542">
        <f t="shared" si="10"/>
        <v>-270</v>
      </c>
      <c r="AR313" s="552">
        <f t="shared" si="9"/>
        <v>0</v>
      </c>
    </row>
    <row r="314" spans="1:44" outlineLevel="1" x14ac:dyDescent="0.25">
      <c r="A314" s="544" t="s">
        <v>1674</v>
      </c>
      <c r="B314" s="545">
        <v>0</v>
      </c>
      <c r="C314" s="544" t="s">
        <v>1674</v>
      </c>
      <c r="D314" s="544" t="s">
        <v>3004</v>
      </c>
      <c r="E314" s="542" t="s">
        <v>2851</v>
      </c>
      <c r="F314" s="542" t="s">
        <v>3002</v>
      </c>
      <c r="G314" s="546">
        <v>7.14</v>
      </c>
      <c r="H314" s="546"/>
      <c r="I314" s="546">
        <v>118.29</v>
      </c>
      <c r="J314" s="542" t="s">
        <v>2701</v>
      </c>
      <c r="K314" s="547">
        <v>8400</v>
      </c>
      <c r="L314" s="542" t="s">
        <v>806</v>
      </c>
      <c r="M314" s="548"/>
      <c r="N314" s="549">
        <v>-331</v>
      </c>
      <c r="O314" s="544" t="s">
        <v>1674</v>
      </c>
      <c r="P314" s="544" t="s">
        <v>1674</v>
      </c>
      <c r="Q314" s="544" t="s">
        <v>3005</v>
      </c>
      <c r="R314" s="544" t="s">
        <v>1674</v>
      </c>
      <c r="S314" s="544" t="s">
        <v>1674</v>
      </c>
      <c r="T314" s="550">
        <v>19</v>
      </c>
      <c r="U314" s="544" t="s">
        <v>2700</v>
      </c>
      <c r="V314" s="547">
        <v>57</v>
      </c>
      <c r="W314" s="548"/>
      <c r="Y314" s="544" t="s">
        <v>1674</v>
      </c>
      <c r="AA314" s="544" t="s">
        <v>1674</v>
      </c>
      <c r="AE314" s="551"/>
      <c r="AF314" s="544" t="s">
        <v>1674</v>
      </c>
      <c r="AG314" s="544" t="s">
        <v>1674</v>
      </c>
      <c r="AH314" s="544" t="s">
        <v>1674</v>
      </c>
      <c r="AI314" s="544" t="s">
        <v>1674</v>
      </c>
      <c r="AJ314" s="544" t="s">
        <v>1674</v>
      </c>
      <c r="AK314" s="544" t="s">
        <v>1674</v>
      </c>
      <c r="AL314" s="544" t="s">
        <v>1674</v>
      </c>
      <c r="AM314" s="544" t="s">
        <v>1674</v>
      </c>
      <c r="AN314" s="544" t="s">
        <v>1674</v>
      </c>
      <c r="AP314" s="542">
        <f t="shared" si="10"/>
        <v>-270</v>
      </c>
      <c r="AR314" s="552">
        <f t="shared" si="9"/>
        <v>118.29</v>
      </c>
    </row>
    <row r="315" spans="1:44" outlineLevel="1" x14ac:dyDescent="0.25">
      <c r="A315" s="544" t="s">
        <v>1674</v>
      </c>
      <c r="B315" s="545">
        <v>20301</v>
      </c>
      <c r="C315" s="544" t="s">
        <v>2981</v>
      </c>
      <c r="D315" s="544" t="s">
        <v>3056</v>
      </c>
      <c r="E315" s="542" t="s">
        <v>2883</v>
      </c>
      <c r="F315" s="542" t="s">
        <v>3057</v>
      </c>
      <c r="G315" s="546">
        <v>22924.3</v>
      </c>
      <c r="H315" s="546"/>
      <c r="I315" s="546">
        <v>22924.3</v>
      </c>
      <c r="J315" s="542" t="s">
        <v>2701</v>
      </c>
      <c r="K315" s="547">
        <v>8125</v>
      </c>
      <c r="L315" s="542" t="s">
        <v>806</v>
      </c>
      <c r="M315" s="548"/>
      <c r="N315" s="549">
        <v>-324</v>
      </c>
      <c r="O315" s="544" t="s">
        <v>1674</v>
      </c>
      <c r="P315" s="544" t="s">
        <v>1674</v>
      </c>
      <c r="Q315" s="544" t="s">
        <v>2983</v>
      </c>
      <c r="R315" s="544" t="s">
        <v>1674</v>
      </c>
      <c r="S315" s="544" t="s">
        <v>1674</v>
      </c>
      <c r="T315" s="550"/>
      <c r="U315" s="544" t="s">
        <v>2700</v>
      </c>
      <c r="V315" s="547">
        <v>158</v>
      </c>
      <c r="W315" s="548"/>
      <c r="Y315" s="544" t="s">
        <v>1674</v>
      </c>
      <c r="AA315" s="544" t="s">
        <v>1674</v>
      </c>
      <c r="AE315" s="551"/>
      <c r="AF315" s="544" t="s">
        <v>1674</v>
      </c>
      <c r="AG315" s="544" t="s">
        <v>1674</v>
      </c>
      <c r="AH315" s="544" t="s">
        <v>1674</v>
      </c>
      <c r="AI315" s="544" t="s">
        <v>1674</v>
      </c>
      <c r="AJ315" s="544" t="s">
        <v>1674</v>
      </c>
      <c r="AK315" s="544" t="s">
        <v>1674</v>
      </c>
      <c r="AL315" s="544" t="s">
        <v>1674</v>
      </c>
      <c r="AM315" s="544" t="s">
        <v>2985</v>
      </c>
      <c r="AN315" s="544" t="s">
        <v>1674</v>
      </c>
      <c r="AP315" s="542">
        <f t="shared" si="10"/>
        <v>-263</v>
      </c>
      <c r="AR315" s="552">
        <f t="shared" si="9"/>
        <v>22924.3</v>
      </c>
    </row>
    <row r="316" spans="1:44" outlineLevel="1" x14ac:dyDescent="0.25">
      <c r="A316" s="544" t="s">
        <v>1674</v>
      </c>
      <c r="B316" s="545">
        <v>11600</v>
      </c>
      <c r="C316" s="544" t="s">
        <v>2782</v>
      </c>
      <c r="D316" s="544" t="s">
        <v>3072</v>
      </c>
      <c r="E316" s="542" t="s">
        <v>2902</v>
      </c>
      <c r="F316" s="542" t="s">
        <v>3000</v>
      </c>
      <c r="G316" s="546">
        <v>396.55</v>
      </c>
      <c r="H316" s="546"/>
      <c r="I316" s="546"/>
      <c r="J316" s="542" t="s">
        <v>806</v>
      </c>
      <c r="K316" s="547">
        <v>8400</v>
      </c>
      <c r="L316" s="542" t="s">
        <v>806</v>
      </c>
      <c r="M316" s="548"/>
      <c r="N316" s="549">
        <v>-322</v>
      </c>
      <c r="O316" s="544" t="s">
        <v>1674</v>
      </c>
      <c r="P316" s="544" t="s">
        <v>1674</v>
      </c>
      <c r="Q316" s="544" t="s">
        <v>2786</v>
      </c>
      <c r="R316" s="544" t="s">
        <v>1674</v>
      </c>
      <c r="S316" s="544" t="s">
        <v>1674</v>
      </c>
      <c r="T316" s="550">
        <v>19</v>
      </c>
      <c r="U316" s="544" t="s">
        <v>2700</v>
      </c>
      <c r="V316" s="547">
        <v>196</v>
      </c>
      <c r="W316" s="548"/>
      <c r="Y316" s="544" t="s">
        <v>1674</v>
      </c>
      <c r="AA316" s="544" t="s">
        <v>1674</v>
      </c>
      <c r="AE316" s="551"/>
      <c r="AF316" s="544" t="s">
        <v>1674</v>
      </c>
      <c r="AG316" s="544" t="s">
        <v>1674</v>
      </c>
      <c r="AH316" s="544" t="s">
        <v>1674</v>
      </c>
      <c r="AI316" s="544" t="s">
        <v>1674</v>
      </c>
      <c r="AJ316" s="544" t="s">
        <v>1674</v>
      </c>
      <c r="AK316" s="544" t="s">
        <v>1674</v>
      </c>
      <c r="AL316" s="544" t="s">
        <v>1674</v>
      </c>
      <c r="AM316" s="544" t="s">
        <v>2782</v>
      </c>
      <c r="AN316" s="544" t="s">
        <v>1674</v>
      </c>
      <c r="AP316" s="542">
        <f t="shared" si="10"/>
        <v>-261</v>
      </c>
      <c r="AR316" s="552">
        <f t="shared" si="9"/>
        <v>0</v>
      </c>
    </row>
    <row r="317" spans="1:44" outlineLevel="1" x14ac:dyDescent="0.25">
      <c r="A317" s="544" t="s">
        <v>1674</v>
      </c>
      <c r="B317" s="545">
        <v>0</v>
      </c>
      <c r="C317" s="544" t="s">
        <v>1674</v>
      </c>
      <c r="D317" s="544" t="s">
        <v>3072</v>
      </c>
      <c r="E317" s="542" t="s">
        <v>2902</v>
      </c>
      <c r="F317" s="542" t="s">
        <v>3000</v>
      </c>
      <c r="G317" s="546">
        <v>36.99</v>
      </c>
      <c r="H317" s="546"/>
      <c r="I317" s="546"/>
      <c r="J317" s="542" t="s">
        <v>806</v>
      </c>
      <c r="K317" s="547">
        <v>8400</v>
      </c>
      <c r="L317" s="542" t="s">
        <v>806</v>
      </c>
      <c r="M317" s="548"/>
      <c r="N317" s="549">
        <v>-322</v>
      </c>
      <c r="O317" s="544" t="s">
        <v>1674</v>
      </c>
      <c r="P317" s="544" t="s">
        <v>1674</v>
      </c>
      <c r="Q317" s="544" t="s">
        <v>2786</v>
      </c>
      <c r="R317" s="544" t="s">
        <v>2617</v>
      </c>
      <c r="S317" s="544" t="s">
        <v>1674</v>
      </c>
      <c r="T317" s="550">
        <v>19</v>
      </c>
      <c r="U317" s="544" t="s">
        <v>2700</v>
      </c>
      <c r="V317" s="547">
        <v>197</v>
      </c>
      <c r="W317" s="548"/>
      <c r="Y317" s="544" t="s">
        <v>1674</v>
      </c>
      <c r="AA317" s="544" t="s">
        <v>1674</v>
      </c>
      <c r="AE317" s="551"/>
      <c r="AF317" s="544" t="s">
        <v>1674</v>
      </c>
      <c r="AG317" s="544" t="s">
        <v>1674</v>
      </c>
      <c r="AH317" s="544" t="s">
        <v>1674</v>
      </c>
      <c r="AI317" s="544" t="s">
        <v>1674</v>
      </c>
      <c r="AJ317" s="544" t="s">
        <v>1674</v>
      </c>
      <c r="AK317" s="544" t="s">
        <v>1674</v>
      </c>
      <c r="AL317" s="544" t="s">
        <v>1674</v>
      </c>
      <c r="AM317" s="544" t="s">
        <v>1674</v>
      </c>
      <c r="AN317" s="544" t="s">
        <v>1674</v>
      </c>
      <c r="AP317" s="542">
        <f t="shared" si="10"/>
        <v>-261</v>
      </c>
      <c r="AR317" s="552">
        <f t="shared" si="9"/>
        <v>0</v>
      </c>
    </row>
    <row r="318" spans="1:44" outlineLevel="1" x14ac:dyDescent="0.25">
      <c r="A318" s="544" t="s">
        <v>1674</v>
      </c>
      <c r="B318" s="545">
        <v>0</v>
      </c>
      <c r="C318" s="544" t="s">
        <v>1674</v>
      </c>
      <c r="D318" s="544" t="s">
        <v>3072</v>
      </c>
      <c r="E318" s="542" t="s">
        <v>2902</v>
      </c>
      <c r="F318" s="542" t="s">
        <v>3000</v>
      </c>
      <c r="G318" s="546">
        <v>5921.06</v>
      </c>
      <c r="H318" s="546"/>
      <c r="I318" s="546">
        <v>6354.6</v>
      </c>
      <c r="J318" s="542" t="s">
        <v>2701</v>
      </c>
      <c r="K318" s="547">
        <v>8401</v>
      </c>
      <c r="L318" s="542" t="s">
        <v>806</v>
      </c>
      <c r="M318" s="548"/>
      <c r="N318" s="549">
        <v>-322</v>
      </c>
      <c r="O318" s="544" t="s">
        <v>1674</v>
      </c>
      <c r="P318" s="544" t="s">
        <v>1674</v>
      </c>
      <c r="Q318" s="544" t="s">
        <v>2786</v>
      </c>
      <c r="R318" s="544" t="s">
        <v>1674</v>
      </c>
      <c r="S318" s="544" t="s">
        <v>1674</v>
      </c>
      <c r="T318" s="550">
        <v>19</v>
      </c>
      <c r="U318" s="544" t="s">
        <v>2700</v>
      </c>
      <c r="V318" s="547">
        <v>198</v>
      </c>
      <c r="W318" s="548"/>
      <c r="Y318" s="544" t="s">
        <v>1674</v>
      </c>
      <c r="AA318" s="544" t="s">
        <v>1674</v>
      </c>
      <c r="AE318" s="551"/>
      <c r="AF318" s="544" t="s">
        <v>1674</v>
      </c>
      <c r="AG318" s="544" t="s">
        <v>1674</v>
      </c>
      <c r="AH318" s="544" t="s">
        <v>1674</v>
      </c>
      <c r="AI318" s="544" t="s">
        <v>1674</v>
      </c>
      <c r="AJ318" s="544" t="s">
        <v>1674</v>
      </c>
      <c r="AK318" s="544" t="s">
        <v>1674</v>
      </c>
      <c r="AL318" s="544" t="s">
        <v>1674</v>
      </c>
      <c r="AM318" s="544" t="s">
        <v>1674</v>
      </c>
      <c r="AN318" s="544" t="s">
        <v>1674</v>
      </c>
      <c r="AP318" s="542">
        <f t="shared" si="10"/>
        <v>-261</v>
      </c>
      <c r="AR318" s="552">
        <f t="shared" si="9"/>
        <v>6354.6</v>
      </c>
    </row>
    <row r="319" spans="1:44" outlineLevel="1" x14ac:dyDescent="0.25">
      <c r="A319" s="544" t="s">
        <v>1674</v>
      </c>
      <c r="B319" s="545">
        <v>31501</v>
      </c>
      <c r="C319" s="544" t="s">
        <v>2826</v>
      </c>
      <c r="D319" s="544" t="s">
        <v>3245</v>
      </c>
      <c r="E319" s="542" t="s">
        <v>2920</v>
      </c>
      <c r="F319" s="542" t="s">
        <v>3181</v>
      </c>
      <c r="G319" s="546">
        <v>8849.4699999999993</v>
      </c>
      <c r="H319" s="546"/>
      <c r="I319" s="546"/>
      <c r="J319" s="542" t="s">
        <v>806</v>
      </c>
      <c r="K319" s="547">
        <v>8338</v>
      </c>
      <c r="L319" s="542" t="s">
        <v>806</v>
      </c>
      <c r="M319" s="548"/>
      <c r="N319" s="549">
        <v>-315</v>
      </c>
      <c r="O319" s="544" t="s">
        <v>1674</v>
      </c>
      <c r="P319" s="544" t="s">
        <v>1674</v>
      </c>
      <c r="Q319" s="544" t="s">
        <v>2830</v>
      </c>
      <c r="R319" s="544" t="s">
        <v>1674</v>
      </c>
      <c r="S319" s="544" t="s">
        <v>1674</v>
      </c>
      <c r="T319" s="550"/>
      <c r="U319" s="544" t="s">
        <v>2700</v>
      </c>
      <c r="V319" s="547">
        <v>306</v>
      </c>
      <c r="W319" s="548"/>
      <c r="Y319" s="544" t="s">
        <v>1674</v>
      </c>
      <c r="AA319" s="544" t="s">
        <v>1674</v>
      </c>
      <c r="AE319" s="551"/>
      <c r="AF319" s="544" t="s">
        <v>1674</v>
      </c>
      <c r="AG319" s="544" t="s">
        <v>1674</v>
      </c>
      <c r="AH319" s="544" t="s">
        <v>1674</v>
      </c>
      <c r="AI319" s="544" t="s">
        <v>1674</v>
      </c>
      <c r="AJ319" s="544" t="s">
        <v>1674</v>
      </c>
      <c r="AK319" s="544" t="s">
        <v>1674</v>
      </c>
      <c r="AL319" s="544" t="s">
        <v>1674</v>
      </c>
      <c r="AM319" s="544" t="s">
        <v>2831</v>
      </c>
      <c r="AN319" s="544" t="s">
        <v>1674</v>
      </c>
      <c r="AP319" s="542">
        <f t="shared" si="10"/>
        <v>-254</v>
      </c>
      <c r="AR319" s="552">
        <f t="shared" si="9"/>
        <v>0</v>
      </c>
    </row>
    <row r="320" spans="1:44" outlineLevel="1" x14ac:dyDescent="0.25">
      <c r="A320" s="544" t="s">
        <v>1674</v>
      </c>
      <c r="B320" s="545">
        <v>0</v>
      </c>
      <c r="C320" s="544" t="s">
        <v>1674</v>
      </c>
      <c r="D320" s="544" t="s">
        <v>3245</v>
      </c>
      <c r="E320" s="542" t="s">
        <v>3324</v>
      </c>
      <c r="G320" s="546"/>
      <c r="H320" s="546">
        <v>2212.37</v>
      </c>
      <c r="I320" s="546"/>
      <c r="J320" s="542" t="s">
        <v>806</v>
      </c>
      <c r="K320" s="547">
        <v>1200</v>
      </c>
      <c r="L320" s="542" t="s">
        <v>806</v>
      </c>
      <c r="M320" s="548"/>
      <c r="N320" s="549"/>
      <c r="O320" s="544" t="s">
        <v>1674</v>
      </c>
      <c r="P320" s="544" t="s">
        <v>1674</v>
      </c>
      <c r="Q320" s="544" t="s">
        <v>3325</v>
      </c>
      <c r="R320" s="544" t="s">
        <v>1674</v>
      </c>
      <c r="S320" s="544" t="s">
        <v>1674</v>
      </c>
      <c r="T320" s="550"/>
      <c r="U320" s="544" t="s">
        <v>3323</v>
      </c>
      <c r="V320" s="547">
        <v>56</v>
      </c>
      <c r="W320" s="548"/>
      <c r="Y320" s="544" t="s">
        <v>1674</v>
      </c>
      <c r="AA320" s="544" t="s">
        <v>1674</v>
      </c>
      <c r="AE320" s="551"/>
      <c r="AF320" s="544" t="s">
        <v>1674</v>
      </c>
      <c r="AG320" s="544" t="s">
        <v>1674</v>
      </c>
      <c r="AH320" s="544" t="s">
        <v>1674</v>
      </c>
      <c r="AI320" s="544" t="s">
        <v>1674</v>
      </c>
      <c r="AJ320" s="544" t="s">
        <v>1674</v>
      </c>
      <c r="AK320" s="544" t="s">
        <v>1674</v>
      </c>
      <c r="AL320" s="544" t="s">
        <v>1674</v>
      </c>
      <c r="AM320" s="544" t="s">
        <v>1674</v>
      </c>
      <c r="AN320" s="544" t="s">
        <v>1674</v>
      </c>
      <c r="AP320" s="542">
        <f t="shared" si="10"/>
        <v>0</v>
      </c>
      <c r="AR320" s="552">
        <f t="shared" si="9"/>
        <v>0</v>
      </c>
    </row>
    <row r="321" spans="1:44" outlineLevel="1" x14ac:dyDescent="0.25">
      <c r="A321" s="544" t="s">
        <v>1674</v>
      </c>
      <c r="B321" s="545">
        <v>0</v>
      </c>
      <c r="C321" s="544" t="s">
        <v>1674</v>
      </c>
      <c r="D321" s="544" t="s">
        <v>3245</v>
      </c>
      <c r="E321" s="542" t="s">
        <v>3326</v>
      </c>
      <c r="G321" s="546"/>
      <c r="H321" s="546">
        <v>2212.37</v>
      </c>
      <c r="I321" s="546">
        <v>4424.7299999999996</v>
      </c>
      <c r="J321" s="542" t="s">
        <v>2701</v>
      </c>
      <c r="K321" s="547">
        <v>1200</v>
      </c>
      <c r="L321" s="542" t="s">
        <v>806</v>
      </c>
      <c r="M321" s="548"/>
      <c r="N321" s="549"/>
      <c r="O321" s="544" t="s">
        <v>1674</v>
      </c>
      <c r="P321" s="544" t="s">
        <v>1674</v>
      </c>
      <c r="Q321" s="544" t="s">
        <v>3327</v>
      </c>
      <c r="R321" s="544" t="s">
        <v>1674</v>
      </c>
      <c r="S321" s="544" t="s">
        <v>1674</v>
      </c>
      <c r="T321" s="550"/>
      <c r="U321" s="544" t="s">
        <v>3328</v>
      </c>
      <c r="V321" s="547">
        <v>37</v>
      </c>
      <c r="W321" s="548"/>
      <c r="Y321" s="544" t="s">
        <v>1674</v>
      </c>
      <c r="AA321" s="544" t="s">
        <v>1674</v>
      </c>
      <c r="AE321" s="551"/>
      <c r="AF321" s="544" t="s">
        <v>1674</v>
      </c>
      <c r="AG321" s="544" t="s">
        <v>1674</v>
      </c>
      <c r="AH321" s="544" t="s">
        <v>1674</v>
      </c>
      <c r="AI321" s="544" t="s">
        <v>1674</v>
      </c>
      <c r="AJ321" s="544" t="s">
        <v>1674</v>
      </c>
      <c r="AK321" s="544" t="s">
        <v>1674</v>
      </c>
      <c r="AL321" s="544" t="s">
        <v>1674</v>
      </c>
      <c r="AM321" s="544" t="s">
        <v>1674</v>
      </c>
      <c r="AN321" s="544" t="s">
        <v>1674</v>
      </c>
      <c r="AP321" s="542">
        <f t="shared" si="10"/>
        <v>0</v>
      </c>
      <c r="AR321" s="552">
        <f t="shared" si="9"/>
        <v>4424.7299999999996</v>
      </c>
    </row>
    <row r="322" spans="1:44" outlineLevel="1" x14ac:dyDescent="0.25">
      <c r="A322" s="544" t="s">
        <v>1674</v>
      </c>
      <c r="B322" s="545">
        <v>11200</v>
      </c>
      <c r="C322" s="544" t="s">
        <v>2871</v>
      </c>
      <c r="D322" s="544" t="s">
        <v>3275</v>
      </c>
      <c r="E322" s="542" t="s">
        <v>3269</v>
      </c>
      <c r="F322" s="542" t="s">
        <v>3270</v>
      </c>
      <c r="G322" s="546">
        <v>595</v>
      </c>
      <c r="H322" s="546"/>
      <c r="I322" s="546">
        <v>595</v>
      </c>
      <c r="J322" s="542" t="s">
        <v>2701</v>
      </c>
      <c r="K322" s="547">
        <v>8404</v>
      </c>
      <c r="L322" s="542" t="s">
        <v>806</v>
      </c>
      <c r="M322" s="548"/>
      <c r="N322" s="549">
        <v>-305</v>
      </c>
      <c r="O322" s="544" t="s">
        <v>1674</v>
      </c>
      <c r="P322" s="544" t="s">
        <v>1674</v>
      </c>
      <c r="Q322" s="544" t="s">
        <v>2914</v>
      </c>
      <c r="R322" s="544" t="s">
        <v>1674</v>
      </c>
      <c r="S322" s="544" t="s">
        <v>1674</v>
      </c>
      <c r="T322" s="550">
        <v>19</v>
      </c>
      <c r="U322" s="544" t="s">
        <v>2700</v>
      </c>
      <c r="V322" s="547">
        <v>375</v>
      </c>
      <c r="W322" s="548"/>
      <c r="Y322" s="544" t="s">
        <v>1674</v>
      </c>
      <c r="AA322" s="544" t="s">
        <v>1674</v>
      </c>
      <c r="AE322" s="551"/>
      <c r="AF322" s="544" t="s">
        <v>1674</v>
      </c>
      <c r="AG322" s="544" t="s">
        <v>1674</v>
      </c>
      <c r="AH322" s="544" t="s">
        <v>1674</v>
      </c>
      <c r="AI322" s="544" t="s">
        <v>1674</v>
      </c>
      <c r="AJ322" s="544" t="s">
        <v>1674</v>
      </c>
      <c r="AK322" s="544" t="s">
        <v>1674</v>
      </c>
      <c r="AL322" s="544" t="s">
        <v>1674</v>
      </c>
      <c r="AM322" s="544" t="s">
        <v>2871</v>
      </c>
      <c r="AN322" s="544" t="s">
        <v>1674</v>
      </c>
      <c r="AP322" s="542">
        <f t="shared" si="10"/>
        <v>-244</v>
      </c>
      <c r="AR322" s="552">
        <f t="shared" si="9"/>
        <v>595</v>
      </c>
    </row>
    <row r="323" spans="1:44" outlineLevel="1" x14ac:dyDescent="0.25">
      <c r="A323" s="544" t="s">
        <v>1674</v>
      </c>
      <c r="B323" s="545">
        <v>0</v>
      </c>
      <c r="C323" s="544" t="s">
        <v>1674</v>
      </c>
      <c r="D323" s="544" t="s">
        <v>3276</v>
      </c>
      <c r="E323" s="542" t="s">
        <v>3269</v>
      </c>
      <c r="F323" s="542" t="s">
        <v>3270</v>
      </c>
      <c r="G323" s="546">
        <v>595</v>
      </c>
      <c r="H323" s="546"/>
      <c r="I323" s="546">
        <v>595</v>
      </c>
      <c r="J323" s="542" t="s">
        <v>2701</v>
      </c>
      <c r="K323" s="547">
        <v>8404</v>
      </c>
      <c r="L323" s="542" t="s">
        <v>806</v>
      </c>
      <c r="M323" s="548"/>
      <c r="N323" s="549">
        <v>-305</v>
      </c>
      <c r="O323" s="544" t="s">
        <v>1674</v>
      </c>
      <c r="P323" s="544" t="s">
        <v>1674</v>
      </c>
      <c r="Q323" s="544" t="s">
        <v>2914</v>
      </c>
      <c r="R323" s="544" t="s">
        <v>1674</v>
      </c>
      <c r="S323" s="544" t="s">
        <v>1674</v>
      </c>
      <c r="T323" s="550">
        <v>19</v>
      </c>
      <c r="U323" s="544" t="s">
        <v>2700</v>
      </c>
      <c r="V323" s="547">
        <v>376</v>
      </c>
      <c r="W323" s="548"/>
      <c r="Y323" s="544" t="s">
        <v>1674</v>
      </c>
      <c r="AA323" s="544" t="s">
        <v>1674</v>
      </c>
      <c r="AE323" s="551"/>
      <c r="AF323" s="544" t="s">
        <v>1674</v>
      </c>
      <c r="AG323" s="544" t="s">
        <v>1674</v>
      </c>
      <c r="AH323" s="544" t="s">
        <v>1674</v>
      </c>
      <c r="AI323" s="544" t="s">
        <v>1674</v>
      </c>
      <c r="AJ323" s="544" t="s">
        <v>1674</v>
      </c>
      <c r="AK323" s="544" t="s">
        <v>1674</v>
      </c>
      <c r="AL323" s="544" t="s">
        <v>1674</v>
      </c>
      <c r="AM323" s="544" t="s">
        <v>1674</v>
      </c>
      <c r="AN323" s="544" t="s">
        <v>1674</v>
      </c>
      <c r="AP323" s="542">
        <f t="shared" si="10"/>
        <v>-244</v>
      </c>
      <c r="AR323" s="552">
        <f t="shared" si="9"/>
        <v>595</v>
      </c>
    </row>
    <row r="324" spans="1:44" outlineLevel="1" x14ac:dyDescent="0.25">
      <c r="A324" s="544" t="s">
        <v>1674</v>
      </c>
      <c r="B324" s="545">
        <v>20301</v>
      </c>
      <c r="C324" s="544" t="s">
        <v>2981</v>
      </c>
      <c r="D324" s="544" t="s">
        <v>3288</v>
      </c>
      <c r="E324" s="542" t="s">
        <v>3269</v>
      </c>
      <c r="G324" s="546"/>
      <c r="H324" s="546">
        <v>435</v>
      </c>
      <c r="I324" s="546">
        <v>435</v>
      </c>
      <c r="J324" s="542" t="s">
        <v>2584</v>
      </c>
      <c r="K324" s="547">
        <v>8125</v>
      </c>
      <c r="L324" s="542" t="s">
        <v>806</v>
      </c>
      <c r="M324" s="548"/>
      <c r="N324" s="549"/>
      <c r="O324" s="544" t="s">
        <v>1674</v>
      </c>
      <c r="P324" s="544" t="s">
        <v>1674</v>
      </c>
      <c r="Q324" s="544" t="s">
        <v>2983</v>
      </c>
      <c r="R324" s="544" t="s">
        <v>2984</v>
      </c>
      <c r="S324" s="544" t="s">
        <v>1674</v>
      </c>
      <c r="T324" s="550"/>
      <c r="U324" s="544" t="s">
        <v>3279</v>
      </c>
      <c r="V324" s="547">
        <v>4</v>
      </c>
      <c r="W324" s="548"/>
      <c r="Y324" s="544" t="s">
        <v>1674</v>
      </c>
      <c r="AA324" s="544" t="s">
        <v>1674</v>
      </c>
      <c r="AE324" s="551"/>
      <c r="AF324" s="544" t="s">
        <v>1674</v>
      </c>
      <c r="AG324" s="544" t="s">
        <v>1674</v>
      </c>
      <c r="AH324" s="544" t="s">
        <v>1674</v>
      </c>
      <c r="AI324" s="544" t="s">
        <v>1674</v>
      </c>
      <c r="AJ324" s="544" t="s">
        <v>1674</v>
      </c>
      <c r="AK324" s="544" t="s">
        <v>1674</v>
      </c>
      <c r="AL324" s="544" t="s">
        <v>1674</v>
      </c>
      <c r="AM324" s="544" t="s">
        <v>2985</v>
      </c>
      <c r="AN324" s="544" t="s">
        <v>1674</v>
      </c>
      <c r="AP324" s="542">
        <f t="shared" si="10"/>
        <v>0</v>
      </c>
      <c r="AR324" s="552">
        <f t="shared" ref="AR324:AR387" si="11">IF(J324="S",+I324,-I324)</f>
        <v>-435</v>
      </c>
    </row>
    <row r="325" spans="1:44" outlineLevel="1" x14ac:dyDescent="0.25">
      <c r="A325" s="544" t="s">
        <v>1674</v>
      </c>
      <c r="B325" s="545">
        <v>11211</v>
      </c>
      <c r="C325" s="544" t="s">
        <v>3329</v>
      </c>
      <c r="D325" s="544" t="s">
        <v>3330</v>
      </c>
      <c r="E325" s="542" t="s">
        <v>3331</v>
      </c>
      <c r="F325" s="542" t="s">
        <v>3332</v>
      </c>
      <c r="G325" s="546">
        <v>678.87</v>
      </c>
      <c r="H325" s="546"/>
      <c r="I325" s="546"/>
      <c r="J325" s="542" t="s">
        <v>806</v>
      </c>
      <c r="K325" s="547">
        <v>8400</v>
      </c>
      <c r="L325" s="542" t="s">
        <v>806</v>
      </c>
      <c r="M325" s="548"/>
      <c r="N325" s="549">
        <v>-298</v>
      </c>
      <c r="O325" s="544" t="s">
        <v>1674</v>
      </c>
      <c r="P325" s="544" t="s">
        <v>1674</v>
      </c>
      <c r="Q325" s="544" t="s">
        <v>3333</v>
      </c>
      <c r="R325" s="544" t="s">
        <v>1674</v>
      </c>
      <c r="S325" s="544" t="s">
        <v>1674</v>
      </c>
      <c r="T325" s="550">
        <v>19</v>
      </c>
      <c r="U325" s="544" t="s">
        <v>3303</v>
      </c>
      <c r="V325" s="547">
        <v>238</v>
      </c>
      <c r="W325" s="548"/>
      <c r="Y325" s="544" t="s">
        <v>1674</v>
      </c>
      <c r="AA325" s="544" t="s">
        <v>1674</v>
      </c>
      <c r="AE325" s="551"/>
      <c r="AF325" s="544" t="s">
        <v>1674</v>
      </c>
      <c r="AG325" s="544" t="s">
        <v>1674</v>
      </c>
      <c r="AH325" s="544" t="s">
        <v>1674</v>
      </c>
      <c r="AI325" s="544" t="s">
        <v>1674</v>
      </c>
      <c r="AJ325" s="544" t="s">
        <v>1674</v>
      </c>
      <c r="AK325" s="544" t="s">
        <v>1674</v>
      </c>
      <c r="AL325" s="544" t="s">
        <v>1674</v>
      </c>
      <c r="AM325" s="544" t="s">
        <v>3334</v>
      </c>
      <c r="AN325" s="544" t="s">
        <v>1674</v>
      </c>
      <c r="AP325" s="542">
        <f t="shared" si="10"/>
        <v>-237</v>
      </c>
      <c r="AR325" s="552">
        <f t="shared" si="11"/>
        <v>0</v>
      </c>
    </row>
    <row r="326" spans="1:44" outlineLevel="1" x14ac:dyDescent="0.25">
      <c r="A326" s="544" t="s">
        <v>1674</v>
      </c>
      <c r="B326" s="545">
        <v>0</v>
      </c>
      <c r="C326" s="544" t="s">
        <v>1674</v>
      </c>
      <c r="D326" s="544" t="s">
        <v>3330</v>
      </c>
      <c r="E326" s="542" t="s">
        <v>3331</v>
      </c>
      <c r="F326" s="542" t="s">
        <v>3332</v>
      </c>
      <c r="G326" s="546">
        <v>35.700000000000003</v>
      </c>
      <c r="H326" s="546"/>
      <c r="I326" s="546"/>
      <c r="J326" s="542" t="s">
        <v>806</v>
      </c>
      <c r="K326" s="547">
        <v>8400</v>
      </c>
      <c r="L326" s="542" t="s">
        <v>806</v>
      </c>
      <c r="M326" s="548"/>
      <c r="N326" s="549">
        <v>-298</v>
      </c>
      <c r="O326" s="544" t="s">
        <v>1674</v>
      </c>
      <c r="P326" s="544" t="s">
        <v>1674</v>
      </c>
      <c r="Q326" s="544" t="s">
        <v>3333</v>
      </c>
      <c r="R326" s="544" t="s">
        <v>2617</v>
      </c>
      <c r="S326" s="544" t="s">
        <v>1674</v>
      </c>
      <c r="T326" s="550">
        <v>19</v>
      </c>
      <c r="U326" s="544" t="s">
        <v>3303</v>
      </c>
      <c r="V326" s="547">
        <v>239</v>
      </c>
      <c r="W326" s="548"/>
      <c r="Y326" s="544" t="s">
        <v>1674</v>
      </c>
      <c r="AA326" s="544" t="s">
        <v>1674</v>
      </c>
      <c r="AE326" s="551"/>
      <c r="AF326" s="544" t="s">
        <v>1674</v>
      </c>
      <c r="AG326" s="544" t="s">
        <v>1674</v>
      </c>
      <c r="AH326" s="544" t="s">
        <v>1674</v>
      </c>
      <c r="AI326" s="544" t="s">
        <v>1674</v>
      </c>
      <c r="AJ326" s="544" t="s">
        <v>1674</v>
      </c>
      <c r="AK326" s="544" t="s">
        <v>1674</v>
      </c>
      <c r="AL326" s="544" t="s">
        <v>1674</v>
      </c>
      <c r="AM326" s="544" t="s">
        <v>1674</v>
      </c>
      <c r="AN326" s="544" t="s">
        <v>1674</v>
      </c>
      <c r="AP326" s="542">
        <f t="shared" si="10"/>
        <v>-237</v>
      </c>
      <c r="AR326" s="552">
        <f t="shared" si="11"/>
        <v>0</v>
      </c>
    </row>
    <row r="327" spans="1:44" outlineLevel="1" x14ac:dyDescent="0.25">
      <c r="A327" s="544" t="s">
        <v>1674</v>
      </c>
      <c r="B327" s="545">
        <v>0</v>
      </c>
      <c r="C327" s="544" t="s">
        <v>1674</v>
      </c>
      <c r="D327" s="544" t="s">
        <v>3330</v>
      </c>
      <c r="E327" s="542" t="s">
        <v>3331</v>
      </c>
      <c r="F327" s="542" t="s">
        <v>3332</v>
      </c>
      <c r="G327" s="546">
        <v>10138.23</v>
      </c>
      <c r="H327" s="546"/>
      <c r="I327" s="546"/>
      <c r="J327" s="542" t="s">
        <v>806</v>
      </c>
      <c r="K327" s="547">
        <v>8401</v>
      </c>
      <c r="L327" s="542" t="s">
        <v>806</v>
      </c>
      <c r="M327" s="548"/>
      <c r="N327" s="549">
        <v>-298</v>
      </c>
      <c r="O327" s="544" t="s">
        <v>1674</v>
      </c>
      <c r="P327" s="544" t="s">
        <v>1674</v>
      </c>
      <c r="Q327" s="544" t="s">
        <v>3333</v>
      </c>
      <c r="R327" s="544" t="s">
        <v>1674</v>
      </c>
      <c r="S327" s="544" t="s">
        <v>1674</v>
      </c>
      <c r="T327" s="550">
        <v>19</v>
      </c>
      <c r="U327" s="544" t="s">
        <v>3303</v>
      </c>
      <c r="V327" s="547">
        <v>240</v>
      </c>
      <c r="W327" s="548"/>
      <c r="Y327" s="544" t="s">
        <v>1674</v>
      </c>
      <c r="AA327" s="544" t="s">
        <v>1674</v>
      </c>
      <c r="AE327" s="551"/>
      <c r="AF327" s="544" t="s">
        <v>1674</v>
      </c>
      <c r="AG327" s="544" t="s">
        <v>1674</v>
      </c>
      <c r="AH327" s="544" t="s">
        <v>1674</v>
      </c>
      <c r="AI327" s="544" t="s">
        <v>1674</v>
      </c>
      <c r="AJ327" s="544" t="s">
        <v>1674</v>
      </c>
      <c r="AK327" s="544" t="s">
        <v>1674</v>
      </c>
      <c r="AL327" s="544" t="s">
        <v>1674</v>
      </c>
      <c r="AM327" s="544" t="s">
        <v>1674</v>
      </c>
      <c r="AN327" s="544" t="s">
        <v>1674</v>
      </c>
      <c r="AP327" s="542">
        <f t="shared" si="10"/>
        <v>-237</v>
      </c>
      <c r="AR327" s="552">
        <f t="shared" si="11"/>
        <v>0</v>
      </c>
    </row>
    <row r="328" spans="1:44" outlineLevel="1" x14ac:dyDescent="0.25">
      <c r="A328" s="544" t="s">
        <v>1674</v>
      </c>
      <c r="B328" s="545">
        <v>0</v>
      </c>
      <c r="C328" s="544" t="s">
        <v>1674</v>
      </c>
      <c r="D328" s="544" t="s">
        <v>3330</v>
      </c>
      <c r="E328" s="542" t="s">
        <v>3335</v>
      </c>
      <c r="G328" s="546"/>
      <c r="H328" s="546">
        <v>10733.74</v>
      </c>
      <c r="I328" s="546">
        <v>119.06</v>
      </c>
      <c r="J328" s="542" t="s">
        <v>2701</v>
      </c>
      <c r="K328" s="547">
        <v>1200</v>
      </c>
      <c r="L328" s="542" t="s">
        <v>806</v>
      </c>
      <c r="M328" s="548"/>
      <c r="N328" s="549"/>
      <c r="O328" s="544" t="s">
        <v>1674</v>
      </c>
      <c r="P328" s="544" t="s">
        <v>1674</v>
      </c>
      <c r="Q328" s="544" t="s">
        <v>3336</v>
      </c>
      <c r="R328" s="544" t="s">
        <v>1674</v>
      </c>
      <c r="S328" s="544" t="s">
        <v>1674</v>
      </c>
      <c r="T328" s="550"/>
      <c r="U328" s="544" t="s">
        <v>3303</v>
      </c>
      <c r="V328" s="547">
        <v>337</v>
      </c>
      <c r="W328" s="548"/>
      <c r="Y328" s="544" t="s">
        <v>1674</v>
      </c>
      <c r="AA328" s="544" t="s">
        <v>1674</v>
      </c>
      <c r="AE328" s="551"/>
      <c r="AF328" s="544" t="s">
        <v>1674</v>
      </c>
      <c r="AG328" s="544" t="s">
        <v>1674</v>
      </c>
      <c r="AH328" s="544" t="s">
        <v>1674</v>
      </c>
      <c r="AI328" s="544" t="s">
        <v>1674</v>
      </c>
      <c r="AJ328" s="544" t="s">
        <v>1674</v>
      </c>
      <c r="AK328" s="544" t="s">
        <v>1674</v>
      </c>
      <c r="AL328" s="544" t="s">
        <v>1674</v>
      </c>
      <c r="AM328" s="544" t="s">
        <v>1674</v>
      </c>
      <c r="AN328" s="544" t="s">
        <v>1674</v>
      </c>
      <c r="AP328" s="542">
        <f t="shared" si="10"/>
        <v>0</v>
      </c>
      <c r="AR328" s="552">
        <f t="shared" si="11"/>
        <v>119.06</v>
      </c>
    </row>
    <row r="329" spans="1:44" outlineLevel="1" x14ac:dyDescent="0.25">
      <c r="A329" s="544" t="s">
        <v>1674</v>
      </c>
      <c r="B329" s="545">
        <v>11813</v>
      </c>
      <c r="C329" s="544" t="s">
        <v>2814</v>
      </c>
      <c r="D329" s="544" t="s">
        <v>3337</v>
      </c>
      <c r="E329" s="542" t="s">
        <v>3338</v>
      </c>
      <c r="F329" s="542" t="s">
        <v>3339</v>
      </c>
      <c r="G329" s="546">
        <v>456.96</v>
      </c>
      <c r="H329" s="546"/>
      <c r="I329" s="546"/>
      <c r="J329" s="542" t="s">
        <v>806</v>
      </c>
      <c r="K329" s="547">
        <v>8400</v>
      </c>
      <c r="L329" s="542" t="s">
        <v>806</v>
      </c>
      <c r="M329" s="548"/>
      <c r="N329" s="549">
        <v>-290</v>
      </c>
      <c r="O329" s="544" t="s">
        <v>1674</v>
      </c>
      <c r="P329" s="544" t="s">
        <v>1674</v>
      </c>
      <c r="Q329" s="544" t="s">
        <v>2818</v>
      </c>
      <c r="R329" s="544" t="s">
        <v>2622</v>
      </c>
      <c r="S329" s="544" t="s">
        <v>1674</v>
      </c>
      <c r="T329" s="550">
        <v>19</v>
      </c>
      <c r="U329" s="544" t="s">
        <v>3303</v>
      </c>
      <c r="V329" s="547">
        <v>699</v>
      </c>
      <c r="W329" s="548"/>
      <c r="Y329" s="544" t="s">
        <v>1674</v>
      </c>
      <c r="AA329" s="544" t="s">
        <v>1674</v>
      </c>
      <c r="AE329" s="551"/>
      <c r="AF329" s="544" t="s">
        <v>1674</v>
      </c>
      <c r="AG329" s="544" t="s">
        <v>1674</v>
      </c>
      <c r="AH329" s="544" t="s">
        <v>1674</v>
      </c>
      <c r="AI329" s="544" t="s">
        <v>1674</v>
      </c>
      <c r="AJ329" s="544" t="s">
        <v>1674</v>
      </c>
      <c r="AK329" s="544" t="s">
        <v>1674</v>
      </c>
      <c r="AL329" s="544" t="s">
        <v>1674</v>
      </c>
      <c r="AM329" s="544" t="s">
        <v>2819</v>
      </c>
      <c r="AN329" s="544" t="s">
        <v>1674</v>
      </c>
      <c r="AP329" s="542">
        <f t="shared" si="10"/>
        <v>-229</v>
      </c>
      <c r="AR329" s="552">
        <f t="shared" si="11"/>
        <v>0</v>
      </c>
    </row>
    <row r="330" spans="1:44" outlineLevel="1" x14ac:dyDescent="0.25">
      <c r="A330" s="544" t="s">
        <v>1674</v>
      </c>
      <c r="B330" s="545">
        <v>0</v>
      </c>
      <c r="C330" s="544" t="s">
        <v>1674</v>
      </c>
      <c r="D330" s="544" t="s">
        <v>3337</v>
      </c>
      <c r="E330" s="542" t="s">
        <v>3338</v>
      </c>
      <c r="F330" s="542" t="s">
        <v>3339</v>
      </c>
      <c r="G330" s="546">
        <v>685.44</v>
      </c>
      <c r="H330" s="546"/>
      <c r="I330" s="546">
        <v>1142.4000000000001</v>
      </c>
      <c r="J330" s="542" t="s">
        <v>2701</v>
      </c>
      <c r="K330" s="547">
        <v>8400</v>
      </c>
      <c r="L330" s="542" t="s">
        <v>806</v>
      </c>
      <c r="M330" s="548"/>
      <c r="N330" s="549">
        <v>-290</v>
      </c>
      <c r="O330" s="544" t="s">
        <v>1674</v>
      </c>
      <c r="P330" s="544" t="s">
        <v>1674</v>
      </c>
      <c r="Q330" s="544" t="s">
        <v>2818</v>
      </c>
      <c r="R330" s="544" t="s">
        <v>1674</v>
      </c>
      <c r="S330" s="544" t="s">
        <v>1674</v>
      </c>
      <c r="T330" s="550">
        <v>19</v>
      </c>
      <c r="U330" s="544" t="s">
        <v>3303</v>
      </c>
      <c r="V330" s="547">
        <v>700</v>
      </c>
      <c r="W330" s="548"/>
      <c r="Y330" s="544" t="s">
        <v>1674</v>
      </c>
      <c r="AA330" s="544" t="s">
        <v>1674</v>
      </c>
      <c r="AE330" s="551"/>
      <c r="AF330" s="544" t="s">
        <v>1674</v>
      </c>
      <c r="AG330" s="544" t="s">
        <v>1674</v>
      </c>
      <c r="AH330" s="544" t="s">
        <v>1674</v>
      </c>
      <c r="AI330" s="544" t="s">
        <v>1674</v>
      </c>
      <c r="AJ330" s="544" t="s">
        <v>1674</v>
      </c>
      <c r="AK330" s="544" t="s">
        <v>1674</v>
      </c>
      <c r="AL330" s="544" t="s">
        <v>1674</v>
      </c>
      <c r="AM330" s="544" t="s">
        <v>1674</v>
      </c>
      <c r="AN330" s="544" t="s">
        <v>1674</v>
      </c>
      <c r="AP330" s="542">
        <f t="shared" si="10"/>
        <v>-229</v>
      </c>
      <c r="AR330" s="552">
        <f t="shared" si="11"/>
        <v>1142.4000000000001</v>
      </c>
    </row>
    <row r="331" spans="1:44" outlineLevel="1" x14ac:dyDescent="0.25">
      <c r="A331" s="544" t="s">
        <v>1674</v>
      </c>
      <c r="B331" s="545">
        <v>20301</v>
      </c>
      <c r="C331" s="544" t="s">
        <v>2981</v>
      </c>
      <c r="D331" s="544" t="s">
        <v>3340</v>
      </c>
      <c r="E331" s="542" t="s">
        <v>3341</v>
      </c>
      <c r="F331" s="542" t="s">
        <v>3342</v>
      </c>
      <c r="G331" s="546">
        <v>19858.8</v>
      </c>
      <c r="H331" s="546"/>
      <c r="I331" s="546"/>
      <c r="J331" s="542" t="s">
        <v>806</v>
      </c>
      <c r="K331" s="547">
        <v>8125</v>
      </c>
      <c r="L331" s="542" t="s">
        <v>806</v>
      </c>
      <c r="M331" s="548"/>
      <c r="N331" s="549">
        <v>-283</v>
      </c>
      <c r="O331" s="544" t="s">
        <v>1674</v>
      </c>
      <c r="P331" s="544" t="s">
        <v>1674</v>
      </c>
      <c r="Q331" s="544" t="s">
        <v>2983</v>
      </c>
      <c r="R331" s="544" t="s">
        <v>1674</v>
      </c>
      <c r="S331" s="544" t="s">
        <v>1674</v>
      </c>
      <c r="T331" s="550"/>
      <c r="U331" s="544" t="s">
        <v>3303</v>
      </c>
      <c r="V331" s="547">
        <v>1164</v>
      </c>
      <c r="W331" s="548"/>
      <c r="Y331" s="544" t="s">
        <v>1674</v>
      </c>
      <c r="AA331" s="544" t="s">
        <v>1674</v>
      </c>
      <c r="AE331" s="551"/>
      <c r="AF331" s="544" t="s">
        <v>1674</v>
      </c>
      <c r="AG331" s="544" t="s">
        <v>1674</v>
      </c>
      <c r="AH331" s="544" t="s">
        <v>1674</v>
      </c>
      <c r="AI331" s="544" t="s">
        <v>1674</v>
      </c>
      <c r="AJ331" s="544" t="s">
        <v>1674</v>
      </c>
      <c r="AK331" s="544" t="s">
        <v>1674</v>
      </c>
      <c r="AL331" s="544" t="s">
        <v>1674</v>
      </c>
      <c r="AM331" s="544" t="s">
        <v>2985</v>
      </c>
      <c r="AN331" s="544" t="s">
        <v>1674</v>
      </c>
      <c r="AP331" s="542">
        <f t="shared" si="10"/>
        <v>-222</v>
      </c>
      <c r="AR331" s="552">
        <f t="shared" si="11"/>
        <v>0</v>
      </c>
    </row>
    <row r="332" spans="1:44" outlineLevel="1" x14ac:dyDescent="0.25">
      <c r="A332" s="544" t="s">
        <v>1674</v>
      </c>
      <c r="B332" s="545">
        <v>0</v>
      </c>
      <c r="C332" s="544" t="s">
        <v>1674</v>
      </c>
      <c r="D332" s="544" t="s">
        <v>3340</v>
      </c>
      <c r="E332" s="542" t="s">
        <v>3341</v>
      </c>
      <c r="F332" s="542" t="s">
        <v>3342</v>
      </c>
      <c r="G332" s="546">
        <v>5774</v>
      </c>
      <c r="H332" s="546"/>
      <c r="I332" s="546">
        <v>25632.799999999999</v>
      </c>
      <c r="J332" s="542" t="s">
        <v>2701</v>
      </c>
      <c r="K332" s="547">
        <v>8125</v>
      </c>
      <c r="L332" s="542" t="s">
        <v>806</v>
      </c>
      <c r="M332" s="548"/>
      <c r="N332" s="549">
        <v>-283</v>
      </c>
      <c r="O332" s="544" t="s">
        <v>1674</v>
      </c>
      <c r="P332" s="544" t="s">
        <v>1674</v>
      </c>
      <c r="Q332" s="544" t="s">
        <v>2983</v>
      </c>
      <c r="R332" s="544" t="s">
        <v>2984</v>
      </c>
      <c r="S332" s="544" t="s">
        <v>1674</v>
      </c>
      <c r="T332" s="550"/>
      <c r="U332" s="544" t="s">
        <v>3303</v>
      </c>
      <c r="V332" s="547">
        <v>1165</v>
      </c>
      <c r="W332" s="548"/>
      <c r="Y332" s="544" t="s">
        <v>1674</v>
      </c>
      <c r="AA332" s="544" t="s">
        <v>1674</v>
      </c>
      <c r="AE332" s="551"/>
      <c r="AF332" s="544" t="s">
        <v>1674</v>
      </c>
      <c r="AG332" s="544" t="s">
        <v>1674</v>
      </c>
      <c r="AH332" s="544" t="s">
        <v>1674</v>
      </c>
      <c r="AI332" s="544" t="s">
        <v>1674</v>
      </c>
      <c r="AJ332" s="544" t="s">
        <v>1674</v>
      </c>
      <c r="AK332" s="544" t="s">
        <v>1674</v>
      </c>
      <c r="AL332" s="544" t="s">
        <v>1674</v>
      </c>
      <c r="AM332" s="544" t="s">
        <v>1674</v>
      </c>
      <c r="AN332" s="544" t="s">
        <v>1674</v>
      </c>
      <c r="AP332" s="542">
        <f t="shared" si="10"/>
        <v>-222</v>
      </c>
      <c r="AR332" s="552">
        <f t="shared" si="11"/>
        <v>25632.799999999999</v>
      </c>
    </row>
    <row r="333" spans="1:44" outlineLevel="1" x14ac:dyDescent="0.25">
      <c r="A333" s="544" t="s">
        <v>1674</v>
      </c>
      <c r="B333" s="545">
        <v>10700</v>
      </c>
      <c r="C333" s="544" t="s">
        <v>2836</v>
      </c>
      <c r="D333" s="544" t="s">
        <v>3343</v>
      </c>
      <c r="E333" s="542" t="s">
        <v>3248</v>
      </c>
      <c r="F333" s="542" t="s">
        <v>3344</v>
      </c>
      <c r="G333" s="546">
        <v>2395.4699999999998</v>
      </c>
      <c r="H333" s="546"/>
      <c r="I333" s="546">
        <v>2395.4699999999998</v>
      </c>
      <c r="J333" s="542" t="s">
        <v>2701</v>
      </c>
      <c r="K333" s="547">
        <v>8400</v>
      </c>
      <c r="L333" s="542" t="s">
        <v>806</v>
      </c>
      <c r="M333" s="548"/>
      <c r="N333" s="549">
        <v>-282</v>
      </c>
      <c r="O333" s="544" t="s">
        <v>1674</v>
      </c>
      <c r="P333" s="544" t="s">
        <v>1674</v>
      </c>
      <c r="Q333" s="544" t="s">
        <v>2839</v>
      </c>
      <c r="R333" s="544" t="s">
        <v>1674</v>
      </c>
      <c r="S333" s="544" t="s">
        <v>1674</v>
      </c>
      <c r="T333" s="550">
        <v>19</v>
      </c>
      <c r="U333" s="544" t="s">
        <v>3303</v>
      </c>
      <c r="V333" s="547">
        <v>1268</v>
      </c>
      <c r="W333" s="548"/>
      <c r="Y333" s="544" t="s">
        <v>1674</v>
      </c>
      <c r="AA333" s="544" t="s">
        <v>1674</v>
      </c>
      <c r="AE333" s="551"/>
      <c r="AF333" s="544" t="s">
        <v>1674</v>
      </c>
      <c r="AG333" s="544" t="s">
        <v>1674</v>
      </c>
      <c r="AH333" s="544" t="s">
        <v>1674</v>
      </c>
      <c r="AI333" s="544" t="s">
        <v>1674</v>
      </c>
      <c r="AJ333" s="544" t="s">
        <v>1674</v>
      </c>
      <c r="AK333" s="544" t="s">
        <v>1674</v>
      </c>
      <c r="AL333" s="544" t="s">
        <v>1674</v>
      </c>
      <c r="AM333" s="544" t="s">
        <v>2836</v>
      </c>
      <c r="AN333" s="544" t="s">
        <v>1674</v>
      </c>
      <c r="AP333" s="542">
        <f t="shared" si="10"/>
        <v>-221</v>
      </c>
      <c r="AR333" s="552">
        <f t="shared" si="11"/>
        <v>2395.4699999999998</v>
      </c>
    </row>
    <row r="334" spans="1:44" outlineLevel="1" x14ac:dyDescent="0.25">
      <c r="A334" s="544" t="s">
        <v>2722</v>
      </c>
      <c r="B334" s="545">
        <v>11800</v>
      </c>
      <c r="C334" s="544" t="s">
        <v>2581</v>
      </c>
      <c r="D334" s="544" t="s">
        <v>3345</v>
      </c>
      <c r="E334" s="542" t="s">
        <v>3346</v>
      </c>
      <c r="F334" s="542" t="s">
        <v>3347</v>
      </c>
      <c r="G334" s="546">
        <v>17195.5</v>
      </c>
      <c r="H334" s="546"/>
      <c r="I334" s="546"/>
      <c r="J334" s="542" t="s">
        <v>806</v>
      </c>
      <c r="K334" s="547">
        <v>8820</v>
      </c>
      <c r="L334" s="542" t="s">
        <v>806</v>
      </c>
      <c r="M334" s="548"/>
      <c r="N334" s="549">
        <v>-273</v>
      </c>
      <c r="O334" s="544" t="s">
        <v>1674</v>
      </c>
      <c r="P334" s="544" t="s">
        <v>1674</v>
      </c>
      <c r="Q334" s="544" t="s">
        <v>3348</v>
      </c>
      <c r="R334" s="544" t="s">
        <v>2622</v>
      </c>
      <c r="S334" s="544" t="s">
        <v>1674</v>
      </c>
      <c r="T334" s="550">
        <v>19</v>
      </c>
      <c r="U334" s="544" t="s">
        <v>3303</v>
      </c>
      <c r="V334" s="547">
        <v>1801</v>
      </c>
      <c r="W334" s="548"/>
      <c r="Y334" s="544" t="s">
        <v>1674</v>
      </c>
      <c r="AA334" s="544" t="s">
        <v>1674</v>
      </c>
      <c r="AE334" s="551"/>
      <c r="AF334" s="544" t="s">
        <v>1674</v>
      </c>
      <c r="AG334" s="544" t="s">
        <v>1674</v>
      </c>
      <c r="AH334" s="544" t="s">
        <v>1674</v>
      </c>
      <c r="AI334" s="544" t="s">
        <v>1674</v>
      </c>
      <c r="AJ334" s="544" t="s">
        <v>1674</v>
      </c>
      <c r="AK334" s="544" t="s">
        <v>1674</v>
      </c>
      <c r="AL334" s="544" t="s">
        <v>1674</v>
      </c>
      <c r="AM334" s="544" t="s">
        <v>2581</v>
      </c>
      <c r="AN334" s="544" t="s">
        <v>1674</v>
      </c>
      <c r="AP334" s="542">
        <f t="shared" si="10"/>
        <v>-212</v>
      </c>
      <c r="AR334" s="552">
        <f t="shared" si="11"/>
        <v>0</v>
      </c>
    </row>
    <row r="335" spans="1:44" outlineLevel="1" x14ac:dyDescent="0.25">
      <c r="A335" s="544" t="s">
        <v>1674</v>
      </c>
      <c r="B335" s="545">
        <v>0</v>
      </c>
      <c r="C335" s="544" t="s">
        <v>1674</v>
      </c>
      <c r="D335" s="544" t="s">
        <v>3345</v>
      </c>
      <c r="E335" s="542" t="s">
        <v>3346</v>
      </c>
      <c r="F335" s="542" t="s">
        <v>3347</v>
      </c>
      <c r="G335" s="546">
        <v>3034.5</v>
      </c>
      <c r="H335" s="546"/>
      <c r="I335" s="546"/>
      <c r="J335" s="542" t="s">
        <v>806</v>
      </c>
      <c r="K335" s="547">
        <v>8801</v>
      </c>
      <c r="L335" s="542" t="s">
        <v>806</v>
      </c>
      <c r="M335" s="548"/>
      <c r="N335" s="549">
        <v>-273</v>
      </c>
      <c r="O335" s="544" t="s">
        <v>1674</v>
      </c>
      <c r="P335" s="544" t="s">
        <v>1674</v>
      </c>
      <c r="Q335" s="544" t="s">
        <v>3349</v>
      </c>
      <c r="R335" s="544" t="s">
        <v>1674</v>
      </c>
      <c r="S335" s="544" t="s">
        <v>1674</v>
      </c>
      <c r="T335" s="550">
        <v>19</v>
      </c>
      <c r="U335" s="544" t="s">
        <v>3303</v>
      </c>
      <c r="V335" s="547">
        <v>1802</v>
      </c>
      <c r="W335" s="548"/>
      <c r="Y335" s="544" t="s">
        <v>1674</v>
      </c>
      <c r="AA335" s="544" t="s">
        <v>1674</v>
      </c>
      <c r="AE335" s="551"/>
      <c r="AF335" s="544" t="s">
        <v>1674</v>
      </c>
      <c r="AG335" s="544" t="s">
        <v>1674</v>
      </c>
      <c r="AH335" s="544" t="s">
        <v>1674</v>
      </c>
      <c r="AI335" s="544" t="s">
        <v>1674</v>
      </c>
      <c r="AJ335" s="544" t="s">
        <v>1674</v>
      </c>
      <c r="AK335" s="544" t="s">
        <v>1674</v>
      </c>
      <c r="AL335" s="544" t="s">
        <v>1674</v>
      </c>
      <c r="AM335" s="544" t="s">
        <v>1674</v>
      </c>
      <c r="AN335" s="544" t="s">
        <v>1674</v>
      </c>
      <c r="AP335" s="542">
        <f t="shared" si="10"/>
        <v>-212</v>
      </c>
      <c r="AR335" s="552">
        <f t="shared" si="11"/>
        <v>0</v>
      </c>
    </row>
    <row r="336" spans="1:44" outlineLevel="1" x14ac:dyDescent="0.25">
      <c r="A336" s="544" t="s">
        <v>1674</v>
      </c>
      <c r="B336" s="545">
        <v>0</v>
      </c>
      <c r="C336" s="544" t="s">
        <v>1674</v>
      </c>
      <c r="D336" s="544" t="s">
        <v>3345</v>
      </c>
      <c r="E336" s="542" t="s">
        <v>3304</v>
      </c>
      <c r="G336" s="546"/>
      <c r="H336" s="546">
        <v>942.48</v>
      </c>
      <c r="I336" s="546"/>
      <c r="J336" s="542" t="s">
        <v>806</v>
      </c>
      <c r="K336" s="547">
        <v>1200</v>
      </c>
      <c r="L336" s="542" t="s">
        <v>806</v>
      </c>
      <c r="M336" s="548"/>
      <c r="N336" s="549"/>
      <c r="O336" s="544" t="s">
        <v>1674</v>
      </c>
      <c r="P336" s="544" t="s">
        <v>1674</v>
      </c>
      <c r="Q336" s="544" t="s">
        <v>3305</v>
      </c>
      <c r="R336" s="544" t="s">
        <v>1674</v>
      </c>
      <c r="S336" s="544" t="s">
        <v>1674</v>
      </c>
      <c r="T336" s="550"/>
      <c r="U336" s="544" t="s">
        <v>3306</v>
      </c>
      <c r="V336" s="547">
        <v>1621</v>
      </c>
      <c r="W336" s="548"/>
      <c r="Y336" s="544" t="s">
        <v>1674</v>
      </c>
      <c r="AA336" s="544" t="s">
        <v>1674</v>
      </c>
      <c r="AE336" s="551"/>
      <c r="AF336" s="544" t="s">
        <v>1674</v>
      </c>
      <c r="AG336" s="544" t="s">
        <v>1674</v>
      </c>
      <c r="AH336" s="544" t="s">
        <v>1674</v>
      </c>
      <c r="AI336" s="544" t="s">
        <v>1674</v>
      </c>
      <c r="AJ336" s="544" t="s">
        <v>1674</v>
      </c>
      <c r="AK336" s="544" t="s">
        <v>1674</v>
      </c>
      <c r="AL336" s="544" t="s">
        <v>1674</v>
      </c>
      <c r="AM336" s="544" t="s">
        <v>1674</v>
      </c>
      <c r="AN336" s="544" t="s">
        <v>1674</v>
      </c>
      <c r="AP336" s="542">
        <f t="shared" si="10"/>
        <v>0</v>
      </c>
      <c r="AR336" s="552">
        <f t="shared" si="11"/>
        <v>0</v>
      </c>
    </row>
    <row r="337" spans="1:44" outlineLevel="1" x14ac:dyDescent="0.25">
      <c r="A337" s="544" t="s">
        <v>1674</v>
      </c>
      <c r="B337" s="545">
        <v>0</v>
      </c>
      <c r="C337" s="544" t="s">
        <v>1674</v>
      </c>
      <c r="D337" s="544" t="s">
        <v>3345</v>
      </c>
      <c r="E337" s="542" t="s">
        <v>3304</v>
      </c>
      <c r="G337" s="546"/>
      <c r="H337" s="546">
        <v>9.52</v>
      </c>
      <c r="I337" s="546"/>
      <c r="J337" s="542" t="s">
        <v>806</v>
      </c>
      <c r="K337" s="547">
        <v>8736</v>
      </c>
      <c r="L337" s="542" t="s">
        <v>806</v>
      </c>
      <c r="M337" s="548"/>
      <c r="N337" s="549"/>
      <c r="O337" s="544" t="s">
        <v>1674</v>
      </c>
      <c r="P337" s="544" t="s">
        <v>1674</v>
      </c>
      <c r="Q337" s="544" t="s">
        <v>3305</v>
      </c>
      <c r="R337" s="544" t="s">
        <v>1674</v>
      </c>
      <c r="S337" s="544" t="s">
        <v>1674</v>
      </c>
      <c r="T337" s="550">
        <v>19</v>
      </c>
      <c r="U337" s="544" t="s">
        <v>3306</v>
      </c>
      <c r="V337" s="547">
        <v>1622</v>
      </c>
      <c r="W337" s="548"/>
      <c r="Y337" s="544" t="s">
        <v>1674</v>
      </c>
      <c r="AA337" s="544" t="s">
        <v>1674</v>
      </c>
      <c r="AE337" s="551"/>
      <c r="AF337" s="544" t="s">
        <v>1674</v>
      </c>
      <c r="AG337" s="544" t="s">
        <v>1674</v>
      </c>
      <c r="AH337" s="544" t="s">
        <v>1674</v>
      </c>
      <c r="AI337" s="544" t="s">
        <v>1674</v>
      </c>
      <c r="AJ337" s="544" t="s">
        <v>1674</v>
      </c>
      <c r="AK337" s="544" t="s">
        <v>1674</v>
      </c>
      <c r="AL337" s="544" t="s">
        <v>1674</v>
      </c>
      <c r="AM337" s="544" t="s">
        <v>1674</v>
      </c>
      <c r="AN337" s="544" t="s">
        <v>1674</v>
      </c>
      <c r="AP337" s="542">
        <f t="shared" si="10"/>
        <v>0</v>
      </c>
      <c r="AR337" s="552">
        <f t="shared" si="11"/>
        <v>0</v>
      </c>
    </row>
    <row r="338" spans="1:44" outlineLevel="1" x14ac:dyDescent="0.25">
      <c r="A338" s="544" t="s">
        <v>1674</v>
      </c>
      <c r="B338" s="545">
        <v>0</v>
      </c>
      <c r="C338" s="544" t="s">
        <v>1674</v>
      </c>
      <c r="D338" s="544" t="s">
        <v>3345</v>
      </c>
      <c r="E338" s="542" t="s">
        <v>3307</v>
      </c>
      <c r="G338" s="546"/>
      <c r="H338" s="546">
        <v>942.48</v>
      </c>
      <c r="I338" s="546"/>
      <c r="J338" s="542" t="s">
        <v>806</v>
      </c>
      <c r="K338" s="547">
        <v>1200</v>
      </c>
      <c r="L338" s="542" t="s">
        <v>806</v>
      </c>
      <c r="M338" s="548"/>
      <c r="N338" s="549"/>
      <c r="O338" s="544" t="s">
        <v>1674</v>
      </c>
      <c r="P338" s="544" t="s">
        <v>1674</v>
      </c>
      <c r="Q338" s="544" t="s">
        <v>3308</v>
      </c>
      <c r="R338" s="544" t="s">
        <v>1674</v>
      </c>
      <c r="S338" s="544" t="s">
        <v>1674</v>
      </c>
      <c r="T338" s="550"/>
      <c r="U338" s="544" t="s">
        <v>3309</v>
      </c>
      <c r="V338" s="547">
        <v>1683</v>
      </c>
      <c r="W338" s="548"/>
      <c r="Y338" s="544" t="s">
        <v>1674</v>
      </c>
      <c r="AA338" s="544" t="s">
        <v>1674</v>
      </c>
      <c r="AE338" s="551"/>
      <c r="AF338" s="544" t="s">
        <v>1674</v>
      </c>
      <c r="AG338" s="544" t="s">
        <v>1674</v>
      </c>
      <c r="AH338" s="544" t="s">
        <v>1674</v>
      </c>
      <c r="AI338" s="544" t="s">
        <v>1674</v>
      </c>
      <c r="AJ338" s="544" t="s">
        <v>1674</v>
      </c>
      <c r="AK338" s="544" t="s">
        <v>1674</v>
      </c>
      <c r="AL338" s="544" t="s">
        <v>1674</v>
      </c>
      <c r="AM338" s="544" t="s">
        <v>1674</v>
      </c>
      <c r="AN338" s="544" t="s">
        <v>1674</v>
      </c>
      <c r="AP338" s="542">
        <f t="shared" si="10"/>
        <v>0</v>
      </c>
      <c r="AR338" s="552">
        <f t="shared" si="11"/>
        <v>0</v>
      </c>
    </row>
    <row r="339" spans="1:44" outlineLevel="1" x14ac:dyDescent="0.25">
      <c r="A339" s="544" t="s">
        <v>1674</v>
      </c>
      <c r="B339" s="545">
        <v>0</v>
      </c>
      <c r="C339" s="544" t="s">
        <v>1674</v>
      </c>
      <c r="D339" s="544" t="s">
        <v>3345</v>
      </c>
      <c r="E339" s="542" t="s">
        <v>3307</v>
      </c>
      <c r="G339" s="546"/>
      <c r="H339" s="546">
        <v>9.52</v>
      </c>
      <c r="I339" s="546"/>
      <c r="J339" s="542" t="s">
        <v>806</v>
      </c>
      <c r="K339" s="547">
        <v>8736</v>
      </c>
      <c r="L339" s="542" t="s">
        <v>806</v>
      </c>
      <c r="M339" s="548"/>
      <c r="N339" s="549"/>
      <c r="O339" s="544" t="s">
        <v>1674</v>
      </c>
      <c r="P339" s="544" t="s">
        <v>1674</v>
      </c>
      <c r="Q339" s="544" t="s">
        <v>3308</v>
      </c>
      <c r="R339" s="544" t="s">
        <v>1674</v>
      </c>
      <c r="S339" s="544" t="s">
        <v>1674</v>
      </c>
      <c r="T339" s="550">
        <v>19</v>
      </c>
      <c r="U339" s="544" t="s">
        <v>3309</v>
      </c>
      <c r="V339" s="547">
        <v>1684</v>
      </c>
      <c r="W339" s="548"/>
      <c r="Y339" s="544" t="s">
        <v>1674</v>
      </c>
      <c r="AA339" s="544" t="s">
        <v>1674</v>
      </c>
      <c r="AE339" s="551"/>
      <c r="AF339" s="544" t="s">
        <v>1674</v>
      </c>
      <c r="AG339" s="544" t="s">
        <v>1674</v>
      </c>
      <c r="AH339" s="544" t="s">
        <v>1674</v>
      </c>
      <c r="AI339" s="544" t="s">
        <v>1674</v>
      </c>
      <c r="AJ339" s="544" t="s">
        <v>1674</v>
      </c>
      <c r="AK339" s="544" t="s">
        <v>1674</v>
      </c>
      <c r="AL339" s="544" t="s">
        <v>1674</v>
      </c>
      <c r="AM339" s="544" t="s">
        <v>1674</v>
      </c>
      <c r="AN339" s="544" t="s">
        <v>1674</v>
      </c>
      <c r="AP339" s="542">
        <f t="shared" si="10"/>
        <v>0</v>
      </c>
      <c r="AR339" s="552">
        <f t="shared" si="11"/>
        <v>0</v>
      </c>
    </row>
    <row r="340" spans="1:44" outlineLevel="1" x14ac:dyDescent="0.25">
      <c r="A340" s="544" t="s">
        <v>1674</v>
      </c>
      <c r="B340" s="545">
        <v>0</v>
      </c>
      <c r="C340" s="544" t="s">
        <v>1674</v>
      </c>
      <c r="D340" s="544" t="s">
        <v>3345</v>
      </c>
      <c r="E340" s="542" t="s">
        <v>3310</v>
      </c>
      <c r="G340" s="546"/>
      <c r="H340" s="546">
        <v>952</v>
      </c>
      <c r="I340" s="546"/>
      <c r="J340" s="542" t="s">
        <v>806</v>
      </c>
      <c r="K340" s="547">
        <v>1200</v>
      </c>
      <c r="L340" s="542" t="s">
        <v>806</v>
      </c>
      <c r="M340" s="548"/>
      <c r="N340" s="549"/>
      <c r="O340" s="544" t="s">
        <v>1674</v>
      </c>
      <c r="P340" s="544" t="s">
        <v>1674</v>
      </c>
      <c r="Q340" s="544" t="s">
        <v>3311</v>
      </c>
      <c r="R340" s="544" t="s">
        <v>1674</v>
      </c>
      <c r="S340" s="544" t="s">
        <v>1674</v>
      </c>
      <c r="T340" s="550"/>
      <c r="U340" s="544" t="s">
        <v>3312</v>
      </c>
      <c r="V340" s="547">
        <v>1872</v>
      </c>
      <c r="W340" s="548"/>
      <c r="Y340" s="544" t="s">
        <v>1674</v>
      </c>
      <c r="AA340" s="544" t="s">
        <v>1674</v>
      </c>
      <c r="AE340" s="551"/>
      <c r="AF340" s="544" t="s">
        <v>1674</v>
      </c>
      <c r="AG340" s="544" t="s">
        <v>1674</v>
      </c>
      <c r="AH340" s="544" t="s">
        <v>1674</v>
      </c>
      <c r="AI340" s="544" t="s">
        <v>1674</v>
      </c>
      <c r="AJ340" s="544" t="s">
        <v>1674</v>
      </c>
      <c r="AK340" s="544" t="s">
        <v>1674</v>
      </c>
      <c r="AL340" s="544" t="s">
        <v>1674</v>
      </c>
      <c r="AM340" s="544" t="s">
        <v>1674</v>
      </c>
      <c r="AN340" s="544" t="s">
        <v>1674</v>
      </c>
      <c r="AP340" s="542">
        <f t="shared" si="10"/>
        <v>0</v>
      </c>
      <c r="AR340" s="552">
        <f t="shared" si="11"/>
        <v>0</v>
      </c>
    </row>
    <row r="341" spans="1:44" outlineLevel="1" x14ac:dyDescent="0.25">
      <c r="A341" s="544" t="s">
        <v>1674</v>
      </c>
      <c r="B341" s="545">
        <v>0</v>
      </c>
      <c r="C341" s="544" t="s">
        <v>1674</v>
      </c>
      <c r="D341" s="544" t="s">
        <v>3345</v>
      </c>
      <c r="E341" s="542" t="s">
        <v>3313</v>
      </c>
      <c r="G341" s="546"/>
      <c r="H341" s="546">
        <v>942.48</v>
      </c>
      <c r="I341" s="546"/>
      <c r="J341" s="542" t="s">
        <v>806</v>
      </c>
      <c r="K341" s="547">
        <v>1200</v>
      </c>
      <c r="L341" s="542" t="s">
        <v>806</v>
      </c>
      <c r="M341" s="548"/>
      <c r="N341" s="549"/>
      <c r="O341" s="544" t="s">
        <v>1674</v>
      </c>
      <c r="P341" s="544" t="s">
        <v>1674</v>
      </c>
      <c r="Q341" s="544" t="s">
        <v>3314</v>
      </c>
      <c r="R341" s="544" t="s">
        <v>1674</v>
      </c>
      <c r="S341" s="544" t="s">
        <v>1674</v>
      </c>
      <c r="T341" s="550"/>
      <c r="U341" s="544" t="s">
        <v>3315</v>
      </c>
      <c r="V341" s="547">
        <v>89</v>
      </c>
      <c r="W341" s="548"/>
      <c r="Y341" s="544" t="s">
        <v>1674</v>
      </c>
      <c r="AA341" s="544" t="s">
        <v>1674</v>
      </c>
      <c r="AE341" s="551"/>
      <c r="AF341" s="544" t="s">
        <v>1674</v>
      </c>
      <c r="AG341" s="544" t="s">
        <v>1674</v>
      </c>
      <c r="AH341" s="544" t="s">
        <v>1674</v>
      </c>
      <c r="AI341" s="544" t="s">
        <v>1674</v>
      </c>
      <c r="AJ341" s="544" t="s">
        <v>1674</v>
      </c>
      <c r="AK341" s="544" t="s">
        <v>1674</v>
      </c>
      <c r="AL341" s="544" t="s">
        <v>1674</v>
      </c>
      <c r="AM341" s="544" t="s">
        <v>1674</v>
      </c>
      <c r="AN341" s="544" t="s">
        <v>1674</v>
      </c>
      <c r="AP341" s="542">
        <f t="shared" si="10"/>
        <v>0</v>
      </c>
      <c r="AR341" s="552">
        <f t="shared" si="11"/>
        <v>0</v>
      </c>
    </row>
    <row r="342" spans="1:44" outlineLevel="1" x14ac:dyDescent="0.25">
      <c r="A342" s="544" t="s">
        <v>1674</v>
      </c>
      <c r="B342" s="545">
        <v>0</v>
      </c>
      <c r="C342" s="544" t="s">
        <v>1674</v>
      </c>
      <c r="D342" s="544" t="s">
        <v>3345</v>
      </c>
      <c r="E342" s="542" t="s">
        <v>3313</v>
      </c>
      <c r="G342" s="546"/>
      <c r="H342" s="546">
        <v>9.52</v>
      </c>
      <c r="I342" s="546"/>
      <c r="J342" s="542" t="s">
        <v>806</v>
      </c>
      <c r="K342" s="547">
        <v>8736</v>
      </c>
      <c r="L342" s="542" t="s">
        <v>806</v>
      </c>
      <c r="M342" s="548"/>
      <c r="N342" s="549"/>
      <c r="O342" s="544" t="s">
        <v>1674</v>
      </c>
      <c r="P342" s="544" t="s">
        <v>1674</v>
      </c>
      <c r="Q342" s="544" t="s">
        <v>3314</v>
      </c>
      <c r="R342" s="544" t="s">
        <v>1674</v>
      </c>
      <c r="S342" s="544" t="s">
        <v>1674</v>
      </c>
      <c r="T342" s="550">
        <v>19</v>
      </c>
      <c r="U342" s="544" t="s">
        <v>3315</v>
      </c>
      <c r="V342" s="547">
        <v>90</v>
      </c>
      <c r="W342" s="548"/>
      <c r="Y342" s="544" t="s">
        <v>1674</v>
      </c>
      <c r="AA342" s="544" t="s">
        <v>1674</v>
      </c>
      <c r="AE342" s="551"/>
      <c r="AF342" s="544" t="s">
        <v>1674</v>
      </c>
      <c r="AG342" s="544" t="s">
        <v>1674</v>
      </c>
      <c r="AH342" s="544" t="s">
        <v>1674</v>
      </c>
      <c r="AI342" s="544" t="s">
        <v>1674</v>
      </c>
      <c r="AJ342" s="544" t="s">
        <v>1674</v>
      </c>
      <c r="AK342" s="544" t="s">
        <v>1674</v>
      </c>
      <c r="AL342" s="544" t="s">
        <v>1674</v>
      </c>
      <c r="AM342" s="544" t="s">
        <v>1674</v>
      </c>
      <c r="AN342" s="544" t="s">
        <v>1674</v>
      </c>
      <c r="AP342" s="542">
        <f t="shared" si="10"/>
        <v>0</v>
      </c>
      <c r="AR342" s="552">
        <f t="shared" si="11"/>
        <v>0</v>
      </c>
    </row>
    <row r="343" spans="1:44" outlineLevel="1" x14ac:dyDescent="0.25">
      <c r="A343" s="544" t="s">
        <v>1674</v>
      </c>
      <c r="B343" s="545">
        <v>0</v>
      </c>
      <c r="C343" s="544" t="s">
        <v>1674</v>
      </c>
      <c r="D343" s="544" t="s">
        <v>3345</v>
      </c>
      <c r="E343" s="542" t="s">
        <v>3316</v>
      </c>
      <c r="G343" s="546"/>
      <c r="H343" s="546">
        <v>952</v>
      </c>
      <c r="I343" s="546"/>
      <c r="J343" s="542" t="s">
        <v>806</v>
      </c>
      <c r="K343" s="547">
        <v>1200</v>
      </c>
      <c r="L343" s="542" t="s">
        <v>806</v>
      </c>
      <c r="M343" s="548"/>
      <c r="N343" s="549"/>
      <c r="O343" s="544" t="s">
        <v>1674</v>
      </c>
      <c r="P343" s="544" t="s">
        <v>1674</v>
      </c>
      <c r="Q343" s="544" t="s">
        <v>3317</v>
      </c>
      <c r="R343" s="544" t="s">
        <v>1674</v>
      </c>
      <c r="S343" s="544" t="s">
        <v>1674</v>
      </c>
      <c r="T343" s="550"/>
      <c r="U343" s="544" t="s">
        <v>3315</v>
      </c>
      <c r="V343" s="547">
        <v>1664</v>
      </c>
      <c r="W343" s="548"/>
      <c r="Y343" s="544" t="s">
        <v>1674</v>
      </c>
      <c r="AA343" s="544" t="s">
        <v>1674</v>
      </c>
      <c r="AE343" s="551"/>
      <c r="AF343" s="544" t="s">
        <v>1674</v>
      </c>
      <c r="AG343" s="544" t="s">
        <v>1674</v>
      </c>
      <c r="AH343" s="544" t="s">
        <v>1674</v>
      </c>
      <c r="AI343" s="544" t="s">
        <v>1674</v>
      </c>
      <c r="AJ343" s="544" t="s">
        <v>1674</v>
      </c>
      <c r="AK343" s="544" t="s">
        <v>1674</v>
      </c>
      <c r="AL343" s="544" t="s">
        <v>1674</v>
      </c>
      <c r="AM343" s="544" t="s">
        <v>1674</v>
      </c>
      <c r="AN343" s="544" t="s">
        <v>1674</v>
      </c>
      <c r="AP343" s="542">
        <f t="shared" si="10"/>
        <v>0</v>
      </c>
      <c r="AR343" s="552">
        <f t="shared" si="11"/>
        <v>0</v>
      </c>
    </row>
    <row r="344" spans="1:44" outlineLevel="1" x14ac:dyDescent="0.25">
      <c r="A344" s="544" t="s">
        <v>1674</v>
      </c>
      <c r="B344" s="545">
        <v>0</v>
      </c>
      <c r="C344" s="544" t="s">
        <v>1674</v>
      </c>
      <c r="D344" s="544" t="s">
        <v>3345</v>
      </c>
      <c r="E344" s="542" t="s">
        <v>3318</v>
      </c>
      <c r="G344" s="546"/>
      <c r="H344" s="546">
        <v>952</v>
      </c>
      <c r="I344" s="546"/>
      <c r="J344" s="542" t="s">
        <v>806</v>
      </c>
      <c r="K344" s="547">
        <v>1200</v>
      </c>
      <c r="L344" s="542" t="s">
        <v>806</v>
      </c>
      <c r="M344" s="548"/>
      <c r="N344" s="549"/>
      <c r="O344" s="544" t="s">
        <v>1674</v>
      </c>
      <c r="P344" s="544" t="s">
        <v>1674</v>
      </c>
      <c r="Q344" s="544" t="s">
        <v>3319</v>
      </c>
      <c r="R344" s="544" t="s">
        <v>1674</v>
      </c>
      <c r="S344" s="544" t="s">
        <v>1674</v>
      </c>
      <c r="T344" s="550"/>
      <c r="U344" s="544" t="s">
        <v>3320</v>
      </c>
      <c r="V344" s="547">
        <v>1756</v>
      </c>
      <c r="W344" s="548"/>
      <c r="Y344" s="544" t="s">
        <v>1674</v>
      </c>
      <c r="AA344" s="544" t="s">
        <v>1674</v>
      </c>
      <c r="AE344" s="551"/>
      <c r="AF344" s="544" t="s">
        <v>1674</v>
      </c>
      <c r="AG344" s="544" t="s">
        <v>1674</v>
      </c>
      <c r="AH344" s="544" t="s">
        <v>1674</v>
      </c>
      <c r="AI344" s="544" t="s">
        <v>1674</v>
      </c>
      <c r="AJ344" s="544" t="s">
        <v>1674</v>
      </c>
      <c r="AK344" s="544" t="s">
        <v>1674</v>
      </c>
      <c r="AL344" s="544" t="s">
        <v>1674</v>
      </c>
      <c r="AM344" s="544" t="s">
        <v>1674</v>
      </c>
      <c r="AN344" s="544" t="s">
        <v>1674</v>
      </c>
      <c r="AP344" s="542">
        <f t="shared" si="10"/>
        <v>0</v>
      </c>
      <c r="AR344" s="552">
        <f t="shared" si="11"/>
        <v>0</v>
      </c>
    </row>
    <row r="345" spans="1:44" outlineLevel="1" x14ac:dyDescent="0.25">
      <c r="A345" s="544" t="s">
        <v>1674</v>
      </c>
      <c r="B345" s="545">
        <v>0</v>
      </c>
      <c r="C345" s="544" t="s">
        <v>1674</v>
      </c>
      <c r="D345" s="544" t="s">
        <v>3345</v>
      </c>
      <c r="E345" s="542" t="s">
        <v>3321</v>
      </c>
      <c r="G345" s="546"/>
      <c r="H345" s="546">
        <v>952</v>
      </c>
      <c r="I345" s="546">
        <v>13566</v>
      </c>
      <c r="J345" s="542" t="s">
        <v>2701</v>
      </c>
      <c r="K345" s="547">
        <v>1200</v>
      </c>
      <c r="L345" s="542" t="s">
        <v>806</v>
      </c>
      <c r="M345" s="548"/>
      <c r="N345" s="549"/>
      <c r="O345" s="544" t="s">
        <v>1674</v>
      </c>
      <c r="P345" s="544" t="s">
        <v>1674</v>
      </c>
      <c r="Q345" s="544" t="s">
        <v>3322</v>
      </c>
      <c r="R345" s="544" t="s">
        <v>1674</v>
      </c>
      <c r="S345" s="544" t="s">
        <v>1674</v>
      </c>
      <c r="T345" s="550"/>
      <c r="U345" s="544" t="s">
        <v>3323</v>
      </c>
      <c r="V345" s="547">
        <v>1476</v>
      </c>
      <c r="W345" s="548"/>
      <c r="Y345" s="544" t="s">
        <v>1674</v>
      </c>
      <c r="AA345" s="544" t="s">
        <v>1674</v>
      </c>
      <c r="AE345" s="551"/>
      <c r="AF345" s="544" t="s">
        <v>1674</v>
      </c>
      <c r="AG345" s="544" t="s">
        <v>1674</v>
      </c>
      <c r="AH345" s="544" t="s">
        <v>1674</v>
      </c>
      <c r="AI345" s="544" t="s">
        <v>1674</v>
      </c>
      <c r="AJ345" s="544" t="s">
        <v>1674</v>
      </c>
      <c r="AK345" s="544" t="s">
        <v>1674</v>
      </c>
      <c r="AL345" s="544" t="s">
        <v>1674</v>
      </c>
      <c r="AM345" s="544" t="s">
        <v>1674</v>
      </c>
      <c r="AN345" s="544" t="s">
        <v>1674</v>
      </c>
      <c r="AP345" s="542">
        <f t="shared" si="10"/>
        <v>0</v>
      </c>
      <c r="AR345" s="552">
        <f t="shared" si="11"/>
        <v>13566</v>
      </c>
    </row>
    <row r="346" spans="1:44" outlineLevel="1" x14ac:dyDescent="0.25">
      <c r="A346" s="544" t="s">
        <v>1674</v>
      </c>
      <c r="B346" s="545">
        <v>30803</v>
      </c>
      <c r="C346" s="544" t="s">
        <v>2925</v>
      </c>
      <c r="D346" s="544" t="s">
        <v>3350</v>
      </c>
      <c r="E346" s="542" t="s">
        <v>3332</v>
      </c>
      <c r="F346" s="542" t="s">
        <v>3351</v>
      </c>
      <c r="G346" s="546">
        <v>6159.44</v>
      </c>
      <c r="H346" s="546"/>
      <c r="I346" s="546">
        <v>6159.44</v>
      </c>
      <c r="J346" s="542" t="s">
        <v>2701</v>
      </c>
      <c r="K346" s="547">
        <v>8400</v>
      </c>
      <c r="L346" s="542" t="s">
        <v>806</v>
      </c>
      <c r="M346" s="548"/>
      <c r="N346" s="549">
        <v>-268</v>
      </c>
      <c r="O346" s="544" t="s">
        <v>1674</v>
      </c>
      <c r="P346" s="544" t="s">
        <v>1674</v>
      </c>
      <c r="Q346" s="544" t="s">
        <v>3030</v>
      </c>
      <c r="R346" s="544" t="s">
        <v>1674</v>
      </c>
      <c r="S346" s="544" t="s">
        <v>1674</v>
      </c>
      <c r="T346" s="550">
        <v>19</v>
      </c>
      <c r="U346" s="544" t="s">
        <v>3306</v>
      </c>
      <c r="V346" s="547">
        <v>222</v>
      </c>
      <c r="W346" s="548"/>
      <c r="Y346" s="544" t="s">
        <v>1674</v>
      </c>
      <c r="AA346" s="544" t="s">
        <v>1674</v>
      </c>
      <c r="AE346" s="551"/>
      <c r="AF346" s="544" t="s">
        <v>1674</v>
      </c>
      <c r="AG346" s="544" t="s">
        <v>1674</v>
      </c>
      <c r="AH346" s="544" t="s">
        <v>1674</v>
      </c>
      <c r="AI346" s="544" t="s">
        <v>1674</v>
      </c>
      <c r="AJ346" s="544" t="s">
        <v>1674</v>
      </c>
      <c r="AK346" s="544" t="s">
        <v>1674</v>
      </c>
      <c r="AL346" s="544" t="s">
        <v>1674</v>
      </c>
      <c r="AM346" s="544" t="s">
        <v>2928</v>
      </c>
      <c r="AN346" s="544" t="s">
        <v>1674</v>
      </c>
      <c r="AP346" s="542">
        <f t="shared" si="10"/>
        <v>-207</v>
      </c>
      <c r="AR346" s="552">
        <f t="shared" si="11"/>
        <v>6159.44</v>
      </c>
    </row>
    <row r="347" spans="1:44" outlineLevel="1" x14ac:dyDescent="0.25">
      <c r="A347" s="544" t="s">
        <v>1674</v>
      </c>
      <c r="B347" s="545">
        <v>10237</v>
      </c>
      <c r="C347" s="544" t="s">
        <v>2750</v>
      </c>
      <c r="D347" s="544" t="s">
        <v>3352</v>
      </c>
      <c r="E347" s="542" t="s">
        <v>3353</v>
      </c>
      <c r="F347" s="542" t="s">
        <v>3354</v>
      </c>
      <c r="G347" s="546">
        <v>1786.43</v>
      </c>
      <c r="H347" s="546"/>
      <c r="I347" s="546"/>
      <c r="J347" s="542" t="s">
        <v>806</v>
      </c>
      <c r="K347" s="547">
        <v>8400</v>
      </c>
      <c r="L347" s="542" t="s">
        <v>806</v>
      </c>
      <c r="M347" s="548"/>
      <c r="N347" s="549">
        <v>-267</v>
      </c>
      <c r="O347" s="544" t="s">
        <v>1674</v>
      </c>
      <c r="P347" s="544" t="s">
        <v>1674</v>
      </c>
      <c r="Q347" s="544" t="s">
        <v>2754</v>
      </c>
      <c r="R347" s="544" t="s">
        <v>1674</v>
      </c>
      <c r="S347" s="544" t="s">
        <v>1674</v>
      </c>
      <c r="T347" s="550">
        <v>19</v>
      </c>
      <c r="U347" s="544" t="s">
        <v>3306</v>
      </c>
      <c r="V347" s="547">
        <v>311</v>
      </c>
      <c r="W347" s="548"/>
      <c r="Y347" s="544" t="s">
        <v>1674</v>
      </c>
      <c r="AA347" s="544" t="s">
        <v>1674</v>
      </c>
      <c r="AE347" s="551"/>
      <c r="AF347" s="544" t="s">
        <v>1674</v>
      </c>
      <c r="AG347" s="544" t="s">
        <v>1674</v>
      </c>
      <c r="AH347" s="544" t="s">
        <v>1674</v>
      </c>
      <c r="AI347" s="544" t="s">
        <v>1674</v>
      </c>
      <c r="AJ347" s="544" t="s">
        <v>1674</v>
      </c>
      <c r="AK347" s="544" t="s">
        <v>1674</v>
      </c>
      <c r="AL347" s="544" t="s">
        <v>1674</v>
      </c>
      <c r="AM347" s="544" t="s">
        <v>2755</v>
      </c>
      <c r="AN347" s="544" t="s">
        <v>1674</v>
      </c>
      <c r="AP347" s="542">
        <f t="shared" si="10"/>
        <v>-206</v>
      </c>
      <c r="AR347" s="552">
        <f t="shared" si="11"/>
        <v>0</v>
      </c>
    </row>
    <row r="348" spans="1:44" outlineLevel="1" x14ac:dyDescent="0.25">
      <c r="A348" s="544" t="s">
        <v>1674</v>
      </c>
      <c r="B348" s="545">
        <v>0</v>
      </c>
      <c r="C348" s="544" t="s">
        <v>1674</v>
      </c>
      <c r="D348" s="544" t="s">
        <v>3352</v>
      </c>
      <c r="E348" s="542" t="s">
        <v>3353</v>
      </c>
      <c r="F348" s="542" t="s">
        <v>3354</v>
      </c>
      <c r="G348" s="546">
        <v>94.25</v>
      </c>
      <c r="H348" s="546"/>
      <c r="I348" s="546"/>
      <c r="J348" s="542" t="s">
        <v>806</v>
      </c>
      <c r="K348" s="547">
        <v>8400</v>
      </c>
      <c r="L348" s="542" t="s">
        <v>806</v>
      </c>
      <c r="M348" s="548"/>
      <c r="N348" s="549">
        <v>-267</v>
      </c>
      <c r="O348" s="544" t="s">
        <v>1674</v>
      </c>
      <c r="P348" s="544" t="s">
        <v>1674</v>
      </c>
      <c r="Q348" s="544" t="s">
        <v>2754</v>
      </c>
      <c r="R348" s="544" t="s">
        <v>2617</v>
      </c>
      <c r="S348" s="544" t="s">
        <v>1674</v>
      </c>
      <c r="T348" s="550">
        <v>19</v>
      </c>
      <c r="U348" s="544" t="s">
        <v>3306</v>
      </c>
      <c r="V348" s="547">
        <v>312</v>
      </c>
      <c r="W348" s="548"/>
      <c r="Y348" s="544" t="s">
        <v>1674</v>
      </c>
      <c r="AA348" s="544" t="s">
        <v>1674</v>
      </c>
      <c r="AE348" s="551"/>
      <c r="AF348" s="544" t="s">
        <v>1674</v>
      </c>
      <c r="AG348" s="544" t="s">
        <v>1674</v>
      </c>
      <c r="AH348" s="544" t="s">
        <v>1674</v>
      </c>
      <c r="AI348" s="544" t="s">
        <v>1674</v>
      </c>
      <c r="AJ348" s="544" t="s">
        <v>1674</v>
      </c>
      <c r="AK348" s="544" t="s">
        <v>1674</v>
      </c>
      <c r="AL348" s="544" t="s">
        <v>1674</v>
      </c>
      <c r="AM348" s="544" t="s">
        <v>1674</v>
      </c>
      <c r="AN348" s="544" t="s">
        <v>1674</v>
      </c>
      <c r="AP348" s="542">
        <f t="shared" si="10"/>
        <v>-206</v>
      </c>
      <c r="AR348" s="552">
        <f t="shared" si="11"/>
        <v>0</v>
      </c>
    </row>
    <row r="349" spans="1:44" outlineLevel="1" x14ac:dyDescent="0.25">
      <c r="A349" s="544" t="s">
        <v>1674</v>
      </c>
      <c r="B349" s="545">
        <v>0</v>
      </c>
      <c r="C349" s="544" t="s">
        <v>1674</v>
      </c>
      <c r="D349" s="544" t="s">
        <v>3352</v>
      </c>
      <c r="E349" s="542" t="s">
        <v>3353</v>
      </c>
      <c r="F349" s="542" t="s">
        <v>3354</v>
      </c>
      <c r="G349" s="546">
        <v>26679.32</v>
      </c>
      <c r="H349" s="546"/>
      <c r="I349" s="546">
        <v>28560</v>
      </c>
      <c r="J349" s="542" t="s">
        <v>2701</v>
      </c>
      <c r="K349" s="547">
        <v>8401</v>
      </c>
      <c r="L349" s="542" t="s">
        <v>806</v>
      </c>
      <c r="M349" s="548"/>
      <c r="N349" s="549">
        <v>-267</v>
      </c>
      <c r="O349" s="544" t="s">
        <v>1674</v>
      </c>
      <c r="P349" s="544" t="s">
        <v>1674</v>
      </c>
      <c r="Q349" s="544" t="s">
        <v>2754</v>
      </c>
      <c r="R349" s="544" t="s">
        <v>1674</v>
      </c>
      <c r="S349" s="544" t="s">
        <v>1674</v>
      </c>
      <c r="T349" s="550">
        <v>19</v>
      </c>
      <c r="U349" s="544" t="s">
        <v>3306</v>
      </c>
      <c r="V349" s="547">
        <v>313</v>
      </c>
      <c r="W349" s="548"/>
      <c r="Y349" s="544" t="s">
        <v>1674</v>
      </c>
      <c r="AA349" s="544" t="s">
        <v>1674</v>
      </c>
      <c r="AE349" s="551"/>
      <c r="AF349" s="544" t="s">
        <v>1674</v>
      </c>
      <c r="AG349" s="544" t="s">
        <v>1674</v>
      </c>
      <c r="AH349" s="544" t="s">
        <v>1674</v>
      </c>
      <c r="AI349" s="544" t="s">
        <v>1674</v>
      </c>
      <c r="AJ349" s="544" t="s">
        <v>1674</v>
      </c>
      <c r="AK349" s="544" t="s">
        <v>1674</v>
      </c>
      <c r="AL349" s="544" t="s">
        <v>1674</v>
      </c>
      <c r="AM349" s="544" t="s">
        <v>1674</v>
      </c>
      <c r="AN349" s="544" t="s">
        <v>1674</v>
      </c>
      <c r="AP349" s="542">
        <f t="shared" si="10"/>
        <v>-206</v>
      </c>
      <c r="AR349" s="552">
        <f t="shared" si="11"/>
        <v>28560</v>
      </c>
    </row>
    <row r="350" spans="1:44" outlineLevel="1" x14ac:dyDescent="0.25">
      <c r="A350" s="544" t="s">
        <v>1674</v>
      </c>
      <c r="B350" s="545">
        <v>11100</v>
      </c>
      <c r="C350" s="544" t="s">
        <v>2742</v>
      </c>
      <c r="D350" s="544" t="s">
        <v>3355</v>
      </c>
      <c r="E350" s="542" t="s">
        <v>3353</v>
      </c>
      <c r="F350" s="542" t="s">
        <v>3354</v>
      </c>
      <c r="G350" s="546">
        <v>975.8</v>
      </c>
      <c r="H350" s="546"/>
      <c r="I350" s="546">
        <v>975.8</v>
      </c>
      <c r="J350" s="542" t="s">
        <v>2701</v>
      </c>
      <c r="K350" s="547">
        <v>8400</v>
      </c>
      <c r="L350" s="542" t="s">
        <v>806</v>
      </c>
      <c r="M350" s="548"/>
      <c r="N350" s="549">
        <v>-267</v>
      </c>
      <c r="O350" s="544" t="s">
        <v>1674</v>
      </c>
      <c r="P350" s="544" t="s">
        <v>1674</v>
      </c>
      <c r="Q350" s="544" t="s">
        <v>3356</v>
      </c>
      <c r="R350" s="544" t="s">
        <v>2622</v>
      </c>
      <c r="S350" s="544" t="s">
        <v>1674</v>
      </c>
      <c r="T350" s="550">
        <v>19</v>
      </c>
      <c r="U350" s="544" t="s">
        <v>3306</v>
      </c>
      <c r="V350" s="547">
        <v>301</v>
      </c>
      <c r="W350" s="548"/>
      <c r="Y350" s="544" t="s">
        <v>1674</v>
      </c>
      <c r="AA350" s="544" t="s">
        <v>1674</v>
      </c>
      <c r="AE350" s="551"/>
      <c r="AF350" s="544" t="s">
        <v>1674</v>
      </c>
      <c r="AG350" s="544" t="s">
        <v>1674</v>
      </c>
      <c r="AH350" s="544" t="s">
        <v>1674</v>
      </c>
      <c r="AI350" s="544" t="s">
        <v>1674</v>
      </c>
      <c r="AJ350" s="544" t="s">
        <v>1674</v>
      </c>
      <c r="AK350" s="544" t="s">
        <v>1674</v>
      </c>
      <c r="AL350" s="544" t="s">
        <v>1674</v>
      </c>
      <c r="AM350" s="544" t="s">
        <v>2742</v>
      </c>
      <c r="AN350" s="544" t="s">
        <v>1674</v>
      </c>
      <c r="AP350" s="542">
        <f t="shared" si="10"/>
        <v>-206</v>
      </c>
      <c r="AR350" s="552">
        <f t="shared" si="11"/>
        <v>975.8</v>
      </c>
    </row>
    <row r="351" spans="1:44" outlineLevel="1" x14ac:dyDescent="0.25">
      <c r="A351" s="544" t="s">
        <v>1674</v>
      </c>
      <c r="B351" s="545">
        <v>20301</v>
      </c>
      <c r="C351" s="544" t="s">
        <v>2981</v>
      </c>
      <c r="D351" s="544" t="s">
        <v>3357</v>
      </c>
      <c r="E351" s="542" t="s">
        <v>3358</v>
      </c>
      <c r="G351" s="546"/>
      <c r="H351" s="546">
        <v>1589.5</v>
      </c>
      <c r="I351" s="546">
        <v>1589.5</v>
      </c>
      <c r="J351" s="542" t="s">
        <v>2584</v>
      </c>
      <c r="K351" s="547">
        <v>8125</v>
      </c>
      <c r="L351" s="542" t="s">
        <v>806</v>
      </c>
      <c r="M351" s="548"/>
      <c r="N351" s="549"/>
      <c r="O351" s="544" t="s">
        <v>1674</v>
      </c>
      <c r="P351" s="544" t="s">
        <v>1674</v>
      </c>
      <c r="Q351" s="544" t="s">
        <v>2983</v>
      </c>
      <c r="R351" s="544" t="s">
        <v>2984</v>
      </c>
      <c r="S351" s="544" t="s">
        <v>1674</v>
      </c>
      <c r="T351" s="550"/>
      <c r="U351" s="544" t="s">
        <v>3306</v>
      </c>
      <c r="V351" s="547">
        <v>673</v>
      </c>
      <c r="W351" s="548"/>
      <c r="Y351" s="544" t="s">
        <v>1674</v>
      </c>
      <c r="AA351" s="544" t="s">
        <v>1674</v>
      </c>
      <c r="AE351" s="551"/>
      <c r="AF351" s="544" t="s">
        <v>1674</v>
      </c>
      <c r="AG351" s="544" t="s">
        <v>1674</v>
      </c>
      <c r="AH351" s="544" t="s">
        <v>1674</v>
      </c>
      <c r="AI351" s="544" t="s">
        <v>1674</v>
      </c>
      <c r="AJ351" s="544" t="s">
        <v>1674</v>
      </c>
      <c r="AK351" s="544" t="s">
        <v>1674</v>
      </c>
      <c r="AL351" s="544" t="s">
        <v>1674</v>
      </c>
      <c r="AM351" s="544" t="s">
        <v>2985</v>
      </c>
      <c r="AN351" s="544" t="s">
        <v>1674</v>
      </c>
      <c r="AP351" s="542">
        <f t="shared" si="10"/>
        <v>0</v>
      </c>
      <c r="AR351" s="552">
        <f t="shared" si="11"/>
        <v>-1589.5</v>
      </c>
    </row>
    <row r="352" spans="1:44" outlineLevel="1" x14ac:dyDescent="0.25">
      <c r="A352" s="544" t="s">
        <v>1674</v>
      </c>
      <c r="B352" s="545">
        <v>11600</v>
      </c>
      <c r="C352" s="544" t="s">
        <v>2782</v>
      </c>
      <c r="D352" s="544" t="s">
        <v>3359</v>
      </c>
      <c r="E352" s="542" t="s">
        <v>3360</v>
      </c>
      <c r="F352" s="542" t="s">
        <v>3361</v>
      </c>
      <c r="G352" s="546">
        <v>489.94</v>
      </c>
      <c r="H352" s="546"/>
      <c r="I352" s="546"/>
      <c r="J352" s="542" t="s">
        <v>806</v>
      </c>
      <c r="K352" s="547">
        <v>8400</v>
      </c>
      <c r="L352" s="542" t="s">
        <v>806</v>
      </c>
      <c r="M352" s="548"/>
      <c r="N352" s="549">
        <v>-256</v>
      </c>
      <c r="O352" s="544" t="s">
        <v>1674</v>
      </c>
      <c r="P352" s="544" t="s">
        <v>1674</v>
      </c>
      <c r="Q352" s="544" t="s">
        <v>2786</v>
      </c>
      <c r="R352" s="544" t="s">
        <v>1674</v>
      </c>
      <c r="S352" s="544" t="s">
        <v>1674</v>
      </c>
      <c r="T352" s="550">
        <v>19</v>
      </c>
      <c r="U352" s="544" t="s">
        <v>3306</v>
      </c>
      <c r="V352" s="547">
        <v>926</v>
      </c>
      <c r="W352" s="548"/>
      <c r="Y352" s="544" t="s">
        <v>1674</v>
      </c>
      <c r="AA352" s="544" t="s">
        <v>1674</v>
      </c>
      <c r="AE352" s="551"/>
      <c r="AF352" s="544" t="s">
        <v>1674</v>
      </c>
      <c r="AG352" s="544" t="s">
        <v>1674</v>
      </c>
      <c r="AH352" s="544" t="s">
        <v>1674</v>
      </c>
      <c r="AI352" s="544" t="s">
        <v>1674</v>
      </c>
      <c r="AJ352" s="544" t="s">
        <v>1674</v>
      </c>
      <c r="AK352" s="544" t="s">
        <v>1674</v>
      </c>
      <c r="AL352" s="544" t="s">
        <v>1674</v>
      </c>
      <c r="AM352" s="544" t="s">
        <v>2782</v>
      </c>
      <c r="AN352" s="544" t="s">
        <v>1674</v>
      </c>
      <c r="AP352" s="542">
        <f t="shared" ref="AP352:AP415" si="12">IF(F352&lt;&gt;0,($AP$2-$F352)*-1,0)</f>
        <v>-195</v>
      </c>
      <c r="AR352" s="552">
        <f t="shared" si="11"/>
        <v>0</v>
      </c>
    </row>
    <row r="353" spans="1:44" outlineLevel="1" x14ac:dyDescent="0.25">
      <c r="A353" s="544" t="s">
        <v>1674</v>
      </c>
      <c r="B353" s="545">
        <v>0</v>
      </c>
      <c r="C353" s="544" t="s">
        <v>1674</v>
      </c>
      <c r="D353" s="544" t="s">
        <v>3359</v>
      </c>
      <c r="E353" s="542" t="s">
        <v>3360</v>
      </c>
      <c r="F353" s="542" t="s">
        <v>3361</v>
      </c>
      <c r="G353" s="546">
        <v>45.7</v>
      </c>
      <c r="H353" s="546"/>
      <c r="I353" s="546"/>
      <c r="J353" s="542" t="s">
        <v>806</v>
      </c>
      <c r="K353" s="547">
        <v>8400</v>
      </c>
      <c r="L353" s="542" t="s">
        <v>806</v>
      </c>
      <c r="M353" s="548"/>
      <c r="N353" s="549">
        <v>-256</v>
      </c>
      <c r="O353" s="544" t="s">
        <v>1674</v>
      </c>
      <c r="P353" s="544" t="s">
        <v>1674</v>
      </c>
      <c r="Q353" s="544" t="s">
        <v>2786</v>
      </c>
      <c r="R353" s="544" t="s">
        <v>2617</v>
      </c>
      <c r="S353" s="544" t="s">
        <v>1674</v>
      </c>
      <c r="T353" s="550">
        <v>19</v>
      </c>
      <c r="U353" s="544" t="s">
        <v>3306</v>
      </c>
      <c r="V353" s="547">
        <v>927</v>
      </c>
      <c r="W353" s="548"/>
      <c r="Y353" s="544" t="s">
        <v>1674</v>
      </c>
      <c r="AA353" s="544" t="s">
        <v>1674</v>
      </c>
      <c r="AE353" s="551"/>
      <c r="AF353" s="544" t="s">
        <v>1674</v>
      </c>
      <c r="AG353" s="544" t="s">
        <v>1674</v>
      </c>
      <c r="AH353" s="544" t="s">
        <v>1674</v>
      </c>
      <c r="AI353" s="544" t="s">
        <v>1674</v>
      </c>
      <c r="AJ353" s="544" t="s">
        <v>1674</v>
      </c>
      <c r="AK353" s="544" t="s">
        <v>1674</v>
      </c>
      <c r="AL353" s="544" t="s">
        <v>1674</v>
      </c>
      <c r="AM353" s="544" t="s">
        <v>1674</v>
      </c>
      <c r="AN353" s="544" t="s">
        <v>1674</v>
      </c>
      <c r="AP353" s="542">
        <f t="shared" si="12"/>
        <v>-195</v>
      </c>
      <c r="AR353" s="552">
        <f t="shared" si="11"/>
        <v>0</v>
      </c>
    </row>
    <row r="354" spans="1:44" outlineLevel="1" x14ac:dyDescent="0.25">
      <c r="A354" s="544" t="s">
        <v>1674</v>
      </c>
      <c r="B354" s="545">
        <v>0</v>
      </c>
      <c r="C354" s="544" t="s">
        <v>1674</v>
      </c>
      <c r="D354" s="544" t="s">
        <v>3359</v>
      </c>
      <c r="E354" s="542" t="s">
        <v>3360</v>
      </c>
      <c r="F354" s="542" t="s">
        <v>3361</v>
      </c>
      <c r="G354" s="546">
        <v>7318.36</v>
      </c>
      <c r="H354" s="546"/>
      <c r="I354" s="546">
        <v>7854</v>
      </c>
      <c r="J354" s="542" t="s">
        <v>2701</v>
      </c>
      <c r="K354" s="547">
        <v>8401</v>
      </c>
      <c r="L354" s="542" t="s">
        <v>806</v>
      </c>
      <c r="M354" s="548"/>
      <c r="N354" s="549">
        <v>-256</v>
      </c>
      <c r="O354" s="544" t="s">
        <v>1674</v>
      </c>
      <c r="P354" s="544" t="s">
        <v>1674</v>
      </c>
      <c r="Q354" s="544" t="s">
        <v>2786</v>
      </c>
      <c r="R354" s="544" t="s">
        <v>1674</v>
      </c>
      <c r="S354" s="544" t="s">
        <v>1674</v>
      </c>
      <c r="T354" s="550">
        <v>19</v>
      </c>
      <c r="U354" s="544" t="s">
        <v>3306</v>
      </c>
      <c r="V354" s="547">
        <v>928</v>
      </c>
      <c r="W354" s="548"/>
      <c r="Y354" s="544" t="s">
        <v>1674</v>
      </c>
      <c r="AA354" s="544" t="s">
        <v>1674</v>
      </c>
      <c r="AE354" s="551"/>
      <c r="AF354" s="544" t="s">
        <v>1674</v>
      </c>
      <c r="AG354" s="544" t="s">
        <v>1674</v>
      </c>
      <c r="AH354" s="544" t="s">
        <v>1674</v>
      </c>
      <c r="AI354" s="544" t="s">
        <v>1674</v>
      </c>
      <c r="AJ354" s="544" t="s">
        <v>1674</v>
      </c>
      <c r="AK354" s="544" t="s">
        <v>1674</v>
      </c>
      <c r="AL354" s="544" t="s">
        <v>1674</v>
      </c>
      <c r="AM354" s="544" t="s">
        <v>1674</v>
      </c>
      <c r="AN354" s="544" t="s">
        <v>1674</v>
      </c>
      <c r="AP354" s="542">
        <f t="shared" si="12"/>
        <v>-195</v>
      </c>
      <c r="AR354" s="552">
        <f t="shared" si="11"/>
        <v>7854</v>
      </c>
    </row>
    <row r="355" spans="1:44" outlineLevel="1" x14ac:dyDescent="0.25">
      <c r="A355" s="544" t="s">
        <v>1674</v>
      </c>
      <c r="B355" s="545">
        <v>20301</v>
      </c>
      <c r="C355" s="544" t="s">
        <v>2981</v>
      </c>
      <c r="D355" s="544" t="s">
        <v>3362</v>
      </c>
      <c r="E355" s="542" t="s">
        <v>3360</v>
      </c>
      <c r="F355" s="542" t="s">
        <v>3361</v>
      </c>
      <c r="G355" s="546">
        <v>580</v>
      </c>
      <c r="H355" s="546"/>
      <c r="I355" s="546"/>
      <c r="J355" s="542" t="s">
        <v>806</v>
      </c>
      <c r="K355" s="547">
        <v>8125</v>
      </c>
      <c r="L355" s="542" t="s">
        <v>806</v>
      </c>
      <c r="M355" s="548"/>
      <c r="N355" s="549">
        <v>-256</v>
      </c>
      <c r="O355" s="544" t="s">
        <v>1674</v>
      </c>
      <c r="P355" s="544" t="s">
        <v>1674</v>
      </c>
      <c r="Q355" s="544" t="s">
        <v>2983</v>
      </c>
      <c r="R355" s="544" t="s">
        <v>2984</v>
      </c>
      <c r="S355" s="544" t="s">
        <v>1674</v>
      </c>
      <c r="T355" s="550"/>
      <c r="U355" s="544" t="s">
        <v>3306</v>
      </c>
      <c r="V355" s="547">
        <v>918</v>
      </c>
      <c r="W355" s="548"/>
      <c r="Y355" s="544" t="s">
        <v>1674</v>
      </c>
      <c r="AA355" s="544" t="s">
        <v>1674</v>
      </c>
      <c r="AE355" s="551"/>
      <c r="AF355" s="544" t="s">
        <v>1674</v>
      </c>
      <c r="AG355" s="544" t="s">
        <v>1674</v>
      </c>
      <c r="AH355" s="544" t="s">
        <v>1674</v>
      </c>
      <c r="AI355" s="544" t="s">
        <v>1674</v>
      </c>
      <c r="AJ355" s="544" t="s">
        <v>1674</v>
      </c>
      <c r="AK355" s="544" t="s">
        <v>1674</v>
      </c>
      <c r="AL355" s="544" t="s">
        <v>1674</v>
      </c>
      <c r="AM355" s="544" t="s">
        <v>2985</v>
      </c>
      <c r="AN355" s="544" t="s">
        <v>1674</v>
      </c>
      <c r="AP355" s="542">
        <f t="shared" si="12"/>
        <v>-195</v>
      </c>
      <c r="AR355" s="552">
        <f t="shared" si="11"/>
        <v>0</v>
      </c>
    </row>
    <row r="356" spans="1:44" outlineLevel="1" x14ac:dyDescent="0.25">
      <c r="A356" s="544" t="s">
        <v>1674</v>
      </c>
      <c r="B356" s="545">
        <v>0</v>
      </c>
      <c r="C356" s="544" t="s">
        <v>1674</v>
      </c>
      <c r="D356" s="544" t="s">
        <v>3362</v>
      </c>
      <c r="E356" s="542" t="s">
        <v>3360</v>
      </c>
      <c r="F356" s="542" t="s">
        <v>3361</v>
      </c>
      <c r="G356" s="546">
        <v>162</v>
      </c>
      <c r="H356" s="546"/>
      <c r="I356" s="546">
        <v>742</v>
      </c>
      <c r="J356" s="542" t="s">
        <v>2701</v>
      </c>
      <c r="K356" s="547">
        <v>8125</v>
      </c>
      <c r="L356" s="542" t="s">
        <v>806</v>
      </c>
      <c r="M356" s="548"/>
      <c r="N356" s="549">
        <v>-256</v>
      </c>
      <c r="O356" s="544" t="s">
        <v>1674</v>
      </c>
      <c r="P356" s="544" t="s">
        <v>1674</v>
      </c>
      <c r="Q356" s="544" t="s">
        <v>2986</v>
      </c>
      <c r="R356" s="544" t="s">
        <v>1674</v>
      </c>
      <c r="S356" s="544" t="s">
        <v>1674</v>
      </c>
      <c r="T356" s="550"/>
      <c r="U356" s="544" t="s">
        <v>3306</v>
      </c>
      <c r="V356" s="547">
        <v>919</v>
      </c>
      <c r="W356" s="548"/>
      <c r="Y356" s="544" t="s">
        <v>1674</v>
      </c>
      <c r="AA356" s="544" t="s">
        <v>1674</v>
      </c>
      <c r="AE356" s="551"/>
      <c r="AF356" s="544" t="s">
        <v>1674</v>
      </c>
      <c r="AG356" s="544" t="s">
        <v>1674</v>
      </c>
      <c r="AH356" s="544" t="s">
        <v>1674</v>
      </c>
      <c r="AI356" s="544" t="s">
        <v>1674</v>
      </c>
      <c r="AJ356" s="544" t="s">
        <v>1674</v>
      </c>
      <c r="AK356" s="544" t="s">
        <v>1674</v>
      </c>
      <c r="AL356" s="544" t="s">
        <v>1674</v>
      </c>
      <c r="AM356" s="544" t="s">
        <v>1674</v>
      </c>
      <c r="AN356" s="544" t="s">
        <v>1674</v>
      </c>
      <c r="AP356" s="542">
        <f t="shared" si="12"/>
        <v>-195</v>
      </c>
      <c r="AR356" s="552">
        <f t="shared" si="11"/>
        <v>742</v>
      </c>
    </row>
    <row r="357" spans="1:44" outlineLevel="1" x14ac:dyDescent="0.25">
      <c r="A357" s="544" t="s">
        <v>1674</v>
      </c>
      <c r="B357" s="545">
        <v>10700</v>
      </c>
      <c r="C357" s="544" t="s">
        <v>2836</v>
      </c>
      <c r="D357" s="544" t="s">
        <v>3363</v>
      </c>
      <c r="E357" s="542" t="s">
        <v>3344</v>
      </c>
      <c r="F357" s="542" t="s">
        <v>3364</v>
      </c>
      <c r="G357" s="546">
        <v>444.47</v>
      </c>
      <c r="H357" s="546"/>
      <c r="I357" s="546">
        <v>444.47</v>
      </c>
      <c r="J357" s="542" t="s">
        <v>2701</v>
      </c>
      <c r="K357" s="547">
        <v>8400</v>
      </c>
      <c r="L357" s="542" t="s">
        <v>806</v>
      </c>
      <c r="M357" s="548"/>
      <c r="N357" s="549">
        <v>-252</v>
      </c>
      <c r="O357" s="544" t="s">
        <v>1674</v>
      </c>
      <c r="P357" s="544" t="s">
        <v>1674</v>
      </c>
      <c r="Q357" s="544" t="s">
        <v>2839</v>
      </c>
      <c r="R357" s="544" t="s">
        <v>1674</v>
      </c>
      <c r="S357" s="544" t="s">
        <v>1674</v>
      </c>
      <c r="T357" s="550">
        <v>19</v>
      </c>
      <c r="U357" s="544" t="s">
        <v>3306</v>
      </c>
      <c r="V357" s="547">
        <v>1214</v>
      </c>
      <c r="W357" s="548"/>
      <c r="Y357" s="544" t="s">
        <v>1674</v>
      </c>
      <c r="AA357" s="544" t="s">
        <v>1674</v>
      </c>
      <c r="AE357" s="551"/>
      <c r="AF357" s="544" t="s">
        <v>1674</v>
      </c>
      <c r="AG357" s="544" t="s">
        <v>1674</v>
      </c>
      <c r="AH357" s="544" t="s">
        <v>1674</v>
      </c>
      <c r="AI357" s="544" t="s">
        <v>1674</v>
      </c>
      <c r="AJ357" s="544" t="s">
        <v>1674</v>
      </c>
      <c r="AK357" s="544" t="s">
        <v>1674</v>
      </c>
      <c r="AL357" s="544" t="s">
        <v>1674</v>
      </c>
      <c r="AM357" s="544" t="s">
        <v>2836</v>
      </c>
      <c r="AN357" s="544" t="s">
        <v>1674</v>
      </c>
      <c r="AP357" s="542">
        <f t="shared" si="12"/>
        <v>-191</v>
      </c>
      <c r="AR357" s="552">
        <f t="shared" si="11"/>
        <v>444.47</v>
      </c>
    </row>
    <row r="358" spans="1:44" outlineLevel="1" x14ac:dyDescent="0.25">
      <c r="A358" s="544" t="s">
        <v>1674</v>
      </c>
      <c r="B358" s="545">
        <v>11600</v>
      </c>
      <c r="C358" s="544" t="s">
        <v>2782</v>
      </c>
      <c r="D358" s="544" t="s">
        <v>3365</v>
      </c>
      <c r="E358" s="542" t="s">
        <v>3344</v>
      </c>
      <c r="F358" s="542" t="s">
        <v>3364</v>
      </c>
      <c r="G358" s="546">
        <v>489.94</v>
      </c>
      <c r="H358" s="546"/>
      <c r="I358" s="546"/>
      <c r="J358" s="542" t="s">
        <v>806</v>
      </c>
      <c r="K358" s="547">
        <v>8400</v>
      </c>
      <c r="L358" s="542" t="s">
        <v>806</v>
      </c>
      <c r="M358" s="548"/>
      <c r="N358" s="549">
        <v>-252</v>
      </c>
      <c r="O358" s="544" t="s">
        <v>1674</v>
      </c>
      <c r="P358" s="544" t="s">
        <v>1674</v>
      </c>
      <c r="Q358" s="544" t="s">
        <v>2786</v>
      </c>
      <c r="R358" s="544" t="s">
        <v>1674</v>
      </c>
      <c r="S358" s="544" t="s">
        <v>1674</v>
      </c>
      <c r="T358" s="550">
        <v>19</v>
      </c>
      <c r="U358" s="544" t="s">
        <v>3306</v>
      </c>
      <c r="V358" s="547">
        <v>1224</v>
      </c>
      <c r="W358" s="548"/>
      <c r="Y358" s="544" t="s">
        <v>1674</v>
      </c>
      <c r="AA358" s="544" t="s">
        <v>1674</v>
      </c>
      <c r="AE358" s="551"/>
      <c r="AF358" s="544" t="s">
        <v>1674</v>
      </c>
      <c r="AG358" s="544" t="s">
        <v>1674</v>
      </c>
      <c r="AH358" s="544" t="s">
        <v>1674</v>
      </c>
      <c r="AI358" s="544" t="s">
        <v>1674</v>
      </c>
      <c r="AJ358" s="544" t="s">
        <v>1674</v>
      </c>
      <c r="AK358" s="544" t="s">
        <v>1674</v>
      </c>
      <c r="AL358" s="544" t="s">
        <v>1674</v>
      </c>
      <c r="AM358" s="544" t="s">
        <v>2782</v>
      </c>
      <c r="AN358" s="544" t="s">
        <v>1674</v>
      </c>
      <c r="AP358" s="542">
        <f t="shared" si="12"/>
        <v>-191</v>
      </c>
      <c r="AR358" s="552">
        <f t="shared" si="11"/>
        <v>0</v>
      </c>
    </row>
    <row r="359" spans="1:44" outlineLevel="1" x14ac:dyDescent="0.25">
      <c r="A359" s="544" t="s">
        <v>1674</v>
      </c>
      <c r="B359" s="545">
        <v>0</v>
      </c>
      <c r="C359" s="544" t="s">
        <v>1674</v>
      </c>
      <c r="D359" s="544" t="s">
        <v>3365</v>
      </c>
      <c r="E359" s="542" t="s">
        <v>3344</v>
      </c>
      <c r="F359" s="542" t="s">
        <v>3364</v>
      </c>
      <c r="G359" s="546">
        <v>45.7</v>
      </c>
      <c r="H359" s="546"/>
      <c r="I359" s="546"/>
      <c r="J359" s="542" t="s">
        <v>806</v>
      </c>
      <c r="K359" s="547">
        <v>8400</v>
      </c>
      <c r="L359" s="542" t="s">
        <v>806</v>
      </c>
      <c r="M359" s="548"/>
      <c r="N359" s="549">
        <v>-252</v>
      </c>
      <c r="O359" s="544" t="s">
        <v>1674</v>
      </c>
      <c r="P359" s="544" t="s">
        <v>1674</v>
      </c>
      <c r="Q359" s="544" t="s">
        <v>2786</v>
      </c>
      <c r="R359" s="544" t="s">
        <v>2617</v>
      </c>
      <c r="S359" s="544" t="s">
        <v>1674</v>
      </c>
      <c r="T359" s="550">
        <v>19</v>
      </c>
      <c r="U359" s="544" t="s">
        <v>3306</v>
      </c>
      <c r="V359" s="547">
        <v>1225</v>
      </c>
      <c r="W359" s="548"/>
      <c r="Y359" s="544" t="s">
        <v>1674</v>
      </c>
      <c r="AA359" s="544" t="s">
        <v>1674</v>
      </c>
      <c r="AE359" s="551"/>
      <c r="AF359" s="544" t="s">
        <v>1674</v>
      </c>
      <c r="AG359" s="544" t="s">
        <v>1674</v>
      </c>
      <c r="AH359" s="544" t="s">
        <v>1674</v>
      </c>
      <c r="AI359" s="544" t="s">
        <v>1674</v>
      </c>
      <c r="AJ359" s="544" t="s">
        <v>1674</v>
      </c>
      <c r="AK359" s="544" t="s">
        <v>1674</v>
      </c>
      <c r="AL359" s="544" t="s">
        <v>1674</v>
      </c>
      <c r="AM359" s="544" t="s">
        <v>1674</v>
      </c>
      <c r="AN359" s="544" t="s">
        <v>1674</v>
      </c>
      <c r="AP359" s="542">
        <f t="shared" si="12"/>
        <v>-191</v>
      </c>
      <c r="AR359" s="552">
        <f t="shared" si="11"/>
        <v>0</v>
      </c>
    </row>
    <row r="360" spans="1:44" outlineLevel="1" x14ac:dyDescent="0.25">
      <c r="A360" s="544" t="s">
        <v>1674</v>
      </c>
      <c r="B360" s="545">
        <v>0</v>
      </c>
      <c r="C360" s="544" t="s">
        <v>1674</v>
      </c>
      <c r="D360" s="544" t="s">
        <v>3365</v>
      </c>
      <c r="E360" s="542" t="s">
        <v>3344</v>
      </c>
      <c r="F360" s="542" t="s">
        <v>3364</v>
      </c>
      <c r="G360" s="546">
        <v>7318.36</v>
      </c>
      <c r="H360" s="546"/>
      <c r="I360" s="546">
        <v>7854</v>
      </c>
      <c r="J360" s="542" t="s">
        <v>2701</v>
      </c>
      <c r="K360" s="547">
        <v>8401</v>
      </c>
      <c r="L360" s="542" t="s">
        <v>806</v>
      </c>
      <c r="M360" s="548"/>
      <c r="N360" s="549">
        <v>-252</v>
      </c>
      <c r="O360" s="544" t="s">
        <v>1674</v>
      </c>
      <c r="P360" s="544" t="s">
        <v>1674</v>
      </c>
      <c r="Q360" s="544" t="s">
        <v>2786</v>
      </c>
      <c r="R360" s="544" t="s">
        <v>1674</v>
      </c>
      <c r="S360" s="544" t="s">
        <v>1674</v>
      </c>
      <c r="T360" s="550">
        <v>19</v>
      </c>
      <c r="U360" s="544" t="s">
        <v>3306</v>
      </c>
      <c r="V360" s="547">
        <v>1226</v>
      </c>
      <c r="W360" s="548"/>
      <c r="Y360" s="544" t="s">
        <v>1674</v>
      </c>
      <c r="AA360" s="544" t="s">
        <v>1674</v>
      </c>
      <c r="AE360" s="551"/>
      <c r="AF360" s="544" t="s">
        <v>1674</v>
      </c>
      <c r="AG360" s="544" t="s">
        <v>1674</v>
      </c>
      <c r="AH360" s="544" t="s">
        <v>1674</v>
      </c>
      <c r="AI360" s="544" t="s">
        <v>1674</v>
      </c>
      <c r="AJ360" s="544" t="s">
        <v>1674</v>
      </c>
      <c r="AK360" s="544" t="s">
        <v>1674</v>
      </c>
      <c r="AL360" s="544" t="s">
        <v>1674</v>
      </c>
      <c r="AM360" s="544" t="s">
        <v>1674</v>
      </c>
      <c r="AN360" s="544" t="s">
        <v>1674</v>
      </c>
      <c r="AP360" s="542">
        <f t="shared" si="12"/>
        <v>-191</v>
      </c>
      <c r="AR360" s="552">
        <f t="shared" si="11"/>
        <v>7854</v>
      </c>
    </row>
    <row r="361" spans="1:44" outlineLevel="1" x14ac:dyDescent="0.25">
      <c r="A361" s="544" t="s">
        <v>1674</v>
      </c>
      <c r="B361" s="545">
        <v>0</v>
      </c>
      <c r="C361" s="544" t="s">
        <v>1674</v>
      </c>
      <c r="D361" s="544" t="s">
        <v>3366</v>
      </c>
      <c r="E361" s="542" t="s">
        <v>3367</v>
      </c>
      <c r="F361" s="542" t="s">
        <v>3368</v>
      </c>
      <c r="G361" s="546">
        <v>4.66</v>
      </c>
      <c r="H361" s="546"/>
      <c r="I361" s="546"/>
      <c r="J361" s="542" t="s">
        <v>806</v>
      </c>
      <c r="K361" s="547">
        <v>8400</v>
      </c>
      <c r="L361" s="542" t="s">
        <v>806</v>
      </c>
      <c r="M361" s="548"/>
      <c r="N361" s="549">
        <v>-247</v>
      </c>
      <c r="O361" s="544" t="s">
        <v>1674</v>
      </c>
      <c r="P361" s="544" t="s">
        <v>1674</v>
      </c>
      <c r="Q361" s="544" t="s">
        <v>2786</v>
      </c>
      <c r="R361" s="544" t="s">
        <v>1674</v>
      </c>
      <c r="S361" s="544" t="s">
        <v>1674</v>
      </c>
      <c r="T361" s="550">
        <v>19</v>
      </c>
      <c r="U361" s="544" t="s">
        <v>3306</v>
      </c>
      <c r="V361" s="547">
        <v>1487</v>
      </c>
      <c r="W361" s="548"/>
      <c r="Y361" s="544" t="s">
        <v>1674</v>
      </c>
      <c r="AA361" s="544" t="s">
        <v>1674</v>
      </c>
      <c r="AE361" s="551"/>
      <c r="AF361" s="544" t="s">
        <v>1674</v>
      </c>
      <c r="AG361" s="544" t="s">
        <v>1674</v>
      </c>
      <c r="AH361" s="544" t="s">
        <v>1674</v>
      </c>
      <c r="AI361" s="544" t="s">
        <v>1674</v>
      </c>
      <c r="AJ361" s="544" t="s">
        <v>1674</v>
      </c>
      <c r="AK361" s="544" t="s">
        <v>1674</v>
      </c>
      <c r="AL361" s="544" t="s">
        <v>1674</v>
      </c>
      <c r="AM361" s="544" t="s">
        <v>1674</v>
      </c>
      <c r="AN361" s="544" t="s">
        <v>1674</v>
      </c>
      <c r="AP361" s="542">
        <f t="shared" si="12"/>
        <v>-186</v>
      </c>
      <c r="AR361" s="552">
        <f t="shared" si="11"/>
        <v>0</v>
      </c>
    </row>
    <row r="362" spans="1:44" outlineLevel="1" x14ac:dyDescent="0.25">
      <c r="A362" s="544" t="s">
        <v>1674</v>
      </c>
      <c r="B362" s="545">
        <v>0</v>
      </c>
      <c r="C362" s="544" t="s">
        <v>1674</v>
      </c>
      <c r="D362" s="544" t="s">
        <v>3366</v>
      </c>
      <c r="E362" s="542" t="s">
        <v>3367</v>
      </c>
      <c r="F362" s="542" t="s">
        <v>3368</v>
      </c>
      <c r="G362" s="546">
        <v>2125.44</v>
      </c>
      <c r="H362" s="546"/>
      <c r="I362" s="546">
        <v>2130.1</v>
      </c>
      <c r="J362" s="542" t="s">
        <v>2701</v>
      </c>
      <c r="K362" s="547">
        <v>8401</v>
      </c>
      <c r="L362" s="542" t="s">
        <v>806</v>
      </c>
      <c r="M362" s="548"/>
      <c r="N362" s="549">
        <v>-247</v>
      </c>
      <c r="O362" s="544" t="s">
        <v>1674</v>
      </c>
      <c r="P362" s="544" t="s">
        <v>1674</v>
      </c>
      <c r="Q362" s="544" t="s">
        <v>2786</v>
      </c>
      <c r="R362" s="544" t="s">
        <v>1674</v>
      </c>
      <c r="S362" s="544" t="s">
        <v>1674</v>
      </c>
      <c r="T362" s="550">
        <v>19</v>
      </c>
      <c r="U362" s="544" t="s">
        <v>3306</v>
      </c>
      <c r="V362" s="547">
        <v>1488</v>
      </c>
      <c r="W362" s="548"/>
      <c r="Y362" s="544" t="s">
        <v>1674</v>
      </c>
      <c r="AA362" s="544" t="s">
        <v>1674</v>
      </c>
      <c r="AE362" s="551"/>
      <c r="AF362" s="544" t="s">
        <v>1674</v>
      </c>
      <c r="AG362" s="544" t="s">
        <v>1674</v>
      </c>
      <c r="AH362" s="544" t="s">
        <v>1674</v>
      </c>
      <c r="AI362" s="544" t="s">
        <v>1674</v>
      </c>
      <c r="AJ362" s="544" t="s">
        <v>1674</v>
      </c>
      <c r="AK362" s="544" t="s">
        <v>1674</v>
      </c>
      <c r="AL362" s="544" t="s">
        <v>1674</v>
      </c>
      <c r="AM362" s="544" t="s">
        <v>1674</v>
      </c>
      <c r="AN362" s="544" t="s">
        <v>1674</v>
      </c>
      <c r="AP362" s="542">
        <f t="shared" si="12"/>
        <v>-186</v>
      </c>
      <c r="AR362" s="552">
        <f t="shared" si="11"/>
        <v>2130.1</v>
      </c>
    </row>
    <row r="363" spans="1:44" outlineLevel="1" x14ac:dyDescent="0.25">
      <c r="A363" s="544" t="s">
        <v>1674</v>
      </c>
      <c r="B363" s="545">
        <v>20301</v>
      </c>
      <c r="C363" s="544" t="s">
        <v>2981</v>
      </c>
      <c r="D363" s="544" t="s">
        <v>3369</v>
      </c>
      <c r="E363" s="542" t="s">
        <v>3370</v>
      </c>
      <c r="G363" s="546"/>
      <c r="H363" s="546">
        <v>217.5</v>
      </c>
      <c r="I363" s="546">
        <v>217.5</v>
      </c>
      <c r="J363" s="542" t="s">
        <v>2584</v>
      </c>
      <c r="K363" s="547">
        <v>8125</v>
      </c>
      <c r="L363" s="542" t="s">
        <v>806</v>
      </c>
      <c r="M363" s="548"/>
      <c r="N363" s="549"/>
      <c r="O363" s="544" t="s">
        <v>1674</v>
      </c>
      <c r="P363" s="544" t="s">
        <v>1674</v>
      </c>
      <c r="Q363" s="544" t="s">
        <v>2983</v>
      </c>
      <c r="R363" s="544" t="s">
        <v>2984</v>
      </c>
      <c r="S363" s="544" t="s">
        <v>1674</v>
      </c>
      <c r="T363" s="550"/>
      <c r="U363" s="544" t="s">
        <v>3306</v>
      </c>
      <c r="V363" s="547">
        <v>1547</v>
      </c>
      <c r="W363" s="548"/>
      <c r="Y363" s="544" t="s">
        <v>1674</v>
      </c>
      <c r="AA363" s="544" t="s">
        <v>1674</v>
      </c>
      <c r="AE363" s="551"/>
      <c r="AF363" s="544" t="s">
        <v>1674</v>
      </c>
      <c r="AG363" s="544" t="s">
        <v>1674</v>
      </c>
      <c r="AH363" s="544" t="s">
        <v>1674</v>
      </c>
      <c r="AI363" s="544" t="s">
        <v>1674</v>
      </c>
      <c r="AJ363" s="544" t="s">
        <v>1674</v>
      </c>
      <c r="AK363" s="544" t="s">
        <v>1674</v>
      </c>
      <c r="AL363" s="544" t="s">
        <v>1674</v>
      </c>
      <c r="AM363" s="544" t="s">
        <v>2985</v>
      </c>
      <c r="AN363" s="544" t="s">
        <v>1674</v>
      </c>
      <c r="AP363" s="542">
        <f t="shared" si="12"/>
        <v>0</v>
      </c>
      <c r="AR363" s="552">
        <f t="shared" si="11"/>
        <v>-217.5</v>
      </c>
    </row>
    <row r="364" spans="1:44" outlineLevel="1" x14ac:dyDescent="0.25">
      <c r="A364" s="544" t="s">
        <v>1674</v>
      </c>
      <c r="B364" s="545">
        <v>30803</v>
      </c>
      <c r="C364" s="544" t="s">
        <v>2925</v>
      </c>
      <c r="D364" s="544" t="s">
        <v>3371</v>
      </c>
      <c r="E364" s="542" t="s">
        <v>3372</v>
      </c>
      <c r="F364" s="542" t="s">
        <v>3373</v>
      </c>
      <c r="G364" s="546">
        <v>2509.71</v>
      </c>
      <c r="H364" s="546"/>
      <c r="I364" s="546">
        <v>2509.71</v>
      </c>
      <c r="J364" s="542" t="s">
        <v>2701</v>
      </c>
      <c r="K364" s="547">
        <v>8400</v>
      </c>
      <c r="L364" s="542" t="s">
        <v>806</v>
      </c>
      <c r="M364" s="548"/>
      <c r="N364" s="549">
        <v>-241</v>
      </c>
      <c r="O364" s="544" t="s">
        <v>1674</v>
      </c>
      <c r="P364" s="544" t="s">
        <v>1674</v>
      </c>
      <c r="Q364" s="544" t="s">
        <v>3030</v>
      </c>
      <c r="R364" s="544" t="s">
        <v>1674</v>
      </c>
      <c r="S364" s="544" t="s">
        <v>1674</v>
      </c>
      <c r="T364" s="550">
        <v>19</v>
      </c>
      <c r="U364" s="544" t="s">
        <v>3309</v>
      </c>
      <c r="V364" s="547">
        <v>181</v>
      </c>
      <c r="W364" s="548"/>
      <c r="Y364" s="544" t="s">
        <v>1674</v>
      </c>
      <c r="AA364" s="544" t="s">
        <v>1674</v>
      </c>
      <c r="AE364" s="551"/>
      <c r="AF364" s="544" t="s">
        <v>1674</v>
      </c>
      <c r="AG364" s="544" t="s">
        <v>1674</v>
      </c>
      <c r="AH364" s="544" t="s">
        <v>1674</v>
      </c>
      <c r="AI364" s="544" t="s">
        <v>1674</v>
      </c>
      <c r="AJ364" s="544" t="s">
        <v>1674</v>
      </c>
      <c r="AK364" s="544" t="s">
        <v>1674</v>
      </c>
      <c r="AL364" s="544" t="s">
        <v>1674</v>
      </c>
      <c r="AM364" s="544" t="s">
        <v>2928</v>
      </c>
      <c r="AN364" s="544" t="s">
        <v>1674</v>
      </c>
      <c r="AP364" s="542">
        <f t="shared" si="12"/>
        <v>-180</v>
      </c>
      <c r="AR364" s="552">
        <f t="shared" si="11"/>
        <v>2509.71</v>
      </c>
    </row>
    <row r="365" spans="1:44" outlineLevel="1" x14ac:dyDescent="0.25">
      <c r="A365" s="544" t="s">
        <v>1674</v>
      </c>
      <c r="B365" s="545">
        <v>0</v>
      </c>
      <c r="C365" s="544" t="s">
        <v>1674</v>
      </c>
      <c r="D365" s="544" t="s">
        <v>3374</v>
      </c>
      <c r="E365" s="542" t="s">
        <v>3372</v>
      </c>
      <c r="F365" s="542" t="s">
        <v>3373</v>
      </c>
      <c r="G365" s="546">
        <v>8099.14</v>
      </c>
      <c r="H365" s="546"/>
      <c r="I365" s="546">
        <v>8099.14</v>
      </c>
      <c r="J365" s="542" t="s">
        <v>2701</v>
      </c>
      <c r="K365" s="547">
        <v>8400</v>
      </c>
      <c r="L365" s="542" t="s">
        <v>806</v>
      </c>
      <c r="M365" s="548"/>
      <c r="N365" s="549">
        <v>-241</v>
      </c>
      <c r="O365" s="544" t="s">
        <v>1674</v>
      </c>
      <c r="P365" s="544" t="s">
        <v>1674</v>
      </c>
      <c r="Q365" s="544" t="s">
        <v>3030</v>
      </c>
      <c r="R365" s="544" t="s">
        <v>1674</v>
      </c>
      <c r="S365" s="544" t="s">
        <v>1674</v>
      </c>
      <c r="T365" s="550">
        <v>19</v>
      </c>
      <c r="U365" s="544" t="s">
        <v>3309</v>
      </c>
      <c r="V365" s="547">
        <v>183</v>
      </c>
      <c r="W365" s="548"/>
      <c r="Y365" s="544" t="s">
        <v>1674</v>
      </c>
      <c r="AA365" s="544" t="s">
        <v>1674</v>
      </c>
      <c r="AE365" s="551"/>
      <c r="AF365" s="544" t="s">
        <v>1674</v>
      </c>
      <c r="AG365" s="544" t="s">
        <v>1674</v>
      </c>
      <c r="AH365" s="544" t="s">
        <v>1674</v>
      </c>
      <c r="AI365" s="544" t="s">
        <v>1674</v>
      </c>
      <c r="AJ365" s="544" t="s">
        <v>1674</v>
      </c>
      <c r="AK365" s="544" t="s">
        <v>1674</v>
      </c>
      <c r="AL365" s="544" t="s">
        <v>1674</v>
      </c>
      <c r="AM365" s="544" t="s">
        <v>1674</v>
      </c>
      <c r="AN365" s="544" t="s">
        <v>1674</v>
      </c>
      <c r="AP365" s="542">
        <f t="shared" si="12"/>
        <v>-180</v>
      </c>
      <c r="AR365" s="552">
        <f t="shared" si="11"/>
        <v>8099.14</v>
      </c>
    </row>
    <row r="366" spans="1:44" outlineLevel="1" x14ac:dyDescent="0.25">
      <c r="A366" s="544" t="s">
        <v>1674</v>
      </c>
      <c r="B366" s="545">
        <v>20301</v>
      </c>
      <c r="C366" s="544" t="s">
        <v>2981</v>
      </c>
      <c r="D366" s="544" t="s">
        <v>3375</v>
      </c>
      <c r="E366" s="542" t="s">
        <v>3376</v>
      </c>
      <c r="F366" s="542" t="s">
        <v>3377</v>
      </c>
      <c r="G366" s="546">
        <v>3366</v>
      </c>
      <c r="H366" s="546"/>
      <c r="I366" s="546"/>
      <c r="J366" s="542" t="s">
        <v>806</v>
      </c>
      <c r="K366" s="547">
        <v>8125</v>
      </c>
      <c r="L366" s="542" t="s">
        <v>806</v>
      </c>
      <c r="M366" s="548"/>
      <c r="N366" s="549">
        <v>-240</v>
      </c>
      <c r="O366" s="544" t="s">
        <v>1674</v>
      </c>
      <c r="P366" s="544" t="s">
        <v>1674</v>
      </c>
      <c r="Q366" s="544" t="s">
        <v>2983</v>
      </c>
      <c r="R366" s="544" t="s">
        <v>2984</v>
      </c>
      <c r="S366" s="544" t="s">
        <v>1674</v>
      </c>
      <c r="T366" s="550"/>
      <c r="U366" s="544" t="s">
        <v>3309</v>
      </c>
      <c r="V366" s="547">
        <v>235</v>
      </c>
      <c r="W366" s="548"/>
      <c r="Y366" s="544" t="s">
        <v>1674</v>
      </c>
      <c r="AA366" s="544" t="s">
        <v>1674</v>
      </c>
      <c r="AE366" s="551"/>
      <c r="AF366" s="544" t="s">
        <v>1674</v>
      </c>
      <c r="AG366" s="544" t="s">
        <v>1674</v>
      </c>
      <c r="AH366" s="544" t="s">
        <v>1674</v>
      </c>
      <c r="AI366" s="544" t="s">
        <v>1674</v>
      </c>
      <c r="AJ366" s="544" t="s">
        <v>1674</v>
      </c>
      <c r="AK366" s="544" t="s">
        <v>1674</v>
      </c>
      <c r="AL366" s="544" t="s">
        <v>1674</v>
      </c>
      <c r="AM366" s="544" t="s">
        <v>2985</v>
      </c>
      <c r="AN366" s="544" t="s">
        <v>1674</v>
      </c>
      <c r="AP366" s="542">
        <f t="shared" si="12"/>
        <v>-179</v>
      </c>
      <c r="AR366" s="552">
        <f t="shared" si="11"/>
        <v>0</v>
      </c>
    </row>
    <row r="367" spans="1:44" outlineLevel="1" x14ac:dyDescent="0.25">
      <c r="A367" s="544" t="s">
        <v>1674</v>
      </c>
      <c r="B367" s="545">
        <v>0</v>
      </c>
      <c r="C367" s="544" t="s">
        <v>1674</v>
      </c>
      <c r="D367" s="544" t="s">
        <v>3375</v>
      </c>
      <c r="E367" s="542" t="s">
        <v>3376</v>
      </c>
      <c r="F367" s="542" t="s">
        <v>3377</v>
      </c>
      <c r="G367" s="546">
        <v>325</v>
      </c>
      <c r="H367" s="546"/>
      <c r="I367" s="546">
        <v>3691</v>
      </c>
      <c r="J367" s="542" t="s">
        <v>2701</v>
      </c>
      <c r="K367" s="547">
        <v>8125</v>
      </c>
      <c r="L367" s="542" t="s">
        <v>806</v>
      </c>
      <c r="M367" s="548"/>
      <c r="N367" s="549">
        <v>-240</v>
      </c>
      <c r="O367" s="544" t="s">
        <v>1674</v>
      </c>
      <c r="P367" s="544" t="s">
        <v>1674</v>
      </c>
      <c r="Q367" s="544" t="s">
        <v>2986</v>
      </c>
      <c r="R367" s="544" t="s">
        <v>1674</v>
      </c>
      <c r="S367" s="544" t="s">
        <v>1674</v>
      </c>
      <c r="T367" s="550"/>
      <c r="U367" s="544" t="s">
        <v>3309</v>
      </c>
      <c r="V367" s="547">
        <v>236</v>
      </c>
      <c r="W367" s="548"/>
      <c r="Y367" s="544" t="s">
        <v>1674</v>
      </c>
      <c r="AA367" s="544" t="s">
        <v>1674</v>
      </c>
      <c r="AE367" s="551"/>
      <c r="AF367" s="544" t="s">
        <v>1674</v>
      </c>
      <c r="AG367" s="544" t="s">
        <v>1674</v>
      </c>
      <c r="AH367" s="544" t="s">
        <v>1674</v>
      </c>
      <c r="AI367" s="544" t="s">
        <v>1674</v>
      </c>
      <c r="AJ367" s="544" t="s">
        <v>1674</v>
      </c>
      <c r="AK367" s="544" t="s">
        <v>1674</v>
      </c>
      <c r="AL367" s="544" t="s">
        <v>1674</v>
      </c>
      <c r="AM367" s="544" t="s">
        <v>1674</v>
      </c>
      <c r="AN367" s="544" t="s">
        <v>1674</v>
      </c>
      <c r="AP367" s="542">
        <f t="shared" si="12"/>
        <v>-179</v>
      </c>
      <c r="AR367" s="552">
        <f t="shared" si="11"/>
        <v>3691</v>
      </c>
    </row>
    <row r="368" spans="1:44" outlineLevel="1" x14ac:dyDescent="0.25">
      <c r="A368" s="544" t="s">
        <v>1674</v>
      </c>
      <c r="B368" s="545">
        <v>11600</v>
      </c>
      <c r="C368" s="544" t="s">
        <v>2782</v>
      </c>
      <c r="D368" s="544" t="s">
        <v>3378</v>
      </c>
      <c r="E368" s="542" t="s">
        <v>3379</v>
      </c>
      <c r="F368" s="542" t="s">
        <v>3380</v>
      </c>
      <c r="G368" s="546">
        <v>9.33</v>
      </c>
      <c r="H368" s="546"/>
      <c r="I368" s="546"/>
      <c r="J368" s="542" t="s">
        <v>806</v>
      </c>
      <c r="K368" s="547">
        <v>8400</v>
      </c>
      <c r="L368" s="542" t="s">
        <v>806</v>
      </c>
      <c r="M368" s="548"/>
      <c r="N368" s="549">
        <v>-239</v>
      </c>
      <c r="O368" s="544" t="s">
        <v>1674</v>
      </c>
      <c r="P368" s="544" t="s">
        <v>1674</v>
      </c>
      <c r="Q368" s="544" t="s">
        <v>2786</v>
      </c>
      <c r="R368" s="544" t="s">
        <v>1674</v>
      </c>
      <c r="S368" s="544" t="s">
        <v>1674</v>
      </c>
      <c r="T368" s="550">
        <v>19</v>
      </c>
      <c r="U368" s="544" t="s">
        <v>3309</v>
      </c>
      <c r="V368" s="547">
        <v>357</v>
      </c>
      <c r="W368" s="548"/>
      <c r="Y368" s="544" t="s">
        <v>1674</v>
      </c>
      <c r="AA368" s="544" t="s">
        <v>1674</v>
      </c>
      <c r="AE368" s="551"/>
      <c r="AF368" s="544" t="s">
        <v>1674</v>
      </c>
      <c r="AG368" s="544" t="s">
        <v>1674</v>
      </c>
      <c r="AH368" s="544" t="s">
        <v>1674</v>
      </c>
      <c r="AI368" s="544" t="s">
        <v>1674</v>
      </c>
      <c r="AJ368" s="544" t="s">
        <v>1674</v>
      </c>
      <c r="AK368" s="544" t="s">
        <v>1674</v>
      </c>
      <c r="AL368" s="544" t="s">
        <v>1674</v>
      </c>
      <c r="AM368" s="544" t="s">
        <v>2782</v>
      </c>
      <c r="AN368" s="544" t="s">
        <v>1674</v>
      </c>
      <c r="AP368" s="542">
        <f t="shared" si="12"/>
        <v>-178</v>
      </c>
      <c r="AR368" s="552">
        <f t="shared" si="11"/>
        <v>0</v>
      </c>
    </row>
    <row r="369" spans="1:44" outlineLevel="1" x14ac:dyDescent="0.25">
      <c r="A369" s="544" t="s">
        <v>1674</v>
      </c>
      <c r="B369" s="545">
        <v>0</v>
      </c>
      <c r="C369" s="544" t="s">
        <v>1674</v>
      </c>
      <c r="D369" s="544" t="s">
        <v>3378</v>
      </c>
      <c r="E369" s="542" t="s">
        <v>3379</v>
      </c>
      <c r="F369" s="542" t="s">
        <v>3380</v>
      </c>
      <c r="G369" s="546">
        <v>4250.87</v>
      </c>
      <c r="H369" s="546"/>
      <c r="I369" s="546">
        <v>4260.2</v>
      </c>
      <c r="J369" s="542" t="s">
        <v>2701</v>
      </c>
      <c r="K369" s="547">
        <v>8401</v>
      </c>
      <c r="L369" s="542" t="s">
        <v>806</v>
      </c>
      <c r="M369" s="548"/>
      <c r="N369" s="549">
        <v>-239</v>
      </c>
      <c r="O369" s="544" t="s">
        <v>1674</v>
      </c>
      <c r="P369" s="544" t="s">
        <v>1674</v>
      </c>
      <c r="Q369" s="544" t="s">
        <v>2786</v>
      </c>
      <c r="R369" s="544" t="s">
        <v>1674</v>
      </c>
      <c r="S369" s="544" t="s">
        <v>1674</v>
      </c>
      <c r="T369" s="550">
        <v>19</v>
      </c>
      <c r="U369" s="544" t="s">
        <v>3309</v>
      </c>
      <c r="V369" s="547">
        <v>358</v>
      </c>
      <c r="W369" s="548"/>
      <c r="Y369" s="544" t="s">
        <v>1674</v>
      </c>
      <c r="AA369" s="544" t="s">
        <v>1674</v>
      </c>
      <c r="AE369" s="551"/>
      <c r="AF369" s="544" t="s">
        <v>1674</v>
      </c>
      <c r="AG369" s="544" t="s">
        <v>1674</v>
      </c>
      <c r="AH369" s="544" t="s">
        <v>1674</v>
      </c>
      <c r="AI369" s="544" t="s">
        <v>1674</v>
      </c>
      <c r="AJ369" s="544" t="s">
        <v>1674</v>
      </c>
      <c r="AK369" s="544" t="s">
        <v>1674</v>
      </c>
      <c r="AL369" s="544" t="s">
        <v>1674</v>
      </c>
      <c r="AM369" s="544" t="s">
        <v>1674</v>
      </c>
      <c r="AN369" s="544" t="s">
        <v>1674</v>
      </c>
      <c r="AP369" s="542">
        <f t="shared" si="12"/>
        <v>-178</v>
      </c>
      <c r="AR369" s="552">
        <f t="shared" si="11"/>
        <v>4260.2</v>
      </c>
    </row>
    <row r="370" spans="1:44" outlineLevel="1" x14ac:dyDescent="0.25">
      <c r="A370" s="544" t="s">
        <v>1674</v>
      </c>
      <c r="B370" s="545">
        <v>0</v>
      </c>
      <c r="C370" s="544" t="s">
        <v>1674</v>
      </c>
      <c r="D370" s="544" t="s">
        <v>3381</v>
      </c>
      <c r="E370" s="542" t="s">
        <v>3379</v>
      </c>
      <c r="G370" s="546"/>
      <c r="H370" s="546">
        <v>26.85</v>
      </c>
      <c r="I370" s="546"/>
      <c r="J370" s="542" t="s">
        <v>806</v>
      </c>
      <c r="K370" s="547">
        <v>8400</v>
      </c>
      <c r="L370" s="542" t="s">
        <v>806</v>
      </c>
      <c r="M370" s="548"/>
      <c r="N370" s="549"/>
      <c r="O370" s="544" t="s">
        <v>1674</v>
      </c>
      <c r="P370" s="544" t="s">
        <v>1674</v>
      </c>
      <c r="Q370" s="544" t="s">
        <v>2786</v>
      </c>
      <c r="R370" s="544" t="s">
        <v>1674</v>
      </c>
      <c r="S370" s="544" t="s">
        <v>1674</v>
      </c>
      <c r="T370" s="550">
        <v>19</v>
      </c>
      <c r="U370" s="544" t="s">
        <v>3309</v>
      </c>
      <c r="V370" s="547">
        <v>382</v>
      </c>
      <c r="W370" s="548"/>
      <c r="Y370" s="544" t="s">
        <v>1674</v>
      </c>
      <c r="AA370" s="544" t="s">
        <v>1674</v>
      </c>
      <c r="AE370" s="551"/>
      <c r="AF370" s="544" t="s">
        <v>1674</v>
      </c>
      <c r="AG370" s="544" t="s">
        <v>1674</v>
      </c>
      <c r="AH370" s="544" t="s">
        <v>1674</v>
      </c>
      <c r="AI370" s="544" t="s">
        <v>1674</v>
      </c>
      <c r="AJ370" s="544" t="s">
        <v>1674</v>
      </c>
      <c r="AK370" s="544" t="s">
        <v>1674</v>
      </c>
      <c r="AL370" s="544" t="s">
        <v>1674</v>
      </c>
      <c r="AM370" s="544" t="s">
        <v>1674</v>
      </c>
      <c r="AN370" s="544" t="s">
        <v>1674</v>
      </c>
      <c r="AP370" s="542">
        <f t="shared" si="12"/>
        <v>0</v>
      </c>
      <c r="AR370" s="552">
        <f t="shared" si="11"/>
        <v>0</v>
      </c>
    </row>
    <row r="371" spans="1:44" outlineLevel="1" x14ac:dyDescent="0.25">
      <c r="A371" s="544" t="s">
        <v>1674</v>
      </c>
      <c r="B371" s="545">
        <v>0</v>
      </c>
      <c r="C371" s="544" t="s">
        <v>1674</v>
      </c>
      <c r="D371" s="544" t="s">
        <v>3381</v>
      </c>
      <c r="E371" s="542" t="s">
        <v>3379</v>
      </c>
      <c r="G371" s="546"/>
      <c r="H371" s="546">
        <v>2.57</v>
      </c>
      <c r="I371" s="546"/>
      <c r="J371" s="542" t="s">
        <v>806</v>
      </c>
      <c r="K371" s="547">
        <v>8400</v>
      </c>
      <c r="L371" s="542" t="s">
        <v>806</v>
      </c>
      <c r="M371" s="548"/>
      <c r="N371" s="549"/>
      <c r="O371" s="544" t="s">
        <v>1674</v>
      </c>
      <c r="P371" s="544" t="s">
        <v>1674</v>
      </c>
      <c r="Q371" s="544" t="s">
        <v>2786</v>
      </c>
      <c r="R371" s="544" t="s">
        <v>2617</v>
      </c>
      <c r="S371" s="544" t="s">
        <v>1674</v>
      </c>
      <c r="T371" s="550">
        <v>19</v>
      </c>
      <c r="U371" s="544" t="s">
        <v>3309</v>
      </c>
      <c r="V371" s="547">
        <v>383</v>
      </c>
      <c r="W371" s="548"/>
      <c r="Y371" s="544" t="s">
        <v>1674</v>
      </c>
      <c r="AA371" s="544" t="s">
        <v>1674</v>
      </c>
      <c r="AE371" s="551"/>
      <c r="AF371" s="544" t="s">
        <v>1674</v>
      </c>
      <c r="AG371" s="544" t="s">
        <v>1674</v>
      </c>
      <c r="AH371" s="544" t="s">
        <v>1674</v>
      </c>
      <c r="AI371" s="544" t="s">
        <v>1674</v>
      </c>
      <c r="AJ371" s="544" t="s">
        <v>1674</v>
      </c>
      <c r="AK371" s="544" t="s">
        <v>1674</v>
      </c>
      <c r="AL371" s="544" t="s">
        <v>1674</v>
      </c>
      <c r="AM371" s="544" t="s">
        <v>1674</v>
      </c>
      <c r="AN371" s="544" t="s">
        <v>1674</v>
      </c>
      <c r="AP371" s="542">
        <f t="shared" si="12"/>
        <v>0</v>
      </c>
      <c r="AR371" s="552">
        <f t="shared" si="11"/>
        <v>0</v>
      </c>
    </row>
    <row r="372" spans="1:44" outlineLevel="1" x14ac:dyDescent="0.25">
      <c r="A372" s="544" t="s">
        <v>1674</v>
      </c>
      <c r="B372" s="545">
        <v>0</v>
      </c>
      <c r="C372" s="544" t="s">
        <v>1674</v>
      </c>
      <c r="D372" s="544" t="s">
        <v>3381</v>
      </c>
      <c r="E372" s="542" t="s">
        <v>3379</v>
      </c>
      <c r="G372" s="546"/>
      <c r="H372" s="546">
        <v>398.98</v>
      </c>
      <c r="I372" s="546">
        <v>428.4</v>
      </c>
      <c r="J372" s="542" t="s">
        <v>2584</v>
      </c>
      <c r="K372" s="547">
        <v>8401</v>
      </c>
      <c r="L372" s="542" t="s">
        <v>806</v>
      </c>
      <c r="M372" s="548"/>
      <c r="N372" s="549"/>
      <c r="O372" s="544" t="s">
        <v>1674</v>
      </c>
      <c r="P372" s="544" t="s">
        <v>1674</v>
      </c>
      <c r="Q372" s="544" t="s">
        <v>2786</v>
      </c>
      <c r="R372" s="544" t="s">
        <v>1674</v>
      </c>
      <c r="S372" s="544" t="s">
        <v>1674</v>
      </c>
      <c r="T372" s="550">
        <v>19</v>
      </c>
      <c r="U372" s="544" t="s">
        <v>3309</v>
      </c>
      <c r="V372" s="547">
        <v>384</v>
      </c>
      <c r="W372" s="548"/>
      <c r="Y372" s="544" t="s">
        <v>1674</v>
      </c>
      <c r="AA372" s="544" t="s">
        <v>1674</v>
      </c>
      <c r="AE372" s="551"/>
      <c r="AF372" s="544" t="s">
        <v>1674</v>
      </c>
      <c r="AG372" s="544" t="s">
        <v>1674</v>
      </c>
      <c r="AH372" s="544" t="s">
        <v>1674</v>
      </c>
      <c r="AI372" s="544" t="s">
        <v>1674</v>
      </c>
      <c r="AJ372" s="544" t="s">
        <v>1674</v>
      </c>
      <c r="AK372" s="544" t="s">
        <v>1674</v>
      </c>
      <c r="AL372" s="544" t="s">
        <v>1674</v>
      </c>
      <c r="AM372" s="544" t="s">
        <v>1674</v>
      </c>
      <c r="AN372" s="544" t="s">
        <v>1674</v>
      </c>
      <c r="AP372" s="542">
        <f t="shared" si="12"/>
        <v>0</v>
      </c>
      <c r="AR372" s="552">
        <f t="shared" si="11"/>
        <v>-428.4</v>
      </c>
    </row>
    <row r="373" spans="1:44" outlineLevel="1" x14ac:dyDescent="0.25">
      <c r="A373" s="544" t="s">
        <v>1674</v>
      </c>
      <c r="B373" s="545">
        <v>10700</v>
      </c>
      <c r="C373" s="544" t="s">
        <v>2836</v>
      </c>
      <c r="D373" s="544" t="s">
        <v>3382</v>
      </c>
      <c r="E373" s="542" t="s">
        <v>3383</v>
      </c>
      <c r="F373" s="542" t="s">
        <v>3384</v>
      </c>
      <c r="G373" s="546">
        <v>2581.11</v>
      </c>
      <c r="H373" s="546"/>
      <c r="I373" s="546">
        <v>2581.11</v>
      </c>
      <c r="J373" s="542" t="s">
        <v>2701</v>
      </c>
      <c r="K373" s="547">
        <v>8400</v>
      </c>
      <c r="L373" s="542" t="s">
        <v>806</v>
      </c>
      <c r="M373" s="548"/>
      <c r="N373" s="549">
        <v>-234</v>
      </c>
      <c r="O373" s="544" t="s">
        <v>1674</v>
      </c>
      <c r="P373" s="544" t="s">
        <v>1674</v>
      </c>
      <c r="Q373" s="544" t="s">
        <v>2839</v>
      </c>
      <c r="R373" s="544" t="s">
        <v>1674</v>
      </c>
      <c r="S373" s="544" t="s">
        <v>1674</v>
      </c>
      <c r="T373" s="550">
        <v>19</v>
      </c>
      <c r="U373" s="544" t="s">
        <v>3309</v>
      </c>
      <c r="V373" s="547">
        <v>633</v>
      </c>
      <c r="W373" s="548"/>
      <c r="Y373" s="544" t="s">
        <v>1674</v>
      </c>
      <c r="AA373" s="544" t="s">
        <v>1674</v>
      </c>
      <c r="AE373" s="551"/>
      <c r="AF373" s="544" t="s">
        <v>1674</v>
      </c>
      <c r="AG373" s="544" t="s">
        <v>1674</v>
      </c>
      <c r="AH373" s="544" t="s">
        <v>1674</v>
      </c>
      <c r="AI373" s="544" t="s">
        <v>1674</v>
      </c>
      <c r="AJ373" s="544" t="s">
        <v>1674</v>
      </c>
      <c r="AK373" s="544" t="s">
        <v>1674</v>
      </c>
      <c r="AL373" s="544" t="s">
        <v>1674</v>
      </c>
      <c r="AM373" s="544" t="s">
        <v>2836</v>
      </c>
      <c r="AN373" s="544" t="s">
        <v>1674</v>
      </c>
      <c r="AP373" s="542">
        <f t="shared" si="12"/>
        <v>-173</v>
      </c>
      <c r="AR373" s="552">
        <f t="shared" si="11"/>
        <v>2581.11</v>
      </c>
    </row>
    <row r="374" spans="1:44" outlineLevel="1" x14ac:dyDescent="0.25">
      <c r="A374" s="544" t="s">
        <v>1674</v>
      </c>
      <c r="B374" s="545">
        <v>11701</v>
      </c>
      <c r="C374" s="544" t="s">
        <v>3225</v>
      </c>
      <c r="D374" s="544" t="s">
        <v>3385</v>
      </c>
      <c r="E374" s="542" t="s">
        <v>3386</v>
      </c>
      <c r="F374" s="542" t="s">
        <v>3387</v>
      </c>
      <c r="G374" s="546">
        <v>627.42999999999995</v>
      </c>
      <c r="H374" s="546"/>
      <c r="I374" s="546">
        <v>627.42999999999995</v>
      </c>
      <c r="J374" s="542" t="s">
        <v>2701</v>
      </c>
      <c r="K374" s="547">
        <v>8402</v>
      </c>
      <c r="L374" s="542" t="s">
        <v>806</v>
      </c>
      <c r="M374" s="548"/>
      <c r="N374" s="549">
        <v>-233</v>
      </c>
      <c r="O374" s="544" t="s">
        <v>1674</v>
      </c>
      <c r="P374" s="544" t="s">
        <v>1674</v>
      </c>
      <c r="Q374" s="544" t="s">
        <v>3225</v>
      </c>
      <c r="R374" s="544" t="s">
        <v>1674</v>
      </c>
      <c r="S374" s="544" t="s">
        <v>1674</v>
      </c>
      <c r="T374" s="550">
        <v>19</v>
      </c>
      <c r="U374" s="544" t="s">
        <v>3309</v>
      </c>
      <c r="V374" s="547">
        <v>697</v>
      </c>
      <c r="W374" s="548"/>
      <c r="Y374" s="544" t="s">
        <v>1674</v>
      </c>
      <c r="AA374" s="544" t="s">
        <v>1674</v>
      </c>
      <c r="AE374" s="551"/>
      <c r="AF374" s="544" t="s">
        <v>1674</v>
      </c>
      <c r="AG374" s="544" t="s">
        <v>1674</v>
      </c>
      <c r="AH374" s="544" t="s">
        <v>1674</v>
      </c>
      <c r="AI374" s="544" t="s">
        <v>1674</v>
      </c>
      <c r="AJ374" s="544" t="s">
        <v>1674</v>
      </c>
      <c r="AK374" s="544" t="s">
        <v>1674</v>
      </c>
      <c r="AL374" s="544" t="s">
        <v>1674</v>
      </c>
      <c r="AM374" s="544" t="s">
        <v>3225</v>
      </c>
      <c r="AN374" s="544" t="s">
        <v>1674</v>
      </c>
      <c r="AP374" s="542">
        <f t="shared" si="12"/>
        <v>-172</v>
      </c>
      <c r="AR374" s="552">
        <f t="shared" si="11"/>
        <v>627.42999999999995</v>
      </c>
    </row>
    <row r="375" spans="1:44" outlineLevel="1" x14ac:dyDescent="0.25">
      <c r="A375" s="544" t="s">
        <v>1674</v>
      </c>
      <c r="B375" s="545">
        <v>11200</v>
      </c>
      <c r="C375" s="544" t="s">
        <v>2871</v>
      </c>
      <c r="D375" s="544" t="s">
        <v>3388</v>
      </c>
      <c r="E375" s="542" t="s">
        <v>3389</v>
      </c>
      <c r="F375" s="542" t="s">
        <v>3390</v>
      </c>
      <c r="G375" s="546">
        <v>1058.57</v>
      </c>
      <c r="H375" s="546"/>
      <c r="I375" s="546"/>
      <c r="J375" s="542" t="s">
        <v>806</v>
      </c>
      <c r="K375" s="547">
        <v>8400</v>
      </c>
      <c r="L375" s="542" t="s">
        <v>806</v>
      </c>
      <c r="M375" s="548"/>
      <c r="N375" s="549">
        <v>-232</v>
      </c>
      <c r="O375" s="544" t="s">
        <v>1674</v>
      </c>
      <c r="P375" s="544" t="s">
        <v>1674</v>
      </c>
      <c r="Q375" s="544" t="s">
        <v>2914</v>
      </c>
      <c r="R375" s="544" t="s">
        <v>1674</v>
      </c>
      <c r="S375" s="544" t="s">
        <v>1674</v>
      </c>
      <c r="T375" s="550">
        <v>19</v>
      </c>
      <c r="U375" s="544" t="s">
        <v>3309</v>
      </c>
      <c r="V375" s="547">
        <v>780</v>
      </c>
      <c r="W375" s="548"/>
      <c r="Y375" s="544" t="s">
        <v>1674</v>
      </c>
      <c r="AA375" s="544" t="s">
        <v>1674</v>
      </c>
      <c r="AE375" s="551"/>
      <c r="AF375" s="544" t="s">
        <v>1674</v>
      </c>
      <c r="AG375" s="544" t="s">
        <v>1674</v>
      </c>
      <c r="AH375" s="544" t="s">
        <v>1674</v>
      </c>
      <c r="AI375" s="544" t="s">
        <v>1674</v>
      </c>
      <c r="AJ375" s="544" t="s">
        <v>1674</v>
      </c>
      <c r="AK375" s="544" t="s">
        <v>1674</v>
      </c>
      <c r="AL375" s="544" t="s">
        <v>1674</v>
      </c>
      <c r="AM375" s="544" t="s">
        <v>2871</v>
      </c>
      <c r="AN375" s="544" t="s">
        <v>1674</v>
      </c>
      <c r="AP375" s="542">
        <f t="shared" si="12"/>
        <v>-171</v>
      </c>
      <c r="AR375" s="552">
        <f t="shared" si="11"/>
        <v>0</v>
      </c>
    </row>
    <row r="376" spans="1:44" outlineLevel="1" x14ac:dyDescent="0.25">
      <c r="A376" s="544" t="s">
        <v>1674</v>
      </c>
      <c r="B376" s="545">
        <v>0</v>
      </c>
      <c r="C376" s="544" t="s">
        <v>1674</v>
      </c>
      <c r="D376" s="544" t="s">
        <v>3388</v>
      </c>
      <c r="E376" s="542" t="s">
        <v>3389</v>
      </c>
      <c r="F376" s="542" t="s">
        <v>3390</v>
      </c>
      <c r="G376" s="546">
        <v>55.69</v>
      </c>
      <c r="H376" s="546"/>
      <c r="I376" s="546"/>
      <c r="J376" s="542" t="s">
        <v>806</v>
      </c>
      <c r="K376" s="547">
        <v>8400</v>
      </c>
      <c r="L376" s="542" t="s">
        <v>806</v>
      </c>
      <c r="M376" s="548"/>
      <c r="N376" s="549">
        <v>-232</v>
      </c>
      <c r="O376" s="544" t="s">
        <v>1674</v>
      </c>
      <c r="P376" s="544" t="s">
        <v>1674</v>
      </c>
      <c r="Q376" s="544" t="s">
        <v>2914</v>
      </c>
      <c r="R376" s="544" t="s">
        <v>2617</v>
      </c>
      <c r="S376" s="544" t="s">
        <v>1674</v>
      </c>
      <c r="T376" s="550">
        <v>19</v>
      </c>
      <c r="U376" s="544" t="s">
        <v>3309</v>
      </c>
      <c r="V376" s="547">
        <v>781</v>
      </c>
      <c r="W376" s="548"/>
      <c r="Y376" s="544" t="s">
        <v>1674</v>
      </c>
      <c r="AA376" s="544" t="s">
        <v>1674</v>
      </c>
      <c r="AE376" s="551"/>
      <c r="AF376" s="544" t="s">
        <v>1674</v>
      </c>
      <c r="AG376" s="544" t="s">
        <v>1674</v>
      </c>
      <c r="AH376" s="544" t="s">
        <v>1674</v>
      </c>
      <c r="AI376" s="544" t="s">
        <v>1674</v>
      </c>
      <c r="AJ376" s="544" t="s">
        <v>1674</v>
      </c>
      <c r="AK376" s="544" t="s">
        <v>1674</v>
      </c>
      <c r="AL376" s="544" t="s">
        <v>1674</v>
      </c>
      <c r="AM376" s="544" t="s">
        <v>1674</v>
      </c>
      <c r="AN376" s="544" t="s">
        <v>1674</v>
      </c>
      <c r="AP376" s="542">
        <f t="shared" si="12"/>
        <v>-171</v>
      </c>
      <c r="AR376" s="552">
        <f t="shared" si="11"/>
        <v>0</v>
      </c>
    </row>
    <row r="377" spans="1:44" outlineLevel="1" x14ac:dyDescent="0.25">
      <c r="A377" s="544" t="s">
        <v>1674</v>
      </c>
      <c r="B377" s="545">
        <v>0</v>
      </c>
      <c r="C377" s="544" t="s">
        <v>1674</v>
      </c>
      <c r="D377" s="544" t="s">
        <v>3388</v>
      </c>
      <c r="E377" s="542" t="s">
        <v>3389</v>
      </c>
      <c r="F377" s="542" t="s">
        <v>3390</v>
      </c>
      <c r="G377" s="546">
        <v>15807.54</v>
      </c>
      <c r="H377" s="546"/>
      <c r="I377" s="546"/>
      <c r="J377" s="542" t="s">
        <v>806</v>
      </c>
      <c r="K377" s="547">
        <v>8401</v>
      </c>
      <c r="L377" s="542" t="s">
        <v>806</v>
      </c>
      <c r="M377" s="548"/>
      <c r="N377" s="549">
        <v>-232</v>
      </c>
      <c r="O377" s="544" t="s">
        <v>1674</v>
      </c>
      <c r="P377" s="544" t="s">
        <v>1674</v>
      </c>
      <c r="Q377" s="544" t="s">
        <v>2914</v>
      </c>
      <c r="R377" s="544" t="s">
        <v>1674</v>
      </c>
      <c r="S377" s="544" t="s">
        <v>1674</v>
      </c>
      <c r="T377" s="550">
        <v>19</v>
      </c>
      <c r="U377" s="544" t="s">
        <v>3309</v>
      </c>
      <c r="V377" s="547">
        <v>782</v>
      </c>
      <c r="W377" s="548"/>
      <c r="Y377" s="544" t="s">
        <v>1674</v>
      </c>
      <c r="AA377" s="544" t="s">
        <v>1674</v>
      </c>
      <c r="AE377" s="551"/>
      <c r="AF377" s="544" t="s">
        <v>1674</v>
      </c>
      <c r="AG377" s="544" t="s">
        <v>1674</v>
      </c>
      <c r="AH377" s="544" t="s">
        <v>1674</v>
      </c>
      <c r="AI377" s="544" t="s">
        <v>1674</v>
      </c>
      <c r="AJ377" s="544" t="s">
        <v>1674</v>
      </c>
      <c r="AK377" s="544" t="s">
        <v>1674</v>
      </c>
      <c r="AL377" s="544" t="s">
        <v>1674</v>
      </c>
      <c r="AM377" s="544" t="s">
        <v>1674</v>
      </c>
      <c r="AN377" s="544" t="s">
        <v>1674</v>
      </c>
      <c r="AP377" s="542">
        <f t="shared" si="12"/>
        <v>-171</v>
      </c>
      <c r="AR377" s="552">
        <f t="shared" si="11"/>
        <v>0</v>
      </c>
    </row>
    <row r="378" spans="1:44" outlineLevel="1" x14ac:dyDescent="0.25">
      <c r="A378" s="544" t="s">
        <v>1674</v>
      </c>
      <c r="B378" s="545">
        <v>0</v>
      </c>
      <c r="C378" s="544" t="s">
        <v>1674</v>
      </c>
      <c r="D378" s="544" t="s">
        <v>3388</v>
      </c>
      <c r="E378" s="542" t="s">
        <v>3391</v>
      </c>
      <c r="G378" s="546"/>
      <c r="H378" s="546">
        <v>16080.23</v>
      </c>
      <c r="I378" s="546"/>
      <c r="J378" s="542" t="s">
        <v>806</v>
      </c>
      <c r="K378" s="547">
        <v>1220</v>
      </c>
      <c r="L378" s="542" t="s">
        <v>806</v>
      </c>
      <c r="M378" s="548"/>
      <c r="N378" s="549"/>
      <c r="O378" s="544" t="s">
        <v>1674</v>
      </c>
      <c r="P378" s="544" t="s">
        <v>1674</v>
      </c>
      <c r="Q378" s="544" t="s">
        <v>3392</v>
      </c>
      <c r="R378" s="544" t="s">
        <v>1674</v>
      </c>
      <c r="S378" s="544" t="s">
        <v>1674</v>
      </c>
      <c r="T378" s="550"/>
      <c r="U378" s="544" t="s">
        <v>3309</v>
      </c>
      <c r="V378" s="547">
        <v>1307</v>
      </c>
      <c r="W378" s="548"/>
      <c r="Y378" s="544" t="s">
        <v>1674</v>
      </c>
      <c r="AA378" s="544" t="s">
        <v>1674</v>
      </c>
      <c r="AE378" s="551"/>
      <c r="AF378" s="544" t="s">
        <v>1674</v>
      </c>
      <c r="AG378" s="544" t="s">
        <v>1674</v>
      </c>
      <c r="AH378" s="544" t="s">
        <v>1674</v>
      </c>
      <c r="AI378" s="544" t="s">
        <v>1674</v>
      </c>
      <c r="AJ378" s="544" t="s">
        <v>1674</v>
      </c>
      <c r="AK378" s="544" t="s">
        <v>1674</v>
      </c>
      <c r="AL378" s="544" t="s">
        <v>1674</v>
      </c>
      <c r="AM378" s="544" t="s">
        <v>1674</v>
      </c>
      <c r="AN378" s="544" t="s">
        <v>1674</v>
      </c>
      <c r="AP378" s="542">
        <f t="shared" si="12"/>
        <v>0</v>
      </c>
      <c r="AR378" s="552">
        <f t="shared" si="11"/>
        <v>0</v>
      </c>
    </row>
    <row r="379" spans="1:44" outlineLevel="1" x14ac:dyDescent="0.25">
      <c r="A379" s="544" t="s">
        <v>1674</v>
      </c>
      <c r="B379" s="545">
        <v>0</v>
      </c>
      <c r="C379" s="544" t="s">
        <v>1674</v>
      </c>
      <c r="D379" s="544" t="s">
        <v>3388</v>
      </c>
      <c r="E379" s="542" t="s">
        <v>3391</v>
      </c>
      <c r="G379" s="546"/>
      <c r="H379" s="546">
        <v>169.22</v>
      </c>
      <c r="I379" s="546">
        <v>672.35</v>
      </c>
      <c r="J379" s="542" t="s">
        <v>2701</v>
      </c>
      <c r="K379" s="547">
        <v>8736</v>
      </c>
      <c r="L379" s="542" t="s">
        <v>806</v>
      </c>
      <c r="M379" s="548"/>
      <c r="N379" s="549"/>
      <c r="O379" s="544" t="s">
        <v>1674</v>
      </c>
      <c r="P379" s="544" t="s">
        <v>1674</v>
      </c>
      <c r="Q379" s="544" t="s">
        <v>3392</v>
      </c>
      <c r="R379" s="544" t="s">
        <v>1674</v>
      </c>
      <c r="S379" s="544" t="s">
        <v>1674</v>
      </c>
      <c r="T379" s="550">
        <v>19</v>
      </c>
      <c r="U379" s="544" t="s">
        <v>3309</v>
      </c>
      <c r="V379" s="547">
        <v>1308</v>
      </c>
      <c r="W379" s="548"/>
      <c r="Y379" s="544" t="s">
        <v>1674</v>
      </c>
      <c r="AA379" s="544" t="s">
        <v>1674</v>
      </c>
      <c r="AE379" s="551"/>
      <c r="AF379" s="544" t="s">
        <v>1674</v>
      </c>
      <c r="AG379" s="544" t="s">
        <v>1674</v>
      </c>
      <c r="AH379" s="544" t="s">
        <v>1674</v>
      </c>
      <c r="AI379" s="544" t="s">
        <v>1674</v>
      </c>
      <c r="AJ379" s="544" t="s">
        <v>1674</v>
      </c>
      <c r="AK379" s="544" t="s">
        <v>1674</v>
      </c>
      <c r="AL379" s="544" t="s">
        <v>1674</v>
      </c>
      <c r="AM379" s="544" t="s">
        <v>1674</v>
      </c>
      <c r="AN379" s="544" t="s">
        <v>1674</v>
      </c>
      <c r="AP379" s="542">
        <f t="shared" si="12"/>
        <v>0</v>
      </c>
      <c r="AR379" s="552">
        <f t="shared" si="11"/>
        <v>672.35</v>
      </c>
    </row>
    <row r="380" spans="1:44" outlineLevel="1" x14ac:dyDescent="0.25">
      <c r="A380" s="544" t="s">
        <v>1674</v>
      </c>
      <c r="B380" s="545">
        <v>30803</v>
      </c>
      <c r="C380" s="544" t="s">
        <v>2925</v>
      </c>
      <c r="D380" s="544" t="s">
        <v>3393</v>
      </c>
      <c r="E380" s="542" t="s">
        <v>3361</v>
      </c>
      <c r="F380" s="542" t="s">
        <v>3394</v>
      </c>
      <c r="G380" s="546">
        <v>6559.28</v>
      </c>
      <c r="H380" s="546"/>
      <c r="I380" s="546">
        <v>6559.28</v>
      </c>
      <c r="J380" s="542" t="s">
        <v>2701</v>
      </c>
      <c r="K380" s="547">
        <v>8400</v>
      </c>
      <c r="L380" s="542" t="s">
        <v>806</v>
      </c>
      <c r="M380" s="548"/>
      <c r="N380" s="549">
        <v>-226</v>
      </c>
      <c r="O380" s="544" t="s">
        <v>1674</v>
      </c>
      <c r="P380" s="544" t="s">
        <v>1674</v>
      </c>
      <c r="Q380" s="544" t="s">
        <v>3030</v>
      </c>
      <c r="R380" s="544" t="s">
        <v>1674</v>
      </c>
      <c r="S380" s="544" t="s">
        <v>1674</v>
      </c>
      <c r="T380" s="550">
        <v>19</v>
      </c>
      <c r="U380" s="544" t="s">
        <v>3309</v>
      </c>
      <c r="V380" s="547">
        <v>1085</v>
      </c>
      <c r="W380" s="548"/>
      <c r="Y380" s="544" t="s">
        <v>1674</v>
      </c>
      <c r="AA380" s="544" t="s">
        <v>1674</v>
      </c>
      <c r="AE380" s="551"/>
      <c r="AF380" s="544" t="s">
        <v>1674</v>
      </c>
      <c r="AG380" s="544" t="s">
        <v>1674</v>
      </c>
      <c r="AH380" s="544" t="s">
        <v>1674</v>
      </c>
      <c r="AI380" s="544" t="s">
        <v>1674</v>
      </c>
      <c r="AJ380" s="544" t="s">
        <v>1674</v>
      </c>
      <c r="AK380" s="544" t="s">
        <v>1674</v>
      </c>
      <c r="AL380" s="544" t="s">
        <v>1674</v>
      </c>
      <c r="AM380" s="544" t="s">
        <v>2928</v>
      </c>
      <c r="AN380" s="544" t="s">
        <v>1674</v>
      </c>
      <c r="AP380" s="542">
        <f t="shared" si="12"/>
        <v>-165</v>
      </c>
      <c r="AR380" s="552">
        <f t="shared" si="11"/>
        <v>6559.28</v>
      </c>
    </row>
    <row r="381" spans="1:44" outlineLevel="1" x14ac:dyDescent="0.25">
      <c r="A381" s="544" t="s">
        <v>2722</v>
      </c>
      <c r="B381" s="545">
        <v>11800</v>
      </c>
      <c r="C381" s="544" t="s">
        <v>2581</v>
      </c>
      <c r="D381" s="544" t="s">
        <v>3395</v>
      </c>
      <c r="E381" s="542" t="s">
        <v>3396</v>
      </c>
      <c r="F381" s="542" t="s">
        <v>3397</v>
      </c>
      <c r="G381" s="546">
        <v>17195.5</v>
      </c>
      <c r="H381" s="546"/>
      <c r="I381" s="546"/>
      <c r="J381" s="542" t="s">
        <v>806</v>
      </c>
      <c r="K381" s="547">
        <v>8820</v>
      </c>
      <c r="L381" s="542" t="s">
        <v>806</v>
      </c>
      <c r="M381" s="548"/>
      <c r="N381" s="549">
        <v>-224</v>
      </c>
      <c r="O381" s="544" t="s">
        <v>1674</v>
      </c>
      <c r="P381" s="544" t="s">
        <v>1674</v>
      </c>
      <c r="Q381" s="544" t="s">
        <v>3398</v>
      </c>
      <c r="R381" s="544" t="s">
        <v>1674</v>
      </c>
      <c r="S381" s="544" t="s">
        <v>1674</v>
      </c>
      <c r="T381" s="550">
        <v>19</v>
      </c>
      <c r="U381" s="544" t="s">
        <v>3309</v>
      </c>
      <c r="V381" s="547">
        <v>1282</v>
      </c>
      <c r="W381" s="548"/>
      <c r="Y381" s="544" t="s">
        <v>1674</v>
      </c>
      <c r="AA381" s="544" t="s">
        <v>1674</v>
      </c>
      <c r="AE381" s="551"/>
      <c r="AF381" s="544" t="s">
        <v>1674</v>
      </c>
      <c r="AG381" s="544" t="s">
        <v>1674</v>
      </c>
      <c r="AH381" s="544" t="s">
        <v>1674</v>
      </c>
      <c r="AI381" s="544" t="s">
        <v>1674</v>
      </c>
      <c r="AJ381" s="544" t="s">
        <v>1674</v>
      </c>
      <c r="AK381" s="544" t="s">
        <v>1674</v>
      </c>
      <c r="AL381" s="544" t="s">
        <v>1674</v>
      </c>
      <c r="AM381" s="544" t="s">
        <v>2581</v>
      </c>
      <c r="AN381" s="544" t="s">
        <v>1674</v>
      </c>
      <c r="AP381" s="542">
        <f t="shared" si="12"/>
        <v>-163</v>
      </c>
      <c r="AR381" s="552">
        <f t="shared" si="11"/>
        <v>0</v>
      </c>
    </row>
    <row r="382" spans="1:44" outlineLevel="1" x14ac:dyDescent="0.25">
      <c r="A382" s="544" t="s">
        <v>2722</v>
      </c>
      <c r="B382" s="545">
        <v>0</v>
      </c>
      <c r="C382" s="544" t="s">
        <v>1674</v>
      </c>
      <c r="D382" s="544" t="s">
        <v>3395</v>
      </c>
      <c r="E382" s="542" t="s">
        <v>3396</v>
      </c>
      <c r="F382" s="542" t="s">
        <v>3397</v>
      </c>
      <c r="G382" s="546">
        <v>624.75</v>
      </c>
      <c r="H382" s="546"/>
      <c r="I382" s="546"/>
      <c r="J382" s="542" t="s">
        <v>806</v>
      </c>
      <c r="K382" s="547">
        <v>8801</v>
      </c>
      <c r="L382" s="542" t="s">
        <v>806</v>
      </c>
      <c r="M382" s="548"/>
      <c r="N382" s="549">
        <v>-224</v>
      </c>
      <c r="O382" s="544" t="s">
        <v>1674</v>
      </c>
      <c r="P382" s="544" t="s">
        <v>1674</v>
      </c>
      <c r="Q382" s="544" t="s">
        <v>3399</v>
      </c>
      <c r="R382" s="544" t="s">
        <v>1674</v>
      </c>
      <c r="S382" s="544" t="s">
        <v>1674</v>
      </c>
      <c r="T382" s="550">
        <v>19</v>
      </c>
      <c r="U382" s="544" t="s">
        <v>3309</v>
      </c>
      <c r="V382" s="547">
        <v>1283</v>
      </c>
      <c r="W382" s="548"/>
      <c r="Y382" s="544" t="s">
        <v>1674</v>
      </c>
      <c r="AA382" s="544" t="s">
        <v>1674</v>
      </c>
      <c r="AE382" s="551"/>
      <c r="AF382" s="544" t="s">
        <v>1674</v>
      </c>
      <c r="AG382" s="544" t="s">
        <v>1674</v>
      </c>
      <c r="AH382" s="544" t="s">
        <v>1674</v>
      </c>
      <c r="AI382" s="544" t="s">
        <v>1674</v>
      </c>
      <c r="AJ382" s="544" t="s">
        <v>1674</v>
      </c>
      <c r="AK382" s="544" t="s">
        <v>1674</v>
      </c>
      <c r="AL382" s="544" t="s">
        <v>1674</v>
      </c>
      <c r="AM382" s="544" t="s">
        <v>1674</v>
      </c>
      <c r="AN382" s="544" t="s">
        <v>1674</v>
      </c>
      <c r="AP382" s="542">
        <f t="shared" si="12"/>
        <v>-163</v>
      </c>
      <c r="AR382" s="552">
        <f t="shared" si="11"/>
        <v>0</v>
      </c>
    </row>
    <row r="383" spans="1:44" outlineLevel="1" x14ac:dyDescent="0.25">
      <c r="A383" s="544" t="s">
        <v>2722</v>
      </c>
      <c r="B383" s="545">
        <v>0</v>
      </c>
      <c r="C383" s="544" t="s">
        <v>1674</v>
      </c>
      <c r="D383" s="544" t="s">
        <v>3395</v>
      </c>
      <c r="E383" s="542" t="s">
        <v>3396</v>
      </c>
      <c r="F383" s="542" t="s">
        <v>3397</v>
      </c>
      <c r="G383" s="546">
        <v>624.75</v>
      </c>
      <c r="H383" s="546"/>
      <c r="I383" s="546"/>
      <c r="J383" s="542" t="s">
        <v>806</v>
      </c>
      <c r="K383" s="547">
        <v>8801</v>
      </c>
      <c r="L383" s="542" t="s">
        <v>806</v>
      </c>
      <c r="M383" s="548"/>
      <c r="N383" s="549">
        <v>-224</v>
      </c>
      <c r="O383" s="544" t="s">
        <v>1674</v>
      </c>
      <c r="P383" s="544" t="s">
        <v>1674</v>
      </c>
      <c r="Q383" s="544" t="s">
        <v>3400</v>
      </c>
      <c r="R383" s="544" t="s">
        <v>1674</v>
      </c>
      <c r="S383" s="544" t="s">
        <v>1674</v>
      </c>
      <c r="T383" s="550">
        <v>19</v>
      </c>
      <c r="U383" s="544" t="s">
        <v>3309</v>
      </c>
      <c r="V383" s="547">
        <v>1761</v>
      </c>
      <c r="W383" s="548"/>
      <c r="Y383" s="544" t="s">
        <v>1674</v>
      </c>
      <c r="AA383" s="544" t="s">
        <v>1674</v>
      </c>
      <c r="AE383" s="551"/>
      <c r="AF383" s="544" t="s">
        <v>1674</v>
      </c>
      <c r="AG383" s="544" t="s">
        <v>1674</v>
      </c>
      <c r="AH383" s="544" t="s">
        <v>1674</v>
      </c>
      <c r="AI383" s="544" t="s">
        <v>1674</v>
      </c>
      <c r="AJ383" s="544" t="s">
        <v>1674</v>
      </c>
      <c r="AK383" s="544" t="s">
        <v>1674</v>
      </c>
      <c r="AL383" s="544" t="s">
        <v>1674</v>
      </c>
      <c r="AM383" s="544" t="s">
        <v>1674</v>
      </c>
      <c r="AN383" s="544" t="s">
        <v>1674</v>
      </c>
      <c r="AP383" s="542">
        <f t="shared" si="12"/>
        <v>-163</v>
      </c>
      <c r="AR383" s="552">
        <f t="shared" si="11"/>
        <v>0</v>
      </c>
    </row>
    <row r="384" spans="1:44" outlineLevel="1" x14ac:dyDescent="0.25">
      <c r="A384" s="544" t="s">
        <v>2722</v>
      </c>
      <c r="B384" s="545">
        <v>0</v>
      </c>
      <c r="C384" s="544" t="s">
        <v>1674</v>
      </c>
      <c r="D384" s="544" t="s">
        <v>3395</v>
      </c>
      <c r="E384" s="542" t="s">
        <v>3396</v>
      </c>
      <c r="F384" s="542" t="s">
        <v>3397</v>
      </c>
      <c r="G384" s="546">
        <v>1785</v>
      </c>
      <c r="H384" s="546"/>
      <c r="I384" s="546"/>
      <c r="J384" s="542" t="s">
        <v>806</v>
      </c>
      <c r="K384" s="547">
        <v>8820</v>
      </c>
      <c r="L384" s="542" t="s">
        <v>806</v>
      </c>
      <c r="M384" s="548"/>
      <c r="N384" s="549">
        <v>-224</v>
      </c>
      <c r="O384" s="544" t="s">
        <v>1674</v>
      </c>
      <c r="P384" s="544" t="s">
        <v>1674</v>
      </c>
      <c r="Q384" s="544" t="s">
        <v>3401</v>
      </c>
      <c r="R384" s="544" t="s">
        <v>1674</v>
      </c>
      <c r="S384" s="544" t="s">
        <v>1674</v>
      </c>
      <c r="T384" s="550">
        <v>19</v>
      </c>
      <c r="U384" s="544" t="s">
        <v>3309</v>
      </c>
      <c r="V384" s="547">
        <v>1762</v>
      </c>
      <c r="W384" s="548"/>
      <c r="Y384" s="544" t="s">
        <v>1674</v>
      </c>
      <c r="AA384" s="544" t="s">
        <v>1674</v>
      </c>
      <c r="AE384" s="551"/>
      <c r="AF384" s="544" t="s">
        <v>1674</v>
      </c>
      <c r="AG384" s="544" t="s">
        <v>1674</v>
      </c>
      <c r="AH384" s="544" t="s">
        <v>1674</v>
      </c>
      <c r="AI384" s="544" t="s">
        <v>1674</v>
      </c>
      <c r="AJ384" s="544" t="s">
        <v>1674</v>
      </c>
      <c r="AK384" s="544" t="s">
        <v>1674</v>
      </c>
      <c r="AL384" s="544" t="s">
        <v>1674</v>
      </c>
      <c r="AM384" s="544" t="s">
        <v>1674</v>
      </c>
      <c r="AN384" s="544" t="s">
        <v>1674</v>
      </c>
      <c r="AP384" s="542">
        <f t="shared" si="12"/>
        <v>-163</v>
      </c>
      <c r="AR384" s="552">
        <f t="shared" si="11"/>
        <v>0</v>
      </c>
    </row>
    <row r="385" spans="1:44" outlineLevel="1" x14ac:dyDescent="0.25">
      <c r="A385" s="544" t="s">
        <v>1674</v>
      </c>
      <c r="B385" s="545">
        <v>0</v>
      </c>
      <c r="C385" s="544" t="s">
        <v>1674</v>
      </c>
      <c r="D385" s="544" t="s">
        <v>3395</v>
      </c>
      <c r="E385" s="542" t="s">
        <v>3310</v>
      </c>
      <c r="G385" s="546"/>
      <c r="H385" s="546">
        <v>952</v>
      </c>
      <c r="I385" s="546"/>
      <c r="J385" s="542" t="s">
        <v>806</v>
      </c>
      <c r="K385" s="547">
        <v>1200</v>
      </c>
      <c r="L385" s="542" t="s">
        <v>806</v>
      </c>
      <c r="M385" s="548"/>
      <c r="N385" s="549"/>
      <c r="O385" s="544" t="s">
        <v>1674</v>
      </c>
      <c r="P385" s="544" t="s">
        <v>1674</v>
      </c>
      <c r="Q385" s="544" t="s">
        <v>3311</v>
      </c>
      <c r="R385" s="544" t="s">
        <v>1674</v>
      </c>
      <c r="S385" s="544" t="s">
        <v>1674</v>
      </c>
      <c r="T385" s="550"/>
      <c r="U385" s="544" t="s">
        <v>3312</v>
      </c>
      <c r="V385" s="547">
        <v>1862</v>
      </c>
      <c r="W385" s="548"/>
      <c r="Y385" s="544" t="s">
        <v>1674</v>
      </c>
      <c r="AA385" s="544" t="s">
        <v>1674</v>
      </c>
      <c r="AE385" s="551"/>
      <c r="AF385" s="544" t="s">
        <v>1674</v>
      </c>
      <c r="AG385" s="544" t="s">
        <v>1674</v>
      </c>
      <c r="AH385" s="544" t="s">
        <v>1674</v>
      </c>
      <c r="AI385" s="544" t="s">
        <v>1674</v>
      </c>
      <c r="AJ385" s="544" t="s">
        <v>1674</v>
      </c>
      <c r="AK385" s="544" t="s">
        <v>1674</v>
      </c>
      <c r="AL385" s="544" t="s">
        <v>1674</v>
      </c>
      <c r="AM385" s="544" t="s">
        <v>1674</v>
      </c>
      <c r="AN385" s="544" t="s">
        <v>1674</v>
      </c>
      <c r="AP385" s="542">
        <f t="shared" si="12"/>
        <v>0</v>
      </c>
      <c r="AR385" s="552">
        <f t="shared" si="11"/>
        <v>0</v>
      </c>
    </row>
    <row r="386" spans="1:44" outlineLevel="1" x14ac:dyDescent="0.25">
      <c r="A386" s="544" t="s">
        <v>1674</v>
      </c>
      <c r="B386" s="545">
        <v>0</v>
      </c>
      <c r="C386" s="544" t="s">
        <v>1674</v>
      </c>
      <c r="D386" s="544" t="s">
        <v>3395</v>
      </c>
      <c r="E386" s="542" t="s">
        <v>3313</v>
      </c>
      <c r="G386" s="546"/>
      <c r="H386" s="546">
        <v>942.48</v>
      </c>
      <c r="I386" s="546"/>
      <c r="J386" s="542" t="s">
        <v>806</v>
      </c>
      <c r="K386" s="547">
        <v>1200</v>
      </c>
      <c r="L386" s="542" t="s">
        <v>806</v>
      </c>
      <c r="M386" s="548"/>
      <c r="N386" s="549"/>
      <c r="O386" s="544" t="s">
        <v>1674</v>
      </c>
      <c r="P386" s="544" t="s">
        <v>1674</v>
      </c>
      <c r="Q386" s="544" t="s">
        <v>3314</v>
      </c>
      <c r="R386" s="544" t="s">
        <v>1674</v>
      </c>
      <c r="S386" s="544" t="s">
        <v>1674</v>
      </c>
      <c r="T386" s="550"/>
      <c r="U386" s="544" t="s">
        <v>3315</v>
      </c>
      <c r="V386" s="547">
        <v>91</v>
      </c>
      <c r="W386" s="548"/>
      <c r="Y386" s="544" t="s">
        <v>1674</v>
      </c>
      <c r="AA386" s="544" t="s">
        <v>1674</v>
      </c>
      <c r="AE386" s="551"/>
      <c r="AF386" s="544" t="s">
        <v>1674</v>
      </c>
      <c r="AG386" s="544" t="s">
        <v>1674</v>
      </c>
      <c r="AH386" s="544" t="s">
        <v>1674</v>
      </c>
      <c r="AI386" s="544" t="s">
        <v>1674</v>
      </c>
      <c r="AJ386" s="544" t="s">
        <v>1674</v>
      </c>
      <c r="AK386" s="544" t="s">
        <v>1674</v>
      </c>
      <c r="AL386" s="544" t="s">
        <v>1674</v>
      </c>
      <c r="AM386" s="544" t="s">
        <v>1674</v>
      </c>
      <c r="AN386" s="544" t="s">
        <v>1674</v>
      </c>
      <c r="AP386" s="542">
        <f t="shared" si="12"/>
        <v>0</v>
      </c>
      <c r="AR386" s="552">
        <f t="shared" si="11"/>
        <v>0</v>
      </c>
    </row>
    <row r="387" spans="1:44" outlineLevel="1" x14ac:dyDescent="0.25">
      <c r="A387" s="544" t="s">
        <v>1674</v>
      </c>
      <c r="B387" s="545">
        <v>0</v>
      </c>
      <c r="C387" s="544" t="s">
        <v>1674</v>
      </c>
      <c r="D387" s="544" t="s">
        <v>3395</v>
      </c>
      <c r="E387" s="542" t="s">
        <v>3313</v>
      </c>
      <c r="G387" s="546"/>
      <c r="H387" s="546">
        <v>9.52</v>
      </c>
      <c r="I387" s="546"/>
      <c r="J387" s="542" t="s">
        <v>806</v>
      </c>
      <c r="K387" s="547">
        <v>8736</v>
      </c>
      <c r="L387" s="542" t="s">
        <v>806</v>
      </c>
      <c r="M387" s="548"/>
      <c r="N387" s="549"/>
      <c r="O387" s="544" t="s">
        <v>1674</v>
      </c>
      <c r="P387" s="544" t="s">
        <v>1674</v>
      </c>
      <c r="Q387" s="544" t="s">
        <v>3314</v>
      </c>
      <c r="R387" s="544" t="s">
        <v>1674</v>
      </c>
      <c r="S387" s="544" t="s">
        <v>1674</v>
      </c>
      <c r="T387" s="550">
        <v>19</v>
      </c>
      <c r="U387" s="544" t="s">
        <v>3315</v>
      </c>
      <c r="V387" s="547">
        <v>92</v>
      </c>
      <c r="W387" s="548"/>
      <c r="Y387" s="544" t="s">
        <v>1674</v>
      </c>
      <c r="AA387" s="544" t="s">
        <v>1674</v>
      </c>
      <c r="AE387" s="551"/>
      <c r="AF387" s="544" t="s">
        <v>1674</v>
      </c>
      <c r="AG387" s="544" t="s">
        <v>1674</v>
      </c>
      <c r="AH387" s="544" t="s">
        <v>1674</v>
      </c>
      <c r="AI387" s="544" t="s">
        <v>1674</v>
      </c>
      <c r="AJ387" s="544" t="s">
        <v>1674</v>
      </c>
      <c r="AK387" s="544" t="s">
        <v>1674</v>
      </c>
      <c r="AL387" s="544" t="s">
        <v>1674</v>
      </c>
      <c r="AM387" s="544" t="s">
        <v>1674</v>
      </c>
      <c r="AN387" s="544" t="s">
        <v>1674</v>
      </c>
      <c r="AP387" s="542">
        <f t="shared" si="12"/>
        <v>0</v>
      </c>
      <c r="AR387" s="552">
        <f t="shared" si="11"/>
        <v>0</v>
      </c>
    </row>
    <row r="388" spans="1:44" outlineLevel="1" x14ac:dyDescent="0.25">
      <c r="A388" s="544" t="s">
        <v>1674</v>
      </c>
      <c r="B388" s="545">
        <v>0</v>
      </c>
      <c r="C388" s="544" t="s">
        <v>1674</v>
      </c>
      <c r="D388" s="544" t="s">
        <v>3395</v>
      </c>
      <c r="E388" s="542" t="s">
        <v>3316</v>
      </c>
      <c r="G388" s="546"/>
      <c r="H388" s="546">
        <v>952</v>
      </c>
      <c r="I388" s="546"/>
      <c r="J388" s="542" t="s">
        <v>806</v>
      </c>
      <c r="K388" s="547">
        <v>1200</v>
      </c>
      <c r="L388" s="542" t="s">
        <v>806</v>
      </c>
      <c r="M388" s="548"/>
      <c r="N388" s="549"/>
      <c r="O388" s="544" t="s">
        <v>1674</v>
      </c>
      <c r="P388" s="544" t="s">
        <v>1674</v>
      </c>
      <c r="Q388" s="544" t="s">
        <v>3317</v>
      </c>
      <c r="R388" s="544" t="s">
        <v>1674</v>
      </c>
      <c r="S388" s="544" t="s">
        <v>1674</v>
      </c>
      <c r="T388" s="550"/>
      <c r="U388" s="544" t="s">
        <v>3315</v>
      </c>
      <c r="V388" s="547">
        <v>1665</v>
      </c>
      <c r="W388" s="548"/>
      <c r="Y388" s="544" t="s">
        <v>1674</v>
      </c>
      <c r="AA388" s="544" t="s">
        <v>1674</v>
      </c>
      <c r="AE388" s="551"/>
      <c r="AF388" s="544" t="s">
        <v>1674</v>
      </c>
      <c r="AG388" s="544" t="s">
        <v>1674</v>
      </c>
      <c r="AH388" s="544" t="s">
        <v>1674</v>
      </c>
      <c r="AI388" s="544" t="s">
        <v>1674</v>
      </c>
      <c r="AJ388" s="544" t="s">
        <v>1674</v>
      </c>
      <c r="AK388" s="544" t="s">
        <v>1674</v>
      </c>
      <c r="AL388" s="544" t="s">
        <v>1674</v>
      </c>
      <c r="AM388" s="544" t="s">
        <v>1674</v>
      </c>
      <c r="AN388" s="544" t="s">
        <v>1674</v>
      </c>
      <c r="AP388" s="542">
        <f t="shared" si="12"/>
        <v>0</v>
      </c>
      <c r="AR388" s="552">
        <f t="shared" ref="AR388:AR451" si="13">IF(J388="S",+I388,-I388)</f>
        <v>0</v>
      </c>
    </row>
    <row r="389" spans="1:44" outlineLevel="1" x14ac:dyDescent="0.25">
      <c r="A389" s="544" t="s">
        <v>1674</v>
      </c>
      <c r="B389" s="545">
        <v>0</v>
      </c>
      <c r="C389" s="544" t="s">
        <v>1674</v>
      </c>
      <c r="D389" s="544" t="s">
        <v>3395</v>
      </c>
      <c r="E389" s="542" t="s">
        <v>3318</v>
      </c>
      <c r="G389" s="546"/>
      <c r="H389" s="546">
        <v>952</v>
      </c>
      <c r="I389" s="546"/>
      <c r="J389" s="542" t="s">
        <v>806</v>
      </c>
      <c r="K389" s="547">
        <v>1200</v>
      </c>
      <c r="L389" s="542" t="s">
        <v>806</v>
      </c>
      <c r="M389" s="548"/>
      <c r="N389" s="549"/>
      <c r="O389" s="544" t="s">
        <v>1674</v>
      </c>
      <c r="P389" s="544" t="s">
        <v>1674</v>
      </c>
      <c r="Q389" s="544" t="s">
        <v>3319</v>
      </c>
      <c r="R389" s="544" t="s">
        <v>1674</v>
      </c>
      <c r="S389" s="544" t="s">
        <v>1674</v>
      </c>
      <c r="T389" s="550"/>
      <c r="U389" s="544" t="s">
        <v>3320</v>
      </c>
      <c r="V389" s="547">
        <v>1750</v>
      </c>
      <c r="W389" s="548"/>
      <c r="Y389" s="544" t="s">
        <v>1674</v>
      </c>
      <c r="AA389" s="544" t="s">
        <v>1674</v>
      </c>
      <c r="AE389" s="551"/>
      <c r="AF389" s="544" t="s">
        <v>1674</v>
      </c>
      <c r="AG389" s="544" t="s">
        <v>1674</v>
      </c>
      <c r="AH389" s="544" t="s">
        <v>1674</v>
      </c>
      <c r="AI389" s="544" t="s">
        <v>1674</v>
      </c>
      <c r="AJ389" s="544" t="s">
        <v>1674</v>
      </c>
      <c r="AK389" s="544" t="s">
        <v>1674</v>
      </c>
      <c r="AL389" s="544" t="s">
        <v>1674</v>
      </c>
      <c r="AM389" s="544" t="s">
        <v>1674</v>
      </c>
      <c r="AN389" s="544" t="s">
        <v>1674</v>
      </c>
      <c r="AP389" s="542">
        <f t="shared" si="12"/>
        <v>0</v>
      </c>
      <c r="AR389" s="552">
        <f t="shared" si="13"/>
        <v>0</v>
      </c>
    </row>
    <row r="390" spans="1:44" outlineLevel="1" x14ac:dyDescent="0.25">
      <c r="A390" s="544" t="s">
        <v>1674</v>
      </c>
      <c r="B390" s="545">
        <v>0</v>
      </c>
      <c r="C390" s="544" t="s">
        <v>1674</v>
      </c>
      <c r="D390" s="544" t="s">
        <v>3395</v>
      </c>
      <c r="E390" s="542" t="s">
        <v>3321</v>
      </c>
      <c r="G390" s="546"/>
      <c r="H390" s="546">
        <v>952</v>
      </c>
      <c r="I390" s="546">
        <v>15470</v>
      </c>
      <c r="J390" s="542" t="s">
        <v>2701</v>
      </c>
      <c r="K390" s="547">
        <v>1200</v>
      </c>
      <c r="L390" s="542" t="s">
        <v>806</v>
      </c>
      <c r="M390" s="548"/>
      <c r="N390" s="549"/>
      <c r="O390" s="544" t="s">
        <v>1674</v>
      </c>
      <c r="P390" s="544" t="s">
        <v>1674</v>
      </c>
      <c r="Q390" s="544" t="s">
        <v>3322</v>
      </c>
      <c r="R390" s="544" t="s">
        <v>1674</v>
      </c>
      <c r="S390" s="544" t="s">
        <v>1674</v>
      </c>
      <c r="T390" s="550"/>
      <c r="U390" s="544" t="s">
        <v>3323</v>
      </c>
      <c r="V390" s="547">
        <v>1470</v>
      </c>
      <c r="W390" s="548"/>
      <c r="Y390" s="544" t="s">
        <v>1674</v>
      </c>
      <c r="AA390" s="544" t="s">
        <v>1674</v>
      </c>
      <c r="AE390" s="551"/>
      <c r="AF390" s="544" t="s">
        <v>1674</v>
      </c>
      <c r="AG390" s="544" t="s">
        <v>1674</v>
      </c>
      <c r="AH390" s="544" t="s">
        <v>1674</v>
      </c>
      <c r="AI390" s="544" t="s">
        <v>1674</v>
      </c>
      <c r="AJ390" s="544" t="s">
        <v>1674</v>
      </c>
      <c r="AK390" s="544" t="s">
        <v>1674</v>
      </c>
      <c r="AL390" s="544" t="s">
        <v>1674</v>
      </c>
      <c r="AM390" s="544" t="s">
        <v>1674</v>
      </c>
      <c r="AN390" s="544" t="s">
        <v>1674</v>
      </c>
      <c r="AP390" s="542">
        <f t="shared" si="12"/>
        <v>0</v>
      </c>
      <c r="AR390" s="552">
        <f t="shared" si="13"/>
        <v>15470</v>
      </c>
    </row>
    <row r="391" spans="1:44" outlineLevel="1" x14ac:dyDescent="0.25">
      <c r="A391" s="544" t="s">
        <v>2722</v>
      </c>
      <c r="B391" s="545">
        <v>0</v>
      </c>
      <c r="C391" s="544" t="s">
        <v>1674</v>
      </c>
      <c r="D391" s="544" t="s">
        <v>3402</v>
      </c>
      <c r="E391" s="542" t="s">
        <v>3396</v>
      </c>
      <c r="F391" s="542" t="s">
        <v>3397</v>
      </c>
      <c r="G391" s="546">
        <v>17195.5</v>
      </c>
      <c r="H391" s="546"/>
      <c r="I391" s="546"/>
      <c r="J391" s="542" t="s">
        <v>806</v>
      </c>
      <c r="K391" s="547">
        <v>8820</v>
      </c>
      <c r="L391" s="542" t="s">
        <v>806</v>
      </c>
      <c r="M391" s="548"/>
      <c r="N391" s="549">
        <v>-224</v>
      </c>
      <c r="O391" s="544" t="s">
        <v>1674</v>
      </c>
      <c r="P391" s="544" t="s">
        <v>1674</v>
      </c>
      <c r="Q391" s="544" t="s">
        <v>3403</v>
      </c>
      <c r="R391" s="544" t="s">
        <v>1674</v>
      </c>
      <c r="S391" s="544" t="s">
        <v>1674</v>
      </c>
      <c r="T391" s="550">
        <v>19</v>
      </c>
      <c r="U391" s="544" t="s">
        <v>3309</v>
      </c>
      <c r="V391" s="547">
        <v>1284</v>
      </c>
      <c r="W391" s="548"/>
      <c r="Y391" s="544" t="s">
        <v>1674</v>
      </c>
      <c r="AA391" s="544" t="s">
        <v>1674</v>
      </c>
      <c r="AE391" s="551"/>
      <c r="AF391" s="544" t="s">
        <v>1674</v>
      </c>
      <c r="AG391" s="544" t="s">
        <v>1674</v>
      </c>
      <c r="AH391" s="544" t="s">
        <v>1674</v>
      </c>
      <c r="AI391" s="544" t="s">
        <v>1674</v>
      </c>
      <c r="AJ391" s="544" t="s">
        <v>1674</v>
      </c>
      <c r="AK391" s="544" t="s">
        <v>1674</v>
      </c>
      <c r="AL391" s="544" t="s">
        <v>1674</v>
      </c>
      <c r="AM391" s="544" t="s">
        <v>1674</v>
      </c>
      <c r="AN391" s="544" t="s">
        <v>1674</v>
      </c>
      <c r="AP391" s="542">
        <f t="shared" si="12"/>
        <v>-163</v>
      </c>
      <c r="AR391" s="552">
        <f t="shared" si="13"/>
        <v>0</v>
      </c>
    </row>
    <row r="392" spans="1:44" outlineLevel="1" x14ac:dyDescent="0.25">
      <c r="A392" s="544" t="s">
        <v>2722</v>
      </c>
      <c r="B392" s="545">
        <v>0</v>
      </c>
      <c r="C392" s="544" t="s">
        <v>1674</v>
      </c>
      <c r="D392" s="544" t="s">
        <v>3402</v>
      </c>
      <c r="E392" s="542" t="s">
        <v>3396</v>
      </c>
      <c r="F392" s="542" t="s">
        <v>3397</v>
      </c>
      <c r="G392" s="546">
        <v>1785</v>
      </c>
      <c r="H392" s="546"/>
      <c r="I392" s="546"/>
      <c r="J392" s="542" t="s">
        <v>806</v>
      </c>
      <c r="K392" s="547">
        <v>8820</v>
      </c>
      <c r="L392" s="542" t="s">
        <v>806</v>
      </c>
      <c r="M392" s="548"/>
      <c r="N392" s="549">
        <v>-224</v>
      </c>
      <c r="O392" s="544" t="s">
        <v>1674</v>
      </c>
      <c r="P392" s="544" t="s">
        <v>1674</v>
      </c>
      <c r="Q392" s="544" t="s">
        <v>3404</v>
      </c>
      <c r="R392" s="544" t="s">
        <v>1674</v>
      </c>
      <c r="S392" s="544" t="s">
        <v>1674</v>
      </c>
      <c r="T392" s="550">
        <v>19</v>
      </c>
      <c r="U392" s="544" t="s">
        <v>3309</v>
      </c>
      <c r="V392" s="547">
        <v>1285</v>
      </c>
      <c r="W392" s="548"/>
      <c r="Y392" s="544" t="s">
        <v>1674</v>
      </c>
      <c r="AA392" s="544" t="s">
        <v>1674</v>
      </c>
      <c r="AE392" s="551"/>
      <c r="AF392" s="544" t="s">
        <v>1674</v>
      </c>
      <c r="AG392" s="544" t="s">
        <v>1674</v>
      </c>
      <c r="AH392" s="544" t="s">
        <v>1674</v>
      </c>
      <c r="AI392" s="544" t="s">
        <v>1674</v>
      </c>
      <c r="AJ392" s="544" t="s">
        <v>1674</v>
      </c>
      <c r="AK392" s="544" t="s">
        <v>1674</v>
      </c>
      <c r="AL392" s="544" t="s">
        <v>1674</v>
      </c>
      <c r="AM392" s="544" t="s">
        <v>1674</v>
      </c>
      <c r="AN392" s="544" t="s">
        <v>1674</v>
      </c>
      <c r="AP392" s="542">
        <f t="shared" si="12"/>
        <v>-163</v>
      </c>
      <c r="AR392" s="552">
        <f t="shared" si="13"/>
        <v>0</v>
      </c>
    </row>
    <row r="393" spans="1:44" outlineLevel="1" x14ac:dyDescent="0.25">
      <c r="A393" s="544" t="s">
        <v>2722</v>
      </c>
      <c r="B393" s="545">
        <v>0</v>
      </c>
      <c r="C393" s="544" t="s">
        <v>1674</v>
      </c>
      <c r="D393" s="544" t="s">
        <v>3402</v>
      </c>
      <c r="E393" s="542" t="s">
        <v>3396</v>
      </c>
      <c r="F393" s="542" t="s">
        <v>3397</v>
      </c>
      <c r="G393" s="546">
        <v>624.75</v>
      </c>
      <c r="H393" s="546"/>
      <c r="I393" s="546"/>
      <c r="J393" s="542" t="s">
        <v>806</v>
      </c>
      <c r="K393" s="547">
        <v>8801</v>
      </c>
      <c r="L393" s="542" t="s">
        <v>806</v>
      </c>
      <c r="M393" s="548"/>
      <c r="N393" s="549">
        <v>-224</v>
      </c>
      <c r="O393" s="544" t="s">
        <v>1674</v>
      </c>
      <c r="P393" s="544" t="s">
        <v>1674</v>
      </c>
      <c r="Q393" s="544" t="s">
        <v>3405</v>
      </c>
      <c r="R393" s="544" t="s">
        <v>1674</v>
      </c>
      <c r="S393" s="544" t="s">
        <v>1674</v>
      </c>
      <c r="T393" s="550">
        <v>19</v>
      </c>
      <c r="U393" s="544" t="s">
        <v>3309</v>
      </c>
      <c r="V393" s="547">
        <v>1763</v>
      </c>
      <c r="W393" s="548"/>
      <c r="Y393" s="544" t="s">
        <v>1674</v>
      </c>
      <c r="AA393" s="544" t="s">
        <v>1674</v>
      </c>
      <c r="AE393" s="551"/>
      <c r="AF393" s="544" t="s">
        <v>1674</v>
      </c>
      <c r="AG393" s="544" t="s">
        <v>1674</v>
      </c>
      <c r="AH393" s="544" t="s">
        <v>1674</v>
      </c>
      <c r="AI393" s="544" t="s">
        <v>1674</v>
      </c>
      <c r="AJ393" s="544" t="s">
        <v>1674</v>
      </c>
      <c r="AK393" s="544" t="s">
        <v>1674</v>
      </c>
      <c r="AL393" s="544" t="s">
        <v>1674</v>
      </c>
      <c r="AM393" s="544" t="s">
        <v>1674</v>
      </c>
      <c r="AN393" s="544" t="s">
        <v>1674</v>
      </c>
      <c r="AP393" s="542">
        <f t="shared" si="12"/>
        <v>-163</v>
      </c>
      <c r="AR393" s="552">
        <f t="shared" si="13"/>
        <v>0</v>
      </c>
    </row>
    <row r="394" spans="1:44" outlineLevel="1" x14ac:dyDescent="0.25">
      <c r="A394" s="544" t="s">
        <v>2722</v>
      </c>
      <c r="B394" s="545">
        <v>0</v>
      </c>
      <c r="C394" s="544" t="s">
        <v>1674</v>
      </c>
      <c r="D394" s="544" t="s">
        <v>3402</v>
      </c>
      <c r="E394" s="542" t="s">
        <v>3396</v>
      </c>
      <c r="F394" s="542" t="s">
        <v>3397</v>
      </c>
      <c r="G394" s="546">
        <v>624.75</v>
      </c>
      <c r="H394" s="546"/>
      <c r="I394" s="546"/>
      <c r="J394" s="542" t="s">
        <v>806</v>
      </c>
      <c r="K394" s="547">
        <v>8801</v>
      </c>
      <c r="L394" s="542" t="s">
        <v>806</v>
      </c>
      <c r="M394" s="548"/>
      <c r="N394" s="549">
        <v>-224</v>
      </c>
      <c r="O394" s="544" t="s">
        <v>1674</v>
      </c>
      <c r="P394" s="544" t="s">
        <v>1674</v>
      </c>
      <c r="Q394" s="544" t="s">
        <v>3406</v>
      </c>
      <c r="R394" s="544" t="s">
        <v>1674</v>
      </c>
      <c r="S394" s="544" t="s">
        <v>1674</v>
      </c>
      <c r="T394" s="550">
        <v>19</v>
      </c>
      <c r="U394" s="544" t="s">
        <v>3309</v>
      </c>
      <c r="V394" s="547">
        <v>1764</v>
      </c>
      <c r="W394" s="548"/>
      <c r="Y394" s="544" t="s">
        <v>1674</v>
      </c>
      <c r="AA394" s="544" t="s">
        <v>1674</v>
      </c>
      <c r="AE394" s="551"/>
      <c r="AF394" s="544" t="s">
        <v>1674</v>
      </c>
      <c r="AG394" s="544" t="s">
        <v>1674</v>
      </c>
      <c r="AH394" s="544" t="s">
        <v>1674</v>
      </c>
      <c r="AI394" s="544" t="s">
        <v>1674</v>
      </c>
      <c r="AJ394" s="544" t="s">
        <v>1674</v>
      </c>
      <c r="AK394" s="544" t="s">
        <v>1674</v>
      </c>
      <c r="AL394" s="544" t="s">
        <v>1674</v>
      </c>
      <c r="AM394" s="544" t="s">
        <v>1674</v>
      </c>
      <c r="AN394" s="544" t="s">
        <v>1674</v>
      </c>
      <c r="AP394" s="542">
        <f t="shared" si="12"/>
        <v>-163</v>
      </c>
      <c r="AR394" s="552">
        <f t="shared" si="13"/>
        <v>0</v>
      </c>
    </row>
    <row r="395" spans="1:44" outlineLevel="1" x14ac:dyDescent="0.25">
      <c r="A395" s="544" t="s">
        <v>1674</v>
      </c>
      <c r="B395" s="545">
        <v>0</v>
      </c>
      <c r="C395" s="544" t="s">
        <v>1674</v>
      </c>
      <c r="D395" s="544" t="s">
        <v>3402</v>
      </c>
      <c r="E395" s="542" t="s">
        <v>3310</v>
      </c>
      <c r="G395" s="546"/>
      <c r="H395" s="546">
        <v>952</v>
      </c>
      <c r="I395" s="546"/>
      <c r="J395" s="542" t="s">
        <v>806</v>
      </c>
      <c r="K395" s="547">
        <v>1200</v>
      </c>
      <c r="L395" s="542" t="s">
        <v>806</v>
      </c>
      <c r="M395" s="548"/>
      <c r="N395" s="549"/>
      <c r="O395" s="544" t="s">
        <v>1674</v>
      </c>
      <c r="P395" s="544" t="s">
        <v>1674</v>
      </c>
      <c r="Q395" s="544" t="s">
        <v>3311</v>
      </c>
      <c r="R395" s="544" t="s">
        <v>1674</v>
      </c>
      <c r="S395" s="544" t="s">
        <v>1674</v>
      </c>
      <c r="T395" s="550"/>
      <c r="U395" s="544" t="s">
        <v>3312</v>
      </c>
      <c r="V395" s="547">
        <v>1863</v>
      </c>
      <c r="W395" s="548"/>
      <c r="Y395" s="544" t="s">
        <v>1674</v>
      </c>
      <c r="AA395" s="544" t="s">
        <v>1674</v>
      </c>
      <c r="AE395" s="551"/>
      <c r="AF395" s="544" t="s">
        <v>1674</v>
      </c>
      <c r="AG395" s="544" t="s">
        <v>1674</v>
      </c>
      <c r="AH395" s="544" t="s">
        <v>1674</v>
      </c>
      <c r="AI395" s="544" t="s">
        <v>1674</v>
      </c>
      <c r="AJ395" s="544" t="s">
        <v>1674</v>
      </c>
      <c r="AK395" s="544" t="s">
        <v>1674</v>
      </c>
      <c r="AL395" s="544" t="s">
        <v>1674</v>
      </c>
      <c r="AM395" s="544" t="s">
        <v>1674</v>
      </c>
      <c r="AN395" s="544" t="s">
        <v>1674</v>
      </c>
      <c r="AP395" s="542">
        <f t="shared" si="12"/>
        <v>0</v>
      </c>
      <c r="AR395" s="552">
        <f t="shared" si="13"/>
        <v>0</v>
      </c>
    </row>
    <row r="396" spans="1:44" outlineLevel="1" x14ac:dyDescent="0.25">
      <c r="A396" s="544" t="s">
        <v>1674</v>
      </c>
      <c r="B396" s="545">
        <v>0</v>
      </c>
      <c r="C396" s="544" t="s">
        <v>1674</v>
      </c>
      <c r="D396" s="544" t="s">
        <v>3402</v>
      </c>
      <c r="E396" s="542" t="s">
        <v>3313</v>
      </c>
      <c r="G396" s="546"/>
      <c r="H396" s="546">
        <v>942.48</v>
      </c>
      <c r="I396" s="546"/>
      <c r="J396" s="542" t="s">
        <v>806</v>
      </c>
      <c r="K396" s="547">
        <v>1200</v>
      </c>
      <c r="L396" s="542" t="s">
        <v>806</v>
      </c>
      <c r="M396" s="548"/>
      <c r="N396" s="549"/>
      <c r="O396" s="544" t="s">
        <v>1674</v>
      </c>
      <c r="P396" s="544" t="s">
        <v>1674</v>
      </c>
      <c r="Q396" s="544" t="s">
        <v>3314</v>
      </c>
      <c r="R396" s="544" t="s">
        <v>1674</v>
      </c>
      <c r="S396" s="544" t="s">
        <v>1674</v>
      </c>
      <c r="T396" s="550"/>
      <c r="U396" s="544" t="s">
        <v>3315</v>
      </c>
      <c r="V396" s="547">
        <v>93</v>
      </c>
      <c r="W396" s="548"/>
      <c r="Y396" s="544" t="s">
        <v>1674</v>
      </c>
      <c r="AA396" s="544" t="s">
        <v>1674</v>
      </c>
      <c r="AE396" s="551"/>
      <c r="AF396" s="544" t="s">
        <v>1674</v>
      </c>
      <c r="AG396" s="544" t="s">
        <v>1674</v>
      </c>
      <c r="AH396" s="544" t="s">
        <v>1674</v>
      </c>
      <c r="AI396" s="544" t="s">
        <v>1674</v>
      </c>
      <c r="AJ396" s="544" t="s">
        <v>1674</v>
      </c>
      <c r="AK396" s="544" t="s">
        <v>1674</v>
      </c>
      <c r="AL396" s="544" t="s">
        <v>1674</v>
      </c>
      <c r="AM396" s="544" t="s">
        <v>1674</v>
      </c>
      <c r="AN396" s="544" t="s">
        <v>1674</v>
      </c>
      <c r="AP396" s="542">
        <f t="shared" si="12"/>
        <v>0</v>
      </c>
      <c r="AR396" s="552">
        <f t="shared" si="13"/>
        <v>0</v>
      </c>
    </row>
    <row r="397" spans="1:44" outlineLevel="1" x14ac:dyDescent="0.25">
      <c r="A397" s="544" t="s">
        <v>1674</v>
      </c>
      <c r="B397" s="545">
        <v>0</v>
      </c>
      <c r="C397" s="544" t="s">
        <v>1674</v>
      </c>
      <c r="D397" s="544" t="s">
        <v>3402</v>
      </c>
      <c r="E397" s="542" t="s">
        <v>3313</v>
      </c>
      <c r="G397" s="546"/>
      <c r="H397" s="546">
        <v>9.52</v>
      </c>
      <c r="I397" s="546"/>
      <c r="J397" s="542" t="s">
        <v>806</v>
      </c>
      <c r="K397" s="547">
        <v>8736</v>
      </c>
      <c r="L397" s="542" t="s">
        <v>806</v>
      </c>
      <c r="M397" s="548"/>
      <c r="N397" s="549"/>
      <c r="O397" s="544" t="s">
        <v>1674</v>
      </c>
      <c r="P397" s="544" t="s">
        <v>1674</v>
      </c>
      <c r="Q397" s="544" t="s">
        <v>3314</v>
      </c>
      <c r="R397" s="544" t="s">
        <v>1674</v>
      </c>
      <c r="S397" s="544" t="s">
        <v>1674</v>
      </c>
      <c r="T397" s="550">
        <v>19</v>
      </c>
      <c r="U397" s="544" t="s">
        <v>3315</v>
      </c>
      <c r="V397" s="547">
        <v>94</v>
      </c>
      <c r="W397" s="548"/>
      <c r="Y397" s="544" t="s">
        <v>1674</v>
      </c>
      <c r="AA397" s="544" t="s">
        <v>1674</v>
      </c>
      <c r="AE397" s="551"/>
      <c r="AF397" s="544" t="s">
        <v>1674</v>
      </c>
      <c r="AG397" s="544" t="s">
        <v>1674</v>
      </c>
      <c r="AH397" s="544" t="s">
        <v>1674</v>
      </c>
      <c r="AI397" s="544" t="s">
        <v>1674</v>
      </c>
      <c r="AJ397" s="544" t="s">
        <v>1674</v>
      </c>
      <c r="AK397" s="544" t="s">
        <v>1674</v>
      </c>
      <c r="AL397" s="544" t="s">
        <v>1674</v>
      </c>
      <c r="AM397" s="544" t="s">
        <v>1674</v>
      </c>
      <c r="AN397" s="544" t="s">
        <v>1674</v>
      </c>
      <c r="AP397" s="542">
        <f t="shared" si="12"/>
        <v>0</v>
      </c>
      <c r="AR397" s="552">
        <f t="shared" si="13"/>
        <v>0</v>
      </c>
    </row>
    <row r="398" spans="1:44" outlineLevel="1" x14ac:dyDescent="0.25">
      <c r="A398" s="544" t="s">
        <v>1674</v>
      </c>
      <c r="B398" s="545">
        <v>0</v>
      </c>
      <c r="C398" s="544" t="s">
        <v>1674</v>
      </c>
      <c r="D398" s="544" t="s">
        <v>3402</v>
      </c>
      <c r="E398" s="542" t="s">
        <v>3316</v>
      </c>
      <c r="G398" s="546"/>
      <c r="H398" s="546">
        <v>952</v>
      </c>
      <c r="I398" s="546"/>
      <c r="J398" s="542" t="s">
        <v>806</v>
      </c>
      <c r="K398" s="547">
        <v>1200</v>
      </c>
      <c r="L398" s="542" t="s">
        <v>806</v>
      </c>
      <c r="M398" s="548"/>
      <c r="N398" s="549"/>
      <c r="O398" s="544" t="s">
        <v>1674</v>
      </c>
      <c r="P398" s="544" t="s">
        <v>1674</v>
      </c>
      <c r="Q398" s="544" t="s">
        <v>3317</v>
      </c>
      <c r="R398" s="544" t="s">
        <v>1674</v>
      </c>
      <c r="S398" s="544" t="s">
        <v>1674</v>
      </c>
      <c r="T398" s="550"/>
      <c r="U398" s="544" t="s">
        <v>3315</v>
      </c>
      <c r="V398" s="547">
        <v>1666</v>
      </c>
      <c r="W398" s="548"/>
      <c r="Y398" s="544" t="s">
        <v>1674</v>
      </c>
      <c r="AA398" s="544" t="s">
        <v>1674</v>
      </c>
      <c r="AE398" s="551"/>
      <c r="AF398" s="544" t="s">
        <v>1674</v>
      </c>
      <c r="AG398" s="544" t="s">
        <v>1674</v>
      </c>
      <c r="AH398" s="544" t="s">
        <v>1674</v>
      </c>
      <c r="AI398" s="544" t="s">
        <v>1674</v>
      </c>
      <c r="AJ398" s="544" t="s">
        <v>1674</v>
      </c>
      <c r="AK398" s="544" t="s">
        <v>1674</v>
      </c>
      <c r="AL398" s="544" t="s">
        <v>1674</v>
      </c>
      <c r="AM398" s="544" t="s">
        <v>1674</v>
      </c>
      <c r="AN398" s="544" t="s">
        <v>1674</v>
      </c>
      <c r="AP398" s="542">
        <f t="shared" si="12"/>
        <v>0</v>
      </c>
      <c r="AR398" s="552">
        <f t="shared" si="13"/>
        <v>0</v>
      </c>
    </row>
    <row r="399" spans="1:44" outlineLevel="1" x14ac:dyDescent="0.25">
      <c r="A399" s="544" t="s">
        <v>1674</v>
      </c>
      <c r="B399" s="545">
        <v>0</v>
      </c>
      <c r="C399" s="544" t="s">
        <v>1674</v>
      </c>
      <c r="D399" s="544" t="s">
        <v>3402</v>
      </c>
      <c r="E399" s="542" t="s">
        <v>3318</v>
      </c>
      <c r="G399" s="546"/>
      <c r="H399" s="546">
        <v>952</v>
      </c>
      <c r="I399" s="546"/>
      <c r="J399" s="542" t="s">
        <v>806</v>
      </c>
      <c r="K399" s="547">
        <v>1200</v>
      </c>
      <c r="L399" s="542" t="s">
        <v>806</v>
      </c>
      <c r="M399" s="548"/>
      <c r="N399" s="549"/>
      <c r="O399" s="544" t="s">
        <v>1674</v>
      </c>
      <c r="P399" s="544" t="s">
        <v>1674</v>
      </c>
      <c r="Q399" s="544" t="s">
        <v>3319</v>
      </c>
      <c r="R399" s="544" t="s">
        <v>1674</v>
      </c>
      <c r="S399" s="544" t="s">
        <v>1674</v>
      </c>
      <c r="T399" s="550"/>
      <c r="U399" s="544" t="s">
        <v>3320</v>
      </c>
      <c r="V399" s="547">
        <v>1747</v>
      </c>
      <c r="W399" s="548"/>
      <c r="Y399" s="544" t="s">
        <v>1674</v>
      </c>
      <c r="AA399" s="544" t="s">
        <v>1674</v>
      </c>
      <c r="AE399" s="551"/>
      <c r="AF399" s="544" t="s">
        <v>1674</v>
      </c>
      <c r="AG399" s="544" t="s">
        <v>1674</v>
      </c>
      <c r="AH399" s="544" t="s">
        <v>1674</v>
      </c>
      <c r="AI399" s="544" t="s">
        <v>1674</v>
      </c>
      <c r="AJ399" s="544" t="s">
        <v>1674</v>
      </c>
      <c r="AK399" s="544" t="s">
        <v>1674</v>
      </c>
      <c r="AL399" s="544" t="s">
        <v>1674</v>
      </c>
      <c r="AM399" s="544" t="s">
        <v>1674</v>
      </c>
      <c r="AN399" s="544" t="s">
        <v>1674</v>
      </c>
      <c r="AP399" s="542">
        <f t="shared" si="12"/>
        <v>0</v>
      </c>
      <c r="AR399" s="552">
        <f t="shared" si="13"/>
        <v>0</v>
      </c>
    </row>
    <row r="400" spans="1:44" outlineLevel="1" x14ac:dyDescent="0.25">
      <c r="A400" s="544" t="s">
        <v>1674</v>
      </c>
      <c r="B400" s="545">
        <v>0</v>
      </c>
      <c r="C400" s="544" t="s">
        <v>1674</v>
      </c>
      <c r="D400" s="544" t="s">
        <v>3402</v>
      </c>
      <c r="E400" s="542" t="s">
        <v>3321</v>
      </c>
      <c r="G400" s="546"/>
      <c r="H400" s="546">
        <v>952</v>
      </c>
      <c r="I400" s="546">
        <v>15470</v>
      </c>
      <c r="J400" s="542" t="s">
        <v>2701</v>
      </c>
      <c r="K400" s="547">
        <v>1200</v>
      </c>
      <c r="L400" s="542" t="s">
        <v>806</v>
      </c>
      <c r="M400" s="548"/>
      <c r="N400" s="549"/>
      <c r="O400" s="544" t="s">
        <v>1674</v>
      </c>
      <c r="P400" s="544" t="s">
        <v>1674</v>
      </c>
      <c r="Q400" s="544" t="s">
        <v>3322</v>
      </c>
      <c r="R400" s="544" t="s">
        <v>1674</v>
      </c>
      <c r="S400" s="544" t="s">
        <v>1674</v>
      </c>
      <c r="T400" s="550"/>
      <c r="U400" s="544" t="s">
        <v>3323</v>
      </c>
      <c r="V400" s="547">
        <v>1471</v>
      </c>
      <c r="W400" s="548"/>
      <c r="Y400" s="544" t="s">
        <v>1674</v>
      </c>
      <c r="AA400" s="544" t="s">
        <v>1674</v>
      </c>
      <c r="AE400" s="551"/>
      <c r="AF400" s="544" t="s">
        <v>1674</v>
      </c>
      <c r="AG400" s="544" t="s">
        <v>1674</v>
      </c>
      <c r="AH400" s="544" t="s">
        <v>1674</v>
      </c>
      <c r="AI400" s="544" t="s">
        <v>1674</v>
      </c>
      <c r="AJ400" s="544" t="s">
        <v>1674</v>
      </c>
      <c r="AK400" s="544" t="s">
        <v>1674</v>
      </c>
      <c r="AL400" s="544" t="s">
        <v>1674</v>
      </c>
      <c r="AM400" s="544" t="s">
        <v>1674</v>
      </c>
      <c r="AN400" s="544" t="s">
        <v>1674</v>
      </c>
      <c r="AP400" s="542">
        <f t="shared" si="12"/>
        <v>0</v>
      </c>
      <c r="AR400" s="552">
        <f t="shared" si="13"/>
        <v>15470</v>
      </c>
    </row>
    <row r="401" spans="1:44" outlineLevel="1" x14ac:dyDescent="0.25">
      <c r="A401" s="544" t="s">
        <v>2722</v>
      </c>
      <c r="B401" s="545">
        <v>22101</v>
      </c>
      <c r="C401" s="544" t="s">
        <v>3407</v>
      </c>
      <c r="D401" s="544" t="s">
        <v>3408</v>
      </c>
      <c r="E401" s="542" t="s">
        <v>3409</v>
      </c>
      <c r="F401" s="542" t="s">
        <v>3410</v>
      </c>
      <c r="G401" s="546">
        <v>1050.5</v>
      </c>
      <c r="H401" s="546"/>
      <c r="I401" s="546"/>
      <c r="J401" s="542" t="s">
        <v>806</v>
      </c>
      <c r="K401" s="547">
        <v>8140</v>
      </c>
      <c r="L401" s="542" t="s">
        <v>806</v>
      </c>
      <c r="M401" s="548"/>
      <c r="N401" s="549">
        <v>-219</v>
      </c>
      <c r="O401" s="544" t="s">
        <v>1674</v>
      </c>
      <c r="P401" s="544" t="s">
        <v>1674</v>
      </c>
      <c r="Q401" s="544" t="s">
        <v>3411</v>
      </c>
      <c r="R401" s="544" t="s">
        <v>1674</v>
      </c>
      <c r="S401" s="544" t="s">
        <v>1674</v>
      </c>
      <c r="T401" s="550"/>
      <c r="U401" s="544" t="s">
        <v>3309</v>
      </c>
      <c r="V401" s="547">
        <v>1452</v>
      </c>
      <c r="W401" s="548"/>
      <c r="Y401" s="544" t="s">
        <v>1674</v>
      </c>
      <c r="AA401" s="544" t="s">
        <v>1674</v>
      </c>
      <c r="AE401" s="551"/>
      <c r="AF401" s="544" t="s">
        <v>1674</v>
      </c>
      <c r="AG401" s="544" t="s">
        <v>1674</v>
      </c>
      <c r="AH401" s="544" t="s">
        <v>1674</v>
      </c>
      <c r="AI401" s="544" t="s">
        <v>1674</v>
      </c>
      <c r="AJ401" s="544" t="s">
        <v>1674</v>
      </c>
      <c r="AK401" s="544" t="s">
        <v>1674</v>
      </c>
      <c r="AL401" s="544" t="s">
        <v>1674</v>
      </c>
      <c r="AM401" s="544" t="s">
        <v>3412</v>
      </c>
      <c r="AN401" s="544" t="s">
        <v>1674</v>
      </c>
      <c r="AP401" s="542">
        <f t="shared" si="12"/>
        <v>-158</v>
      </c>
      <c r="AR401" s="552">
        <f t="shared" si="13"/>
        <v>0</v>
      </c>
    </row>
    <row r="402" spans="1:44" outlineLevel="1" x14ac:dyDescent="0.25">
      <c r="A402" s="544" t="s">
        <v>1674</v>
      </c>
      <c r="B402" s="545">
        <v>0</v>
      </c>
      <c r="C402" s="544" t="s">
        <v>1674</v>
      </c>
      <c r="D402" s="544" t="s">
        <v>3408</v>
      </c>
      <c r="E402" s="542" t="s">
        <v>3413</v>
      </c>
      <c r="G402" s="546"/>
      <c r="H402" s="546">
        <v>1030.5</v>
      </c>
      <c r="I402" s="546">
        <v>20</v>
      </c>
      <c r="J402" s="542" t="s">
        <v>2701</v>
      </c>
      <c r="K402" s="547">
        <v>1200</v>
      </c>
      <c r="L402" s="542" t="s">
        <v>806</v>
      </c>
      <c r="M402" s="548"/>
      <c r="N402" s="549"/>
      <c r="O402" s="544" t="s">
        <v>1674</v>
      </c>
      <c r="P402" s="544" t="s">
        <v>1674</v>
      </c>
      <c r="Q402" s="544" t="s">
        <v>3414</v>
      </c>
      <c r="R402" s="544" t="s">
        <v>1674</v>
      </c>
      <c r="S402" s="544" t="s">
        <v>1674</v>
      </c>
      <c r="T402" s="550"/>
      <c r="U402" s="544" t="s">
        <v>3415</v>
      </c>
      <c r="V402" s="547">
        <v>1065</v>
      </c>
      <c r="W402" s="548"/>
      <c r="Y402" s="544" t="s">
        <v>1674</v>
      </c>
      <c r="AA402" s="544" t="s">
        <v>1674</v>
      </c>
      <c r="AE402" s="551"/>
      <c r="AF402" s="544" t="s">
        <v>1674</v>
      </c>
      <c r="AG402" s="544" t="s">
        <v>1674</v>
      </c>
      <c r="AH402" s="544" t="s">
        <v>1674</v>
      </c>
      <c r="AI402" s="544" t="s">
        <v>1674</v>
      </c>
      <c r="AJ402" s="544" t="s">
        <v>1674</v>
      </c>
      <c r="AK402" s="544" t="s">
        <v>1674</v>
      </c>
      <c r="AL402" s="544" t="s">
        <v>1674</v>
      </c>
      <c r="AM402" s="544" t="s">
        <v>1674</v>
      </c>
      <c r="AN402" s="544" t="s">
        <v>1674</v>
      </c>
      <c r="AP402" s="542">
        <f t="shared" si="12"/>
        <v>0</v>
      </c>
      <c r="AR402" s="552">
        <f t="shared" si="13"/>
        <v>20</v>
      </c>
    </row>
    <row r="403" spans="1:44" outlineLevel="1" x14ac:dyDescent="0.25">
      <c r="A403" s="544" t="s">
        <v>1674</v>
      </c>
      <c r="B403" s="545">
        <v>11813</v>
      </c>
      <c r="C403" s="544" t="s">
        <v>2814</v>
      </c>
      <c r="D403" s="544" t="s">
        <v>3416</v>
      </c>
      <c r="E403" s="542" t="s">
        <v>3368</v>
      </c>
      <c r="F403" s="542" t="s">
        <v>3417</v>
      </c>
      <c r="G403" s="546">
        <v>380.8</v>
      </c>
      <c r="H403" s="546"/>
      <c r="I403" s="546">
        <v>380.8</v>
      </c>
      <c r="J403" s="542" t="s">
        <v>2701</v>
      </c>
      <c r="K403" s="547">
        <v>8400</v>
      </c>
      <c r="L403" s="542" t="s">
        <v>806</v>
      </c>
      <c r="M403" s="548"/>
      <c r="N403" s="549">
        <v>-217</v>
      </c>
      <c r="O403" s="544" t="s">
        <v>1674</v>
      </c>
      <c r="P403" s="544" t="s">
        <v>1674</v>
      </c>
      <c r="Q403" s="544" t="s">
        <v>2818</v>
      </c>
      <c r="R403" s="544" t="s">
        <v>2622</v>
      </c>
      <c r="S403" s="544" t="s">
        <v>1674</v>
      </c>
      <c r="T403" s="550">
        <v>19</v>
      </c>
      <c r="U403" s="544" t="s">
        <v>3309</v>
      </c>
      <c r="V403" s="547">
        <v>1624</v>
      </c>
      <c r="W403" s="548"/>
      <c r="Y403" s="544" t="s">
        <v>1674</v>
      </c>
      <c r="AA403" s="544" t="s">
        <v>1674</v>
      </c>
      <c r="AE403" s="551"/>
      <c r="AF403" s="544" t="s">
        <v>1674</v>
      </c>
      <c r="AG403" s="544" t="s">
        <v>1674</v>
      </c>
      <c r="AH403" s="544" t="s">
        <v>1674</v>
      </c>
      <c r="AI403" s="544" t="s">
        <v>1674</v>
      </c>
      <c r="AJ403" s="544" t="s">
        <v>1674</v>
      </c>
      <c r="AK403" s="544" t="s">
        <v>1674</v>
      </c>
      <c r="AL403" s="544" t="s">
        <v>1674</v>
      </c>
      <c r="AM403" s="544" t="s">
        <v>2819</v>
      </c>
      <c r="AN403" s="544" t="s">
        <v>1674</v>
      </c>
      <c r="AP403" s="542">
        <f t="shared" si="12"/>
        <v>-156</v>
      </c>
      <c r="AR403" s="552">
        <f t="shared" si="13"/>
        <v>380.8</v>
      </c>
    </row>
    <row r="404" spans="1:44" outlineLevel="1" x14ac:dyDescent="0.25">
      <c r="A404" s="544" t="s">
        <v>1674</v>
      </c>
      <c r="B404" s="545">
        <v>10237</v>
      </c>
      <c r="C404" s="544" t="s">
        <v>2750</v>
      </c>
      <c r="D404" s="544" t="s">
        <v>3418</v>
      </c>
      <c r="E404" s="542" t="s">
        <v>3419</v>
      </c>
      <c r="F404" s="542" t="s">
        <v>3420</v>
      </c>
      <c r="G404" s="546">
        <v>2143.71</v>
      </c>
      <c r="H404" s="546"/>
      <c r="I404" s="546"/>
      <c r="J404" s="542" t="s">
        <v>806</v>
      </c>
      <c r="K404" s="547">
        <v>8400</v>
      </c>
      <c r="L404" s="542" t="s">
        <v>806</v>
      </c>
      <c r="M404" s="548"/>
      <c r="N404" s="549">
        <v>-212</v>
      </c>
      <c r="O404" s="544" t="s">
        <v>1674</v>
      </c>
      <c r="P404" s="544" t="s">
        <v>1674</v>
      </c>
      <c r="Q404" s="544" t="s">
        <v>2754</v>
      </c>
      <c r="R404" s="544" t="s">
        <v>1674</v>
      </c>
      <c r="S404" s="544" t="s">
        <v>1674</v>
      </c>
      <c r="T404" s="550">
        <v>19</v>
      </c>
      <c r="U404" s="544" t="s">
        <v>3312</v>
      </c>
      <c r="V404" s="547">
        <v>213</v>
      </c>
      <c r="W404" s="548"/>
      <c r="Y404" s="544" t="s">
        <v>1674</v>
      </c>
      <c r="AA404" s="544" t="s">
        <v>1674</v>
      </c>
      <c r="AE404" s="551"/>
      <c r="AF404" s="544" t="s">
        <v>1674</v>
      </c>
      <c r="AG404" s="544" t="s">
        <v>1674</v>
      </c>
      <c r="AH404" s="544" t="s">
        <v>1674</v>
      </c>
      <c r="AI404" s="544" t="s">
        <v>1674</v>
      </c>
      <c r="AJ404" s="544" t="s">
        <v>1674</v>
      </c>
      <c r="AK404" s="544" t="s">
        <v>1674</v>
      </c>
      <c r="AL404" s="544" t="s">
        <v>1674</v>
      </c>
      <c r="AM404" s="544" t="s">
        <v>2755</v>
      </c>
      <c r="AN404" s="544" t="s">
        <v>1674</v>
      </c>
      <c r="AP404" s="542">
        <f t="shared" si="12"/>
        <v>-151</v>
      </c>
      <c r="AR404" s="552">
        <f t="shared" si="13"/>
        <v>0</v>
      </c>
    </row>
    <row r="405" spans="1:44" outlineLevel="1" x14ac:dyDescent="0.25">
      <c r="A405" s="544" t="s">
        <v>1674</v>
      </c>
      <c r="B405" s="545">
        <v>0</v>
      </c>
      <c r="C405" s="544" t="s">
        <v>1674</v>
      </c>
      <c r="D405" s="544" t="s">
        <v>3418</v>
      </c>
      <c r="E405" s="542" t="s">
        <v>3419</v>
      </c>
      <c r="F405" s="542" t="s">
        <v>3420</v>
      </c>
      <c r="G405" s="546">
        <v>113.1</v>
      </c>
      <c r="H405" s="546"/>
      <c r="I405" s="546"/>
      <c r="J405" s="542" t="s">
        <v>806</v>
      </c>
      <c r="K405" s="547">
        <v>8400</v>
      </c>
      <c r="L405" s="542" t="s">
        <v>806</v>
      </c>
      <c r="M405" s="548"/>
      <c r="N405" s="549">
        <v>-212</v>
      </c>
      <c r="O405" s="544" t="s">
        <v>1674</v>
      </c>
      <c r="P405" s="544" t="s">
        <v>1674</v>
      </c>
      <c r="Q405" s="544" t="s">
        <v>2754</v>
      </c>
      <c r="R405" s="544" t="s">
        <v>2617</v>
      </c>
      <c r="S405" s="544" t="s">
        <v>1674</v>
      </c>
      <c r="T405" s="550">
        <v>19</v>
      </c>
      <c r="U405" s="544" t="s">
        <v>3312</v>
      </c>
      <c r="V405" s="547">
        <v>214</v>
      </c>
      <c r="W405" s="548"/>
      <c r="Y405" s="544" t="s">
        <v>1674</v>
      </c>
      <c r="AA405" s="544" t="s">
        <v>1674</v>
      </c>
      <c r="AE405" s="551"/>
      <c r="AF405" s="544" t="s">
        <v>1674</v>
      </c>
      <c r="AG405" s="544" t="s">
        <v>1674</v>
      </c>
      <c r="AH405" s="544" t="s">
        <v>1674</v>
      </c>
      <c r="AI405" s="544" t="s">
        <v>1674</v>
      </c>
      <c r="AJ405" s="544" t="s">
        <v>1674</v>
      </c>
      <c r="AK405" s="544" t="s">
        <v>1674</v>
      </c>
      <c r="AL405" s="544" t="s">
        <v>1674</v>
      </c>
      <c r="AM405" s="544" t="s">
        <v>1674</v>
      </c>
      <c r="AN405" s="544" t="s">
        <v>1674</v>
      </c>
      <c r="AP405" s="542">
        <f t="shared" si="12"/>
        <v>-151</v>
      </c>
      <c r="AR405" s="552">
        <f t="shared" si="13"/>
        <v>0</v>
      </c>
    </row>
    <row r="406" spans="1:44" outlineLevel="1" x14ac:dyDescent="0.25">
      <c r="A406" s="544" t="s">
        <v>1674</v>
      </c>
      <c r="B406" s="545">
        <v>0</v>
      </c>
      <c r="C406" s="544" t="s">
        <v>1674</v>
      </c>
      <c r="D406" s="544" t="s">
        <v>3418</v>
      </c>
      <c r="E406" s="542" t="s">
        <v>3419</v>
      </c>
      <c r="F406" s="542" t="s">
        <v>3420</v>
      </c>
      <c r="G406" s="546">
        <v>32015.19</v>
      </c>
      <c r="H406" s="546"/>
      <c r="I406" s="546">
        <v>34272</v>
      </c>
      <c r="J406" s="542" t="s">
        <v>2701</v>
      </c>
      <c r="K406" s="547">
        <v>8401</v>
      </c>
      <c r="L406" s="542" t="s">
        <v>806</v>
      </c>
      <c r="M406" s="548"/>
      <c r="N406" s="549">
        <v>-212</v>
      </c>
      <c r="O406" s="544" t="s">
        <v>1674</v>
      </c>
      <c r="P406" s="544" t="s">
        <v>1674</v>
      </c>
      <c r="Q406" s="544" t="s">
        <v>2754</v>
      </c>
      <c r="R406" s="544" t="s">
        <v>1674</v>
      </c>
      <c r="S406" s="544" t="s">
        <v>1674</v>
      </c>
      <c r="T406" s="550">
        <v>19</v>
      </c>
      <c r="U406" s="544" t="s">
        <v>3312</v>
      </c>
      <c r="V406" s="547">
        <v>215</v>
      </c>
      <c r="W406" s="548"/>
      <c r="Y406" s="544" t="s">
        <v>1674</v>
      </c>
      <c r="AA406" s="544" t="s">
        <v>1674</v>
      </c>
      <c r="AE406" s="551"/>
      <c r="AF406" s="544" t="s">
        <v>1674</v>
      </c>
      <c r="AG406" s="544" t="s">
        <v>1674</v>
      </c>
      <c r="AH406" s="544" t="s">
        <v>1674</v>
      </c>
      <c r="AI406" s="544" t="s">
        <v>1674</v>
      </c>
      <c r="AJ406" s="544" t="s">
        <v>1674</v>
      </c>
      <c r="AK406" s="544" t="s">
        <v>1674</v>
      </c>
      <c r="AL406" s="544" t="s">
        <v>1674</v>
      </c>
      <c r="AM406" s="544" t="s">
        <v>1674</v>
      </c>
      <c r="AN406" s="544" t="s">
        <v>1674</v>
      </c>
      <c r="AP406" s="542">
        <f t="shared" si="12"/>
        <v>-151</v>
      </c>
      <c r="AR406" s="552">
        <f t="shared" si="13"/>
        <v>34272</v>
      </c>
    </row>
    <row r="407" spans="1:44" outlineLevel="1" x14ac:dyDescent="0.25">
      <c r="A407" s="544" t="s">
        <v>1674</v>
      </c>
      <c r="B407" s="545">
        <v>22508</v>
      </c>
      <c r="C407" s="544" t="s">
        <v>2601</v>
      </c>
      <c r="D407" s="544" t="s">
        <v>3421</v>
      </c>
      <c r="E407" s="542" t="s">
        <v>3419</v>
      </c>
      <c r="F407" s="542" t="s">
        <v>3420</v>
      </c>
      <c r="G407" s="546">
        <v>333.44</v>
      </c>
      <c r="H407" s="546"/>
      <c r="I407" s="546"/>
      <c r="J407" s="542" t="s">
        <v>806</v>
      </c>
      <c r="K407" s="547">
        <v>8400</v>
      </c>
      <c r="L407" s="542" t="s">
        <v>806</v>
      </c>
      <c r="M407" s="548"/>
      <c r="N407" s="549">
        <v>-212</v>
      </c>
      <c r="O407" s="544" t="s">
        <v>1674</v>
      </c>
      <c r="P407" s="544" t="s">
        <v>1674</v>
      </c>
      <c r="Q407" s="544" t="s">
        <v>3422</v>
      </c>
      <c r="R407" s="544" t="s">
        <v>2622</v>
      </c>
      <c r="S407" s="544" t="s">
        <v>1674</v>
      </c>
      <c r="T407" s="550">
        <v>19</v>
      </c>
      <c r="U407" s="544" t="s">
        <v>3312</v>
      </c>
      <c r="V407" s="547">
        <v>190</v>
      </c>
      <c r="W407" s="548"/>
      <c r="Y407" s="544" t="s">
        <v>1674</v>
      </c>
      <c r="AA407" s="544" t="s">
        <v>1674</v>
      </c>
      <c r="AE407" s="551"/>
      <c r="AF407" s="544" t="s">
        <v>1674</v>
      </c>
      <c r="AG407" s="544" t="s">
        <v>1674</v>
      </c>
      <c r="AH407" s="544" t="s">
        <v>1674</v>
      </c>
      <c r="AI407" s="544" t="s">
        <v>1674</v>
      </c>
      <c r="AJ407" s="544" t="s">
        <v>1674</v>
      </c>
      <c r="AK407" s="544" t="s">
        <v>1674</v>
      </c>
      <c r="AL407" s="544" t="s">
        <v>1674</v>
      </c>
      <c r="AM407" s="544" t="s">
        <v>2606</v>
      </c>
      <c r="AN407" s="544" t="s">
        <v>1674</v>
      </c>
      <c r="AP407" s="542">
        <f t="shared" si="12"/>
        <v>-151</v>
      </c>
      <c r="AR407" s="552">
        <f t="shared" si="13"/>
        <v>0</v>
      </c>
    </row>
    <row r="408" spans="1:44" outlineLevel="1" x14ac:dyDescent="0.25">
      <c r="A408" s="544" t="s">
        <v>1674</v>
      </c>
      <c r="B408" s="545">
        <v>0</v>
      </c>
      <c r="C408" s="544" t="s">
        <v>1674</v>
      </c>
      <c r="D408" s="544" t="s">
        <v>3421</v>
      </c>
      <c r="E408" s="542" t="s">
        <v>3419</v>
      </c>
      <c r="F408" s="542" t="s">
        <v>3420</v>
      </c>
      <c r="G408" s="546">
        <v>21.42</v>
      </c>
      <c r="H408" s="546"/>
      <c r="I408" s="546">
        <v>354.86</v>
      </c>
      <c r="J408" s="542" t="s">
        <v>2701</v>
      </c>
      <c r="K408" s="547">
        <v>8400</v>
      </c>
      <c r="L408" s="542" t="s">
        <v>806</v>
      </c>
      <c r="M408" s="548"/>
      <c r="N408" s="549">
        <v>-212</v>
      </c>
      <c r="O408" s="544" t="s">
        <v>1674</v>
      </c>
      <c r="P408" s="544" t="s">
        <v>1674</v>
      </c>
      <c r="Q408" s="544" t="s">
        <v>3423</v>
      </c>
      <c r="R408" s="544" t="s">
        <v>1674</v>
      </c>
      <c r="S408" s="544" t="s">
        <v>1674</v>
      </c>
      <c r="T408" s="550">
        <v>19</v>
      </c>
      <c r="U408" s="544" t="s">
        <v>3312</v>
      </c>
      <c r="V408" s="547">
        <v>191</v>
      </c>
      <c r="W408" s="548"/>
      <c r="Y408" s="544" t="s">
        <v>1674</v>
      </c>
      <c r="AA408" s="544" t="s">
        <v>1674</v>
      </c>
      <c r="AE408" s="551"/>
      <c r="AF408" s="544" t="s">
        <v>1674</v>
      </c>
      <c r="AG408" s="544" t="s">
        <v>1674</v>
      </c>
      <c r="AH408" s="544" t="s">
        <v>1674</v>
      </c>
      <c r="AI408" s="544" t="s">
        <v>1674</v>
      </c>
      <c r="AJ408" s="544" t="s">
        <v>1674</v>
      </c>
      <c r="AK408" s="544" t="s">
        <v>1674</v>
      </c>
      <c r="AL408" s="544" t="s">
        <v>1674</v>
      </c>
      <c r="AM408" s="544" t="s">
        <v>1674</v>
      </c>
      <c r="AN408" s="544" t="s">
        <v>1674</v>
      </c>
      <c r="AP408" s="542">
        <f t="shared" si="12"/>
        <v>-151</v>
      </c>
      <c r="AR408" s="552">
        <f t="shared" si="13"/>
        <v>354.86</v>
      </c>
    </row>
    <row r="409" spans="1:44" outlineLevel="1" x14ac:dyDescent="0.25">
      <c r="A409" s="544" t="s">
        <v>1674</v>
      </c>
      <c r="B409" s="545">
        <v>10237</v>
      </c>
      <c r="C409" s="544" t="s">
        <v>2750</v>
      </c>
      <c r="D409" s="544" t="s">
        <v>3424</v>
      </c>
      <c r="E409" s="542" t="s">
        <v>3373</v>
      </c>
      <c r="F409" s="542" t="s">
        <v>3425</v>
      </c>
      <c r="G409" s="546">
        <v>595</v>
      </c>
      <c r="H409" s="546"/>
      <c r="I409" s="546">
        <v>595</v>
      </c>
      <c r="J409" s="542" t="s">
        <v>2701</v>
      </c>
      <c r="K409" s="547">
        <v>8404</v>
      </c>
      <c r="L409" s="542" t="s">
        <v>806</v>
      </c>
      <c r="M409" s="548"/>
      <c r="N409" s="549">
        <v>-211</v>
      </c>
      <c r="O409" s="544" t="s">
        <v>1674</v>
      </c>
      <c r="P409" s="544" t="s">
        <v>1674</v>
      </c>
      <c r="Q409" s="544" t="s">
        <v>2754</v>
      </c>
      <c r="R409" s="544" t="s">
        <v>1674</v>
      </c>
      <c r="S409" s="544" t="s">
        <v>1674</v>
      </c>
      <c r="T409" s="550">
        <v>19</v>
      </c>
      <c r="U409" s="544" t="s">
        <v>3312</v>
      </c>
      <c r="V409" s="547">
        <v>312</v>
      </c>
      <c r="W409" s="548"/>
      <c r="Y409" s="544" t="s">
        <v>1674</v>
      </c>
      <c r="AA409" s="544" t="s">
        <v>1674</v>
      </c>
      <c r="AE409" s="551"/>
      <c r="AF409" s="544" t="s">
        <v>1674</v>
      </c>
      <c r="AG409" s="544" t="s">
        <v>1674</v>
      </c>
      <c r="AH409" s="544" t="s">
        <v>1674</v>
      </c>
      <c r="AI409" s="544" t="s">
        <v>1674</v>
      </c>
      <c r="AJ409" s="544" t="s">
        <v>1674</v>
      </c>
      <c r="AK409" s="544" t="s">
        <v>1674</v>
      </c>
      <c r="AL409" s="544" t="s">
        <v>1674</v>
      </c>
      <c r="AM409" s="544" t="s">
        <v>2755</v>
      </c>
      <c r="AN409" s="544" t="s">
        <v>1674</v>
      </c>
      <c r="AP409" s="542">
        <f t="shared" si="12"/>
        <v>-150</v>
      </c>
      <c r="AR409" s="552">
        <f t="shared" si="13"/>
        <v>595</v>
      </c>
    </row>
    <row r="410" spans="1:44" outlineLevel="1" x14ac:dyDescent="0.25">
      <c r="A410" s="544" t="s">
        <v>1674</v>
      </c>
      <c r="B410" s="545">
        <v>20301</v>
      </c>
      <c r="C410" s="544" t="s">
        <v>2981</v>
      </c>
      <c r="D410" s="544" t="s">
        <v>3426</v>
      </c>
      <c r="E410" s="542" t="s">
        <v>3373</v>
      </c>
      <c r="F410" s="542" t="s">
        <v>3425</v>
      </c>
      <c r="G410" s="546">
        <v>2190.5</v>
      </c>
      <c r="H410" s="546"/>
      <c r="I410" s="546"/>
      <c r="J410" s="542" t="s">
        <v>806</v>
      </c>
      <c r="K410" s="547">
        <v>8125</v>
      </c>
      <c r="L410" s="542" t="s">
        <v>806</v>
      </c>
      <c r="M410" s="548"/>
      <c r="N410" s="549">
        <v>-211</v>
      </c>
      <c r="O410" s="544" t="s">
        <v>1674</v>
      </c>
      <c r="P410" s="544" t="s">
        <v>1674</v>
      </c>
      <c r="Q410" s="544" t="s">
        <v>2983</v>
      </c>
      <c r="R410" s="544" t="s">
        <v>2984</v>
      </c>
      <c r="S410" s="544" t="s">
        <v>1674</v>
      </c>
      <c r="T410" s="550"/>
      <c r="U410" s="544" t="s">
        <v>3312</v>
      </c>
      <c r="V410" s="547">
        <v>313</v>
      </c>
      <c r="W410" s="548"/>
      <c r="Y410" s="544" t="s">
        <v>1674</v>
      </c>
      <c r="AA410" s="544" t="s">
        <v>1674</v>
      </c>
      <c r="AE410" s="551"/>
      <c r="AF410" s="544" t="s">
        <v>1674</v>
      </c>
      <c r="AG410" s="544" t="s">
        <v>1674</v>
      </c>
      <c r="AH410" s="544" t="s">
        <v>1674</v>
      </c>
      <c r="AI410" s="544" t="s">
        <v>1674</v>
      </c>
      <c r="AJ410" s="544" t="s">
        <v>1674</v>
      </c>
      <c r="AK410" s="544" t="s">
        <v>1674</v>
      </c>
      <c r="AL410" s="544" t="s">
        <v>1674</v>
      </c>
      <c r="AM410" s="544" t="s">
        <v>2985</v>
      </c>
      <c r="AN410" s="544" t="s">
        <v>1674</v>
      </c>
      <c r="AP410" s="542">
        <f t="shared" si="12"/>
        <v>-150</v>
      </c>
      <c r="AR410" s="552">
        <f t="shared" si="13"/>
        <v>0</v>
      </c>
    </row>
    <row r="411" spans="1:44" outlineLevel="1" x14ac:dyDescent="0.25">
      <c r="A411" s="544" t="s">
        <v>1674</v>
      </c>
      <c r="B411" s="545">
        <v>0</v>
      </c>
      <c r="C411" s="544" t="s">
        <v>1674</v>
      </c>
      <c r="D411" s="544" t="s">
        <v>3426</v>
      </c>
      <c r="E411" s="542" t="s">
        <v>3373</v>
      </c>
      <c r="F411" s="542" t="s">
        <v>3425</v>
      </c>
      <c r="G411" s="546">
        <v>130.5</v>
      </c>
      <c r="H411" s="546"/>
      <c r="I411" s="546">
        <v>2321</v>
      </c>
      <c r="J411" s="542" t="s">
        <v>2701</v>
      </c>
      <c r="K411" s="547">
        <v>8125</v>
      </c>
      <c r="L411" s="542" t="s">
        <v>806</v>
      </c>
      <c r="M411" s="548"/>
      <c r="N411" s="549">
        <v>-211</v>
      </c>
      <c r="O411" s="544" t="s">
        <v>1674</v>
      </c>
      <c r="P411" s="544" t="s">
        <v>1674</v>
      </c>
      <c r="Q411" s="544" t="s">
        <v>2986</v>
      </c>
      <c r="R411" s="544" t="s">
        <v>1674</v>
      </c>
      <c r="S411" s="544" t="s">
        <v>1674</v>
      </c>
      <c r="T411" s="550"/>
      <c r="U411" s="544" t="s">
        <v>3312</v>
      </c>
      <c r="V411" s="547">
        <v>314</v>
      </c>
      <c r="W411" s="548"/>
      <c r="Y411" s="544" t="s">
        <v>1674</v>
      </c>
      <c r="AA411" s="544" t="s">
        <v>1674</v>
      </c>
      <c r="AE411" s="551"/>
      <c r="AF411" s="544" t="s">
        <v>1674</v>
      </c>
      <c r="AG411" s="544" t="s">
        <v>1674</v>
      </c>
      <c r="AH411" s="544" t="s">
        <v>1674</v>
      </c>
      <c r="AI411" s="544" t="s">
        <v>1674</v>
      </c>
      <c r="AJ411" s="544" t="s">
        <v>1674</v>
      </c>
      <c r="AK411" s="544" t="s">
        <v>1674</v>
      </c>
      <c r="AL411" s="544" t="s">
        <v>1674</v>
      </c>
      <c r="AM411" s="544" t="s">
        <v>1674</v>
      </c>
      <c r="AN411" s="544" t="s">
        <v>1674</v>
      </c>
      <c r="AP411" s="542">
        <f t="shared" si="12"/>
        <v>-150</v>
      </c>
      <c r="AR411" s="552">
        <f t="shared" si="13"/>
        <v>2321</v>
      </c>
    </row>
    <row r="412" spans="1:44" outlineLevel="1" x14ac:dyDescent="0.25">
      <c r="A412" s="544" t="s">
        <v>1674</v>
      </c>
      <c r="B412" s="545">
        <v>0</v>
      </c>
      <c r="C412" s="544" t="s">
        <v>1674</v>
      </c>
      <c r="D412" s="544" t="s">
        <v>3427</v>
      </c>
      <c r="E412" s="542" t="s">
        <v>3373</v>
      </c>
      <c r="F412" s="542" t="s">
        <v>3425</v>
      </c>
      <c r="G412" s="546">
        <v>315.8</v>
      </c>
      <c r="H412" s="546"/>
      <c r="I412" s="546">
        <v>315.8</v>
      </c>
      <c r="J412" s="542" t="s">
        <v>2701</v>
      </c>
      <c r="K412" s="547">
        <v>8125</v>
      </c>
      <c r="L412" s="542" t="s">
        <v>806</v>
      </c>
      <c r="M412" s="548"/>
      <c r="N412" s="549">
        <v>-211</v>
      </c>
      <c r="O412" s="544" t="s">
        <v>1674</v>
      </c>
      <c r="P412" s="544" t="s">
        <v>1674</v>
      </c>
      <c r="Q412" s="544" t="s">
        <v>2983</v>
      </c>
      <c r="R412" s="544" t="s">
        <v>1674</v>
      </c>
      <c r="S412" s="544" t="s">
        <v>1674</v>
      </c>
      <c r="T412" s="550"/>
      <c r="U412" s="544" t="s">
        <v>3312</v>
      </c>
      <c r="V412" s="547">
        <v>315</v>
      </c>
      <c r="W412" s="548"/>
      <c r="Y412" s="544" t="s">
        <v>1674</v>
      </c>
      <c r="AA412" s="544" t="s">
        <v>1674</v>
      </c>
      <c r="AE412" s="551"/>
      <c r="AF412" s="544" t="s">
        <v>1674</v>
      </c>
      <c r="AG412" s="544" t="s">
        <v>1674</v>
      </c>
      <c r="AH412" s="544" t="s">
        <v>1674</v>
      </c>
      <c r="AI412" s="544" t="s">
        <v>1674</v>
      </c>
      <c r="AJ412" s="544" t="s">
        <v>1674</v>
      </c>
      <c r="AK412" s="544" t="s">
        <v>1674</v>
      </c>
      <c r="AL412" s="544" t="s">
        <v>1674</v>
      </c>
      <c r="AM412" s="544" t="s">
        <v>1674</v>
      </c>
      <c r="AN412" s="544" t="s">
        <v>1674</v>
      </c>
      <c r="AP412" s="542">
        <f t="shared" si="12"/>
        <v>-150</v>
      </c>
      <c r="AR412" s="552">
        <f t="shared" si="13"/>
        <v>315.8</v>
      </c>
    </row>
    <row r="413" spans="1:44" outlineLevel="1" x14ac:dyDescent="0.25">
      <c r="A413" s="544" t="s">
        <v>1674</v>
      </c>
      <c r="B413" s="545">
        <v>12516</v>
      </c>
      <c r="C413" s="544" t="s">
        <v>3428</v>
      </c>
      <c r="D413" s="544" t="s">
        <v>3429</v>
      </c>
      <c r="E413" s="542" t="s">
        <v>3377</v>
      </c>
      <c r="G413" s="546"/>
      <c r="H413" s="546">
        <v>150.51</v>
      </c>
      <c r="I413" s="546"/>
      <c r="J413" s="542" t="s">
        <v>806</v>
      </c>
      <c r="K413" s="547">
        <v>8400</v>
      </c>
      <c r="L413" s="542" t="s">
        <v>806</v>
      </c>
      <c r="M413" s="548"/>
      <c r="N413" s="549"/>
      <c r="O413" s="544" t="s">
        <v>1674</v>
      </c>
      <c r="P413" s="544" t="s">
        <v>1674</v>
      </c>
      <c r="Q413" s="544" t="s">
        <v>3430</v>
      </c>
      <c r="R413" s="544" t="s">
        <v>1674</v>
      </c>
      <c r="S413" s="544" t="s">
        <v>1674</v>
      </c>
      <c r="T413" s="550">
        <v>19</v>
      </c>
      <c r="U413" s="544" t="s">
        <v>3312</v>
      </c>
      <c r="V413" s="547">
        <v>366</v>
      </c>
      <c r="W413" s="548"/>
      <c r="Y413" s="544" t="s">
        <v>1674</v>
      </c>
      <c r="AA413" s="544" t="s">
        <v>1674</v>
      </c>
      <c r="AE413" s="551"/>
      <c r="AF413" s="544" t="s">
        <v>1674</v>
      </c>
      <c r="AG413" s="544" t="s">
        <v>1674</v>
      </c>
      <c r="AH413" s="544" t="s">
        <v>1674</v>
      </c>
      <c r="AI413" s="544" t="s">
        <v>1674</v>
      </c>
      <c r="AJ413" s="544" t="s">
        <v>1674</v>
      </c>
      <c r="AK413" s="544" t="s">
        <v>1674</v>
      </c>
      <c r="AL413" s="544" t="s">
        <v>1674</v>
      </c>
      <c r="AM413" s="544" t="s">
        <v>3431</v>
      </c>
      <c r="AN413" s="544" t="s">
        <v>1674</v>
      </c>
      <c r="AP413" s="542">
        <f t="shared" si="12"/>
        <v>0</v>
      </c>
      <c r="AR413" s="552">
        <f t="shared" si="13"/>
        <v>0</v>
      </c>
    </row>
    <row r="414" spans="1:44" outlineLevel="1" x14ac:dyDescent="0.25">
      <c r="A414" s="544" t="s">
        <v>1674</v>
      </c>
      <c r="B414" s="545">
        <v>0</v>
      </c>
      <c r="C414" s="544" t="s">
        <v>1674</v>
      </c>
      <c r="D414" s="544" t="s">
        <v>3429</v>
      </c>
      <c r="E414" s="542" t="s">
        <v>3377</v>
      </c>
      <c r="G414" s="546"/>
      <c r="H414" s="546">
        <v>8.85</v>
      </c>
      <c r="I414" s="546"/>
      <c r="J414" s="542" t="s">
        <v>806</v>
      </c>
      <c r="K414" s="547">
        <v>8400</v>
      </c>
      <c r="L414" s="542" t="s">
        <v>806</v>
      </c>
      <c r="M414" s="548"/>
      <c r="N414" s="549"/>
      <c r="O414" s="544" t="s">
        <v>1674</v>
      </c>
      <c r="P414" s="544" t="s">
        <v>1674</v>
      </c>
      <c r="Q414" s="544" t="s">
        <v>3430</v>
      </c>
      <c r="R414" s="544" t="s">
        <v>2617</v>
      </c>
      <c r="S414" s="544" t="s">
        <v>1674</v>
      </c>
      <c r="T414" s="550">
        <v>19</v>
      </c>
      <c r="U414" s="544" t="s">
        <v>3312</v>
      </c>
      <c r="V414" s="547">
        <v>367</v>
      </c>
      <c r="W414" s="548"/>
      <c r="Y414" s="544" t="s">
        <v>1674</v>
      </c>
      <c r="AA414" s="544" t="s">
        <v>1674</v>
      </c>
      <c r="AE414" s="551"/>
      <c r="AF414" s="544" t="s">
        <v>1674</v>
      </c>
      <c r="AG414" s="544" t="s">
        <v>1674</v>
      </c>
      <c r="AH414" s="544" t="s">
        <v>1674</v>
      </c>
      <c r="AI414" s="544" t="s">
        <v>1674</v>
      </c>
      <c r="AJ414" s="544" t="s">
        <v>1674</v>
      </c>
      <c r="AK414" s="544" t="s">
        <v>1674</v>
      </c>
      <c r="AL414" s="544" t="s">
        <v>1674</v>
      </c>
      <c r="AM414" s="544" t="s">
        <v>1674</v>
      </c>
      <c r="AN414" s="544" t="s">
        <v>1674</v>
      </c>
      <c r="AP414" s="542">
        <f t="shared" si="12"/>
        <v>0</v>
      </c>
      <c r="AR414" s="552">
        <f t="shared" si="13"/>
        <v>0</v>
      </c>
    </row>
    <row r="415" spans="1:44" outlineLevel="1" x14ac:dyDescent="0.25">
      <c r="A415" s="544" t="s">
        <v>1674</v>
      </c>
      <c r="B415" s="545">
        <v>0</v>
      </c>
      <c r="C415" s="544" t="s">
        <v>1674</v>
      </c>
      <c r="D415" s="544" t="s">
        <v>3429</v>
      </c>
      <c r="E415" s="542" t="s">
        <v>3377</v>
      </c>
      <c r="G415" s="546"/>
      <c r="H415" s="546">
        <v>2275.38</v>
      </c>
      <c r="I415" s="546">
        <v>2434.7399999999998</v>
      </c>
      <c r="J415" s="542" t="s">
        <v>2584</v>
      </c>
      <c r="K415" s="547">
        <v>8401</v>
      </c>
      <c r="L415" s="542" t="s">
        <v>806</v>
      </c>
      <c r="M415" s="548"/>
      <c r="N415" s="549"/>
      <c r="O415" s="544" t="s">
        <v>1674</v>
      </c>
      <c r="P415" s="544" t="s">
        <v>1674</v>
      </c>
      <c r="Q415" s="544" t="s">
        <v>3430</v>
      </c>
      <c r="R415" s="544" t="s">
        <v>1674</v>
      </c>
      <c r="S415" s="544" t="s">
        <v>1674</v>
      </c>
      <c r="T415" s="550">
        <v>19</v>
      </c>
      <c r="U415" s="544" t="s">
        <v>3312</v>
      </c>
      <c r="V415" s="547">
        <v>368</v>
      </c>
      <c r="W415" s="548"/>
      <c r="Y415" s="544" t="s">
        <v>1674</v>
      </c>
      <c r="AA415" s="544" t="s">
        <v>1674</v>
      </c>
      <c r="AE415" s="551"/>
      <c r="AF415" s="544" t="s">
        <v>1674</v>
      </c>
      <c r="AG415" s="544" t="s">
        <v>1674</v>
      </c>
      <c r="AH415" s="544" t="s">
        <v>1674</v>
      </c>
      <c r="AI415" s="544" t="s">
        <v>1674</v>
      </c>
      <c r="AJ415" s="544" t="s">
        <v>1674</v>
      </c>
      <c r="AK415" s="544" t="s">
        <v>1674</v>
      </c>
      <c r="AL415" s="544" t="s">
        <v>1674</v>
      </c>
      <c r="AM415" s="544" t="s">
        <v>1674</v>
      </c>
      <c r="AN415" s="544" t="s">
        <v>1674</v>
      </c>
      <c r="AP415" s="542">
        <f t="shared" si="12"/>
        <v>0</v>
      </c>
      <c r="AR415" s="552">
        <f t="shared" si="13"/>
        <v>-2434.7399999999998</v>
      </c>
    </row>
    <row r="416" spans="1:44" outlineLevel="1" x14ac:dyDescent="0.25">
      <c r="A416" s="544" t="s">
        <v>1674</v>
      </c>
      <c r="B416" s="545">
        <v>11600</v>
      </c>
      <c r="C416" s="544" t="s">
        <v>2782</v>
      </c>
      <c r="D416" s="544" t="s">
        <v>3432</v>
      </c>
      <c r="E416" s="542" t="s">
        <v>3387</v>
      </c>
      <c r="F416" s="542" t="s">
        <v>3433</v>
      </c>
      <c r="G416" s="546">
        <v>476.67</v>
      </c>
      <c r="H416" s="546"/>
      <c r="I416" s="546"/>
      <c r="J416" s="542" t="s">
        <v>806</v>
      </c>
      <c r="K416" s="547">
        <v>8400</v>
      </c>
      <c r="L416" s="542" t="s">
        <v>806</v>
      </c>
      <c r="M416" s="548"/>
      <c r="N416" s="549">
        <v>-203</v>
      </c>
      <c r="O416" s="544" t="s">
        <v>1674</v>
      </c>
      <c r="P416" s="544" t="s">
        <v>1674</v>
      </c>
      <c r="Q416" s="544" t="s">
        <v>2786</v>
      </c>
      <c r="R416" s="544" t="s">
        <v>1674</v>
      </c>
      <c r="S416" s="544" t="s">
        <v>1674</v>
      </c>
      <c r="T416" s="550">
        <v>19</v>
      </c>
      <c r="U416" s="544" t="s">
        <v>3312</v>
      </c>
      <c r="V416" s="547">
        <v>873</v>
      </c>
      <c r="W416" s="548"/>
      <c r="Y416" s="544" t="s">
        <v>1674</v>
      </c>
      <c r="AA416" s="544" t="s">
        <v>1674</v>
      </c>
      <c r="AE416" s="551"/>
      <c r="AF416" s="544" t="s">
        <v>1674</v>
      </c>
      <c r="AG416" s="544" t="s">
        <v>1674</v>
      </c>
      <c r="AH416" s="544" t="s">
        <v>1674</v>
      </c>
      <c r="AI416" s="544" t="s">
        <v>1674</v>
      </c>
      <c r="AJ416" s="544" t="s">
        <v>1674</v>
      </c>
      <c r="AK416" s="544" t="s">
        <v>1674</v>
      </c>
      <c r="AL416" s="544" t="s">
        <v>1674</v>
      </c>
      <c r="AM416" s="544" t="s">
        <v>2782</v>
      </c>
      <c r="AN416" s="544" t="s">
        <v>1674</v>
      </c>
      <c r="AP416" s="542">
        <f t="shared" ref="AP416:AP479" si="14">IF(F416&lt;&gt;0,($AP$2-$F416)*-1,0)</f>
        <v>-142</v>
      </c>
      <c r="AR416" s="552">
        <f t="shared" si="13"/>
        <v>0</v>
      </c>
    </row>
    <row r="417" spans="1:44" outlineLevel="1" x14ac:dyDescent="0.25">
      <c r="A417" s="544" t="s">
        <v>1674</v>
      </c>
      <c r="B417" s="545">
        <v>0</v>
      </c>
      <c r="C417" s="544" t="s">
        <v>1674</v>
      </c>
      <c r="D417" s="544" t="s">
        <v>3432</v>
      </c>
      <c r="E417" s="542" t="s">
        <v>3387</v>
      </c>
      <c r="F417" s="542" t="s">
        <v>3433</v>
      </c>
      <c r="G417" s="546">
        <v>44.41</v>
      </c>
      <c r="H417" s="546"/>
      <c r="I417" s="546"/>
      <c r="J417" s="542" t="s">
        <v>806</v>
      </c>
      <c r="K417" s="547">
        <v>8400</v>
      </c>
      <c r="L417" s="542" t="s">
        <v>806</v>
      </c>
      <c r="M417" s="548"/>
      <c r="N417" s="549">
        <v>-203</v>
      </c>
      <c r="O417" s="544" t="s">
        <v>1674</v>
      </c>
      <c r="P417" s="544" t="s">
        <v>1674</v>
      </c>
      <c r="Q417" s="544" t="s">
        <v>2786</v>
      </c>
      <c r="R417" s="544" t="s">
        <v>2617</v>
      </c>
      <c r="S417" s="544" t="s">
        <v>1674</v>
      </c>
      <c r="T417" s="550">
        <v>19</v>
      </c>
      <c r="U417" s="544" t="s">
        <v>3312</v>
      </c>
      <c r="V417" s="547">
        <v>874</v>
      </c>
      <c r="W417" s="548"/>
      <c r="Y417" s="544" t="s">
        <v>1674</v>
      </c>
      <c r="AA417" s="544" t="s">
        <v>1674</v>
      </c>
      <c r="AE417" s="551"/>
      <c r="AF417" s="544" t="s">
        <v>1674</v>
      </c>
      <c r="AG417" s="544" t="s">
        <v>1674</v>
      </c>
      <c r="AH417" s="544" t="s">
        <v>1674</v>
      </c>
      <c r="AI417" s="544" t="s">
        <v>1674</v>
      </c>
      <c r="AJ417" s="544" t="s">
        <v>1674</v>
      </c>
      <c r="AK417" s="544" t="s">
        <v>1674</v>
      </c>
      <c r="AL417" s="544" t="s">
        <v>1674</v>
      </c>
      <c r="AM417" s="544" t="s">
        <v>1674</v>
      </c>
      <c r="AN417" s="544" t="s">
        <v>1674</v>
      </c>
      <c r="AP417" s="542">
        <f t="shared" si="14"/>
        <v>-142</v>
      </c>
      <c r="AR417" s="552">
        <f t="shared" si="13"/>
        <v>0</v>
      </c>
    </row>
    <row r="418" spans="1:44" outlineLevel="1" x14ac:dyDescent="0.25">
      <c r="A418" s="544" t="s">
        <v>1674</v>
      </c>
      <c r="B418" s="545">
        <v>0</v>
      </c>
      <c r="C418" s="544" t="s">
        <v>1674</v>
      </c>
      <c r="D418" s="544" t="s">
        <v>3432</v>
      </c>
      <c r="E418" s="542" t="s">
        <v>3387</v>
      </c>
      <c r="F418" s="542" t="s">
        <v>3433</v>
      </c>
      <c r="G418" s="546">
        <v>7118.72</v>
      </c>
      <c r="H418" s="546"/>
      <c r="I418" s="546">
        <v>7639.8</v>
      </c>
      <c r="J418" s="542" t="s">
        <v>2701</v>
      </c>
      <c r="K418" s="547">
        <v>8401</v>
      </c>
      <c r="L418" s="542" t="s">
        <v>806</v>
      </c>
      <c r="M418" s="548"/>
      <c r="N418" s="549">
        <v>-203</v>
      </c>
      <c r="O418" s="544" t="s">
        <v>1674</v>
      </c>
      <c r="P418" s="544" t="s">
        <v>1674</v>
      </c>
      <c r="Q418" s="544" t="s">
        <v>2786</v>
      </c>
      <c r="R418" s="544" t="s">
        <v>1674</v>
      </c>
      <c r="S418" s="544" t="s">
        <v>1674</v>
      </c>
      <c r="T418" s="550">
        <v>19</v>
      </c>
      <c r="U418" s="544" t="s">
        <v>3312</v>
      </c>
      <c r="V418" s="547">
        <v>875</v>
      </c>
      <c r="W418" s="548"/>
      <c r="Y418" s="544" t="s">
        <v>1674</v>
      </c>
      <c r="AA418" s="544" t="s">
        <v>1674</v>
      </c>
      <c r="AE418" s="551"/>
      <c r="AF418" s="544" t="s">
        <v>1674</v>
      </c>
      <c r="AG418" s="544" t="s">
        <v>1674</v>
      </c>
      <c r="AH418" s="544" t="s">
        <v>1674</v>
      </c>
      <c r="AI418" s="544" t="s">
        <v>1674</v>
      </c>
      <c r="AJ418" s="544" t="s">
        <v>1674</v>
      </c>
      <c r="AK418" s="544" t="s">
        <v>1674</v>
      </c>
      <c r="AL418" s="544" t="s">
        <v>1674</v>
      </c>
      <c r="AM418" s="544" t="s">
        <v>1674</v>
      </c>
      <c r="AN418" s="544" t="s">
        <v>1674</v>
      </c>
      <c r="AP418" s="542">
        <f t="shared" si="14"/>
        <v>-142</v>
      </c>
      <c r="AR418" s="552">
        <f t="shared" si="13"/>
        <v>7639.8</v>
      </c>
    </row>
    <row r="419" spans="1:44" outlineLevel="1" x14ac:dyDescent="0.25">
      <c r="A419" s="544" t="s">
        <v>1674</v>
      </c>
      <c r="B419" s="545">
        <v>0</v>
      </c>
      <c r="C419" s="544" t="s">
        <v>1674</v>
      </c>
      <c r="D419" s="544" t="s">
        <v>3434</v>
      </c>
      <c r="E419" s="542" t="s">
        <v>3387</v>
      </c>
      <c r="F419" s="542" t="s">
        <v>3433</v>
      </c>
      <c r="G419" s="546">
        <v>595</v>
      </c>
      <c r="H419" s="546"/>
      <c r="I419" s="546">
        <v>595</v>
      </c>
      <c r="J419" s="542" t="s">
        <v>2701</v>
      </c>
      <c r="K419" s="547">
        <v>8404</v>
      </c>
      <c r="L419" s="542" t="s">
        <v>806</v>
      </c>
      <c r="M419" s="548"/>
      <c r="N419" s="549">
        <v>-203</v>
      </c>
      <c r="O419" s="544" t="s">
        <v>1674</v>
      </c>
      <c r="P419" s="544" t="s">
        <v>1674</v>
      </c>
      <c r="Q419" s="544" t="s">
        <v>2786</v>
      </c>
      <c r="R419" s="544" t="s">
        <v>1674</v>
      </c>
      <c r="S419" s="544" t="s">
        <v>1674</v>
      </c>
      <c r="T419" s="550">
        <v>19</v>
      </c>
      <c r="U419" s="544" t="s">
        <v>3312</v>
      </c>
      <c r="V419" s="547">
        <v>854</v>
      </c>
      <c r="W419" s="548"/>
      <c r="Y419" s="544" t="s">
        <v>1674</v>
      </c>
      <c r="AA419" s="544" t="s">
        <v>1674</v>
      </c>
      <c r="AE419" s="551"/>
      <c r="AF419" s="544" t="s">
        <v>1674</v>
      </c>
      <c r="AG419" s="544" t="s">
        <v>1674</v>
      </c>
      <c r="AH419" s="544" t="s">
        <v>1674</v>
      </c>
      <c r="AI419" s="544" t="s">
        <v>1674</v>
      </c>
      <c r="AJ419" s="544" t="s">
        <v>1674</v>
      </c>
      <c r="AK419" s="544" t="s">
        <v>1674</v>
      </c>
      <c r="AL419" s="544" t="s">
        <v>1674</v>
      </c>
      <c r="AM419" s="544" t="s">
        <v>1674</v>
      </c>
      <c r="AN419" s="544" t="s">
        <v>1674</v>
      </c>
      <c r="AP419" s="542">
        <f t="shared" si="14"/>
        <v>-142</v>
      </c>
      <c r="AR419" s="552">
        <f t="shared" si="13"/>
        <v>595</v>
      </c>
    </row>
    <row r="420" spans="1:44" outlineLevel="1" x14ac:dyDescent="0.25">
      <c r="A420" s="544" t="s">
        <v>1674</v>
      </c>
      <c r="B420" s="545">
        <v>0</v>
      </c>
      <c r="C420" s="544" t="s">
        <v>1674</v>
      </c>
      <c r="D420" s="544" t="s">
        <v>3435</v>
      </c>
      <c r="E420" s="542" t="s">
        <v>3387</v>
      </c>
      <c r="F420" s="542" t="s">
        <v>3433</v>
      </c>
      <c r="G420" s="546">
        <v>595</v>
      </c>
      <c r="H420" s="546"/>
      <c r="I420" s="546">
        <v>595</v>
      </c>
      <c r="J420" s="542" t="s">
        <v>2701</v>
      </c>
      <c r="K420" s="547">
        <v>8404</v>
      </c>
      <c r="L420" s="542" t="s">
        <v>806</v>
      </c>
      <c r="M420" s="548"/>
      <c r="N420" s="549">
        <v>-203</v>
      </c>
      <c r="O420" s="544" t="s">
        <v>1674</v>
      </c>
      <c r="P420" s="544" t="s">
        <v>1674</v>
      </c>
      <c r="Q420" s="544" t="s">
        <v>2786</v>
      </c>
      <c r="R420" s="544" t="s">
        <v>1674</v>
      </c>
      <c r="S420" s="544" t="s">
        <v>1674</v>
      </c>
      <c r="T420" s="550">
        <v>19</v>
      </c>
      <c r="U420" s="544" t="s">
        <v>3312</v>
      </c>
      <c r="V420" s="547">
        <v>855</v>
      </c>
      <c r="W420" s="548"/>
      <c r="Y420" s="544" t="s">
        <v>1674</v>
      </c>
      <c r="AA420" s="544" t="s">
        <v>1674</v>
      </c>
      <c r="AE420" s="551"/>
      <c r="AF420" s="544" t="s">
        <v>1674</v>
      </c>
      <c r="AG420" s="544" t="s">
        <v>1674</v>
      </c>
      <c r="AH420" s="544" t="s">
        <v>1674</v>
      </c>
      <c r="AI420" s="544" t="s">
        <v>1674</v>
      </c>
      <c r="AJ420" s="544" t="s">
        <v>1674</v>
      </c>
      <c r="AK420" s="544" t="s">
        <v>1674</v>
      </c>
      <c r="AL420" s="544" t="s">
        <v>1674</v>
      </c>
      <c r="AM420" s="544" t="s">
        <v>1674</v>
      </c>
      <c r="AN420" s="544" t="s">
        <v>1674</v>
      </c>
      <c r="AP420" s="542">
        <f t="shared" si="14"/>
        <v>-142</v>
      </c>
      <c r="AR420" s="552">
        <f t="shared" si="13"/>
        <v>595</v>
      </c>
    </row>
    <row r="421" spans="1:44" outlineLevel="1" x14ac:dyDescent="0.25">
      <c r="A421" s="544" t="s">
        <v>1674</v>
      </c>
      <c r="B421" s="545">
        <v>0</v>
      </c>
      <c r="C421" s="544" t="s">
        <v>1674</v>
      </c>
      <c r="D421" s="544" t="s">
        <v>3436</v>
      </c>
      <c r="E421" s="542" t="s">
        <v>3437</v>
      </c>
      <c r="F421" s="542" t="s">
        <v>3438</v>
      </c>
      <c r="G421" s="546">
        <v>13.99</v>
      </c>
      <c r="H421" s="546"/>
      <c r="I421" s="546"/>
      <c r="J421" s="542" t="s">
        <v>806</v>
      </c>
      <c r="K421" s="547">
        <v>8400</v>
      </c>
      <c r="L421" s="542" t="s">
        <v>806</v>
      </c>
      <c r="M421" s="548"/>
      <c r="N421" s="549">
        <v>-200</v>
      </c>
      <c r="O421" s="544" t="s">
        <v>1674</v>
      </c>
      <c r="P421" s="544" t="s">
        <v>1674</v>
      </c>
      <c r="Q421" s="544" t="s">
        <v>2786</v>
      </c>
      <c r="R421" s="544" t="s">
        <v>1674</v>
      </c>
      <c r="S421" s="544" t="s">
        <v>1674</v>
      </c>
      <c r="T421" s="550">
        <v>19</v>
      </c>
      <c r="U421" s="544" t="s">
        <v>3312</v>
      </c>
      <c r="V421" s="547">
        <v>960</v>
      </c>
      <c r="W421" s="548"/>
      <c r="Y421" s="544" t="s">
        <v>1674</v>
      </c>
      <c r="AA421" s="544" t="s">
        <v>1674</v>
      </c>
      <c r="AE421" s="551"/>
      <c r="AF421" s="544" t="s">
        <v>1674</v>
      </c>
      <c r="AG421" s="544" t="s">
        <v>1674</v>
      </c>
      <c r="AH421" s="544" t="s">
        <v>1674</v>
      </c>
      <c r="AI421" s="544" t="s">
        <v>1674</v>
      </c>
      <c r="AJ421" s="544" t="s">
        <v>1674</v>
      </c>
      <c r="AK421" s="544" t="s">
        <v>1674</v>
      </c>
      <c r="AL421" s="544" t="s">
        <v>1674</v>
      </c>
      <c r="AM421" s="544" t="s">
        <v>1674</v>
      </c>
      <c r="AN421" s="544" t="s">
        <v>1674</v>
      </c>
      <c r="AP421" s="542">
        <f t="shared" si="14"/>
        <v>-139</v>
      </c>
      <c r="AR421" s="552">
        <f t="shared" si="13"/>
        <v>0</v>
      </c>
    </row>
    <row r="422" spans="1:44" outlineLevel="1" x14ac:dyDescent="0.25">
      <c r="A422" s="544" t="s">
        <v>1674</v>
      </c>
      <c r="B422" s="545">
        <v>0</v>
      </c>
      <c r="C422" s="544" t="s">
        <v>1674</v>
      </c>
      <c r="D422" s="544" t="s">
        <v>3436</v>
      </c>
      <c r="E422" s="542" t="s">
        <v>3437</v>
      </c>
      <c r="F422" s="542" t="s">
        <v>3438</v>
      </c>
      <c r="G422" s="546">
        <v>6376.31</v>
      </c>
      <c r="H422" s="546"/>
      <c r="I422" s="546">
        <v>6390.3</v>
      </c>
      <c r="J422" s="542" t="s">
        <v>2701</v>
      </c>
      <c r="K422" s="547">
        <v>8401</v>
      </c>
      <c r="L422" s="542" t="s">
        <v>806</v>
      </c>
      <c r="M422" s="548"/>
      <c r="N422" s="549">
        <v>-200</v>
      </c>
      <c r="O422" s="544" t="s">
        <v>1674</v>
      </c>
      <c r="P422" s="544" t="s">
        <v>1674</v>
      </c>
      <c r="Q422" s="544" t="s">
        <v>2786</v>
      </c>
      <c r="R422" s="544" t="s">
        <v>1674</v>
      </c>
      <c r="S422" s="544" t="s">
        <v>1674</v>
      </c>
      <c r="T422" s="550">
        <v>19</v>
      </c>
      <c r="U422" s="544" t="s">
        <v>3312</v>
      </c>
      <c r="V422" s="547">
        <v>961</v>
      </c>
      <c r="W422" s="548"/>
      <c r="Y422" s="544" t="s">
        <v>1674</v>
      </c>
      <c r="AA422" s="544" t="s">
        <v>1674</v>
      </c>
      <c r="AE422" s="551"/>
      <c r="AF422" s="544" t="s">
        <v>1674</v>
      </c>
      <c r="AG422" s="544" t="s">
        <v>1674</v>
      </c>
      <c r="AH422" s="544" t="s">
        <v>1674</v>
      </c>
      <c r="AI422" s="544" t="s">
        <v>1674</v>
      </c>
      <c r="AJ422" s="544" t="s">
        <v>1674</v>
      </c>
      <c r="AK422" s="544" t="s">
        <v>1674</v>
      </c>
      <c r="AL422" s="544" t="s">
        <v>1674</v>
      </c>
      <c r="AM422" s="544" t="s">
        <v>1674</v>
      </c>
      <c r="AN422" s="544" t="s">
        <v>1674</v>
      </c>
      <c r="AP422" s="542">
        <f t="shared" si="14"/>
        <v>-139</v>
      </c>
      <c r="AR422" s="552">
        <f t="shared" si="13"/>
        <v>6390.3</v>
      </c>
    </row>
    <row r="423" spans="1:44" outlineLevel="1" x14ac:dyDescent="0.25">
      <c r="A423" s="544" t="s">
        <v>1674</v>
      </c>
      <c r="B423" s="545">
        <v>10400</v>
      </c>
      <c r="C423" s="544" t="s">
        <v>2730</v>
      </c>
      <c r="D423" s="544" t="s">
        <v>3439</v>
      </c>
      <c r="E423" s="542" t="s">
        <v>3440</v>
      </c>
      <c r="F423" s="542" t="s">
        <v>3441</v>
      </c>
      <c r="G423" s="546">
        <v>176.69</v>
      </c>
      <c r="H423" s="546"/>
      <c r="I423" s="546"/>
      <c r="J423" s="542" t="s">
        <v>806</v>
      </c>
      <c r="K423" s="547">
        <v>8400</v>
      </c>
      <c r="L423" s="542" t="s">
        <v>806</v>
      </c>
      <c r="M423" s="548"/>
      <c r="N423" s="549">
        <v>-185</v>
      </c>
      <c r="O423" s="544" t="s">
        <v>1674</v>
      </c>
      <c r="P423" s="544" t="s">
        <v>1674</v>
      </c>
      <c r="Q423" s="544" t="s">
        <v>3442</v>
      </c>
      <c r="R423" s="544" t="s">
        <v>1674</v>
      </c>
      <c r="S423" s="544" t="s">
        <v>1674</v>
      </c>
      <c r="T423" s="550">
        <v>19</v>
      </c>
      <c r="U423" s="544" t="s">
        <v>3312</v>
      </c>
      <c r="V423" s="547">
        <v>1795</v>
      </c>
      <c r="W423" s="548"/>
      <c r="Y423" s="544" t="s">
        <v>1674</v>
      </c>
      <c r="AA423" s="544" t="s">
        <v>1674</v>
      </c>
      <c r="AE423" s="551"/>
      <c r="AF423" s="544" t="s">
        <v>1674</v>
      </c>
      <c r="AG423" s="544" t="s">
        <v>1674</v>
      </c>
      <c r="AH423" s="544" t="s">
        <v>1674</v>
      </c>
      <c r="AI423" s="544" t="s">
        <v>1674</v>
      </c>
      <c r="AJ423" s="544" t="s">
        <v>1674</v>
      </c>
      <c r="AK423" s="544" t="s">
        <v>1674</v>
      </c>
      <c r="AL423" s="544" t="s">
        <v>1674</v>
      </c>
      <c r="AM423" s="544" t="s">
        <v>2730</v>
      </c>
      <c r="AN423" s="544" t="s">
        <v>1674</v>
      </c>
      <c r="AP423" s="542">
        <f t="shared" si="14"/>
        <v>-124</v>
      </c>
      <c r="AR423" s="552">
        <f t="shared" si="13"/>
        <v>0</v>
      </c>
    </row>
    <row r="424" spans="1:44" outlineLevel="1" x14ac:dyDescent="0.25">
      <c r="A424" s="544" t="s">
        <v>1674</v>
      </c>
      <c r="B424" s="545">
        <v>0</v>
      </c>
      <c r="C424" s="544" t="s">
        <v>1674</v>
      </c>
      <c r="D424" s="544" t="s">
        <v>3439</v>
      </c>
      <c r="E424" s="542" t="s">
        <v>3440</v>
      </c>
      <c r="F424" s="542" t="s">
        <v>3441</v>
      </c>
      <c r="G424" s="546">
        <v>16.52</v>
      </c>
      <c r="H424" s="546"/>
      <c r="I424" s="546"/>
      <c r="J424" s="542" t="s">
        <v>806</v>
      </c>
      <c r="K424" s="547">
        <v>8400</v>
      </c>
      <c r="L424" s="542" t="s">
        <v>806</v>
      </c>
      <c r="M424" s="548"/>
      <c r="N424" s="549">
        <v>-185</v>
      </c>
      <c r="O424" s="544" t="s">
        <v>1674</v>
      </c>
      <c r="P424" s="544" t="s">
        <v>1674</v>
      </c>
      <c r="Q424" s="544" t="s">
        <v>3442</v>
      </c>
      <c r="R424" s="544" t="s">
        <v>2617</v>
      </c>
      <c r="S424" s="544" t="s">
        <v>1674</v>
      </c>
      <c r="T424" s="550">
        <v>19</v>
      </c>
      <c r="U424" s="544" t="s">
        <v>3312</v>
      </c>
      <c r="V424" s="547">
        <v>1796</v>
      </c>
      <c r="W424" s="548"/>
      <c r="Y424" s="544" t="s">
        <v>1674</v>
      </c>
      <c r="AA424" s="544" t="s">
        <v>1674</v>
      </c>
      <c r="AE424" s="551"/>
      <c r="AF424" s="544" t="s">
        <v>1674</v>
      </c>
      <c r="AG424" s="544" t="s">
        <v>1674</v>
      </c>
      <c r="AH424" s="544" t="s">
        <v>1674</v>
      </c>
      <c r="AI424" s="544" t="s">
        <v>1674</v>
      </c>
      <c r="AJ424" s="544" t="s">
        <v>1674</v>
      </c>
      <c r="AK424" s="544" t="s">
        <v>1674</v>
      </c>
      <c r="AL424" s="544" t="s">
        <v>1674</v>
      </c>
      <c r="AM424" s="544" t="s">
        <v>1674</v>
      </c>
      <c r="AN424" s="544" t="s">
        <v>1674</v>
      </c>
      <c r="AP424" s="542">
        <f t="shared" si="14"/>
        <v>-124</v>
      </c>
      <c r="AR424" s="552">
        <f t="shared" si="13"/>
        <v>0</v>
      </c>
    </row>
    <row r="425" spans="1:44" outlineLevel="1" x14ac:dyDescent="0.25">
      <c r="A425" s="544" t="s">
        <v>1674</v>
      </c>
      <c r="B425" s="545">
        <v>0</v>
      </c>
      <c r="C425" s="544" t="s">
        <v>1674</v>
      </c>
      <c r="D425" s="544" t="s">
        <v>3439</v>
      </c>
      <c r="E425" s="542" t="s">
        <v>3440</v>
      </c>
      <c r="F425" s="542" t="s">
        <v>3441</v>
      </c>
      <c r="G425" s="546">
        <v>2638.99</v>
      </c>
      <c r="H425" s="546"/>
      <c r="I425" s="546">
        <v>2832.2</v>
      </c>
      <c r="J425" s="542" t="s">
        <v>2701</v>
      </c>
      <c r="K425" s="547">
        <v>8401</v>
      </c>
      <c r="L425" s="542" t="s">
        <v>806</v>
      </c>
      <c r="M425" s="548"/>
      <c r="N425" s="549">
        <v>-185</v>
      </c>
      <c r="O425" s="544" t="s">
        <v>1674</v>
      </c>
      <c r="P425" s="544" t="s">
        <v>1674</v>
      </c>
      <c r="Q425" s="544" t="s">
        <v>3442</v>
      </c>
      <c r="R425" s="544" t="s">
        <v>1674</v>
      </c>
      <c r="S425" s="544" t="s">
        <v>1674</v>
      </c>
      <c r="T425" s="550">
        <v>19</v>
      </c>
      <c r="U425" s="544" t="s">
        <v>3312</v>
      </c>
      <c r="V425" s="547">
        <v>1797</v>
      </c>
      <c r="W425" s="548"/>
      <c r="Y425" s="544" t="s">
        <v>1674</v>
      </c>
      <c r="AA425" s="544" t="s">
        <v>1674</v>
      </c>
      <c r="AE425" s="551"/>
      <c r="AF425" s="544" t="s">
        <v>1674</v>
      </c>
      <c r="AG425" s="544" t="s">
        <v>1674</v>
      </c>
      <c r="AH425" s="544" t="s">
        <v>1674</v>
      </c>
      <c r="AI425" s="544" t="s">
        <v>1674</v>
      </c>
      <c r="AJ425" s="544" t="s">
        <v>1674</v>
      </c>
      <c r="AK425" s="544" t="s">
        <v>1674</v>
      </c>
      <c r="AL425" s="544" t="s">
        <v>1674</v>
      </c>
      <c r="AM425" s="544" t="s">
        <v>1674</v>
      </c>
      <c r="AN425" s="544" t="s">
        <v>1674</v>
      </c>
      <c r="AP425" s="542">
        <f t="shared" si="14"/>
        <v>-124</v>
      </c>
      <c r="AR425" s="552">
        <f t="shared" si="13"/>
        <v>2832.2</v>
      </c>
    </row>
    <row r="426" spans="1:44" outlineLevel="1" x14ac:dyDescent="0.25">
      <c r="A426" s="544" t="s">
        <v>1674</v>
      </c>
      <c r="B426" s="545">
        <v>12516</v>
      </c>
      <c r="C426" s="544" t="s">
        <v>3428</v>
      </c>
      <c r="D426" s="544" t="s">
        <v>3443</v>
      </c>
      <c r="E426" s="542" t="s">
        <v>3440</v>
      </c>
      <c r="F426" s="542" t="s">
        <v>3441</v>
      </c>
      <c r="G426" s="546">
        <v>642.88</v>
      </c>
      <c r="H426" s="546"/>
      <c r="I426" s="546"/>
      <c r="J426" s="542" t="s">
        <v>806</v>
      </c>
      <c r="K426" s="547">
        <v>8400</v>
      </c>
      <c r="L426" s="542" t="s">
        <v>806</v>
      </c>
      <c r="M426" s="548"/>
      <c r="N426" s="549">
        <v>-185</v>
      </c>
      <c r="O426" s="544" t="s">
        <v>1674</v>
      </c>
      <c r="P426" s="544" t="s">
        <v>1674</v>
      </c>
      <c r="Q426" s="544" t="s">
        <v>3430</v>
      </c>
      <c r="R426" s="544" t="s">
        <v>1674</v>
      </c>
      <c r="S426" s="544" t="s">
        <v>1674</v>
      </c>
      <c r="T426" s="550">
        <v>19</v>
      </c>
      <c r="U426" s="544" t="s">
        <v>3312</v>
      </c>
      <c r="V426" s="547">
        <v>1769</v>
      </c>
      <c r="W426" s="548"/>
      <c r="Y426" s="544" t="s">
        <v>1674</v>
      </c>
      <c r="AA426" s="544" t="s">
        <v>1674</v>
      </c>
      <c r="AE426" s="551"/>
      <c r="AF426" s="544" t="s">
        <v>1674</v>
      </c>
      <c r="AG426" s="544" t="s">
        <v>1674</v>
      </c>
      <c r="AH426" s="544" t="s">
        <v>1674</v>
      </c>
      <c r="AI426" s="544" t="s">
        <v>1674</v>
      </c>
      <c r="AJ426" s="544" t="s">
        <v>1674</v>
      </c>
      <c r="AK426" s="544" t="s">
        <v>1674</v>
      </c>
      <c r="AL426" s="544" t="s">
        <v>1674</v>
      </c>
      <c r="AM426" s="544" t="s">
        <v>3431</v>
      </c>
      <c r="AN426" s="544" t="s">
        <v>1674</v>
      </c>
      <c r="AP426" s="542">
        <f t="shared" si="14"/>
        <v>-124</v>
      </c>
      <c r="AR426" s="552">
        <f t="shared" si="13"/>
        <v>0</v>
      </c>
    </row>
    <row r="427" spans="1:44" outlineLevel="1" x14ac:dyDescent="0.25">
      <c r="A427" s="544" t="s">
        <v>1674</v>
      </c>
      <c r="B427" s="545">
        <v>0</v>
      </c>
      <c r="C427" s="544" t="s">
        <v>1674</v>
      </c>
      <c r="D427" s="544" t="s">
        <v>3443</v>
      </c>
      <c r="E427" s="542" t="s">
        <v>3440</v>
      </c>
      <c r="F427" s="542" t="s">
        <v>3441</v>
      </c>
      <c r="G427" s="546">
        <v>33.99</v>
      </c>
      <c r="H427" s="546"/>
      <c r="I427" s="546"/>
      <c r="J427" s="542" t="s">
        <v>806</v>
      </c>
      <c r="K427" s="547">
        <v>8400</v>
      </c>
      <c r="L427" s="542" t="s">
        <v>806</v>
      </c>
      <c r="M427" s="548"/>
      <c r="N427" s="549">
        <v>-185</v>
      </c>
      <c r="O427" s="544" t="s">
        <v>1674</v>
      </c>
      <c r="P427" s="544" t="s">
        <v>1674</v>
      </c>
      <c r="Q427" s="544" t="s">
        <v>3430</v>
      </c>
      <c r="R427" s="544" t="s">
        <v>2617</v>
      </c>
      <c r="S427" s="544" t="s">
        <v>1674</v>
      </c>
      <c r="T427" s="550">
        <v>19</v>
      </c>
      <c r="U427" s="544" t="s">
        <v>3312</v>
      </c>
      <c r="V427" s="547">
        <v>1770</v>
      </c>
      <c r="W427" s="548"/>
      <c r="Y427" s="544" t="s">
        <v>1674</v>
      </c>
      <c r="AA427" s="544" t="s">
        <v>1674</v>
      </c>
      <c r="AE427" s="551"/>
      <c r="AF427" s="544" t="s">
        <v>1674</v>
      </c>
      <c r="AG427" s="544" t="s">
        <v>1674</v>
      </c>
      <c r="AH427" s="544" t="s">
        <v>1674</v>
      </c>
      <c r="AI427" s="544" t="s">
        <v>1674</v>
      </c>
      <c r="AJ427" s="544" t="s">
        <v>1674</v>
      </c>
      <c r="AK427" s="544" t="s">
        <v>1674</v>
      </c>
      <c r="AL427" s="544" t="s">
        <v>1674</v>
      </c>
      <c r="AM427" s="544" t="s">
        <v>1674</v>
      </c>
      <c r="AN427" s="544" t="s">
        <v>1674</v>
      </c>
      <c r="AP427" s="542">
        <f t="shared" si="14"/>
        <v>-124</v>
      </c>
      <c r="AR427" s="552">
        <f t="shared" si="13"/>
        <v>0</v>
      </c>
    </row>
    <row r="428" spans="1:44" outlineLevel="1" x14ac:dyDescent="0.25">
      <c r="A428" s="544" t="s">
        <v>1674</v>
      </c>
      <c r="B428" s="545">
        <v>0</v>
      </c>
      <c r="C428" s="544" t="s">
        <v>1674</v>
      </c>
      <c r="D428" s="544" t="s">
        <v>3443</v>
      </c>
      <c r="E428" s="542" t="s">
        <v>3440</v>
      </c>
      <c r="F428" s="542" t="s">
        <v>3441</v>
      </c>
      <c r="G428" s="546">
        <v>9604.73</v>
      </c>
      <c r="H428" s="546"/>
      <c r="I428" s="546">
        <v>10281.6</v>
      </c>
      <c r="J428" s="542" t="s">
        <v>2701</v>
      </c>
      <c r="K428" s="547">
        <v>8401</v>
      </c>
      <c r="L428" s="542" t="s">
        <v>806</v>
      </c>
      <c r="M428" s="548"/>
      <c r="N428" s="549">
        <v>-185</v>
      </c>
      <c r="O428" s="544" t="s">
        <v>1674</v>
      </c>
      <c r="P428" s="544" t="s">
        <v>1674</v>
      </c>
      <c r="Q428" s="544" t="s">
        <v>3430</v>
      </c>
      <c r="R428" s="544" t="s">
        <v>1674</v>
      </c>
      <c r="S428" s="544" t="s">
        <v>1674</v>
      </c>
      <c r="T428" s="550">
        <v>19</v>
      </c>
      <c r="U428" s="544" t="s">
        <v>3312</v>
      </c>
      <c r="V428" s="547">
        <v>1771</v>
      </c>
      <c r="W428" s="548"/>
      <c r="Y428" s="544" t="s">
        <v>1674</v>
      </c>
      <c r="AA428" s="544" t="s">
        <v>1674</v>
      </c>
      <c r="AE428" s="551"/>
      <c r="AF428" s="544" t="s">
        <v>1674</v>
      </c>
      <c r="AG428" s="544" t="s">
        <v>1674</v>
      </c>
      <c r="AH428" s="544" t="s">
        <v>1674</v>
      </c>
      <c r="AI428" s="544" t="s">
        <v>1674</v>
      </c>
      <c r="AJ428" s="544" t="s">
        <v>1674</v>
      </c>
      <c r="AK428" s="544" t="s">
        <v>1674</v>
      </c>
      <c r="AL428" s="544" t="s">
        <v>1674</v>
      </c>
      <c r="AM428" s="544" t="s">
        <v>1674</v>
      </c>
      <c r="AN428" s="544" t="s">
        <v>1674</v>
      </c>
      <c r="AP428" s="542">
        <f t="shared" si="14"/>
        <v>-124</v>
      </c>
      <c r="AR428" s="552">
        <f t="shared" si="13"/>
        <v>10281.6</v>
      </c>
    </row>
    <row r="429" spans="1:44" outlineLevel="1" x14ac:dyDescent="0.25">
      <c r="A429" s="544" t="s">
        <v>1674</v>
      </c>
      <c r="B429" s="545">
        <v>30803</v>
      </c>
      <c r="C429" s="544" t="s">
        <v>2925</v>
      </c>
      <c r="D429" s="544" t="s">
        <v>3444</v>
      </c>
      <c r="E429" s="542" t="s">
        <v>3440</v>
      </c>
      <c r="F429" s="542" t="s">
        <v>3441</v>
      </c>
      <c r="G429" s="546">
        <v>6559.28</v>
      </c>
      <c r="H429" s="546"/>
      <c r="I429" s="546">
        <v>6559.28</v>
      </c>
      <c r="J429" s="542" t="s">
        <v>2701</v>
      </c>
      <c r="K429" s="547">
        <v>8400</v>
      </c>
      <c r="L429" s="542" t="s">
        <v>806</v>
      </c>
      <c r="M429" s="548"/>
      <c r="N429" s="549">
        <v>-185</v>
      </c>
      <c r="O429" s="544" t="s">
        <v>1674</v>
      </c>
      <c r="P429" s="544" t="s">
        <v>1674</v>
      </c>
      <c r="Q429" s="544" t="s">
        <v>3030</v>
      </c>
      <c r="R429" s="544" t="s">
        <v>1674</v>
      </c>
      <c r="S429" s="544" t="s">
        <v>1674</v>
      </c>
      <c r="T429" s="550">
        <v>19</v>
      </c>
      <c r="U429" s="544" t="s">
        <v>3312</v>
      </c>
      <c r="V429" s="547">
        <v>1768</v>
      </c>
      <c r="W429" s="548"/>
      <c r="Y429" s="544" t="s">
        <v>1674</v>
      </c>
      <c r="AA429" s="544" t="s">
        <v>1674</v>
      </c>
      <c r="AE429" s="551"/>
      <c r="AF429" s="544" t="s">
        <v>1674</v>
      </c>
      <c r="AG429" s="544" t="s">
        <v>1674</v>
      </c>
      <c r="AH429" s="544" t="s">
        <v>1674</v>
      </c>
      <c r="AI429" s="544" t="s">
        <v>1674</v>
      </c>
      <c r="AJ429" s="544" t="s">
        <v>1674</v>
      </c>
      <c r="AK429" s="544" t="s">
        <v>1674</v>
      </c>
      <c r="AL429" s="544" t="s">
        <v>1674</v>
      </c>
      <c r="AM429" s="544" t="s">
        <v>2928</v>
      </c>
      <c r="AN429" s="544" t="s">
        <v>1674</v>
      </c>
      <c r="AP429" s="542">
        <f t="shared" si="14"/>
        <v>-124</v>
      </c>
      <c r="AR429" s="552">
        <f t="shared" si="13"/>
        <v>6559.28</v>
      </c>
    </row>
    <row r="430" spans="1:44" outlineLevel="1" x14ac:dyDescent="0.25">
      <c r="A430" s="544" t="s">
        <v>1674</v>
      </c>
      <c r="B430" s="545">
        <v>10409</v>
      </c>
      <c r="C430" s="544" t="s">
        <v>3445</v>
      </c>
      <c r="D430" s="544" t="s">
        <v>3446</v>
      </c>
      <c r="E430" s="542" t="s">
        <v>3310</v>
      </c>
      <c r="F430" s="542" t="s">
        <v>3447</v>
      </c>
      <c r="G430" s="546">
        <v>427.21</v>
      </c>
      <c r="H430" s="546"/>
      <c r="I430" s="546">
        <v>427.21</v>
      </c>
      <c r="J430" s="542" t="s">
        <v>2701</v>
      </c>
      <c r="K430" s="547">
        <v>8400</v>
      </c>
      <c r="L430" s="542" t="s">
        <v>806</v>
      </c>
      <c r="M430" s="548"/>
      <c r="N430" s="549">
        <v>-184</v>
      </c>
      <c r="O430" s="544" t="s">
        <v>1674</v>
      </c>
      <c r="P430" s="544" t="s">
        <v>1674</v>
      </c>
      <c r="Q430" s="544" t="s">
        <v>3448</v>
      </c>
      <c r="R430" s="544" t="s">
        <v>1674</v>
      </c>
      <c r="S430" s="544" t="s">
        <v>1674</v>
      </c>
      <c r="T430" s="550">
        <v>19</v>
      </c>
      <c r="U430" s="544" t="s">
        <v>3312</v>
      </c>
      <c r="V430" s="547">
        <v>1899</v>
      </c>
      <c r="W430" s="548"/>
      <c r="Y430" s="544" t="s">
        <v>1674</v>
      </c>
      <c r="AA430" s="544" t="s">
        <v>1674</v>
      </c>
      <c r="AE430" s="551"/>
      <c r="AF430" s="544" t="s">
        <v>1674</v>
      </c>
      <c r="AG430" s="544" t="s">
        <v>1674</v>
      </c>
      <c r="AH430" s="544" t="s">
        <v>1674</v>
      </c>
      <c r="AI430" s="544" t="s">
        <v>1674</v>
      </c>
      <c r="AJ430" s="544" t="s">
        <v>1674</v>
      </c>
      <c r="AK430" s="544" t="s">
        <v>1674</v>
      </c>
      <c r="AL430" s="544" t="s">
        <v>1674</v>
      </c>
      <c r="AM430" s="544" t="s">
        <v>3449</v>
      </c>
      <c r="AN430" s="544" t="s">
        <v>1674</v>
      </c>
      <c r="AP430" s="542">
        <f t="shared" si="14"/>
        <v>-123</v>
      </c>
      <c r="AR430" s="552">
        <f t="shared" si="13"/>
        <v>427.21</v>
      </c>
    </row>
    <row r="431" spans="1:44" outlineLevel="1" x14ac:dyDescent="0.25">
      <c r="A431" s="544" t="s">
        <v>1674</v>
      </c>
      <c r="B431" s="545">
        <v>0</v>
      </c>
      <c r="C431" s="544" t="s">
        <v>1674</v>
      </c>
      <c r="D431" s="544" t="s">
        <v>3450</v>
      </c>
      <c r="E431" s="542" t="s">
        <v>3420</v>
      </c>
      <c r="F431" s="542" t="s">
        <v>3451</v>
      </c>
      <c r="G431" s="546">
        <v>217.06</v>
      </c>
      <c r="H431" s="546"/>
      <c r="I431" s="546">
        <v>217.06</v>
      </c>
      <c r="J431" s="542" t="s">
        <v>2701</v>
      </c>
      <c r="K431" s="547">
        <v>8400</v>
      </c>
      <c r="L431" s="542" t="s">
        <v>806</v>
      </c>
      <c r="M431" s="548"/>
      <c r="N431" s="549">
        <v>-182</v>
      </c>
      <c r="O431" s="544" t="s">
        <v>1674</v>
      </c>
      <c r="P431" s="544" t="s">
        <v>1674</v>
      </c>
      <c r="Q431" s="544" t="s">
        <v>3448</v>
      </c>
      <c r="R431" s="544" t="s">
        <v>2622</v>
      </c>
      <c r="S431" s="544" t="s">
        <v>1674</v>
      </c>
      <c r="T431" s="550">
        <v>19</v>
      </c>
      <c r="U431" s="544" t="s">
        <v>3415</v>
      </c>
      <c r="V431" s="547">
        <v>3</v>
      </c>
      <c r="W431" s="548"/>
      <c r="Y431" s="544" t="s">
        <v>1674</v>
      </c>
      <c r="AA431" s="544" t="s">
        <v>1674</v>
      </c>
      <c r="AE431" s="551"/>
      <c r="AF431" s="544" t="s">
        <v>1674</v>
      </c>
      <c r="AG431" s="544" t="s">
        <v>1674</v>
      </c>
      <c r="AH431" s="544" t="s">
        <v>1674</v>
      </c>
      <c r="AI431" s="544" t="s">
        <v>1674</v>
      </c>
      <c r="AJ431" s="544" t="s">
        <v>1674</v>
      </c>
      <c r="AK431" s="544" t="s">
        <v>1674</v>
      </c>
      <c r="AL431" s="544" t="s">
        <v>1674</v>
      </c>
      <c r="AM431" s="544" t="s">
        <v>1674</v>
      </c>
      <c r="AN431" s="544" t="s">
        <v>1674</v>
      </c>
      <c r="AP431" s="542">
        <f t="shared" si="14"/>
        <v>-121</v>
      </c>
      <c r="AR431" s="552">
        <f t="shared" si="13"/>
        <v>217.06</v>
      </c>
    </row>
    <row r="432" spans="1:44" outlineLevel="1" x14ac:dyDescent="0.25">
      <c r="A432" s="544" t="s">
        <v>1674</v>
      </c>
      <c r="B432" s="545">
        <v>11000</v>
      </c>
      <c r="C432" s="544" t="s">
        <v>2900</v>
      </c>
      <c r="D432" s="544" t="s">
        <v>3452</v>
      </c>
      <c r="E432" s="542" t="s">
        <v>3453</v>
      </c>
      <c r="F432" s="542" t="s">
        <v>3454</v>
      </c>
      <c r="G432" s="546">
        <v>240.62</v>
      </c>
      <c r="H432" s="546"/>
      <c r="I432" s="546"/>
      <c r="J432" s="542" t="s">
        <v>806</v>
      </c>
      <c r="K432" s="547">
        <v>8400</v>
      </c>
      <c r="L432" s="542" t="s">
        <v>806</v>
      </c>
      <c r="M432" s="548"/>
      <c r="N432" s="549">
        <v>-179</v>
      </c>
      <c r="O432" s="544" t="s">
        <v>1674</v>
      </c>
      <c r="P432" s="544" t="s">
        <v>1674</v>
      </c>
      <c r="Q432" s="544" t="s">
        <v>3250</v>
      </c>
      <c r="R432" s="544" t="s">
        <v>1674</v>
      </c>
      <c r="S432" s="544" t="s">
        <v>1674</v>
      </c>
      <c r="T432" s="550">
        <v>19</v>
      </c>
      <c r="U432" s="544" t="s">
        <v>3415</v>
      </c>
      <c r="V432" s="547">
        <v>39</v>
      </c>
      <c r="W432" s="548"/>
      <c r="Y432" s="544" t="s">
        <v>1674</v>
      </c>
      <c r="AA432" s="544" t="s">
        <v>1674</v>
      </c>
      <c r="AE432" s="551"/>
      <c r="AF432" s="544" t="s">
        <v>1674</v>
      </c>
      <c r="AG432" s="544" t="s">
        <v>1674</v>
      </c>
      <c r="AH432" s="544" t="s">
        <v>1674</v>
      </c>
      <c r="AI432" s="544" t="s">
        <v>1674</v>
      </c>
      <c r="AJ432" s="544" t="s">
        <v>1674</v>
      </c>
      <c r="AK432" s="544" t="s">
        <v>1674</v>
      </c>
      <c r="AL432" s="544" t="s">
        <v>1674</v>
      </c>
      <c r="AM432" s="544" t="s">
        <v>2900</v>
      </c>
      <c r="AN432" s="544" t="s">
        <v>1674</v>
      </c>
      <c r="AP432" s="542">
        <f t="shared" si="14"/>
        <v>-118</v>
      </c>
      <c r="AR432" s="552">
        <f t="shared" si="13"/>
        <v>0</v>
      </c>
    </row>
    <row r="433" spans="1:44" outlineLevel="1" x14ac:dyDescent="0.25">
      <c r="A433" s="544" t="s">
        <v>1674</v>
      </c>
      <c r="B433" s="545">
        <v>0</v>
      </c>
      <c r="C433" s="544" t="s">
        <v>1674</v>
      </c>
      <c r="D433" s="544" t="s">
        <v>3452</v>
      </c>
      <c r="E433" s="542" t="s">
        <v>3453</v>
      </c>
      <c r="F433" s="542" t="s">
        <v>3454</v>
      </c>
      <c r="G433" s="546">
        <v>22.49</v>
      </c>
      <c r="H433" s="546"/>
      <c r="I433" s="546"/>
      <c r="J433" s="542" t="s">
        <v>806</v>
      </c>
      <c r="K433" s="547">
        <v>8400</v>
      </c>
      <c r="L433" s="542" t="s">
        <v>806</v>
      </c>
      <c r="M433" s="548"/>
      <c r="N433" s="549">
        <v>-179</v>
      </c>
      <c r="O433" s="544" t="s">
        <v>1674</v>
      </c>
      <c r="P433" s="544" t="s">
        <v>1674</v>
      </c>
      <c r="Q433" s="544" t="s">
        <v>3250</v>
      </c>
      <c r="R433" s="544" t="s">
        <v>2617</v>
      </c>
      <c r="S433" s="544" t="s">
        <v>1674</v>
      </c>
      <c r="T433" s="550">
        <v>19</v>
      </c>
      <c r="U433" s="544" t="s">
        <v>3415</v>
      </c>
      <c r="V433" s="547">
        <v>40</v>
      </c>
      <c r="W433" s="548"/>
      <c r="Y433" s="544" t="s">
        <v>1674</v>
      </c>
      <c r="AA433" s="544" t="s">
        <v>1674</v>
      </c>
      <c r="AE433" s="551"/>
      <c r="AF433" s="544" t="s">
        <v>1674</v>
      </c>
      <c r="AG433" s="544" t="s">
        <v>1674</v>
      </c>
      <c r="AH433" s="544" t="s">
        <v>1674</v>
      </c>
      <c r="AI433" s="544" t="s">
        <v>1674</v>
      </c>
      <c r="AJ433" s="544" t="s">
        <v>1674</v>
      </c>
      <c r="AK433" s="544" t="s">
        <v>1674</v>
      </c>
      <c r="AL433" s="544" t="s">
        <v>1674</v>
      </c>
      <c r="AM433" s="544" t="s">
        <v>1674</v>
      </c>
      <c r="AN433" s="544" t="s">
        <v>1674</v>
      </c>
      <c r="AP433" s="542">
        <f t="shared" si="14"/>
        <v>-118</v>
      </c>
      <c r="AR433" s="552">
        <f t="shared" si="13"/>
        <v>0</v>
      </c>
    </row>
    <row r="434" spans="1:44" outlineLevel="1" x14ac:dyDescent="0.25">
      <c r="A434" s="544" t="s">
        <v>1674</v>
      </c>
      <c r="B434" s="545">
        <v>0</v>
      </c>
      <c r="C434" s="544" t="s">
        <v>1674</v>
      </c>
      <c r="D434" s="544" t="s">
        <v>3452</v>
      </c>
      <c r="E434" s="542" t="s">
        <v>3453</v>
      </c>
      <c r="F434" s="542" t="s">
        <v>3454</v>
      </c>
      <c r="G434" s="546">
        <v>3592.49</v>
      </c>
      <c r="H434" s="546"/>
      <c r="I434" s="546">
        <v>3855.6</v>
      </c>
      <c r="J434" s="542" t="s">
        <v>2701</v>
      </c>
      <c r="K434" s="547">
        <v>8401</v>
      </c>
      <c r="L434" s="542" t="s">
        <v>806</v>
      </c>
      <c r="M434" s="548"/>
      <c r="N434" s="549">
        <v>-179</v>
      </c>
      <c r="O434" s="544" t="s">
        <v>1674</v>
      </c>
      <c r="P434" s="544" t="s">
        <v>1674</v>
      </c>
      <c r="Q434" s="544" t="s">
        <v>3250</v>
      </c>
      <c r="R434" s="544" t="s">
        <v>1674</v>
      </c>
      <c r="S434" s="544" t="s">
        <v>1674</v>
      </c>
      <c r="T434" s="550">
        <v>19</v>
      </c>
      <c r="U434" s="544" t="s">
        <v>3415</v>
      </c>
      <c r="V434" s="547">
        <v>41</v>
      </c>
      <c r="W434" s="548"/>
      <c r="Y434" s="544" t="s">
        <v>1674</v>
      </c>
      <c r="AA434" s="544" t="s">
        <v>1674</v>
      </c>
      <c r="AE434" s="551"/>
      <c r="AF434" s="544" t="s">
        <v>1674</v>
      </c>
      <c r="AG434" s="544" t="s">
        <v>1674</v>
      </c>
      <c r="AH434" s="544" t="s">
        <v>1674</v>
      </c>
      <c r="AI434" s="544" t="s">
        <v>1674</v>
      </c>
      <c r="AJ434" s="544" t="s">
        <v>1674</v>
      </c>
      <c r="AK434" s="544" t="s">
        <v>1674</v>
      </c>
      <c r="AL434" s="544" t="s">
        <v>1674</v>
      </c>
      <c r="AM434" s="544" t="s">
        <v>1674</v>
      </c>
      <c r="AN434" s="544" t="s">
        <v>1674</v>
      </c>
      <c r="AP434" s="542">
        <f t="shared" si="14"/>
        <v>-118</v>
      </c>
      <c r="AR434" s="552">
        <f t="shared" si="13"/>
        <v>3855.6</v>
      </c>
    </row>
    <row r="435" spans="1:44" outlineLevel="1" x14ac:dyDescent="0.25">
      <c r="A435" s="544" t="s">
        <v>1674</v>
      </c>
      <c r="B435" s="545">
        <v>21606</v>
      </c>
      <c r="C435" s="544" t="s">
        <v>3051</v>
      </c>
      <c r="D435" s="544" t="s">
        <v>3455</v>
      </c>
      <c r="E435" s="542" t="s">
        <v>3456</v>
      </c>
      <c r="F435" s="542" t="s">
        <v>3457</v>
      </c>
      <c r="G435" s="546">
        <v>4186.2</v>
      </c>
      <c r="H435" s="546"/>
      <c r="I435" s="546"/>
      <c r="J435" s="542" t="s">
        <v>806</v>
      </c>
      <c r="K435" s="547">
        <v>8125</v>
      </c>
      <c r="L435" s="542" t="s">
        <v>806</v>
      </c>
      <c r="M435" s="548"/>
      <c r="N435" s="549">
        <v>-178</v>
      </c>
      <c r="O435" s="544" t="s">
        <v>1674</v>
      </c>
      <c r="P435" s="544" t="s">
        <v>1674</v>
      </c>
      <c r="Q435" s="544" t="s">
        <v>3053</v>
      </c>
      <c r="R435" s="544" t="s">
        <v>1674</v>
      </c>
      <c r="S435" s="544" t="s">
        <v>1674</v>
      </c>
      <c r="T435" s="550"/>
      <c r="U435" s="544" t="s">
        <v>3415</v>
      </c>
      <c r="V435" s="547">
        <v>55</v>
      </c>
      <c r="W435" s="548"/>
      <c r="Y435" s="544" t="s">
        <v>1674</v>
      </c>
      <c r="AA435" s="544" t="s">
        <v>1674</v>
      </c>
      <c r="AE435" s="551"/>
      <c r="AF435" s="544" t="s">
        <v>1674</v>
      </c>
      <c r="AG435" s="544" t="s">
        <v>1674</v>
      </c>
      <c r="AH435" s="544" t="s">
        <v>1674</v>
      </c>
      <c r="AI435" s="544" t="s">
        <v>1674</v>
      </c>
      <c r="AJ435" s="544" t="s">
        <v>1674</v>
      </c>
      <c r="AK435" s="544" t="s">
        <v>1674</v>
      </c>
      <c r="AL435" s="544" t="s">
        <v>1674</v>
      </c>
      <c r="AM435" s="544" t="s">
        <v>3054</v>
      </c>
      <c r="AN435" s="544" t="s">
        <v>1674</v>
      </c>
      <c r="AP435" s="542">
        <f t="shared" si="14"/>
        <v>-117</v>
      </c>
      <c r="AR435" s="552">
        <f t="shared" si="13"/>
        <v>0</v>
      </c>
    </row>
    <row r="436" spans="1:44" outlineLevel="1" x14ac:dyDescent="0.25">
      <c r="A436" s="544" t="s">
        <v>1674</v>
      </c>
      <c r="B436" s="545">
        <v>0</v>
      </c>
      <c r="C436" s="544" t="s">
        <v>1674</v>
      </c>
      <c r="D436" s="544" t="s">
        <v>3455</v>
      </c>
      <c r="E436" s="542" t="s">
        <v>3456</v>
      </c>
      <c r="F436" s="542" t="s">
        <v>3457</v>
      </c>
      <c r="G436" s="546">
        <v>13.8</v>
      </c>
      <c r="H436" s="546"/>
      <c r="I436" s="546">
        <v>4200</v>
      </c>
      <c r="J436" s="542" t="s">
        <v>2701</v>
      </c>
      <c r="K436" s="547">
        <v>8125</v>
      </c>
      <c r="L436" s="542" t="s">
        <v>806</v>
      </c>
      <c r="M436" s="548"/>
      <c r="N436" s="549">
        <v>-178</v>
      </c>
      <c r="O436" s="544" t="s">
        <v>1674</v>
      </c>
      <c r="P436" s="544" t="s">
        <v>1674</v>
      </c>
      <c r="Q436" s="544" t="s">
        <v>3053</v>
      </c>
      <c r="R436" s="544" t="s">
        <v>2617</v>
      </c>
      <c r="S436" s="544" t="s">
        <v>1674</v>
      </c>
      <c r="T436" s="550"/>
      <c r="U436" s="544" t="s">
        <v>3415</v>
      </c>
      <c r="V436" s="547">
        <v>56</v>
      </c>
      <c r="W436" s="548"/>
      <c r="Y436" s="544" t="s">
        <v>1674</v>
      </c>
      <c r="AA436" s="544" t="s">
        <v>1674</v>
      </c>
      <c r="AE436" s="551"/>
      <c r="AF436" s="544" t="s">
        <v>1674</v>
      </c>
      <c r="AG436" s="544" t="s">
        <v>1674</v>
      </c>
      <c r="AH436" s="544" t="s">
        <v>1674</v>
      </c>
      <c r="AI436" s="544" t="s">
        <v>1674</v>
      </c>
      <c r="AJ436" s="544" t="s">
        <v>1674</v>
      </c>
      <c r="AK436" s="544" t="s">
        <v>1674</v>
      </c>
      <c r="AL436" s="544" t="s">
        <v>1674</v>
      </c>
      <c r="AM436" s="544" t="s">
        <v>1674</v>
      </c>
      <c r="AN436" s="544" t="s">
        <v>1674</v>
      </c>
      <c r="AP436" s="542">
        <f t="shared" si="14"/>
        <v>-117</v>
      </c>
      <c r="AR436" s="552">
        <f t="shared" si="13"/>
        <v>4200</v>
      </c>
    </row>
    <row r="437" spans="1:44" outlineLevel="1" x14ac:dyDescent="0.25">
      <c r="A437" s="544" t="s">
        <v>1674</v>
      </c>
      <c r="B437" s="545">
        <v>31905</v>
      </c>
      <c r="C437" s="544" t="s">
        <v>2974</v>
      </c>
      <c r="D437" s="544" t="s">
        <v>3458</v>
      </c>
      <c r="E437" s="542" t="s">
        <v>3459</v>
      </c>
      <c r="F437" s="542" t="s">
        <v>3460</v>
      </c>
      <c r="G437" s="546">
        <v>180</v>
      </c>
      <c r="H437" s="546"/>
      <c r="I437" s="546"/>
      <c r="J437" s="542" t="s">
        <v>806</v>
      </c>
      <c r="K437" s="547">
        <v>8120</v>
      </c>
      <c r="L437" s="542" t="s">
        <v>806</v>
      </c>
      <c r="M437" s="548"/>
      <c r="N437" s="549">
        <v>-172</v>
      </c>
      <c r="O437" s="544" t="s">
        <v>1674</v>
      </c>
      <c r="P437" s="544" t="s">
        <v>1674</v>
      </c>
      <c r="Q437" s="544" t="s">
        <v>2976</v>
      </c>
      <c r="R437" s="544" t="s">
        <v>2622</v>
      </c>
      <c r="S437" s="544" t="s">
        <v>1674</v>
      </c>
      <c r="T437" s="550"/>
      <c r="U437" s="544" t="s">
        <v>3415</v>
      </c>
      <c r="V437" s="547">
        <v>133</v>
      </c>
      <c r="W437" s="548"/>
      <c r="Y437" s="544" t="s">
        <v>1674</v>
      </c>
      <c r="AA437" s="544" t="s">
        <v>1674</v>
      </c>
      <c r="AE437" s="551"/>
      <c r="AF437" s="544" t="s">
        <v>1674</v>
      </c>
      <c r="AG437" s="544" t="s">
        <v>1674</v>
      </c>
      <c r="AH437" s="544" t="s">
        <v>1674</v>
      </c>
      <c r="AI437" s="544" t="s">
        <v>1674</v>
      </c>
      <c r="AJ437" s="544" t="s">
        <v>1674</v>
      </c>
      <c r="AK437" s="544" t="s">
        <v>1674</v>
      </c>
      <c r="AL437" s="544" t="s">
        <v>1674</v>
      </c>
      <c r="AM437" s="544" t="s">
        <v>2977</v>
      </c>
      <c r="AN437" s="544" t="s">
        <v>1674</v>
      </c>
      <c r="AP437" s="542">
        <f t="shared" si="14"/>
        <v>-111</v>
      </c>
      <c r="AR437" s="552">
        <f t="shared" si="13"/>
        <v>0</v>
      </c>
    </row>
    <row r="438" spans="1:44" outlineLevel="1" x14ac:dyDescent="0.25">
      <c r="A438" s="544" t="s">
        <v>1674</v>
      </c>
      <c r="B438" s="545">
        <v>0</v>
      </c>
      <c r="C438" s="544" t="s">
        <v>1674</v>
      </c>
      <c r="D438" s="544" t="s">
        <v>3458</v>
      </c>
      <c r="E438" s="542" t="s">
        <v>3459</v>
      </c>
      <c r="F438" s="542" t="s">
        <v>3460</v>
      </c>
      <c r="G438" s="546">
        <v>740</v>
      </c>
      <c r="H438" s="546"/>
      <c r="I438" s="546">
        <v>920</v>
      </c>
      <c r="J438" s="542" t="s">
        <v>2701</v>
      </c>
      <c r="K438" s="547">
        <v>8120</v>
      </c>
      <c r="L438" s="542" t="s">
        <v>806</v>
      </c>
      <c r="M438" s="548"/>
      <c r="N438" s="549">
        <v>-172</v>
      </c>
      <c r="O438" s="544" t="s">
        <v>1674</v>
      </c>
      <c r="P438" s="544" t="s">
        <v>1674</v>
      </c>
      <c r="Q438" s="544" t="s">
        <v>2976</v>
      </c>
      <c r="R438" s="544" t="s">
        <v>1674</v>
      </c>
      <c r="S438" s="544" t="s">
        <v>1674</v>
      </c>
      <c r="T438" s="550"/>
      <c r="U438" s="544" t="s">
        <v>3415</v>
      </c>
      <c r="V438" s="547">
        <v>134</v>
      </c>
      <c r="W438" s="548"/>
      <c r="Y438" s="544" t="s">
        <v>1674</v>
      </c>
      <c r="AA438" s="544" t="s">
        <v>1674</v>
      </c>
      <c r="AE438" s="551"/>
      <c r="AF438" s="544" t="s">
        <v>1674</v>
      </c>
      <c r="AG438" s="544" t="s">
        <v>1674</v>
      </c>
      <c r="AH438" s="544" t="s">
        <v>1674</v>
      </c>
      <c r="AI438" s="544" t="s">
        <v>1674</v>
      </c>
      <c r="AJ438" s="544" t="s">
        <v>1674</v>
      </c>
      <c r="AK438" s="544" t="s">
        <v>1674</v>
      </c>
      <c r="AL438" s="544" t="s">
        <v>1674</v>
      </c>
      <c r="AM438" s="544" t="s">
        <v>1674</v>
      </c>
      <c r="AN438" s="544" t="s">
        <v>1674</v>
      </c>
      <c r="AP438" s="542">
        <f t="shared" si="14"/>
        <v>-111</v>
      </c>
      <c r="AR438" s="552">
        <f t="shared" si="13"/>
        <v>920</v>
      </c>
    </row>
    <row r="439" spans="1:44" outlineLevel="1" x14ac:dyDescent="0.25">
      <c r="A439" s="544" t="s">
        <v>1674</v>
      </c>
      <c r="B439" s="545">
        <v>20301</v>
      </c>
      <c r="C439" s="544" t="s">
        <v>2981</v>
      </c>
      <c r="D439" s="544" t="s">
        <v>3461</v>
      </c>
      <c r="E439" s="542" t="s">
        <v>3438</v>
      </c>
      <c r="G439" s="546"/>
      <c r="H439" s="546">
        <v>93.5</v>
      </c>
      <c r="I439" s="546">
        <v>93.5</v>
      </c>
      <c r="J439" s="542" t="s">
        <v>2584</v>
      </c>
      <c r="K439" s="547">
        <v>8125</v>
      </c>
      <c r="L439" s="542" t="s">
        <v>806</v>
      </c>
      <c r="M439" s="548"/>
      <c r="N439" s="549"/>
      <c r="O439" s="544" t="s">
        <v>1674</v>
      </c>
      <c r="P439" s="544" t="s">
        <v>1674</v>
      </c>
      <c r="Q439" s="544" t="s">
        <v>2983</v>
      </c>
      <c r="R439" s="544" t="s">
        <v>2984</v>
      </c>
      <c r="S439" s="544" t="s">
        <v>1674</v>
      </c>
      <c r="T439" s="550"/>
      <c r="U439" s="544" t="s">
        <v>3415</v>
      </c>
      <c r="V439" s="547">
        <v>189</v>
      </c>
      <c r="W439" s="548"/>
      <c r="Y439" s="544" t="s">
        <v>1674</v>
      </c>
      <c r="AA439" s="544" t="s">
        <v>1674</v>
      </c>
      <c r="AE439" s="551"/>
      <c r="AF439" s="544" t="s">
        <v>1674</v>
      </c>
      <c r="AG439" s="544" t="s">
        <v>1674</v>
      </c>
      <c r="AH439" s="544" t="s">
        <v>1674</v>
      </c>
      <c r="AI439" s="544" t="s">
        <v>1674</v>
      </c>
      <c r="AJ439" s="544" t="s">
        <v>1674</v>
      </c>
      <c r="AK439" s="544" t="s">
        <v>1674</v>
      </c>
      <c r="AL439" s="544" t="s">
        <v>1674</v>
      </c>
      <c r="AM439" s="544" t="s">
        <v>2985</v>
      </c>
      <c r="AN439" s="544" t="s">
        <v>1674</v>
      </c>
      <c r="AP439" s="542">
        <f t="shared" si="14"/>
        <v>0</v>
      </c>
      <c r="AR439" s="552">
        <f t="shared" si="13"/>
        <v>-93.5</v>
      </c>
    </row>
    <row r="440" spans="1:44" outlineLevel="1" x14ac:dyDescent="0.25">
      <c r="A440" s="544" t="s">
        <v>1674</v>
      </c>
      <c r="B440" s="545">
        <v>21606</v>
      </c>
      <c r="C440" s="544" t="s">
        <v>3051</v>
      </c>
      <c r="D440" s="544" t="s">
        <v>3462</v>
      </c>
      <c r="E440" s="542" t="s">
        <v>3438</v>
      </c>
      <c r="F440" s="542" t="s">
        <v>3463</v>
      </c>
      <c r="G440" s="546">
        <v>1272.5</v>
      </c>
      <c r="H440" s="546"/>
      <c r="I440" s="546">
        <v>1272.5</v>
      </c>
      <c r="J440" s="542" t="s">
        <v>2701</v>
      </c>
      <c r="K440" s="547">
        <v>8125</v>
      </c>
      <c r="L440" s="542" t="s">
        <v>806</v>
      </c>
      <c r="M440" s="548"/>
      <c r="N440" s="549">
        <v>-170</v>
      </c>
      <c r="O440" s="544" t="s">
        <v>1674</v>
      </c>
      <c r="P440" s="544" t="s">
        <v>1674</v>
      </c>
      <c r="Q440" s="544" t="s">
        <v>3053</v>
      </c>
      <c r="R440" s="544" t="s">
        <v>1674</v>
      </c>
      <c r="S440" s="544" t="s">
        <v>1674</v>
      </c>
      <c r="T440" s="550"/>
      <c r="U440" s="544" t="s">
        <v>3415</v>
      </c>
      <c r="V440" s="547">
        <v>168</v>
      </c>
      <c r="W440" s="548"/>
      <c r="Y440" s="544" t="s">
        <v>1674</v>
      </c>
      <c r="AA440" s="544" t="s">
        <v>1674</v>
      </c>
      <c r="AE440" s="551"/>
      <c r="AF440" s="544" t="s">
        <v>1674</v>
      </c>
      <c r="AG440" s="544" t="s">
        <v>1674</v>
      </c>
      <c r="AH440" s="544" t="s">
        <v>1674</v>
      </c>
      <c r="AI440" s="544" t="s">
        <v>1674</v>
      </c>
      <c r="AJ440" s="544" t="s">
        <v>1674</v>
      </c>
      <c r="AK440" s="544" t="s">
        <v>1674</v>
      </c>
      <c r="AL440" s="544" t="s">
        <v>1674</v>
      </c>
      <c r="AM440" s="544" t="s">
        <v>3054</v>
      </c>
      <c r="AN440" s="544" t="s">
        <v>1674</v>
      </c>
      <c r="AP440" s="542">
        <f t="shared" si="14"/>
        <v>-109</v>
      </c>
      <c r="AR440" s="552">
        <f t="shared" si="13"/>
        <v>1272.5</v>
      </c>
    </row>
    <row r="441" spans="1:44" outlineLevel="1" x14ac:dyDescent="0.25">
      <c r="A441" s="544" t="s">
        <v>1674</v>
      </c>
      <c r="B441" s="545">
        <v>0</v>
      </c>
      <c r="C441" s="544" t="s">
        <v>1674</v>
      </c>
      <c r="D441" s="544" t="s">
        <v>3464</v>
      </c>
      <c r="E441" s="542" t="s">
        <v>3438</v>
      </c>
      <c r="F441" s="542" t="s">
        <v>3463</v>
      </c>
      <c r="G441" s="546">
        <v>153.15</v>
      </c>
      <c r="H441" s="546"/>
      <c r="I441" s="546">
        <v>153.15</v>
      </c>
      <c r="J441" s="542" t="s">
        <v>2701</v>
      </c>
      <c r="K441" s="547">
        <v>8125</v>
      </c>
      <c r="L441" s="542" t="s">
        <v>806</v>
      </c>
      <c r="M441" s="548"/>
      <c r="N441" s="549">
        <v>-170</v>
      </c>
      <c r="O441" s="544" t="s">
        <v>1674</v>
      </c>
      <c r="P441" s="544" t="s">
        <v>1674</v>
      </c>
      <c r="Q441" s="544" t="s">
        <v>3053</v>
      </c>
      <c r="R441" s="544" t="s">
        <v>1674</v>
      </c>
      <c r="S441" s="544" t="s">
        <v>1674</v>
      </c>
      <c r="T441" s="550"/>
      <c r="U441" s="544" t="s">
        <v>3415</v>
      </c>
      <c r="V441" s="547">
        <v>190</v>
      </c>
      <c r="W441" s="548"/>
      <c r="Y441" s="544" t="s">
        <v>1674</v>
      </c>
      <c r="AA441" s="544" t="s">
        <v>1674</v>
      </c>
      <c r="AE441" s="551"/>
      <c r="AF441" s="544" t="s">
        <v>1674</v>
      </c>
      <c r="AG441" s="544" t="s">
        <v>1674</v>
      </c>
      <c r="AH441" s="544" t="s">
        <v>1674</v>
      </c>
      <c r="AI441" s="544" t="s">
        <v>1674</v>
      </c>
      <c r="AJ441" s="544" t="s">
        <v>1674</v>
      </c>
      <c r="AK441" s="544" t="s">
        <v>1674</v>
      </c>
      <c r="AL441" s="544" t="s">
        <v>1674</v>
      </c>
      <c r="AM441" s="544" t="s">
        <v>1674</v>
      </c>
      <c r="AN441" s="544" t="s">
        <v>1674</v>
      </c>
      <c r="AP441" s="542">
        <f t="shared" si="14"/>
        <v>-109</v>
      </c>
      <c r="AR441" s="552">
        <f t="shared" si="13"/>
        <v>153.15</v>
      </c>
    </row>
    <row r="442" spans="1:44" outlineLevel="1" x14ac:dyDescent="0.25">
      <c r="A442" s="544" t="s">
        <v>1674</v>
      </c>
      <c r="B442" s="545">
        <v>30205</v>
      </c>
      <c r="C442" s="544" t="s">
        <v>3465</v>
      </c>
      <c r="D442" s="544" t="s">
        <v>3466</v>
      </c>
      <c r="E442" s="542" t="s">
        <v>3413</v>
      </c>
      <c r="F442" s="542" t="s">
        <v>3467</v>
      </c>
      <c r="G442" s="546">
        <v>327</v>
      </c>
      <c r="H442" s="546"/>
      <c r="I442" s="546">
        <v>327</v>
      </c>
      <c r="J442" s="542" t="s">
        <v>2701</v>
      </c>
      <c r="K442" s="547">
        <v>8120</v>
      </c>
      <c r="L442" s="542" t="s">
        <v>806</v>
      </c>
      <c r="M442" s="548"/>
      <c r="N442" s="549">
        <v>-169</v>
      </c>
      <c r="O442" s="544" t="s">
        <v>1674</v>
      </c>
      <c r="P442" s="544" t="s">
        <v>1674</v>
      </c>
      <c r="Q442" s="544" t="s">
        <v>3468</v>
      </c>
      <c r="R442" s="544" t="s">
        <v>1674</v>
      </c>
      <c r="S442" s="544" t="s">
        <v>1674</v>
      </c>
      <c r="T442" s="550"/>
      <c r="U442" s="544" t="s">
        <v>3415</v>
      </c>
      <c r="V442" s="547">
        <v>197</v>
      </c>
      <c r="W442" s="548"/>
      <c r="Y442" s="544" t="s">
        <v>1674</v>
      </c>
      <c r="AA442" s="544" t="s">
        <v>1674</v>
      </c>
      <c r="AE442" s="551"/>
      <c r="AF442" s="544" t="s">
        <v>1674</v>
      </c>
      <c r="AG442" s="544" t="s">
        <v>1674</v>
      </c>
      <c r="AH442" s="544" t="s">
        <v>1674</v>
      </c>
      <c r="AI442" s="544" t="s">
        <v>1674</v>
      </c>
      <c r="AJ442" s="544" t="s">
        <v>1674</v>
      </c>
      <c r="AK442" s="544" t="s">
        <v>1674</v>
      </c>
      <c r="AL442" s="544" t="s">
        <v>1674</v>
      </c>
      <c r="AM442" s="544" t="s">
        <v>3469</v>
      </c>
      <c r="AN442" s="544" t="s">
        <v>1674</v>
      </c>
      <c r="AP442" s="542">
        <f t="shared" si="14"/>
        <v>-108</v>
      </c>
      <c r="AR442" s="552">
        <f t="shared" si="13"/>
        <v>327</v>
      </c>
    </row>
    <row r="443" spans="1:44" outlineLevel="1" x14ac:dyDescent="0.25">
      <c r="A443" s="544" t="s">
        <v>1674</v>
      </c>
      <c r="B443" s="545">
        <v>10700</v>
      </c>
      <c r="C443" s="544" t="s">
        <v>2836</v>
      </c>
      <c r="D443" s="544" t="s">
        <v>3470</v>
      </c>
      <c r="E443" s="542" t="s">
        <v>3471</v>
      </c>
      <c r="F443" s="542" t="s">
        <v>3472</v>
      </c>
      <c r="G443" s="546">
        <v>888.93</v>
      </c>
      <c r="H443" s="546"/>
      <c r="I443" s="546">
        <v>888.93</v>
      </c>
      <c r="J443" s="542" t="s">
        <v>2701</v>
      </c>
      <c r="K443" s="547">
        <v>8400</v>
      </c>
      <c r="L443" s="542" t="s">
        <v>806</v>
      </c>
      <c r="M443" s="548"/>
      <c r="N443" s="549">
        <v>-168</v>
      </c>
      <c r="O443" s="544" t="s">
        <v>1674</v>
      </c>
      <c r="P443" s="544" t="s">
        <v>1674</v>
      </c>
      <c r="Q443" s="544" t="s">
        <v>2839</v>
      </c>
      <c r="R443" s="544" t="s">
        <v>1674</v>
      </c>
      <c r="S443" s="544" t="s">
        <v>1674</v>
      </c>
      <c r="T443" s="550">
        <v>19</v>
      </c>
      <c r="U443" s="544" t="s">
        <v>3415</v>
      </c>
      <c r="V443" s="547">
        <v>231</v>
      </c>
      <c r="W443" s="548"/>
      <c r="Y443" s="544" t="s">
        <v>1674</v>
      </c>
      <c r="AA443" s="544" t="s">
        <v>1674</v>
      </c>
      <c r="AE443" s="551"/>
      <c r="AF443" s="544" t="s">
        <v>1674</v>
      </c>
      <c r="AG443" s="544" t="s">
        <v>1674</v>
      </c>
      <c r="AH443" s="544" t="s">
        <v>1674</v>
      </c>
      <c r="AI443" s="544" t="s">
        <v>1674</v>
      </c>
      <c r="AJ443" s="544" t="s">
        <v>1674</v>
      </c>
      <c r="AK443" s="544" t="s">
        <v>1674</v>
      </c>
      <c r="AL443" s="544" t="s">
        <v>1674</v>
      </c>
      <c r="AM443" s="544" t="s">
        <v>2836</v>
      </c>
      <c r="AN443" s="544" t="s">
        <v>1674</v>
      </c>
      <c r="AP443" s="542">
        <f t="shared" si="14"/>
        <v>-107</v>
      </c>
      <c r="AR443" s="552">
        <f t="shared" si="13"/>
        <v>888.93</v>
      </c>
    </row>
    <row r="444" spans="1:44" outlineLevel="1" x14ac:dyDescent="0.25">
      <c r="A444" s="544" t="s">
        <v>1674</v>
      </c>
      <c r="B444" s="545">
        <v>30803</v>
      </c>
      <c r="C444" s="544" t="s">
        <v>2925</v>
      </c>
      <c r="D444" s="544" t="s">
        <v>3473</v>
      </c>
      <c r="E444" s="542" t="s">
        <v>3474</v>
      </c>
      <c r="F444" s="542" t="s">
        <v>3475</v>
      </c>
      <c r="G444" s="546">
        <v>2909.55</v>
      </c>
      <c r="H444" s="546"/>
      <c r="I444" s="546">
        <v>2909.55</v>
      </c>
      <c r="J444" s="542" t="s">
        <v>2701</v>
      </c>
      <c r="K444" s="547">
        <v>8400</v>
      </c>
      <c r="L444" s="542" t="s">
        <v>806</v>
      </c>
      <c r="M444" s="548"/>
      <c r="N444" s="549">
        <v>-164</v>
      </c>
      <c r="O444" s="544" t="s">
        <v>1674</v>
      </c>
      <c r="P444" s="544" t="s">
        <v>1674</v>
      </c>
      <c r="Q444" s="544" t="s">
        <v>3030</v>
      </c>
      <c r="R444" s="544" t="s">
        <v>1674</v>
      </c>
      <c r="S444" s="544" t="s">
        <v>1674</v>
      </c>
      <c r="T444" s="550">
        <v>19</v>
      </c>
      <c r="U444" s="544" t="s">
        <v>3415</v>
      </c>
      <c r="V444" s="547">
        <v>294</v>
      </c>
      <c r="W444" s="548"/>
      <c r="Y444" s="544" t="s">
        <v>1674</v>
      </c>
      <c r="AA444" s="544" t="s">
        <v>1674</v>
      </c>
      <c r="AE444" s="551"/>
      <c r="AF444" s="544" t="s">
        <v>1674</v>
      </c>
      <c r="AG444" s="544" t="s">
        <v>1674</v>
      </c>
      <c r="AH444" s="544" t="s">
        <v>1674</v>
      </c>
      <c r="AI444" s="544" t="s">
        <v>1674</v>
      </c>
      <c r="AJ444" s="544" t="s">
        <v>1674</v>
      </c>
      <c r="AK444" s="544" t="s">
        <v>1674</v>
      </c>
      <c r="AL444" s="544" t="s">
        <v>1674</v>
      </c>
      <c r="AM444" s="544" t="s">
        <v>2928</v>
      </c>
      <c r="AN444" s="544" t="s">
        <v>1674</v>
      </c>
      <c r="AP444" s="542">
        <f t="shared" si="14"/>
        <v>-103</v>
      </c>
      <c r="AR444" s="552">
        <f t="shared" si="13"/>
        <v>2909.55</v>
      </c>
    </row>
    <row r="445" spans="1:44" outlineLevel="1" x14ac:dyDescent="0.25">
      <c r="A445" s="544" t="s">
        <v>1674</v>
      </c>
      <c r="B445" s="545">
        <v>11600</v>
      </c>
      <c r="C445" s="544" t="s">
        <v>2782</v>
      </c>
      <c r="D445" s="544" t="s">
        <v>3476</v>
      </c>
      <c r="E445" s="542" t="s">
        <v>3477</v>
      </c>
      <c r="F445" s="542" t="s">
        <v>3478</v>
      </c>
      <c r="G445" s="546">
        <v>476.67</v>
      </c>
      <c r="H445" s="546"/>
      <c r="I445" s="546"/>
      <c r="J445" s="542" t="s">
        <v>806</v>
      </c>
      <c r="K445" s="547">
        <v>8400</v>
      </c>
      <c r="L445" s="542" t="s">
        <v>806</v>
      </c>
      <c r="M445" s="548"/>
      <c r="N445" s="549">
        <v>-163</v>
      </c>
      <c r="O445" s="544" t="s">
        <v>1674</v>
      </c>
      <c r="P445" s="544" t="s">
        <v>1674</v>
      </c>
      <c r="Q445" s="544" t="s">
        <v>3479</v>
      </c>
      <c r="R445" s="544" t="s">
        <v>1674</v>
      </c>
      <c r="S445" s="544" t="s">
        <v>1674</v>
      </c>
      <c r="T445" s="550">
        <v>19</v>
      </c>
      <c r="U445" s="544" t="s">
        <v>3415</v>
      </c>
      <c r="V445" s="547">
        <v>306</v>
      </c>
      <c r="W445" s="548"/>
      <c r="Y445" s="544" t="s">
        <v>1674</v>
      </c>
      <c r="AA445" s="544" t="s">
        <v>1674</v>
      </c>
      <c r="AE445" s="551"/>
      <c r="AF445" s="544" t="s">
        <v>1674</v>
      </c>
      <c r="AG445" s="544" t="s">
        <v>1674</v>
      </c>
      <c r="AH445" s="544" t="s">
        <v>1674</v>
      </c>
      <c r="AI445" s="544" t="s">
        <v>1674</v>
      </c>
      <c r="AJ445" s="544" t="s">
        <v>1674</v>
      </c>
      <c r="AK445" s="544" t="s">
        <v>1674</v>
      </c>
      <c r="AL445" s="544" t="s">
        <v>1674</v>
      </c>
      <c r="AM445" s="544" t="s">
        <v>2782</v>
      </c>
      <c r="AN445" s="544" t="s">
        <v>1674</v>
      </c>
      <c r="AP445" s="542">
        <f t="shared" si="14"/>
        <v>-102</v>
      </c>
      <c r="AR445" s="552">
        <f t="shared" si="13"/>
        <v>0</v>
      </c>
    </row>
    <row r="446" spans="1:44" outlineLevel="1" x14ac:dyDescent="0.25">
      <c r="A446" s="544" t="s">
        <v>1674</v>
      </c>
      <c r="B446" s="545">
        <v>0</v>
      </c>
      <c r="C446" s="544" t="s">
        <v>1674</v>
      </c>
      <c r="D446" s="544" t="s">
        <v>3476</v>
      </c>
      <c r="E446" s="542" t="s">
        <v>3477</v>
      </c>
      <c r="F446" s="542" t="s">
        <v>3478</v>
      </c>
      <c r="G446" s="546">
        <v>44.41</v>
      </c>
      <c r="H446" s="546"/>
      <c r="I446" s="546"/>
      <c r="J446" s="542" t="s">
        <v>806</v>
      </c>
      <c r="K446" s="547">
        <v>8400</v>
      </c>
      <c r="L446" s="542" t="s">
        <v>806</v>
      </c>
      <c r="M446" s="548"/>
      <c r="N446" s="549">
        <v>-163</v>
      </c>
      <c r="O446" s="544" t="s">
        <v>1674</v>
      </c>
      <c r="P446" s="544" t="s">
        <v>1674</v>
      </c>
      <c r="Q446" s="544" t="s">
        <v>3479</v>
      </c>
      <c r="R446" s="544" t="s">
        <v>2617</v>
      </c>
      <c r="S446" s="544" t="s">
        <v>1674</v>
      </c>
      <c r="T446" s="550">
        <v>19</v>
      </c>
      <c r="U446" s="544" t="s">
        <v>3415</v>
      </c>
      <c r="V446" s="547">
        <v>307</v>
      </c>
      <c r="W446" s="548"/>
      <c r="Y446" s="544" t="s">
        <v>1674</v>
      </c>
      <c r="AA446" s="544" t="s">
        <v>1674</v>
      </c>
      <c r="AE446" s="551"/>
      <c r="AF446" s="544" t="s">
        <v>1674</v>
      </c>
      <c r="AG446" s="544" t="s">
        <v>1674</v>
      </c>
      <c r="AH446" s="544" t="s">
        <v>1674</v>
      </c>
      <c r="AI446" s="544" t="s">
        <v>1674</v>
      </c>
      <c r="AJ446" s="544" t="s">
        <v>1674</v>
      </c>
      <c r="AK446" s="544" t="s">
        <v>1674</v>
      </c>
      <c r="AL446" s="544" t="s">
        <v>1674</v>
      </c>
      <c r="AM446" s="544" t="s">
        <v>1674</v>
      </c>
      <c r="AN446" s="544" t="s">
        <v>1674</v>
      </c>
      <c r="AP446" s="542">
        <f t="shared" si="14"/>
        <v>-102</v>
      </c>
      <c r="AR446" s="552">
        <f t="shared" si="13"/>
        <v>0</v>
      </c>
    </row>
    <row r="447" spans="1:44" outlineLevel="1" x14ac:dyDescent="0.25">
      <c r="A447" s="544" t="s">
        <v>1674</v>
      </c>
      <c r="B447" s="545">
        <v>0</v>
      </c>
      <c r="C447" s="544" t="s">
        <v>1674</v>
      </c>
      <c r="D447" s="544" t="s">
        <v>3476</v>
      </c>
      <c r="E447" s="542" t="s">
        <v>3477</v>
      </c>
      <c r="F447" s="542" t="s">
        <v>3478</v>
      </c>
      <c r="G447" s="546">
        <v>7118.72</v>
      </c>
      <c r="H447" s="546"/>
      <c r="I447" s="546">
        <v>7639.8</v>
      </c>
      <c r="J447" s="542" t="s">
        <v>2701</v>
      </c>
      <c r="K447" s="547">
        <v>8401</v>
      </c>
      <c r="L447" s="542" t="s">
        <v>806</v>
      </c>
      <c r="M447" s="548"/>
      <c r="N447" s="549">
        <v>-163</v>
      </c>
      <c r="O447" s="544" t="s">
        <v>1674</v>
      </c>
      <c r="P447" s="544" t="s">
        <v>1674</v>
      </c>
      <c r="Q447" s="544" t="s">
        <v>3479</v>
      </c>
      <c r="R447" s="544" t="s">
        <v>1674</v>
      </c>
      <c r="S447" s="544" t="s">
        <v>1674</v>
      </c>
      <c r="T447" s="550">
        <v>19</v>
      </c>
      <c r="U447" s="544" t="s">
        <v>3415</v>
      </c>
      <c r="V447" s="547">
        <v>308</v>
      </c>
      <c r="W447" s="548"/>
      <c r="Y447" s="544" t="s">
        <v>1674</v>
      </c>
      <c r="AA447" s="544" t="s">
        <v>1674</v>
      </c>
      <c r="AE447" s="551"/>
      <c r="AF447" s="544" t="s">
        <v>1674</v>
      </c>
      <c r="AG447" s="544" t="s">
        <v>1674</v>
      </c>
      <c r="AH447" s="544" t="s">
        <v>1674</v>
      </c>
      <c r="AI447" s="544" t="s">
        <v>1674</v>
      </c>
      <c r="AJ447" s="544" t="s">
        <v>1674</v>
      </c>
      <c r="AK447" s="544" t="s">
        <v>1674</v>
      </c>
      <c r="AL447" s="544" t="s">
        <v>1674</v>
      </c>
      <c r="AM447" s="544" t="s">
        <v>1674</v>
      </c>
      <c r="AN447" s="544" t="s">
        <v>1674</v>
      </c>
      <c r="AP447" s="542">
        <f t="shared" si="14"/>
        <v>-102</v>
      </c>
      <c r="AR447" s="552">
        <f t="shared" si="13"/>
        <v>7639.8</v>
      </c>
    </row>
    <row r="448" spans="1:44" outlineLevel="1" x14ac:dyDescent="0.25">
      <c r="A448" s="544" t="s">
        <v>1674</v>
      </c>
      <c r="B448" s="545">
        <v>11800</v>
      </c>
      <c r="C448" s="544" t="s">
        <v>2581</v>
      </c>
      <c r="D448" s="544" t="s">
        <v>3480</v>
      </c>
      <c r="E448" s="542" t="s">
        <v>3477</v>
      </c>
      <c r="F448" s="542" t="s">
        <v>3478</v>
      </c>
      <c r="G448" s="546">
        <v>346.29</v>
      </c>
      <c r="H448" s="546"/>
      <c r="I448" s="546"/>
      <c r="J448" s="542" t="s">
        <v>806</v>
      </c>
      <c r="K448" s="547">
        <v>8400</v>
      </c>
      <c r="L448" s="542" t="s">
        <v>806</v>
      </c>
      <c r="M448" s="548"/>
      <c r="N448" s="549">
        <v>-163</v>
      </c>
      <c r="O448" s="544" t="s">
        <v>1674</v>
      </c>
      <c r="P448" s="544" t="s">
        <v>1674</v>
      </c>
      <c r="Q448" s="544" t="s">
        <v>3481</v>
      </c>
      <c r="R448" s="544" t="s">
        <v>2617</v>
      </c>
      <c r="S448" s="544" t="s">
        <v>1674</v>
      </c>
      <c r="T448" s="550">
        <v>19</v>
      </c>
      <c r="U448" s="544" t="s">
        <v>3415</v>
      </c>
      <c r="V448" s="547">
        <v>317</v>
      </c>
      <c r="W448" s="548"/>
      <c r="Y448" s="544" t="s">
        <v>1674</v>
      </c>
      <c r="AA448" s="544" t="s">
        <v>1674</v>
      </c>
      <c r="AE448" s="551"/>
      <c r="AF448" s="544" t="s">
        <v>1674</v>
      </c>
      <c r="AG448" s="544" t="s">
        <v>1674</v>
      </c>
      <c r="AH448" s="544" t="s">
        <v>1674</v>
      </c>
      <c r="AI448" s="544" t="s">
        <v>1674</v>
      </c>
      <c r="AJ448" s="544" t="s">
        <v>1674</v>
      </c>
      <c r="AK448" s="544" t="s">
        <v>1674</v>
      </c>
      <c r="AL448" s="544" t="s">
        <v>1674</v>
      </c>
      <c r="AM448" s="544" t="s">
        <v>2581</v>
      </c>
      <c r="AN448" s="544" t="s">
        <v>1674</v>
      </c>
      <c r="AP448" s="542">
        <f t="shared" si="14"/>
        <v>-102</v>
      </c>
      <c r="AR448" s="552">
        <f t="shared" si="13"/>
        <v>0</v>
      </c>
    </row>
    <row r="449" spans="1:44" outlineLevel="1" x14ac:dyDescent="0.25">
      <c r="A449" s="544" t="s">
        <v>1674</v>
      </c>
      <c r="B449" s="545">
        <v>0</v>
      </c>
      <c r="C449" s="544" t="s">
        <v>1674</v>
      </c>
      <c r="D449" s="544" t="s">
        <v>3480</v>
      </c>
      <c r="E449" s="542" t="s">
        <v>3477</v>
      </c>
      <c r="F449" s="542" t="s">
        <v>3478</v>
      </c>
      <c r="G449" s="546">
        <v>7.14</v>
      </c>
      <c r="H449" s="546"/>
      <c r="I449" s="546">
        <v>353.43</v>
      </c>
      <c r="J449" s="542" t="s">
        <v>2701</v>
      </c>
      <c r="K449" s="547">
        <v>8400</v>
      </c>
      <c r="L449" s="542" t="s">
        <v>806</v>
      </c>
      <c r="M449" s="548"/>
      <c r="N449" s="549">
        <v>-163</v>
      </c>
      <c r="O449" s="544" t="s">
        <v>1674</v>
      </c>
      <c r="P449" s="544" t="s">
        <v>1674</v>
      </c>
      <c r="Q449" s="544" t="s">
        <v>3482</v>
      </c>
      <c r="R449" s="544" t="s">
        <v>1674</v>
      </c>
      <c r="S449" s="544" t="s">
        <v>1674</v>
      </c>
      <c r="T449" s="550">
        <v>19</v>
      </c>
      <c r="U449" s="544" t="s">
        <v>3415</v>
      </c>
      <c r="V449" s="547">
        <v>318</v>
      </c>
      <c r="W449" s="548"/>
      <c r="Y449" s="544" t="s">
        <v>1674</v>
      </c>
      <c r="AA449" s="544" t="s">
        <v>1674</v>
      </c>
      <c r="AE449" s="551"/>
      <c r="AF449" s="544" t="s">
        <v>1674</v>
      </c>
      <c r="AG449" s="544" t="s">
        <v>1674</v>
      </c>
      <c r="AH449" s="544" t="s">
        <v>1674</v>
      </c>
      <c r="AI449" s="544" t="s">
        <v>1674</v>
      </c>
      <c r="AJ449" s="544" t="s">
        <v>1674</v>
      </c>
      <c r="AK449" s="544" t="s">
        <v>1674</v>
      </c>
      <c r="AL449" s="544" t="s">
        <v>1674</v>
      </c>
      <c r="AM449" s="544" t="s">
        <v>1674</v>
      </c>
      <c r="AN449" s="544" t="s">
        <v>1674</v>
      </c>
      <c r="AP449" s="542">
        <f t="shared" si="14"/>
        <v>-102</v>
      </c>
      <c r="AR449" s="552">
        <f t="shared" si="13"/>
        <v>353.43</v>
      </c>
    </row>
    <row r="450" spans="1:44" outlineLevel="1" x14ac:dyDescent="0.25">
      <c r="A450" s="544" t="s">
        <v>1674</v>
      </c>
      <c r="B450" s="545">
        <v>20301</v>
      </c>
      <c r="C450" s="544" t="s">
        <v>2981</v>
      </c>
      <c r="D450" s="544" t="s">
        <v>3483</v>
      </c>
      <c r="E450" s="542" t="s">
        <v>3484</v>
      </c>
      <c r="F450" s="542" t="s">
        <v>3485</v>
      </c>
      <c r="G450" s="546">
        <v>1683</v>
      </c>
      <c r="H450" s="546"/>
      <c r="I450" s="546"/>
      <c r="J450" s="542" t="s">
        <v>806</v>
      </c>
      <c r="K450" s="547">
        <v>8125</v>
      </c>
      <c r="L450" s="542" t="s">
        <v>806</v>
      </c>
      <c r="M450" s="548"/>
      <c r="N450" s="549">
        <v>-162</v>
      </c>
      <c r="O450" s="544" t="s">
        <v>1674</v>
      </c>
      <c r="P450" s="544" t="s">
        <v>1674</v>
      </c>
      <c r="Q450" s="544" t="s">
        <v>2983</v>
      </c>
      <c r="R450" s="544" t="s">
        <v>2984</v>
      </c>
      <c r="S450" s="544" t="s">
        <v>1674</v>
      </c>
      <c r="T450" s="550"/>
      <c r="U450" s="544" t="s">
        <v>3415</v>
      </c>
      <c r="V450" s="547">
        <v>324</v>
      </c>
      <c r="W450" s="548"/>
      <c r="Y450" s="544" t="s">
        <v>1674</v>
      </c>
      <c r="AA450" s="544" t="s">
        <v>1674</v>
      </c>
      <c r="AE450" s="551"/>
      <c r="AF450" s="544" t="s">
        <v>1674</v>
      </c>
      <c r="AG450" s="544" t="s">
        <v>1674</v>
      </c>
      <c r="AH450" s="544" t="s">
        <v>1674</v>
      </c>
      <c r="AI450" s="544" t="s">
        <v>1674</v>
      </c>
      <c r="AJ450" s="544" t="s">
        <v>1674</v>
      </c>
      <c r="AK450" s="544" t="s">
        <v>1674</v>
      </c>
      <c r="AL450" s="544" t="s">
        <v>1674</v>
      </c>
      <c r="AM450" s="544" t="s">
        <v>2985</v>
      </c>
      <c r="AN450" s="544" t="s">
        <v>1674</v>
      </c>
      <c r="AP450" s="542">
        <f t="shared" si="14"/>
        <v>-101</v>
      </c>
      <c r="AR450" s="552">
        <f t="shared" si="13"/>
        <v>0</v>
      </c>
    </row>
    <row r="451" spans="1:44" outlineLevel="1" x14ac:dyDescent="0.25">
      <c r="A451" s="544" t="s">
        <v>1674</v>
      </c>
      <c r="B451" s="545">
        <v>0</v>
      </c>
      <c r="C451" s="544" t="s">
        <v>1674</v>
      </c>
      <c r="D451" s="544" t="s">
        <v>3483</v>
      </c>
      <c r="E451" s="542" t="s">
        <v>3484</v>
      </c>
      <c r="F451" s="542" t="s">
        <v>3485</v>
      </c>
      <c r="G451" s="546">
        <v>168</v>
      </c>
      <c r="H451" s="546"/>
      <c r="I451" s="546">
        <v>1851</v>
      </c>
      <c r="J451" s="542" t="s">
        <v>2701</v>
      </c>
      <c r="K451" s="547">
        <v>8125</v>
      </c>
      <c r="L451" s="542" t="s">
        <v>806</v>
      </c>
      <c r="M451" s="548"/>
      <c r="N451" s="549">
        <v>-162</v>
      </c>
      <c r="O451" s="544" t="s">
        <v>1674</v>
      </c>
      <c r="P451" s="544" t="s">
        <v>1674</v>
      </c>
      <c r="Q451" s="544" t="s">
        <v>2986</v>
      </c>
      <c r="R451" s="544" t="s">
        <v>1674</v>
      </c>
      <c r="S451" s="544" t="s">
        <v>1674</v>
      </c>
      <c r="T451" s="550"/>
      <c r="U451" s="544" t="s">
        <v>3415</v>
      </c>
      <c r="V451" s="547">
        <v>325</v>
      </c>
      <c r="W451" s="548"/>
      <c r="Y451" s="544" t="s">
        <v>1674</v>
      </c>
      <c r="AA451" s="544" t="s">
        <v>1674</v>
      </c>
      <c r="AE451" s="551"/>
      <c r="AF451" s="544" t="s">
        <v>1674</v>
      </c>
      <c r="AG451" s="544" t="s">
        <v>1674</v>
      </c>
      <c r="AH451" s="544" t="s">
        <v>1674</v>
      </c>
      <c r="AI451" s="544" t="s">
        <v>1674</v>
      </c>
      <c r="AJ451" s="544" t="s">
        <v>1674</v>
      </c>
      <c r="AK451" s="544" t="s">
        <v>1674</v>
      </c>
      <c r="AL451" s="544" t="s">
        <v>1674</v>
      </c>
      <c r="AM451" s="544" t="s">
        <v>1674</v>
      </c>
      <c r="AN451" s="544" t="s">
        <v>1674</v>
      </c>
      <c r="AP451" s="542">
        <f t="shared" si="14"/>
        <v>-101</v>
      </c>
      <c r="AR451" s="552">
        <f t="shared" si="13"/>
        <v>1851</v>
      </c>
    </row>
    <row r="452" spans="1:44" outlineLevel="1" x14ac:dyDescent="0.25">
      <c r="A452" s="544" t="s">
        <v>1674</v>
      </c>
      <c r="B452" s="545">
        <v>11203</v>
      </c>
      <c r="C452" s="544" t="s">
        <v>2841</v>
      </c>
      <c r="D452" s="544" t="s">
        <v>3486</v>
      </c>
      <c r="E452" s="542" t="s">
        <v>3487</v>
      </c>
      <c r="F452" s="542" t="s">
        <v>3488</v>
      </c>
      <c r="G452" s="546">
        <v>1128.1199999999999</v>
      </c>
      <c r="H452" s="546"/>
      <c r="I452" s="546">
        <v>1128.1199999999999</v>
      </c>
      <c r="J452" s="542" t="s">
        <v>2701</v>
      </c>
      <c r="K452" s="547">
        <v>8400</v>
      </c>
      <c r="L452" s="542" t="s">
        <v>806</v>
      </c>
      <c r="M452" s="548"/>
      <c r="N452" s="549">
        <v>-161</v>
      </c>
      <c r="O452" s="544" t="s">
        <v>1674</v>
      </c>
      <c r="P452" s="544" t="s">
        <v>1674</v>
      </c>
      <c r="Q452" s="544" t="s">
        <v>2845</v>
      </c>
      <c r="R452" s="544" t="s">
        <v>1674</v>
      </c>
      <c r="S452" s="544" t="s">
        <v>1674</v>
      </c>
      <c r="T452" s="550">
        <v>19</v>
      </c>
      <c r="U452" s="544" t="s">
        <v>3415</v>
      </c>
      <c r="V452" s="547">
        <v>361</v>
      </c>
      <c r="W452" s="548"/>
      <c r="Y452" s="544" t="s">
        <v>1674</v>
      </c>
      <c r="AA452" s="544" t="s">
        <v>1674</v>
      </c>
      <c r="AE452" s="551"/>
      <c r="AF452" s="544" t="s">
        <v>1674</v>
      </c>
      <c r="AG452" s="544" t="s">
        <v>1674</v>
      </c>
      <c r="AH452" s="544" t="s">
        <v>1674</v>
      </c>
      <c r="AI452" s="544" t="s">
        <v>1674</v>
      </c>
      <c r="AJ452" s="544" t="s">
        <v>1674</v>
      </c>
      <c r="AK452" s="544" t="s">
        <v>1674</v>
      </c>
      <c r="AL452" s="544" t="s">
        <v>1674</v>
      </c>
      <c r="AM452" s="544" t="s">
        <v>2846</v>
      </c>
      <c r="AN452" s="544" t="s">
        <v>1674</v>
      </c>
      <c r="AP452" s="542">
        <f t="shared" si="14"/>
        <v>-100</v>
      </c>
      <c r="AR452" s="552">
        <f t="shared" ref="AR452:AR515" si="15">IF(J452="S",+I452,-I452)</f>
        <v>1128.1199999999999</v>
      </c>
    </row>
    <row r="453" spans="1:44" outlineLevel="1" x14ac:dyDescent="0.25">
      <c r="A453" s="544" t="s">
        <v>1674</v>
      </c>
      <c r="B453" s="545">
        <v>10400</v>
      </c>
      <c r="C453" s="544" t="s">
        <v>2730</v>
      </c>
      <c r="D453" s="544" t="s">
        <v>3489</v>
      </c>
      <c r="E453" s="542" t="s">
        <v>3490</v>
      </c>
      <c r="F453" s="542" t="s">
        <v>3491</v>
      </c>
      <c r="G453" s="546">
        <v>416.5</v>
      </c>
      <c r="H453" s="546"/>
      <c r="I453" s="546">
        <v>416.5</v>
      </c>
      <c r="J453" s="542" t="s">
        <v>2701</v>
      </c>
      <c r="K453" s="547">
        <v>8403</v>
      </c>
      <c r="L453" s="542" t="s">
        <v>806</v>
      </c>
      <c r="M453" s="548"/>
      <c r="N453" s="549">
        <v>-158</v>
      </c>
      <c r="O453" s="544" t="s">
        <v>1674</v>
      </c>
      <c r="P453" s="544" t="s">
        <v>1674</v>
      </c>
      <c r="Q453" s="544" t="s">
        <v>2733</v>
      </c>
      <c r="R453" s="544" t="s">
        <v>1674</v>
      </c>
      <c r="S453" s="544" t="s">
        <v>1674</v>
      </c>
      <c r="T453" s="550">
        <v>19</v>
      </c>
      <c r="U453" s="544" t="s">
        <v>3415</v>
      </c>
      <c r="V453" s="547">
        <v>364</v>
      </c>
      <c r="W453" s="548"/>
      <c r="Y453" s="544" t="s">
        <v>1674</v>
      </c>
      <c r="AA453" s="544" t="s">
        <v>1674</v>
      </c>
      <c r="AE453" s="551"/>
      <c r="AF453" s="544" t="s">
        <v>1674</v>
      </c>
      <c r="AG453" s="544" t="s">
        <v>1674</v>
      </c>
      <c r="AH453" s="544" t="s">
        <v>1674</v>
      </c>
      <c r="AI453" s="544" t="s">
        <v>1674</v>
      </c>
      <c r="AJ453" s="544" t="s">
        <v>1674</v>
      </c>
      <c r="AK453" s="544" t="s">
        <v>1674</v>
      </c>
      <c r="AL453" s="544" t="s">
        <v>1674</v>
      </c>
      <c r="AM453" s="544" t="s">
        <v>2730</v>
      </c>
      <c r="AN453" s="544" t="s">
        <v>1674</v>
      </c>
      <c r="AP453" s="542">
        <f t="shared" si="14"/>
        <v>-97</v>
      </c>
      <c r="AR453" s="552">
        <f t="shared" si="15"/>
        <v>416.5</v>
      </c>
    </row>
    <row r="454" spans="1:44" outlineLevel="1" x14ac:dyDescent="0.25">
      <c r="A454" s="544" t="s">
        <v>1674</v>
      </c>
      <c r="B454" s="545">
        <v>0</v>
      </c>
      <c r="C454" s="544" t="s">
        <v>1674</v>
      </c>
      <c r="D454" s="544" t="s">
        <v>3492</v>
      </c>
      <c r="E454" s="542" t="s">
        <v>3490</v>
      </c>
      <c r="F454" s="542" t="s">
        <v>3491</v>
      </c>
      <c r="G454" s="546">
        <v>416.5</v>
      </c>
      <c r="H454" s="546"/>
      <c r="I454" s="546">
        <v>416.5</v>
      </c>
      <c r="J454" s="542" t="s">
        <v>2701</v>
      </c>
      <c r="K454" s="547">
        <v>8403</v>
      </c>
      <c r="L454" s="542" t="s">
        <v>806</v>
      </c>
      <c r="M454" s="548"/>
      <c r="N454" s="549">
        <v>-158</v>
      </c>
      <c r="O454" s="544" t="s">
        <v>1674</v>
      </c>
      <c r="P454" s="544" t="s">
        <v>1674</v>
      </c>
      <c r="Q454" s="544" t="s">
        <v>2733</v>
      </c>
      <c r="R454" s="544" t="s">
        <v>1674</v>
      </c>
      <c r="S454" s="544" t="s">
        <v>1674</v>
      </c>
      <c r="T454" s="550">
        <v>19</v>
      </c>
      <c r="U454" s="544" t="s">
        <v>3415</v>
      </c>
      <c r="V454" s="547">
        <v>370</v>
      </c>
      <c r="W454" s="548"/>
      <c r="Y454" s="544" t="s">
        <v>1674</v>
      </c>
      <c r="AA454" s="544" t="s">
        <v>1674</v>
      </c>
      <c r="AE454" s="551"/>
      <c r="AF454" s="544" t="s">
        <v>1674</v>
      </c>
      <c r="AG454" s="544" t="s">
        <v>1674</v>
      </c>
      <c r="AH454" s="544" t="s">
        <v>1674</v>
      </c>
      <c r="AI454" s="544" t="s">
        <v>1674</v>
      </c>
      <c r="AJ454" s="544" t="s">
        <v>1674</v>
      </c>
      <c r="AK454" s="544" t="s">
        <v>1674</v>
      </c>
      <c r="AL454" s="544" t="s">
        <v>1674</v>
      </c>
      <c r="AM454" s="544" t="s">
        <v>1674</v>
      </c>
      <c r="AN454" s="544" t="s">
        <v>1674</v>
      </c>
      <c r="AP454" s="542">
        <f t="shared" si="14"/>
        <v>-97</v>
      </c>
      <c r="AR454" s="552">
        <f t="shared" si="15"/>
        <v>416.5</v>
      </c>
    </row>
    <row r="455" spans="1:44" outlineLevel="1" x14ac:dyDescent="0.25">
      <c r="A455" s="544" t="s">
        <v>1674</v>
      </c>
      <c r="B455" s="545">
        <v>10600</v>
      </c>
      <c r="C455" s="544" t="s">
        <v>2946</v>
      </c>
      <c r="D455" s="544" t="s">
        <v>3493</v>
      </c>
      <c r="E455" s="542" t="s">
        <v>3494</v>
      </c>
      <c r="F455" s="542" t="s">
        <v>3495</v>
      </c>
      <c r="G455" s="546">
        <v>460.53</v>
      </c>
      <c r="H455" s="546"/>
      <c r="I455" s="546">
        <v>460.53</v>
      </c>
      <c r="J455" s="542" t="s">
        <v>2701</v>
      </c>
      <c r="K455" s="547">
        <v>8400</v>
      </c>
      <c r="L455" s="542" t="s">
        <v>806</v>
      </c>
      <c r="M455" s="548"/>
      <c r="N455" s="549">
        <v>-157</v>
      </c>
      <c r="O455" s="544" t="s">
        <v>1674</v>
      </c>
      <c r="P455" s="544" t="s">
        <v>1674</v>
      </c>
      <c r="Q455" s="544" t="s">
        <v>3128</v>
      </c>
      <c r="R455" s="544" t="s">
        <v>1674</v>
      </c>
      <c r="S455" s="544" t="s">
        <v>1674</v>
      </c>
      <c r="T455" s="550">
        <v>19</v>
      </c>
      <c r="U455" s="544" t="s">
        <v>3415</v>
      </c>
      <c r="V455" s="547">
        <v>376</v>
      </c>
      <c r="W455" s="548"/>
      <c r="Y455" s="544" t="s">
        <v>1674</v>
      </c>
      <c r="AA455" s="544" t="s">
        <v>1674</v>
      </c>
      <c r="AE455" s="551"/>
      <c r="AF455" s="544" t="s">
        <v>1674</v>
      </c>
      <c r="AG455" s="544" t="s">
        <v>1674</v>
      </c>
      <c r="AH455" s="544" t="s">
        <v>1674</v>
      </c>
      <c r="AI455" s="544" t="s">
        <v>1674</v>
      </c>
      <c r="AJ455" s="544" t="s">
        <v>1674</v>
      </c>
      <c r="AK455" s="544" t="s">
        <v>1674</v>
      </c>
      <c r="AL455" s="544" t="s">
        <v>1674</v>
      </c>
      <c r="AM455" s="544" t="s">
        <v>2946</v>
      </c>
      <c r="AN455" s="544" t="s">
        <v>1674</v>
      </c>
      <c r="AP455" s="542">
        <f t="shared" si="14"/>
        <v>-96</v>
      </c>
      <c r="AR455" s="552">
        <f t="shared" si="15"/>
        <v>460.53</v>
      </c>
    </row>
    <row r="456" spans="1:44" outlineLevel="1" x14ac:dyDescent="0.25">
      <c r="A456" s="544" t="s">
        <v>1674</v>
      </c>
      <c r="B456" s="545">
        <v>30701</v>
      </c>
      <c r="C456" s="544" t="s">
        <v>2787</v>
      </c>
      <c r="D456" s="544" t="s">
        <v>3496</v>
      </c>
      <c r="E456" s="542" t="s">
        <v>3497</v>
      </c>
      <c r="F456" s="542" t="s">
        <v>3498</v>
      </c>
      <c r="G456" s="546">
        <v>65700</v>
      </c>
      <c r="H456" s="546"/>
      <c r="I456" s="546">
        <v>65700</v>
      </c>
      <c r="J456" s="542" t="s">
        <v>2701</v>
      </c>
      <c r="K456" s="547">
        <v>8120</v>
      </c>
      <c r="L456" s="542" t="s">
        <v>806</v>
      </c>
      <c r="M456" s="548"/>
      <c r="N456" s="549">
        <v>-156</v>
      </c>
      <c r="O456" s="544" t="s">
        <v>1674</v>
      </c>
      <c r="P456" s="544" t="s">
        <v>1674</v>
      </c>
      <c r="Q456" s="544" t="s">
        <v>2810</v>
      </c>
      <c r="R456" s="544" t="s">
        <v>1674</v>
      </c>
      <c r="S456" s="544" t="s">
        <v>1674</v>
      </c>
      <c r="T456" s="550"/>
      <c r="U456" s="544" t="s">
        <v>3415</v>
      </c>
      <c r="V456" s="547">
        <v>422</v>
      </c>
      <c r="W456" s="548"/>
      <c r="Y456" s="544" t="s">
        <v>1674</v>
      </c>
      <c r="AA456" s="544" t="s">
        <v>1674</v>
      </c>
      <c r="AE456" s="551"/>
      <c r="AF456" s="544" t="s">
        <v>1674</v>
      </c>
      <c r="AG456" s="544" t="s">
        <v>1674</v>
      </c>
      <c r="AH456" s="544" t="s">
        <v>1674</v>
      </c>
      <c r="AI456" s="544" t="s">
        <v>1674</v>
      </c>
      <c r="AJ456" s="544" t="s">
        <v>1674</v>
      </c>
      <c r="AK456" s="544" t="s">
        <v>1674</v>
      </c>
      <c r="AL456" s="544" t="s">
        <v>1674</v>
      </c>
      <c r="AM456" s="544" t="s">
        <v>2792</v>
      </c>
      <c r="AN456" s="544" t="s">
        <v>1674</v>
      </c>
      <c r="AP456" s="542">
        <f t="shared" si="14"/>
        <v>-95</v>
      </c>
      <c r="AR456" s="552">
        <f t="shared" si="15"/>
        <v>65700</v>
      </c>
    </row>
    <row r="457" spans="1:44" outlineLevel="1" x14ac:dyDescent="0.25">
      <c r="A457" s="544" t="s">
        <v>1674</v>
      </c>
      <c r="B457" s="545">
        <v>21606</v>
      </c>
      <c r="C457" s="544" t="s">
        <v>3051</v>
      </c>
      <c r="D457" s="544" t="s">
        <v>3499</v>
      </c>
      <c r="E457" s="542" t="s">
        <v>3447</v>
      </c>
      <c r="F457" s="542" t="s">
        <v>3500</v>
      </c>
      <c r="G457" s="546">
        <v>2982.48</v>
      </c>
      <c r="H457" s="546"/>
      <c r="I457" s="546"/>
      <c r="J457" s="542" t="s">
        <v>806</v>
      </c>
      <c r="K457" s="547">
        <v>8125</v>
      </c>
      <c r="L457" s="542" t="s">
        <v>806</v>
      </c>
      <c r="M457" s="548"/>
      <c r="N457" s="549">
        <v>-154</v>
      </c>
      <c r="O457" s="544" t="s">
        <v>1674</v>
      </c>
      <c r="P457" s="544" t="s">
        <v>1674</v>
      </c>
      <c r="Q457" s="544" t="s">
        <v>3053</v>
      </c>
      <c r="R457" s="544" t="s">
        <v>1674</v>
      </c>
      <c r="S457" s="544" t="s">
        <v>1674</v>
      </c>
      <c r="T457" s="550"/>
      <c r="U457" s="544" t="s">
        <v>3415</v>
      </c>
      <c r="V457" s="547">
        <v>437</v>
      </c>
      <c r="W457" s="548"/>
      <c r="Y457" s="544" t="s">
        <v>1674</v>
      </c>
      <c r="AA457" s="544" t="s">
        <v>1674</v>
      </c>
      <c r="AE457" s="551"/>
      <c r="AF457" s="544" t="s">
        <v>1674</v>
      </c>
      <c r="AG457" s="544" t="s">
        <v>1674</v>
      </c>
      <c r="AH457" s="544" t="s">
        <v>1674</v>
      </c>
      <c r="AI457" s="544" t="s">
        <v>1674</v>
      </c>
      <c r="AJ457" s="544" t="s">
        <v>1674</v>
      </c>
      <c r="AK457" s="544" t="s">
        <v>1674</v>
      </c>
      <c r="AL457" s="544" t="s">
        <v>1674</v>
      </c>
      <c r="AM457" s="544" t="s">
        <v>3054</v>
      </c>
      <c r="AN457" s="544" t="s">
        <v>1674</v>
      </c>
      <c r="AP457" s="542">
        <f t="shared" si="14"/>
        <v>-93</v>
      </c>
      <c r="AR457" s="552">
        <f t="shared" si="15"/>
        <v>0</v>
      </c>
    </row>
    <row r="458" spans="1:44" outlineLevel="1" x14ac:dyDescent="0.25">
      <c r="A458" s="544" t="s">
        <v>1674</v>
      </c>
      <c r="B458" s="545">
        <v>0</v>
      </c>
      <c r="C458" s="544" t="s">
        <v>1674</v>
      </c>
      <c r="D458" s="544" t="s">
        <v>3499</v>
      </c>
      <c r="E458" s="542" t="s">
        <v>3447</v>
      </c>
      <c r="F458" s="542" t="s">
        <v>3500</v>
      </c>
      <c r="G458" s="546">
        <v>17.52</v>
      </c>
      <c r="H458" s="546"/>
      <c r="I458" s="546">
        <v>3000</v>
      </c>
      <c r="J458" s="542" t="s">
        <v>2701</v>
      </c>
      <c r="K458" s="547">
        <v>8125</v>
      </c>
      <c r="L458" s="542" t="s">
        <v>806</v>
      </c>
      <c r="M458" s="548"/>
      <c r="N458" s="549">
        <v>-154</v>
      </c>
      <c r="O458" s="544" t="s">
        <v>1674</v>
      </c>
      <c r="P458" s="544" t="s">
        <v>1674</v>
      </c>
      <c r="Q458" s="544" t="s">
        <v>3053</v>
      </c>
      <c r="R458" s="544" t="s">
        <v>2617</v>
      </c>
      <c r="S458" s="544" t="s">
        <v>1674</v>
      </c>
      <c r="T458" s="550"/>
      <c r="U458" s="544" t="s">
        <v>3415</v>
      </c>
      <c r="V458" s="547">
        <v>438</v>
      </c>
      <c r="W458" s="548"/>
      <c r="Y458" s="544" t="s">
        <v>1674</v>
      </c>
      <c r="AA458" s="544" t="s">
        <v>1674</v>
      </c>
      <c r="AE458" s="551"/>
      <c r="AF458" s="544" t="s">
        <v>1674</v>
      </c>
      <c r="AG458" s="544" t="s">
        <v>1674</v>
      </c>
      <c r="AH458" s="544" t="s">
        <v>1674</v>
      </c>
      <c r="AI458" s="544" t="s">
        <v>1674</v>
      </c>
      <c r="AJ458" s="544" t="s">
        <v>1674</v>
      </c>
      <c r="AK458" s="544" t="s">
        <v>1674</v>
      </c>
      <c r="AL458" s="544" t="s">
        <v>1674</v>
      </c>
      <c r="AM458" s="544" t="s">
        <v>1674</v>
      </c>
      <c r="AN458" s="544" t="s">
        <v>1674</v>
      </c>
      <c r="AP458" s="542">
        <f t="shared" si="14"/>
        <v>-93</v>
      </c>
      <c r="AR458" s="552">
        <f t="shared" si="15"/>
        <v>3000</v>
      </c>
    </row>
    <row r="459" spans="1:44" outlineLevel="1" x14ac:dyDescent="0.25">
      <c r="A459" s="544" t="s">
        <v>1674</v>
      </c>
      <c r="B459" s="545">
        <v>10237</v>
      </c>
      <c r="C459" s="544" t="s">
        <v>2750</v>
      </c>
      <c r="D459" s="544" t="s">
        <v>3501</v>
      </c>
      <c r="E459" s="542" t="s">
        <v>3502</v>
      </c>
      <c r="F459" s="542" t="s">
        <v>3503</v>
      </c>
      <c r="G459" s="546">
        <v>1786.43</v>
      </c>
      <c r="H459" s="546"/>
      <c r="I459" s="546"/>
      <c r="J459" s="542" t="s">
        <v>806</v>
      </c>
      <c r="K459" s="547">
        <v>8400</v>
      </c>
      <c r="L459" s="542" t="s">
        <v>806</v>
      </c>
      <c r="M459" s="548"/>
      <c r="N459" s="549">
        <v>-150</v>
      </c>
      <c r="O459" s="544" t="s">
        <v>1674</v>
      </c>
      <c r="P459" s="544" t="s">
        <v>1674</v>
      </c>
      <c r="Q459" s="544" t="s">
        <v>2754</v>
      </c>
      <c r="R459" s="544" t="s">
        <v>1674</v>
      </c>
      <c r="S459" s="544" t="s">
        <v>1674</v>
      </c>
      <c r="T459" s="550">
        <v>19</v>
      </c>
      <c r="U459" s="544" t="s">
        <v>3315</v>
      </c>
      <c r="V459" s="547">
        <v>226</v>
      </c>
      <c r="W459" s="548"/>
      <c r="Y459" s="544" t="s">
        <v>1674</v>
      </c>
      <c r="AA459" s="544" t="s">
        <v>1674</v>
      </c>
      <c r="AE459" s="551"/>
      <c r="AF459" s="544" t="s">
        <v>1674</v>
      </c>
      <c r="AG459" s="544" t="s">
        <v>1674</v>
      </c>
      <c r="AH459" s="544" t="s">
        <v>1674</v>
      </c>
      <c r="AI459" s="544" t="s">
        <v>1674</v>
      </c>
      <c r="AJ459" s="544" t="s">
        <v>1674</v>
      </c>
      <c r="AK459" s="544" t="s">
        <v>1674</v>
      </c>
      <c r="AL459" s="544" t="s">
        <v>1674</v>
      </c>
      <c r="AM459" s="544" t="s">
        <v>2755</v>
      </c>
      <c r="AN459" s="544" t="s">
        <v>1674</v>
      </c>
      <c r="AP459" s="542">
        <f t="shared" si="14"/>
        <v>-89</v>
      </c>
      <c r="AR459" s="552">
        <f t="shared" si="15"/>
        <v>0</v>
      </c>
    </row>
    <row r="460" spans="1:44" outlineLevel="1" x14ac:dyDescent="0.25">
      <c r="A460" s="544" t="s">
        <v>1674</v>
      </c>
      <c r="B460" s="545">
        <v>0</v>
      </c>
      <c r="C460" s="544" t="s">
        <v>1674</v>
      </c>
      <c r="D460" s="544" t="s">
        <v>3501</v>
      </c>
      <c r="E460" s="542" t="s">
        <v>3502</v>
      </c>
      <c r="F460" s="542" t="s">
        <v>3503</v>
      </c>
      <c r="G460" s="546">
        <v>94.25</v>
      </c>
      <c r="H460" s="546"/>
      <c r="I460" s="546"/>
      <c r="J460" s="542" t="s">
        <v>806</v>
      </c>
      <c r="K460" s="547">
        <v>8400</v>
      </c>
      <c r="L460" s="542" t="s">
        <v>806</v>
      </c>
      <c r="M460" s="548"/>
      <c r="N460" s="549">
        <v>-150</v>
      </c>
      <c r="O460" s="544" t="s">
        <v>1674</v>
      </c>
      <c r="P460" s="544" t="s">
        <v>1674</v>
      </c>
      <c r="Q460" s="544" t="s">
        <v>2754</v>
      </c>
      <c r="R460" s="544" t="s">
        <v>2617</v>
      </c>
      <c r="S460" s="544" t="s">
        <v>1674</v>
      </c>
      <c r="T460" s="550">
        <v>19</v>
      </c>
      <c r="U460" s="544" t="s">
        <v>3315</v>
      </c>
      <c r="V460" s="547">
        <v>227</v>
      </c>
      <c r="W460" s="548"/>
      <c r="Y460" s="544" t="s">
        <v>1674</v>
      </c>
      <c r="AA460" s="544" t="s">
        <v>1674</v>
      </c>
      <c r="AE460" s="551"/>
      <c r="AF460" s="544" t="s">
        <v>1674</v>
      </c>
      <c r="AG460" s="544" t="s">
        <v>1674</v>
      </c>
      <c r="AH460" s="544" t="s">
        <v>1674</v>
      </c>
      <c r="AI460" s="544" t="s">
        <v>1674</v>
      </c>
      <c r="AJ460" s="544" t="s">
        <v>1674</v>
      </c>
      <c r="AK460" s="544" t="s">
        <v>1674</v>
      </c>
      <c r="AL460" s="544" t="s">
        <v>1674</v>
      </c>
      <c r="AM460" s="544" t="s">
        <v>1674</v>
      </c>
      <c r="AN460" s="544" t="s">
        <v>1674</v>
      </c>
      <c r="AP460" s="542">
        <f t="shared" si="14"/>
        <v>-89</v>
      </c>
      <c r="AR460" s="552">
        <f t="shared" si="15"/>
        <v>0</v>
      </c>
    </row>
    <row r="461" spans="1:44" outlineLevel="1" x14ac:dyDescent="0.25">
      <c r="A461" s="544" t="s">
        <v>1674</v>
      </c>
      <c r="B461" s="545">
        <v>0</v>
      </c>
      <c r="C461" s="544" t="s">
        <v>1674</v>
      </c>
      <c r="D461" s="544" t="s">
        <v>3501</v>
      </c>
      <c r="E461" s="542" t="s">
        <v>3502</v>
      </c>
      <c r="F461" s="542" t="s">
        <v>3503</v>
      </c>
      <c r="G461" s="546">
        <v>26679.32</v>
      </c>
      <c r="H461" s="546"/>
      <c r="I461" s="546">
        <v>28560</v>
      </c>
      <c r="J461" s="542" t="s">
        <v>2701</v>
      </c>
      <c r="K461" s="547">
        <v>8401</v>
      </c>
      <c r="L461" s="542" t="s">
        <v>806</v>
      </c>
      <c r="M461" s="548"/>
      <c r="N461" s="549">
        <v>-150</v>
      </c>
      <c r="O461" s="544" t="s">
        <v>1674</v>
      </c>
      <c r="P461" s="544" t="s">
        <v>1674</v>
      </c>
      <c r="Q461" s="544" t="s">
        <v>2754</v>
      </c>
      <c r="R461" s="544" t="s">
        <v>1674</v>
      </c>
      <c r="S461" s="544" t="s">
        <v>1674</v>
      </c>
      <c r="T461" s="550">
        <v>19</v>
      </c>
      <c r="U461" s="544" t="s">
        <v>3315</v>
      </c>
      <c r="V461" s="547">
        <v>228</v>
      </c>
      <c r="W461" s="548"/>
      <c r="Y461" s="544" t="s">
        <v>1674</v>
      </c>
      <c r="AA461" s="544" t="s">
        <v>1674</v>
      </c>
      <c r="AE461" s="551"/>
      <c r="AF461" s="544" t="s">
        <v>1674</v>
      </c>
      <c r="AG461" s="544" t="s">
        <v>1674</v>
      </c>
      <c r="AH461" s="544" t="s">
        <v>1674</v>
      </c>
      <c r="AI461" s="544" t="s">
        <v>1674</v>
      </c>
      <c r="AJ461" s="544" t="s">
        <v>1674</v>
      </c>
      <c r="AK461" s="544" t="s">
        <v>1674</v>
      </c>
      <c r="AL461" s="544" t="s">
        <v>1674</v>
      </c>
      <c r="AM461" s="544" t="s">
        <v>1674</v>
      </c>
      <c r="AN461" s="544" t="s">
        <v>1674</v>
      </c>
      <c r="AP461" s="542">
        <f t="shared" si="14"/>
        <v>-89</v>
      </c>
      <c r="AR461" s="552">
        <f t="shared" si="15"/>
        <v>28560</v>
      </c>
    </row>
    <row r="462" spans="1:44" outlineLevel="1" x14ac:dyDescent="0.25">
      <c r="A462" s="544" t="s">
        <v>1674</v>
      </c>
      <c r="B462" s="545">
        <v>10700</v>
      </c>
      <c r="C462" s="544" t="s">
        <v>2836</v>
      </c>
      <c r="D462" s="544" t="s">
        <v>3504</v>
      </c>
      <c r="E462" s="542" t="s">
        <v>3454</v>
      </c>
      <c r="F462" s="542" t="s">
        <v>3505</v>
      </c>
      <c r="G462" s="546">
        <v>3323.67</v>
      </c>
      <c r="H462" s="546"/>
      <c r="I462" s="546">
        <v>3323.67</v>
      </c>
      <c r="J462" s="542" t="s">
        <v>2701</v>
      </c>
      <c r="K462" s="547">
        <v>8400</v>
      </c>
      <c r="L462" s="542" t="s">
        <v>806</v>
      </c>
      <c r="M462" s="548"/>
      <c r="N462" s="549">
        <v>-149</v>
      </c>
      <c r="O462" s="544" t="s">
        <v>1674</v>
      </c>
      <c r="P462" s="544" t="s">
        <v>1674</v>
      </c>
      <c r="Q462" s="544" t="s">
        <v>2839</v>
      </c>
      <c r="R462" s="544" t="s">
        <v>1674</v>
      </c>
      <c r="S462" s="544" t="s">
        <v>1674</v>
      </c>
      <c r="T462" s="550">
        <v>19</v>
      </c>
      <c r="U462" s="544" t="s">
        <v>3315</v>
      </c>
      <c r="V462" s="547">
        <v>292</v>
      </c>
      <c r="W462" s="548"/>
      <c r="Y462" s="544" t="s">
        <v>1674</v>
      </c>
      <c r="AA462" s="544" t="s">
        <v>1674</v>
      </c>
      <c r="AE462" s="551"/>
      <c r="AF462" s="544" t="s">
        <v>1674</v>
      </c>
      <c r="AG462" s="544" t="s">
        <v>1674</v>
      </c>
      <c r="AH462" s="544" t="s">
        <v>1674</v>
      </c>
      <c r="AI462" s="544" t="s">
        <v>1674</v>
      </c>
      <c r="AJ462" s="544" t="s">
        <v>1674</v>
      </c>
      <c r="AK462" s="544" t="s">
        <v>1674</v>
      </c>
      <c r="AL462" s="544" t="s">
        <v>1674</v>
      </c>
      <c r="AM462" s="544" t="s">
        <v>2836</v>
      </c>
      <c r="AN462" s="544" t="s">
        <v>1674</v>
      </c>
      <c r="AP462" s="542">
        <f t="shared" si="14"/>
        <v>-88</v>
      </c>
      <c r="AR462" s="552">
        <f t="shared" si="15"/>
        <v>3323.67</v>
      </c>
    </row>
    <row r="463" spans="1:44" outlineLevel="1" x14ac:dyDescent="0.25">
      <c r="A463" s="544" t="s">
        <v>1674</v>
      </c>
      <c r="B463" s="545">
        <v>10409</v>
      </c>
      <c r="C463" s="544" t="s">
        <v>3445</v>
      </c>
      <c r="D463" s="544" t="s">
        <v>3506</v>
      </c>
      <c r="E463" s="542" t="s">
        <v>3457</v>
      </c>
      <c r="F463" s="542" t="s">
        <v>3507</v>
      </c>
      <c r="G463" s="546">
        <v>217.06</v>
      </c>
      <c r="H463" s="546"/>
      <c r="I463" s="546"/>
      <c r="J463" s="542" t="s">
        <v>806</v>
      </c>
      <c r="K463" s="547">
        <v>8400</v>
      </c>
      <c r="L463" s="542" t="s">
        <v>806</v>
      </c>
      <c r="M463" s="548"/>
      <c r="N463" s="549">
        <v>-148</v>
      </c>
      <c r="O463" s="544" t="s">
        <v>1674</v>
      </c>
      <c r="P463" s="544" t="s">
        <v>1674</v>
      </c>
      <c r="Q463" s="544" t="s">
        <v>3448</v>
      </c>
      <c r="R463" s="544" t="s">
        <v>2622</v>
      </c>
      <c r="S463" s="544" t="s">
        <v>1674</v>
      </c>
      <c r="T463" s="550">
        <v>19</v>
      </c>
      <c r="U463" s="544" t="s">
        <v>3315</v>
      </c>
      <c r="V463" s="547">
        <v>338</v>
      </c>
      <c r="W463" s="548"/>
      <c r="Y463" s="544" t="s">
        <v>1674</v>
      </c>
      <c r="AA463" s="544" t="s">
        <v>1674</v>
      </c>
      <c r="AE463" s="551"/>
      <c r="AF463" s="544" t="s">
        <v>1674</v>
      </c>
      <c r="AG463" s="544" t="s">
        <v>1674</v>
      </c>
      <c r="AH463" s="544" t="s">
        <v>1674</v>
      </c>
      <c r="AI463" s="544" t="s">
        <v>1674</v>
      </c>
      <c r="AJ463" s="544" t="s">
        <v>1674</v>
      </c>
      <c r="AK463" s="544" t="s">
        <v>1674</v>
      </c>
      <c r="AL463" s="544" t="s">
        <v>1674</v>
      </c>
      <c r="AM463" s="544" t="s">
        <v>3449</v>
      </c>
      <c r="AN463" s="544" t="s">
        <v>1674</v>
      </c>
      <c r="AP463" s="542">
        <f t="shared" si="14"/>
        <v>-87</v>
      </c>
      <c r="AR463" s="552">
        <f t="shared" si="15"/>
        <v>0</v>
      </c>
    </row>
    <row r="464" spans="1:44" outlineLevel="1" x14ac:dyDescent="0.25">
      <c r="A464" s="544" t="s">
        <v>1674</v>
      </c>
      <c r="B464" s="545">
        <v>0</v>
      </c>
      <c r="C464" s="544" t="s">
        <v>1674</v>
      </c>
      <c r="D464" s="544" t="s">
        <v>3506</v>
      </c>
      <c r="E464" s="542" t="s">
        <v>3457</v>
      </c>
      <c r="F464" s="542" t="s">
        <v>3507</v>
      </c>
      <c r="G464" s="546">
        <v>427.21</v>
      </c>
      <c r="H464" s="546"/>
      <c r="I464" s="546">
        <v>644.27</v>
      </c>
      <c r="J464" s="542" t="s">
        <v>2701</v>
      </c>
      <c r="K464" s="547">
        <v>8400</v>
      </c>
      <c r="L464" s="542" t="s">
        <v>806</v>
      </c>
      <c r="M464" s="548"/>
      <c r="N464" s="549">
        <v>-148</v>
      </c>
      <c r="O464" s="544" t="s">
        <v>1674</v>
      </c>
      <c r="P464" s="544" t="s">
        <v>1674</v>
      </c>
      <c r="Q464" s="544" t="s">
        <v>3448</v>
      </c>
      <c r="R464" s="544" t="s">
        <v>1674</v>
      </c>
      <c r="S464" s="544" t="s">
        <v>1674</v>
      </c>
      <c r="T464" s="550">
        <v>19</v>
      </c>
      <c r="U464" s="544" t="s">
        <v>3315</v>
      </c>
      <c r="V464" s="547">
        <v>339</v>
      </c>
      <c r="W464" s="548"/>
      <c r="Y464" s="544" t="s">
        <v>1674</v>
      </c>
      <c r="AA464" s="544" t="s">
        <v>1674</v>
      </c>
      <c r="AE464" s="551"/>
      <c r="AF464" s="544" t="s">
        <v>1674</v>
      </c>
      <c r="AG464" s="544" t="s">
        <v>1674</v>
      </c>
      <c r="AH464" s="544" t="s">
        <v>1674</v>
      </c>
      <c r="AI464" s="544" t="s">
        <v>1674</v>
      </c>
      <c r="AJ464" s="544" t="s">
        <v>1674</v>
      </c>
      <c r="AK464" s="544" t="s">
        <v>1674</v>
      </c>
      <c r="AL464" s="544" t="s">
        <v>1674</v>
      </c>
      <c r="AM464" s="544" t="s">
        <v>1674</v>
      </c>
      <c r="AN464" s="544" t="s">
        <v>1674</v>
      </c>
      <c r="AP464" s="542">
        <f t="shared" si="14"/>
        <v>-87</v>
      </c>
      <c r="AR464" s="552">
        <f t="shared" si="15"/>
        <v>644.27</v>
      </c>
    </row>
    <row r="465" spans="1:44" outlineLevel="1" x14ac:dyDescent="0.25">
      <c r="A465" s="544" t="s">
        <v>1674</v>
      </c>
      <c r="B465" s="545">
        <v>21205</v>
      </c>
      <c r="C465" s="544" t="s">
        <v>3508</v>
      </c>
      <c r="D465" s="544" t="s">
        <v>3509</v>
      </c>
      <c r="E465" s="542" t="s">
        <v>3457</v>
      </c>
      <c r="F465" s="542" t="s">
        <v>3507</v>
      </c>
      <c r="G465" s="546">
        <v>2340</v>
      </c>
      <c r="H465" s="546"/>
      <c r="I465" s="546"/>
      <c r="J465" s="542" t="s">
        <v>806</v>
      </c>
      <c r="K465" s="547">
        <v>8125</v>
      </c>
      <c r="L465" s="542" t="s">
        <v>806</v>
      </c>
      <c r="M465" s="548"/>
      <c r="N465" s="549">
        <v>-148</v>
      </c>
      <c r="O465" s="544" t="s">
        <v>1674</v>
      </c>
      <c r="P465" s="544" t="s">
        <v>1674</v>
      </c>
      <c r="Q465" s="544" t="s">
        <v>3510</v>
      </c>
      <c r="R465" s="544" t="s">
        <v>2617</v>
      </c>
      <c r="S465" s="544" t="s">
        <v>1674</v>
      </c>
      <c r="T465" s="550"/>
      <c r="U465" s="544" t="s">
        <v>3315</v>
      </c>
      <c r="V465" s="547">
        <v>343</v>
      </c>
      <c r="W465" s="548"/>
      <c r="Y465" s="544" t="s">
        <v>1674</v>
      </c>
      <c r="AA465" s="544" t="s">
        <v>1674</v>
      </c>
      <c r="AE465" s="551"/>
      <c r="AF465" s="544" t="s">
        <v>1674</v>
      </c>
      <c r="AG465" s="544" t="s">
        <v>1674</v>
      </c>
      <c r="AH465" s="544" t="s">
        <v>1674</v>
      </c>
      <c r="AI465" s="544" t="s">
        <v>1674</v>
      </c>
      <c r="AJ465" s="544" t="s">
        <v>1674</v>
      </c>
      <c r="AK465" s="544" t="s">
        <v>1674</v>
      </c>
      <c r="AL465" s="544" t="s">
        <v>1674</v>
      </c>
      <c r="AM465" s="544" t="s">
        <v>3511</v>
      </c>
      <c r="AN465" s="544" t="s">
        <v>1674</v>
      </c>
      <c r="AP465" s="542">
        <f t="shared" si="14"/>
        <v>-87</v>
      </c>
      <c r="AR465" s="552">
        <f t="shared" si="15"/>
        <v>0</v>
      </c>
    </row>
    <row r="466" spans="1:44" outlineLevel="1" x14ac:dyDescent="0.25">
      <c r="A466" s="544" t="s">
        <v>1674</v>
      </c>
      <c r="B466" s="545">
        <v>0</v>
      </c>
      <c r="C466" s="544" t="s">
        <v>1674</v>
      </c>
      <c r="D466" s="544" t="s">
        <v>3509</v>
      </c>
      <c r="E466" s="542" t="s">
        <v>3457</v>
      </c>
      <c r="F466" s="542" t="s">
        <v>3507</v>
      </c>
      <c r="G466" s="546">
        <v>130</v>
      </c>
      <c r="H466" s="546"/>
      <c r="I466" s="546">
        <v>2470</v>
      </c>
      <c r="J466" s="542" t="s">
        <v>2701</v>
      </c>
      <c r="K466" s="547">
        <v>8125</v>
      </c>
      <c r="L466" s="542" t="s">
        <v>806</v>
      </c>
      <c r="M466" s="548"/>
      <c r="N466" s="549">
        <v>-148</v>
      </c>
      <c r="O466" s="544" t="s">
        <v>1674</v>
      </c>
      <c r="P466" s="544" t="s">
        <v>1674</v>
      </c>
      <c r="Q466" s="544" t="s">
        <v>3512</v>
      </c>
      <c r="R466" s="544" t="s">
        <v>1674</v>
      </c>
      <c r="S466" s="544" t="s">
        <v>1674</v>
      </c>
      <c r="T466" s="550"/>
      <c r="U466" s="544" t="s">
        <v>3315</v>
      </c>
      <c r="V466" s="547">
        <v>344</v>
      </c>
      <c r="W466" s="548"/>
      <c r="Y466" s="544" t="s">
        <v>1674</v>
      </c>
      <c r="AA466" s="544" t="s">
        <v>1674</v>
      </c>
      <c r="AE466" s="551"/>
      <c r="AF466" s="544" t="s">
        <v>1674</v>
      </c>
      <c r="AG466" s="544" t="s">
        <v>1674</v>
      </c>
      <c r="AH466" s="544" t="s">
        <v>1674</v>
      </c>
      <c r="AI466" s="544" t="s">
        <v>1674</v>
      </c>
      <c r="AJ466" s="544" t="s">
        <v>1674</v>
      </c>
      <c r="AK466" s="544" t="s">
        <v>1674</v>
      </c>
      <c r="AL466" s="544" t="s">
        <v>1674</v>
      </c>
      <c r="AM466" s="544" t="s">
        <v>1674</v>
      </c>
      <c r="AN466" s="544" t="s">
        <v>1674</v>
      </c>
      <c r="AP466" s="542">
        <f t="shared" si="14"/>
        <v>-87</v>
      </c>
      <c r="AR466" s="552">
        <f t="shared" si="15"/>
        <v>2470</v>
      </c>
    </row>
    <row r="467" spans="1:44" outlineLevel="1" x14ac:dyDescent="0.25">
      <c r="A467" s="544" t="s">
        <v>1674</v>
      </c>
      <c r="B467" s="545">
        <v>11103</v>
      </c>
      <c r="C467" s="544" t="s">
        <v>3168</v>
      </c>
      <c r="D467" s="544" t="s">
        <v>3513</v>
      </c>
      <c r="E467" s="542" t="s">
        <v>3514</v>
      </c>
      <c r="F467" s="542" t="s">
        <v>3515</v>
      </c>
      <c r="G467" s="546">
        <v>16498.16</v>
      </c>
      <c r="H467" s="546"/>
      <c r="I467" s="546">
        <v>16498.16</v>
      </c>
      <c r="J467" s="542" t="s">
        <v>2701</v>
      </c>
      <c r="K467" s="547">
        <v>8400</v>
      </c>
      <c r="L467" s="542" t="s">
        <v>806</v>
      </c>
      <c r="M467" s="548"/>
      <c r="N467" s="549">
        <v>-147</v>
      </c>
      <c r="O467" s="544" t="s">
        <v>1674</v>
      </c>
      <c r="P467" s="544" t="s">
        <v>1674</v>
      </c>
      <c r="Q467" s="544" t="s">
        <v>3516</v>
      </c>
      <c r="R467" s="544" t="s">
        <v>1674</v>
      </c>
      <c r="S467" s="544" t="s">
        <v>1674</v>
      </c>
      <c r="T467" s="550">
        <v>19</v>
      </c>
      <c r="U467" s="544" t="s">
        <v>3315</v>
      </c>
      <c r="V467" s="547">
        <v>461</v>
      </c>
      <c r="W467" s="548"/>
      <c r="Y467" s="544" t="s">
        <v>1674</v>
      </c>
      <c r="AA467" s="544" t="s">
        <v>1674</v>
      </c>
      <c r="AE467" s="551"/>
      <c r="AF467" s="544" t="s">
        <v>1674</v>
      </c>
      <c r="AG467" s="544" t="s">
        <v>1674</v>
      </c>
      <c r="AH467" s="544" t="s">
        <v>1674</v>
      </c>
      <c r="AI467" s="544" t="s">
        <v>1674</v>
      </c>
      <c r="AJ467" s="544" t="s">
        <v>1674</v>
      </c>
      <c r="AK467" s="544" t="s">
        <v>1674</v>
      </c>
      <c r="AL467" s="544" t="s">
        <v>1674</v>
      </c>
      <c r="AM467" s="544" t="s">
        <v>3171</v>
      </c>
      <c r="AN467" s="544" t="s">
        <v>1674</v>
      </c>
      <c r="AP467" s="542">
        <f t="shared" si="14"/>
        <v>-86</v>
      </c>
      <c r="AR467" s="552">
        <f t="shared" si="15"/>
        <v>16498.16</v>
      </c>
    </row>
    <row r="468" spans="1:44" outlineLevel="1" x14ac:dyDescent="0.25">
      <c r="A468" s="544" t="s">
        <v>1674</v>
      </c>
      <c r="B468" s="545">
        <v>30803</v>
      </c>
      <c r="C468" s="544" t="s">
        <v>2925</v>
      </c>
      <c r="D468" s="544" t="s">
        <v>3517</v>
      </c>
      <c r="E468" s="542" t="s">
        <v>3514</v>
      </c>
      <c r="F468" s="542" t="s">
        <v>3515</v>
      </c>
      <c r="G468" s="546">
        <v>3079.72</v>
      </c>
      <c r="H468" s="546"/>
      <c r="I468" s="546">
        <v>3079.72</v>
      </c>
      <c r="J468" s="542" t="s">
        <v>2701</v>
      </c>
      <c r="K468" s="547">
        <v>8400</v>
      </c>
      <c r="L468" s="542" t="s">
        <v>806</v>
      </c>
      <c r="M468" s="548"/>
      <c r="N468" s="549">
        <v>-147</v>
      </c>
      <c r="O468" s="544" t="s">
        <v>1674</v>
      </c>
      <c r="P468" s="544" t="s">
        <v>1674</v>
      </c>
      <c r="Q468" s="544" t="s">
        <v>3030</v>
      </c>
      <c r="R468" s="544" t="s">
        <v>1674</v>
      </c>
      <c r="S468" s="544" t="s">
        <v>1674</v>
      </c>
      <c r="T468" s="550">
        <v>19</v>
      </c>
      <c r="U468" s="544" t="s">
        <v>3315</v>
      </c>
      <c r="V468" s="547">
        <v>463</v>
      </c>
      <c r="W468" s="548"/>
      <c r="Y468" s="544" t="s">
        <v>1674</v>
      </c>
      <c r="AA468" s="544" t="s">
        <v>1674</v>
      </c>
      <c r="AE468" s="551"/>
      <c r="AF468" s="544" t="s">
        <v>1674</v>
      </c>
      <c r="AG468" s="544" t="s">
        <v>1674</v>
      </c>
      <c r="AH468" s="544" t="s">
        <v>1674</v>
      </c>
      <c r="AI468" s="544" t="s">
        <v>1674</v>
      </c>
      <c r="AJ468" s="544" t="s">
        <v>1674</v>
      </c>
      <c r="AK468" s="544" t="s">
        <v>1674</v>
      </c>
      <c r="AL468" s="544" t="s">
        <v>1674</v>
      </c>
      <c r="AM468" s="544" t="s">
        <v>2928</v>
      </c>
      <c r="AN468" s="544" t="s">
        <v>1674</v>
      </c>
      <c r="AP468" s="542">
        <f t="shared" si="14"/>
        <v>-86</v>
      </c>
      <c r="AR468" s="552">
        <f t="shared" si="15"/>
        <v>3079.72</v>
      </c>
    </row>
    <row r="469" spans="1:44" outlineLevel="1" x14ac:dyDescent="0.25">
      <c r="A469" s="544" t="s">
        <v>1674</v>
      </c>
      <c r="B469" s="545">
        <v>0</v>
      </c>
      <c r="C469" s="544" t="s">
        <v>1674</v>
      </c>
      <c r="D469" s="544" t="s">
        <v>3518</v>
      </c>
      <c r="E469" s="542" t="s">
        <v>3514</v>
      </c>
      <c r="F469" s="542" t="s">
        <v>3515</v>
      </c>
      <c r="G469" s="546">
        <v>9639</v>
      </c>
      <c r="H469" s="546"/>
      <c r="I469" s="546">
        <v>9639</v>
      </c>
      <c r="J469" s="542" t="s">
        <v>2701</v>
      </c>
      <c r="K469" s="547">
        <v>8400</v>
      </c>
      <c r="L469" s="542" t="s">
        <v>806</v>
      </c>
      <c r="M469" s="548"/>
      <c r="N469" s="549">
        <v>-147</v>
      </c>
      <c r="O469" s="544" t="s">
        <v>1674</v>
      </c>
      <c r="P469" s="544" t="s">
        <v>1674</v>
      </c>
      <c r="Q469" s="544" t="s">
        <v>3030</v>
      </c>
      <c r="R469" s="544" t="s">
        <v>1674</v>
      </c>
      <c r="S469" s="544" t="s">
        <v>1674</v>
      </c>
      <c r="T469" s="550">
        <v>19</v>
      </c>
      <c r="U469" s="544" t="s">
        <v>3315</v>
      </c>
      <c r="V469" s="547">
        <v>464</v>
      </c>
      <c r="W469" s="548"/>
      <c r="Y469" s="544" t="s">
        <v>1674</v>
      </c>
      <c r="AA469" s="544" t="s">
        <v>1674</v>
      </c>
      <c r="AE469" s="551"/>
      <c r="AF469" s="544" t="s">
        <v>1674</v>
      </c>
      <c r="AG469" s="544" t="s">
        <v>1674</v>
      </c>
      <c r="AH469" s="544" t="s">
        <v>1674</v>
      </c>
      <c r="AI469" s="544" t="s">
        <v>1674</v>
      </c>
      <c r="AJ469" s="544" t="s">
        <v>1674</v>
      </c>
      <c r="AK469" s="544" t="s">
        <v>1674</v>
      </c>
      <c r="AL469" s="544" t="s">
        <v>1674</v>
      </c>
      <c r="AM469" s="544" t="s">
        <v>1674</v>
      </c>
      <c r="AN469" s="544" t="s">
        <v>1674</v>
      </c>
      <c r="AP469" s="542">
        <f t="shared" si="14"/>
        <v>-86</v>
      </c>
      <c r="AR469" s="552">
        <f t="shared" si="15"/>
        <v>9639</v>
      </c>
    </row>
    <row r="470" spans="1:44" outlineLevel="1" x14ac:dyDescent="0.25">
      <c r="A470" s="544" t="s">
        <v>1674</v>
      </c>
      <c r="B470" s="545">
        <v>10245</v>
      </c>
      <c r="C470" s="544" t="s">
        <v>3519</v>
      </c>
      <c r="D470" s="544" t="s">
        <v>3520</v>
      </c>
      <c r="E470" s="542" t="s">
        <v>3521</v>
      </c>
      <c r="F470" s="542" t="s">
        <v>3522</v>
      </c>
      <c r="G470" s="546">
        <v>773.5</v>
      </c>
      <c r="H470" s="546"/>
      <c r="I470" s="546">
        <v>773.5</v>
      </c>
      <c r="J470" s="542" t="s">
        <v>2701</v>
      </c>
      <c r="K470" s="547">
        <v>8403</v>
      </c>
      <c r="L470" s="542" t="s">
        <v>806</v>
      </c>
      <c r="M470" s="548"/>
      <c r="N470" s="549">
        <v>-143</v>
      </c>
      <c r="O470" s="544" t="s">
        <v>1674</v>
      </c>
      <c r="P470" s="544" t="s">
        <v>1674</v>
      </c>
      <c r="Q470" s="544" t="s">
        <v>3523</v>
      </c>
      <c r="R470" s="544" t="s">
        <v>1674</v>
      </c>
      <c r="S470" s="544" t="s">
        <v>1674</v>
      </c>
      <c r="T470" s="550">
        <v>19</v>
      </c>
      <c r="U470" s="544" t="s">
        <v>3315</v>
      </c>
      <c r="V470" s="547">
        <v>575</v>
      </c>
      <c r="W470" s="548"/>
      <c r="Y470" s="544" t="s">
        <v>1674</v>
      </c>
      <c r="AA470" s="544" t="s">
        <v>1674</v>
      </c>
      <c r="AE470" s="551"/>
      <c r="AF470" s="544" t="s">
        <v>1674</v>
      </c>
      <c r="AG470" s="544" t="s">
        <v>1674</v>
      </c>
      <c r="AH470" s="544" t="s">
        <v>1674</v>
      </c>
      <c r="AI470" s="544" t="s">
        <v>1674</v>
      </c>
      <c r="AJ470" s="544" t="s">
        <v>1674</v>
      </c>
      <c r="AK470" s="544" t="s">
        <v>1674</v>
      </c>
      <c r="AL470" s="544" t="s">
        <v>1674</v>
      </c>
      <c r="AM470" s="544" t="s">
        <v>3524</v>
      </c>
      <c r="AN470" s="544" t="s">
        <v>1674</v>
      </c>
      <c r="AP470" s="542">
        <f t="shared" si="14"/>
        <v>-82</v>
      </c>
      <c r="AR470" s="552">
        <f t="shared" si="15"/>
        <v>773.5</v>
      </c>
    </row>
    <row r="471" spans="1:44" outlineLevel="1" x14ac:dyDescent="0.25">
      <c r="A471" s="544" t="s">
        <v>1674</v>
      </c>
      <c r="B471" s="545">
        <v>0</v>
      </c>
      <c r="C471" s="544" t="s">
        <v>1674</v>
      </c>
      <c r="D471" s="544" t="s">
        <v>3525</v>
      </c>
      <c r="E471" s="542" t="s">
        <v>3521</v>
      </c>
      <c r="F471" s="542" t="s">
        <v>3522</v>
      </c>
      <c r="G471" s="546">
        <v>773.5</v>
      </c>
      <c r="H471" s="546"/>
      <c r="I471" s="546">
        <v>773.5</v>
      </c>
      <c r="J471" s="542" t="s">
        <v>2701</v>
      </c>
      <c r="K471" s="547">
        <v>8403</v>
      </c>
      <c r="L471" s="542" t="s">
        <v>806</v>
      </c>
      <c r="M471" s="548"/>
      <c r="N471" s="549">
        <v>-143</v>
      </c>
      <c r="O471" s="544" t="s">
        <v>1674</v>
      </c>
      <c r="P471" s="544" t="s">
        <v>1674</v>
      </c>
      <c r="Q471" s="544" t="s">
        <v>3523</v>
      </c>
      <c r="R471" s="544" t="s">
        <v>1674</v>
      </c>
      <c r="S471" s="544" t="s">
        <v>1674</v>
      </c>
      <c r="T471" s="550">
        <v>19</v>
      </c>
      <c r="U471" s="544" t="s">
        <v>3315</v>
      </c>
      <c r="V471" s="547">
        <v>576</v>
      </c>
      <c r="W471" s="548"/>
      <c r="Y471" s="544" t="s">
        <v>1674</v>
      </c>
      <c r="AA471" s="544" t="s">
        <v>1674</v>
      </c>
      <c r="AE471" s="551"/>
      <c r="AF471" s="544" t="s">
        <v>1674</v>
      </c>
      <c r="AG471" s="544" t="s">
        <v>1674</v>
      </c>
      <c r="AH471" s="544" t="s">
        <v>1674</v>
      </c>
      <c r="AI471" s="544" t="s">
        <v>1674</v>
      </c>
      <c r="AJ471" s="544" t="s">
        <v>1674</v>
      </c>
      <c r="AK471" s="544" t="s">
        <v>1674</v>
      </c>
      <c r="AL471" s="544" t="s">
        <v>1674</v>
      </c>
      <c r="AM471" s="544" t="s">
        <v>1674</v>
      </c>
      <c r="AN471" s="544" t="s">
        <v>1674</v>
      </c>
      <c r="AP471" s="542">
        <f t="shared" si="14"/>
        <v>-82</v>
      </c>
      <c r="AR471" s="552">
        <f t="shared" si="15"/>
        <v>773.5</v>
      </c>
    </row>
    <row r="472" spans="1:44" outlineLevel="1" x14ac:dyDescent="0.25">
      <c r="A472" s="544" t="s">
        <v>1674</v>
      </c>
      <c r="B472" s="545">
        <v>0</v>
      </c>
      <c r="C472" s="544" t="s">
        <v>1674</v>
      </c>
      <c r="D472" s="544" t="s">
        <v>3526</v>
      </c>
      <c r="E472" s="542" t="s">
        <v>3521</v>
      </c>
      <c r="F472" s="542" t="s">
        <v>3522</v>
      </c>
      <c r="G472" s="546">
        <v>773.5</v>
      </c>
      <c r="H472" s="546"/>
      <c r="I472" s="546">
        <v>773.5</v>
      </c>
      <c r="J472" s="542" t="s">
        <v>2701</v>
      </c>
      <c r="K472" s="547">
        <v>8403</v>
      </c>
      <c r="L472" s="542" t="s">
        <v>806</v>
      </c>
      <c r="M472" s="548"/>
      <c r="N472" s="549">
        <v>-143</v>
      </c>
      <c r="O472" s="544" t="s">
        <v>1674</v>
      </c>
      <c r="P472" s="544" t="s">
        <v>1674</v>
      </c>
      <c r="Q472" s="544" t="s">
        <v>3523</v>
      </c>
      <c r="R472" s="544" t="s">
        <v>1674</v>
      </c>
      <c r="S472" s="544" t="s">
        <v>1674</v>
      </c>
      <c r="T472" s="550">
        <v>19</v>
      </c>
      <c r="U472" s="544" t="s">
        <v>3315</v>
      </c>
      <c r="V472" s="547">
        <v>577</v>
      </c>
      <c r="W472" s="548"/>
      <c r="Y472" s="544" t="s">
        <v>1674</v>
      </c>
      <c r="AA472" s="544" t="s">
        <v>1674</v>
      </c>
      <c r="AE472" s="551"/>
      <c r="AF472" s="544" t="s">
        <v>1674</v>
      </c>
      <c r="AG472" s="544" t="s">
        <v>1674</v>
      </c>
      <c r="AH472" s="544" t="s">
        <v>1674</v>
      </c>
      <c r="AI472" s="544" t="s">
        <v>1674</v>
      </c>
      <c r="AJ472" s="544" t="s">
        <v>1674</v>
      </c>
      <c r="AK472" s="544" t="s">
        <v>1674</v>
      </c>
      <c r="AL472" s="544" t="s">
        <v>1674</v>
      </c>
      <c r="AM472" s="544" t="s">
        <v>1674</v>
      </c>
      <c r="AN472" s="544" t="s">
        <v>1674</v>
      </c>
      <c r="AP472" s="542">
        <f t="shared" si="14"/>
        <v>-82</v>
      </c>
      <c r="AR472" s="552">
        <f t="shared" si="15"/>
        <v>773.5</v>
      </c>
    </row>
    <row r="473" spans="1:44" outlineLevel="1" x14ac:dyDescent="0.25">
      <c r="A473" s="544" t="s">
        <v>1674</v>
      </c>
      <c r="B473" s="545">
        <v>0</v>
      </c>
      <c r="C473" s="544" t="s">
        <v>1674</v>
      </c>
      <c r="D473" s="544" t="s">
        <v>3527</v>
      </c>
      <c r="E473" s="542" t="s">
        <v>3521</v>
      </c>
      <c r="F473" s="542" t="s">
        <v>3522</v>
      </c>
      <c r="G473" s="546">
        <v>773.5</v>
      </c>
      <c r="H473" s="546"/>
      <c r="I473" s="546">
        <v>773.5</v>
      </c>
      <c r="J473" s="542" t="s">
        <v>2701</v>
      </c>
      <c r="K473" s="547">
        <v>8403</v>
      </c>
      <c r="L473" s="542" t="s">
        <v>806</v>
      </c>
      <c r="M473" s="548"/>
      <c r="N473" s="549">
        <v>-143</v>
      </c>
      <c r="O473" s="544" t="s">
        <v>1674</v>
      </c>
      <c r="P473" s="544" t="s">
        <v>1674</v>
      </c>
      <c r="Q473" s="544" t="s">
        <v>3523</v>
      </c>
      <c r="R473" s="544" t="s">
        <v>1674</v>
      </c>
      <c r="S473" s="544" t="s">
        <v>1674</v>
      </c>
      <c r="T473" s="550">
        <v>19</v>
      </c>
      <c r="U473" s="544" t="s">
        <v>3315</v>
      </c>
      <c r="V473" s="547">
        <v>578</v>
      </c>
      <c r="W473" s="548"/>
      <c r="Y473" s="544" t="s">
        <v>1674</v>
      </c>
      <c r="AA473" s="544" t="s">
        <v>1674</v>
      </c>
      <c r="AE473" s="551"/>
      <c r="AF473" s="544" t="s">
        <v>1674</v>
      </c>
      <c r="AG473" s="544" t="s">
        <v>1674</v>
      </c>
      <c r="AH473" s="544" t="s">
        <v>1674</v>
      </c>
      <c r="AI473" s="544" t="s">
        <v>1674</v>
      </c>
      <c r="AJ473" s="544" t="s">
        <v>1674</v>
      </c>
      <c r="AK473" s="544" t="s">
        <v>1674</v>
      </c>
      <c r="AL473" s="544" t="s">
        <v>1674</v>
      </c>
      <c r="AM473" s="544" t="s">
        <v>1674</v>
      </c>
      <c r="AN473" s="544" t="s">
        <v>1674</v>
      </c>
      <c r="AP473" s="542">
        <f t="shared" si="14"/>
        <v>-82</v>
      </c>
      <c r="AR473" s="552">
        <f t="shared" si="15"/>
        <v>773.5</v>
      </c>
    </row>
    <row r="474" spans="1:44" outlineLevel="1" x14ac:dyDescent="0.25">
      <c r="A474" s="544" t="s">
        <v>1674</v>
      </c>
      <c r="B474" s="545">
        <v>10700</v>
      </c>
      <c r="C474" s="544" t="s">
        <v>2836</v>
      </c>
      <c r="D474" s="544" t="s">
        <v>3528</v>
      </c>
      <c r="E474" s="542" t="s">
        <v>3529</v>
      </c>
      <c r="F474" s="542" t="s">
        <v>3530</v>
      </c>
      <c r="G474" s="546">
        <v>1185.24</v>
      </c>
      <c r="H474" s="546"/>
      <c r="I474" s="546">
        <v>1185.24</v>
      </c>
      <c r="J474" s="542" t="s">
        <v>2701</v>
      </c>
      <c r="K474" s="547">
        <v>8400</v>
      </c>
      <c r="L474" s="542" t="s">
        <v>806</v>
      </c>
      <c r="M474" s="548"/>
      <c r="N474" s="549">
        <v>-141</v>
      </c>
      <c r="O474" s="544" t="s">
        <v>1674</v>
      </c>
      <c r="P474" s="544" t="s">
        <v>1674</v>
      </c>
      <c r="Q474" s="544" t="s">
        <v>2839</v>
      </c>
      <c r="R474" s="544" t="s">
        <v>1674</v>
      </c>
      <c r="S474" s="544" t="s">
        <v>1674</v>
      </c>
      <c r="T474" s="550">
        <v>19</v>
      </c>
      <c r="U474" s="544" t="s">
        <v>3315</v>
      </c>
      <c r="V474" s="547">
        <v>768</v>
      </c>
      <c r="W474" s="548"/>
      <c r="Y474" s="544" t="s">
        <v>1674</v>
      </c>
      <c r="AA474" s="544" t="s">
        <v>1674</v>
      </c>
      <c r="AE474" s="551"/>
      <c r="AF474" s="544" t="s">
        <v>1674</v>
      </c>
      <c r="AG474" s="544" t="s">
        <v>1674</v>
      </c>
      <c r="AH474" s="544" t="s">
        <v>1674</v>
      </c>
      <c r="AI474" s="544" t="s">
        <v>1674</v>
      </c>
      <c r="AJ474" s="544" t="s">
        <v>1674</v>
      </c>
      <c r="AK474" s="544" t="s">
        <v>1674</v>
      </c>
      <c r="AL474" s="544" t="s">
        <v>1674</v>
      </c>
      <c r="AM474" s="544" t="s">
        <v>2836</v>
      </c>
      <c r="AN474" s="544" t="s">
        <v>1674</v>
      </c>
      <c r="AP474" s="542">
        <f t="shared" si="14"/>
        <v>-80</v>
      </c>
      <c r="AR474" s="552">
        <f t="shared" si="15"/>
        <v>1185.24</v>
      </c>
    </row>
    <row r="475" spans="1:44" outlineLevel="1" x14ac:dyDescent="0.25">
      <c r="A475" s="544" t="s">
        <v>1674</v>
      </c>
      <c r="B475" s="545">
        <v>0</v>
      </c>
      <c r="C475" s="544" t="s">
        <v>1674</v>
      </c>
      <c r="D475" s="544" t="s">
        <v>3531</v>
      </c>
      <c r="E475" s="542" t="s">
        <v>3463</v>
      </c>
      <c r="F475" s="542" t="s">
        <v>3532</v>
      </c>
      <c r="G475" s="546">
        <v>1024.95</v>
      </c>
      <c r="H475" s="546"/>
      <c r="I475" s="546"/>
      <c r="J475" s="542" t="s">
        <v>806</v>
      </c>
      <c r="K475" s="547">
        <v>8400</v>
      </c>
      <c r="L475" s="542" t="s">
        <v>806</v>
      </c>
      <c r="M475" s="548"/>
      <c r="N475" s="549">
        <v>-140</v>
      </c>
      <c r="O475" s="544" t="s">
        <v>1674</v>
      </c>
      <c r="P475" s="544" t="s">
        <v>1674</v>
      </c>
      <c r="Q475" s="544" t="s">
        <v>2909</v>
      </c>
      <c r="R475" s="544" t="s">
        <v>1674</v>
      </c>
      <c r="S475" s="544" t="s">
        <v>1674</v>
      </c>
      <c r="T475" s="550">
        <v>19</v>
      </c>
      <c r="U475" s="544" t="s">
        <v>3315</v>
      </c>
      <c r="V475" s="547">
        <v>868</v>
      </c>
      <c r="W475" s="548"/>
      <c r="Y475" s="544" t="s">
        <v>1674</v>
      </c>
      <c r="AA475" s="544" t="s">
        <v>1674</v>
      </c>
      <c r="AE475" s="551"/>
      <c r="AF475" s="544" t="s">
        <v>1674</v>
      </c>
      <c r="AG475" s="544" t="s">
        <v>1674</v>
      </c>
      <c r="AH475" s="544" t="s">
        <v>1674</v>
      </c>
      <c r="AI475" s="544" t="s">
        <v>1674</v>
      </c>
      <c r="AJ475" s="544" t="s">
        <v>1674</v>
      </c>
      <c r="AK475" s="544" t="s">
        <v>1674</v>
      </c>
      <c r="AL475" s="544" t="s">
        <v>1674</v>
      </c>
      <c r="AM475" s="544" t="s">
        <v>1674</v>
      </c>
      <c r="AN475" s="544" t="s">
        <v>1674</v>
      </c>
      <c r="AP475" s="542">
        <f t="shared" si="14"/>
        <v>-79</v>
      </c>
      <c r="AR475" s="552">
        <f t="shared" si="15"/>
        <v>0</v>
      </c>
    </row>
    <row r="476" spans="1:44" outlineLevel="1" x14ac:dyDescent="0.25">
      <c r="A476" s="544" t="s">
        <v>1674</v>
      </c>
      <c r="B476" s="545">
        <v>0</v>
      </c>
      <c r="C476" s="544" t="s">
        <v>1674</v>
      </c>
      <c r="D476" s="544" t="s">
        <v>3531</v>
      </c>
      <c r="E476" s="542" t="s">
        <v>3463</v>
      </c>
      <c r="F476" s="542" t="s">
        <v>3532</v>
      </c>
      <c r="G476" s="546">
        <v>53.91</v>
      </c>
      <c r="H476" s="546"/>
      <c r="I476" s="546"/>
      <c r="J476" s="542" t="s">
        <v>806</v>
      </c>
      <c r="K476" s="547">
        <v>8400</v>
      </c>
      <c r="L476" s="542" t="s">
        <v>806</v>
      </c>
      <c r="M476" s="548"/>
      <c r="N476" s="549">
        <v>-140</v>
      </c>
      <c r="O476" s="544" t="s">
        <v>1674</v>
      </c>
      <c r="P476" s="544" t="s">
        <v>1674</v>
      </c>
      <c r="Q476" s="544" t="s">
        <v>2909</v>
      </c>
      <c r="R476" s="544" t="s">
        <v>2617</v>
      </c>
      <c r="S476" s="544" t="s">
        <v>1674</v>
      </c>
      <c r="T476" s="550">
        <v>19</v>
      </c>
      <c r="U476" s="544" t="s">
        <v>3315</v>
      </c>
      <c r="V476" s="547">
        <v>869</v>
      </c>
      <c r="W476" s="548"/>
      <c r="Y476" s="544" t="s">
        <v>1674</v>
      </c>
      <c r="AA476" s="544" t="s">
        <v>1674</v>
      </c>
      <c r="AE476" s="551"/>
      <c r="AF476" s="544" t="s">
        <v>1674</v>
      </c>
      <c r="AG476" s="544" t="s">
        <v>1674</v>
      </c>
      <c r="AH476" s="544" t="s">
        <v>1674</v>
      </c>
      <c r="AI476" s="544" t="s">
        <v>1674</v>
      </c>
      <c r="AJ476" s="544" t="s">
        <v>1674</v>
      </c>
      <c r="AK476" s="544" t="s">
        <v>1674</v>
      </c>
      <c r="AL476" s="544" t="s">
        <v>1674</v>
      </c>
      <c r="AM476" s="544" t="s">
        <v>1674</v>
      </c>
      <c r="AN476" s="544" t="s">
        <v>1674</v>
      </c>
      <c r="AP476" s="542">
        <f t="shared" si="14"/>
        <v>-79</v>
      </c>
      <c r="AR476" s="552">
        <f t="shared" si="15"/>
        <v>0</v>
      </c>
    </row>
    <row r="477" spans="1:44" outlineLevel="1" x14ac:dyDescent="0.25">
      <c r="A477" s="544" t="s">
        <v>1674</v>
      </c>
      <c r="B477" s="545">
        <v>0</v>
      </c>
      <c r="C477" s="544" t="s">
        <v>1674</v>
      </c>
      <c r="D477" s="544" t="s">
        <v>3531</v>
      </c>
      <c r="E477" s="542" t="s">
        <v>3463</v>
      </c>
      <c r="F477" s="542" t="s">
        <v>3532</v>
      </c>
      <c r="G477" s="546">
        <v>15307.44</v>
      </c>
      <c r="H477" s="546"/>
      <c r="I477" s="546"/>
      <c r="J477" s="542" t="s">
        <v>806</v>
      </c>
      <c r="K477" s="547">
        <v>8401</v>
      </c>
      <c r="L477" s="542" t="s">
        <v>806</v>
      </c>
      <c r="M477" s="548"/>
      <c r="N477" s="549">
        <v>-140</v>
      </c>
      <c r="O477" s="544" t="s">
        <v>1674</v>
      </c>
      <c r="P477" s="544" t="s">
        <v>1674</v>
      </c>
      <c r="Q477" s="544" t="s">
        <v>2909</v>
      </c>
      <c r="R477" s="544" t="s">
        <v>1674</v>
      </c>
      <c r="S477" s="544" t="s">
        <v>1674</v>
      </c>
      <c r="T477" s="550">
        <v>19</v>
      </c>
      <c r="U477" s="544" t="s">
        <v>3315</v>
      </c>
      <c r="V477" s="547">
        <v>870</v>
      </c>
      <c r="W477" s="548"/>
      <c r="Y477" s="544" t="s">
        <v>1674</v>
      </c>
      <c r="AA477" s="544" t="s">
        <v>1674</v>
      </c>
      <c r="AE477" s="551"/>
      <c r="AF477" s="544" t="s">
        <v>1674</v>
      </c>
      <c r="AG477" s="544" t="s">
        <v>1674</v>
      </c>
      <c r="AH477" s="544" t="s">
        <v>1674</v>
      </c>
      <c r="AI477" s="544" t="s">
        <v>1674</v>
      </c>
      <c r="AJ477" s="544" t="s">
        <v>1674</v>
      </c>
      <c r="AK477" s="544" t="s">
        <v>1674</v>
      </c>
      <c r="AL477" s="544" t="s">
        <v>1674</v>
      </c>
      <c r="AM477" s="544" t="s">
        <v>1674</v>
      </c>
      <c r="AN477" s="544" t="s">
        <v>1674</v>
      </c>
      <c r="AP477" s="542">
        <f t="shared" si="14"/>
        <v>-79</v>
      </c>
      <c r="AR477" s="552">
        <f t="shared" si="15"/>
        <v>0</v>
      </c>
    </row>
    <row r="478" spans="1:44" outlineLevel="1" x14ac:dyDescent="0.25">
      <c r="A478" s="544" t="s">
        <v>1674</v>
      </c>
      <c r="B478" s="545">
        <v>0</v>
      </c>
      <c r="C478" s="544" t="s">
        <v>1674</v>
      </c>
      <c r="D478" s="544" t="s">
        <v>3531</v>
      </c>
      <c r="E478" s="542" t="s">
        <v>3533</v>
      </c>
      <c r="G478" s="546"/>
      <c r="H478" s="546">
        <v>15737.4</v>
      </c>
      <c r="I478" s="546"/>
      <c r="J478" s="542" t="s">
        <v>806</v>
      </c>
      <c r="K478" s="547">
        <v>1200</v>
      </c>
      <c r="L478" s="542" t="s">
        <v>806</v>
      </c>
      <c r="M478" s="548"/>
      <c r="N478" s="549"/>
      <c r="O478" s="544" t="s">
        <v>1674</v>
      </c>
      <c r="P478" s="544" t="s">
        <v>1674</v>
      </c>
      <c r="Q478" s="544" t="s">
        <v>3534</v>
      </c>
      <c r="R478" s="544" t="s">
        <v>1674</v>
      </c>
      <c r="S478" s="544" t="s">
        <v>1674</v>
      </c>
      <c r="T478" s="550"/>
      <c r="U478" s="544" t="s">
        <v>3315</v>
      </c>
      <c r="V478" s="547">
        <v>1227</v>
      </c>
      <c r="W478" s="548"/>
      <c r="Y478" s="544" t="s">
        <v>1674</v>
      </c>
      <c r="AA478" s="544" t="s">
        <v>1674</v>
      </c>
      <c r="AE478" s="551"/>
      <c r="AF478" s="544" t="s">
        <v>1674</v>
      </c>
      <c r="AG478" s="544" t="s">
        <v>1674</v>
      </c>
      <c r="AH478" s="544" t="s">
        <v>1674</v>
      </c>
      <c r="AI478" s="544" t="s">
        <v>1674</v>
      </c>
      <c r="AJ478" s="544" t="s">
        <v>1674</v>
      </c>
      <c r="AK478" s="544" t="s">
        <v>1674</v>
      </c>
      <c r="AL478" s="544" t="s">
        <v>1674</v>
      </c>
      <c r="AM478" s="544" t="s">
        <v>1674</v>
      </c>
      <c r="AN478" s="544" t="s">
        <v>1674</v>
      </c>
      <c r="AP478" s="542">
        <f t="shared" si="14"/>
        <v>0</v>
      </c>
      <c r="AR478" s="552">
        <f t="shared" si="15"/>
        <v>0</v>
      </c>
    </row>
    <row r="479" spans="1:44" outlineLevel="1" x14ac:dyDescent="0.25">
      <c r="A479" s="544" t="s">
        <v>1674</v>
      </c>
      <c r="B479" s="545">
        <v>0</v>
      </c>
      <c r="C479" s="544" t="s">
        <v>1674</v>
      </c>
      <c r="D479" s="544" t="s">
        <v>3531</v>
      </c>
      <c r="E479" s="542" t="s">
        <v>3533</v>
      </c>
      <c r="G479" s="546"/>
      <c r="H479" s="546">
        <v>327.73</v>
      </c>
      <c r="I479" s="546">
        <v>321.17</v>
      </c>
      <c r="J479" s="542" t="s">
        <v>2701</v>
      </c>
      <c r="K479" s="547">
        <v>8736</v>
      </c>
      <c r="L479" s="542" t="s">
        <v>806</v>
      </c>
      <c r="M479" s="548"/>
      <c r="N479" s="549"/>
      <c r="O479" s="544" t="s">
        <v>1674</v>
      </c>
      <c r="P479" s="544" t="s">
        <v>1674</v>
      </c>
      <c r="Q479" s="544" t="s">
        <v>3534</v>
      </c>
      <c r="R479" s="544" t="s">
        <v>1674</v>
      </c>
      <c r="S479" s="544" t="s">
        <v>1674</v>
      </c>
      <c r="T479" s="550">
        <v>19</v>
      </c>
      <c r="U479" s="544" t="s">
        <v>3315</v>
      </c>
      <c r="V479" s="547">
        <v>1228</v>
      </c>
      <c r="W479" s="548"/>
      <c r="Y479" s="544" t="s">
        <v>1674</v>
      </c>
      <c r="AA479" s="544" t="s">
        <v>1674</v>
      </c>
      <c r="AE479" s="551"/>
      <c r="AF479" s="544" t="s">
        <v>1674</v>
      </c>
      <c r="AG479" s="544" t="s">
        <v>1674</v>
      </c>
      <c r="AH479" s="544" t="s">
        <v>1674</v>
      </c>
      <c r="AI479" s="544" t="s">
        <v>1674</v>
      </c>
      <c r="AJ479" s="544" t="s">
        <v>1674</v>
      </c>
      <c r="AK479" s="544" t="s">
        <v>1674</v>
      </c>
      <c r="AL479" s="544" t="s">
        <v>1674</v>
      </c>
      <c r="AM479" s="544" t="s">
        <v>1674</v>
      </c>
      <c r="AN479" s="544" t="s">
        <v>1674</v>
      </c>
      <c r="AP479" s="542">
        <f t="shared" si="14"/>
        <v>0</v>
      </c>
      <c r="AR479" s="552">
        <f t="shared" si="15"/>
        <v>321.17</v>
      </c>
    </row>
    <row r="480" spans="1:44" outlineLevel="1" x14ac:dyDescent="0.25">
      <c r="A480" s="544" t="s">
        <v>1674</v>
      </c>
      <c r="B480" s="545">
        <v>11000</v>
      </c>
      <c r="C480" s="544" t="s">
        <v>2900</v>
      </c>
      <c r="D480" s="544" t="s">
        <v>3535</v>
      </c>
      <c r="E480" s="542" t="s">
        <v>3536</v>
      </c>
      <c r="F480" s="542" t="s">
        <v>3537</v>
      </c>
      <c r="G480" s="546">
        <v>240.62</v>
      </c>
      <c r="H480" s="546"/>
      <c r="I480" s="546"/>
      <c r="J480" s="542" t="s">
        <v>806</v>
      </c>
      <c r="K480" s="547">
        <v>8400</v>
      </c>
      <c r="L480" s="542" t="s">
        <v>806</v>
      </c>
      <c r="M480" s="548"/>
      <c r="N480" s="549">
        <v>-137</v>
      </c>
      <c r="O480" s="544" t="s">
        <v>1674</v>
      </c>
      <c r="P480" s="544" t="s">
        <v>1674</v>
      </c>
      <c r="Q480" s="544" t="s">
        <v>3250</v>
      </c>
      <c r="R480" s="544" t="s">
        <v>1674</v>
      </c>
      <c r="S480" s="544" t="s">
        <v>1674</v>
      </c>
      <c r="T480" s="550">
        <v>19</v>
      </c>
      <c r="U480" s="544" t="s">
        <v>3315</v>
      </c>
      <c r="V480" s="547">
        <v>963</v>
      </c>
      <c r="W480" s="548"/>
      <c r="Y480" s="544" t="s">
        <v>1674</v>
      </c>
      <c r="AA480" s="544" t="s">
        <v>1674</v>
      </c>
      <c r="AE480" s="551"/>
      <c r="AF480" s="544" t="s">
        <v>1674</v>
      </c>
      <c r="AG480" s="544" t="s">
        <v>1674</v>
      </c>
      <c r="AH480" s="544" t="s">
        <v>1674</v>
      </c>
      <c r="AI480" s="544" t="s">
        <v>1674</v>
      </c>
      <c r="AJ480" s="544" t="s">
        <v>1674</v>
      </c>
      <c r="AK480" s="544" t="s">
        <v>1674</v>
      </c>
      <c r="AL480" s="544" t="s">
        <v>1674</v>
      </c>
      <c r="AM480" s="544" t="s">
        <v>2900</v>
      </c>
      <c r="AN480" s="544" t="s">
        <v>1674</v>
      </c>
      <c r="AP480" s="542">
        <f t="shared" ref="AP480:AP543" si="16">IF(F480&lt;&gt;0,($AP$2-$F480)*-1,0)</f>
        <v>-76</v>
      </c>
      <c r="AR480" s="552">
        <f t="shared" si="15"/>
        <v>0</v>
      </c>
    </row>
    <row r="481" spans="1:44" outlineLevel="1" x14ac:dyDescent="0.25">
      <c r="A481" s="544" t="s">
        <v>1674</v>
      </c>
      <c r="B481" s="545">
        <v>0</v>
      </c>
      <c r="C481" s="544" t="s">
        <v>1674</v>
      </c>
      <c r="D481" s="544" t="s">
        <v>3535</v>
      </c>
      <c r="E481" s="542" t="s">
        <v>3536</v>
      </c>
      <c r="F481" s="542" t="s">
        <v>3537</v>
      </c>
      <c r="G481" s="546">
        <v>22.49</v>
      </c>
      <c r="H481" s="546"/>
      <c r="I481" s="546"/>
      <c r="J481" s="542" t="s">
        <v>806</v>
      </c>
      <c r="K481" s="547">
        <v>8400</v>
      </c>
      <c r="L481" s="542" t="s">
        <v>806</v>
      </c>
      <c r="M481" s="548"/>
      <c r="N481" s="549">
        <v>-137</v>
      </c>
      <c r="O481" s="544" t="s">
        <v>1674</v>
      </c>
      <c r="P481" s="544" t="s">
        <v>1674</v>
      </c>
      <c r="Q481" s="544" t="s">
        <v>3250</v>
      </c>
      <c r="R481" s="544" t="s">
        <v>2617</v>
      </c>
      <c r="S481" s="544" t="s">
        <v>1674</v>
      </c>
      <c r="T481" s="550">
        <v>19</v>
      </c>
      <c r="U481" s="544" t="s">
        <v>3315</v>
      </c>
      <c r="V481" s="547">
        <v>964</v>
      </c>
      <c r="W481" s="548"/>
      <c r="Y481" s="544" t="s">
        <v>1674</v>
      </c>
      <c r="AA481" s="544" t="s">
        <v>1674</v>
      </c>
      <c r="AE481" s="551"/>
      <c r="AF481" s="544" t="s">
        <v>1674</v>
      </c>
      <c r="AG481" s="544" t="s">
        <v>1674</v>
      </c>
      <c r="AH481" s="544" t="s">
        <v>1674</v>
      </c>
      <c r="AI481" s="544" t="s">
        <v>1674</v>
      </c>
      <c r="AJ481" s="544" t="s">
        <v>1674</v>
      </c>
      <c r="AK481" s="544" t="s">
        <v>1674</v>
      </c>
      <c r="AL481" s="544" t="s">
        <v>1674</v>
      </c>
      <c r="AM481" s="544" t="s">
        <v>1674</v>
      </c>
      <c r="AN481" s="544" t="s">
        <v>1674</v>
      </c>
      <c r="AP481" s="542">
        <f t="shared" si="16"/>
        <v>-76</v>
      </c>
      <c r="AR481" s="552">
        <f t="shared" si="15"/>
        <v>0</v>
      </c>
    </row>
    <row r="482" spans="1:44" outlineLevel="1" x14ac:dyDescent="0.25">
      <c r="A482" s="544" t="s">
        <v>1674</v>
      </c>
      <c r="B482" s="545">
        <v>0</v>
      </c>
      <c r="C482" s="544" t="s">
        <v>1674</v>
      </c>
      <c r="D482" s="544" t="s">
        <v>3535</v>
      </c>
      <c r="E482" s="542" t="s">
        <v>3536</v>
      </c>
      <c r="F482" s="542" t="s">
        <v>3537</v>
      </c>
      <c r="G482" s="546">
        <v>3592.49</v>
      </c>
      <c r="H482" s="546"/>
      <c r="I482" s="546">
        <v>3855.6</v>
      </c>
      <c r="J482" s="542" t="s">
        <v>2701</v>
      </c>
      <c r="K482" s="547">
        <v>8401</v>
      </c>
      <c r="L482" s="542" t="s">
        <v>806</v>
      </c>
      <c r="M482" s="548"/>
      <c r="N482" s="549">
        <v>-137</v>
      </c>
      <c r="O482" s="544" t="s">
        <v>1674</v>
      </c>
      <c r="P482" s="544" t="s">
        <v>1674</v>
      </c>
      <c r="Q482" s="544" t="s">
        <v>3250</v>
      </c>
      <c r="R482" s="544" t="s">
        <v>1674</v>
      </c>
      <c r="S482" s="544" t="s">
        <v>1674</v>
      </c>
      <c r="T482" s="550">
        <v>19</v>
      </c>
      <c r="U482" s="544" t="s">
        <v>3315</v>
      </c>
      <c r="V482" s="547">
        <v>965</v>
      </c>
      <c r="W482" s="548"/>
      <c r="Y482" s="544" t="s">
        <v>1674</v>
      </c>
      <c r="AA482" s="544" t="s">
        <v>1674</v>
      </c>
      <c r="AE482" s="551"/>
      <c r="AF482" s="544" t="s">
        <v>1674</v>
      </c>
      <c r="AG482" s="544" t="s">
        <v>1674</v>
      </c>
      <c r="AH482" s="544" t="s">
        <v>1674</v>
      </c>
      <c r="AI482" s="544" t="s">
        <v>1674</v>
      </c>
      <c r="AJ482" s="544" t="s">
        <v>1674</v>
      </c>
      <c r="AK482" s="544" t="s">
        <v>1674</v>
      </c>
      <c r="AL482" s="544" t="s">
        <v>1674</v>
      </c>
      <c r="AM482" s="544" t="s">
        <v>1674</v>
      </c>
      <c r="AN482" s="544" t="s">
        <v>1674</v>
      </c>
      <c r="AP482" s="542">
        <f t="shared" si="16"/>
        <v>-76</v>
      </c>
      <c r="AR482" s="552">
        <f t="shared" si="15"/>
        <v>3855.6</v>
      </c>
    </row>
    <row r="483" spans="1:44" outlineLevel="1" x14ac:dyDescent="0.25">
      <c r="A483" s="544" t="s">
        <v>1674</v>
      </c>
      <c r="B483" s="545">
        <v>10245</v>
      </c>
      <c r="C483" s="544" t="s">
        <v>3519</v>
      </c>
      <c r="D483" s="544" t="s">
        <v>3538</v>
      </c>
      <c r="E483" s="542" t="s">
        <v>3539</v>
      </c>
      <c r="F483" s="542" t="s">
        <v>3540</v>
      </c>
      <c r="G483" s="546">
        <v>773.5</v>
      </c>
      <c r="H483" s="546"/>
      <c r="I483" s="546">
        <v>773.5</v>
      </c>
      <c r="J483" s="542" t="s">
        <v>2701</v>
      </c>
      <c r="K483" s="547">
        <v>8403</v>
      </c>
      <c r="L483" s="542" t="s">
        <v>806</v>
      </c>
      <c r="M483" s="548"/>
      <c r="N483" s="549">
        <v>-136</v>
      </c>
      <c r="O483" s="544" t="s">
        <v>1674</v>
      </c>
      <c r="P483" s="544" t="s">
        <v>1674</v>
      </c>
      <c r="Q483" s="544" t="s">
        <v>3523</v>
      </c>
      <c r="R483" s="544" t="s">
        <v>1674</v>
      </c>
      <c r="S483" s="544" t="s">
        <v>1674</v>
      </c>
      <c r="T483" s="550">
        <v>19</v>
      </c>
      <c r="U483" s="544" t="s">
        <v>3315</v>
      </c>
      <c r="V483" s="547">
        <v>1006</v>
      </c>
      <c r="W483" s="548"/>
      <c r="Y483" s="544" t="s">
        <v>1674</v>
      </c>
      <c r="AA483" s="544" t="s">
        <v>1674</v>
      </c>
      <c r="AE483" s="551"/>
      <c r="AF483" s="544" t="s">
        <v>1674</v>
      </c>
      <c r="AG483" s="544" t="s">
        <v>1674</v>
      </c>
      <c r="AH483" s="544" t="s">
        <v>1674</v>
      </c>
      <c r="AI483" s="544" t="s">
        <v>1674</v>
      </c>
      <c r="AJ483" s="544" t="s">
        <v>1674</v>
      </c>
      <c r="AK483" s="544" t="s">
        <v>1674</v>
      </c>
      <c r="AL483" s="544" t="s">
        <v>1674</v>
      </c>
      <c r="AM483" s="544" t="s">
        <v>3524</v>
      </c>
      <c r="AN483" s="544" t="s">
        <v>1674</v>
      </c>
      <c r="AP483" s="542">
        <f t="shared" si="16"/>
        <v>-75</v>
      </c>
      <c r="AR483" s="552">
        <f t="shared" si="15"/>
        <v>773.5</v>
      </c>
    </row>
    <row r="484" spans="1:44" outlineLevel="1" x14ac:dyDescent="0.25">
      <c r="A484" s="544" t="s">
        <v>1674</v>
      </c>
      <c r="B484" s="545">
        <v>10700</v>
      </c>
      <c r="C484" s="544" t="s">
        <v>2836</v>
      </c>
      <c r="D484" s="544" t="s">
        <v>3541</v>
      </c>
      <c r="E484" s="542" t="s">
        <v>3478</v>
      </c>
      <c r="F484" s="542" t="s">
        <v>3542</v>
      </c>
      <c r="G484" s="546">
        <v>1370.88</v>
      </c>
      <c r="H484" s="546"/>
      <c r="I484" s="546">
        <v>1370.88</v>
      </c>
      <c r="J484" s="542" t="s">
        <v>2701</v>
      </c>
      <c r="K484" s="547">
        <v>8400</v>
      </c>
      <c r="L484" s="542" t="s">
        <v>806</v>
      </c>
      <c r="M484" s="548"/>
      <c r="N484" s="549">
        <v>-133</v>
      </c>
      <c r="O484" s="544" t="s">
        <v>1674</v>
      </c>
      <c r="P484" s="544" t="s">
        <v>1674</v>
      </c>
      <c r="Q484" s="544" t="s">
        <v>2839</v>
      </c>
      <c r="R484" s="544" t="s">
        <v>1674</v>
      </c>
      <c r="S484" s="544" t="s">
        <v>1674</v>
      </c>
      <c r="T484" s="550">
        <v>19</v>
      </c>
      <c r="U484" s="544" t="s">
        <v>3315</v>
      </c>
      <c r="V484" s="547">
        <v>1191</v>
      </c>
      <c r="W484" s="548"/>
      <c r="Y484" s="544" t="s">
        <v>1674</v>
      </c>
      <c r="AA484" s="544" t="s">
        <v>1674</v>
      </c>
      <c r="AE484" s="551"/>
      <c r="AF484" s="544" t="s">
        <v>1674</v>
      </c>
      <c r="AG484" s="544" t="s">
        <v>1674</v>
      </c>
      <c r="AH484" s="544" t="s">
        <v>1674</v>
      </c>
      <c r="AI484" s="544" t="s">
        <v>1674</v>
      </c>
      <c r="AJ484" s="544" t="s">
        <v>1674</v>
      </c>
      <c r="AK484" s="544" t="s">
        <v>1674</v>
      </c>
      <c r="AL484" s="544" t="s">
        <v>1674</v>
      </c>
      <c r="AM484" s="544" t="s">
        <v>2836</v>
      </c>
      <c r="AN484" s="544" t="s">
        <v>1674</v>
      </c>
      <c r="AP484" s="542">
        <f t="shared" si="16"/>
        <v>-72</v>
      </c>
      <c r="AR484" s="552">
        <f t="shared" si="15"/>
        <v>1370.88</v>
      </c>
    </row>
    <row r="485" spans="1:44" outlineLevel="1" x14ac:dyDescent="0.25">
      <c r="A485" s="544" t="s">
        <v>1674</v>
      </c>
      <c r="B485" s="545">
        <v>21606</v>
      </c>
      <c r="C485" s="544" t="s">
        <v>3051</v>
      </c>
      <c r="D485" s="544" t="s">
        <v>3543</v>
      </c>
      <c r="E485" s="542" t="s">
        <v>3533</v>
      </c>
      <c r="F485" s="542" t="s">
        <v>3544</v>
      </c>
      <c r="G485" s="546">
        <v>2093.1</v>
      </c>
      <c r="H485" s="546"/>
      <c r="I485" s="546"/>
      <c r="J485" s="542" t="s">
        <v>806</v>
      </c>
      <c r="K485" s="547">
        <v>8125</v>
      </c>
      <c r="L485" s="542" t="s">
        <v>806</v>
      </c>
      <c r="M485" s="548"/>
      <c r="N485" s="549">
        <v>-130</v>
      </c>
      <c r="O485" s="544" t="s">
        <v>1674</v>
      </c>
      <c r="P485" s="544" t="s">
        <v>1674</v>
      </c>
      <c r="Q485" s="544" t="s">
        <v>3053</v>
      </c>
      <c r="R485" s="544" t="s">
        <v>1674</v>
      </c>
      <c r="S485" s="544" t="s">
        <v>1674</v>
      </c>
      <c r="T485" s="550"/>
      <c r="U485" s="544" t="s">
        <v>3315</v>
      </c>
      <c r="V485" s="547">
        <v>1243</v>
      </c>
      <c r="W485" s="548"/>
      <c r="Y485" s="544" t="s">
        <v>1674</v>
      </c>
      <c r="AA485" s="544" t="s">
        <v>1674</v>
      </c>
      <c r="AE485" s="551"/>
      <c r="AF485" s="544" t="s">
        <v>1674</v>
      </c>
      <c r="AG485" s="544" t="s">
        <v>1674</v>
      </c>
      <c r="AH485" s="544" t="s">
        <v>1674</v>
      </c>
      <c r="AI485" s="544" t="s">
        <v>1674</v>
      </c>
      <c r="AJ485" s="544" t="s">
        <v>1674</v>
      </c>
      <c r="AK485" s="544" t="s">
        <v>1674</v>
      </c>
      <c r="AL485" s="544" t="s">
        <v>1674</v>
      </c>
      <c r="AM485" s="544" t="s">
        <v>3054</v>
      </c>
      <c r="AN485" s="544" t="s">
        <v>1674</v>
      </c>
      <c r="AP485" s="542">
        <f t="shared" si="16"/>
        <v>-69</v>
      </c>
      <c r="AR485" s="552">
        <f t="shared" si="15"/>
        <v>0</v>
      </c>
    </row>
    <row r="486" spans="1:44" outlineLevel="1" x14ac:dyDescent="0.25">
      <c r="A486" s="544" t="s">
        <v>1674</v>
      </c>
      <c r="B486" s="545">
        <v>0</v>
      </c>
      <c r="C486" s="544" t="s">
        <v>1674</v>
      </c>
      <c r="D486" s="544" t="s">
        <v>3543</v>
      </c>
      <c r="E486" s="542" t="s">
        <v>3533</v>
      </c>
      <c r="F486" s="542" t="s">
        <v>3544</v>
      </c>
      <c r="G486" s="546">
        <v>6.9</v>
      </c>
      <c r="H486" s="546"/>
      <c r="I486" s="546">
        <v>2100</v>
      </c>
      <c r="J486" s="542" t="s">
        <v>2701</v>
      </c>
      <c r="K486" s="547">
        <v>8125</v>
      </c>
      <c r="L486" s="542" t="s">
        <v>806</v>
      </c>
      <c r="M486" s="548"/>
      <c r="N486" s="549">
        <v>-130</v>
      </c>
      <c r="O486" s="544" t="s">
        <v>1674</v>
      </c>
      <c r="P486" s="544" t="s">
        <v>1674</v>
      </c>
      <c r="Q486" s="544" t="s">
        <v>3053</v>
      </c>
      <c r="R486" s="544" t="s">
        <v>2617</v>
      </c>
      <c r="S486" s="544" t="s">
        <v>1674</v>
      </c>
      <c r="T486" s="550"/>
      <c r="U486" s="544" t="s">
        <v>3315</v>
      </c>
      <c r="V486" s="547">
        <v>1244</v>
      </c>
      <c r="W486" s="548"/>
      <c r="Y486" s="544" t="s">
        <v>1674</v>
      </c>
      <c r="AA486" s="544" t="s">
        <v>1674</v>
      </c>
      <c r="AE486" s="551"/>
      <c r="AF486" s="544" t="s">
        <v>1674</v>
      </c>
      <c r="AG486" s="544" t="s">
        <v>1674</v>
      </c>
      <c r="AH486" s="544" t="s">
        <v>1674</v>
      </c>
      <c r="AI486" s="544" t="s">
        <v>1674</v>
      </c>
      <c r="AJ486" s="544" t="s">
        <v>1674</v>
      </c>
      <c r="AK486" s="544" t="s">
        <v>1674</v>
      </c>
      <c r="AL486" s="544" t="s">
        <v>1674</v>
      </c>
      <c r="AM486" s="544" t="s">
        <v>1674</v>
      </c>
      <c r="AN486" s="544" t="s">
        <v>1674</v>
      </c>
      <c r="AP486" s="542">
        <f t="shared" si="16"/>
        <v>-69</v>
      </c>
      <c r="AR486" s="552">
        <f t="shared" si="15"/>
        <v>2100</v>
      </c>
    </row>
    <row r="487" spans="1:44" outlineLevel="1" x14ac:dyDescent="0.25">
      <c r="A487" s="544" t="s">
        <v>1674</v>
      </c>
      <c r="B487" s="545">
        <v>30803</v>
      </c>
      <c r="C487" s="544" t="s">
        <v>2925</v>
      </c>
      <c r="D487" s="544" t="s">
        <v>3545</v>
      </c>
      <c r="E487" s="542" t="s">
        <v>3546</v>
      </c>
      <c r="F487" s="542" t="s">
        <v>3547</v>
      </c>
      <c r="G487" s="546">
        <v>3079.72</v>
      </c>
      <c r="H487" s="546"/>
      <c r="I487" s="546">
        <v>3079.72</v>
      </c>
      <c r="J487" s="542" t="s">
        <v>2701</v>
      </c>
      <c r="K487" s="547">
        <v>8400</v>
      </c>
      <c r="L487" s="542" t="s">
        <v>806</v>
      </c>
      <c r="M487" s="548"/>
      <c r="N487" s="549">
        <v>-129</v>
      </c>
      <c r="O487" s="544" t="s">
        <v>1674</v>
      </c>
      <c r="P487" s="544" t="s">
        <v>1674</v>
      </c>
      <c r="Q487" s="544" t="s">
        <v>3030</v>
      </c>
      <c r="R487" s="544" t="s">
        <v>1674</v>
      </c>
      <c r="S487" s="544" t="s">
        <v>1674</v>
      </c>
      <c r="T487" s="550">
        <v>19</v>
      </c>
      <c r="U487" s="544" t="s">
        <v>3315</v>
      </c>
      <c r="V487" s="547">
        <v>1338</v>
      </c>
      <c r="W487" s="548"/>
      <c r="Y487" s="544" t="s">
        <v>1674</v>
      </c>
      <c r="AA487" s="544" t="s">
        <v>1674</v>
      </c>
      <c r="AE487" s="551"/>
      <c r="AF487" s="544" t="s">
        <v>1674</v>
      </c>
      <c r="AG487" s="544" t="s">
        <v>1674</v>
      </c>
      <c r="AH487" s="544" t="s">
        <v>1674</v>
      </c>
      <c r="AI487" s="544" t="s">
        <v>1674</v>
      </c>
      <c r="AJ487" s="544" t="s">
        <v>1674</v>
      </c>
      <c r="AK487" s="544" t="s">
        <v>1674</v>
      </c>
      <c r="AL487" s="544" t="s">
        <v>1674</v>
      </c>
      <c r="AM487" s="544" t="s">
        <v>2928</v>
      </c>
      <c r="AN487" s="544" t="s">
        <v>1674</v>
      </c>
      <c r="AP487" s="542">
        <f t="shared" si="16"/>
        <v>-68</v>
      </c>
      <c r="AR487" s="552">
        <f t="shared" si="15"/>
        <v>3079.72</v>
      </c>
    </row>
    <row r="488" spans="1:44" outlineLevel="1" x14ac:dyDescent="0.25">
      <c r="A488" s="544" t="s">
        <v>1674</v>
      </c>
      <c r="B488" s="545">
        <v>10700</v>
      </c>
      <c r="C488" s="544" t="s">
        <v>2836</v>
      </c>
      <c r="D488" s="544" t="s">
        <v>3548</v>
      </c>
      <c r="E488" s="542" t="s">
        <v>3491</v>
      </c>
      <c r="F488" s="542" t="s">
        <v>3549</v>
      </c>
      <c r="G488" s="546">
        <v>490.28</v>
      </c>
      <c r="H488" s="546"/>
      <c r="I488" s="546">
        <v>490.28</v>
      </c>
      <c r="J488" s="542" t="s">
        <v>2701</v>
      </c>
      <c r="K488" s="547">
        <v>8400</v>
      </c>
      <c r="L488" s="542" t="s">
        <v>806</v>
      </c>
      <c r="M488" s="548"/>
      <c r="N488" s="549">
        <v>-128</v>
      </c>
      <c r="O488" s="544" t="s">
        <v>1674</v>
      </c>
      <c r="P488" s="544" t="s">
        <v>1674</v>
      </c>
      <c r="Q488" s="544" t="s">
        <v>2839</v>
      </c>
      <c r="R488" s="544" t="s">
        <v>1674</v>
      </c>
      <c r="S488" s="544" t="s">
        <v>1674</v>
      </c>
      <c r="T488" s="550">
        <v>19</v>
      </c>
      <c r="U488" s="544" t="s">
        <v>3315</v>
      </c>
      <c r="V488" s="547">
        <v>1423</v>
      </c>
      <c r="W488" s="548"/>
      <c r="Y488" s="544" t="s">
        <v>1674</v>
      </c>
      <c r="AA488" s="544" t="s">
        <v>1674</v>
      </c>
      <c r="AE488" s="551"/>
      <c r="AF488" s="544" t="s">
        <v>1674</v>
      </c>
      <c r="AG488" s="544" t="s">
        <v>1674</v>
      </c>
      <c r="AH488" s="544" t="s">
        <v>1674</v>
      </c>
      <c r="AI488" s="544" t="s">
        <v>1674</v>
      </c>
      <c r="AJ488" s="544" t="s">
        <v>1674</v>
      </c>
      <c r="AK488" s="544" t="s">
        <v>1674</v>
      </c>
      <c r="AL488" s="544" t="s">
        <v>1674</v>
      </c>
      <c r="AM488" s="544" t="s">
        <v>2836</v>
      </c>
      <c r="AN488" s="544" t="s">
        <v>1674</v>
      </c>
      <c r="AP488" s="542">
        <f t="shared" si="16"/>
        <v>-67</v>
      </c>
      <c r="AR488" s="552">
        <f t="shared" si="15"/>
        <v>490.28</v>
      </c>
    </row>
    <row r="489" spans="1:44" outlineLevel="1" x14ac:dyDescent="0.25">
      <c r="A489" s="544" t="s">
        <v>1674</v>
      </c>
      <c r="B489" s="545">
        <v>11300</v>
      </c>
      <c r="C489" s="544" t="s">
        <v>3550</v>
      </c>
      <c r="D489" s="544" t="s">
        <v>3551</v>
      </c>
      <c r="E489" s="542" t="s">
        <v>3491</v>
      </c>
      <c r="F489" s="542" t="s">
        <v>3549</v>
      </c>
      <c r="G489" s="546">
        <v>239.43</v>
      </c>
      <c r="H489" s="546"/>
      <c r="I489" s="546"/>
      <c r="J489" s="542" t="s">
        <v>806</v>
      </c>
      <c r="K489" s="547">
        <v>8400</v>
      </c>
      <c r="L489" s="542" t="s">
        <v>806</v>
      </c>
      <c r="M489" s="548"/>
      <c r="N489" s="549">
        <v>-128</v>
      </c>
      <c r="O489" s="544" t="s">
        <v>1674</v>
      </c>
      <c r="P489" s="544" t="s">
        <v>1674</v>
      </c>
      <c r="Q489" s="544" t="s">
        <v>3552</v>
      </c>
      <c r="R489" s="544" t="s">
        <v>2622</v>
      </c>
      <c r="S489" s="544" t="s">
        <v>1674</v>
      </c>
      <c r="T489" s="550">
        <v>19</v>
      </c>
      <c r="U489" s="544" t="s">
        <v>3315</v>
      </c>
      <c r="V489" s="547">
        <v>1420</v>
      </c>
      <c r="W489" s="548"/>
      <c r="Y489" s="544" t="s">
        <v>1674</v>
      </c>
      <c r="AA489" s="544" t="s">
        <v>1674</v>
      </c>
      <c r="AE489" s="551"/>
      <c r="AF489" s="544" t="s">
        <v>1674</v>
      </c>
      <c r="AG489" s="544" t="s">
        <v>1674</v>
      </c>
      <c r="AH489" s="544" t="s">
        <v>1674</v>
      </c>
      <c r="AI489" s="544" t="s">
        <v>1674</v>
      </c>
      <c r="AJ489" s="544" t="s">
        <v>1674</v>
      </c>
      <c r="AK489" s="544" t="s">
        <v>1674</v>
      </c>
      <c r="AL489" s="544" t="s">
        <v>1674</v>
      </c>
      <c r="AM489" s="544" t="s">
        <v>3550</v>
      </c>
      <c r="AN489" s="544" t="s">
        <v>1674</v>
      </c>
      <c r="AP489" s="542">
        <f t="shared" si="16"/>
        <v>-67</v>
      </c>
      <c r="AR489" s="552">
        <f t="shared" si="15"/>
        <v>0</v>
      </c>
    </row>
    <row r="490" spans="1:44" outlineLevel="1" x14ac:dyDescent="0.25">
      <c r="A490" s="544" t="s">
        <v>1674</v>
      </c>
      <c r="B490" s="545">
        <v>0</v>
      </c>
      <c r="C490" s="544" t="s">
        <v>1674</v>
      </c>
      <c r="D490" s="544" t="s">
        <v>3551</v>
      </c>
      <c r="E490" s="542" t="s">
        <v>3491</v>
      </c>
      <c r="F490" s="542" t="s">
        <v>3549</v>
      </c>
      <c r="G490" s="546">
        <v>492.9</v>
      </c>
      <c r="H490" s="546"/>
      <c r="I490" s="546">
        <v>732.33</v>
      </c>
      <c r="J490" s="542" t="s">
        <v>2701</v>
      </c>
      <c r="K490" s="547">
        <v>8400</v>
      </c>
      <c r="L490" s="542" t="s">
        <v>806</v>
      </c>
      <c r="M490" s="548"/>
      <c r="N490" s="549">
        <v>-128</v>
      </c>
      <c r="O490" s="544" t="s">
        <v>1674</v>
      </c>
      <c r="P490" s="544" t="s">
        <v>1674</v>
      </c>
      <c r="Q490" s="544" t="s">
        <v>3552</v>
      </c>
      <c r="R490" s="544" t="s">
        <v>1674</v>
      </c>
      <c r="S490" s="544" t="s">
        <v>1674</v>
      </c>
      <c r="T490" s="550">
        <v>19</v>
      </c>
      <c r="U490" s="544" t="s">
        <v>3315</v>
      </c>
      <c r="V490" s="547">
        <v>1421</v>
      </c>
      <c r="W490" s="548"/>
      <c r="Y490" s="544" t="s">
        <v>1674</v>
      </c>
      <c r="AA490" s="544" t="s">
        <v>1674</v>
      </c>
      <c r="AE490" s="551"/>
      <c r="AF490" s="544" t="s">
        <v>1674</v>
      </c>
      <c r="AG490" s="544" t="s">
        <v>1674</v>
      </c>
      <c r="AH490" s="544" t="s">
        <v>1674</v>
      </c>
      <c r="AI490" s="544" t="s">
        <v>1674</v>
      </c>
      <c r="AJ490" s="544" t="s">
        <v>1674</v>
      </c>
      <c r="AK490" s="544" t="s">
        <v>1674</v>
      </c>
      <c r="AL490" s="544" t="s">
        <v>1674</v>
      </c>
      <c r="AM490" s="544" t="s">
        <v>1674</v>
      </c>
      <c r="AN490" s="544" t="s">
        <v>1674</v>
      </c>
      <c r="AP490" s="542">
        <f t="shared" si="16"/>
        <v>-67</v>
      </c>
      <c r="AR490" s="552">
        <f t="shared" si="15"/>
        <v>732.33</v>
      </c>
    </row>
    <row r="491" spans="1:44" outlineLevel="1" x14ac:dyDescent="0.25">
      <c r="A491" s="544" t="s">
        <v>1674</v>
      </c>
      <c r="B491" s="545">
        <v>11106</v>
      </c>
      <c r="C491" s="544" t="s">
        <v>3024</v>
      </c>
      <c r="D491" s="544" t="s">
        <v>3553</v>
      </c>
      <c r="E491" s="542" t="s">
        <v>3495</v>
      </c>
      <c r="F491" s="542" t="s">
        <v>3554</v>
      </c>
      <c r="G491" s="546">
        <v>2670.36</v>
      </c>
      <c r="H491" s="546"/>
      <c r="I491" s="546">
        <v>2670.36</v>
      </c>
      <c r="J491" s="542" t="s">
        <v>2701</v>
      </c>
      <c r="K491" s="547">
        <v>8401</v>
      </c>
      <c r="L491" s="542" t="s">
        <v>806</v>
      </c>
      <c r="M491" s="548"/>
      <c r="N491" s="549">
        <v>-127</v>
      </c>
      <c r="O491" s="544" t="s">
        <v>1674</v>
      </c>
      <c r="P491" s="544" t="s">
        <v>1674</v>
      </c>
      <c r="Q491" s="544" t="s">
        <v>3026</v>
      </c>
      <c r="R491" s="544" t="s">
        <v>1674</v>
      </c>
      <c r="S491" s="544" t="s">
        <v>1674</v>
      </c>
      <c r="T491" s="550">
        <v>19</v>
      </c>
      <c r="U491" s="544" t="s">
        <v>3315</v>
      </c>
      <c r="V491" s="547">
        <v>1517</v>
      </c>
      <c r="W491" s="548"/>
      <c r="Y491" s="544" t="s">
        <v>1674</v>
      </c>
      <c r="AA491" s="544" t="s">
        <v>1674</v>
      </c>
      <c r="AE491" s="551"/>
      <c r="AF491" s="544" t="s">
        <v>1674</v>
      </c>
      <c r="AG491" s="544" t="s">
        <v>1674</v>
      </c>
      <c r="AH491" s="544" t="s">
        <v>1674</v>
      </c>
      <c r="AI491" s="544" t="s">
        <v>1674</v>
      </c>
      <c r="AJ491" s="544" t="s">
        <v>1674</v>
      </c>
      <c r="AK491" s="544" t="s">
        <v>1674</v>
      </c>
      <c r="AL491" s="544" t="s">
        <v>1674</v>
      </c>
      <c r="AM491" s="544" t="s">
        <v>3027</v>
      </c>
      <c r="AN491" s="544" t="s">
        <v>1674</v>
      </c>
      <c r="AP491" s="542">
        <f t="shared" si="16"/>
        <v>-66</v>
      </c>
      <c r="AR491" s="552">
        <f t="shared" si="15"/>
        <v>2670.36</v>
      </c>
    </row>
    <row r="492" spans="1:44" outlineLevel="1" x14ac:dyDescent="0.25">
      <c r="A492" s="544" t="s">
        <v>1674</v>
      </c>
      <c r="B492" s="545">
        <v>11813</v>
      </c>
      <c r="C492" s="544" t="s">
        <v>2814</v>
      </c>
      <c r="D492" s="544" t="s">
        <v>3555</v>
      </c>
      <c r="E492" s="542" t="s">
        <v>3316</v>
      </c>
      <c r="F492" s="542" t="s">
        <v>3556</v>
      </c>
      <c r="G492" s="546">
        <v>456.96</v>
      </c>
      <c r="H492" s="546"/>
      <c r="I492" s="546"/>
      <c r="J492" s="542" t="s">
        <v>806</v>
      </c>
      <c r="K492" s="547">
        <v>8400</v>
      </c>
      <c r="L492" s="542" t="s">
        <v>806</v>
      </c>
      <c r="M492" s="548"/>
      <c r="N492" s="549">
        <v>-123</v>
      </c>
      <c r="O492" s="544" t="s">
        <v>1674</v>
      </c>
      <c r="P492" s="544" t="s">
        <v>1674</v>
      </c>
      <c r="Q492" s="544" t="s">
        <v>2818</v>
      </c>
      <c r="R492" s="544" t="s">
        <v>2622</v>
      </c>
      <c r="S492" s="544" t="s">
        <v>1674</v>
      </c>
      <c r="T492" s="550">
        <v>19</v>
      </c>
      <c r="U492" s="544" t="s">
        <v>3315</v>
      </c>
      <c r="V492" s="547">
        <v>1710</v>
      </c>
      <c r="W492" s="548"/>
      <c r="Y492" s="544" t="s">
        <v>1674</v>
      </c>
      <c r="AA492" s="544" t="s">
        <v>1674</v>
      </c>
      <c r="AE492" s="551"/>
      <c r="AF492" s="544" t="s">
        <v>1674</v>
      </c>
      <c r="AG492" s="544" t="s">
        <v>1674</v>
      </c>
      <c r="AH492" s="544" t="s">
        <v>1674</v>
      </c>
      <c r="AI492" s="544" t="s">
        <v>1674</v>
      </c>
      <c r="AJ492" s="544" t="s">
        <v>1674</v>
      </c>
      <c r="AK492" s="544" t="s">
        <v>1674</v>
      </c>
      <c r="AL492" s="544" t="s">
        <v>1674</v>
      </c>
      <c r="AM492" s="544" t="s">
        <v>2819</v>
      </c>
      <c r="AN492" s="544" t="s">
        <v>1674</v>
      </c>
      <c r="AP492" s="542">
        <f t="shared" si="16"/>
        <v>-62</v>
      </c>
      <c r="AR492" s="552">
        <f t="shared" si="15"/>
        <v>0</v>
      </c>
    </row>
    <row r="493" spans="1:44" outlineLevel="1" x14ac:dyDescent="0.25">
      <c r="A493" s="544" t="s">
        <v>1674</v>
      </c>
      <c r="B493" s="545">
        <v>0</v>
      </c>
      <c r="C493" s="544" t="s">
        <v>1674</v>
      </c>
      <c r="D493" s="544" t="s">
        <v>3555</v>
      </c>
      <c r="E493" s="542" t="s">
        <v>3316</v>
      </c>
      <c r="F493" s="542" t="s">
        <v>3556</v>
      </c>
      <c r="G493" s="546">
        <v>685.44</v>
      </c>
      <c r="H493" s="546"/>
      <c r="I493" s="546">
        <v>1142.4000000000001</v>
      </c>
      <c r="J493" s="542" t="s">
        <v>2701</v>
      </c>
      <c r="K493" s="547">
        <v>8400</v>
      </c>
      <c r="L493" s="542" t="s">
        <v>806</v>
      </c>
      <c r="M493" s="548"/>
      <c r="N493" s="549">
        <v>-123</v>
      </c>
      <c r="O493" s="544" t="s">
        <v>1674</v>
      </c>
      <c r="P493" s="544" t="s">
        <v>1674</v>
      </c>
      <c r="Q493" s="544" t="s">
        <v>2818</v>
      </c>
      <c r="R493" s="544" t="s">
        <v>1674</v>
      </c>
      <c r="S493" s="544" t="s">
        <v>1674</v>
      </c>
      <c r="T493" s="550">
        <v>19</v>
      </c>
      <c r="U493" s="544" t="s">
        <v>3315</v>
      </c>
      <c r="V493" s="547">
        <v>1711</v>
      </c>
      <c r="W493" s="548"/>
      <c r="Y493" s="544" t="s">
        <v>1674</v>
      </c>
      <c r="AA493" s="544" t="s">
        <v>1674</v>
      </c>
      <c r="AE493" s="551"/>
      <c r="AF493" s="544" t="s">
        <v>1674</v>
      </c>
      <c r="AG493" s="544" t="s">
        <v>1674</v>
      </c>
      <c r="AH493" s="544" t="s">
        <v>1674</v>
      </c>
      <c r="AI493" s="544" t="s">
        <v>1674</v>
      </c>
      <c r="AJ493" s="544" t="s">
        <v>1674</v>
      </c>
      <c r="AK493" s="544" t="s">
        <v>1674</v>
      </c>
      <c r="AL493" s="544" t="s">
        <v>1674</v>
      </c>
      <c r="AM493" s="544" t="s">
        <v>1674</v>
      </c>
      <c r="AN493" s="544" t="s">
        <v>1674</v>
      </c>
      <c r="AP493" s="542">
        <f t="shared" si="16"/>
        <v>-62</v>
      </c>
      <c r="AR493" s="552">
        <f t="shared" si="15"/>
        <v>1142.4000000000001</v>
      </c>
    </row>
    <row r="494" spans="1:44" outlineLevel="1" x14ac:dyDescent="0.25">
      <c r="A494" s="544" t="s">
        <v>1674</v>
      </c>
      <c r="B494" s="545">
        <v>11600</v>
      </c>
      <c r="C494" s="544" t="s">
        <v>2782</v>
      </c>
      <c r="D494" s="544" t="s">
        <v>3557</v>
      </c>
      <c r="E494" s="542" t="s">
        <v>3558</v>
      </c>
      <c r="F494" s="542" t="s">
        <v>3318</v>
      </c>
      <c r="G494" s="546">
        <v>7</v>
      </c>
      <c r="H494" s="546"/>
      <c r="I494" s="546"/>
      <c r="J494" s="542" t="s">
        <v>806</v>
      </c>
      <c r="K494" s="547">
        <v>8400</v>
      </c>
      <c r="L494" s="542" t="s">
        <v>806</v>
      </c>
      <c r="M494" s="548"/>
      <c r="N494" s="549">
        <v>-122</v>
      </c>
      <c r="O494" s="544" t="s">
        <v>1674</v>
      </c>
      <c r="P494" s="544" t="s">
        <v>1674</v>
      </c>
      <c r="Q494" s="544" t="s">
        <v>2786</v>
      </c>
      <c r="R494" s="544" t="s">
        <v>1674</v>
      </c>
      <c r="S494" s="544" t="s">
        <v>1674</v>
      </c>
      <c r="T494" s="550">
        <v>19</v>
      </c>
      <c r="U494" s="544" t="s">
        <v>3320</v>
      </c>
      <c r="V494" s="547">
        <v>94</v>
      </c>
      <c r="W494" s="548"/>
      <c r="Y494" s="544" t="s">
        <v>1674</v>
      </c>
      <c r="AA494" s="544" t="s">
        <v>1674</v>
      </c>
      <c r="AE494" s="551"/>
      <c r="AF494" s="544" t="s">
        <v>1674</v>
      </c>
      <c r="AG494" s="544" t="s">
        <v>1674</v>
      </c>
      <c r="AH494" s="544" t="s">
        <v>1674</v>
      </c>
      <c r="AI494" s="544" t="s">
        <v>1674</v>
      </c>
      <c r="AJ494" s="544" t="s">
        <v>1674</v>
      </c>
      <c r="AK494" s="544" t="s">
        <v>1674</v>
      </c>
      <c r="AL494" s="544" t="s">
        <v>1674</v>
      </c>
      <c r="AM494" s="544" t="s">
        <v>2782</v>
      </c>
      <c r="AN494" s="544" t="s">
        <v>1674</v>
      </c>
      <c r="AP494" s="542">
        <f t="shared" si="16"/>
        <v>-61</v>
      </c>
      <c r="AR494" s="552">
        <f t="shared" si="15"/>
        <v>0</v>
      </c>
    </row>
    <row r="495" spans="1:44" outlineLevel="1" x14ac:dyDescent="0.25">
      <c r="A495" s="544" t="s">
        <v>1674</v>
      </c>
      <c r="B495" s="545">
        <v>0</v>
      </c>
      <c r="C495" s="544" t="s">
        <v>1674</v>
      </c>
      <c r="D495" s="544" t="s">
        <v>3557</v>
      </c>
      <c r="E495" s="542" t="s">
        <v>3558</v>
      </c>
      <c r="F495" s="542" t="s">
        <v>3318</v>
      </c>
      <c r="G495" s="546">
        <v>3188.15</v>
      </c>
      <c r="H495" s="546"/>
      <c r="I495" s="546">
        <v>3195.15</v>
      </c>
      <c r="J495" s="542" t="s">
        <v>2701</v>
      </c>
      <c r="K495" s="547">
        <v>8401</v>
      </c>
      <c r="L495" s="542" t="s">
        <v>806</v>
      </c>
      <c r="M495" s="548"/>
      <c r="N495" s="549">
        <v>-122</v>
      </c>
      <c r="O495" s="544" t="s">
        <v>1674</v>
      </c>
      <c r="P495" s="544" t="s">
        <v>1674</v>
      </c>
      <c r="Q495" s="544" t="s">
        <v>2786</v>
      </c>
      <c r="R495" s="544" t="s">
        <v>1674</v>
      </c>
      <c r="S495" s="544" t="s">
        <v>1674</v>
      </c>
      <c r="T495" s="550">
        <v>19</v>
      </c>
      <c r="U495" s="544" t="s">
        <v>3320</v>
      </c>
      <c r="V495" s="547">
        <v>95</v>
      </c>
      <c r="W495" s="548"/>
      <c r="Y495" s="544" t="s">
        <v>1674</v>
      </c>
      <c r="AA495" s="544" t="s">
        <v>1674</v>
      </c>
      <c r="AE495" s="551"/>
      <c r="AF495" s="544" t="s">
        <v>1674</v>
      </c>
      <c r="AG495" s="544" t="s">
        <v>1674</v>
      </c>
      <c r="AH495" s="544" t="s">
        <v>1674</v>
      </c>
      <c r="AI495" s="544" t="s">
        <v>1674</v>
      </c>
      <c r="AJ495" s="544" t="s">
        <v>1674</v>
      </c>
      <c r="AK495" s="544" t="s">
        <v>1674</v>
      </c>
      <c r="AL495" s="544" t="s">
        <v>1674</v>
      </c>
      <c r="AM495" s="544" t="s">
        <v>1674</v>
      </c>
      <c r="AN495" s="544" t="s">
        <v>1674</v>
      </c>
      <c r="AP495" s="542">
        <f t="shared" si="16"/>
        <v>-61</v>
      </c>
      <c r="AR495" s="552">
        <f t="shared" si="15"/>
        <v>3195.15</v>
      </c>
    </row>
    <row r="496" spans="1:44" outlineLevel="1" x14ac:dyDescent="0.25">
      <c r="A496" s="544" t="s">
        <v>1674</v>
      </c>
      <c r="B496" s="545">
        <v>30803</v>
      </c>
      <c r="C496" s="544" t="s">
        <v>2925</v>
      </c>
      <c r="D496" s="544" t="s">
        <v>3559</v>
      </c>
      <c r="E496" s="542" t="s">
        <v>3560</v>
      </c>
      <c r="F496" s="542" t="s">
        <v>3324</v>
      </c>
      <c r="G496" s="546">
        <v>4619.58</v>
      </c>
      <c r="H496" s="546"/>
      <c r="I496" s="546">
        <v>4619.58</v>
      </c>
      <c r="J496" s="542" t="s">
        <v>2701</v>
      </c>
      <c r="K496" s="547">
        <v>8400</v>
      </c>
      <c r="L496" s="542" t="s">
        <v>806</v>
      </c>
      <c r="M496" s="548"/>
      <c r="N496" s="549">
        <v>-121</v>
      </c>
      <c r="O496" s="544" t="s">
        <v>1674</v>
      </c>
      <c r="P496" s="544" t="s">
        <v>1674</v>
      </c>
      <c r="Q496" s="544" t="s">
        <v>3030</v>
      </c>
      <c r="R496" s="544" t="s">
        <v>1674</v>
      </c>
      <c r="S496" s="544" t="s">
        <v>1674</v>
      </c>
      <c r="T496" s="550">
        <v>19</v>
      </c>
      <c r="U496" s="544" t="s">
        <v>3320</v>
      </c>
      <c r="V496" s="547">
        <v>164</v>
      </c>
      <c r="W496" s="548"/>
      <c r="Y496" s="544" t="s">
        <v>1674</v>
      </c>
      <c r="AA496" s="544" t="s">
        <v>1674</v>
      </c>
      <c r="AE496" s="551"/>
      <c r="AF496" s="544" t="s">
        <v>1674</v>
      </c>
      <c r="AG496" s="544" t="s">
        <v>1674</v>
      </c>
      <c r="AH496" s="544" t="s">
        <v>1674</v>
      </c>
      <c r="AI496" s="544" t="s">
        <v>1674</v>
      </c>
      <c r="AJ496" s="544" t="s">
        <v>1674</v>
      </c>
      <c r="AK496" s="544" t="s">
        <v>1674</v>
      </c>
      <c r="AL496" s="544" t="s">
        <v>1674</v>
      </c>
      <c r="AM496" s="544" t="s">
        <v>2928</v>
      </c>
      <c r="AN496" s="544" t="s">
        <v>1674</v>
      </c>
      <c r="AP496" s="542">
        <f t="shared" si="16"/>
        <v>-60</v>
      </c>
      <c r="AR496" s="552">
        <f t="shared" si="15"/>
        <v>4619.58</v>
      </c>
    </row>
    <row r="497" spans="1:44" outlineLevel="1" x14ac:dyDescent="0.25">
      <c r="A497" s="544" t="s">
        <v>1674</v>
      </c>
      <c r="B497" s="545">
        <v>10700</v>
      </c>
      <c r="C497" s="544" t="s">
        <v>2836</v>
      </c>
      <c r="D497" s="544" t="s">
        <v>3561</v>
      </c>
      <c r="E497" s="542" t="s">
        <v>3503</v>
      </c>
      <c r="F497" s="542" t="s">
        <v>3562</v>
      </c>
      <c r="G497" s="546">
        <v>1481.55</v>
      </c>
      <c r="H497" s="546"/>
      <c r="I497" s="546">
        <v>1481.55</v>
      </c>
      <c r="J497" s="542" t="s">
        <v>2701</v>
      </c>
      <c r="K497" s="547">
        <v>8400</v>
      </c>
      <c r="L497" s="542" t="s">
        <v>806</v>
      </c>
      <c r="M497" s="548"/>
      <c r="N497" s="549">
        <v>-120</v>
      </c>
      <c r="O497" s="544" t="s">
        <v>1674</v>
      </c>
      <c r="P497" s="544" t="s">
        <v>1674</v>
      </c>
      <c r="Q497" s="544" t="s">
        <v>2839</v>
      </c>
      <c r="R497" s="544" t="s">
        <v>1674</v>
      </c>
      <c r="S497" s="544" t="s">
        <v>1674</v>
      </c>
      <c r="T497" s="550">
        <v>19</v>
      </c>
      <c r="U497" s="544" t="s">
        <v>3320</v>
      </c>
      <c r="V497" s="547">
        <v>255</v>
      </c>
      <c r="W497" s="548"/>
      <c r="Y497" s="544" t="s">
        <v>1674</v>
      </c>
      <c r="AA497" s="544" t="s">
        <v>1674</v>
      </c>
      <c r="AE497" s="551"/>
      <c r="AF497" s="544" t="s">
        <v>1674</v>
      </c>
      <c r="AG497" s="544" t="s">
        <v>1674</v>
      </c>
      <c r="AH497" s="544" t="s">
        <v>1674</v>
      </c>
      <c r="AI497" s="544" t="s">
        <v>1674</v>
      </c>
      <c r="AJ497" s="544" t="s">
        <v>1674</v>
      </c>
      <c r="AK497" s="544" t="s">
        <v>1674</v>
      </c>
      <c r="AL497" s="544" t="s">
        <v>1674</v>
      </c>
      <c r="AM497" s="544" t="s">
        <v>2836</v>
      </c>
      <c r="AN497" s="544" t="s">
        <v>1674</v>
      </c>
      <c r="AP497" s="542">
        <f t="shared" si="16"/>
        <v>-59</v>
      </c>
      <c r="AR497" s="552">
        <f t="shared" si="15"/>
        <v>1481.55</v>
      </c>
    </row>
    <row r="498" spans="1:44" outlineLevel="1" x14ac:dyDescent="0.25">
      <c r="A498" s="544" t="s">
        <v>1674</v>
      </c>
      <c r="B498" s="545">
        <v>20202</v>
      </c>
      <c r="C498" s="544" t="s">
        <v>3563</v>
      </c>
      <c r="D498" s="544" t="s">
        <v>3564</v>
      </c>
      <c r="E498" s="542" t="s">
        <v>3503</v>
      </c>
      <c r="F498" s="542" t="s">
        <v>3562</v>
      </c>
      <c r="G498" s="546">
        <v>833</v>
      </c>
      <c r="H498" s="546"/>
      <c r="I498" s="546">
        <v>833</v>
      </c>
      <c r="J498" s="542" t="s">
        <v>2701</v>
      </c>
      <c r="K498" s="547">
        <v>8125</v>
      </c>
      <c r="L498" s="542" t="s">
        <v>806</v>
      </c>
      <c r="M498" s="548"/>
      <c r="N498" s="549">
        <v>-120</v>
      </c>
      <c r="O498" s="544" t="s">
        <v>1674</v>
      </c>
      <c r="P498" s="544" t="s">
        <v>1674</v>
      </c>
      <c r="Q498" s="544" t="s">
        <v>3565</v>
      </c>
      <c r="R498" s="544" t="s">
        <v>1674</v>
      </c>
      <c r="S498" s="544" t="s">
        <v>1674</v>
      </c>
      <c r="T498" s="550"/>
      <c r="U498" s="544" t="s">
        <v>3320</v>
      </c>
      <c r="V498" s="547">
        <v>260</v>
      </c>
      <c r="W498" s="548"/>
      <c r="Y498" s="544" t="s">
        <v>1674</v>
      </c>
      <c r="AA498" s="544" t="s">
        <v>1674</v>
      </c>
      <c r="AE498" s="551"/>
      <c r="AF498" s="544" t="s">
        <v>1674</v>
      </c>
      <c r="AG498" s="544" t="s">
        <v>1674</v>
      </c>
      <c r="AH498" s="544" t="s">
        <v>1674</v>
      </c>
      <c r="AI498" s="544" t="s">
        <v>1674</v>
      </c>
      <c r="AJ498" s="544" t="s">
        <v>1674</v>
      </c>
      <c r="AK498" s="544" t="s">
        <v>1674</v>
      </c>
      <c r="AL498" s="544" t="s">
        <v>1674</v>
      </c>
      <c r="AM498" s="544" t="s">
        <v>3566</v>
      </c>
      <c r="AN498" s="544" t="s">
        <v>1674</v>
      </c>
      <c r="AP498" s="542">
        <f t="shared" si="16"/>
        <v>-59</v>
      </c>
      <c r="AR498" s="552">
        <f t="shared" si="15"/>
        <v>833</v>
      </c>
    </row>
    <row r="499" spans="1:44" outlineLevel="1" x14ac:dyDescent="0.25">
      <c r="A499" s="544" t="s">
        <v>1674</v>
      </c>
      <c r="B499" s="545">
        <v>40806</v>
      </c>
      <c r="C499" s="544" t="s">
        <v>3567</v>
      </c>
      <c r="D499" s="544" t="s">
        <v>3568</v>
      </c>
      <c r="E499" s="542" t="s">
        <v>3569</v>
      </c>
      <c r="G499" s="546"/>
      <c r="H499" s="546">
        <v>20900</v>
      </c>
      <c r="I499" s="546">
        <v>20900</v>
      </c>
      <c r="J499" s="542" t="s">
        <v>2584</v>
      </c>
      <c r="K499" s="547">
        <v>1200</v>
      </c>
      <c r="L499" s="542" t="s">
        <v>806</v>
      </c>
      <c r="M499" s="548"/>
      <c r="N499" s="549"/>
      <c r="O499" s="544" t="s">
        <v>1674</v>
      </c>
      <c r="P499" s="544" t="s">
        <v>1674</v>
      </c>
      <c r="Q499" s="544" t="s">
        <v>3570</v>
      </c>
      <c r="R499" s="544" t="s">
        <v>1674</v>
      </c>
      <c r="S499" s="544" t="s">
        <v>1674</v>
      </c>
      <c r="T499" s="550"/>
      <c r="U499" s="544" t="s">
        <v>3320</v>
      </c>
      <c r="V499" s="547">
        <v>496</v>
      </c>
      <c r="W499" s="548"/>
      <c r="Y499" s="544" t="s">
        <v>1674</v>
      </c>
      <c r="AA499" s="544" t="s">
        <v>1674</v>
      </c>
      <c r="AE499" s="551"/>
      <c r="AF499" s="544" t="s">
        <v>1674</v>
      </c>
      <c r="AG499" s="544" t="s">
        <v>1674</v>
      </c>
      <c r="AH499" s="544" t="s">
        <v>1674</v>
      </c>
      <c r="AI499" s="544" t="s">
        <v>1674</v>
      </c>
      <c r="AJ499" s="544" t="s">
        <v>1674</v>
      </c>
      <c r="AK499" s="544" t="s">
        <v>1674</v>
      </c>
      <c r="AL499" s="544" t="s">
        <v>1674</v>
      </c>
      <c r="AM499" s="544" t="s">
        <v>3571</v>
      </c>
      <c r="AN499" s="544" t="s">
        <v>1674</v>
      </c>
      <c r="AP499" s="542">
        <f t="shared" si="16"/>
        <v>0</v>
      </c>
      <c r="AR499" s="552">
        <f t="shared" si="15"/>
        <v>-20900</v>
      </c>
    </row>
    <row r="500" spans="1:44" outlineLevel="1" x14ac:dyDescent="0.25">
      <c r="A500" s="544" t="s">
        <v>1674</v>
      </c>
      <c r="B500" s="545">
        <v>11103</v>
      </c>
      <c r="C500" s="544" t="s">
        <v>3168</v>
      </c>
      <c r="D500" s="544" t="s">
        <v>3572</v>
      </c>
      <c r="E500" s="542" t="s">
        <v>3573</v>
      </c>
      <c r="F500" s="542" t="s">
        <v>3574</v>
      </c>
      <c r="G500" s="546">
        <v>16112.9</v>
      </c>
      <c r="H500" s="546"/>
      <c r="I500" s="546">
        <v>16112.9</v>
      </c>
      <c r="J500" s="542" t="s">
        <v>2701</v>
      </c>
      <c r="K500" s="547">
        <v>8400</v>
      </c>
      <c r="L500" s="542" t="s">
        <v>806</v>
      </c>
      <c r="M500" s="548"/>
      <c r="N500" s="549">
        <v>-109</v>
      </c>
      <c r="O500" s="544" t="s">
        <v>1674</v>
      </c>
      <c r="P500" s="544" t="s">
        <v>1674</v>
      </c>
      <c r="Q500" s="544" t="s">
        <v>3516</v>
      </c>
      <c r="R500" s="544" t="s">
        <v>1674</v>
      </c>
      <c r="S500" s="544" t="s">
        <v>1674</v>
      </c>
      <c r="T500" s="550">
        <v>19</v>
      </c>
      <c r="U500" s="544" t="s">
        <v>3320</v>
      </c>
      <c r="V500" s="547">
        <v>839</v>
      </c>
      <c r="W500" s="548"/>
      <c r="Y500" s="544" t="s">
        <v>1674</v>
      </c>
      <c r="AA500" s="544" t="s">
        <v>1674</v>
      </c>
      <c r="AE500" s="551"/>
      <c r="AF500" s="544" t="s">
        <v>1674</v>
      </c>
      <c r="AG500" s="544" t="s">
        <v>1674</v>
      </c>
      <c r="AH500" s="544" t="s">
        <v>1674</v>
      </c>
      <c r="AI500" s="544" t="s">
        <v>1674</v>
      </c>
      <c r="AJ500" s="544" t="s">
        <v>1674</v>
      </c>
      <c r="AK500" s="544" t="s">
        <v>1674</v>
      </c>
      <c r="AL500" s="544" t="s">
        <v>1674</v>
      </c>
      <c r="AM500" s="544" t="s">
        <v>3171</v>
      </c>
      <c r="AN500" s="544" t="s">
        <v>1674</v>
      </c>
      <c r="AP500" s="542">
        <f t="shared" si="16"/>
        <v>-48</v>
      </c>
      <c r="AR500" s="552">
        <f t="shared" si="15"/>
        <v>16112.9</v>
      </c>
    </row>
    <row r="501" spans="1:44" outlineLevel="1" x14ac:dyDescent="0.25">
      <c r="A501" s="544" t="s">
        <v>1674</v>
      </c>
      <c r="B501" s="545">
        <v>10245</v>
      </c>
      <c r="C501" s="544" t="s">
        <v>3519</v>
      </c>
      <c r="D501" s="544" t="s">
        <v>3575</v>
      </c>
      <c r="E501" s="542" t="s">
        <v>3576</v>
      </c>
      <c r="G501" s="546"/>
      <c r="H501" s="546">
        <v>297.5</v>
      </c>
      <c r="I501" s="546">
        <v>297.5</v>
      </c>
      <c r="J501" s="542" t="s">
        <v>2584</v>
      </c>
      <c r="K501" s="547">
        <v>8403</v>
      </c>
      <c r="L501" s="542" t="s">
        <v>806</v>
      </c>
      <c r="M501" s="548"/>
      <c r="N501" s="549"/>
      <c r="O501" s="544" t="s">
        <v>1674</v>
      </c>
      <c r="P501" s="544" t="s">
        <v>1674</v>
      </c>
      <c r="Q501" s="544" t="s">
        <v>3523</v>
      </c>
      <c r="R501" s="544" t="s">
        <v>1674</v>
      </c>
      <c r="S501" s="544" t="s">
        <v>1674</v>
      </c>
      <c r="T501" s="550">
        <v>19</v>
      </c>
      <c r="U501" s="544" t="s">
        <v>3320</v>
      </c>
      <c r="V501" s="547">
        <v>924</v>
      </c>
      <c r="W501" s="548"/>
      <c r="Y501" s="544" t="s">
        <v>1674</v>
      </c>
      <c r="AA501" s="544" t="s">
        <v>1674</v>
      </c>
      <c r="AE501" s="551"/>
      <c r="AF501" s="544" t="s">
        <v>1674</v>
      </c>
      <c r="AG501" s="544" t="s">
        <v>1674</v>
      </c>
      <c r="AH501" s="544" t="s">
        <v>1674</v>
      </c>
      <c r="AI501" s="544" t="s">
        <v>1674</v>
      </c>
      <c r="AJ501" s="544" t="s">
        <v>1674</v>
      </c>
      <c r="AK501" s="544" t="s">
        <v>1674</v>
      </c>
      <c r="AL501" s="544" t="s">
        <v>1674</v>
      </c>
      <c r="AM501" s="544" t="s">
        <v>3524</v>
      </c>
      <c r="AN501" s="544" t="s">
        <v>1674</v>
      </c>
      <c r="AP501" s="542">
        <f t="shared" si="16"/>
        <v>0</v>
      </c>
      <c r="AR501" s="552">
        <f t="shared" si="15"/>
        <v>-297.5</v>
      </c>
    </row>
    <row r="502" spans="1:44" outlineLevel="1" x14ac:dyDescent="0.25">
      <c r="A502" s="544" t="s">
        <v>1674</v>
      </c>
      <c r="B502" s="545">
        <v>11600</v>
      </c>
      <c r="C502" s="544" t="s">
        <v>2782</v>
      </c>
      <c r="D502" s="544" t="s">
        <v>3577</v>
      </c>
      <c r="E502" s="542" t="s">
        <v>3576</v>
      </c>
      <c r="F502" s="542" t="s">
        <v>3578</v>
      </c>
      <c r="G502" s="546">
        <v>476.67</v>
      </c>
      <c r="H502" s="546"/>
      <c r="I502" s="546"/>
      <c r="J502" s="542" t="s">
        <v>806</v>
      </c>
      <c r="K502" s="547">
        <v>8400</v>
      </c>
      <c r="L502" s="542" t="s">
        <v>806</v>
      </c>
      <c r="M502" s="548"/>
      <c r="N502" s="549">
        <v>-108</v>
      </c>
      <c r="O502" s="544" t="s">
        <v>1674</v>
      </c>
      <c r="P502" s="544" t="s">
        <v>1674</v>
      </c>
      <c r="Q502" s="544" t="s">
        <v>2786</v>
      </c>
      <c r="R502" s="544" t="s">
        <v>1674</v>
      </c>
      <c r="S502" s="544" t="s">
        <v>1674</v>
      </c>
      <c r="T502" s="550">
        <v>19</v>
      </c>
      <c r="U502" s="544" t="s">
        <v>3320</v>
      </c>
      <c r="V502" s="547">
        <v>917</v>
      </c>
      <c r="W502" s="548"/>
      <c r="Y502" s="544" t="s">
        <v>1674</v>
      </c>
      <c r="AA502" s="544" t="s">
        <v>1674</v>
      </c>
      <c r="AE502" s="551"/>
      <c r="AF502" s="544" t="s">
        <v>1674</v>
      </c>
      <c r="AG502" s="544" t="s">
        <v>1674</v>
      </c>
      <c r="AH502" s="544" t="s">
        <v>1674</v>
      </c>
      <c r="AI502" s="544" t="s">
        <v>1674</v>
      </c>
      <c r="AJ502" s="544" t="s">
        <v>1674</v>
      </c>
      <c r="AK502" s="544" t="s">
        <v>1674</v>
      </c>
      <c r="AL502" s="544" t="s">
        <v>1674</v>
      </c>
      <c r="AM502" s="544" t="s">
        <v>2782</v>
      </c>
      <c r="AN502" s="544" t="s">
        <v>1674</v>
      </c>
      <c r="AP502" s="542">
        <f t="shared" si="16"/>
        <v>-47</v>
      </c>
      <c r="AR502" s="552">
        <f t="shared" si="15"/>
        <v>0</v>
      </c>
    </row>
    <row r="503" spans="1:44" outlineLevel="1" x14ac:dyDescent="0.25">
      <c r="A503" s="544" t="s">
        <v>1674</v>
      </c>
      <c r="B503" s="545">
        <v>0</v>
      </c>
      <c r="C503" s="544" t="s">
        <v>1674</v>
      </c>
      <c r="D503" s="544" t="s">
        <v>3577</v>
      </c>
      <c r="E503" s="542" t="s">
        <v>3576</v>
      </c>
      <c r="F503" s="542" t="s">
        <v>3578</v>
      </c>
      <c r="G503" s="546">
        <v>44.41</v>
      </c>
      <c r="H503" s="546"/>
      <c r="I503" s="546"/>
      <c r="J503" s="542" t="s">
        <v>806</v>
      </c>
      <c r="K503" s="547">
        <v>8400</v>
      </c>
      <c r="L503" s="542" t="s">
        <v>806</v>
      </c>
      <c r="M503" s="548"/>
      <c r="N503" s="549">
        <v>-108</v>
      </c>
      <c r="O503" s="544" t="s">
        <v>1674</v>
      </c>
      <c r="P503" s="544" t="s">
        <v>1674</v>
      </c>
      <c r="Q503" s="544" t="s">
        <v>2786</v>
      </c>
      <c r="R503" s="544" t="s">
        <v>2617</v>
      </c>
      <c r="S503" s="544" t="s">
        <v>1674</v>
      </c>
      <c r="T503" s="550">
        <v>19</v>
      </c>
      <c r="U503" s="544" t="s">
        <v>3320</v>
      </c>
      <c r="V503" s="547">
        <v>918</v>
      </c>
      <c r="W503" s="548"/>
      <c r="Y503" s="544" t="s">
        <v>1674</v>
      </c>
      <c r="AA503" s="544" t="s">
        <v>1674</v>
      </c>
      <c r="AE503" s="551"/>
      <c r="AF503" s="544" t="s">
        <v>1674</v>
      </c>
      <c r="AG503" s="544" t="s">
        <v>1674</v>
      </c>
      <c r="AH503" s="544" t="s">
        <v>1674</v>
      </c>
      <c r="AI503" s="544" t="s">
        <v>1674</v>
      </c>
      <c r="AJ503" s="544" t="s">
        <v>1674</v>
      </c>
      <c r="AK503" s="544" t="s">
        <v>1674</v>
      </c>
      <c r="AL503" s="544" t="s">
        <v>1674</v>
      </c>
      <c r="AM503" s="544" t="s">
        <v>1674</v>
      </c>
      <c r="AN503" s="544" t="s">
        <v>1674</v>
      </c>
      <c r="AP503" s="542">
        <f t="shared" si="16"/>
        <v>-47</v>
      </c>
      <c r="AR503" s="552">
        <f t="shared" si="15"/>
        <v>0</v>
      </c>
    </row>
    <row r="504" spans="1:44" outlineLevel="1" x14ac:dyDescent="0.25">
      <c r="A504" s="544" t="s">
        <v>1674</v>
      </c>
      <c r="B504" s="545">
        <v>0</v>
      </c>
      <c r="C504" s="544" t="s">
        <v>1674</v>
      </c>
      <c r="D504" s="544" t="s">
        <v>3577</v>
      </c>
      <c r="E504" s="542" t="s">
        <v>3576</v>
      </c>
      <c r="F504" s="542" t="s">
        <v>3578</v>
      </c>
      <c r="G504" s="546">
        <v>7118.72</v>
      </c>
      <c r="H504" s="546"/>
      <c r="I504" s="546">
        <v>7639.8</v>
      </c>
      <c r="J504" s="542" t="s">
        <v>2701</v>
      </c>
      <c r="K504" s="547">
        <v>8401</v>
      </c>
      <c r="L504" s="542" t="s">
        <v>806</v>
      </c>
      <c r="M504" s="548"/>
      <c r="N504" s="549">
        <v>-108</v>
      </c>
      <c r="O504" s="544" t="s">
        <v>1674</v>
      </c>
      <c r="P504" s="544" t="s">
        <v>1674</v>
      </c>
      <c r="Q504" s="544" t="s">
        <v>2786</v>
      </c>
      <c r="R504" s="544" t="s">
        <v>1674</v>
      </c>
      <c r="S504" s="544" t="s">
        <v>1674</v>
      </c>
      <c r="T504" s="550">
        <v>19</v>
      </c>
      <c r="U504" s="544" t="s">
        <v>3320</v>
      </c>
      <c r="V504" s="547">
        <v>919</v>
      </c>
      <c r="W504" s="548"/>
      <c r="Y504" s="544" t="s">
        <v>1674</v>
      </c>
      <c r="AA504" s="544" t="s">
        <v>1674</v>
      </c>
      <c r="AE504" s="551"/>
      <c r="AF504" s="544" t="s">
        <v>1674</v>
      </c>
      <c r="AG504" s="544" t="s">
        <v>1674</v>
      </c>
      <c r="AH504" s="544" t="s">
        <v>1674</v>
      </c>
      <c r="AI504" s="544" t="s">
        <v>1674</v>
      </c>
      <c r="AJ504" s="544" t="s">
        <v>1674</v>
      </c>
      <c r="AK504" s="544" t="s">
        <v>1674</v>
      </c>
      <c r="AL504" s="544" t="s">
        <v>1674</v>
      </c>
      <c r="AM504" s="544" t="s">
        <v>1674</v>
      </c>
      <c r="AN504" s="544" t="s">
        <v>1674</v>
      </c>
      <c r="AP504" s="542">
        <f t="shared" si="16"/>
        <v>-47</v>
      </c>
      <c r="AR504" s="552">
        <f t="shared" si="15"/>
        <v>7639.8</v>
      </c>
    </row>
    <row r="505" spans="1:44" outlineLevel="1" x14ac:dyDescent="0.25">
      <c r="A505" s="544" t="s">
        <v>1674</v>
      </c>
      <c r="B505" s="545">
        <v>20301</v>
      </c>
      <c r="C505" s="544" t="s">
        <v>2981</v>
      </c>
      <c r="D505" s="544" t="s">
        <v>3579</v>
      </c>
      <c r="E505" s="542" t="s">
        <v>3576</v>
      </c>
      <c r="F505" s="542" t="s">
        <v>3578</v>
      </c>
      <c r="G505" s="546">
        <v>1188.46</v>
      </c>
      <c r="H505" s="546"/>
      <c r="I505" s="546">
        <v>1188.46</v>
      </c>
      <c r="J505" s="542" t="s">
        <v>2701</v>
      </c>
      <c r="K505" s="547">
        <v>8125</v>
      </c>
      <c r="L505" s="542" t="s">
        <v>806</v>
      </c>
      <c r="M505" s="548"/>
      <c r="N505" s="549">
        <v>-108</v>
      </c>
      <c r="O505" s="544" t="s">
        <v>1674</v>
      </c>
      <c r="P505" s="544" t="s">
        <v>1674</v>
      </c>
      <c r="Q505" s="544" t="s">
        <v>2983</v>
      </c>
      <c r="R505" s="544" t="s">
        <v>1674</v>
      </c>
      <c r="S505" s="544" t="s">
        <v>1674</v>
      </c>
      <c r="T505" s="550"/>
      <c r="U505" s="544" t="s">
        <v>3320</v>
      </c>
      <c r="V505" s="547">
        <v>895</v>
      </c>
      <c r="W505" s="548"/>
      <c r="Y505" s="544" t="s">
        <v>1674</v>
      </c>
      <c r="AA505" s="544" t="s">
        <v>1674</v>
      </c>
      <c r="AE505" s="551"/>
      <c r="AF505" s="544" t="s">
        <v>1674</v>
      </c>
      <c r="AG505" s="544" t="s">
        <v>1674</v>
      </c>
      <c r="AH505" s="544" t="s">
        <v>1674</v>
      </c>
      <c r="AI505" s="544" t="s">
        <v>1674</v>
      </c>
      <c r="AJ505" s="544" t="s">
        <v>1674</v>
      </c>
      <c r="AK505" s="544" t="s">
        <v>1674</v>
      </c>
      <c r="AL505" s="544" t="s">
        <v>1674</v>
      </c>
      <c r="AM505" s="544" t="s">
        <v>2985</v>
      </c>
      <c r="AN505" s="544" t="s">
        <v>1674</v>
      </c>
      <c r="AP505" s="542">
        <f t="shared" si="16"/>
        <v>-47</v>
      </c>
      <c r="AR505" s="552">
        <f t="shared" si="15"/>
        <v>1188.46</v>
      </c>
    </row>
    <row r="506" spans="1:44" outlineLevel="1" x14ac:dyDescent="0.25">
      <c r="A506" s="544" t="s">
        <v>1674</v>
      </c>
      <c r="B506" s="545">
        <v>0</v>
      </c>
      <c r="C506" s="544" t="s">
        <v>1674</v>
      </c>
      <c r="D506" s="544" t="s">
        <v>3580</v>
      </c>
      <c r="E506" s="542" t="s">
        <v>3576</v>
      </c>
      <c r="F506" s="542" t="s">
        <v>3578</v>
      </c>
      <c r="G506" s="546">
        <v>530</v>
      </c>
      <c r="H506" s="546"/>
      <c r="I506" s="546">
        <v>530</v>
      </c>
      <c r="J506" s="542" t="s">
        <v>2701</v>
      </c>
      <c r="K506" s="547">
        <v>8125</v>
      </c>
      <c r="L506" s="542" t="s">
        <v>806</v>
      </c>
      <c r="M506" s="548"/>
      <c r="N506" s="549">
        <v>-108</v>
      </c>
      <c r="O506" s="544" t="s">
        <v>1674</v>
      </c>
      <c r="P506" s="544" t="s">
        <v>1674</v>
      </c>
      <c r="Q506" s="544" t="s">
        <v>2983</v>
      </c>
      <c r="R506" s="544" t="s">
        <v>1674</v>
      </c>
      <c r="S506" s="544" t="s">
        <v>1674</v>
      </c>
      <c r="T506" s="550"/>
      <c r="U506" s="544" t="s">
        <v>3320</v>
      </c>
      <c r="V506" s="547">
        <v>896</v>
      </c>
      <c r="W506" s="548"/>
      <c r="Y506" s="544" t="s">
        <v>1674</v>
      </c>
      <c r="AA506" s="544" t="s">
        <v>1674</v>
      </c>
      <c r="AE506" s="551"/>
      <c r="AF506" s="544" t="s">
        <v>1674</v>
      </c>
      <c r="AG506" s="544" t="s">
        <v>1674</v>
      </c>
      <c r="AH506" s="544" t="s">
        <v>1674</v>
      </c>
      <c r="AI506" s="544" t="s">
        <v>1674</v>
      </c>
      <c r="AJ506" s="544" t="s">
        <v>1674</v>
      </c>
      <c r="AK506" s="544" t="s">
        <v>1674</v>
      </c>
      <c r="AL506" s="544" t="s">
        <v>1674</v>
      </c>
      <c r="AM506" s="544" t="s">
        <v>1674</v>
      </c>
      <c r="AN506" s="544" t="s">
        <v>1674</v>
      </c>
      <c r="AP506" s="542">
        <f t="shared" si="16"/>
        <v>-47</v>
      </c>
      <c r="AR506" s="552">
        <f t="shared" si="15"/>
        <v>530</v>
      </c>
    </row>
    <row r="507" spans="1:44" outlineLevel="1" x14ac:dyDescent="0.25">
      <c r="A507" s="544" t="s">
        <v>1674</v>
      </c>
      <c r="B507" s="545">
        <v>30803</v>
      </c>
      <c r="C507" s="544" t="s">
        <v>2925</v>
      </c>
      <c r="D507" s="544" t="s">
        <v>3581</v>
      </c>
      <c r="E507" s="542" t="s">
        <v>3576</v>
      </c>
      <c r="F507" s="542" t="s">
        <v>3578</v>
      </c>
      <c r="G507" s="546">
        <v>2909.55</v>
      </c>
      <c r="H507" s="546"/>
      <c r="I507" s="546">
        <v>2909.55</v>
      </c>
      <c r="J507" s="542" t="s">
        <v>2701</v>
      </c>
      <c r="K507" s="547">
        <v>8400</v>
      </c>
      <c r="L507" s="542" t="s">
        <v>806</v>
      </c>
      <c r="M507" s="548"/>
      <c r="N507" s="549">
        <v>-108</v>
      </c>
      <c r="O507" s="544" t="s">
        <v>1674</v>
      </c>
      <c r="P507" s="544" t="s">
        <v>1674</v>
      </c>
      <c r="Q507" s="544" t="s">
        <v>3030</v>
      </c>
      <c r="R507" s="544" t="s">
        <v>1674</v>
      </c>
      <c r="S507" s="544" t="s">
        <v>1674</v>
      </c>
      <c r="T507" s="550">
        <v>19</v>
      </c>
      <c r="U507" s="544" t="s">
        <v>3320</v>
      </c>
      <c r="V507" s="547">
        <v>922</v>
      </c>
      <c r="W507" s="548"/>
      <c r="Y507" s="544" t="s">
        <v>1674</v>
      </c>
      <c r="AA507" s="544" t="s">
        <v>1674</v>
      </c>
      <c r="AE507" s="551"/>
      <c r="AF507" s="544" t="s">
        <v>1674</v>
      </c>
      <c r="AG507" s="544" t="s">
        <v>1674</v>
      </c>
      <c r="AH507" s="544" t="s">
        <v>1674</v>
      </c>
      <c r="AI507" s="544" t="s">
        <v>1674</v>
      </c>
      <c r="AJ507" s="544" t="s">
        <v>1674</v>
      </c>
      <c r="AK507" s="544" t="s">
        <v>1674</v>
      </c>
      <c r="AL507" s="544" t="s">
        <v>1674</v>
      </c>
      <c r="AM507" s="544" t="s">
        <v>2928</v>
      </c>
      <c r="AN507" s="544" t="s">
        <v>1674</v>
      </c>
      <c r="AP507" s="542">
        <f t="shared" si="16"/>
        <v>-47</v>
      </c>
      <c r="AR507" s="552">
        <f t="shared" si="15"/>
        <v>2909.55</v>
      </c>
    </row>
    <row r="508" spans="1:44" outlineLevel="1" x14ac:dyDescent="0.25">
      <c r="A508" s="544" t="s">
        <v>1674</v>
      </c>
      <c r="B508" s="545">
        <v>10700</v>
      </c>
      <c r="C508" s="544" t="s">
        <v>2836</v>
      </c>
      <c r="D508" s="544" t="s">
        <v>3582</v>
      </c>
      <c r="E508" s="542" t="s">
        <v>3540</v>
      </c>
      <c r="F508" s="542" t="s">
        <v>3583</v>
      </c>
      <c r="G508" s="546">
        <v>2877.42</v>
      </c>
      <c r="H508" s="546"/>
      <c r="I508" s="546">
        <v>2877.42</v>
      </c>
      <c r="J508" s="542" t="s">
        <v>2701</v>
      </c>
      <c r="K508" s="547">
        <v>8400</v>
      </c>
      <c r="L508" s="542" t="s">
        <v>806</v>
      </c>
      <c r="M508" s="548"/>
      <c r="N508" s="549">
        <v>-106</v>
      </c>
      <c r="O508" s="544" t="s">
        <v>1674</v>
      </c>
      <c r="P508" s="544" t="s">
        <v>1674</v>
      </c>
      <c r="Q508" s="544" t="s">
        <v>2839</v>
      </c>
      <c r="R508" s="544" t="s">
        <v>1674</v>
      </c>
      <c r="S508" s="544" t="s">
        <v>1674</v>
      </c>
      <c r="T508" s="550">
        <v>19</v>
      </c>
      <c r="U508" s="544" t="s">
        <v>3320</v>
      </c>
      <c r="V508" s="547">
        <v>1057</v>
      </c>
      <c r="W508" s="548"/>
      <c r="Y508" s="544" t="s">
        <v>1674</v>
      </c>
      <c r="AA508" s="544" t="s">
        <v>1674</v>
      </c>
      <c r="AE508" s="551"/>
      <c r="AF508" s="544" t="s">
        <v>1674</v>
      </c>
      <c r="AG508" s="544" t="s">
        <v>1674</v>
      </c>
      <c r="AH508" s="544" t="s">
        <v>1674</v>
      </c>
      <c r="AI508" s="544" t="s">
        <v>1674</v>
      </c>
      <c r="AJ508" s="544" t="s">
        <v>1674</v>
      </c>
      <c r="AK508" s="544" t="s">
        <v>1674</v>
      </c>
      <c r="AL508" s="544" t="s">
        <v>1674</v>
      </c>
      <c r="AM508" s="544" t="s">
        <v>2836</v>
      </c>
      <c r="AN508" s="544" t="s">
        <v>1674</v>
      </c>
      <c r="AP508" s="542">
        <f t="shared" si="16"/>
        <v>-45</v>
      </c>
      <c r="AR508" s="552">
        <f t="shared" si="15"/>
        <v>2877.42</v>
      </c>
    </row>
    <row r="509" spans="1:44" outlineLevel="1" x14ac:dyDescent="0.25">
      <c r="A509" s="544" t="s">
        <v>1674</v>
      </c>
      <c r="B509" s="545">
        <v>0</v>
      </c>
      <c r="C509" s="544" t="s">
        <v>1674</v>
      </c>
      <c r="D509" s="544" t="s">
        <v>3584</v>
      </c>
      <c r="E509" s="542" t="s">
        <v>3540</v>
      </c>
      <c r="F509" s="542" t="s">
        <v>3583</v>
      </c>
      <c r="G509" s="546">
        <v>2284.8000000000002</v>
      </c>
      <c r="H509" s="546"/>
      <c r="I509" s="546">
        <v>2284.8000000000002</v>
      </c>
      <c r="J509" s="542" t="s">
        <v>2701</v>
      </c>
      <c r="K509" s="547">
        <v>8400</v>
      </c>
      <c r="L509" s="542" t="s">
        <v>806</v>
      </c>
      <c r="M509" s="548"/>
      <c r="N509" s="549">
        <v>-106</v>
      </c>
      <c r="O509" s="544" t="s">
        <v>1674</v>
      </c>
      <c r="P509" s="544" t="s">
        <v>1674</v>
      </c>
      <c r="Q509" s="544" t="s">
        <v>2839</v>
      </c>
      <c r="R509" s="544" t="s">
        <v>1674</v>
      </c>
      <c r="S509" s="544" t="s">
        <v>1674</v>
      </c>
      <c r="T509" s="550">
        <v>19</v>
      </c>
      <c r="U509" s="544" t="s">
        <v>3320</v>
      </c>
      <c r="V509" s="547">
        <v>1058</v>
      </c>
      <c r="W509" s="548"/>
      <c r="Y509" s="544" t="s">
        <v>1674</v>
      </c>
      <c r="AA509" s="544" t="s">
        <v>1674</v>
      </c>
      <c r="AE509" s="551"/>
      <c r="AF509" s="544" t="s">
        <v>1674</v>
      </c>
      <c r="AG509" s="544" t="s">
        <v>1674</v>
      </c>
      <c r="AH509" s="544" t="s">
        <v>1674</v>
      </c>
      <c r="AI509" s="544" t="s">
        <v>1674</v>
      </c>
      <c r="AJ509" s="544" t="s">
        <v>1674</v>
      </c>
      <c r="AK509" s="544" t="s">
        <v>1674</v>
      </c>
      <c r="AL509" s="544" t="s">
        <v>1674</v>
      </c>
      <c r="AM509" s="544" t="s">
        <v>1674</v>
      </c>
      <c r="AN509" s="544" t="s">
        <v>1674</v>
      </c>
      <c r="AP509" s="542">
        <f t="shared" si="16"/>
        <v>-45</v>
      </c>
      <c r="AR509" s="552">
        <f t="shared" si="15"/>
        <v>2284.8000000000002</v>
      </c>
    </row>
    <row r="510" spans="1:44" outlineLevel="1" x14ac:dyDescent="0.25">
      <c r="A510" s="544" t="s">
        <v>1674</v>
      </c>
      <c r="B510" s="545">
        <v>10200</v>
      </c>
      <c r="C510" s="544" t="s">
        <v>2774</v>
      </c>
      <c r="D510" s="544" t="s">
        <v>3585</v>
      </c>
      <c r="E510" s="542" t="s">
        <v>3586</v>
      </c>
      <c r="F510" s="542" t="s">
        <v>3587</v>
      </c>
      <c r="G510" s="546">
        <v>187.14</v>
      </c>
      <c r="H510" s="546"/>
      <c r="I510" s="546"/>
      <c r="J510" s="542" t="s">
        <v>806</v>
      </c>
      <c r="K510" s="547">
        <v>8400</v>
      </c>
      <c r="L510" s="542" t="s">
        <v>806</v>
      </c>
      <c r="M510" s="548"/>
      <c r="N510" s="549">
        <v>-102</v>
      </c>
      <c r="O510" s="544" t="s">
        <v>1674</v>
      </c>
      <c r="P510" s="544" t="s">
        <v>1674</v>
      </c>
      <c r="Q510" s="544" t="s">
        <v>3588</v>
      </c>
      <c r="R510" s="544" t="s">
        <v>1674</v>
      </c>
      <c r="S510" s="544" t="s">
        <v>1674</v>
      </c>
      <c r="T510" s="550">
        <v>19</v>
      </c>
      <c r="U510" s="544" t="s">
        <v>3320</v>
      </c>
      <c r="V510" s="547">
        <v>1196</v>
      </c>
      <c r="W510" s="548"/>
      <c r="Y510" s="544" t="s">
        <v>1674</v>
      </c>
      <c r="AA510" s="544" t="s">
        <v>1674</v>
      </c>
      <c r="AE510" s="551"/>
      <c r="AF510" s="544" t="s">
        <v>1674</v>
      </c>
      <c r="AG510" s="544" t="s">
        <v>1674</v>
      </c>
      <c r="AH510" s="544" t="s">
        <v>1674</v>
      </c>
      <c r="AI510" s="544" t="s">
        <v>1674</v>
      </c>
      <c r="AJ510" s="544" t="s">
        <v>1674</v>
      </c>
      <c r="AK510" s="544" t="s">
        <v>1674</v>
      </c>
      <c r="AL510" s="544" t="s">
        <v>1674</v>
      </c>
      <c r="AM510" s="544" t="s">
        <v>2774</v>
      </c>
      <c r="AN510" s="544" t="s">
        <v>1674</v>
      </c>
      <c r="AP510" s="542">
        <f t="shared" si="16"/>
        <v>-41</v>
      </c>
      <c r="AR510" s="552">
        <f t="shared" si="15"/>
        <v>0</v>
      </c>
    </row>
    <row r="511" spans="1:44" outlineLevel="1" x14ac:dyDescent="0.25">
      <c r="A511" s="544" t="s">
        <v>1674</v>
      </c>
      <c r="B511" s="545">
        <v>0</v>
      </c>
      <c r="C511" s="544" t="s">
        <v>1674</v>
      </c>
      <c r="D511" s="544" t="s">
        <v>3585</v>
      </c>
      <c r="E511" s="542" t="s">
        <v>3586</v>
      </c>
      <c r="F511" s="542" t="s">
        <v>3587</v>
      </c>
      <c r="G511" s="546">
        <v>9.85</v>
      </c>
      <c r="H511" s="546"/>
      <c r="I511" s="546"/>
      <c r="J511" s="542" t="s">
        <v>806</v>
      </c>
      <c r="K511" s="547">
        <v>8400</v>
      </c>
      <c r="L511" s="542" t="s">
        <v>806</v>
      </c>
      <c r="M511" s="548"/>
      <c r="N511" s="549">
        <v>-102</v>
      </c>
      <c r="O511" s="544" t="s">
        <v>1674</v>
      </c>
      <c r="P511" s="544" t="s">
        <v>1674</v>
      </c>
      <c r="Q511" s="544" t="s">
        <v>3588</v>
      </c>
      <c r="R511" s="544" t="s">
        <v>2617</v>
      </c>
      <c r="S511" s="544" t="s">
        <v>1674</v>
      </c>
      <c r="T511" s="550">
        <v>19</v>
      </c>
      <c r="U511" s="544" t="s">
        <v>3320</v>
      </c>
      <c r="V511" s="547">
        <v>1197</v>
      </c>
      <c r="W511" s="548"/>
      <c r="Y511" s="544" t="s">
        <v>1674</v>
      </c>
      <c r="AA511" s="544" t="s">
        <v>1674</v>
      </c>
      <c r="AE511" s="551"/>
      <c r="AF511" s="544" t="s">
        <v>1674</v>
      </c>
      <c r="AG511" s="544" t="s">
        <v>1674</v>
      </c>
      <c r="AH511" s="544" t="s">
        <v>1674</v>
      </c>
      <c r="AI511" s="544" t="s">
        <v>1674</v>
      </c>
      <c r="AJ511" s="544" t="s">
        <v>1674</v>
      </c>
      <c r="AK511" s="544" t="s">
        <v>1674</v>
      </c>
      <c r="AL511" s="544" t="s">
        <v>1674</v>
      </c>
      <c r="AM511" s="544" t="s">
        <v>1674</v>
      </c>
      <c r="AN511" s="544" t="s">
        <v>1674</v>
      </c>
      <c r="AP511" s="542">
        <f t="shared" si="16"/>
        <v>-41</v>
      </c>
      <c r="AR511" s="552">
        <f t="shared" si="15"/>
        <v>0</v>
      </c>
    </row>
    <row r="512" spans="1:44" outlineLevel="1" x14ac:dyDescent="0.25">
      <c r="A512" s="544" t="s">
        <v>1674</v>
      </c>
      <c r="B512" s="545">
        <v>0</v>
      </c>
      <c r="C512" s="544" t="s">
        <v>1674</v>
      </c>
      <c r="D512" s="544" t="s">
        <v>3585</v>
      </c>
      <c r="E512" s="542" t="s">
        <v>3586</v>
      </c>
      <c r="F512" s="542" t="s">
        <v>3587</v>
      </c>
      <c r="G512" s="546">
        <v>2794.67</v>
      </c>
      <c r="H512" s="546"/>
      <c r="I512" s="546">
        <v>2991.66</v>
      </c>
      <c r="J512" s="542" t="s">
        <v>2701</v>
      </c>
      <c r="K512" s="547">
        <v>8401</v>
      </c>
      <c r="L512" s="542" t="s">
        <v>806</v>
      </c>
      <c r="M512" s="548"/>
      <c r="N512" s="549">
        <v>-102</v>
      </c>
      <c r="O512" s="544" t="s">
        <v>1674</v>
      </c>
      <c r="P512" s="544" t="s">
        <v>1674</v>
      </c>
      <c r="Q512" s="544" t="s">
        <v>3588</v>
      </c>
      <c r="R512" s="544" t="s">
        <v>1674</v>
      </c>
      <c r="S512" s="544" t="s">
        <v>1674</v>
      </c>
      <c r="T512" s="550">
        <v>19</v>
      </c>
      <c r="U512" s="544" t="s">
        <v>3320</v>
      </c>
      <c r="V512" s="547">
        <v>1198</v>
      </c>
      <c r="W512" s="548"/>
      <c r="Y512" s="544" t="s">
        <v>1674</v>
      </c>
      <c r="AA512" s="544" t="s">
        <v>1674</v>
      </c>
      <c r="AE512" s="551"/>
      <c r="AF512" s="544" t="s">
        <v>1674</v>
      </c>
      <c r="AG512" s="544" t="s">
        <v>1674</v>
      </c>
      <c r="AH512" s="544" t="s">
        <v>1674</v>
      </c>
      <c r="AI512" s="544" t="s">
        <v>1674</v>
      </c>
      <c r="AJ512" s="544" t="s">
        <v>1674</v>
      </c>
      <c r="AK512" s="544" t="s">
        <v>1674</v>
      </c>
      <c r="AL512" s="544" t="s">
        <v>1674</v>
      </c>
      <c r="AM512" s="544" t="s">
        <v>1674</v>
      </c>
      <c r="AN512" s="544" t="s">
        <v>1674</v>
      </c>
      <c r="AP512" s="542">
        <f t="shared" si="16"/>
        <v>-41</v>
      </c>
      <c r="AR512" s="552">
        <f t="shared" si="15"/>
        <v>2991.66</v>
      </c>
    </row>
    <row r="513" spans="1:44" outlineLevel="1" x14ac:dyDescent="0.25">
      <c r="A513" s="544" t="s">
        <v>1674</v>
      </c>
      <c r="B513" s="545">
        <v>20301</v>
      </c>
      <c r="C513" s="544" t="s">
        <v>2981</v>
      </c>
      <c r="D513" s="544" t="s">
        <v>3589</v>
      </c>
      <c r="E513" s="542" t="s">
        <v>3586</v>
      </c>
      <c r="F513" s="542" t="s">
        <v>3587</v>
      </c>
      <c r="G513" s="546">
        <v>1683</v>
      </c>
      <c r="H513" s="546"/>
      <c r="I513" s="546"/>
      <c r="J513" s="542" t="s">
        <v>806</v>
      </c>
      <c r="K513" s="547">
        <v>8125</v>
      </c>
      <c r="L513" s="542" t="s">
        <v>806</v>
      </c>
      <c r="M513" s="548"/>
      <c r="N513" s="549">
        <v>-102</v>
      </c>
      <c r="O513" s="544" t="s">
        <v>1674</v>
      </c>
      <c r="P513" s="544" t="s">
        <v>1674</v>
      </c>
      <c r="Q513" s="544" t="s">
        <v>2983</v>
      </c>
      <c r="R513" s="544" t="s">
        <v>2984</v>
      </c>
      <c r="S513" s="544" t="s">
        <v>1674</v>
      </c>
      <c r="T513" s="550"/>
      <c r="U513" s="544" t="s">
        <v>3320</v>
      </c>
      <c r="V513" s="547">
        <v>1194</v>
      </c>
      <c r="W513" s="548"/>
      <c r="Y513" s="544" t="s">
        <v>1674</v>
      </c>
      <c r="AA513" s="544" t="s">
        <v>1674</v>
      </c>
      <c r="AE513" s="551"/>
      <c r="AF513" s="544" t="s">
        <v>1674</v>
      </c>
      <c r="AG513" s="544" t="s">
        <v>1674</v>
      </c>
      <c r="AH513" s="544" t="s">
        <v>1674</v>
      </c>
      <c r="AI513" s="544" t="s">
        <v>1674</v>
      </c>
      <c r="AJ513" s="544" t="s">
        <v>1674</v>
      </c>
      <c r="AK513" s="544" t="s">
        <v>1674</v>
      </c>
      <c r="AL513" s="544" t="s">
        <v>1674</v>
      </c>
      <c r="AM513" s="544" t="s">
        <v>2985</v>
      </c>
      <c r="AN513" s="544" t="s">
        <v>1674</v>
      </c>
      <c r="AP513" s="542">
        <f t="shared" si="16"/>
        <v>-41</v>
      </c>
      <c r="AR513" s="552">
        <f t="shared" si="15"/>
        <v>0</v>
      </c>
    </row>
    <row r="514" spans="1:44" outlineLevel="1" x14ac:dyDescent="0.25">
      <c r="A514" s="544" t="s">
        <v>1674</v>
      </c>
      <c r="B514" s="545">
        <v>0</v>
      </c>
      <c r="C514" s="544" t="s">
        <v>1674</v>
      </c>
      <c r="D514" s="544" t="s">
        <v>3589</v>
      </c>
      <c r="E514" s="542" t="s">
        <v>3586</v>
      </c>
      <c r="F514" s="542" t="s">
        <v>3587</v>
      </c>
      <c r="G514" s="546">
        <v>212</v>
      </c>
      <c r="H514" s="546"/>
      <c r="I514" s="546">
        <v>1895</v>
      </c>
      <c r="J514" s="542" t="s">
        <v>2701</v>
      </c>
      <c r="K514" s="547">
        <v>8125</v>
      </c>
      <c r="L514" s="542" t="s">
        <v>806</v>
      </c>
      <c r="M514" s="548"/>
      <c r="N514" s="549">
        <v>-102</v>
      </c>
      <c r="O514" s="544" t="s">
        <v>1674</v>
      </c>
      <c r="P514" s="544" t="s">
        <v>1674</v>
      </c>
      <c r="Q514" s="544" t="s">
        <v>2986</v>
      </c>
      <c r="R514" s="544" t="s">
        <v>1674</v>
      </c>
      <c r="S514" s="544" t="s">
        <v>1674</v>
      </c>
      <c r="T514" s="550"/>
      <c r="U514" s="544" t="s">
        <v>3320</v>
      </c>
      <c r="V514" s="547">
        <v>1195</v>
      </c>
      <c r="W514" s="548"/>
      <c r="Y514" s="544" t="s">
        <v>1674</v>
      </c>
      <c r="AA514" s="544" t="s">
        <v>1674</v>
      </c>
      <c r="AE514" s="551"/>
      <c r="AF514" s="544" t="s">
        <v>1674</v>
      </c>
      <c r="AG514" s="544" t="s">
        <v>1674</v>
      </c>
      <c r="AH514" s="544" t="s">
        <v>1674</v>
      </c>
      <c r="AI514" s="544" t="s">
        <v>1674</v>
      </c>
      <c r="AJ514" s="544" t="s">
        <v>1674</v>
      </c>
      <c r="AK514" s="544" t="s">
        <v>1674</v>
      </c>
      <c r="AL514" s="544" t="s">
        <v>1674</v>
      </c>
      <c r="AM514" s="544" t="s">
        <v>1674</v>
      </c>
      <c r="AN514" s="544" t="s">
        <v>1674</v>
      </c>
      <c r="AP514" s="542">
        <f t="shared" si="16"/>
        <v>-41</v>
      </c>
      <c r="AR514" s="552">
        <f t="shared" si="15"/>
        <v>1895</v>
      </c>
    </row>
    <row r="515" spans="1:44" outlineLevel="1" x14ac:dyDescent="0.25">
      <c r="A515" s="544" t="s">
        <v>1674</v>
      </c>
      <c r="B515" s="545">
        <v>10237</v>
      </c>
      <c r="C515" s="544" t="s">
        <v>2750</v>
      </c>
      <c r="D515" s="544" t="s">
        <v>3590</v>
      </c>
      <c r="E515" s="542" t="s">
        <v>3591</v>
      </c>
      <c r="F515" s="542" t="s">
        <v>3592</v>
      </c>
      <c r="G515" s="546">
        <v>773.5</v>
      </c>
      <c r="H515" s="546"/>
      <c r="I515" s="546">
        <v>773.5</v>
      </c>
      <c r="J515" s="542" t="s">
        <v>2701</v>
      </c>
      <c r="K515" s="547">
        <v>8403</v>
      </c>
      <c r="L515" s="542" t="s">
        <v>806</v>
      </c>
      <c r="M515" s="548"/>
      <c r="N515" s="549">
        <v>-101</v>
      </c>
      <c r="O515" s="544" t="s">
        <v>1674</v>
      </c>
      <c r="P515" s="544" t="s">
        <v>1674</v>
      </c>
      <c r="Q515" s="544" t="s">
        <v>2754</v>
      </c>
      <c r="R515" s="544" t="s">
        <v>1674</v>
      </c>
      <c r="S515" s="544" t="s">
        <v>1674</v>
      </c>
      <c r="T515" s="550">
        <v>19</v>
      </c>
      <c r="U515" s="544" t="s">
        <v>3320</v>
      </c>
      <c r="V515" s="547">
        <v>1277</v>
      </c>
      <c r="W515" s="548"/>
      <c r="Y515" s="544" t="s">
        <v>1674</v>
      </c>
      <c r="AA515" s="544" t="s">
        <v>1674</v>
      </c>
      <c r="AE515" s="551"/>
      <c r="AF515" s="544" t="s">
        <v>1674</v>
      </c>
      <c r="AG515" s="544" t="s">
        <v>1674</v>
      </c>
      <c r="AH515" s="544" t="s">
        <v>1674</v>
      </c>
      <c r="AI515" s="544" t="s">
        <v>1674</v>
      </c>
      <c r="AJ515" s="544" t="s">
        <v>1674</v>
      </c>
      <c r="AK515" s="544" t="s">
        <v>1674</v>
      </c>
      <c r="AL515" s="544" t="s">
        <v>1674</v>
      </c>
      <c r="AM515" s="544" t="s">
        <v>2755</v>
      </c>
      <c r="AN515" s="544" t="s">
        <v>1674</v>
      </c>
      <c r="AP515" s="542">
        <f t="shared" si="16"/>
        <v>-40</v>
      </c>
      <c r="AR515" s="552">
        <f t="shared" si="15"/>
        <v>773.5</v>
      </c>
    </row>
    <row r="516" spans="1:44" outlineLevel="1" x14ac:dyDescent="0.25">
      <c r="A516" s="544" t="s">
        <v>1674</v>
      </c>
      <c r="B516" s="545">
        <v>0</v>
      </c>
      <c r="C516" s="544" t="s">
        <v>1674</v>
      </c>
      <c r="D516" s="544" t="s">
        <v>3593</v>
      </c>
      <c r="E516" s="542" t="s">
        <v>3591</v>
      </c>
      <c r="F516" s="542" t="s">
        <v>3592</v>
      </c>
      <c r="G516" s="546">
        <v>773.5</v>
      </c>
      <c r="H516" s="546"/>
      <c r="I516" s="546">
        <v>773.5</v>
      </c>
      <c r="J516" s="542" t="s">
        <v>2701</v>
      </c>
      <c r="K516" s="547">
        <v>8403</v>
      </c>
      <c r="L516" s="542" t="s">
        <v>806</v>
      </c>
      <c r="M516" s="548"/>
      <c r="N516" s="549">
        <v>-101</v>
      </c>
      <c r="O516" s="544" t="s">
        <v>1674</v>
      </c>
      <c r="P516" s="544" t="s">
        <v>1674</v>
      </c>
      <c r="Q516" s="544" t="s">
        <v>2754</v>
      </c>
      <c r="R516" s="544" t="s">
        <v>1674</v>
      </c>
      <c r="S516" s="544" t="s">
        <v>1674</v>
      </c>
      <c r="T516" s="550">
        <v>19</v>
      </c>
      <c r="U516" s="544" t="s">
        <v>3320</v>
      </c>
      <c r="V516" s="547">
        <v>1278</v>
      </c>
      <c r="W516" s="548"/>
      <c r="Y516" s="544" t="s">
        <v>1674</v>
      </c>
      <c r="AA516" s="544" t="s">
        <v>1674</v>
      </c>
      <c r="AE516" s="551"/>
      <c r="AF516" s="544" t="s">
        <v>1674</v>
      </c>
      <c r="AG516" s="544" t="s">
        <v>1674</v>
      </c>
      <c r="AH516" s="544" t="s">
        <v>1674</v>
      </c>
      <c r="AI516" s="544" t="s">
        <v>1674</v>
      </c>
      <c r="AJ516" s="544" t="s">
        <v>1674</v>
      </c>
      <c r="AK516" s="544" t="s">
        <v>1674</v>
      </c>
      <c r="AL516" s="544" t="s">
        <v>1674</v>
      </c>
      <c r="AM516" s="544" t="s">
        <v>1674</v>
      </c>
      <c r="AN516" s="544" t="s">
        <v>1674</v>
      </c>
      <c r="AP516" s="542">
        <f t="shared" si="16"/>
        <v>-40</v>
      </c>
      <c r="AR516" s="552">
        <f t="shared" ref="AR516:AR531" si="17">IF(J516="S",+I516,-I516)</f>
        <v>773.5</v>
      </c>
    </row>
    <row r="517" spans="1:44" outlineLevel="1" x14ac:dyDescent="0.25">
      <c r="A517" s="544" t="s">
        <v>1674</v>
      </c>
      <c r="B517" s="545">
        <v>31905</v>
      </c>
      <c r="C517" s="544" t="s">
        <v>2974</v>
      </c>
      <c r="D517" s="544" t="s">
        <v>3594</v>
      </c>
      <c r="E517" s="542" t="s">
        <v>3544</v>
      </c>
      <c r="F517" s="542" t="s">
        <v>3595</v>
      </c>
      <c r="G517" s="546">
        <v>1110</v>
      </c>
      <c r="H517" s="546"/>
      <c r="I517" s="546"/>
      <c r="J517" s="542" t="s">
        <v>806</v>
      </c>
      <c r="K517" s="547">
        <v>8120</v>
      </c>
      <c r="L517" s="542" t="s">
        <v>806</v>
      </c>
      <c r="M517" s="548"/>
      <c r="N517" s="549">
        <v>-100</v>
      </c>
      <c r="O517" s="544" t="s">
        <v>1674</v>
      </c>
      <c r="P517" s="544" t="s">
        <v>1674</v>
      </c>
      <c r="Q517" s="544" t="s">
        <v>2976</v>
      </c>
      <c r="R517" s="544" t="s">
        <v>1674</v>
      </c>
      <c r="S517" s="544" t="s">
        <v>1674</v>
      </c>
      <c r="T517" s="550"/>
      <c r="U517" s="544" t="s">
        <v>3320</v>
      </c>
      <c r="V517" s="547">
        <v>1338</v>
      </c>
      <c r="W517" s="548"/>
      <c r="Y517" s="544" t="s">
        <v>1674</v>
      </c>
      <c r="AA517" s="544" t="s">
        <v>1674</v>
      </c>
      <c r="AE517" s="551"/>
      <c r="AF517" s="544" t="s">
        <v>1674</v>
      </c>
      <c r="AG517" s="544" t="s">
        <v>1674</v>
      </c>
      <c r="AH517" s="544" t="s">
        <v>1674</v>
      </c>
      <c r="AI517" s="544" t="s">
        <v>1674</v>
      </c>
      <c r="AJ517" s="544" t="s">
        <v>1674</v>
      </c>
      <c r="AK517" s="544" t="s">
        <v>1674</v>
      </c>
      <c r="AL517" s="544" t="s">
        <v>1674</v>
      </c>
      <c r="AM517" s="544" t="s">
        <v>2977</v>
      </c>
      <c r="AN517" s="544" t="s">
        <v>1674</v>
      </c>
      <c r="AP517" s="542">
        <f t="shared" si="16"/>
        <v>-39</v>
      </c>
      <c r="AR517" s="552">
        <f t="shared" si="17"/>
        <v>0</v>
      </c>
    </row>
    <row r="518" spans="1:44" outlineLevel="1" x14ac:dyDescent="0.25">
      <c r="A518" s="544" t="s">
        <v>1674</v>
      </c>
      <c r="B518" s="545">
        <v>0</v>
      </c>
      <c r="C518" s="544" t="s">
        <v>1674</v>
      </c>
      <c r="D518" s="544" t="s">
        <v>3594</v>
      </c>
      <c r="E518" s="542" t="s">
        <v>3544</v>
      </c>
      <c r="F518" s="542" t="s">
        <v>3595</v>
      </c>
      <c r="G518" s="546">
        <v>270</v>
      </c>
      <c r="H518" s="546"/>
      <c r="I518" s="546">
        <v>1380</v>
      </c>
      <c r="J518" s="542" t="s">
        <v>2701</v>
      </c>
      <c r="K518" s="547">
        <v>8120</v>
      </c>
      <c r="L518" s="542" t="s">
        <v>806</v>
      </c>
      <c r="M518" s="548"/>
      <c r="N518" s="549">
        <v>-100</v>
      </c>
      <c r="O518" s="544" t="s">
        <v>1674</v>
      </c>
      <c r="P518" s="544" t="s">
        <v>1674</v>
      </c>
      <c r="Q518" s="544" t="s">
        <v>2976</v>
      </c>
      <c r="R518" s="544" t="s">
        <v>2622</v>
      </c>
      <c r="S518" s="544" t="s">
        <v>1674</v>
      </c>
      <c r="T518" s="550"/>
      <c r="U518" s="544" t="s">
        <v>3320</v>
      </c>
      <c r="V518" s="547">
        <v>1339</v>
      </c>
      <c r="W518" s="548"/>
      <c r="Y518" s="544" t="s">
        <v>1674</v>
      </c>
      <c r="AA518" s="544" t="s">
        <v>1674</v>
      </c>
      <c r="AE518" s="551"/>
      <c r="AF518" s="544" t="s">
        <v>1674</v>
      </c>
      <c r="AG518" s="544" t="s">
        <v>1674</v>
      </c>
      <c r="AH518" s="544" t="s">
        <v>1674</v>
      </c>
      <c r="AI518" s="544" t="s">
        <v>1674</v>
      </c>
      <c r="AJ518" s="544" t="s">
        <v>1674</v>
      </c>
      <c r="AK518" s="544" t="s">
        <v>1674</v>
      </c>
      <c r="AL518" s="544" t="s">
        <v>1674</v>
      </c>
      <c r="AM518" s="544" t="s">
        <v>1674</v>
      </c>
      <c r="AN518" s="544" t="s">
        <v>1674</v>
      </c>
      <c r="AP518" s="542">
        <f t="shared" si="16"/>
        <v>-39</v>
      </c>
      <c r="AR518" s="552">
        <f t="shared" si="17"/>
        <v>1380</v>
      </c>
    </row>
    <row r="519" spans="1:44" outlineLevel="1" x14ac:dyDescent="0.25">
      <c r="A519" s="544" t="s">
        <v>1674</v>
      </c>
      <c r="B519" s="545">
        <v>10200</v>
      </c>
      <c r="C519" s="544" t="s">
        <v>2774</v>
      </c>
      <c r="D519" s="544" t="s">
        <v>3596</v>
      </c>
      <c r="E519" s="542" t="s">
        <v>3547</v>
      </c>
      <c r="F519" s="542" t="s">
        <v>3597</v>
      </c>
      <c r="G519" s="546">
        <v>4921.97</v>
      </c>
      <c r="H519" s="546"/>
      <c r="I519" s="546"/>
      <c r="J519" s="542" t="s">
        <v>806</v>
      </c>
      <c r="K519" s="547">
        <v>8400</v>
      </c>
      <c r="L519" s="542" t="s">
        <v>806</v>
      </c>
      <c r="M519" s="548"/>
      <c r="N519" s="549">
        <v>-99</v>
      </c>
      <c r="O519" s="544" t="s">
        <v>1674</v>
      </c>
      <c r="P519" s="544" t="s">
        <v>1674</v>
      </c>
      <c r="Q519" s="544" t="s">
        <v>3598</v>
      </c>
      <c r="R519" s="544" t="s">
        <v>1674</v>
      </c>
      <c r="S519" s="544" t="s">
        <v>1674</v>
      </c>
      <c r="T519" s="550">
        <v>19</v>
      </c>
      <c r="U519" s="544" t="s">
        <v>3320</v>
      </c>
      <c r="V519" s="547">
        <v>1432</v>
      </c>
      <c r="W519" s="548"/>
      <c r="Y519" s="544" t="s">
        <v>1674</v>
      </c>
      <c r="AA519" s="544" t="s">
        <v>1674</v>
      </c>
      <c r="AE519" s="551"/>
      <c r="AF519" s="544" t="s">
        <v>1674</v>
      </c>
      <c r="AG519" s="544" t="s">
        <v>1674</v>
      </c>
      <c r="AH519" s="544" t="s">
        <v>1674</v>
      </c>
      <c r="AI519" s="544" t="s">
        <v>1674</v>
      </c>
      <c r="AJ519" s="544" t="s">
        <v>1674</v>
      </c>
      <c r="AK519" s="544" t="s">
        <v>1674</v>
      </c>
      <c r="AL519" s="544" t="s">
        <v>1674</v>
      </c>
      <c r="AM519" s="544" t="s">
        <v>2774</v>
      </c>
      <c r="AN519" s="544" t="s">
        <v>1674</v>
      </c>
      <c r="AP519" s="542">
        <f t="shared" si="16"/>
        <v>-38</v>
      </c>
      <c r="AR519" s="552">
        <f t="shared" si="17"/>
        <v>0</v>
      </c>
    </row>
    <row r="520" spans="1:44" outlineLevel="1" x14ac:dyDescent="0.25">
      <c r="A520" s="544" t="s">
        <v>1674</v>
      </c>
      <c r="B520" s="545">
        <v>0</v>
      </c>
      <c r="C520" s="544" t="s">
        <v>1674</v>
      </c>
      <c r="D520" s="544" t="s">
        <v>3596</v>
      </c>
      <c r="E520" s="542" t="s">
        <v>3547</v>
      </c>
      <c r="F520" s="542" t="s">
        <v>3597</v>
      </c>
      <c r="G520" s="546">
        <v>460.03</v>
      </c>
      <c r="H520" s="546"/>
      <c r="I520" s="546"/>
      <c r="J520" s="542" t="s">
        <v>806</v>
      </c>
      <c r="K520" s="547">
        <v>8400</v>
      </c>
      <c r="L520" s="542" t="s">
        <v>806</v>
      </c>
      <c r="M520" s="548"/>
      <c r="N520" s="549">
        <v>-99</v>
      </c>
      <c r="O520" s="544" t="s">
        <v>1674</v>
      </c>
      <c r="P520" s="544" t="s">
        <v>1674</v>
      </c>
      <c r="Q520" s="544" t="s">
        <v>3598</v>
      </c>
      <c r="R520" s="544" t="s">
        <v>2617</v>
      </c>
      <c r="S520" s="544" t="s">
        <v>1674</v>
      </c>
      <c r="T520" s="550">
        <v>19</v>
      </c>
      <c r="U520" s="544" t="s">
        <v>3320</v>
      </c>
      <c r="V520" s="547">
        <v>1433</v>
      </c>
      <c r="W520" s="548"/>
      <c r="Y520" s="544" t="s">
        <v>1674</v>
      </c>
      <c r="AA520" s="544" t="s">
        <v>1674</v>
      </c>
      <c r="AE520" s="551"/>
      <c r="AF520" s="544" t="s">
        <v>1674</v>
      </c>
      <c r="AG520" s="544" t="s">
        <v>1674</v>
      </c>
      <c r="AH520" s="544" t="s">
        <v>1674</v>
      </c>
      <c r="AI520" s="544" t="s">
        <v>1674</v>
      </c>
      <c r="AJ520" s="544" t="s">
        <v>1674</v>
      </c>
      <c r="AK520" s="544" t="s">
        <v>1674</v>
      </c>
      <c r="AL520" s="544" t="s">
        <v>1674</v>
      </c>
      <c r="AM520" s="544" t="s">
        <v>1674</v>
      </c>
      <c r="AN520" s="544" t="s">
        <v>1674</v>
      </c>
      <c r="AP520" s="542">
        <f t="shared" si="16"/>
        <v>-38</v>
      </c>
      <c r="AR520" s="552">
        <f t="shared" si="17"/>
        <v>0</v>
      </c>
    </row>
    <row r="521" spans="1:44" outlineLevel="1" x14ac:dyDescent="0.25">
      <c r="A521" s="544" t="s">
        <v>1674</v>
      </c>
      <c r="B521" s="545">
        <v>0</v>
      </c>
      <c r="C521" s="544" t="s">
        <v>1674</v>
      </c>
      <c r="D521" s="544" t="s">
        <v>3596</v>
      </c>
      <c r="E521" s="542" t="s">
        <v>3547</v>
      </c>
      <c r="F521" s="542" t="s">
        <v>3597</v>
      </c>
      <c r="G521" s="546">
        <v>73515</v>
      </c>
      <c r="H521" s="546"/>
      <c r="I521" s="546">
        <v>78897</v>
      </c>
      <c r="J521" s="542" t="s">
        <v>2701</v>
      </c>
      <c r="K521" s="547">
        <v>8401</v>
      </c>
      <c r="L521" s="542" t="s">
        <v>806</v>
      </c>
      <c r="M521" s="548"/>
      <c r="N521" s="549">
        <v>-99</v>
      </c>
      <c r="O521" s="544" t="s">
        <v>1674</v>
      </c>
      <c r="P521" s="544" t="s">
        <v>1674</v>
      </c>
      <c r="Q521" s="544" t="s">
        <v>3598</v>
      </c>
      <c r="R521" s="544" t="s">
        <v>1674</v>
      </c>
      <c r="S521" s="544" t="s">
        <v>1674</v>
      </c>
      <c r="T521" s="550">
        <v>19</v>
      </c>
      <c r="U521" s="544" t="s">
        <v>3320</v>
      </c>
      <c r="V521" s="547">
        <v>1434</v>
      </c>
      <c r="W521" s="548"/>
      <c r="Y521" s="544" t="s">
        <v>1674</v>
      </c>
      <c r="AA521" s="544" t="s">
        <v>1674</v>
      </c>
      <c r="AE521" s="551"/>
      <c r="AF521" s="544" t="s">
        <v>1674</v>
      </c>
      <c r="AG521" s="544" t="s">
        <v>1674</v>
      </c>
      <c r="AH521" s="544" t="s">
        <v>1674</v>
      </c>
      <c r="AI521" s="544" t="s">
        <v>1674</v>
      </c>
      <c r="AJ521" s="544" t="s">
        <v>1674</v>
      </c>
      <c r="AK521" s="544" t="s">
        <v>1674</v>
      </c>
      <c r="AL521" s="544" t="s">
        <v>1674</v>
      </c>
      <c r="AM521" s="544" t="s">
        <v>1674</v>
      </c>
      <c r="AN521" s="544" t="s">
        <v>1674</v>
      </c>
      <c r="AP521" s="542">
        <f t="shared" si="16"/>
        <v>-38</v>
      </c>
      <c r="AR521" s="552">
        <f t="shared" si="17"/>
        <v>78897</v>
      </c>
    </row>
    <row r="522" spans="1:44" outlineLevel="1" x14ac:dyDescent="0.25">
      <c r="A522" s="544" t="s">
        <v>1674</v>
      </c>
      <c r="B522" s="545">
        <v>20301</v>
      </c>
      <c r="C522" s="544" t="s">
        <v>2981</v>
      </c>
      <c r="D522" s="544" t="s">
        <v>3599</v>
      </c>
      <c r="E522" s="542" t="s">
        <v>3600</v>
      </c>
      <c r="F522" s="542" t="s">
        <v>3601</v>
      </c>
      <c r="G522" s="546">
        <v>628.5</v>
      </c>
      <c r="H522" s="546"/>
      <c r="I522" s="546">
        <v>628.5</v>
      </c>
      <c r="J522" s="542" t="s">
        <v>2701</v>
      </c>
      <c r="K522" s="547">
        <v>8125</v>
      </c>
      <c r="L522" s="542" t="s">
        <v>806</v>
      </c>
      <c r="M522" s="548"/>
      <c r="N522" s="549">
        <v>-94</v>
      </c>
      <c r="O522" s="544" t="s">
        <v>1674</v>
      </c>
      <c r="P522" s="544" t="s">
        <v>1674</v>
      </c>
      <c r="Q522" s="544" t="s">
        <v>2983</v>
      </c>
      <c r="R522" s="544" t="s">
        <v>1674</v>
      </c>
      <c r="S522" s="544" t="s">
        <v>1674</v>
      </c>
      <c r="T522" s="550"/>
      <c r="U522" s="544" t="s">
        <v>3320</v>
      </c>
      <c r="V522" s="547">
        <v>1646</v>
      </c>
      <c r="W522" s="548"/>
      <c r="Y522" s="544" t="s">
        <v>1674</v>
      </c>
      <c r="AA522" s="544" t="s">
        <v>1674</v>
      </c>
      <c r="AE522" s="551"/>
      <c r="AF522" s="544" t="s">
        <v>1674</v>
      </c>
      <c r="AG522" s="544" t="s">
        <v>1674</v>
      </c>
      <c r="AH522" s="544" t="s">
        <v>1674</v>
      </c>
      <c r="AI522" s="544" t="s">
        <v>1674</v>
      </c>
      <c r="AJ522" s="544" t="s">
        <v>1674</v>
      </c>
      <c r="AK522" s="544" t="s">
        <v>1674</v>
      </c>
      <c r="AL522" s="544" t="s">
        <v>1674</v>
      </c>
      <c r="AM522" s="544" t="s">
        <v>2985</v>
      </c>
      <c r="AN522" s="544" t="s">
        <v>1674</v>
      </c>
      <c r="AP522" s="542">
        <f t="shared" si="16"/>
        <v>-33</v>
      </c>
      <c r="AR522" s="552">
        <f t="shared" si="17"/>
        <v>628.5</v>
      </c>
    </row>
    <row r="523" spans="1:44" outlineLevel="1" x14ac:dyDescent="0.25">
      <c r="A523" s="544" t="s">
        <v>1674</v>
      </c>
      <c r="B523" s="545">
        <v>10208</v>
      </c>
      <c r="C523" s="544" t="s">
        <v>2989</v>
      </c>
      <c r="D523" s="544" t="s">
        <v>3602</v>
      </c>
      <c r="E523" s="542" t="s">
        <v>3318</v>
      </c>
      <c r="F523" s="542" t="s">
        <v>3603</v>
      </c>
      <c r="G523" s="546">
        <v>2028.83</v>
      </c>
      <c r="H523" s="546"/>
      <c r="I523" s="546">
        <v>2028.83</v>
      </c>
      <c r="J523" s="542" t="s">
        <v>2701</v>
      </c>
      <c r="K523" s="547">
        <v>8400</v>
      </c>
      <c r="L523" s="542" t="s">
        <v>806</v>
      </c>
      <c r="M523" s="548"/>
      <c r="N523" s="549">
        <v>-92</v>
      </c>
      <c r="O523" s="544" t="s">
        <v>1674</v>
      </c>
      <c r="P523" s="544" t="s">
        <v>1674</v>
      </c>
      <c r="Q523" s="544" t="s">
        <v>2992</v>
      </c>
      <c r="R523" s="544" t="s">
        <v>1674</v>
      </c>
      <c r="S523" s="544" t="s">
        <v>1674</v>
      </c>
      <c r="T523" s="550">
        <v>19</v>
      </c>
      <c r="U523" s="544" t="s">
        <v>3320</v>
      </c>
      <c r="V523" s="547">
        <v>1798</v>
      </c>
      <c r="W523" s="548"/>
      <c r="Y523" s="544" t="s">
        <v>1674</v>
      </c>
      <c r="AA523" s="544" t="s">
        <v>1674</v>
      </c>
      <c r="AE523" s="551"/>
      <c r="AF523" s="544" t="s">
        <v>2993</v>
      </c>
      <c r="AG523" s="544" t="s">
        <v>2994</v>
      </c>
      <c r="AH523" s="544" t="s">
        <v>2995</v>
      </c>
      <c r="AI523" s="544" t="s">
        <v>1674</v>
      </c>
      <c r="AJ523" s="544" t="s">
        <v>2996</v>
      </c>
      <c r="AK523" s="544" t="s">
        <v>1674</v>
      </c>
      <c r="AL523" s="544" t="s">
        <v>1674</v>
      </c>
      <c r="AM523" s="544" t="s">
        <v>2997</v>
      </c>
      <c r="AN523" s="544" t="s">
        <v>2998</v>
      </c>
      <c r="AP523" s="542">
        <f t="shared" si="16"/>
        <v>-31</v>
      </c>
      <c r="AR523" s="552">
        <f t="shared" si="17"/>
        <v>2028.83</v>
      </c>
    </row>
    <row r="524" spans="1:44" outlineLevel="1" x14ac:dyDescent="0.25">
      <c r="A524" s="544" t="s">
        <v>1674</v>
      </c>
      <c r="B524" s="545">
        <v>10700</v>
      </c>
      <c r="C524" s="544" t="s">
        <v>2836</v>
      </c>
      <c r="D524" s="544" t="s">
        <v>3604</v>
      </c>
      <c r="E524" s="542" t="s">
        <v>3318</v>
      </c>
      <c r="F524" s="542" t="s">
        <v>3603</v>
      </c>
      <c r="G524" s="546">
        <v>4413.12</v>
      </c>
      <c r="H524" s="546"/>
      <c r="I524" s="546"/>
      <c r="J524" s="542" t="s">
        <v>806</v>
      </c>
      <c r="K524" s="547">
        <v>8400</v>
      </c>
      <c r="L524" s="542" t="s">
        <v>806</v>
      </c>
      <c r="M524" s="548"/>
      <c r="N524" s="549">
        <v>-92</v>
      </c>
      <c r="O524" s="544" t="s">
        <v>1674</v>
      </c>
      <c r="P524" s="544" t="s">
        <v>1674</v>
      </c>
      <c r="Q524" s="544" t="s">
        <v>2839</v>
      </c>
      <c r="R524" s="544" t="s">
        <v>1674</v>
      </c>
      <c r="S524" s="544" t="s">
        <v>1674</v>
      </c>
      <c r="T524" s="550">
        <v>19</v>
      </c>
      <c r="U524" s="544" t="s">
        <v>3320</v>
      </c>
      <c r="V524" s="547">
        <v>1802</v>
      </c>
      <c r="W524" s="548"/>
      <c r="Y524" s="544" t="s">
        <v>1674</v>
      </c>
      <c r="AA524" s="544" t="s">
        <v>1674</v>
      </c>
      <c r="AE524" s="551"/>
      <c r="AF524" s="544" t="s">
        <v>1674</v>
      </c>
      <c r="AG524" s="544" t="s">
        <v>1674</v>
      </c>
      <c r="AH524" s="544" t="s">
        <v>1674</v>
      </c>
      <c r="AI524" s="544" t="s">
        <v>1674</v>
      </c>
      <c r="AJ524" s="544" t="s">
        <v>1674</v>
      </c>
      <c r="AK524" s="544" t="s">
        <v>1674</v>
      </c>
      <c r="AL524" s="544" t="s">
        <v>1674</v>
      </c>
      <c r="AM524" s="544" t="s">
        <v>2836</v>
      </c>
      <c r="AN524" s="544" t="s">
        <v>1674</v>
      </c>
      <c r="AP524" s="542">
        <f t="shared" si="16"/>
        <v>-31</v>
      </c>
      <c r="AR524" s="552">
        <f t="shared" si="17"/>
        <v>0</v>
      </c>
    </row>
    <row r="525" spans="1:44" outlineLevel="1" x14ac:dyDescent="0.25">
      <c r="A525" s="544" t="s">
        <v>1674</v>
      </c>
      <c r="B525" s="545">
        <v>0</v>
      </c>
      <c r="C525" s="544" t="s">
        <v>1674</v>
      </c>
      <c r="D525" s="544" t="s">
        <v>3604</v>
      </c>
      <c r="E525" s="542" t="s">
        <v>3318</v>
      </c>
      <c r="F525" s="542" t="s">
        <v>3603</v>
      </c>
      <c r="G525" s="546">
        <v>199.92</v>
      </c>
      <c r="H525" s="546"/>
      <c r="I525" s="546">
        <v>4613.04</v>
      </c>
      <c r="J525" s="542" t="s">
        <v>2701</v>
      </c>
      <c r="K525" s="547">
        <v>8400</v>
      </c>
      <c r="L525" s="542" t="s">
        <v>806</v>
      </c>
      <c r="M525" s="548"/>
      <c r="N525" s="549">
        <v>-92</v>
      </c>
      <c r="O525" s="544" t="s">
        <v>1674</v>
      </c>
      <c r="P525" s="544" t="s">
        <v>1674</v>
      </c>
      <c r="Q525" s="544" t="s">
        <v>2839</v>
      </c>
      <c r="R525" s="544" t="s">
        <v>2622</v>
      </c>
      <c r="S525" s="544" t="s">
        <v>1674</v>
      </c>
      <c r="T525" s="550">
        <v>19</v>
      </c>
      <c r="U525" s="544" t="s">
        <v>3320</v>
      </c>
      <c r="V525" s="547">
        <v>1803</v>
      </c>
      <c r="W525" s="548"/>
      <c r="Y525" s="544" t="s">
        <v>1674</v>
      </c>
      <c r="AA525" s="544" t="s">
        <v>1674</v>
      </c>
      <c r="AE525" s="551"/>
      <c r="AF525" s="544" t="s">
        <v>1674</v>
      </c>
      <c r="AG525" s="544" t="s">
        <v>1674</v>
      </c>
      <c r="AH525" s="544" t="s">
        <v>1674</v>
      </c>
      <c r="AI525" s="544" t="s">
        <v>1674</v>
      </c>
      <c r="AJ525" s="544" t="s">
        <v>1674</v>
      </c>
      <c r="AK525" s="544" t="s">
        <v>1674</v>
      </c>
      <c r="AL525" s="544" t="s">
        <v>1674</v>
      </c>
      <c r="AM525" s="544" t="s">
        <v>1674</v>
      </c>
      <c r="AN525" s="544" t="s">
        <v>1674</v>
      </c>
      <c r="AP525" s="542">
        <f t="shared" si="16"/>
        <v>-31</v>
      </c>
      <c r="AR525" s="552">
        <f t="shared" si="17"/>
        <v>4613.04</v>
      </c>
    </row>
    <row r="526" spans="1:44" outlineLevel="1" x14ac:dyDescent="0.25">
      <c r="A526" s="544" t="s">
        <v>1674</v>
      </c>
      <c r="B526" s="545">
        <v>11300</v>
      </c>
      <c r="C526" s="544" t="s">
        <v>3550</v>
      </c>
      <c r="D526" s="544" t="s">
        <v>3605</v>
      </c>
      <c r="E526" s="542" t="s">
        <v>3318</v>
      </c>
      <c r="F526" s="542" t="s">
        <v>3603</v>
      </c>
      <c r="G526" s="546">
        <v>260.31</v>
      </c>
      <c r="H526" s="546"/>
      <c r="I526" s="546"/>
      <c r="J526" s="542" t="s">
        <v>806</v>
      </c>
      <c r="K526" s="547">
        <v>8400</v>
      </c>
      <c r="L526" s="542" t="s">
        <v>806</v>
      </c>
      <c r="M526" s="548"/>
      <c r="N526" s="549">
        <v>-92</v>
      </c>
      <c r="O526" s="544" t="s">
        <v>1674</v>
      </c>
      <c r="P526" s="544" t="s">
        <v>1674</v>
      </c>
      <c r="Q526" s="544" t="s">
        <v>3606</v>
      </c>
      <c r="R526" s="544" t="s">
        <v>2617</v>
      </c>
      <c r="S526" s="544" t="s">
        <v>1674</v>
      </c>
      <c r="T526" s="550">
        <v>19</v>
      </c>
      <c r="U526" s="544" t="s">
        <v>3320</v>
      </c>
      <c r="V526" s="547">
        <v>1792</v>
      </c>
      <c r="W526" s="548"/>
      <c r="Y526" s="544" t="s">
        <v>1674</v>
      </c>
      <c r="AA526" s="544" t="s">
        <v>1674</v>
      </c>
      <c r="AE526" s="551"/>
      <c r="AF526" s="544" t="s">
        <v>1674</v>
      </c>
      <c r="AG526" s="544" t="s">
        <v>1674</v>
      </c>
      <c r="AH526" s="544" t="s">
        <v>1674</v>
      </c>
      <c r="AI526" s="544" t="s">
        <v>1674</v>
      </c>
      <c r="AJ526" s="544" t="s">
        <v>1674</v>
      </c>
      <c r="AK526" s="544" t="s">
        <v>1674</v>
      </c>
      <c r="AL526" s="544" t="s">
        <v>1674</v>
      </c>
      <c r="AM526" s="544" t="s">
        <v>3550</v>
      </c>
      <c r="AN526" s="544" t="s">
        <v>1674</v>
      </c>
      <c r="AP526" s="542">
        <f t="shared" si="16"/>
        <v>-31</v>
      </c>
      <c r="AR526" s="552">
        <f t="shared" si="17"/>
        <v>0</v>
      </c>
    </row>
    <row r="527" spans="1:44" outlineLevel="1" x14ac:dyDescent="0.25">
      <c r="A527" s="544" t="s">
        <v>1674</v>
      </c>
      <c r="B527" s="545">
        <v>0</v>
      </c>
      <c r="C527" s="544" t="s">
        <v>1674</v>
      </c>
      <c r="D527" s="544" t="s">
        <v>3605</v>
      </c>
      <c r="E527" s="542" t="s">
        <v>3318</v>
      </c>
      <c r="F527" s="542" t="s">
        <v>3603</v>
      </c>
      <c r="G527" s="546">
        <v>7.14</v>
      </c>
      <c r="H527" s="546"/>
      <c r="I527" s="546">
        <v>267.45</v>
      </c>
      <c r="J527" s="542" t="s">
        <v>2701</v>
      </c>
      <c r="K527" s="547">
        <v>8400</v>
      </c>
      <c r="L527" s="542" t="s">
        <v>806</v>
      </c>
      <c r="M527" s="548"/>
      <c r="N527" s="549">
        <v>-92</v>
      </c>
      <c r="O527" s="544" t="s">
        <v>1674</v>
      </c>
      <c r="P527" s="544" t="s">
        <v>1674</v>
      </c>
      <c r="Q527" s="544" t="s">
        <v>3607</v>
      </c>
      <c r="R527" s="544" t="s">
        <v>1674</v>
      </c>
      <c r="S527" s="544" t="s">
        <v>1674</v>
      </c>
      <c r="T527" s="550">
        <v>19</v>
      </c>
      <c r="U527" s="544" t="s">
        <v>3320</v>
      </c>
      <c r="V527" s="547">
        <v>1793</v>
      </c>
      <c r="W527" s="548"/>
      <c r="Y527" s="544" t="s">
        <v>1674</v>
      </c>
      <c r="AA527" s="544" t="s">
        <v>1674</v>
      </c>
      <c r="AE527" s="551"/>
      <c r="AF527" s="544" t="s">
        <v>1674</v>
      </c>
      <c r="AG527" s="544" t="s">
        <v>1674</v>
      </c>
      <c r="AH527" s="544" t="s">
        <v>1674</v>
      </c>
      <c r="AI527" s="544" t="s">
        <v>1674</v>
      </c>
      <c r="AJ527" s="544" t="s">
        <v>1674</v>
      </c>
      <c r="AK527" s="544" t="s">
        <v>1674</v>
      </c>
      <c r="AL527" s="544" t="s">
        <v>1674</v>
      </c>
      <c r="AM527" s="544" t="s">
        <v>1674</v>
      </c>
      <c r="AN527" s="544" t="s">
        <v>1674</v>
      </c>
      <c r="AP527" s="542">
        <f t="shared" si="16"/>
        <v>-31</v>
      </c>
      <c r="AR527" s="552">
        <f t="shared" si="17"/>
        <v>267.45</v>
      </c>
    </row>
    <row r="528" spans="1:44" outlineLevel="1" x14ac:dyDescent="0.25">
      <c r="A528" s="544" t="s">
        <v>1674</v>
      </c>
      <c r="B528" s="545">
        <v>11600</v>
      </c>
      <c r="C528" s="544" t="s">
        <v>2782</v>
      </c>
      <c r="D528" s="544" t="s">
        <v>3608</v>
      </c>
      <c r="E528" s="542" t="s">
        <v>3318</v>
      </c>
      <c r="F528" s="542" t="s">
        <v>3603</v>
      </c>
      <c r="G528" s="546">
        <v>8.43</v>
      </c>
      <c r="H528" s="546"/>
      <c r="I528" s="546"/>
      <c r="J528" s="542" t="s">
        <v>806</v>
      </c>
      <c r="K528" s="547">
        <v>8400</v>
      </c>
      <c r="L528" s="542" t="s">
        <v>806</v>
      </c>
      <c r="M528" s="548"/>
      <c r="N528" s="549">
        <v>-92</v>
      </c>
      <c r="O528" s="544" t="s">
        <v>1674</v>
      </c>
      <c r="P528" s="544" t="s">
        <v>1674</v>
      </c>
      <c r="Q528" s="544" t="s">
        <v>2786</v>
      </c>
      <c r="R528" s="544" t="s">
        <v>2617</v>
      </c>
      <c r="S528" s="544" t="s">
        <v>1674</v>
      </c>
      <c r="T528" s="550">
        <v>19</v>
      </c>
      <c r="U528" s="544" t="s">
        <v>3320</v>
      </c>
      <c r="V528" s="547">
        <v>1810</v>
      </c>
      <c r="W528" s="548"/>
      <c r="Y528" s="544" t="s">
        <v>1674</v>
      </c>
      <c r="AA528" s="544" t="s">
        <v>1674</v>
      </c>
      <c r="AE528" s="551"/>
      <c r="AF528" s="544" t="s">
        <v>1674</v>
      </c>
      <c r="AG528" s="544" t="s">
        <v>1674</v>
      </c>
      <c r="AH528" s="544" t="s">
        <v>1674</v>
      </c>
      <c r="AI528" s="544" t="s">
        <v>1674</v>
      </c>
      <c r="AJ528" s="544" t="s">
        <v>1674</v>
      </c>
      <c r="AK528" s="544" t="s">
        <v>1674</v>
      </c>
      <c r="AL528" s="544" t="s">
        <v>1674</v>
      </c>
      <c r="AM528" s="544" t="s">
        <v>2782</v>
      </c>
      <c r="AN528" s="544" t="s">
        <v>1674</v>
      </c>
      <c r="AP528" s="542">
        <f t="shared" si="16"/>
        <v>-31</v>
      </c>
      <c r="AR528" s="552">
        <f t="shared" si="17"/>
        <v>0</v>
      </c>
    </row>
    <row r="529" spans="1:44" outlineLevel="1" x14ac:dyDescent="0.25">
      <c r="A529" s="544" t="s">
        <v>1674</v>
      </c>
      <c r="B529" s="545">
        <v>0</v>
      </c>
      <c r="C529" s="544" t="s">
        <v>1674</v>
      </c>
      <c r="D529" s="544" t="s">
        <v>3608</v>
      </c>
      <c r="E529" s="542" t="s">
        <v>3318</v>
      </c>
      <c r="F529" s="542" t="s">
        <v>3603</v>
      </c>
      <c r="G529" s="546">
        <v>6381.87</v>
      </c>
      <c r="H529" s="546"/>
      <c r="I529" s="546">
        <v>6390.3</v>
      </c>
      <c r="J529" s="542" t="s">
        <v>2701</v>
      </c>
      <c r="K529" s="547">
        <v>8401</v>
      </c>
      <c r="L529" s="542" t="s">
        <v>806</v>
      </c>
      <c r="M529" s="548"/>
      <c r="N529" s="549">
        <v>-92</v>
      </c>
      <c r="O529" s="544" t="s">
        <v>1674</v>
      </c>
      <c r="P529" s="544" t="s">
        <v>1674</v>
      </c>
      <c r="Q529" s="544" t="s">
        <v>2786</v>
      </c>
      <c r="R529" s="544" t="s">
        <v>1674</v>
      </c>
      <c r="S529" s="544" t="s">
        <v>1674</v>
      </c>
      <c r="T529" s="550">
        <v>19</v>
      </c>
      <c r="U529" s="544" t="s">
        <v>3320</v>
      </c>
      <c r="V529" s="547">
        <v>1811</v>
      </c>
      <c r="W529" s="548"/>
      <c r="Y529" s="544" t="s">
        <v>1674</v>
      </c>
      <c r="AA529" s="544" t="s">
        <v>1674</v>
      </c>
      <c r="AE529" s="551"/>
      <c r="AF529" s="544" t="s">
        <v>1674</v>
      </c>
      <c r="AG529" s="544" t="s">
        <v>1674</v>
      </c>
      <c r="AH529" s="544" t="s">
        <v>1674</v>
      </c>
      <c r="AI529" s="544" t="s">
        <v>1674</v>
      </c>
      <c r="AJ529" s="544" t="s">
        <v>1674</v>
      </c>
      <c r="AK529" s="544" t="s">
        <v>1674</v>
      </c>
      <c r="AL529" s="544" t="s">
        <v>1674</v>
      </c>
      <c r="AM529" s="544" t="s">
        <v>1674</v>
      </c>
      <c r="AN529" s="544" t="s">
        <v>1674</v>
      </c>
      <c r="AP529" s="542">
        <f t="shared" si="16"/>
        <v>-31</v>
      </c>
      <c r="AR529" s="552">
        <f t="shared" si="17"/>
        <v>6390.3</v>
      </c>
    </row>
    <row r="530" spans="1:44" outlineLevel="1" x14ac:dyDescent="0.25">
      <c r="A530" s="544" t="s">
        <v>1674</v>
      </c>
      <c r="B530" s="545">
        <v>10700</v>
      </c>
      <c r="C530" s="544" t="s">
        <v>2836</v>
      </c>
      <c r="D530" s="544" t="s">
        <v>3609</v>
      </c>
      <c r="E530" s="542" t="s">
        <v>3324</v>
      </c>
      <c r="F530" s="542" t="s">
        <v>3610</v>
      </c>
      <c r="G530" s="546">
        <v>966.28</v>
      </c>
      <c r="H530" s="546"/>
      <c r="I530" s="546">
        <v>966.28</v>
      </c>
      <c r="J530" s="542" t="s">
        <v>2701</v>
      </c>
      <c r="K530" s="547">
        <v>8400</v>
      </c>
      <c r="L530" s="542" t="s">
        <v>806</v>
      </c>
      <c r="M530" s="548"/>
      <c r="N530" s="549">
        <v>-91</v>
      </c>
      <c r="O530" s="544" t="s">
        <v>1674</v>
      </c>
      <c r="P530" s="544" t="s">
        <v>1674</v>
      </c>
      <c r="Q530" s="544" t="s">
        <v>2839</v>
      </c>
      <c r="R530" s="544" t="s">
        <v>1674</v>
      </c>
      <c r="S530" s="544" t="s">
        <v>1674</v>
      </c>
      <c r="T530" s="550">
        <v>19</v>
      </c>
      <c r="U530" s="544" t="s">
        <v>3323</v>
      </c>
      <c r="V530" s="547">
        <v>121</v>
      </c>
      <c r="W530" s="548"/>
      <c r="Y530" s="544" t="s">
        <v>1674</v>
      </c>
      <c r="AA530" s="544" t="s">
        <v>1674</v>
      </c>
      <c r="AE530" s="551"/>
      <c r="AF530" s="544" t="s">
        <v>1674</v>
      </c>
      <c r="AG530" s="544" t="s">
        <v>1674</v>
      </c>
      <c r="AH530" s="544" t="s">
        <v>1674</v>
      </c>
      <c r="AI530" s="544" t="s">
        <v>1674</v>
      </c>
      <c r="AJ530" s="544" t="s">
        <v>1674</v>
      </c>
      <c r="AK530" s="544" t="s">
        <v>1674</v>
      </c>
      <c r="AL530" s="544" t="s">
        <v>1674</v>
      </c>
      <c r="AM530" s="544" t="s">
        <v>2836</v>
      </c>
      <c r="AN530" s="544" t="s">
        <v>1674</v>
      </c>
      <c r="AP530" s="542">
        <f t="shared" si="16"/>
        <v>-30</v>
      </c>
      <c r="AR530" s="552">
        <f t="shared" si="17"/>
        <v>966.28</v>
      </c>
    </row>
    <row r="531" spans="1:44" outlineLevel="1" x14ac:dyDescent="0.25">
      <c r="A531" s="544" t="s">
        <v>1674</v>
      </c>
      <c r="B531" s="545">
        <v>20301</v>
      </c>
      <c r="C531" s="544" t="s">
        <v>2981</v>
      </c>
      <c r="D531" s="544" t="s">
        <v>3611</v>
      </c>
      <c r="E531" s="542" t="s">
        <v>3612</v>
      </c>
      <c r="F531" s="542" t="s">
        <v>3613</v>
      </c>
      <c r="G531" s="546">
        <v>1305</v>
      </c>
      <c r="H531" s="546"/>
      <c r="I531" s="546"/>
      <c r="J531" s="542" t="s">
        <v>806</v>
      </c>
      <c r="K531" s="547">
        <v>8125</v>
      </c>
      <c r="L531" s="542" t="s">
        <v>806</v>
      </c>
      <c r="M531" s="548"/>
      <c r="N531" s="549">
        <v>-87</v>
      </c>
      <c r="O531" s="544" t="s">
        <v>1674</v>
      </c>
      <c r="P531" s="544" t="s">
        <v>1674</v>
      </c>
      <c r="Q531" s="544" t="s">
        <v>2983</v>
      </c>
      <c r="R531" s="544" t="s">
        <v>2984</v>
      </c>
      <c r="S531" s="544" t="s">
        <v>1674</v>
      </c>
      <c r="T531" s="550"/>
      <c r="U531" s="544" t="s">
        <v>3323</v>
      </c>
      <c r="V531" s="547">
        <v>274</v>
      </c>
      <c r="W531" s="548"/>
      <c r="Y531" s="544" t="s">
        <v>1674</v>
      </c>
      <c r="AA531" s="544" t="s">
        <v>1674</v>
      </c>
      <c r="AE531" s="551"/>
      <c r="AF531" s="544" t="s">
        <v>1674</v>
      </c>
      <c r="AG531" s="544" t="s">
        <v>1674</v>
      </c>
      <c r="AH531" s="544" t="s">
        <v>1674</v>
      </c>
      <c r="AI531" s="544" t="s">
        <v>1674</v>
      </c>
      <c r="AJ531" s="544" t="s">
        <v>1674</v>
      </c>
      <c r="AK531" s="544" t="s">
        <v>1674</v>
      </c>
      <c r="AL531" s="544" t="s">
        <v>1674</v>
      </c>
      <c r="AM531" s="544" t="s">
        <v>2985</v>
      </c>
      <c r="AN531" s="544" t="s">
        <v>1674</v>
      </c>
      <c r="AP531" s="542">
        <f t="shared" si="16"/>
        <v>-26</v>
      </c>
      <c r="AR531" s="552">
        <f t="shared" si="17"/>
        <v>0</v>
      </c>
    </row>
    <row r="532" spans="1:44" outlineLevel="1" x14ac:dyDescent="0.25">
      <c r="A532" s="544" t="s">
        <v>1674</v>
      </c>
      <c r="B532" s="545">
        <v>0</v>
      </c>
      <c r="C532" s="544" t="s">
        <v>1674</v>
      </c>
      <c r="D532" s="544" t="s">
        <v>3611</v>
      </c>
      <c r="E532" s="542" t="s">
        <v>3612</v>
      </c>
      <c r="F532" s="542" t="s">
        <v>3613</v>
      </c>
      <c r="G532" s="546">
        <v>175</v>
      </c>
      <c r="H532" s="546"/>
      <c r="I532" s="546">
        <v>1480</v>
      </c>
      <c r="J532" s="542" t="s">
        <v>2701</v>
      </c>
      <c r="K532" s="547">
        <v>8125</v>
      </c>
      <c r="L532" s="542" t="s">
        <v>806</v>
      </c>
      <c r="M532" s="548"/>
      <c r="N532" s="549">
        <v>-87</v>
      </c>
      <c r="O532" s="544" t="s">
        <v>1674</v>
      </c>
      <c r="P532" s="544" t="s">
        <v>1674</v>
      </c>
      <c r="Q532" s="544" t="s">
        <v>2986</v>
      </c>
      <c r="R532" s="544" t="s">
        <v>1674</v>
      </c>
      <c r="S532" s="544" t="s">
        <v>1674</v>
      </c>
      <c r="T532" s="550"/>
      <c r="U532" s="544" t="s">
        <v>3323</v>
      </c>
      <c r="V532" s="547">
        <v>275</v>
      </c>
      <c r="W532" s="548"/>
      <c r="Y532" s="544" t="s">
        <v>1674</v>
      </c>
      <c r="AA532" s="544" t="s">
        <v>1674</v>
      </c>
      <c r="AE532" s="551"/>
      <c r="AF532" s="544" t="s">
        <v>1674</v>
      </c>
      <c r="AG532" s="544" t="s">
        <v>1674</v>
      </c>
      <c r="AH532" s="544" t="s">
        <v>1674</v>
      </c>
      <c r="AI532" s="544" t="s">
        <v>1674</v>
      </c>
      <c r="AJ532" s="544" t="s">
        <v>1674</v>
      </c>
      <c r="AK532" s="544" t="s">
        <v>1674</v>
      </c>
      <c r="AL532" s="544" t="s">
        <v>1674</v>
      </c>
      <c r="AM532" s="544" t="s">
        <v>1674</v>
      </c>
      <c r="AN532" s="544" t="s">
        <v>1674</v>
      </c>
      <c r="AP532" s="542">
        <f t="shared" si="16"/>
        <v>-26</v>
      </c>
      <c r="AR532" s="552">
        <f>IF(J532="S",+I532,-I532)</f>
        <v>1480</v>
      </c>
    </row>
    <row r="533" spans="1:44" outlineLevel="1" x14ac:dyDescent="0.25">
      <c r="A533" s="544" t="s">
        <v>1674</v>
      </c>
      <c r="B533" s="545">
        <v>10200</v>
      </c>
      <c r="C533" s="544" t="s">
        <v>2774</v>
      </c>
      <c r="D533" s="544" t="s">
        <v>3614</v>
      </c>
      <c r="E533" s="542" t="s">
        <v>3615</v>
      </c>
      <c r="F533" s="542" t="s">
        <v>3616</v>
      </c>
      <c r="G533" s="546">
        <v>595</v>
      </c>
      <c r="H533" s="546"/>
      <c r="I533" s="546">
        <v>595</v>
      </c>
      <c r="J533" s="542" t="s">
        <v>2701</v>
      </c>
      <c r="K533" s="547">
        <v>8404</v>
      </c>
      <c r="L533" s="542" t="s">
        <v>806</v>
      </c>
      <c r="M533" s="548"/>
      <c r="N533" s="549">
        <v>-86</v>
      </c>
      <c r="O533" s="544" t="s">
        <v>1674</v>
      </c>
      <c r="P533" s="544" t="s">
        <v>1674</v>
      </c>
      <c r="Q533" s="544" t="s">
        <v>3588</v>
      </c>
      <c r="R533" s="544" t="s">
        <v>1674</v>
      </c>
      <c r="S533" s="544" t="s">
        <v>1674</v>
      </c>
      <c r="T533" s="550">
        <v>19</v>
      </c>
      <c r="U533" s="544" t="s">
        <v>3323</v>
      </c>
      <c r="V533" s="547">
        <v>331</v>
      </c>
      <c r="W533" s="548"/>
      <c r="Y533" s="544" t="s">
        <v>1674</v>
      </c>
      <c r="AA533" s="544" t="s">
        <v>1674</v>
      </c>
      <c r="AE533" s="551"/>
      <c r="AF533" s="544" t="s">
        <v>1674</v>
      </c>
      <c r="AG533" s="544" t="s">
        <v>1674</v>
      </c>
      <c r="AH533" s="544" t="s">
        <v>1674</v>
      </c>
      <c r="AI533" s="544" t="s">
        <v>1674</v>
      </c>
      <c r="AJ533" s="544" t="s">
        <v>1674</v>
      </c>
      <c r="AK533" s="544" t="s">
        <v>1674</v>
      </c>
      <c r="AL533" s="544" t="s">
        <v>1674</v>
      </c>
      <c r="AM533" s="544" t="s">
        <v>2774</v>
      </c>
      <c r="AN533" s="544" t="s">
        <v>1674</v>
      </c>
      <c r="AP533" s="542">
        <f t="shared" si="16"/>
        <v>-25</v>
      </c>
      <c r="AR533" s="552">
        <f t="shared" ref="AR533:AR596" si="18">IF(J533="S",+I533,-I533)</f>
        <v>595</v>
      </c>
    </row>
    <row r="534" spans="1:44" outlineLevel="1" x14ac:dyDescent="0.25">
      <c r="A534" s="544" t="s">
        <v>1674</v>
      </c>
      <c r="B534" s="545">
        <v>30803</v>
      </c>
      <c r="C534" s="544" t="s">
        <v>2925</v>
      </c>
      <c r="D534" s="544" t="s">
        <v>3617</v>
      </c>
      <c r="E534" s="542" t="s">
        <v>3615</v>
      </c>
      <c r="F534" s="542" t="s">
        <v>3616</v>
      </c>
      <c r="G534" s="546">
        <v>1539.86</v>
      </c>
      <c r="H534" s="546"/>
      <c r="I534" s="546">
        <v>1539.86</v>
      </c>
      <c r="J534" s="542" t="s">
        <v>2701</v>
      </c>
      <c r="K534" s="547">
        <v>8400</v>
      </c>
      <c r="L534" s="542" t="s">
        <v>806</v>
      </c>
      <c r="M534" s="548"/>
      <c r="N534" s="549">
        <v>-86</v>
      </c>
      <c r="O534" s="544" t="s">
        <v>1674</v>
      </c>
      <c r="P534" s="544" t="s">
        <v>1674</v>
      </c>
      <c r="Q534" s="544" t="s">
        <v>3030</v>
      </c>
      <c r="R534" s="544" t="s">
        <v>1674</v>
      </c>
      <c r="S534" s="544" t="s">
        <v>1674</v>
      </c>
      <c r="T534" s="550">
        <v>19</v>
      </c>
      <c r="U534" s="544" t="s">
        <v>3323</v>
      </c>
      <c r="V534" s="547">
        <v>323</v>
      </c>
      <c r="W534" s="548"/>
      <c r="Y534" s="544" t="s">
        <v>1674</v>
      </c>
      <c r="AA534" s="544" t="s">
        <v>1674</v>
      </c>
      <c r="AE534" s="551"/>
      <c r="AF534" s="544" t="s">
        <v>1674</v>
      </c>
      <c r="AG534" s="544" t="s">
        <v>1674</v>
      </c>
      <c r="AH534" s="544" t="s">
        <v>1674</v>
      </c>
      <c r="AI534" s="544" t="s">
        <v>1674</v>
      </c>
      <c r="AJ534" s="544" t="s">
        <v>1674</v>
      </c>
      <c r="AK534" s="544" t="s">
        <v>1674</v>
      </c>
      <c r="AL534" s="544" t="s">
        <v>1674</v>
      </c>
      <c r="AM534" s="544" t="s">
        <v>2928</v>
      </c>
      <c r="AN534" s="544" t="s">
        <v>1674</v>
      </c>
      <c r="AP534" s="542">
        <f t="shared" si="16"/>
        <v>-25</v>
      </c>
      <c r="AR534" s="552">
        <f t="shared" si="18"/>
        <v>1539.86</v>
      </c>
    </row>
    <row r="535" spans="1:44" outlineLevel="1" x14ac:dyDescent="0.25">
      <c r="A535" s="544" t="s">
        <v>1674</v>
      </c>
      <c r="B535" s="545">
        <v>0</v>
      </c>
      <c r="C535" s="544" t="s">
        <v>1674</v>
      </c>
      <c r="D535" s="544" t="s">
        <v>3618</v>
      </c>
      <c r="E535" s="542" t="s">
        <v>3619</v>
      </c>
      <c r="F535" s="542" t="s">
        <v>3620</v>
      </c>
      <c r="G535" s="546">
        <v>12548.55</v>
      </c>
      <c r="H535" s="546"/>
      <c r="I535" s="546">
        <v>12548.55</v>
      </c>
      <c r="J535" s="542" t="s">
        <v>2701</v>
      </c>
      <c r="K535" s="547">
        <v>8400</v>
      </c>
      <c r="L535" s="542" t="s">
        <v>806</v>
      </c>
      <c r="M535" s="548"/>
      <c r="N535" s="549">
        <v>-85</v>
      </c>
      <c r="O535" s="544" t="s">
        <v>1674</v>
      </c>
      <c r="P535" s="544" t="s">
        <v>1674</v>
      </c>
      <c r="Q535" s="544" t="s">
        <v>3030</v>
      </c>
      <c r="R535" s="544" t="s">
        <v>1674</v>
      </c>
      <c r="S535" s="544" t="s">
        <v>1674</v>
      </c>
      <c r="T535" s="550">
        <v>19</v>
      </c>
      <c r="U535" s="544" t="s">
        <v>3323</v>
      </c>
      <c r="V535" s="547">
        <v>399</v>
      </c>
      <c r="W535" s="548"/>
      <c r="Y535" s="544" t="s">
        <v>1674</v>
      </c>
      <c r="AA535" s="544" t="s">
        <v>1674</v>
      </c>
      <c r="AE535" s="551"/>
      <c r="AF535" s="544" t="s">
        <v>1674</v>
      </c>
      <c r="AG535" s="544" t="s">
        <v>1674</v>
      </c>
      <c r="AH535" s="544" t="s">
        <v>1674</v>
      </c>
      <c r="AI535" s="544" t="s">
        <v>1674</v>
      </c>
      <c r="AJ535" s="544" t="s">
        <v>1674</v>
      </c>
      <c r="AK535" s="544" t="s">
        <v>1674</v>
      </c>
      <c r="AL535" s="544" t="s">
        <v>1674</v>
      </c>
      <c r="AM535" s="544" t="s">
        <v>1674</v>
      </c>
      <c r="AN535" s="544" t="s">
        <v>1674</v>
      </c>
      <c r="AP535" s="542">
        <f t="shared" si="16"/>
        <v>-24</v>
      </c>
      <c r="AR535" s="552">
        <f t="shared" si="18"/>
        <v>12548.55</v>
      </c>
    </row>
    <row r="536" spans="1:44" outlineLevel="1" x14ac:dyDescent="0.25">
      <c r="A536" s="544" t="s">
        <v>1674</v>
      </c>
      <c r="B536" s="545">
        <v>10409</v>
      </c>
      <c r="C536" s="544" t="s">
        <v>3445</v>
      </c>
      <c r="D536" s="544" t="s">
        <v>3621</v>
      </c>
      <c r="E536" s="542" t="s">
        <v>3622</v>
      </c>
      <c r="F536" s="542" t="s">
        <v>3623</v>
      </c>
      <c r="G536" s="546">
        <v>854.42</v>
      </c>
      <c r="H536" s="546"/>
      <c r="I536" s="546"/>
      <c r="J536" s="542" t="s">
        <v>806</v>
      </c>
      <c r="K536" s="547">
        <v>8400</v>
      </c>
      <c r="L536" s="542" t="s">
        <v>806</v>
      </c>
      <c r="M536" s="548"/>
      <c r="N536" s="549">
        <v>-84</v>
      </c>
      <c r="O536" s="544" t="s">
        <v>1674</v>
      </c>
      <c r="P536" s="544" t="s">
        <v>1674</v>
      </c>
      <c r="Q536" s="544" t="s">
        <v>3448</v>
      </c>
      <c r="R536" s="544" t="s">
        <v>1674</v>
      </c>
      <c r="S536" s="544" t="s">
        <v>1674</v>
      </c>
      <c r="T536" s="550">
        <v>19</v>
      </c>
      <c r="U536" s="544" t="s">
        <v>3323</v>
      </c>
      <c r="V536" s="547">
        <v>473</v>
      </c>
      <c r="W536" s="548"/>
      <c r="Y536" s="544" t="s">
        <v>1674</v>
      </c>
      <c r="AA536" s="544" t="s">
        <v>1674</v>
      </c>
      <c r="AE536" s="551"/>
      <c r="AF536" s="544" t="s">
        <v>1674</v>
      </c>
      <c r="AG536" s="544" t="s">
        <v>1674</v>
      </c>
      <c r="AH536" s="544" t="s">
        <v>1674</v>
      </c>
      <c r="AI536" s="544" t="s">
        <v>1674</v>
      </c>
      <c r="AJ536" s="544" t="s">
        <v>1674</v>
      </c>
      <c r="AK536" s="544" t="s">
        <v>1674</v>
      </c>
      <c r="AL536" s="544" t="s">
        <v>1674</v>
      </c>
      <c r="AM536" s="544" t="s">
        <v>3449</v>
      </c>
      <c r="AN536" s="544" t="s">
        <v>1674</v>
      </c>
      <c r="AP536" s="542">
        <f t="shared" si="16"/>
        <v>-23</v>
      </c>
      <c r="AR536" s="552">
        <f t="shared" si="18"/>
        <v>0</v>
      </c>
    </row>
    <row r="537" spans="1:44" outlineLevel="1" x14ac:dyDescent="0.25">
      <c r="A537" s="544" t="s">
        <v>1674</v>
      </c>
      <c r="B537" s="545">
        <v>0</v>
      </c>
      <c r="C537" s="544" t="s">
        <v>1674</v>
      </c>
      <c r="D537" s="544" t="s">
        <v>3621</v>
      </c>
      <c r="E537" s="542" t="s">
        <v>3622</v>
      </c>
      <c r="F537" s="542" t="s">
        <v>3623</v>
      </c>
      <c r="G537" s="546">
        <v>72.349999999999994</v>
      </c>
      <c r="H537" s="546"/>
      <c r="I537" s="546">
        <v>926.77</v>
      </c>
      <c r="J537" s="542" t="s">
        <v>2701</v>
      </c>
      <c r="K537" s="547">
        <v>8400</v>
      </c>
      <c r="L537" s="542" t="s">
        <v>806</v>
      </c>
      <c r="M537" s="548"/>
      <c r="N537" s="549">
        <v>-84</v>
      </c>
      <c r="O537" s="544" t="s">
        <v>1674</v>
      </c>
      <c r="P537" s="544" t="s">
        <v>1674</v>
      </c>
      <c r="Q537" s="544" t="s">
        <v>3448</v>
      </c>
      <c r="R537" s="544" t="s">
        <v>2622</v>
      </c>
      <c r="S537" s="544" t="s">
        <v>1674</v>
      </c>
      <c r="T537" s="550">
        <v>19</v>
      </c>
      <c r="U537" s="544" t="s">
        <v>3323</v>
      </c>
      <c r="V537" s="547">
        <v>474</v>
      </c>
      <c r="W537" s="548"/>
      <c r="Y537" s="544" t="s">
        <v>1674</v>
      </c>
      <c r="AA537" s="544" t="s">
        <v>1674</v>
      </c>
      <c r="AE537" s="551"/>
      <c r="AF537" s="544" t="s">
        <v>1674</v>
      </c>
      <c r="AG537" s="544" t="s">
        <v>1674</v>
      </c>
      <c r="AH537" s="544" t="s">
        <v>1674</v>
      </c>
      <c r="AI537" s="544" t="s">
        <v>1674</v>
      </c>
      <c r="AJ537" s="544" t="s">
        <v>1674</v>
      </c>
      <c r="AK537" s="544" t="s">
        <v>1674</v>
      </c>
      <c r="AL537" s="544" t="s">
        <v>1674</v>
      </c>
      <c r="AM537" s="544" t="s">
        <v>1674</v>
      </c>
      <c r="AN537" s="544" t="s">
        <v>1674</v>
      </c>
      <c r="AP537" s="542">
        <f t="shared" si="16"/>
        <v>-23</v>
      </c>
      <c r="AR537" s="552">
        <f t="shared" si="18"/>
        <v>926.77</v>
      </c>
    </row>
    <row r="538" spans="1:44" outlineLevel="1" x14ac:dyDescent="0.25">
      <c r="A538" s="544" t="s">
        <v>1674</v>
      </c>
      <c r="B538" s="545">
        <v>31901</v>
      </c>
      <c r="C538" s="544" t="s">
        <v>2894</v>
      </c>
      <c r="D538" s="544" t="s">
        <v>3624</v>
      </c>
      <c r="E538" s="542" t="s">
        <v>3622</v>
      </c>
      <c r="F538" s="542" t="s">
        <v>3625</v>
      </c>
      <c r="G538" s="546">
        <v>51487.25</v>
      </c>
      <c r="H538" s="546"/>
      <c r="I538" s="546">
        <v>51487.25</v>
      </c>
      <c r="J538" s="542" t="s">
        <v>2701</v>
      </c>
      <c r="K538" s="547">
        <v>8400</v>
      </c>
      <c r="L538" s="542" t="s">
        <v>806</v>
      </c>
      <c r="M538" s="548"/>
      <c r="N538" s="549">
        <v>-74</v>
      </c>
      <c r="O538" s="544" t="s">
        <v>1674</v>
      </c>
      <c r="P538" s="544" t="s">
        <v>1674</v>
      </c>
      <c r="Q538" s="544" t="s">
        <v>2897</v>
      </c>
      <c r="R538" s="544" t="s">
        <v>2898</v>
      </c>
      <c r="S538" s="544" t="s">
        <v>1674</v>
      </c>
      <c r="T538" s="550">
        <v>19</v>
      </c>
      <c r="U538" s="544" t="s">
        <v>3323</v>
      </c>
      <c r="V538" s="547">
        <v>480</v>
      </c>
      <c r="W538" s="548"/>
      <c r="Y538" s="544" t="s">
        <v>1674</v>
      </c>
      <c r="AA538" s="544" t="s">
        <v>1674</v>
      </c>
      <c r="AE538" s="551"/>
      <c r="AF538" s="544" t="s">
        <v>1674</v>
      </c>
      <c r="AG538" s="544" t="s">
        <v>1674</v>
      </c>
      <c r="AH538" s="544" t="s">
        <v>1674</v>
      </c>
      <c r="AI538" s="544" t="s">
        <v>1674</v>
      </c>
      <c r="AJ538" s="544" t="s">
        <v>1674</v>
      </c>
      <c r="AK538" s="544" t="s">
        <v>1674</v>
      </c>
      <c r="AL538" s="544" t="s">
        <v>1674</v>
      </c>
      <c r="AM538" s="544" t="s">
        <v>2899</v>
      </c>
      <c r="AN538" s="544" t="s">
        <v>1674</v>
      </c>
      <c r="AP538" s="542">
        <f t="shared" si="16"/>
        <v>-13</v>
      </c>
      <c r="AR538" s="552">
        <f t="shared" si="18"/>
        <v>51487.25</v>
      </c>
    </row>
    <row r="539" spans="1:44" outlineLevel="1" x14ac:dyDescent="0.25">
      <c r="A539" s="544" t="s">
        <v>1674</v>
      </c>
      <c r="B539" s="545">
        <v>11106</v>
      </c>
      <c r="C539" s="544" t="s">
        <v>3024</v>
      </c>
      <c r="D539" s="544" t="s">
        <v>3626</v>
      </c>
      <c r="E539" s="542" t="s">
        <v>3627</v>
      </c>
      <c r="F539" s="542" t="s">
        <v>3628</v>
      </c>
      <c r="G539" s="546">
        <v>119.89</v>
      </c>
      <c r="H539" s="546"/>
      <c r="I539" s="546"/>
      <c r="J539" s="542" t="s">
        <v>806</v>
      </c>
      <c r="K539" s="547">
        <v>8400</v>
      </c>
      <c r="L539" s="542" t="s">
        <v>806</v>
      </c>
      <c r="M539" s="548"/>
      <c r="N539" s="549">
        <v>-81</v>
      </c>
      <c r="O539" s="544" t="s">
        <v>1674</v>
      </c>
      <c r="P539" s="544" t="s">
        <v>1674</v>
      </c>
      <c r="Q539" s="544" t="s">
        <v>3026</v>
      </c>
      <c r="R539" s="544" t="s">
        <v>1674</v>
      </c>
      <c r="S539" s="544" t="s">
        <v>1674</v>
      </c>
      <c r="T539" s="550">
        <v>19</v>
      </c>
      <c r="U539" s="544" t="s">
        <v>3323</v>
      </c>
      <c r="V539" s="547">
        <v>569</v>
      </c>
      <c r="W539" s="548"/>
      <c r="Y539" s="544" t="s">
        <v>1674</v>
      </c>
      <c r="AA539" s="544" t="s">
        <v>1674</v>
      </c>
      <c r="AE539" s="551"/>
      <c r="AF539" s="544" t="s">
        <v>1674</v>
      </c>
      <c r="AG539" s="544" t="s">
        <v>1674</v>
      </c>
      <c r="AH539" s="544" t="s">
        <v>1674</v>
      </c>
      <c r="AI539" s="544" t="s">
        <v>1674</v>
      </c>
      <c r="AJ539" s="544" t="s">
        <v>1674</v>
      </c>
      <c r="AK539" s="544" t="s">
        <v>1674</v>
      </c>
      <c r="AL539" s="544" t="s">
        <v>1674</v>
      </c>
      <c r="AM539" s="544" t="s">
        <v>3027</v>
      </c>
      <c r="AN539" s="544" t="s">
        <v>1674</v>
      </c>
      <c r="AP539" s="542">
        <f t="shared" si="16"/>
        <v>-20</v>
      </c>
      <c r="AR539" s="552">
        <f t="shared" si="18"/>
        <v>0</v>
      </c>
    </row>
    <row r="540" spans="1:44" outlineLevel="1" x14ac:dyDescent="0.25">
      <c r="A540" s="544" t="s">
        <v>1674</v>
      </c>
      <c r="B540" s="545">
        <v>0</v>
      </c>
      <c r="C540" s="544" t="s">
        <v>1674</v>
      </c>
      <c r="D540" s="544" t="s">
        <v>3626</v>
      </c>
      <c r="E540" s="542" t="s">
        <v>3627</v>
      </c>
      <c r="F540" s="542" t="s">
        <v>3628</v>
      </c>
      <c r="G540" s="546">
        <v>6.37</v>
      </c>
      <c r="H540" s="546"/>
      <c r="I540" s="546"/>
      <c r="J540" s="542" t="s">
        <v>806</v>
      </c>
      <c r="K540" s="547">
        <v>8400</v>
      </c>
      <c r="L540" s="542" t="s">
        <v>806</v>
      </c>
      <c r="M540" s="548"/>
      <c r="N540" s="549">
        <v>-81</v>
      </c>
      <c r="O540" s="544" t="s">
        <v>1674</v>
      </c>
      <c r="P540" s="544" t="s">
        <v>1674</v>
      </c>
      <c r="Q540" s="544" t="s">
        <v>3026</v>
      </c>
      <c r="R540" s="544" t="s">
        <v>2617</v>
      </c>
      <c r="S540" s="544" t="s">
        <v>1674</v>
      </c>
      <c r="T540" s="550">
        <v>19</v>
      </c>
      <c r="U540" s="544" t="s">
        <v>3323</v>
      </c>
      <c r="V540" s="547">
        <v>570</v>
      </c>
      <c r="W540" s="548"/>
      <c r="Y540" s="544" t="s">
        <v>1674</v>
      </c>
      <c r="AA540" s="544" t="s">
        <v>1674</v>
      </c>
      <c r="AE540" s="551"/>
      <c r="AF540" s="544" t="s">
        <v>1674</v>
      </c>
      <c r="AG540" s="544" t="s">
        <v>1674</v>
      </c>
      <c r="AH540" s="544" t="s">
        <v>1674</v>
      </c>
      <c r="AI540" s="544" t="s">
        <v>1674</v>
      </c>
      <c r="AJ540" s="544" t="s">
        <v>1674</v>
      </c>
      <c r="AK540" s="544" t="s">
        <v>1674</v>
      </c>
      <c r="AL540" s="544" t="s">
        <v>1674</v>
      </c>
      <c r="AM540" s="544" t="s">
        <v>1674</v>
      </c>
      <c r="AN540" s="544" t="s">
        <v>1674</v>
      </c>
      <c r="AP540" s="542">
        <f t="shared" si="16"/>
        <v>-20</v>
      </c>
      <c r="AR540" s="552">
        <f t="shared" si="18"/>
        <v>0</v>
      </c>
    </row>
    <row r="541" spans="1:44" outlineLevel="1" x14ac:dyDescent="0.25">
      <c r="A541" s="544" t="s">
        <v>1674</v>
      </c>
      <c r="B541" s="545">
        <v>0</v>
      </c>
      <c r="C541" s="544" t="s">
        <v>1674</v>
      </c>
      <c r="D541" s="544" t="s">
        <v>3626</v>
      </c>
      <c r="E541" s="542" t="s">
        <v>3627</v>
      </c>
      <c r="F541" s="542" t="s">
        <v>3628</v>
      </c>
      <c r="G541" s="546">
        <v>2258.5</v>
      </c>
      <c r="H541" s="546"/>
      <c r="I541" s="546">
        <v>2384.7600000000002</v>
      </c>
      <c r="J541" s="542" t="s">
        <v>2701</v>
      </c>
      <c r="K541" s="547">
        <v>8401</v>
      </c>
      <c r="L541" s="542" t="s">
        <v>806</v>
      </c>
      <c r="M541" s="548"/>
      <c r="N541" s="549">
        <v>-81</v>
      </c>
      <c r="O541" s="544" t="s">
        <v>1674</v>
      </c>
      <c r="P541" s="544" t="s">
        <v>1674</v>
      </c>
      <c r="Q541" s="544" t="s">
        <v>3026</v>
      </c>
      <c r="R541" s="544" t="s">
        <v>1674</v>
      </c>
      <c r="S541" s="544" t="s">
        <v>1674</v>
      </c>
      <c r="T541" s="550">
        <v>19</v>
      </c>
      <c r="U541" s="544" t="s">
        <v>3323</v>
      </c>
      <c r="V541" s="547">
        <v>571</v>
      </c>
      <c r="W541" s="548"/>
      <c r="Y541" s="544" t="s">
        <v>1674</v>
      </c>
      <c r="AA541" s="544" t="s">
        <v>1674</v>
      </c>
      <c r="AE541" s="551"/>
      <c r="AF541" s="544" t="s">
        <v>1674</v>
      </c>
      <c r="AG541" s="544" t="s">
        <v>1674</v>
      </c>
      <c r="AH541" s="544" t="s">
        <v>1674</v>
      </c>
      <c r="AI541" s="544" t="s">
        <v>1674</v>
      </c>
      <c r="AJ541" s="544" t="s">
        <v>1674</v>
      </c>
      <c r="AK541" s="544" t="s">
        <v>1674</v>
      </c>
      <c r="AL541" s="544" t="s">
        <v>1674</v>
      </c>
      <c r="AM541" s="544" t="s">
        <v>1674</v>
      </c>
      <c r="AN541" s="544" t="s">
        <v>1674</v>
      </c>
      <c r="AP541" s="542">
        <f t="shared" si="16"/>
        <v>-20</v>
      </c>
      <c r="AR541" s="552">
        <f t="shared" si="18"/>
        <v>2384.7600000000002</v>
      </c>
    </row>
    <row r="542" spans="1:44" outlineLevel="1" x14ac:dyDescent="0.25">
      <c r="A542" s="544" t="s">
        <v>1674</v>
      </c>
      <c r="B542" s="545">
        <v>22204</v>
      </c>
      <c r="C542" s="544" t="s">
        <v>3007</v>
      </c>
      <c r="D542" s="544" t="s">
        <v>3629</v>
      </c>
      <c r="E542" s="542" t="s">
        <v>3574</v>
      </c>
      <c r="F542" s="542" t="s">
        <v>3630</v>
      </c>
      <c r="G542" s="546">
        <v>3494.4</v>
      </c>
      <c r="H542" s="546"/>
      <c r="I542" s="546"/>
      <c r="J542" s="542" t="s">
        <v>806</v>
      </c>
      <c r="K542" s="547">
        <v>8125</v>
      </c>
      <c r="L542" s="542" t="s">
        <v>806</v>
      </c>
      <c r="M542" s="548"/>
      <c r="N542" s="549">
        <v>-79</v>
      </c>
      <c r="O542" s="544" t="s">
        <v>1674</v>
      </c>
      <c r="P542" s="544" t="s">
        <v>1674</v>
      </c>
      <c r="Q542" s="544" t="s">
        <v>3009</v>
      </c>
      <c r="R542" s="544" t="s">
        <v>2898</v>
      </c>
      <c r="S542" s="544" t="s">
        <v>1674</v>
      </c>
      <c r="T542" s="550"/>
      <c r="U542" s="544" t="s">
        <v>3323</v>
      </c>
      <c r="V542" s="547">
        <v>688</v>
      </c>
      <c r="W542" s="548"/>
      <c r="Y542" s="544" t="s">
        <v>1674</v>
      </c>
      <c r="AA542" s="544" t="s">
        <v>1674</v>
      </c>
      <c r="AE542" s="551"/>
      <c r="AF542" s="544" t="s">
        <v>1674</v>
      </c>
      <c r="AG542" s="544" t="s">
        <v>1674</v>
      </c>
      <c r="AH542" s="544" t="s">
        <v>1674</v>
      </c>
      <c r="AI542" s="544" t="s">
        <v>1674</v>
      </c>
      <c r="AJ542" s="544" t="s">
        <v>1674</v>
      </c>
      <c r="AK542" s="544" t="s">
        <v>1674</v>
      </c>
      <c r="AL542" s="544" t="s">
        <v>1674</v>
      </c>
      <c r="AM542" s="544" t="s">
        <v>3010</v>
      </c>
      <c r="AN542" s="544" t="s">
        <v>1674</v>
      </c>
      <c r="AP542" s="542">
        <f t="shared" si="16"/>
        <v>-18</v>
      </c>
      <c r="AR542" s="552">
        <f t="shared" si="18"/>
        <v>0</v>
      </c>
    </row>
    <row r="543" spans="1:44" outlineLevel="1" x14ac:dyDescent="0.25">
      <c r="A543" s="544" t="s">
        <v>1674</v>
      </c>
      <c r="B543" s="545">
        <v>0</v>
      </c>
      <c r="C543" s="544" t="s">
        <v>1674</v>
      </c>
      <c r="D543" s="544" t="s">
        <v>3629</v>
      </c>
      <c r="E543" s="542" t="s">
        <v>3574</v>
      </c>
      <c r="F543" s="542" t="s">
        <v>3630</v>
      </c>
      <c r="G543" s="546">
        <v>500</v>
      </c>
      <c r="H543" s="546"/>
      <c r="I543" s="546">
        <v>3994.4</v>
      </c>
      <c r="J543" s="542" t="s">
        <v>2701</v>
      </c>
      <c r="K543" s="547">
        <v>8125</v>
      </c>
      <c r="L543" s="542" t="s">
        <v>806</v>
      </c>
      <c r="M543" s="548"/>
      <c r="N543" s="549">
        <v>-79</v>
      </c>
      <c r="O543" s="544" t="s">
        <v>1674</v>
      </c>
      <c r="P543" s="544" t="s">
        <v>1674</v>
      </c>
      <c r="Q543" s="544" t="s">
        <v>3011</v>
      </c>
      <c r="R543" s="544" t="s">
        <v>1674</v>
      </c>
      <c r="S543" s="544" t="s">
        <v>1674</v>
      </c>
      <c r="T543" s="550"/>
      <c r="U543" s="544" t="s">
        <v>3323</v>
      </c>
      <c r="V543" s="547">
        <v>689</v>
      </c>
      <c r="W543" s="548"/>
      <c r="Y543" s="544" t="s">
        <v>1674</v>
      </c>
      <c r="AA543" s="544" t="s">
        <v>1674</v>
      </c>
      <c r="AE543" s="551"/>
      <c r="AF543" s="544" t="s">
        <v>1674</v>
      </c>
      <c r="AG543" s="544" t="s">
        <v>1674</v>
      </c>
      <c r="AH543" s="544" t="s">
        <v>1674</v>
      </c>
      <c r="AI543" s="544" t="s">
        <v>1674</v>
      </c>
      <c r="AJ543" s="544" t="s">
        <v>1674</v>
      </c>
      <c r="AK543" s="544" t="s">
        <v>1674</v>
      </c>
      <c r="AL543" s="544" t="s">
        <v>1674</v>
      </c>
      <c r="AM543" s="544" t="s">
        <v>1674</v>
      </c>
      <c r="AN543" s="544" t="s">
        <v>1674</v>
      </c>
      <c r="AP543" s="542">
        <f t="shared" si="16"/>
        <v>-18</v>
      </c>
      <c r="AR543" s="552">
        <f t="shared" si="18"/>
        <v>3994.4</v>
      </c>
    </row>
    <row r="544" spans="1:44" outlineLevel="1" x14ac:dyDescent="0.25">
      <c r="A544" s="544" t="s">
        <v>1674</v>
      </c>
      <c r="B544" s="545">
        <v>21606</v>
      </c>
      <c r="C544" s="544" t="s">
        <v>3051</v>
      </c>
      <c r="D544" s="544" t="s">
        <v>3631</v>
      </c>
      <c r="E544" s="542" t="s">
        <v>3632</v>
      </c>
      <c r="F544" s="542" t="s">
        <v>3633</v>
      </c>
      <c r="G544" s="546">
        <v>1908.75</v>
      </c>
      <c r="H544" s="546"/>
      <c r="I544" s="546">
        <v>1908.75</v>
      </c>
      <c r="J544" s="542" t="s">
        <v>2701</v>
      </c>
      <c r="K544" s="547">
        <v>8125</v>
      </c>
      <c r="L544" s="542" t="s">
        <v>806</v>
      </c>
      <c r="M544" s="548"/>
      <c r="N544" s="549">
        <v>-77</v>
      </c>
      <c r="O544" s="544" t="s">
        <v>1674</v>
      </c>
      <c r="P544" s="544" t="s">
        <v>1674</v>
      </c>
      <c r="Q544" s="544" t="s">
        <v>3053</v>
      </c>
      <c r="R544" s="544" t="s">
        <v>1674</v>
      </c>
      <c r="S544" s="544" t="s">
        <v>1674</v>
      </c>
      <c r="T544" s="550"/>
      <c r="U544" s="544" t="s">
        <v>3323</v>
      </c>
      <c r="V544" s="547">
        <v>805</v>
      </c>
      <c r="W544" s="548"/>
      <c r="Y544" s="544" t="s">
        <v>1674</v>
      </c>
      <c r="AA544" s="544" t="s">
        <v>1674</v>
      </c>
      <c r="AE544" s="551"/>
      <c r="AF544" s="544" t="s">
        <v>1674</v>
      </c>
      <c r="AG544" s="544" t="s">
        <v>1674</v>
      </c>
      <c r="AH544" s="544" t="s">
        <v>1674</v>
      </c>
      <c r="AI544" s="544" t="s">
        <v>1674</v>
      </c>
      <c r="AJ544" s="544" t="s">
        <v>1674</v>
      </c>
      <c r="AK544" s="544" t="s">
        <v>1674</v>
      </c>
      <c r="AL544" s="544" t="s">
        <v>1674</v>
      </c>
      <c r="AM544" s="544" t="s">
        <v>3054</v>
      </c>
      <c r="AN544" s="544" t="s">
        <v>1674</v>
      </c>
      <c r="AP544" s="542">
        <f t="shared" ref="AP544:AP607" si="19">IF(F544&lt;&gt;0,($AP$2-$F544)*-1,0)</f>
        <v>-16</v>
      </c>
      <c r="AR544" s="552">
        <f t="shared" si="18"/>
        <v>1908.75</v>
      </c>
    </row>
    <row r="545" spans="1:44" outlineLevel="1" x14ac:dyDescent="0.25">
      <c r="A545" s="544" t="s">
        <v>1674</v>
      </c>
      <c r="B545" s="545">
        <v>0</v>
      </c>
      <c r="C545" s="544" t="s">
        <v>1674</v>
      </c>
      <c r="D545" s="544" t="s">
        <v>3634</v>
      </c>
      <c r="E545" s="542" t="s">
        <v>3632</v>
      </c>
      <c r="F545" s="542" t="s">
        <v>3633</v>
      </c>
      <c r="G545" s="546">
        <v>763.5</v>
      </c>
      <c r="H545" s="546"/>
      <c r="I545" s="546">
        <v>763.5</v>
      </c>
      <c r="J545" s="542" t="s">
        <v>2701</v>
      </c>
      <c r="K545" s="547">
        <v>8125</v>
      </c>
      <c r="L545" s="542" t="s">
        <v>806</v>
      </c>
      <c r="M545" s="548"/>
      <c r="N545" s="549">
        <v>-77</v>
      </c>
      <c r="O545" s="544" t="s">
        <v>1674</v>
      </c>
      <c r="P545" s="544" t="s">
        <v>1674</v>
      </c>
      <c r="Q545" s="544" t="s">
        <v>3053</v>
      </c>
      <c r="R545" s="544" t="s">
        <v>1674</v>
      </c>
      <c r="S545" s="544" t="s">
        <v>1674</v>
      </c>
      <c r="T545" s="550"/>
      <c r="U545" s="544" t="s">
        <v>3323</v>
      </c>
      <c r="V545" s="547">
        <v>817</v>
      </c>
      <c r="W545" s="548"/>
      <c r="Y545" s="544" t="s">
        <v>1674</v>
      </c>
      <c r="AA545" s="544" t="s">
        <v>1674</v>
      </c>
      <c r="AE545" s="551"/>
      <c r="AF545" s="544" t="s">
        <v>1674</v>
      </c>
      <c r="AG545" s="544" t="s">
        <v>1674</v>
      </c>
      <c r="AH545" s="544" t="s">
        <v>1674</v>
      </c>
      <c r="AI545" s="544" t="s">
        <v>1674</v>
      </c>
      <c r="AJ545" s="544" t="s">
        <v>1674</v>
      </c>
      <c r="AK545" s="544" t="s">
        <v>1674</v>
      </c>
      <c r="AL545" s="544" t="s">
        <v>1674</v>
      </c>
      <c r="AM545" s="544" t="s">
        <v>1674</v>
      </c>
      <c r="AN545" s="544" t="s">
        <v>1674</v>
      </c>
      <c r="AP545" s="542">
        <f t="shared" si="19"/>
        <v>-16</v>
      </c>
      <c r="AR545" s="552">
        <f t="shared" si="18"/>
        <v>763.5</v>
      </c>
    </row>
    <row r="546" spans="1:44" outlineLevel="1" x14ac:dyDescent="0.25">
      <c r="A546" s="544" t="s">
        <v>1674</v>
      </c>
      <c r="B546" s="545">
        <v>0</v>
      </c>
      <c r="C546" s="544" t="s">
        <v>1674</v>
      </c>
      <c r="D546" s="544" t="s">
        <v>3635</v>
      </c>
      <c r="E546" s="542" t="s">
        <v>3632</v>
      </c>
      <c r="F546" s="542" t="s">
        <v>3633</v>
      </c>
      <c r="G546" s="546">
        <v>2093.1</v>
      </c>
      <c r="H546" s="546"/>
      <c r="I546" s="546"/>
      <c r="J546" s="542" t="s">
        <v>806</v>
      </c>
      <c r="K546" s="547">
        <v>8125</v>
      </c>
      <c r="L546" s="542" t="s">
        <v>806</v>
      </c>
      <c r="M546" s="548"/>
      <c r="N546" s="549">
        <v>-77</v>
      </c>
      <c r="O546" s="544" t="s">
        <v>1674</v>
      </c>
      <c r="P546" s="544" t="s">
        <v>1674</v>
      </c>
      <c r="Q546" s="544" t="s">
        <v>3053</v>
      </c>
      <c r="R546" s="544" t="s">
        <v>1674</v>
      </c>
      <c r="S546" s="544" t="s">
        <v>1674</v>
      </c>
      <c r="T546" s="550"/>
      <c r="U546" s="544" t="s">
        <v>3323</v>
      </c>
      <c r="V546" s="547">
        <v>818</v>
      </c>
      <c r="W546" s="548"/>
      <c r="Y546" s="544" t="s">
        <v>1674</v>
      </c>
      <c r="AA546" s="544" t="s">
        <v>1674</v>
      </c>
      <c r="AE546" s="551"/>
      <c r="AF546" s="544" t="s">
        <v>1674</v>
      </c>
      <c r="AG546" s="544" t="s">
        <v>1674</v>
      </c>
      <c r="AH546" s="544" t="s">
        <v>1674</v>
      </c>
      <c r="AI546" s="544" t="s">
        <v>1674</v>
      </c>
      <c r="AJ546" s="544" t="s">
        <v>1674</v>
      </c>
      <c r="AK546" s="544" t="s">
        <v>1674</v>
      </c>
      <c r="AL546" s="544" t="s">
        <v>1674</v>
      </c>
      <c r="AM546" s="544" t="s">
        <v>1674</v>
      </c>
      <c r="AN546" s="544" t="s">
        <v>1674</v>
      </c>
      <c r="AP546" s="542">
        <f t="shared" si="19"/>
        <v>-16</v>
      </c>
      <c r="AR546" s="552">
        <f t="shared" si="18"/>
        <v>0</v>
      </c>
    </row>
    <row r="547" spans="1:44" outlineLevel="1" x14ac:dyDescent="0.25">
      <c r="A547" s="544" t="s">
        <v>1674</v>
      </c>
      <c r="B547" s="545">
        <v>0</v>
      </c>
      <c r="C547" s="544" t="s">
        <v>1674</v>
      </c>
      <c r="D547" s="544" t="s">
        <v>3635</v>
      </c>
      <c r="E547" s="542" t="s">
        <v>3632</v>
      </c>
      <c r="F547" s="542" t="s">
        <v>3633</v>
      </c>
      <c r="G547" s="546">
        <v>6.9</v>
      </c>
      <c r="H547" s="546"/>
      <c r="I547" s="546">
        <v>2100</v>
      </c>
      <c r="J547" s="542" t="s">
        <v>2701</v>
      </c>
      <c r="K547" s="547">
        <v>8125</v>
      </c>
      <c r="L547" s="542" t="s">
        <v>806</v>
      </c>
      <c r="M547" s="548"/>
      <c r="N547" s="549">
        <v>-77</v>
      </c>
      <c r="O547" s="544" t="s">
        <v>1674</v>
      </c>
      <c r="P547" s="544" t="s">
        <v>1674</v>
      </c>
      <c r="Q547" s="544" t="s">
        <v>3053</v>
      </c>
      <c r="R547" s="544" t="s">
        <v>2617</v>
      </c>
      <c r="S547" s="544" t="s">
        <v>1674</v>
      </c>
      <c r="T547" s="550"/>
      <c r="U547" s="544" t="s">
        <v>3323</v>
      </c>
      <c r="V547" s="547">
        <v>819</v>
      </c>
      <c r="W547" s="548"/>
      <c r="Y547" s="544" t="s">
        <v>1674</v>
      </c>
      <c r="AA547" s="544" t="s">
        <v>1674</v>
      </c>
      <c r="AE547" s="551"/>
      <c r="AF547" s="544" t="s">
        <v>1674</v>
      </c>
      <c r="AG547" s="544" t="s">
        <v>1674</v>
      </c>
      <c r="AH547" s="544" t="s">
        <v>1674</v>
      </c>
      <c r="AI547" s="544" t="s">
        <v>1674</v>
      </c>
      <c r="AJ547" s="544" t="s">
        <v>1674</v>
      </c>
      <c r="AK547" s="544" t="s">
        <v>1674</v>
      </c>
      <c r="AL547" s="544" t="s">
        <v>1674</v>
      </c>
      <c r="AM547" s="544" t="s">
        <v>1674</v>
      </c>
      <c r="AN547" s="544" t="s">
        <v>1674</v>
      </c>
      <c r="AP547" s="542">
        <f t="shared" si="19"/>
        <v>-16</v>
      </c>
      <c r="AR547" s="552">
        <f t="shared" si="18"/>
        <v>2100</v>
      </c>
    </row>
    <row r="548" spans="1:44" outlineLevel="1" x14ac:dyDescent="0.25">
      <c r="A548" s="544" t="s">
        <v>1674</v>
      </c>
      <c r="B548" s="545">
        <v>10509</v>
      </c>
      <c r="C548" s="544" t="s">
        <v>3017</v>
      </c>
      <c r="D548" s="544" t="s">
        <v>3636</v>
      </c>
      <c r="E548" s="542" t="s">
        <v>3637</v>
      </c>
      <c r="F548" s="542" t="s">
        <v>3625</v>
      </c>
      <c r="G548" s="546">
        <v>476</v>
      </c>
      <c r="H548" s="546"/>
      <c r="I548" s="546"/>
      <c r="J548" s="542" t="s">
        <v>806</v>
      </c>
      <c r="K548" s="547">
        <v>8400</v>
      </c>
      <c r="L548" s="542" t="s">
        <v>806</v>
      </c>
      <c r="M548" s="548"/>
      <c r="N548" s="549">
        <v>-74</v>
      </c>
      <c r="O548" s="544" t="s">
        <v>1674</v>
      </c>
      <c r="P548" s="544" t="s">
        <v>1674</v>
      </c>
      <c r="Q548" s="544" t="s">
        <v>3017</v>
      </c>
      <c r="R548" s="544" t="s">
        <v>2622</v>
      </c>
      <c r="S548" s="544" t="s">
        <v>1674</v>
      </c>
      <c r="T548" s="550">
        <v>19</v>
      </c>
      <c r="U548" s="544" t="s">
        <v>3323</v>
      </c>
      <c r="V548" s="547">
        <v>871</v>
      </c>
      <c r="W548" s="548"/>
      <c r="Y548" s="544" t="s">
        <v>1674</v>
      </c>
      <c r="AA548" s="544" t="s">
        <v>1674</v>
      </c>
      <c r="AE548" s="551"/>
      <c r="AF548" s="544" t="s">
        <v>1674</v>
      </c>
      <c r="AG548" s="544" t="s">
        <v>1674</v>
      </c>
      <c r="AH548" s="544" t="s">
        <v>1674</v>
      </c>
      <c r="AI548" s="544" t="s">
        <v>1674</v>
      </c>
      <c r="AJ548" s="544" t="s">
        <v>1674</v>
      </c>
      <c r="AK548" s="544" t="s">
        <v>1674</v>
      </c>
      <c r="AL548" s="544" t="s">
        <v>1674</v>
      </c>
      <c r="AM548" s="544" t="s">
        <v>3019</v>
      </c>
      <c r="AN548" s="544" t="s">
        <v>1674</v>
      </c>
      <c r="AP548" s="542">
        <f t="shared" si="19"/>
        <v>-13</v>
      </c>
      <c r="AR548" s="552">
        <f t="shared" si="18"/>
        <v>0</v>
      </c>
    </row>
    <row r="549" spans="1:44" outlineLevel="1" x14ac:dyDescent="0.25">
      <c r="A549" s="544" t="s">
        <v>1674</v>
      </c>
      <c r="B549" s="545">
        <v>0</v>
      </c>
      <c r="C549" s="544" t="s">
        <v>1674</v>
      </c>
      <c r="D549" s="544" t="s">
        <v>3636</v>
      </c>
      <c r="E549" s="542" t="s">
        <v>3637</v>
      </c>
      <c r="F549" s="542" t="s">
        <v>3625</v>
      </c>
      <c r="G549" s="546">
        <v>1607.93</v>
      </c>
      <c r="H549" s="546"/>
      <c r="I549" s="546">
        <v>2083.9299999999998</v>
      </c>
      <c r="J549" s="542" t="s">
        <v>2701</v>
      </c>
      <c r="K549" s="547">
        <v>8400</v>
      </c>
      <c r="L549" s="542" t="s">
        <v>806</v>
      </c>
      <c r="M549" s="548"/>
      <c r="N549" s="549">
        <v>-74</v>
      </c>
      <c r="O549" s="544" t="s">
        <v>1674</v>
      </c>
      <c r="P549" s="544" t="s">
        <v>1674</v>
      </c>
      <c r="Q549" s="544" t="s">
        <v>3017</v>
      </c>
      <c r="R549" s="544" t="s">
        <v>1674</v>
      </c>
      <c r="S549" s="544" t="s">
        <v>1674</v>
      </c>
      <c r="T549" s="550">
        <v>19</v>
      </c>
      <c r="U549" s="544" t="s">
        <v>3323</v>
      </c>
      <c r="V549" s="547">
        <v>872</v>
      </c>
      <c r="W549" s="548"/>
      <c r="Y549" s="544" t="s">
        <v>1674</v>
      </c>
      <c r="AA549" s="544" t="s">
        <v>1674</v>
      </c>
      <c r="AE549" s="551"/>
      <c r="AF549" s="544" t="s">
        <v>1674</v>
      </c>
      <c r="AG549" s="544" t="s">
        <v>1674</v>
      </c>
      <c r="AH549" s="544" t="s">
        <v>1674</v>
      </c>
      <c r="AI549" s="544" t="s">
        <v>1674</v>
      </c>
      <c r="AJ549" s="544" t="s">
        <v>1674</v>
      </c>
      <c r="AK549" s="544" t="s">
        <v>1674</v>
      </c>
      <c r="AL549" s="544" t="s">
        <v>1674</v>
      </c>
      <c r="AM549" s="544" t="s">
        <v>1674</v>
      </c>
      <c r="AN549" s="544" t="s">
        <v>1674</v>
      </c>
      <c r="AP549" s="542">
        <f t="shared" si="19"/>
        <v>-13</v>
      </c>
      <c r="AR549" s="552">
        <f t="shared" si="18"/>
        <v>2083.9299999999998</v>
      </c>
    </row>
    <row r="550" spans="1:44" outlineLevel="1" x14ac:dyDescent="0.25">
      <c r="A550" s="544" t="s">
        <v>1674</v>
      </c>
      <c r="B550" s="545">
        <v>11106</v>
      </c>
      <c r="C550" s="544" t="s">
        <v>3024</v>
      </c>
      <c r="D550" s="544" t="s">
        <v>3638</v>
      </c>
      <c r="E550" s="542" t="s">
        <v>3637</v>
      </c>
      <c r="F550" s="542" t="s">
        <v>3625</v>
      </c>
      <c r="G550" s="546">
        <v>4450.6000000000004</v>
      </c>
      <c r="H550" s="546"/>
      <c r="I550" s="546">
        <v>4450.6000000000004</v>
      </c>
      <c r="J550" s="542" t="s">
        <v>2701</v>
      </c>
      <c r="K550" s="547">
        <v>8401</v>
      </c>
      <c r="L550" s="542" t="s">
        <v>806</v>
      </c>
      <c r="M550" s="548"/>
      <c r="N550" s="549">
        <v>-74</v>
      </c>
      <c r="O550" s="544" t="s">
        <v>1674</v>
      </c>
      <c r="P550" s="544" t="s">
        <v>1674</v>
      </c>
      <c r="Q550" s="544" t="s">
        <v>3026</v>
      </c>
      <c r="R550" s="544" t="s">
        <v>1674</v>
      </c>
      <c r="S550" s="544" t="s">
        <v>1674</v>
      </c>
      <c r="T550" s="550">
        <v>19</v>
      </c>
      <c r="U550" s="544" t="s">
        <v>3323</v>
      </c>
      <c r="V550" s="547">
        <v>855</v>
      </c>
      <c r="W550" s="548"/>
      <c r="Y550" s="544" t="s">
        <v>1674</v>
      </c>
      <c r="AA550" s="544" t="s">
        <v>1674</v>
      </c>
      <c r="AE550" s="551"/>
      <c r="AF550" s="544" t="s">
        <v>1674</v>
      </c>
      <c r="AG550" s="544" t="s">
        <v>1674</v>
      </c>
      <c r="AH550" s="544" t="s">
        <v>1674</v>
      </c>
      <c r="AI550" s="544" t="s">
        <v>1674</v>
      </c>
      <c r="AJ550" s="544" t="s">
        <v>1674</v>
      </c>
      <c r="AK550" s="544" t="s">
        <v>1674</v>
      </c>
      <c r="AL550" s="544" t="s">
        <v>1674</v>
      </c>
      <c r="AM550" s="544" t="s">
        <v>3027</v>
      </c>
      <c r="AN550" s="544" t="s">
        <v>1674</v>
      </c>
      <c r="AP550" s="542">
        <f t="shared" si="19"/>
        <v>-13</v>
      </c>
      <c r="AR550" s="552">
        <f t="shared" si="18"/>
        <v>4450.6000000000004</v>
      </c>
    </row>
    <row r="551" spans="1:44" outlineLevel="1" x14ac:dyDescent="0.25">
      <c r="A551" s="544" t="s">
        <v>1674</v>
      </c>
      <c r="B551" s="545">
        <v>30803</v>
      </c>
      <c r="C551" s="544" t="s">
        <v>2925</v>
      </c>
      <c r="D551" s="544" t="s">
        <v>3639</v>
      </c>
      <c r="E551" s="542" t="s">
        <v>3637</v>
      </c>
      <c r="F551" s="542" t="s">
        <v>3625</v>
      </c>
      <c r="G551" s="546">
        <v>2309.79</v>
      </c>
      <c r="H551" s="546"/>
      <c r="I551" s="546">
        <v>2309.79</v>
      </c>
      <c r="J551" s="542" t="s">
        <v>2701</v>
      </c>
      <c r="K551" s="547">
        <v>8400</v>
      </c>
      <c r="L551" s="542" t="s">
        <v>806</v>
      </c>
      <c r="M551" s="548"/>
      <c r="N551" s="549">
        <v>-74</v>
      </c>
      <c r="O551" s="544" t="s">
        <v>1674</v>
      </c>
      <c r="P551" s="544" t="s">
        <v>1674</v>
      </c>
      <c r="Q551" s="544" t="s">
        <v>3030</v>
      </c>
      <c r="R551" s="544" t="s">
        <v>1674</v>
      </c>
      <c r="S551" s="544" t="s">
        <v>1674</v>
      </c>
      <c r="T551" s="550">
        <v>19</v>
      </c>
      <c r="U551" s="544" t="s">
        <v>3323</v>
      </c>
      <c r="V551" s="547">
        <v>859</v>
      </c>
      <c r="W551" s="548"/>
      <c r="Y551" s="544" t="s">
        <v>1674</v>
      </c>
      <c r="AA551" s="544" t="s">
        <v>1674</v>
      </c>
      <c r="AE551" s="551"/>
      <c r="AF551" s="544" t="s">
        <v>1674</v>
      </c>
      <c r="AG551" s="544" t="s">
        <v>1674</v>
      </c>
      <c r="AH551" s="544" t="s">
        <v>1674</v>
      </c>
      <c r="AI551" s="544" t="s">
        <v>1674</v>
      </c>
      <c r="AJ551" s="544" t="s">
        <v>1674</v>
      </c>
      <c r="AK551" s="544" t="s">
        <v>1674</v>
      </c>
      <c r="AL551" s="544" t="s">
        <v>1674</v>
      </c>
      <c r="AM551" s="544" t="s">
        <v>2928</v>
      </c>
      <c r="AN551" s="544" t="s">
        <v>1674</v>
      </c>
      <c r="AP551" s="542">
        <f t="shared" si="19"/>
        <v>-13</v>
      </c>
      <c r="AR551" s="552">
        <f t="shared" si="18"/>
        <v>2309.79</v>
      </c>
    </row>
    <row r="552" spans="1:44" outlineLevel="1" x14ac:dyDescent="0.25">
      <c r="A552" s="544" t="s">
        <v>1674</v>
      </c>
      <c r="B552" s="545">
        <v>0</v>
      </c>
      <c r="C552" s="544" t="s">
        <v>1674</v>
      </c>
      <c r="D552" s="544" t="s">
        <v>3640</v>
      </c>
      <c r="E552" s="542" t="s">
        <v>3641</v>
      </c>
      <c r="F552" s="542" t="s">
        <v>3642</v>
      </c>
      <c r="G552" s="546">
        <v>7699.3</v>
      </c>
      <c r="H552" s="546"/>
      <c r="I552" s="546">
        <v>7699.3</v>
      </c>
      <c r="J552" s="542" t="s">
        <v>2701</v>
      </c>
      <c r="K552" s="547">
        <v>8400</v>
      </c>
      <c r="L552" s="542" t="s">
        <v>806</v>
      </c>
      <c r="M552" s="548"/>
      <c r="N552" s="549">
        <v>-73</v>
      </c>
      <c r="O552" s="544" t="s">
        <v>1674</v>
      </c>
      <c r="P552" s="544" t="s">
        <v>1674</v>
      </c>
      <c r="Q552" s="544" t="s">
        <v>3030</v>
      </c>
      <c r="R552" s="544" t="s">
        <v>1674</v>
      </c>
      <c r="S552" s="544" t="s">
        <v>1674</v>
      </c>
      <c r="T552" s="550">
        <v>19</v>
      </c>
      <c r="U552" s="544" t="s">
        <v>3323</v>
      </c>
      <c r="V552" s="547">
        <v>941</v>
      </c>
      <c r="W552" s="548"/>
      <c r="Y552" s="544" t="s">
        <v>1674</v>
      </c>
      <c r="AA552" s="544" t="s">
        <v>1674</v>
      </c>
      <c r="AE552" s="551"/>
      <c r="AF552" s="544" t="s">
        <v>1674</v>
      </c>
      <c r="AG552" s="544" t="s">
        <v>1674</v>
      </c>
      <c r="AH552" s="544" t="s">
        <v>1674</v>
      </c>
      <c r="AI552" s="544" t="s">
        <v>1674</v>
      </c>
      <c r="AJ552" s="544" t="s">
        <v>1674</v>
      </c>
      <c r="AK552" s="544" t="s">
        <v>1674</v>
      </c>
      <c r="AL552" s="544" t="s">
        <v>1674</v>
      </c>
      <c r="AM552" s="544" t="s">
        <v>1674</v>
      </c>
      <c r="AN552" s="544" t="s">
        <v>1674</v>
      </c>
      <c r="AP552" s="542">
        <f t="shared" si="19"/>
        <v>-12</v>
      </c>
      <c r="AR552" s="552">
        <f t="shared" si="18"/>
        <v>7699.3</v>
      </c>
    </row>
    <row r="553" spans="1:44" outlineLevel="1" x14ac:dyDescent="0.25">
      <c r="A553" s="544" t="s">
        <v>1674</v>
      </c>
      <c r="B553" s="545">
        <v>11701</v>
      </c>
      <c r="C553" s="544" t="s">
        <v>3225</v>
      </c>
      <c r="D553" s="544" t="s">
        <v>3643</v>
      </c>
      <c r="E553" s="542" t="s">
        <v>3587</v>
      </c>
      <c r="F553" s="542" t="s">
        <v>3644</v>
      </c>
      <c r="G553" s="546">
        <v>818.01</v>
      </c>
      <c r="H553" s="546"/>
      <c r="I553" s="546">
        <v>818.01</v>
      </c>
      <c r="J553" s="542" t="s">
        <v>2701</v>
      </c>
      <c r="K553" s="547">
        <v>8402</v>
      </c>
      <c r="L553" s="542" t="s">
        <v>806</v>
      </c>
      <c r="M553" s="548"/>
      <c r="N553" s="549">
        <v>-72</v>
      </c>
      <c r="O553" s="544" t="s">
        <v>1674</v>
      </c>
      <c r="P553" s="544" t="s">
        <v>1674</v>
      </c>
      <c r="Q553" s="544" t="s">
        <v>3225</v>
      </c>
      <c r="R553" s="544" t="s">
        <v>1674</v>
      </c>
      <c r="S553" s="544" t="s">
        <v>1674</v>
      </c>
      <c r="T553" s="550">
        <v>19</v>
      </c>
      <c r="U553" s="544" t="s">
        <v>3323</v>
      </c>
      <c r="V553" s="547">
        <v>1011</v>
      </c>
      <c r="W553" s="548"/>
      <c r="Y553" s="544" t="s">
        <v>1674</v>
      </c>
      <c r="AA553" s="544" t="s">
        <v>1674</v>
      </c>
      <c r="AE553" s="551"/>
      <c r="AF553" s="544" t="s">
        <v>1674</v>
      </c>
      <c r="AG553" s="544" t="s">
        <v>1674</v>
      </c>
      <c r="AH553" s="544" t="s">
        <v>1674</v>
      </c>
      <c r="AI553" s="544" t="s">
        <v>1674</v>
      </c>
      <c r="AJ553" s="544" t="s">
        <v>1674</v>
      </c>
      <c r="AK553" s="544" t="s">
        <v>1674</v>
      </c>
      <c r="AL553" s="544" t="s">
        <v>1674</v>
      </c>
      <c r="AM553" s="544" t="s">
        <v>3225</v>
      </c>
      <c r="AN553" s="544" t="s">
        <v>1674</v>
      </c>
      <c r="AP553" s="542">
        <f t="shared" si="19"/>
        <v>-11</v>
      </c>
      <c r="AR553" s="552">
        <f t="shared" si="18"/>
        <v>818.01</v>
      </c>
    </row>
    <row r="554" spans="1:44" outlineLevel="1" x14ac:dyDescent="0.25">
      <c r="A554" s="544" t="s">
        <v>1674</v>
      </c>
      <c r="B554" s="545">
        <v>11600</v>
      </c>
      <c r="C554" s="544" t="s">
        <v>2782</v>
      </c>
      <c r="D554" s="544" t="s">
        <v>3645</v>
      </c>
      <c r="E554" s="542" t="s">
        <v>3595</v>
      </c>
      <c r="F554" s="542" t="s">
        <v>3646</v>
      </c>
      <c r="G554" s="546">
        <v>715</v>
      </c>
      <c r="H554" s="546"/>
      <c r="I554" s="546"/>
      <c r="J554" s="542" t="s">
        <v>806</v>
      </c>
      <c r="K554" s="547">
        <v>8400</v>
      </c>
      <c r="L554" s="542" t="s">
        <v>806</v>
      </c>
      <c r="M554" s="548"/>
      <c r="N554" s="549">
        <v>-70</v>
      </c>
      <c r="O554" s="544" t="s">
        <v>1674</v>
      </c>
      <c r="P554" s="544" t="s">
        <v>1674</v>
      </c>
      <c r="Q554" s="544" t="s">
        <v>2786</v>
      </c>
      <c r="R554" s="544" t="s">
        <v>1674</v>
      </c>
      <c r="S554" s="544" t="s">
        <v>1674</v>
      </c>
      <c r="T554" s="550">
        <v>19</v>
      </c>
      <c r="U554" s="544" t="s">
        <v>3323</v>
      </c>
      <c r="V554" s="547">
        <v>1141</v>
      </c>
      <c r="W554" s="548"/>
      <c r="Y554" s="544" t="s">
        <v>1674</v>
      </c>
      <c r="AA554" s="544" t="s">
        <v>1674</v>
      </c>
      <c r="AE554" s="551"/>
      <c r="AF554" s="544" t="s">
        <v>1674</v>
      </c>
      <c r="AG554" s="544" t="s">
        <v>1674</v>
      </c>
      <c r="AH554" s="544" t="s">
        <v>1674</v>
      </c>
      <c r="AI554" s="544" t="s">
        <v>1674</v>
      </c>
      <c r="AJ554" s="544" t="s">
        <v>1674</v>
      </c>
      <c r="AK554" s="544" t="s">
        <v>1674</v>
      </c>
      <c r="AL554" s="544" t="s">
        <v>1674</v>
      </c>
      <c r="AM554" s="544" t="s">
        <v>2782</v>
      </c>
      <c r="AN554" s="544" t="s">
        <v>1674</v>
      </c>
      <c r="AP554" s="542">
        <f t="shared" si="19"/>
        <v>-9</v>
      </c>
      <c r="AR554" s="552">
        <f t="shared" si="18"/>
        <v>0</v>
      </c>
    </row>
    <row r="555" spans="1:44" outlineLevel="1" x14ac:dyDescent="0.25">
      <c r="A555" s="544" t="s">
        <v>1674</v>
      </c>
      <c r="B555" s="545">
        <v>0</v>
      </c>
      <c r="C555" s="544" t="s">
        <v>1674</v>
      </c>
      <c r="D555" s="544" t="s">
        <v>3645</v>
      </c>
      <c r="E555" s="542" t="s">
        <v>3595</v>
      </c>
      <c r="F555" s="542" t="s">
        <v>3646</v>
      </c>
      <c r="G555" s="546">
        <v>66.62</v>
      </c>
      <c r="H555" s="546"/>
      <c r="I555" s="546"/>
      <c r="J555" s="542" t="s">
        <v>806</v>
      </c>
      <c r="K555" s="547">
        <v>8400</v>
      </c>
      <c r="L555" s="542" t="s">
        <v>806</v>
      </c>
      <c r="M555" s="548"/>
      <c r="N555" s="549">
        <v>-70</v>
      </c>
      <c r="O555" s="544" t="s">
        <v>1674</v>
      </c>
      <c r="P555" s="544" t="s">
        <v>1674</v>
      </c>
      <c r="Q555" s="544" t="s">
        <v>2786</v>
      </c>
      <c r="R555" s="544" t="s">
        <v>2617</v>
      </c>
      <c r="S555" s="544" t="s">
        <v>1674</v>
      </c>
      <c r="T555" s="550">
        <v>19</v>
      </c>
      <c r="U555" s="544" t="s">
        <v>3323</v>
      </c>
      <c r="V555" s="547">
        <v>1142</v>
      </c>
      <c r="W555" s="548"/>
      <c r="Y555" s="544" t="s">
        <v>1674</v>
      </c>
      <c r="AA555" s="544" t="s">
        <v>1674</v>
      </c>
      <c r="AE555" s="551"/>
      <c r="AF555" s="544" t="s">
        <v>1674</v>
      </c>
      <c r="AG555" s="544" t="s">
        <v>1674</v>
      </c>
      <c r="AH555" s="544" t="s">
        <v>1674</v>
      </c>
      <c r="AI555" s="544" t="s">
        <v>1674</v>
      </c>
      <c r="AJ555" s="544" t="s">
        <v>1674</v>
      </c>
      <c r="AK555" s="544" t="s">
        <v>1674</v>
      </c>
      <c r="AL555" s="544" t="s">
        <v>1674</v>
      </c>
      <c r="AM555" s="544" t="s">
        <v>1674</v>
      </c>
      <c r="AN555" s="544" t="s">
        <v>1674</v>
      </c>
      <c r="AP555" s="542">
        <f t="shared" si="19"/>
        <v>-9</v>
      </c>
      <c r="AR555" s="552">
        <f t="shared" si="18"/>
        <v>0</v>
      </c>
    </row>
    <row r="556" spans="1:44" outlineLevel="1" x14ac:dyDescent="0.25">
      <c r="A556" s="544" t="s">
        <v>1674</v>
      </c>
      <c r="B556" s="545">
        <v>0</v>
      </c>
      <c r="C556" s="544" t="s">
        <v>1674</v>
      </c>
      <c r="D556" s="544" t="s">
        <v>3645</v>
      </c>
      <c r="E556" s="542" t="s">
        <v>3595</v>
      </c>
      <c r="F556" s="542" t="s">
        <v>3646</v>
      </c>
      <c r="G556" s="546">
        <v>10678.08</v>
      </c>
      <c r="H556" s="546"/>
      <c r="I556" s="546">
        <v>11459.7</v>
      </c>
      <c r="J556" s="542" t="s">
        <v>2701</v>
      </c>
      <c r="K556" s="547">
        <v>8401</v>
      </c>
      <c r="L556" s="542" t="s">
        <v>806</v>
      </c>
      <c r="M556" s="548"/>
      <c r="N556" s="549">
        <v>-70</v>
      </c>
      <c r="O556" s="544" t="s">
        <v>1674</v>
      </c>
      <c r="P556" s="544" t="s">
        <v>1674</v>
      </c>
      <c r="Q556" s="544" t="s">
        <v>2786</v>
      </c>
      <c r="R556" s="544" t="s">
        <v>1674</v>
      </c>
      <c r="S556" s="544" t="s">
        <v>1674</v>
      </c>
      <c r="T556" s="550">
        <v>19</v>
      </c>
      <c r="U556" s="544" t="s">
        <v>3323</v>
      </c>
      <c r="V556" s="547">
        <v>1143</v>
      </c>
      <c r="W556" s="548"/>
      <c r="Y556" s="544" t="s">
        <v>1674</v>
      </c>
      <c r="AA556" s="544" t="s">
        <v>1674</v>
      </c>
      <c r="AE556" s="551"/>
      <c r="AF556" s="544" t="s">
        <v>1674</v>
      </c>
      <c r="AG556" s="544" t="s">
        <v>1674</v>
      </c>
      <c r="AH556" s="544" t="s">
        <v>1674</v>
      </c>
      <c r="AI556" s="544" t="s">
        <v>1674</v>
      </c>
      <c r="AJ556" s="544" t="s">
        <v>1674</v>
      </c>
      <c r="AK556" s="544" t="s">
        <v>1674</v>
      </c>
      <c r="AL556" s="544" t="s">
        <v>1674</v>
      </c>
      <c r="AM556" s="544" t="s">
        <v>1674</v>
      </c>
      <c r="AN556" s="544" t="s">
        <v>1674</v>
      </c>
      <c r="AP556" s="542">
        <f t="shared" si="19"/>
        <v>-9</v>
      </c>
      <c r="AR556" s="552">
        <f t="shared" si="18"/>
        <v>11459.7</v>
      </c>
    </row>
    <row r="557" spans="1:44" outlineLevel="1" x14ac:dyDescent="0.25">
      <c r="A557" s="544" t="s">
        <v>1674</v>
      </c>
      <c r="B557" s="545">
        <v>11813</v>
      </c>
      <c r="C557" s="544" t="s">
        <v>2814</v>
      </c>
      <c r="D557" s="544" t="s">
        <v>3647</v>
      </c>
      <c r="E557" s="542" t="s">
        <v>3648</v>
      </c>
      <c r="F557" s="542" t="s">
        <v>3649</v>
      </c>
      <c r="G557" s="546">
        <v>456.96</v>
      </c>
      <c r="H557" s="546"/>
      <c r="I557" s="546"/>
      <c r="J557" s="542" t="s">
        <v>806</v>
      </c>
      <c r="K557" s="547">
        <v>8400</v>
      </c>
      <c r="L557" s="542" t="s">
        <v>806</v>
      </c>
      <c r="M557" s="548"/>
      <c r="N557" s="549">
        <v>-67</v>
      </c>
      <c r="O557" s="544" t="s">
        <v>1674</v>
      </c>
      <c r="P557" s="544" t="s">
        <v>1674</v>
      </c>
      <c r="Q557" s="544" t="s">
        <v>2818</v>
      </c>
      <c r="R557" s="544" t="s">
        <v>2622</v>
      </c>
      <c r="S557" s="544" t="s">
        <v>1674</v>
      </c>
      <c r="T557" s="550">
        <v>19</v>
      </c>
      <c r="U557" s="544" t="s">
        <v>3323</v>
      </c>
      <c r="V557" s="547">
        <v>1205</v>
      </c>
      <c r="W557" s="548"/>
      <c r="Y557" s="544" t="s">
        <v>1674</v>
      </c>
      <c r="AA557" s="544" t="s">
        <v>1674</v>
      </c>
      <c r="AE557" s="551"/>
      <c r="AF557" s="544" t="s">
        <v>1674</v>
      </c>
      <c r="AG557" s="544" t="s">
        <v>1674</v>
      </c>
      <c r="AH557" s="544" t="s">
        <v>1674</v>
      </c>
      <c r="AI557" s="544" t="s">
        <v>1674</v>
      </c>
      <c r="AJ557" s="544" t="s">
        <v>1674</v>
      </c>
      <c r="AK557" s="544" t="s">
        <v>1674</v>
      </c>
      <c r="AL557" s="544" t="s">
        <v>1674</v>
      </c>
      <c r="AM557" s="544" t="s">
        <v>2819</v>
      </c>
      <c r="AN557" s="544" t="s">
        <v>1674</v>
      </c>
      <c r="AP557" s="542">
        <f t="shared" si="19"/>
        <v>-6</v>
      </c>
      <c r="AR557" s="552">
        <f t="shared" si="18"/>
        <v>0</v>
      </c>
    </row>
    <row r="558" spans="1:44" outlineLevel="1" x14ac:dyDescent="0.25">
      <c r="A558" s="544" t="s">
        <v>1674</v>
      </c>
      <c r="B558" s="545">
        <v>0</v>
      </c>
      <c r="C558" s="544" t="s">
        <v>1674</v>
      </c>
      <c r="D558" s="544" t="s">
        <v>3647</v>
      </c>
      <c r="E558" s="542" t="s">
        <v>3648</v>
      </c>
      <c r="F558" s="542" t="s">
        <v>3649</v>
      </c>
      <c r="G558" s="546">
        <v>819.67</v>
      </c>
      <c r="H558" s="546"/>
      <c r="I558" s="546">
        <v>1276.6300000000001</v>
      </c>
      <c r="J558" s="542" t="s">
        <v>2701</v>
      </c>
      <c r="K558" s="547">
        <v>8400</v>
      </c>
      <c r="L558" s="542" t="s">
        <v>806</v>
      </c>
      <c r="M558" s="548"/>
      <c r="N558" s="549">
        <v>-67</v>
      </c>
      <c r="O558" s="544" t="s">
        <v>1674</v>
      </c>
      <c r="P558" s="544" t="s">
        <v>1674</v>
      </c>
      <c r="Q558" s="544" t="s">
        <v>2818</v>
      </c>
      <c r="R558" s="544" t="s">
        <v>1674</v>
      </c>
      <c r="S558" s="544" t="s">
        <v>1674</v>
      </c>
      <c r="T558" s="550">
        <v>19</v>
      </c>
      <c r="U558" s="544" t="s">
        <v>3323</v>
      </c>
      <c r="V558" s="547">
        <v>1206</v>
      </c>
      <c r="W558" s="548"/>
      <c r="Y558" s="544" t="s">
        <v>1674</v>
      </c>
      <c r="AA558" s="544" t="s">
        <v>1674</v>
      </c>
      <c r="AE558" s="551"/>
      <c r="AF558" s="544" t="s">
        <v>1674</v>
      </c>
      <c r="AG558" s="544" t="s">
        <v>1674</v>
      </c>
      <c r="AH558" s="544" t="s">
        <v>1674</v>
      </c>
      <c r="AI558" s="544" t="s">
        <v>1674</v>
      </c>
      <c r="AJ558" s="544" t="s">
        <v>1674</v>
      </c>
      <c r="AK558" s="544" t="s">
        <v>1674</v>
      </c>
      <c r="AL558" s="544" t="s">
        <v>1674</v>
      </c>
      <c r="AM558" s="544" t="s">
        <v>1674</v>
      </c>
      <c r="AN558" s="544" t="s">
        <v>1674</v>
      </c>
      <c r="AP558" s="542">
        <f t="shared" si="19"/>
        <v>-6</v>
      </c>
      <c r="AR558" s="552">
        <f t="shared" si="18"/>
        <v>1276.6300000000001</v>
      </c>
    </row>
    <row r="559" spans="1:44" outlineLevel="1" x14ac:dyDescent="0.25">
      <c r="A559" s="544" t="s">
        <v>1674</v>
      </c>
      <c r="B559" s="545">
        <v>31204</v>
      </c>
      <c r="C559" s="544" t="s">
        <v>2766</v>
      </c>
      <c r="D559" s="544" t="s">
        <v>3650</v>
      </c>
      <c r="E559" s="542" t="s">
        <v>3648</v>
      </c>
      <c r="F559" s="542" t="s">
        <v>3649</v>
      </c>
      <c r="G559" s="546">
        <v>28618.560000000001</v>
      </c>
      <c r="H559" s="546"/>
      <c r="I559" s="546"/>
      <c r="J559" s="542" t="s">
        <v>806</v>
      </c>
      <c r="K559" s="547">
        <v>8120</v>
      </c>
      <c r="L559" s="542" t="s">
        <v>806</v>
      </c>
      <c r="M559" s="548"/>
      <c r="N559" s="549">
        <v>-67</v>
      </c>
      <c r="O559" s="544" t="s">
        <v>1674</v>
      </c>
      <c r="P559" s="544" t="s">
        <v>1674</v>
      </c>
      <c r="Q559" s="544" t="s">
        <v>2768</v>
      </c>
      <c r="R559" s="544" t="s">
        <v>1674</v>
      </c>
      <c r="S559" s="544" t="s">
        <v>1674</v>
      </c>
      <c r="T559" s="550"/>
      <c r="U559" s="544" t="s">
        <v>3323</v>
      </c>
      <c r="V559" s="547">
        <v>1211</v>
      </c>
      <c r="W559" s="548"/>
      <c r="Y559" s="544" t="s">
        <v>1674</v>
      </c>
      <c r="AA559" s="544" t="s">
        <v>1674</v>
      </c>
      <c r="AE559" s="551"/>
      <c r="AF559" s="544" t="s">
        <v>1674</v>
      </c>
      <c r="AG559" s="544" t="s">
        <v>1674</v>
      </c>
      <c r="AH559" s="544" t="s">
        <v>1674</v>
      </c>
      <c r="AI559" s="544" t="s">
        <v>1674</v>
      </c>
      <c r="AJ559" s="544" t="s">
        <v>1674</v>
      </c>
      <c r="AK559" s="544" t="s">
        <v>1674</v>
      </c>
      <c r="AL559" s="544" t="s">
        <v>1674</v>
      </c>
      <c r="AM559" s="544" t="s">
        <v>2769</v>
      </c>
      <c r="AN559" s="544" t="s">
        <v>1674</v>
      </c>
      <c r="AP559" s="542">
        <f t="shared" si="19"/>
        <v>-6</v>
      </c>
      <c r="AR559" s="552">
        <f t="shared" si="18"/>
        <v>0</v>
      </c>
    </row>
    <row r="560" spans="1:44" outlineLevel="1" x14ac:dyDescent="0.25">
      <c r="A560" s="544" t="s">
        <v>1674</v>
      </c>
      <c r="B560" s="545">
        <v>0</v>
      </c>
      <c r="C560" s="544" t="s">
        <v>1674</v>
      </c>
      <c r="D560" s="544" t="s">
        <v>3650</v>
      </c>
      <c r="E560" s="542" t="s">
        <v>3648</v>
      </c>
      <c r="F560" s="542" t="s">
        <v>3649</v>
      </c>
      <c r="G560" s="546">
        <v>181.44</v>
      </c>
      <c r="H560" s="546"/>
      <c r="I560" s="546">
        <v>28800</v>
      </c>
      <c r="J560" s="542" t="s">
        <v>2701</v>
      </c>
      <c r="K560" s="547">
        <v>8120</v>
      </c>
      <c r="L560" s="542" t="s">
        <v>806</v>
      </c>
      <c r="M560" s="548"/>
      <c r="N560" s="549">
        <v>-67</v>
      </c>
      <c r="O560" s="544" t="s">
        <v>1674</v>
      </c>
      <c r="P560" s="544" t="s">
        <v>1674</v>
      </c>
      <c r="Q560" s="544" t="s">
        <v>2768</v>
      </c>
      <c r="R560" s="544" t="s">
        <v>2617</v>
      </c>
      <c r="S560" s="544" t="s">
        <v>1674</v>
      </c>
      <c r="T560" s="550"/>
      <c r="U560" s="544" t="s">
        <v>3323</v>
      </c>
      <c r="V560" s="547">
        <v>1212</v>
      </c>
      <c r="W560" s="548"/>
      <c r="Y560" s="544" t="s">
        <v>1674</v>
      </c>
      <c r="AA560" s="544" t="s">
        <v>1674</v>
      </c>
      <c r="AE560" s="551"/>
      <c r="AF560" s="544" t="s">
        <v>1674</v>
      </c>
      <c r="AG560" s="544" t="s">
        <v>1674</v>
      </c>
      <c r="AH560" s="544" t="s">
        <v>1674</v>
      </c>
      <c r="AI560" s="544" t="s">
        <v>1674</v>
      </c>
      <c r="AJ560" s="544" t="s">
        <v>1674</v>
      </c>
      <c r="AK560" s="544" t="s">
        <v>1674</v>
      </c>
      <c r="AL560" s="544" t="s">
        <v>1674</v>
      </c>
      <c r="AM560" s="544" t="s">
        <v>1674</v>
      </c>
      <c r="AN560" s="544" t="s">
        <v>1674</v>
      </c>
      <c r="AP560" s="542">
        <f t="shared" si="19"/>
        <v>-6</v>
      </c>
      <c r="AR560" s="552">
        <f t="shared" si="18"/>
        <v>28800</v>
      </c>
    </row>
    <row r="561" spans="1:44" outlineLevel="1" x14ac:dyDescent="0.25">
      <c r="A561" s="544" t="s">
        <v>1674</v>
      </c>
      <c r="B561" s="545">
        <v>10400</v>
      </c>
      <c r="C561" s="544" t="s">
        <v>2730</v>
      </c>
      <c r="D561" s="544" t="s">
        <v>3651</v>
      </c>
      <c r="E561" s="542" t="s">
        <v>3652</v>
      </c>
      <c r="F561" s="542" t="s">
        <v>3653</v>
      </c>
      <c r="G561" s="546">
        <v>416.5</v>
      </c>
      <c r="H561" s="546"/>
      <c r="I561" s="546">
        <v>416.5</v>
      </c>
      <c r="J561" s="542" t="s">
        <v>2701</v>
      </c>
      <c r="K561" s="547">
        <v>8403</v>
      </c>
      <c r="L561" s="542" t="s">
        <v>806</v>
      </c>
      <c r="M561" s="548"/>
      <c r="N561" s="549">
        <v>-66</v>
      </c>
      <c r="O561" s="544" t="s">
        <v>1674</v>
      </c>
      <c r="P561" s="544" t="s">
        <v>1674</v>
      </c>
      <c r="Q561" s="544" t="s">
        <v>2733</v>
      </c>
      <c r="R561" s="544" t="s">
        <v>1674</v>
      </c>
      <c r="S561" s="544" t="s">
        <v>1674</v>
      </c>
      <c r="T561" s="550">
        <v>19</v>
      </c>
      <c r="U561" s="544" t="s">
        <v>3323</v>
      </c>
      <c r="V561" s="547">
        <v>1274</v>
      </c>
      <c r="W561" s="548"/>
      <c r="Y561" s="544" t="s">
        <v>1674</v>
      </c>
      <c r="AA561" s="544" t="s">
        <v>1674</v>
      </c>
      <c r="AE561" s="551"/>
      <c r="AF561" s="544" t="s">
        <v>1674</v>
      </c>
      <c r="AG561" s="544" t="s">
        <v>1674</v>
      </c>
      <c r="AH561" s="544" t="s">
        <v>1674</v>
      </c>
      <c r="AI561" s="544" t="s">
        <v>1674</v>
      </c>
      <c r="AJ561" s="544" t="s">
        <v>1674</v>
      </c>
      <c r="AK561" s="544" t="s">
        <v>1674</v>
      </c>
      <c r="AL561" s="544" t="s">
        <v>1674</v>
      </c>
      <c r="AM561" s="544" t="s">
        <v>2730</v>
      </c>
      <c r="AN561" s="544" t="s">
        <v>1674</v>
      </c>
      <c r="AP561" s="542">
        <f t="shared" si="19"/>
        <v>-5</v>
      </c>
      <c r="AR561" s="552">
        <f t="shared" si="18"/>
        <v>416.5</v>
      </c>
    </row>
    <row r="562" spans="1:44" outlineLevel="1" x14ac:dyDescent="0.25">
      <c r="A562" s="544" t="s">
        <v>1674</v>
      </c>
      <c r="B562" s="545">
        <v>30701</v>
      </c>
      <c r="C562" s="544" t="s">
        <v>2787</v>
      </c>
      <c r="D562" s="544" t="s">
        <v>3654</v>
      </c>
      <c r="E562" s="542" t="s">
        <v>3652</v>
      </c>
      <c r="F562" s="542" t="s">
        <v>3653</v>
      </c>
      <c r="G562" s="546">
        <v>65700</v>
      </c>
      <c r="H562" s="546"/>
      <c r="I562" s="546">
        <v>65700</v>
      </c>
      <c r="J562" s="542" t="s">
        <v>2701</v>
      </c>
      <c r="K562" s="547">
        <v>8120</v>
      </c>
      <c r="L562" s="542" t="s">
        <v>806</v>
      </c>
      <c r="M562" s="548"/>
      <c r="N562" s="549">
        <v>-66</v>
      </c>
      <c r="O562" s="544" t="s">
        <v>1674</v>
      </c>
      <c r="P562" s="544" t="s">
        <v>1674</v>
      </c>
      <c r="Q562" s="544" t="s">
        <v>2810</v>
      </c>
      <c r="R562" s="544" t="s">
        <v>1674</v>
      </c>
      <c r="S562" s="544" t="s">
        <v>1674</v>
      </c>
      <c r="T562" s="550"/>
      <c r="U562" s="544" t="s">
        <v>3323</v>
      </c>
      <c r="V562" s="547">
        <v>1267</v>
      </c>
      <c r="W562" s="548"/>
      <c r="Y562" s="544" t="s">
        <v>1674</v>
      </c>
      <c r="AA562" s="544" t="s">
        <v>1674</v>
      </c>
      <c r="AE562" s="551"/>
      <c r="AF562" s="544" t="s">
        <v>1674</v>
      </c>
      <c r="AG562" s="544" t="s">
        <v>1674</v>
      </c>
      <c r="AH562" s="544" t="s">
        <v>1674</v>
      </c>
      <c r="AI562" s="544" t="s">
        <v>1674</v>
      </c>
      <c r="AJ562" s="544" t="s">
        <v>1674</v>
      </c>
      <c r="AK562" s="544" t="s">
        <v>1674</v>
      </c>
      <c r="AL562" s="544" t="s">
        <v>1674</v>
      </c>
      <c r="AM562" s="544" t="s">
        <v>2792</v>
      </c>
      <c r="AN562" s="544" t="s">
        <v>1674</v>
      </c>
      <c r="AP562" s="542">
        <f t="shared" si="19"/>
        <v>-5</v>
      </c>
      <c r="AR562" s="552">
        <f t="shared" si="18"/>
        <v>65700</v>
      </c>
    </row>
    <row r="563" spans="1:44" outlineLevel="1" x14ac:dyDescent="0.25">
      <c r="A563" s="544" t="s">
        <v>1674</v>
      </c>
      <c r="B563" s="545">
        <v>20301</v>
      </c>
      <c r="C563" s="544" t="s">
        <v>2981</v>
      </c>
      <c r="D563" s="544" t="s">
        <v>3655</v>
      </c>
      <c r="E563" s="542" t="s">
        <v>3656</v>
      </c>
      <c r="F563" s="542" t="s">
        <v>3657</v>
      </c>
      <c r="G563" s="546">
        <v>6405.5</v>
      </c>
      <c r="H563" s="546"/>
      <c r="I563" s="546">
        <v>6405.5</v>
      </c>
      <c r="J563" s="542" t="s">
        <v>2701</v>
      </c>
      <c r="K563" s="547">
        <v>8125</v>
      </c>
      <c r="L563" s="542" t="s">
        <v>806</v>
      </c>
      <c r="M563" s="548"/>
      <c r="N563" s="549">
        <v>-65</v>
      </c>
      <c r="O563" s="544" t="s">
        <v>1674</v>
      </c>
      <c r="P563" s="544" t="s">
        <v>1674</v>
      </c>
      <c r="Q563" s="544" t="s">
        <v>2983</v>
      </c>
      <c r="R563" s="544" t="s">
        <v>1674</v>
      </c>
      <c r="S563" s="544" t="s">
        <v>1674</v>
      </c>
      <c r="T563" s="550"/>
      <c r="U563" s="544" t="s">
        <v>3323</v>
      </c>
      <c r="V563" s="547">
        <v>1351</v>
      </c>
      <c r="W563" s="548"/>
      <c r="Y563" s="544" t="s">
        <v>1674</v>
      </c>
      <c r="AA563" s="544" t="s">
        <v>1674</v>
      </c>
      <c r="AE563" s="551"/>
      <c r="AF563" s="544" t="s">
        <v>1674</v>
      </c>
      <c r="AG563" s="544" t="s">
        <v>1674</v>
      </c>
      <c r="AH563" s="544" t="s">
        <v>1674</v>
      </c>
      <c r="AI563" s="544" t="s">
        <v>1674</v>
      </c>
      <c r="AJ563" s="544" t="s">
        <v>1674</v>
      </c>
      <c r="AK563" s="544" t="s">
        <v>1674</v>
      </c>
      <c r="AL563" s="544" t="s">
        <v>1674</v>
      </c>
      <c r="AM563" s="544" t="s">
        <v>2985</v>
      </c>
      <c r="AN563" s="544" t="s">
        <v>1674</v>
      </c>
      <c r="AP563" s="542">
        <f t="shared" si="19"/>
        <v>-4</v>
      </c>
      <c r="AR563" s="552">
        <f t="shared" si="18"/>
        <v>6405.5</v>
      </c>
    </row>
    <row r="564" spans="1:44" outlineLevel="1" x14ac:dyDescent="0.25">
      <c r="A564" s="544" t="s">
        <v>1674</v>
      </c>
      <c r="B564" s="545">
        <v>30701</v>
      </c>
      <c r="C564" s="544" t="s">
        <v>2787</v>
      </c>
      <c r="D564" s="544" t="s">
        <v>3658</v>
      </c>
      <c r="E564" s="542" t="s">
        <v>3656</v>
      </c>
      <c r="F564" s="542" t="s">
        <v>3657</v>
      </c>
      <c r="G564" s="546">
        <v>210240</v>
      </c>
      <c r="H564" s="546"/>
      <c r="I564" s="546">
        <v>210240</v>
      </c>
      <c r="J564" s="542" t="s">
        <v>2701</v>
      </c>
      <c r="K564" s="547">
        <v>8120</v>
      </c>
      <c r="L564" s="542" t="s">
        <v>806</v>
      </c>
      <c r="M564" s="548"/>
      <c r="N564" s="549">
        <v>-65</v>
      </c>
      <c r="O564" s="544" t="s">
        <v>1674</v>
      </c>
      <c r="P564" s="544" t="s">
        <v>1674</v>
      </c>
      <c r="Q564" s="544" t="s">
        <v>2791</v>
      </c>
      <c r="R564" s="544" t="s">
        <v>1674</v>
      </c>
      <c r="S564" s="544" t="s">
        <v>1674</v>
      </c>
      <c r="T564" s="550"/>
      <c r="U564" s="544" t="s">
        <v>3323</v>
      </c>
      <c r="V564" s="547">
        <v>1347</v>
      </c>
      <c r="W564" s="548"/>
      <c r="Y564" s="544" t="s">
        <v>1674</v>
      </c>
      <c r="AA564" s="544" t="s">
        <v>1674</v>
      </c>
      <c r="AE564" s="551"/>
      <c r="AF564" s="544" t="s">
        <v>1674</v>
      </c>
      <c r="AG564" s="544" t="s">
        <v>1674</v>
      </c>
      <c r="AH564" s="544" t="s">
        <v>1674</v>
      </c>
      <c r="AI564" s="544" t="s">
        <v>1674</v>
      </c>
      <c r="AJ564" s="544" t="s">
        <v>1674</v>
      </c>
      <c r="AK564" s="544" t="s">
        <v>1674</v>
      </c>
      <c r="AL564" s="544" t="s">
        <v>1674</v>
      </c>
      <c r="AM564" s="544" t="s">
        <v>2792</v>
      </c>
      <c r="AN564" s="544" t="s">
        <v>1674</v>
      </c>
      <c r="AP564" s="542">
        <f t="shared" si="19"/>
        <v>-4</v>
      </c>
      <c r="AR564" s="552">
        <f t="shared" si="18"/>
        <v>210240</v>
      </c>
    </row>
    <row r="565" spans="1:44" outlineLevel="1" x14ac:dyDescent="0.25">
      <c r="A565" s="544" t="s">
        <v>1674</v>
      </c>
      <c r="B565" s="545">
        <v>10400</v>
      </c>
      <c r="C565" s="544" t="s">
        <v>2730</v>
      </c>
      <c r="D565" s="544" t="s">
        <v>3659</v>
      </c>
      <c r="E565" s="542" t="s">
        <v>3601</v>
      </c>
      <c r="F565" s="542" t="s">
        <v>3660</v>
      </c>
      <c r="G565" s="546">
        <v>190.2</v>
      </c>
      <c r="H565" s="546"/>
      <c r="I565" s="546"/>
      <c r="J565" s="542" t="s">
        <v>806</v>
      </c>
      <c r="K565" s="547">
        <v>8400</v>
      </c>
      <c r="L565" s="542" t="s">
        <v>806</v>
      </c>
      <c r="M565" s="548"/>
      <c r="N565" s="549">
        <v>-64</v>
      </c>
      <c r="O565" s="544" t="s">
        <v>1674</v>
      </c>
      <c r="P565" s="544" t="s">
        <v>1674</v>
      </c>
      <c r="Q565" s="544" t="s">
        <v>3442</v>
      </c>
      <c r="R565" s="544" t="s">
        <v>1674</v>
      </c>
      <c r="S565" s="544" t="s">
        <v>1674</v>
      </c>
      <c r="T565" s="550">
        <v>19</v>
      </c>
      <c r="U565" s="544" t="s">
        <v>3323</v>
      </c>
      <c r="V565" s="547">
        <v>1420</v>
      </c>
      <c r="W565" s="548"/>
      <c r="Y565" s="544" t="s">
        <v>1674</v>
      </c>
      <c r="AA565" s="544" t="s">
        <v>1674</v>
      </c>
      <c r="AE565" s="551"/>
      <c r="AF565" s="544" t="s">
        <v>1674</v>
      </c>
      <c r="AG565" s="544" t="s">
        <v>1674</v>
      </c>
      <c r="AH565" s="544" t="s">
        <v>1674</v>
      </c>
      <c r="AI565" s="544" t="s">
        <v>1674</v>
      </c>
      <c r="AJ565" s="544" t="s">
        <v>1674</v>
      </c>
      <c r="AK565" s="544" t="s">
        <v>1674</v>
      </c>
      <c r="AL565" s="544" t="s">
        <v>1674</v>
      </c>
      <c r="AM565" s="544" t="s">
        <v>2730</v>
      </c>
      <c r="AN565" s="544" t="s">
        <v>1674</v>
      </c>
      <c r="AP565" s="542">
        <f t="shared" si="19"/>
        <v>-3</v>
      </c>
      <c r="AR565" s="552">
        <f t="shared" si="18"/>
        <v>0</v>
      </c>
    </row>
    <row r="566" spans="1:44" outlineLevel="1" x14ac:dyDescent="0.25">
      <c r="A566" s="544" t="s">
        <v>1674</v>
      </c>
      <c r="B566" s="545">
        <v>0</v>
      </c>
      <c r="C566" s="544" t="s">
        <v>1674</v>
      </c>
      <c r="D566" s="544" t="s">
        <v>3659</v>
      </c>
      <c r="E566" s="542" t="s">
        <v>3601</v>
      </c>
      <c r="F566" s="542" t="s">
        <v>3660</v>
      </c>
      <c r="G566" s="546">
        <v>9.64</v>
      </c>
      <c r="H566" s="546"/>
      <c r="I566" s="546"/>
      <c r="J566" s="542" t="s">
        <v>806</v>
      </c>
      <c r="K566" s="547">
        <v>8400</v>
      </c>
      <c r="L566" s="542" t="s">
        <v>806</v>
      </c>
      <c r="M566" s="548"/>
      <c r="N566" s="549">
        <v>-64</v>
      </c>
      <c r="O566" s="544" t="s">
        <v>1674</v>
      </c>
      <c r="P566" s="544" t="s">
        <v>1674</v>
      </c>
      <c r="Q566" s="544" t="s">
        <v>3442</v>
      </c>
      <c r="R566" s="544" t="s">
        <v>2617</v>
      </c>
      <c r="S566" s="544" t="s">
        <v>1674</v>
      </c>
      <c r="T566" s="550">
        <v>19</v>
      </c>
      <c r="U566" s="544" t="s">
        <v>3323</v>
      </c>
      <c r="V566" s="547">
        <v>1421</v>
      </c>
      <c r="W566" s="548"/>
      <c r="Y566" s="544" t="s">
        <v>1674</v>
      </c>
      <c r="AA566" s="544" t="s">
        <v>1674</v>
      </c>
      <c r="AE566" s="551"/>
      <c r="AF566" s="544" t="s">
        <v>1674</v>
      </c>
      <c r="AG566" s="544" t="s">
        <v>1674</v>
      </c>
      <c r="AH566" s="544" t="s">
        <v>1674</v>
      </c>
      <c r="AI566" s="544" t="s">
        <v>1674</v>
      </c>
      <c r="AJ566" s="544" t="s">
        <v>1674</v>
      </c>
      <c r="AK566" s="544" t="s">
        <v>1674</v>
      </c>
      <c r="AL566" s="544" t="s">
        <v>1674</v>
      </c>
      <c r="AM566" s="544" t="s">
        <v>1674</v>
      </c>
      <c r="AN566" s="544" t="s">
        <v>1674</v>
      </c>
      <c r="AP566" s="542">
        <f t="shared" si="19"/>
        <v>-3</v>
      </c>
      <c r="AR566" s="552">
        <f t="shared" si="18"/>
        <v>0</v>
      </c>
    </row>
    <row r="567" spans="1:44" outlineLevel="1" x14ac:dyDescent="0.25">
      <c r="A567" s="544" t="s">
        <v>1674</v>
      </c>
      <c r="B567" s="545">
        <v>0</v>
      </c>
      <c r="C567" s="544" t="s">
        <v>1674</v>
      </c>
      <c r="D567" s="544" t="s">
        <v>3659</v>
      </c>
      <c r="E567" s="542" t="s">
        <v>3601</v>
      </c>
      <c r="F567" s="542" t="s">
        <v>3660</v>
      </c>
      <c r="G567" s="546">
        <v>2834.66</v>
      </c>
      <c r="H567" s="546"/>
      <c r="I567" s="546">
        <v>3034.5</v>
      </c>
      <c r="J567" s="542" t="s">
        <v>2701</v>
      </c>
      <c r="K567" s="547">
        <v>8401</v>
      </c>
      <c r="L567" s="542" t="s">
        <v>806</v>
      </c>
      <c r="M567" s="548"/>
      <c r="N567" s="549">
        <v>-64</v>
      </c>
      <c r="O567" s="544" t="s">
        <v>1674</v>
      </c>
      <c r="P567" s="544" t="s">
        <v>1674</v>
      </c>
      <c r="Q567" s="544" t="s">
        <v>3442</v>
      </c>
      <c r="R567" s="544" t="s">
        <v>1674</v>
      </c>
      <c r="S567" s="544" t="s">
        <v>1674</v>
      </c>
      <c r="T567" s="550">
        <v>19</v>
      </c>
      <c r="U567" s="544" t="s">
        <v>3323</v>
      </c>
      <c r="V567" s="547">
        <v>1422</v>
      </c>
      <c r="W567" s="548"/>
      <c r="Y567" s="544" t="s">
        <v>1674</v>
      </c>
      <c r="AA567" s="544" t="s">
        <v>1674</v>
      </c>
      <c r="AE567" s="551"/>
      <c r="AF567" s="544" t="s">
        <v>1674</v>
      </c>
      <c r="AG567" s="544" t="s">
        <v>1674</v>
      </c>
      <c r="AH567" s="544" t="s">
        <v>1674</v>
      </c>
      <c r="AI567" s="544" t="s">
        <v>1674</v>
      </c>
      <c r="AJ567" s="544" t="s">
        <v>1674</v>
      </c>
      <c r="AK567" s="544" t="s">
        <v>1674</v>
      </c>
      <c r="AL567" s="544" t="s">
        <v>1674</v>
      </c>
      <c r="AM567" s="544" t="s">
        <v>1674</v>
      </c>
      <c r="AN567" s="544" t="s">
        <v>1674</v>
      </c>
      <c r="AP567" s="542">
        <f t="shared" si="19"/>
        <v>-3</v>
      </c>
      <c r="AR567" s="552">
        <f t="shared" si="18"/>
        <v>3034.5</v>
      </c>
    </row>
    <row r="568" spans="1:44" outlineLevel="1" x14ac:dyDescent="0.25">
      <c r="A568" s="544" t="s">
        <v>1674</v>
      </c>
      <c r="B568" s="545">
        <v>10700</v>
      </c>
      <c r="C568" s="544" t="s">
        <v>2836</v>
      </c>
      <c r="D568" s="544" t="s">
        <v>3661</v>
      </c>
      <c r="E568" s="542" t="s">
        <v>3326</v>
      </c>
      <c r="F568" s="542" t="s">
        <v>3662</v>
      </c>
      <c r="G568" s="546">
        <v>3470.04</v>
      </c>
      <c r="H568" s="546"/>
      <c r="I568" s="546">
        <v>3470.04</v>
      </c>
      <c r="J568" s="542" t="s">
        <v>2701</v>
      </c>
      <c r="K568" s="547">
        <v>8400</v>
      </c>
      <c r="L568" s="542" t="s">
        <v>806</v>
      </c>
      <c r="M568" s="548"/>
      <c r="N568" s="549">
        <v>-60</v>
      </c>
      <c r="O568" s="544" t="s">
        <v>1674</v>
      </c>
      <c r="P568" s="544" t="s">
        <v>1674</v>
      </c>
      <c r="Q568" s="544" t="s">
        <v>2839</v>
      </c>
      <c r="R568" s="544" t="s">
        <v>1674</v>
      </c>
      <c r="S568" s="544" t="s">
        <v>1674</v>
      </c>
      <c r="T568" s="550">
        <v>19</v>
      </c>
      <c r="U568" s="544" t="s">
        <v>3328</v>
      </c>
      <c r="V568" s="547">
        <v>147</v>
      </c>
      <c r="W568" s="548"/>
      <c r="Y568" s="544" t="s">
        <v>1674</v>
      </c>
      <c r="AA568" s="544" t="s">
        <v>1674</v>
      </c>
      <c r="AE568" s="551"/>
      <c r="AF568" s="544" t="s">
        <v>1674</v>
      </c>
      <c r="AG568" s="544" t="s">
        <v>1674</v>
      </c>
      <c r="AH568" s="544" t="s">
        <v>1674</v>
      </c>
      <c r="AI568" s="544" t="s">
        <v>1674</v>
      </c>
      <c r="AJ568" s="544" t="s">
        <v>1674</v>
      </c>
      <c r="AK568" s="544" t="s">
        <v>1674</v>
      </c>
      <c r="AL568" s="544" t="s">
        <v>1674</v>
      </c>
      <c r="AM568" s="544" t="s">
        <v>2836</v>
      </c>
      <c r="AN568" s="544" t="s">
        <v>1674</v>
      </c>
      <c r="AP568" s="542">
        <f t="shared" si="19"/>
        <v>1</v>
      </c>
      <c r="AR568" s="552">
        <f t="shared" si="18"/>
        <v>3470.04</v>
      </c>
    </row>
    <row r="569" spans="1:44" outlineLevel="1" x14ac:dyDescent="0.25">
      <c r="A569" s="544" t="s">
        <v>1674</v>
      </c>
      <c r="B569" s="545">
        <v>21606</v>
      </c>
      <c r="C569" s="544" t="s">
        <v>3051</v>
      </c>
      <c r="D569" s="544" t="s">
        <v>3663</v>
      </c>
      <c r="E569" s="542" t="s">
        <v>3326</v>
      </c>
      <c r="F569" s="542" t="s">
        <v>3662</v>
      </c>
      <c r="G569" s="546">
        <v>2093.1</v>
      </c>
      <c r="H569" s="546"/>
      <c r="I569" s="546"/>
      <c r="J569" s="542" t="s">
        <v>806</v>
      </c>
      <c r="K569" s="547">
        <v>8125</v>
      </c>
      <c r="L569" s="542" t="s">
        <v>806</v>
      </c>
      <c r="M569" s="548"/>
      <c r="N569" s="549">
        <v>-60</v>
      </c>
      <c r="O569" s="544" t="s">
        <v>1674</v>
      </c>
      <c r="P569" s="544" t="s">
        <v>1674</v>
      </c>
      <c r="Q569" s="544" t="s">
        <v>3053</v>
      </c>
      <c r="R569" s="544" t="s">
        <v>1674</v>
      </c>
      <c r="S569" s="544" t="s">
        <v>1674</v>
      </c>
      <c r="T569" s="550"/>
      <c r="U569" s="544" t="s">
        <v>3328</v>
      </c>
      <c r="V569" s="547">
        <v>145</v>
      </c>
      <c r="W569" s="548"/>
      <c r="Y569" s="544" t="s">
        <v>1674</v>
      </c>
      <c r="AA569" s="544" t="s">
        <v>1674</v>
      </c>
      <c r="AE569" s="551"/>
      <c r="AF569" s="544" t="s">
        <v>1674</v>
      </c>
      <c r="AG569" s="544" t="s">
        <v>1674</v>
      </c>
      <c r="AH569" s="544" t="s">
        <v>1674</v>
      </c>
      <c r="AI569" s="544" t="s">
        <v>1674</v>
      </c>
      <c r="AJ569" s="544" t="s">
        <v>1674</v>
      </c>
      <c r="AK569" s="544" t="s">
        <v>1674</v>
      </c>
      <c r="AL569" s="544" t="s">
        <v>1674</v>
      </c>
      <c r="AM569" s="544" t="s">
        <v>3054</v>
      </c>
      <c r="AN569" s="544" t="s">
        <v>1674</v>
      </c>
      <c r="AP569" s="542">
        <f t="shared" si="19"/>
        <v>1</v>
      </c>
      <c r="AR569" s="552">
        <f t="shared" si="18"/>
        <v>0</v>
      </c>
    </row>
    <row r="570" spans="1:44" outlineLevel="1" x14ac:dyDescent="0.25">
      <c r="A570" s="544" t="s">
        <v>1674</v>
      </c>
      <c r="B570" s="545">
        <v>0</v>
      </c>
      <c r="C570" s="544" t="s">
        <v>1674</v>
      </c>
      <c r="D570" s="544" t="s">
        <v>3663</v>
      </c>
      <c r="E570" s="542" t="s">
        <v>3326</v>
      </c>
      <c r="F570" s="542" t="s">
        <v>3662</v>
      </c>
      <c r="G570" s="546">
        <v>6.9</v>
      </c>
      <c r="H570" s="546"/>
      <c r="I570" s="546">
        <v>2100</v>
      </c>
      <c r="J570" s="542" t="s">
        <v>2701</v>
      </c>
      <c r="K570" s="547">
        <v>8125</v>
      </c>
      <c r="L570" s="542" t="s">
        <v>806</v>
      </c>
      <c r="M570" s="548"/>
      <c r="N570" s="549">
        <v>-60</v>
      </c>
      <c r="O570" s="544" t="s">
        <v>1674</v>
      </c>
      <c r="P570" s="544" t="s">
        <v>1674</v>
      </c>
      <c r="Q570" s="544" t="s">
        <v>3053</v>
      </c>
      <c r="R570" s="544" t="s">
        <v>2617</v>
      </c>
      <c r="S570" s="544" t="s">
        <v>1674</v>
      </c>
      <c r="T570" s="550"/>
      <c r="U570" s="544" t="s">
        <v>3328</v>
      </c>
      <c r="V570" s="547">
        <v>146</v>
      </c>
      <c r="W570" s="548"/>
      <c r="Y570" s="544" t="s">
        <v>1674</v>
      </c>
      <c r="AA570" s="544" t="s">
        <v>1674</v>
      </c>
      <c r="AE570" s="551"/>
      <c r="AF570" s="544" t="s">
        <v>1674</v>
      </c>
      <c r="AG570" s="544" t="s">
        <v>1674</v>
      </c>
      <c r="AH570" s="544" t="s">
        <v>1674</v>
      </c>
      <c r="AI570" s="544" t="s">
        <v>1674</v>
      </c>
      <c r="AJ570" s="544" t="s">
        <v>1674</v>
      </c>
      <c r="AK570" s="544" t="s">
        <v>1674</v>
      </c>
      <c r="AL570" s="544" t="s">
        <v>1674</v>
      </c>
      <c r="AM570" s="544" t="s">
        <v>1674</v>
      </c>
      <c r="AN570" s="544" t="s">
        <v>1674</v>
      </c>
      <c r="AP570" s="542">
        <f t="shared" si="19"/>
        <v>1</v>
      </c>
      <c r="AR570" s="552">
        <f t="shared" si="18"/>
        <v>2100</v>
      </c>
    </row>
    <row r="571" spans="1:44" outlineLevel="1" x14ac:dyDescent="0.25">
      <c r="A571" s="544" t="s">
        <v>1674</v>
      </c>
      <c r="B571" s="545">
        <v>10200</v>
      </c>
      <c r="C571" s="544" t="s">
        <v>2774</v>
      </c>
      <c r="D571" s="544" t="s">
        <v>3664</v>
      </c>
      <c r="E571" s="542" t="s">
        <v>3665</v>
      </c>
      <c r="F571" s="542" t="s">
        <v>3666</v>
      </c>
      <c r="G571" s="546">
        <v>9213.74</v>
      </c>
      <c r="H571" s="546"/>
      <c r="I571" s="546"/>
      <c r="J571" s="542" t="s">
        <v>806</v>
      </c>
      <c r="K571" s="547">
        <v>8401</v>
      </c>
      <c r="L571" s="542" t="s">
        <v>806</v>
      </c>
      <c r="M571" s="548"/>
      <c r="N571" s="549">
        <v>-59</v>
      </c>
      <c r="O571" s="544" t="s">
        <v>1674</v>
      </c>
      <c r="P571" s="544" t="s">
        <v>1674</v>
      </c>
      <c r="Q571" s="544" t="s">
        <v>3588</v>
      </c>
      <c r="R571" s="544" t="s">
        <v>1674</v>
      </c>
      <c r="S571" s="544" t="s">
        <v>1674</v>
      </c>
      <c r="T571" s="550">
        <v>19</v>
      </c>
      <c r="U571" s="544" t="s">
        <v>3328</v>
      </c>
      <c r="V571" s="547">
        <v>185</v>
      </c>
      <c r="W571" s="548"/>
      <c r="Y571" s="544" t="s">
        <v>1674</v>
      </c>
      <c r="AA571" s="544" t="s">
        <v>1674</v>
      </c>
      <c r="AE571" s="551"/>
      <c r="AF571" s="544" t="s">
        <v>1674</v>
      </c>
      <c r="AG571" s="544" t="s">
        <v>1674</v>
      </c>
      <c r="AH571" s="544" t="s">
        <v>1674</v>
      </c>
      <c r="AI571" s="544" t="s">
        <v>1674</v>
      </c>
      <c r="AJ571" s="544" t="s">
        <v>1674</v>
      </c>
      <c r="AK571" s="544" t="s">
        <v>1674</v>
      </c>
      <c r="AL571" s="544" t="s">
        <v>1674</v>
      </c>
      <c r="AM571" s="544" t="s">
        <v>2774</v>
      </c>
      <c r="AN571" s="544" t="s">
        <v>1674</v>
      </c>
      <c r="AP571" s="542">
        <f t="shared" si="19"/>
        <v>2</v>
      </c>
      <c r="AR571" s="552">
        <f t="shared" si="18"/>
        <v>0</v>
      </c>
    </row>
    <row r="572" spans="1:44" outlineLevel="1" x14ac:dyDescent="0.25">
      <c r="A572" s="544" t="s">
        <v>1674</v>
      </c>
      <c r="B572" s="545">
        <v>0</v>
      </c>
      <c r="C572" s="544" t="s">
        <v>1674</v>
      </c>
      <c r="D572" s="544" t="s">
        <v>3664</v>
      </c>
      <c r="E572" s="542" t="s">
        <v>3665</v>
      </c>
      <c r="F572" s="542" t="s">
        <v>3666</v>
      </c>
      <c r="G572" s="546">
        <v>53.98</v>
      </c>
      <c r="H572" s="546"/>
      <c r="I572" s="546">
        <v>9267.7199999999993</v>
      </c>
      <c r="J572" s="542" t="s">
        <v>2701</v>
      </c>
      <c r="K572" s="547">
        <v>8400</v>
      </c>
      <c r="L572" s="542" t="s">
        <v>806</v>
      </c>
      <c r="M572" s="548"/>
      <c r="N572" s="549">
        <v>-59</v>
      </c>
      <c r="O572" s="544" t="s">
        <v>1674</v>
      </c>
      <c r="P572" s="544" t="s">
        <v>1674</v>
      </c>
      <c r="Q572" s="544" t="s">
        <v>3588</v>
      </c>
      <c r="R572" s="544" t="s">
        <v>2617</v>
      </c>
      <c r="S572" s="544" t="s">
        <v>1674</v>
      </c>
      <c r="T572" s="550">
        <v>19</v>
      </c>
      <c r="U572" s="544" t="s">
        <v>3328</v>
      </c>
      <c r="V572" s="547">
        <v>186</v>
      </c>
      <c r="W572" s="548"/>
      <c r="Y572" s="544" t="s">
        <v>1674</v>
      </c>
      <c r="AA572" s="544" t="s">
        <v>1674</v>
      </c>
      <c r="AE572" s="551"/>
      <c r="AF572" s="544" t="s">
        <v>1674</v>
      </c>
      <c r="AG572" s="544" t="s">
        <v>1674</v>
      </c>
      <c r="AH572" s="544" t="s">
        <v>1674</v>
      </c>
      <c r="AI572" s="544" t="s">
        <v>1674</v>
      </c>
      <c r="AJ572" s="544" t="s">
        <v>1674</v>
      </c>
      <c r="AK572" s="544" t="s">
        <v>1674</v>
      </c>
      <c r="AL572" s="544" t="s">
        <v>1674</v>
      </c>
      <c r="AM572" s="544" t="s">
        <v>1674</v>
      </c>
      <c r="AN572" s="544" t="s">
        <v>1674</v>
      </c>
      <c r="AP572" s="542">
        <f t="shared" si="19"/>
        <v>2</v>
      </c>
      <c r="AR572" s="552">
        <f t="shared" si="18"/>
        <v>9267.7199999999993</v>
      </c>
    </row>
    <row r="573" spans="1:44" outlineLevel="1" x14ac:dyDescent="0.25">
      <c r="A573" s="544" t="s">
        <v>1674</v>
      </c>
      <c r="B573" s="545">
        <v>0</v>
      </c>
      <c r="C573" s="544" t="s">
        <v>1674</v>
      </c>
      <c r="D573" s="544" t="s">
        <v>3667</v>
      </c>
      <c r="E573" s="542" t="s">
        <v>3665</v>
      </c>
      <c r="F573" s="542" t="s">
        <v>3666</v>
      </c>
      <c r="G573" s="546">
        <v>595</v>
      </c>
      <c r="H573" s="546"/>
      <c r="I573" s="546">
        <v>595</v>
      </c>
      <c r="J573" s="542" t="s">
        <v>2701</v>
      </c>
      <c r="K573" s="547">
        <v>8404</v>
      </c>
      <c r="L573" s="542" t="s">
        <v>806</v>
      </c>
      <c r="M573" s="548"/>
      <c r="N573" s="549">
        <v>-59</v>
      </c>
      <c r="O573" s="544" t="s">
        <v>1674</v>
      </c>
      <c r="P573" s="544" t="s">
        <v>1674</v>
      </c>
      <c r="Q573" s="544" t="s">
        <v>3588</v>
      </c>
      <c r="R573" s="544" t="s">
        <v>1674</v>
      </c>
      <c r="S573" s="544" t="s">
        <v>1674</v>
      </c>
      <c r="T573" s="550">
        <v>19</v>
      </c>
      <c r="U573" s="544" t="s">
        <v>3328</v>
      </c>
      <c r="V573" s="547">
        <v>195</v>
      </c>
      <c r="W573" s="548"/>
      <c r="Y573" s="544" t="s">
        <v>1674</v>
      </c>
      <c r="AA573" s="544" t="s">
        <v>1674</v>
      </c>
      <c r="AE573" s="551"/>
      <c r="AF573" s="544" t="s">
        <v>1674</v>
      </c>
      <c r="AG573" s="544" t="s">
        <v>1674</v>
      </c>
      <c r="AH573" s="544" t="s">
        <v>1674</v>
      </c>
      <c r="AI573" s="544" t="s">
        <v>1674</v>
      </c>
      <c r="AJ573" s="544" t="s">
        <v>1674</v>
      </c>
      <c r="AK573" s="544" t="s">
        <v>1674</v>
      </c>
      <c r="AL573" s="544" t="s">
        <v>1674</v>
      </c>
      <c r="AM573" s="544" t="s">
        <v>1674</v>
      </c>
      <c r="AN573" s="544" t="s">
        <v>1674</v>
      </c>
      <c r="AP573" s="542">
        <f t="shared" si="19"/>
        <v>2</v>
      </c>
      <c r="AR573" s="552">
        <f t="shared" si="18"/>
        <v>595</v>
      </c>
    </row>
    <row r="574" spans="1:44" outlineLevel="1" x14ac:dyDescent="0.25">
      <c r="A574" s="544" t="s">
        <v>1674</v>
      </c>
      <c r="B574" s="545">
        <v>0</v>
      </c>
      <c r="C574" s="544" t="s">
        <v>1674</v>
      </c>
      <c r="D574" s="544" t="s">
        <v>3668</v>
      </c>
      <c r="E574" s="542" t="s">
        <v>3665</v>
      </c>
      <c r="F574" s="542" t="s">
        <v>3666</v>
      </c>
      <c r="G574" s="546">
        <v>595</v>
      </c>
      <c r="H574" s="546"/>
      <c r="I574" s="546">
        <v>595</v>
      </c>
      <c r="J574" s="542" t="s">
        <v>2701</v>
      </c>
      <c r="K574" s="547">
        <v>8404</v>
      </c>
      <c r="L574" s="542" t="s">
        <v>806</v>
      </c>
      <c r="M574" s="548"/>
      <c r="N574" s="549">
        <v>-59</v>
      </c>
      <c r="O574" s="544" t="s">
        <v>1674</v>
      </c>
      <c r="P574" s="544" t="s">
        <v>1674</v>
      </c>
      <c r="Q574" s="544" t="s">
        <v>3588</v>
      </c>
      <c r="R574" s="544" t="s">
        <v>1674</v>
      </c>
      <c r="S574" s="544" t="s">
        <v>1674</v>
      </c>
      <c r="T574" s="550">
        <v>19</v>
      </c>
      <c r="U574" s="544" t="s">
        <v>3328</v>
      </c>
      <c r="V574" s="547">
        <v>196</v>
      </c>
      <c r="W574" s="548"/>
      <c r="Y574" s="544" t="s">
        <v>1674</v>
      </c>
      <c r="AA574" s="544" t="s">
        <v>1674</v>
      </c>
      <c r="AE574" s="551"/>
      <c r="AF574" s="544" t="s">
        <v>1674</v>
      </c>
      <c r="AG574" s="544" t="s">
        <v>1674</v>
      </c>
      <c r="AH574" s="544" t="s">
        <v>1674</v>
      </c>
      <c r="AI574" s="544" t="s">
        <v>1674</v>
      </c>
      <c r="AJ574" s="544" t="s">
        <v>1674</v>
      </c>
      <c r="AK574" s="544" t="s">
        <v>1674</v>
      </c>
      <c r="AL574" s="544" t="s">
        <v>1674</v>
      </c>
      <c r="AM574" s="544" t="s">
        <v>1674</v>
      </c>
      <c r="AN574" s="544" t="s">
        <v>1674</v>
      </c>
      <c r="AP574" s="542">
        <f t="shared" si="19"/>
        <v>2</v>
      </c>
      <c r="AR574" s="552">
        <f t="shared" si="18"/>
        <v>595</v>
      </c>
    </row>
    <row r="575" spans="1:44" outlineLevel="1" x14ac:dyDescent="0.25">
      <c r="A575" s="544" t="s">
        <v>1674</v>
      </c>
      <c r="B575" s="545">
        <v>10400</v>
      </c>
      <c r="C575" s="544" t="s">
        <v>2730</v>
      </c>
      <c r="D575" s="544" t="s">
        <v>3669</v>
      </c>
      <c r="E575" s="542" t="s">
        <v>3665</v>
      </c>
      <c r="F575" s="542" t="s">
        <v>3666</v>
      </c>
      <c r="G575" s="546">
        <v>710.07</v>
      </c>
      <c r="H575" s="546"/>
      <c r="I575" s="546"/>
      <c r="J575" s="542" t="s">
        <v>806</v>
      </c>
      <c r="K575" s="547">
        <v>8400</v>
      </c>
      <c r="L575" s="542" t="s">
        <v>806</v>
      </c>
      <c r="M575" s="548"/>
      <c r="N575" s="549">
        <v>-59</v>
      </c>
      <c r="O575" s="544" t="s">
        <v>1674</v>
      </c>
      <c r="P575" s="544" t="s">
        <v>1674</v>
      </c>
      <c r="Q575" s="544" t="s">
        <v>2733</v>
      </c>
      <c r="R575" s="544" t="s">
        <v>1674</v>
      </c>
      <c r="S575" s="544" t="s">
        <v>1674</v>
      </c>
      <c r="T575" s="550">
        <v>19</v>
      </c>
      <c r="U575" s="544" t="s">
        <v>3328</v>
      </c>
      <c r="V575" s="547">
        <v>187</v>
      </c>
      <c r="W575" s="548"/>
      <c r="Y575" s="544" t="s">
        <v>1674</v>
      </c>
      <c r="AA575" s="544" t="s">
        <v>1674</v>
      </c>
      <c r="AE575" s="551"/>
      <c r="AF575" s="544" t="s">
        <v>1674</v>
      </c>
      <c r="AG575" s="544" t="s">
        <v>1674</v>
      </c>
      <c r="AH575" s="544" t="s">
        <v>1674</v>
      </c>
      <c r="AI575" s="544" t="s">
        <v>1674</v>
      </c>
      <c r="AJ575" s="544" t="s">
        <v>1674</v>
      </c>
      <c r="AK575" s="544" t="s">
        <v>1674</v>
      </c>
      <c r="AL575" s="544" t="s">
        <v>1674</v>
      </c>
      <c r="AM575" s="544" t="s">
        <v>2730</v>
      </c>
      <c r="AN575" s="544" t="s">
        <v>1674</v>
      </c>
      <c r="AP575" s="542">
        <f t="shared" si="19"/>
        <v>2</v>
      </c>
      <c r="AR575" s="552">
        <f t="shared" si="18"/>
        <v>0</v>
      </c>
    </row>
    <row r="576" spans="1:44" outlineLevel="1" x14ac:dyDescent="0.25">
      <c r="A576" s="544" t="s">
        <v>1674</v>
      </c>
      <c r="B576" s="545">
        <v>0</v>
      </c>
      <c r="C576" s="544" t="s">
        <v>1674</v>
      </c>
      <c r="D576" s="544" t="s">
        <v>3669</v>
      </c>
      <c r="E576" s="542" t="s">
        <v>3665</v>
      </c>
      <c r="F576" s="542" t="s">
        <v>3666</v>
      </c>
      <c r="G576" s="546">
        <v>37.49</v>
      </c>
      <c r="H576" s="546"/>
      <c r="I576" s="546"/>
      <c r="J576" s="542" t="s">
        <v>806</v>
      </c>
      <c r="K576" s="547">
        <v>8400</v>
      </c>
      <c r="L576" s="542" t="s">
        <v>806</v>
      </c>
      <c r="M576" s="548"/>
      <c r="N576" s="549">
        <v>-59</v>
      </c>
      <c r="O576" s="544" t="s">
        <v>1674</v>
      </c>
      <c r="P576" s="544" t="s">
        <v>1674</v>
      </c>
      <c r="Q576" s="544" t="s">
        <v>2733</v>
      </c>
      <c r="R576" s="544" t="s">
        <v>2617</v>
      </c>
      <c r="S576" s="544" t="s">
        <v>1674</v>
      </c>
      <c r="T576" s="550">
        <v>19</v>
      </c>
      <c r="U576" s="544" t="s">
        <v>3328</v>
      </c>
      <c r="V576" s="547">
        <v>188</v>
      </c>
      <c r="W576" s="548"/>
      <c r="Y576" s="544" t="s">
        <v>1674</v>
      </c>
      <c r="AA576" s="544" t="s">
        <v>1674</v>
      </c>
      <c r="AE576" s="551"/>
      <c r="AF576" s="544" t="s">
        <v>1674</v>
      </c>
      <c r="AG576" s="544" t="s">
        <v>1674</v>
      </c>
      <c r="AH576" s="544" t="s">
        <v>1674</v>
      </c>
      <c r="AI576" s="544" t="s">
        <v>1674</v>
      </c>
      <c r="AJ576" s="544" t="s">
        <v>1674</v>
      </c>
      <c r="AK576" s="544" t="s">
        <v>1674</v>
      </c>
      <c r="AL576" s="544" t="s">
        <v>1674</v>
      </c>
      <c r="AM576" s="544" t="s">
        <v>1674</v>
      </c>
      <c r="AN576" s="544" t="s">
        <v>1674</v>
      </c>
      <c r="AP576" s="542">
        <f t="shared" si="19"/>
        <v>2</v>
      </c>
      <c r="AR576" s="552">
        <f t="shared" si="18"/>
        <v>0</v>
      </c>
    </row>
    <row r="577" spans="1:44" outlineLevel="1" x14ac:dyDescent="0.25">
      <c r="A577" s="544" t="s">
        <v>1674</v>
      </c>
      <c r="B577" s="545">
        <v>0</v>
      </c>
      <c r="C577" s="544" t="s">
        <v>1674</v>
      </c>
      <c r="D577" s="544" t="s">
        <v>3669</v>
      </c>
      <c r="E577" s="542" t="s">
        <v>3665</v>
      </c>
      <c r="F577" s="542" t="s">
        <v>3666</v>
      </c>
      <c r="G577" s="546">
        <v>10605.04</v>
      </c>
      <c r="H577" s="546"/>
      <c r="I577" s="546">
        <v>11352.6</v>
      </c>
      <c r="J577" s="542" t="s">
        <v>2701</v>
      </c>
      <c r="K577" s="547">
        <v>8401</v>
      </c>
      <c r="L577" s="542" t="s">
        <v>806</v>
      </c>
      <c r="M577" s="548"/>
      <c r="N577" s="549">
        <v>-59</v>
      </c>
      <c r="O577" s="544" t="s">
        <v>1674</v>
      </c>
      <c r="P577" s="544" t="s">
        <v>1674</v>
      </c>
      <c r="Q577" s="544" t="s">
        <v>2733</v>
      </c>
      <c r="R577" s="544" t="s">
        <v>1674</v>
      </c>
      <c r="S577" s="544" t="s">
        <v>1674</v>
      </c>
      <c r="T577" s="550">
        <v>19</v>
      </c>
      <c r="U577" s="544" t="s">
        <v>3328</v>
      </c>
      <c r="V577" s="547">
        <v>189</v>
      </c>
      <c r="W577" s="548"/>
      <c r="Y577" s="544" t="s">
        <v>1674</v>
      </c>
      <c r="AA577" s="544" t="s">
        <v>1674</v>
      </c>
      <c r="AE577" s="551"/>
      <c r="AF577" s="544" t="s">
        <v>1674</v>
      </c>
      <c r="AG577" s="544" t="s">
        <v>1674</v>
      </c>
      <c r="AH577" s="544" t="s">
        <v>1674</v>
      </c>
      <c r="AI577" s="544" t="s">
        <v>1674</v>
      </c>
      <c r="AJ577" s="544" t="s">
        <v>1674</v>
      </c>
      <c r="AK577" s="544" t="s">
        <v>1674</v>
      </c>
      <c r="AL577" s="544" t="s">
        <v>1674</v>
      </c>
      <c r="AM577" s="544" t="s">
        <v>1674</v>
      </c>
      <c r="AN577" s="544" t="s">
        <v>1674</v>
      </c>
      <c r="AP577" s="542">
        <f t="shared" si="19"/>
        <v>2</v>
      </c>
      <c r="AR577" s="552">
        <f t="shared" si="18"/>
        <v>11352.6</v>
      </c>
    </row>
    <row r="578" spans="1:44" outlineLevel="1" x14ac:dyDescent="0.25">
      <c r="A578" s="544" t="s">
        <v>1674</v>
      </c>
      <c r="B578" s="545">
        <v>11211</v>
      </c>
      <c r="C578" s="544" t="s">
        <v>3329</v>
      </c>
      <c r="D578" s="544" t="s">
        <v>3670</v>
      </c>
      <c r="E578" s="542" t="s">
        <v>3665</v>
      </c>
      <c r="F578" s="542" t="s">
        <v>3666</v>
      </c>
      <c r="G578" s="546">
        <v>773.5</v>
      </c>
      <c r="H578" s="546"/>
      <c r="I578" s="546">
        <v>773.5</v>
      </c>
      <c r="J578" s="542" t="s">
        <v>2701</v>
      </c>
      <c r="K578" s="547">
        <v>8403</v>
      </c>
      <c r="L578" s="542" t="s">
        <v>806</v>
      </c>
      <c r="M578" s="548"/>
      <c r="N578" s="549">
        <v>-59</v>
      </c>
      <c r="O578" s="544" t="s">
        <v>1674</v>
      </c>
      <c r="P578" s="544" t="s">
        <v>1674</v>
      </c>
      <c r="Q578" s="544" t="s">
        <v>3333</v>
      </c>
      <c r="R578" s="544" t="s">
        <v>1674</v>
      </c>
      <c r="S578" s="544" t="s">
        <v>1674</v>
      </c>
      <c r="T578" s="550">
        <v>19</v>
      </c>
      <c r="U578" s="544" t="s">
        <v>3328</v>
      </c>
      <c r="V578" s="547">
        <v>197</v>
      </c>
      <c r="W578" s="548"/>
      <c r="Y578" s="544" t="s">
        <v>1674</v>
      </c>
      <c r="AA578" s="544" t="s">
        <v>1674</v>
      </c>
      <c r="AE578" s="551"/>
      <c r="AF578" s="544" t="s">
        <v>1674</v>
      </c>
      <c r="AG578" s="544" t="s">
        <v>1674</v>
      </c>
      <c r="AH578" s="544" t="s">
        <v>1674</v>
      </c>
      <c r="AI578" s="544" t="s">
        <v>1674</v>
      </c>
      <c r="AJ578" s="544" t="s">
        <v>1674</v>
      </c>
      <c r="AK578" s="544" t="s">
        <v>1674</v>
      </c>
      <c r="AL578" s="544" t="s">
        <v>1674</v>
      </c>
      <c r="AM578" s="544" t="s">
        <v>3334</v>
      </c>
      <c r="AN578" s="544" t="s">
        <v>1674</v>
      </c>
      <c r="AP578" s="542">
        <f t="shared" si="19"/>
        <v>2</v>
      </c>
      <c r="AR578" s="552">
        <f t="shared" si="18"/>
        <v>773.5</v>
      </c>
    </row>
    <row r="579" spans="1:44" outlineLevel="1" x14ac:dyDescent="0.25">
      <c r="A579" s="544" t="s">
        <v>1674</v>
      </c>
      <c r="B579" s="545">
        <v>30803</v>
      </c>
      <c r="C579" s="544" t="s">
        <v>2925</v>
      </c>
      <c r="D579" s="544" t="s">
        <v>3671</v>
      </c>
      <c r="E579" s="542" t="s">
        <v>3665</v>
      </c>
      <c r="F579" s="542" t="s">
        <v>3666</v>
      </c>
      <c r="G579" s="546">
        <v>1539.86</v>
      </c>
      <c r="H579" s="546"/>
      <c r="I579" s="546">
        <v>1539.86</v>
      </c>
      <c r="J579" s="542" t="s">
        <v>2701</v>
      </c>
      <c r="K579" s="547">
        <v>8400</v>
      </c>
      <c r="L579" s="542" t="s">
        <v>806</v>
      </c>
      <c r="M579" s="548"/>
      <c r="N579" s="549">
        <v>-59</v>
      </c>
      <c r="O579" s="544" t="s">
        <v>1674</v>
      </c>
      <c r="P579" s="544" t="s">
        <v>1674</v>
      </c>
      <c r="Q579" s="544" t="s">
        <v>3030</v>
      </c>
      <c r="R579" s="544" t="s">
        <v>1674</v>
      </c>
      <c r="S579" s="544" t="s">
        <v>1674</v>
      </c>
      <c r="T579" s="550">
        <v>19</v>
      </c>
      <c r="U579" s="544" t="s">
        <v>3328</v>
      </c>
      <c r="V579" s="547">
        <v>181</v>
      </c>
      <c r="W579" s="548"/>
      <c r="Y579" s="544" t="s">
        <v>1674</v>
      </c>
      <c r="AA579" s="544" t="s">
        <v>1674</v>
      </c>
      <c r="AE579" s="551"/>
      <c r="AF579" s="544" t="s">
        <v>1674</v>
      </c>
      <c r="AG579" s="544" t="s">
        <v>1674</v>
      </c>
      <c r="AH579" s="544" t="s">
        <v>1674</v>
      </c>
      <c r="AI579" s="544" t="s">
        <v>1674</v>
      </c>
      <c r="AJ579" s="544" t="s">
        <v>1674</v>
      </c>
      <c r="AK579" s="544" t="s">
        <v>1674</v>
      </c>
      <c r="AL579" s="544" t="s">
        <v>1674</v>
      </c>
      <c r="AM579" s="544" t="s">
        <v>2928</v>
      </c>
      <c r="AN579" s="544" t="s">
        <v>1674</v>
      </c>
      <c r="AP579" s="542">
        <f t="shared" si="19"/>
        <v>2</v>
      </c>
      <c r="AR579" s="552">
        <f t="shared" si="18"/>
        <v>1539.86</v>
      </c>
    </row>
    <row r="580" spans="1:44" outlineLevel="1" x14ac:dyDescent="0.25">
      <c r="A580" s="544" t="s">
        <v>1674</v>
      </c>
      <c r="B580" s="545">
        <v>11106</v>
      </c>
      <c r="C580" s="544" t="s">
        <v>3024</v>
      </c>
      <c r="D580" s="544" t="s">
        <v>3672</v>
      </c>
      <c r="E580" s="542" t="s">
        <v>3673</v>
      </c>
      <c r="F580" s="542" t="s">
        <v>3674</v>
      </c>
      <c r="G580" s="546">
        <v>119.89</v>
      </c>
      <c r="H580" s="546"/>
      <c r="I580" s="546"/>
      <c r="J580" s="542" t="s">
        <v>806</v>
      </c>
      <c r="K580" s="547">
        <v>8400</v>
      </c>
      <c r="L580" s="542" t="s">
        <v>806</v>
      </c>
      <c r="M580" s="548"/>
      <c r="N580" s="549">
        <v>-58</v>
      </c>
      <c r="O580" s="544" t="s">
        <v>1674</v>
      </c>
      <c r="P580" s="544" t="s">
        <v>1674</v>
      </c>
      <c r="Q580" s="544" t="s">
        <v>3026</v>
      </c>
      <c r="R580" s="544" t="s">
        <v>1674</v>
      </c>
      <c r="S580" s="544" t="s">
        <v>1674</v>
      </c>
      <c r="T580" s="550">
        <v>19</v>
      </c>
      <c r="U580" s="544" t="s">
        <v>3328</v>
      </c>
      <c r="V580" s="547">
        <v>230</v>
      </c>
      <c r="W580" s="548"/>
      <c r="Y580" s="544" t="s">
        <v>1674</v>
      </c>
      <c r="AA580" s="544" t="s">
        <v>1674</v>
      </c>
      <c r="AE580" s="551"/>
      <c r="AF580" s="544" t="s">
        <v>1674</v>
      </c>
      <c r="AG580" s="544" t="s">
        <v>1674</v>
      </c>
      <c r="AH580" s="544" t="s">
        <v>1674</v>
      </c>
      <c r="AI580" s="544" t="s">
        <v>1674</v>
      </c>
      <c r="AJ580" s="544" t="s">
        <v>1674</v>
      </c>
      <c r="AK580" s="544" t="s">
        <v>1674</v>
      </c>
      <c r="AL580" s="544" t="s">
        <v>1674</v>
      </c>
      <c r="AM580" s="544" t="s">
        <v>3027</v>
      </c>
      <c r="AN580" s="544" t="s">
        <v>1674</v>
      </c>
      <c r="AP580" s="542">
        <f t="shared" si="19"/>
        <v>3</v>
      </c>
      <c r="AR580" s="552">
        <f t="shared" si="18"/>
        <v>0</v>
      </c>
    </row>
    <row r="581" spans="1:44" outlineLevel="1" x14ac:dyDescent="0.25">
      <c r="A581" s="544" t="s">
        <v>1674</v>
      </c>
      <c r="B581" s="545">
        <v>0</v>
      </c>
      <c r="C581" s="544" t="s">
        <v>1674</v>
      </c>
      <c r="D581" s="544" t="s">
        <v>3672</v>
      </c>
      <c r="E581" s="542" t="s">
        <v>3673</v>
      </c>
      <c r="F581" s="542" t="s">
        <v>3674</v>
      </c>
      <c r="G581" s="546">
        <v>6.37</v>
      </c>
      <c r="H581" s="546"/>
      <c r="I581" s="546"/>
      <c r="J581" s="542" t="s">
        <v>806</v>
      </c>
      <c r="K581" s="547">
        <v>8400</v>
      </c>
      <c r="L581" s="542" t="s">
        <v>806</v>
      </c>
      <c r="M581" s="548"/>
      <c r="N581" s="549">
        <v>-58</v>
      </c>
      <c r="O581" s="544" t="s">
        <v>1674</v>
      </c>
      <c r="P581" s="544" t="s">
        <v>1674</v>
      </c>
      <c r="Q581" s="544" t="s">
        <v>3026</v>
      </c>
      <c r="R581" s="544" t="s">
        <v>2617</v>
      </c>
      <c r="S581" s="544" t="s">
        <v>1674</v>
      </c>
      <c r="T581" s="550">
        <v>19</v>
      </c>
      <c r="U581" s="544" t="s">
        <v>3328</v>
      </c>
      <c r="V581" s="547">
        <v>231</v>
      </c>
      <c r="W581" s="548"/>
      <c r="Y581" s="544" t="s">
        <v>1674</v>
      </c>
      <c r="AA581" s="544" t="s">
        <v>1674</v>
      </c>
      <c r="AE581" s="551"/>
      <c r="AF581" s="544" t="s">
        <v>1674</v>
      </c>
      <c r="AG581" s="544" t="s">
        <v>1674</v>
      </c>
      <c r="AH581" s="544" t="s">
        <v>1674</v>
      </c>
      <c r="AI581" s="544" t="s">
        <v>1674</v>
      </c>
      <c r="AJ581" s="544" t="s">
        <v>1674</v>
      </c>
      <c r="AK581" s="544" t="s">
        <v>1674</v>
      </c>
      <c r="AL581" s="544" t="s">
        <v>1674</v>
      </c>
      <c r="AM581" s="544" t="s">
        <v>1674</v>
      </c>
      <c r="AN581" s="544" t="s">
        <v>1674</v>
      </c>
      <c r="AP581" s="542">
        <f t="shared" si="19"/>
        <v>3</v>
      </c>
      <c r="AR581" s="552">
        <f t="shared" si="18"/>
        <v>0</v>
      </c>
    </row>
    <row r="582" spans="1:44" outlineLevel="1" x14ac:dyDescent="0.25">
      <c r="A582" s="544" t="s">
        <v>1674</v>
      </c>
      <c r="B582" s="545">
        <v>0</v>
      </c>
      <c r="C582" s="544" t="s">
        <v>1674</v>
      </c>
      <c r="D582" s="544" t="s">
        <v>3672</v>
      </c>
      <c r="E582" s="542" t="s">
        <v>3673</v>
      </c>
      <c r="F582" s="542" t="s">
        <v>3674</v>
      </c>
      <c r="G582" s="546">
        <v>2258.5</v>
      </c>
      <c r="H582" s="546"/>
      <c r="I582" s="546">
        <v>2384.7600000000002</v>
      </c>
      <c r="J582" s="542" t="s">
        <v>2701</v>
      </c>
      <c r="K582" s="547">
        <v>8401</v>
      </c>
      <c r="L582" s="542" t="s">
        <v>806</v>
      </c>
      <c r="M582" s="548"/>
      <c r="N582" s="549">
        <v>-58</v>
      </c>
      <c r="O582" s="544" t="s">
        <v>1674</v>
      </c>
      <c r="P582" s="544" t="s">
        <v>1674</v>
      </c>
      <c r="Q582" s="544" t="s">
        <v>3026</v>
      </c>
      <c r="R582" s="544" t="s">
        <v>1674</v>
      </c>
      <c r="S582" s="544" t="s">
        <v>1674</v>
      </c>
      <c r="T582" s="550">
        <v>19</v>
      </c>
      <c r="U582" s="544" t="s">
        <v>3328</v>
      </c>
      <c r="V582" s="547">
        <v>232</v>
      </c>
      <c r="W582" s="548"/>
      <c r="Y582" s="544" t="s">
        <v>1674</v>
      </c>
      <c r="AA582" s="544" t="s">
        <v>1674</v>
      </c>
      <c r="AE582" s="551"/>
      <c r="AF582" s="544" t="s">
        <v>1674</v>
      </c>
      <c r="AG582" s="544" t="s">
        <v>1674</v>
      </c>
      <c r="AH582" s="544" t="s">
        <v>1674</v>
      </c>
      <c r="AI582" s="544" t="s">
        <v>1674</v>
      </c>
      <c r="AJ582" s="544" t="s">
        <v>1674</v>
      </c>
      <c r="AK582" s="544" t="s">
        <v>1674</v>
      </c>
      <c r="AL582" s="544" t="s">
        <v>1674</v>
      </c>
      <c r="AM582" s="544" t="s">
        <v>1674</v>
      </c>
      <c r="AN582" s="544" t="s">
        <v>1674</v>
      </c>
      <c r="AP582" s="542">
        <f t="shared" si="19"/>
        <v>3</v>
      </c>
      <c r="AR582" s="552">
        <f t="shared" si="18"/>
        <v>2384.7600000000002</v>
      </c>
    </row>
    <row r="583" spans="1:44" outlineLevel="1" x14ac:dyDescent="0.25">
      <c r="A583" s="544" t="s">
        <v>1674</v>
      </c>
      <c r="B583" s="545">
        <v>11800</v>
      </c>
      <c r="C583" s="544" t="s">
        <v>2581</v>
      </c>
      <c r="D583" s="544" t="s">
        <v>3675</v>
      </c>
      <c r="E583" s="542" t="s">
        <v>3673</v>
      </c>
      <c r="G583" s="546"/>
      <c r="H583" s="546">
        <v>40.4</v>
      </c>
      <c r="I583" s="546">
        <v>40.4</v>
      </c>
      <c r="J583" s="542" t="s">
        <v>2584</v>
      </c>
      <c r="K583" s="547">
        <v>8400</v>
      </c>
      <c r="L583" s="542" t="s">
        <v>806</v>
      </c>
      <c r="M583" s="548"/>
      <c r="N583" s="549"/>
      <c r="O583" s="544" t="s">
        <v>1674</v>
      </c>
      <c r="P583" s="544" t="s">
        <v>1674</v>
      </c>
      <c r="Q583" s="544" t="s">
        <v>3676</v>
      </c>
      <c r="R583" s="544" t="s">
        <v>1674</v>
      </c>
      <c r="S583" s="544" t="s">
        <v>1674</v>
      </c>
      <c r="T583" s="550">
        <v>19</v>
      </c>
      <c r="U583" s="544" t="s">
        <v>3328</v>
      </c>
      <c r="V583" s="547">
        <v>221</v>
      </c>
      <c r="W583" s="548"/>
      <c r="Y583" s="544" t="s">
        <v>1674</v>
      </c>
      <c r="AA583" s="544" t="s">
        <v>1674</v>
      </c>
      <c r="AE583" s="551"/>
      <c r="AF583" s="544" t="s">
        <v>1674</v>
      </c>
      <c r="AG583" s="544" t="s">
        <v>1674</v>
      </c>
      <c r="AH583" s="544" t="s">
        <v>1674</v>
      </c>
      <c r="AI583" s="544" t="s">
        <v>1674</v>
      </c>
      <c r="AJ583" s="544" t="s">
        <v>1674</v>
      </c>
      <c r="AK583" s="544" t="s">
        <v>1674</v>
      </c>
      <c r="AL583" s="544" t="s">
        <v>1674</v>
      </c>
      <c r="AM583" s="544" t="s">
        <v>2581</v>
      </c>
      <c r="AN583" s="544" t="s">
        <v>1674</v>
      </c>
      <c r="AP583" s="542">
        <f t="shared" si="19"/>
        <v>0</v>
      </c>
      <c r="AR583" s="552">
        <f t="shared" si="18"/>
        <v>-40.4</v>
      </c>
    </row>
    <row r="584" spans="1:44" outlineLevel="1" x14ac:dyDescent="0.25">
      <c r="A584" s="544" t="s">
        <v>1674</v>
      </c>
      <c r="B584" s="545">
        <v>22506</v>
      </c>
      <c r="C584" s="544" t="s">
        <v>2859</v>
      </c>
      <c r="D584" s="544" t="s">
        <v>3677</v>
      </c>
      <c r="E584" s="542" t="s">
        <v>3673</v>
      </c>
      <c r="F584" s="542" t="s">
        <v>3674</v>
      </c>
      <c r="G584" s="546">
        <v>6834</v>
      </c>
      <c r="H584" s="546"/>
      <c r="I584" s="546">
        <v>6834</v>
      </c>
      <c r="J584" s="542" t="s">
        <v>2701</v>
      </c>
      <c r="K584" s="547">
        <v>8125</v>
      </c>
      <c r="L584" s="542" t="s">
        <v>806</v>
      </c>
      <c r="M584" s="548"/>
      <c r="N584" s="549">
        <v>-58</v>
      </c>
      <c r="O584" s="544" t="s">
        <v>1674</v>
      </c>
      <c r="P584" s="544" t="s">
        <v>1674</v>
      </c>
      <c r="Q584" s="544" t="s">
        <v>3013</v>
      </c>
      <c r="R584" s="544" t="s">
        <v>1674</v>
      </c>
      <c r="S584" s="544" t="s">
        <v>1674</v>
      </c>
      <c r="T584" s="550"/>
      <c r="U584" s="544" t="s">
        <v>3328</v>
      </c>
      <c r="V584" s="547">
        <v>238</v>
      </c>
      <c r="W584" s="548"/>
      <c r="Y584" s="544" t="s">
        <v>1674</v>
      </c>
      <c r="AA584" s="544" t="s">
        <v>1674</v>
      </c>
      <c r="AE584" s="551"/>
      <c r="AF584" s="544" t="s">
        <v>1674</v>
      </c>
      <c r="AG584" s="544" t="s">
        <v>1674</v>
      </c>
      <c r="AH584" s="544" t="s">
        <v>1674</v>
      </c>
      <c r="AI584" s="544" t="s">
        <v>1674</v>
      </c>
      <c r="AJ584" s="544" t="s">
        <v>1674</v>
      </c>
      <c r="AK584" s="544" t="s">
        <v>1674</v>
      </c>
      <c r="AL584" s="544" t="s">
        <v>1674</v>
      </c>
      <c r="AM584" s="544" t="s">
        <v>2863</v>
      </c>
      <c r="AN584" s="544" t="s">
        <v>1674</v>
      </c>
      <c r="AP584" s="542">
        <f t="shared" si="19"/>
        <v>3</v>
      </c>
      <c r="AR584" s="552">
        <f t="shared" si="18"/>
        <v>6834</v>
      </c>
    </row>
    <row r="585" spans="1:44" outlineLevel="1" x14ac:dyDescent="0.25">
      <c r="A585" s="544" t="s">
        <v>1674</v>
      </c>
      <c r="B585" s="545">
        <v>10109</v>
      </c>
      <c r="C585" s="544" t="s">
        <v>3678</v>
      </c>
      <c r="D585" s="544" t="s">
        <v>3679</v>
      </c>
      <c r="E585" s="542" t="s">
        <v>3616</v>
      </c>
      <c r="F585" s="542" t="s">
        <v>3680</v>
      </c>
      <c r="G585" s="546">
        <v>141.61000000000001</v>
      </c>
      <c r="H585" s="546"/>
      <c r="I585" s="546"/>
      <c r="J585" s="542" t="s">
        <v>806</v>
      </c>
      <c r="K585" s="547">
        <v>8401</v>
      </c>
      <c r="L585" s="542" t="s">
        <v>806</v>
      </c>
      <c r="M585" s="548"/>
      <c r="N585" s="549">
        <v>-56</v>
      </c>
      <c r="O585" s="544" t="s">
        <v>1674</v>
      </c>
      <c r="P585" s="544" t="s">
        <v>1674</v>
      </c>
      <c r="Q585" s="544" t="s">
        <v>3681</v>
      </c>
      <c r="R585" s="544" t="s">
        <v>1674</v>
      </c>
      <c r="S585" s="544" t="s">
        <v>1674</v>
      </c>
      <c r="T585" s="550">
        <v>19</v>
      </c>
      <c r="U585" s="544" t="s">
        <v>3328</v>
      </c>
      <c r="V585" s="547">
        <v>421</v>
      </c>
      <c r="W585" s="548"/>
      <c r="Y585" s="544" t="s">
        <v>1674</v>
      </c>
      <c r="AA585" s="544" t="s">
        <v>1674</v>
      </c>
      <c r="AE585" s="551"/>
      <c r="AF585" s="544" t="s">
        <v>1674</v>
      </c>
      <c r="AG585" s="544" t="s">
        <v>1674</v>
      </c>
      <c r="AH585" s="544" t="s">
        <v>1674</v>
      </c>
      <c r="AI585" s="544" t="s">
        <v>1674</v>
      </c>
      <c r="AJ585" s="544" t="s">
        <v>1674</v>
      </c>
      <c r="AK585" s="544" t="s">
        <v>1674</v>
      </c>
      <c r="AL585" s="544" t="s">
        <v>1674</v>
      </c>
      <c r="AM585" s="544" t="s">
        <v>3682</v>
      </c>
      <c r="AN585" s="544" t="s">
        <v>1674</v>
      </c>
      <c r="AP585" s="542">
        <f t="shared" si="19"/>
        <v>5</v>
      </c>
      <c r="AR585" s="552">
        <f t="shared" si="18"/>
        <v>0</v>
      </c>
    </row>
    <row r="586" spans="1:44" outlineLevel="1" x14ac:dyDescent="0.25">
      <c r="A586" s="544" t="s">
        <v>1674</v>
      </c>
      <c r="B586" s="545">
        <v>0</v>
      </c>
      <c r="C586" s="544" t="s">
        <v>1674</v>
      </c>
      <c r="D586" s="544" t="s">
        <v>3679</v>
      </c>
      <c r="E586" s="542" t="s">
        <v>3616</v>
      </c>
      <c r="F586" s="542" t="s">
        <v>3680</v>
      </c>
      <c r="G586" s="546">
        <v>7.14</v>
      </c>
      <c r="H586" s="546"/>
      <c r="I586" s="546">
        <v>148.75</v>
      </c>
      <c r="J586" s="542" t="s">
        <v>2701</v>
      </c>
      <c r="K586" s="547">
        <v>8401</v>
      </c>
      <c r="L586" s="542" t="s">
        <v>806</v>
      </c>
      <c r="M586" s="548"/>
      <c r="N586" s="549">
        <v>-56</v>
      </c>
      <c r="O586" s="544" t="s">
        <v>1674</v>
      </c>
      <c r="P586" s="544" t="s">
        <v>1674</v>
      </c>
      <c r="Q586" s="544" t="s">
        <v>3683</v>
      </c>
      <c r="R586" s="544" t="s">
        <v>1674</v>
      </c>
      <c r="S586" s="544" t="s">
        <v>1674</v>
      </c>
      <c r="T586" s="550">
        <v>19</v>
      </c>
      <c r="U586" s="544" t="s">
        <v>3328</v>
      </c>
      <c r="V586" s="547">
        <v>422</v>
      </c>
      <c r="W586" s="548"/>
      <c r="Y586" s="544" t="s">
        <v>1674</v>
      </c>
      <c r="AA586" s="544" t="s">
        <v>1674</v>
      </c>
      <c r="AE586" s="551"/>
      <c r="AF586" s="544" t="s">
        <v>1674</v>
      </c>
      <c r="AG586" s="544" t="s">
        <v>1674</v>
      </c>
      <c r="AH586" s="544" t="s">
        <v>1674</v>
      </c>
      <c r="AI586" s="544" t="s">
        <v>1674</v>
      </c>
      <c r="AJ586" s="544" t="s">
        <v>1674</v>
      </c>
      <c r="AK586" s="544" t="s">
        <v>1674</v>
      </c>
      <c r="AL586" s="544" t="s">
        <v>1674</v>
      </c>
      <c r="AM586" s="544" t="s">
        <v>1674</v>
      </c>
      <c r="AN586" s="544" t="s">
        <v>1674</v>
      </c>
      <c r="AP586" s="542">
        <f t="shared" si="19"/>
        <v>5</v>
      </c>
      <c r="AR586" s="552">
        <f t="shared" si="18"/>
        <v>148.75</v>
      </c>
    </row>
    <row r="587" spans="1:44" outlineLevel="1" x14ac:dyDescent="0.25">
      <c r="A587" s="544" t="s">
        <v>1674</v>
      </c>
      <c r="B587" s="545">
        <v>10233</v>
      </c>
      <c r="C587" s="544" t="s">
        <v>3684</v>
      </c>
      <c r="D587" s="544" t="s">
        <v>3685</v>
      </c>
      <c r="E587" s="542" t="s">
        <v>3616</v>
      </c>
      <c r="F587" s="542" t="s">
        <v>3680</v>
      </c>
      <c r="G587" s="546">
        <v>1731.45</v>
      </c>
      <c r="H587" s="546"/>
      <c r="I587" s="546">
        <v>1731.45</v>
      </c>
      <c r="J587" s="542" t="s">
        <v>2701</v>
      </c>
      <c r="K587" s="547">
        <v>8401</v>
      </c>
      <c r="L587" s="542" t="s">
        <v>806</v>
      </c>
      <c r="M587" s="548"/>
      <c r="N587" s="549">
        <v>-56</v>
      </c>
      <c r="O587" s="544" t="s">
        <v>1674</v>
      </c>
      <c r="P587" s="544" t="s">
        <v>1674</v>
      </c>
      <c r="Q587" s="544" t="s">
        <v>3686</v>
      </c>
      <c r="R587" s="544" t="s">
        <v>1674</v>
      </c>
      <c r="S587" s="544" t="s">
        <v>1674</v>
      </c>
      <c r="T587" s="550">
        <v>19</v>
      </c>
      <c r="U587" s="544" t="s">
        <v>3328</v>
      </c>
      <c r="V587" s="547">
        <v>438</v>
      </c>
      <c r="W587" s="548"/>
      <c r="Y587" s="544" t="s">
        <v>1674</v>
      </c>
      <c r="AA587" s="544" t="s">
        <v>1674</v>
      </c>
      <c r="AE587" s="551"/>
      <c r="AF587" s="544" t="s">
        <v>1674</v>
      </c>
      <c r="AG587" s="544" t="s">
        <v>1674</v>
      </c>
      <c r="AH587" s="544" t="s">
        <v>1674</v>
      </c>
      <c r="AI587" s="544" t="s">
        <v>1674</v>
      </c>
      <c r="AJ587" s="544" t="s">
        <v>1674</v>
      </c>
      <c r="AK587" s="544" t="s">
        <v>1674</v>
      </c>
      <c r="AL587" s="544" t="s">
        <v>1674</v>
      </c>
      <c r="AM587" s="544" t="s">
        <v>3687</v>
      </c>
      <c r="AN587" s="544" t="s">
        <v>1674</v>
      </c>
      <c r="AP587" s="542">
        <f t="shared" si="19"/>
        <v>5</v>
      </c>
      <c r="AR587" s="552">
        <f t="shared" si="18"/>
        <v>1731.45</v>
      </c>
    </row>
    <row r="588" spans="1:44" outlineLevel="1" x14ac:dyDescent="0.25">
      <c r="A588" s="544" t="s">
        <v>1674</v>
      </c>
      <c r="B588" s="545">
        <v>10409</v>
      </c>
      <c r="C588" s="544" t="s">
        <v>3445</v>
      </c>
      <c r="D588" s="544" t="s">
        <v>3688</v>
      </c>
      <c r="E588" s="542" t="s">
        <v>3616</v>
      </c>
      <c r="F588" s="542" t="s">
        <v>3680</v>
      </c>
      <c r="G588" s="546">
        <v>144.69999999999999</v>
      </c>
      <c r="H588" s="546"/>
      <c r="I588" s="546"/>
      <c r="J588" s="542" t="s">
        <v>806</v>
      </c>
      <c r="K588" s="547">
        <v>8400</v>
      </c>
      <c r="L588" s="542" t="s">
        <v>806</v>
      </c>
      <c r="M588" s="548"/>
      <c r="N588" s="549">
        <v>-56</v>
      </c>
      <c r="O588" s="544" t="s">
        <v>1674</v>
      </c>
      <c r="P588" s="544" t="s">
        <v>1674</v>
      </c>
      <c r="Q588" s="544" t="s">
        <v>3448</v>
      </c>
      <c r="R588" s="544" t="s">
        <v>2622</v>
      </c>
      <c r="S588" s="544" t="s">
        <v>1674</v>
      </c>
      <c r="T588" s="550">
        <v>19</v>
      </c>
      <c r="U588" s="544" t="s">
        <v>3328</v>
      </c>
      <c r="V588" s="547">
        <v>433</v>
      </c>
      <c r="W588" s="548"/>
      <c r="Y588" s="544" t="s">
        <v>1674</v>
      </c>
      <c r="AA588" s="544" t="s">
        <v>1674</v>
      </c>
      <c r="AE588" s="551"/>
      <c r="AF588" s="544" t="s">
        <v>1674</v>
      </c>
      <c r="AG588" s="544" t="s">
        <v>1674</v>
      </c>
      <c r="AH588" s="544" t="s">
        <v>1674</v>
      </c>
      <c r="AI588" s="544" t="s">
        <v>1674</v>
      </c>
      <c r="AJ588" s="544" t="s">
        <v>1674</v>
      </c>
      <c r="AK588" s="544" t="s">
        <v>1674</v>
      </c>
      <c r="AL588" s="544" t="s">
        <v>1674</v>
      </c>
      <c r="AM588" s="544" t="s">
        <v>3449</v>
      </c>
      <c r="AN588" s="544" t="s">
        <v>1674</v>
      </c>
      <c r="AP588" s="542">
        <f t="shared" si="19"/>
        <v>5</v>
      </c>
      <c r="AR588" s="552">
        <f t="shared" si="18"/>
        <v>0</v>
      </c>
    </row>
    <row r="589" spans="1:44" outlineLevel="1" x14ac:dyDescent="0.25">
      <c r="A589" s="544" t="s">
        <v>1674</v>
      </c>
      <c r="B589" s="545">
        <v>0</v>
      </c>
      <c r="C589" s="544" t="s">
        <v>1674</v>
      </c>
      <c r="D589" s="544" t="s">
        <v>3688</v>
      </c>
      <c r="E589" s="542" t="s">
        <v>3616</v>
      </c>
      <c r="F589" s="542" t="s">
        <v>3680</v>
      </c>
      <c r="G589" s="546">
        <v>854.42</v>
      </c>
      <c r="H589" s="546"/>
      <c r="I589" s="546">
        <v>999.12</v>
      </c>
      <c r="J589" s="542" t="s">
        <v>2701</v>
      </c>
      <c r="K589" s="547">
        <v>8400</v>
      </c>
      <c r="L589" s="542" t="s">
        <v>806</v>
      </c>
      <c r="M589" s="548"/>
      <c r="N589" s="549">
        <v>-56</v>
      </c>
      <c r="O589" s="544" t="s">
        <v>1674</v>
      </c>
      <c r="P589" s="544" t="s">
        <v>1674</v>
      </c>
      <c r="Q589" s="544" t="s">
        <v>3448</v>
      </c>
      <c r="R589" s="544" t="s">
        <v>1674</v>
      </c>
      <c r="S589" s="544" t="s">
        <v>1674</v>
      </c>
      <c r="T589" s="550">
        <v>19</v>
      </c>
      <c r="U589" s="544" t="s">
        <v>3328</v>
      </c>
      <c r="V589" s="547">
        <v>434</v>
      </c>
      <c r="W589" s="548"/>
      <c r="Y589" s="544" t="s">
        <v>1674</v>
      </c>
      <c r="AA589" s="544" t="s">
        <v>1674</v>
      </c>
      <c r="AE589" s="551"/>
      <c r="AF589" s="544" t="s">
        <v>1674</v>
      </c>
      <c r="AG589" s="544" t="s">
        <v>1674</v>
      </c>
      <c r="AH589" s="544" t="s">
        <v>1674</v>
      </c>
      <c r="AI589" s="544" t="s">
        <v>1674</v>
      </c>
      <c r="AJ589" s="544" t="s">
        <v>1674</v>
      </c>
      <c r="AK589" s="544" t="s">
        <v>1674</v>
      </c>
      <c r="AL589" s="544" t="s">
        <v>1674</v>
      </c>
      <c r="AM589" s="544" t="s">
        <v>1674</v>
      </c>
      <c r="AN589" s="544" t="s">
        <v>1674</v>
      </c>
      <c r="AP589" s="542">
        <f t="shared" si="19"/>
        <v>5</v>
      </c>
      <c r="AR589" s="552">
        <f t="shared" si="18"/>
        <v>999.12</v>
      </c>
    </row>
    <row r="590" spans="1:44" outlineLevel="1" x14ac:dyDescent="0.25">
      <c r="A590" s="544" t="s">
        <v>1674</v>
      </c>
      <c r="B590" s="545">
        <v>11203</v>
      </c>
      <c r="C590" s="544" t="s">
        <v>2841</v>
      </c>
      <c r="D590" s="544" t="s">
        <v>3689</v>
      </c>
      <c r="E590" s="542" t="s">
        <v>3616</v>
      </c>
      <c r="F590" s="542" t="s">
        <v>3680</v>
      </c>
      <c r="G590" s="546">
        <v>178.5</v>
      </c>
      <c r="H590" s="546"/>
      <c r="I590" s="546">
        <v>178.5</v>
      </c>
      <c r="J590" s="542" t="s">
        <v>2701</v>
      </c>
      <c r="K590" s="547">
        <v>8400</v>
      </c>
      <c r="L590" s="542" t="s">
        <v>806</v>
      </c>
      <c r="M590" s="548"/>
      <c r="N590" s="549">
        <v>-56</v>
      </c>
      <c r="O590" s="544" t="s">
        <v>1674</v>
      </c>
      <c r="P590" s="544" t="s">
        <v>1674</v>
      </c>
      <c r="Q590" s="544" t="s">
        <v>2845</v>
      </c>
      <c r="R590" s="544" t="s">
        <v>1674</v>
      </c>
      <c r="S590" s="544" t="s">
        <v>1674</v>
      </c>
      <c r="T590" s="550">
        <v>19</v>
      </c>
      <c r="U590" s="544" t="s">
        <v>3328</v>
      </c>
      <c r="V590" s="547">
        <v>423</v>
      </c>
      <c r="W590" s="548"/>
      <c r="Y590" s="544" t="s">
        <v>1674</v>
      </c>
      <c r="AA590" s="544" t="s">
        <v>1674</v>
      </c>
      <c r="AE590" s="551"/>
      <c r="AF590" s="544" t="s">
        <v>1674</v>
      </c>
      <c r="AG590" s="544" t="s">
        <v>1674</v>
      </c>
      <c r="AH590" s="544" t="s">
        <v>1674</v>
      </c>
      <c r="AI590" s="544" t="s">
        <v>1674</v>
      </c>
      <c r="AJ590" s="544" t="s">
        <v>1674</v>
      </c>
      <c r="AK590" s="544" t="s">
        <v>1674</v>
      </c>
      <c r="AL590" s="544" t="s">
        <v>1674</v>
      </c>
      <c r="AM590" s="544" t="s">
        <v>2846</v>
      </c>
      <c r="AN590" s="544" t="s">
        <v>1674</v>
      </c>
      <c r="AP590" s="542">
        <f t="shared" si="19"/>
        <v>5</v>
      </c>
      <c r="AR590" s="552">
        <f t="shared" si="18"/>
        <v>178.5</v>
      </c>
    </row>
    <row r="591" spans="1:44" outlineLevel="1" x14ac:dyDescent="0.25">
      <c r="A591" s="544" t="s">
        <v>1674</v>
      </c>
      <c r="B591" s="545">
        <v>11321</v>
      </c>
      <c r="C591" s="544" t="s">
        <v>3145</v>
      </c>
      <c r="D591" s="544" t="s">
        <v>3690</v>
      </c>
      <c r="E591" s="542" t="s">
        <v>3616</v>
      </c>
      <c r="F591" s="542" t="s">
        <v>3680</v>
      </c>
      <c r="G591" s="546">
        <v>314.87</v>
      </c>
      <c r="H591" s="546"/>
      <c r="I591" s="546"/>
      <c r="J591" s="542" t="s">
        <v>806</v>
      </c>
      <c r="K591" s="547">
        <v>8400</v>
      </c>
      <c r="L591" s="542" t="s">
        <v>806</v>
      </c>
      <c r="M591" s="548"/>
      <c r="N591" s="549">
        <v>-56</v>
      </c>
      <c r="O591" s="544" t="s">
        <v>1674</v>
      </c>
      <c r="P591" s="544" t="s">
        <v>1674</v>
      </c>
      <c r="Q591" s="544" t="s">
        <v>3147</v>
      </c>
      <c r="R591" s="544" t="s">
        <v>2622</v>
      </c>
      <c r="S591" s="544" t="s">
        <v>1674</v>
      </c>
      <c r="T591" s="550">
        <v>19</v>
      </c>
      <c r="U591" s="544" t="s">
        <v>3328</v>
      </c>
      <c r="V591" s="547">
        <v>426</v>
      </c>
      <c r="W591" s="548"/>
      <c r="Y591" s="544" t="s">
        <v>1674</v>
      </c>
      <c r="AA591" s="544" t="s">
        <v>1674</v>
      </c>
      <c r="AE591" s="551"/>
      <c r="AF591" s="544" t="s">
        <v>1674</v>
      </c>
      <c r="AG591" s="544" t="s">
        <v>1674</v>
      </c>
      <c r="AH591" s="544" t="s">
        <v>1674</v>
      </c>
      <c r="AI591" s="544" t="s">
        <v>1674</v>
      </c>
      <c r="AJ591" s="544" t="s">
        <v>1674</v>
      </c>
      <c r="AK591" s="544" t="s">
        <v>1674</v>
      </c>
      <c r="AL591" s="544" t="s">
        <v>1674</v>
      </c>
      <c r="AM591" s="544" t="s">
        <v>3148</v>
      </c>
      <c r="AN591" s="544" t="s">
        <v>1674</v>
      </c>
      <c r="AP591" s="542">
        <f t="shared" si="19"/>
        <v>5</v>
      </c>
      <c r="AR591" s="552">
        <f t="shared" si="18"/>
        <v>0</v>
      </c>
    </row>
    <row r="592" spans="1:44" outlineLevel="1" x14ac:dyDescent="0.25">
      <c r="A592" s="544" t="s">
        <v>1674</v>
      </c>
      <c r="B592" s="545">
        <v>0</v>
      </c>
      <c r="C592" s="544" t="s">
        <v>1674</v>
      </c>
      <c r="D592" s="544" t="s">
        <v>3690</v>
      </c>
      <c r="E592" s="542" t="s">
        <v>3616</v>
      </c>
      <c r="F592" s="542" t="s">
        <v>3680</v>
      </c>
      <c r="G592" s="546">
        <v>21.42</v>
      </c>
      <c r="H592" s="546"/>
      <c r="I592" s="546">
        <v>336.29</v>
      </c>
      <c r="J592" s="542" t="s">
        <v>2701</v>
      </c>
      <c r="K592" s="547">
        <v>8400</v>
      </c>
      <c r="L592" s="542" t="s">
        <v>806</v>
      </c>
      <c r="M592" s="548"/>
      <c r="N592" s="549">
        <v>-56</v>
      </c>
      <c r="O592" s="544" t="s">
        <v>1674</v>
      </c>
      <c r="P592" s="544" t="s">
        <v>1674</v>
      </c>
      <c r="Q592" s="544" t="s">
        <v>3149</v>
      </c>
      <c r="R592" s="544" t="s">
        <v>1674</v>
      </c>
      <c r="S592" s="544" t="s">
        <v>1674</v>
      </c>
      <c r="T592" s="550">
        <v>19</v>
      </c>
      <c r="U592" s="544" t="s">
        <v>3328</v>
      </c>
      <c r="V592" s="547">
        <v>427</v>
      </c>
      <c r="W592" s="548"/>
      <c r="Y592" s="544" t="s">
        <v>1674</v>
      </c>
      <c r="AA592" s="544" t="s">
        <v>1674</v>
      </c>
      <c r="AE592" s="551"/>
      <c r="AF592" s="544" t="s">
        <v>1674</v>
      </c>
      <c r="AG592" s="544" t="s">
        <v>1674</v>
      </c>
      <c r="AH592" s="544" t="s">
        <v>1674</v>
      </c>
      <c r="AI592" s="544" t="s">
        <v>1674</v>
      </c>
      <c r="AJ592" s="544" t="s">
        <v>1674</v>
      </c>
      <c r="AK592" s="544" t="s">
        <v>1674</v>
      </c>
      <c r="AL592" s="544" t="s">
        <v>1674</v>
      </c>
      <c r="AM592" s="544" t="s">
        <v>1674</v>
      </c>
      <c r="AN592" s="544" t="s">
        <v>1674</v>
      </c>
      <c r="AP592" s="542">
        <f t="shared" si="19"/>
        <v>5</v>
      </c>
      <c r="AR592" s="552">
        <f t="shared" si="18"/>
        <v>336.29</v>
      </c>
    </row>
    <row r="593" spans="1:44" outlineLevel="1" x14ac:dyDescent="0.25">
      <c r="A593" s="544" t="s">
        <v>1674</v>
      </c>
      <c r="B593" s="545">
        <v>11813</v>
      </c>
      <c r="C593" s="544" t="s">
        <v>2814</v>
      </c>
      <c r="D593" s="544" t="s">
        <v>3691</v>
      </c>
      <c r="E593" s="542" t="s">
        <v>3616</v>
      </c>
      <c r="F593" s="542" t="s">
        <v>3680</v>
      </c>
      <c r="G593" s="546">
        <v>456.96</v>
      </c>
      <c r="H593" s="546"/>
      <c r="I593" s="546"/>
      <c r="J593" s="542" t="s">
        <v>806</v>
      </c>
      <c r="K593" s="547">
        <v>8400</v>
      </c>
      <c r="L593" s="542" t="s">
        <v>806</v>
      </c>
      <c r="M593" s="548"/>
      <c r="N593" s="549">
        <v>-56</v>
      </c>
      <c r="O593" s="544" t="s">
        <v>1674</v>
      </c>
      <c r="P593" s="544" t="s">
        <v>1674</v>
      </c>
      <c r="Q593" s="544" t="s">
        <v>2818</v>
      </c>
      <c r="R593" s="544" t="s">
        <v>2622</v>
      </c>
      <c r="S593" s="544" t="s">
        <v>1674</v>
      </c>
      <c r="T593" s="550">
        <v>19</v>
      </c>
      <c r="U593" s="544" t="s">
        <v>3328</v>
      </c>
      <c r="V593" s="547">
        <v>435</v>
      </c>
      <c r="W593" s="548"/>
      <c r="Y593" s="544" t="s">
        <v>1674</v>
      </c>
      <c r="AA593" s="544" t="s">
        <v>1674</v>
      </c>
      <c r="AE593" s="551"/>
      <c r="AF593" s="544" t="s">
        <v>1674</v>
      </c>
      <c r="AG593" s="544" t="s">
        <v>1674</v>
      </c>
      <c r="AH593" s="544" t="s">
        <v>1674</v>
      </c>
      <c r="AI593" s="544" t="s">
        <v>1674</v>
      </c>
      <c r="AJ593" s="544" t="s">
        <v>1674</v>
      </c>
      <c r="AK593" s="544" t="s">
        <v>1674</v>
      </c>
      <c r="AL593" s="544" t="s">
        <v>1674</v>
      </c>
      <c r="AM593" s="544" t="s">
        <v>2819</v>
      </c>
      <c r="AN593" s="544" t="s">
        <v>1674</v>
      </c>
      <c r="AP593" s="542">
        <f t="shared" si="19"/>
        <v>5</v>
      </c>
      <c r="AR593" s="552">
        <f t="shared" si="18"/>
        <v>0</v>
      </c>
    </row>
    <row r="594" spans="1:44" outlineLevel="1" x14ac:dyDescent="0.25">
      <c r="A594" s="544" t="s">
        <v>1674</v>
      </c>
      <c r="B594" s="545">
        <v>0</v>
      </c>
      <c r="C594" s="544" t="s">
        <v>1674</v>
      </c>
      <c r="D594" s="544" t="s">
        <v>3691</v>
      </c>
      <c r="E594" s="542" t="s">
        <v>3616</v>
      </c>
      <c r="F594" s="542" t="s">
        <v>3680</v>
      </c>
      <c r="G594" s="546">
        <v>685.44</v>
      </c>
      <c r="H594" s="546"/>
      <c r="I594" s="546">
        <v>1142.4000000000001</v>
      </c>
      <c r="J594" s="542" t="s">
        <v>2701</v>
      </c>
      <c r="K594" s="547">
        <v>8400</v>
      </c>
      <c r="L594" s="542" t="s">
        <v>806</v>
      </c>
      <c r="M594" s="548"/>
      <c r="N594" s="549">
        <v>-56</v>
      </c>
      <c r="O594" s="544" t="s">
        <v>1674</v>
      </c>
      <c r="P594" s="544" t="s">
        <v>1674</v>
      </c>
      <c r="Q594" s="544" t="s">
        <v>2818</v>
      </c>
      <c r="R594" s="544" t="s">
        <v>1674</v>
      </c>
      <c r="S594" s="544" t="s">
        <v>1674</v>
      </c>
      <c r="T594" s="550">
        <v>19</v>
      </c>
      <c r="U594" s="544" t="s">
        <v>3328</v>
      </c>
      <c r="V594" s="547">
        <v>436</v>
      </c>
      <c r="W594" s="548"/>
      <c r="Y594" s="544" t="s">
        <v>1674</v>
      </c>
      <c r="AA594" s="544" t="s">
        <v>1674</v>
      </c>
      <c r="AE594" s="551"/>
      <c r="AF594" s="544" t="s">
        <v>1674</v>
      </c>
      <c r="AG594" s="544" t="s">
        <v>1674</v>
      </c>
      <c r="AH594" s="544" t="s">
        <v>1674</v>
      </c>
      <c r="AI594" s="544" t="s">
        <v>1674</v>
      </c>
      <c r="AJ594" s="544" t="s">
        <v>1674</v>
      </c>
      <c r="AK594" s="544" t="s">
        <v>1674</v>
      </c>
      <c r="AL594" s="544" t="s">
        <v>1674</v>
      </c>
      <c r="AM594" s="544" t="s">
        <v>1674</v>
      </c>
      <c r="AN594" s="544" t="s">
        <v>1674</v>
      </c>
      <c r="AP594" s="542">
        <f t="shared" si="19"/>
        <v>5</v>
      </c>
      <c r="AR594" s="552">
        <f t="shared" si="18"/>
        <v>1142.4000000000001</v>
      </c>
    </row>
    <row r="595" spans="1:44" outlineLevel="1" x14ac:dyDescent="0.25">
      <c r="A595" s="544" t="s">
        <v>1674</v>
      </c>
      <c r="B595" s="545">
        <v>11900</v>
      </c>
      <c r="C595" s="544" t="s">
        <v>2854</v>
      </c>
      <c r="D595" s="544" t="s">
        <v>3692</v>
      </c>
      <c r="E595" s="542" t="s">
        <v>3693</v>
      </c>
      <c r="F595" s="542" t="s">
        <v>3694</v>
      </c>
      <c r="G595" s="546">
        <v>524.79</v>
      </c>
      <c r="H595" s="546"/>
      <c r="I595" s="546">
        <v>524.79</v>
      </c>
      <c r="J595" s="542" t="s">
        <v>2701</v>
      </c>
      <c r="K595" s="547">
        <v>8400</v>
      </c>
      <c r="L595" s="542" t="s">
        <v>806</v>
      </c>
      <c r="M595" s="548"/>
      <c r="N595" s="549">
        <v>-53</v>
      </c>
      <c r="O595" s="544" t="s">
        <v>1674</v>
      </c>
      <c r="P595" s="544" t="s">
        <v>1674</v>
      </c>
      <c r="Q595" s="544" t="s">
        <v>2857</v>
      </c>
      <c r="R595" s="544" t="s">
        <v>1674</v>
      </c>
      <c r="S595" s="544" t="s">
        <v>1674</v>
      </c>
      <c r="T595" s="550">
        <v>19</v>
      </c>
      <c r="U595" s="544" t="s">
        <v>3328</v>
      </c>
      <c r="V595" s="547">
        <v>505</v>
      </c>
      <c r="W595" s="548"/>
      <c r="Y595" s="544" t="s">
        <v>1674</v>
      </c>
      <c r="AA595" s="544" t="s">
        <v>1674</v>
      </c>
      <c r="AE595" s="551"/>
      <c r="AF595" s="544" t="s">
        <v>1674</v>
      </c>
      <c r="AG595" s="544" t="s">
        <v>1674</v>
      </c>
      <c r="AH595" s="544" t="s">
        <v>1674</v>
      </c>
      <c r="AI595" s="544" t="s">
        <v>1674</v>
      </c>
      <c r="AJ595" s="544" t="s">
        <v>1674</v>
      </c>
      <c r="AK595" s="544" t="s">
        <v>1674</v>
      </c>
      <c r="AL595" s="544" t="s">
        <v>1674</v>
      </c>
      <c r="AM595" s="544" t="s">
        <v>2854</v>
      </c>
      <c r="AN595" s="544" t="s">
        <v>1674</v>
      </c>
      <c r="AP595" s="542">
        <f t="shared" si="19"/>
        <v>8</v>
      </c>
      <c r="AR595" s="552">
        <f t="shared" si="18"/>
        <v>524.79</v>
      </c>
    </row>
    <row r="596" spans="1:44" outlineLevel="1" x14ac:dyDescent="0.25">
      <c r="A596" s="544" t="s">
        <v>1674</v>
      </c>
      <c r="B596" s="545">
        <v>40806</v>
      </c>
      <c r="C596" s="544" t="s">
        <v>3567</v>
      </c>
      <c r="D596" s="544" t="s">
        <v>3695</v>
      </c>
      <c r="E596" s="542" t="s">
        <v>3693</v>
      </c>
      <c r="G596" s="546"/>
      <c r="H596" s="546">
        <v>10450</v>
      </c>
      <c r="I596" s="546">
        <v>10450</v>
      </c>
      <c r="J596" s="542" t="s">
        <v>2584</v>
      </c>
      <c r="K596" s="547">
        <v>1200</v>
      </c>
      <c r="L596" s="542" t="s">
        <v>806</v>
      </c>
      <c r="M596" s="548"/>
      <c r="N596" s="549"/>
      <c r="O596" s="544" t="s">
        <v>1674</v>
      </c>
      <c r="P596" s="544" t="s">
        <v>1674</v>
      </c>
      <c r="Q596" s="544" t="s">
        <v>3696</v>
      </c>
      <c r="R596" s="544" t="s">
        <v>1674</v>
      </c>
      <c r="S596" s="544" t="s">
        <v>1674</v>
      </c>
      <c r="T596" s="550"/>
      <c r="U596" s="544" t="s">
        <v>3328</v>
      </c>
      <c r="V596" s="547">
        <v>462</v>
      </c>
      <c r="W596" s="548"/>
      <c r="Y596" s="544" t="s">
        <v>1674</v>
      </c>
      <c r="AA596" s="544" t="s">
        <v>1674</v>
      </c>
      <c r="AE596" s="551"/>
      <c r="AF596" s="544" t="s">
        <v>1674</v>
      </c>
      <c r="AG596" s="544" t="s">
        <v>1674</v>
      </c>
      <c r="AH596" s="544" t="s">
        <v>1674</v>
      </c>
      <c r="AI596" s="544" t="s">
        <v>1674</v>
      </c>
      <c r="AJ596" s="544" t="s">
        <v>1674</v>
      </c>
      <c r="AK596" s="544" t="s">
        <v>1674</v>
      </c>
      <c r="AL596" s="544" t="s">
        <v>1674</v>
      </c>
      <c r="AM596" s="544" t="s">
        <v>3571</v>
      </c>
      <c r="AN596" s="544" t="s">
        <v>1674</v>
      </c>
      <c r="AP596" s="542">
        <f t="shared" si="19"/>
        <v>0</v>
      </c>
      <c r="AR596" s="552">
        <f t="shared" si="18"/>
        <v>-10450</v>
      </c>
    </row>
    <row r="597" spans="1:44" outlineLevel="1" x14ac:dyDescent="0.25">
      <c r="A597" s="544" t="s">
        <v>1674</v>
      </c>
      <c r="B597" s="545">
        <v>10400</v>
      </c>
      <c r="C597" s="544" t="s">
        <v>2730</v>
      </c>
      <c r="D597" s="544" t="s">
        <v>3697</v>
      </c>
      <c r="E597" s="542" t="s">
        <v>3698</v>
      </c>
      <c r="F597" s="542" t="s">
        <v>3699</v>
      </c>
      <c r="G597" s="546">
        <v>710.07</v>
      </c>
      <c r="H597" s="546"/>
      <c r="I597" s="546"/>
      <c r="J597" s="542" t="s">
        <v>806</v>
      </c>
      <c r="K597" s="547">
        <v>8400</v>
      </c>
      <c r="L597" s="542" t="s">
        <v>806</v>
      </c>
      <c r="M597" s="548"/>
      <c r="N597" s="549">
        <v>-52</v>
      </c>
      <c r="O597" s="544" t="s">
        <v>1674</v>
      </c>
      <c r="P597" s="544" t="s">
        <v>1674</v>
      </c>
      <c r="Q597" s="544" t="s">
        <v>2733</v>
      </c>
      <c r="R597" s="544" t="s">
        <v>1674</v>
      </c>
      <c r="S597" s="544" t="s">
        <v>1674</v>
      </c>
      <c r="T597" s="550">
        <v>19</v>
      </c>
      <c r="U597" s="544" t="s">
        <v>3328</v>
      </c>
      <c r="V597" s="547">
        <v>569</v>
      </c>
      <c r="W597" s="548"/>
      <c r="Y597" s="544" t="s">
        <v>1674</v>
      </c>
      <c r="AA597" s="544" t="s">
        <v>1674</v>
      </c>
      <c r="AE597" s="551"/>
      <c r="AF597" s="544" t="s">
        <v>1674</v>
      </c>
      <c r="AG597" s="544" t="s">
        <v>1674</v>
      </c>
      <c r="AH597" s="544" t="s">
        <v>1674</v>
      </c>
      <c r="AI597" s="544" t="s">
        <v>1674</v>
      </c>
      <c r="AJ597" s="544" t="s">
        <v>1674</v>
      </c>
      <c r="AK597" s="544" t="s">
        <v>1674</v>
      </c>
      <c r="AL597" s="544" t="s">
        <v>1674</v>
      </c>
      <c r="AM597" s="544" t="s">
        <v>2730</v>
      </c>
      <c r="AN597" s="544" t="s">
        <v>1674</v>
      </c>
      <c r="AP597" s="542">
        <f t="shared" si="19"/>
        <v>9</v>
      </c>
      <c r="AR597" s="552">
        <f t="shared" ref="AR597:AR660" si="20">IF(J597="S",+I597,-I597)</f>
        <v>0</v>
      </c>
    </row>
    <row r="598" spans="1:44" outlineLevel="1" x14ac:dyDescent="0.25">
      <c r="A598" s="544" t="s">
        <v>1674</v>
      </c>
      <c r="B598" s="545">
        <v>0</v>
      </c>
      <c r="C598" s="544" t="s">
        <v>1674</v>
      </c>
      <c r="D598" s="544" t="s">
        <v>3697</v>
      </c>
      <c r="E598" s="542" t="s">
        <v>3698</v>
      </c>
      <c r="F598" s="542" t="s">
        <v>3699</v>
      </c>
      <c r="G598" s="546">
        <v>37.49</v>
      </c>
      <c r="H598" s="546"/>
      <c r="I598" s="546"/>
      <c r="J598" s="542" t="s">
        <v>806</v>
      </c>
      <c r="K598" s="547">
        <v>8400</v>
      </c>
      <c r="L598" s="542" t="s">
        <v>806</v>
      </c>
      <c r="M598" s="548"/>
      <c r="N598" s="549">
        <v>-52</v>
      </c>
      <c r="O598" s="544" t="s">
        <v>1674</v>
      </c>
      <c r="P598" s="544" t="s">
        <v>1674</v>
      </c>
      <c r="Q598" s="544" t="s">
        <v>2733</v>
      </c>
      <c r="R598" s="544" t="s">
        <v>2617</v>
      </c>
      <c r="S598" s="544" t="s">
        <v>1674</v>
      </c>
      <c r="T598" s="550">
        <v>19</v>
      </c>
      <c r="U598" s="544" t="s">
        <v>3328</v>
      </c>
      <c r="V598" s="547">
        <v>570</v>
      </c>
      <c r="W598" s="548"/>
      <c r="Y598" s="544" t="s">
        <v>1674</v>
      </c>
      <c r="AA598" s="544" t="s">
        <v>1674</v>
      </c>
      <c r="AE598" s="551"/>
      <c r="AF598" s="544" t="s">
        <v>1674</v>
      </c>
      <c r="AG598" s="544" t="s">
        <v>1674</v>
      </c>
      <c r="AH598" s="544" t="s">
        <v>1674</v>
      </c>
      <c r="AI598" s="544" t="s">
        <v>1674</v>
      </c>
      <c r="AJ598" s="544" t="s">
        <v>1674</v>
      </c>
      <c r="AK598" s="544" t="s">
        <v>1674</v>
      </c>
      <c r="AL598" s="544" t="s">
        <v>1674</v>
      </c>
      <c r="AM598" s="544" t="s">
        <v>1674</v>
      </c>
      <c r="AN598" s="544" t="s">
        <v>1674</v>
      </c>
      <c r="AP598" s="542">
        <f t="shared" si="19"/>
        <v>9</v>
      </c>
      <c r="AR598" s="552">
        <f t="shared" si="20"/>
        <v>0</v>
      </c>
    </row>
    <row r="599" spans="1:44" outlineLevel="1" x14ac:dyDescent="0.25">
      <c r="A599" s="544" t="s">
        <v>1674</v>
      </c>
      <c r="B599" s="545">
        <v>0</v>
      </c>
      <c r="C599" s="544" t="s">
        <v>1674</v>
      </c>
      <c r="D599" s="544" t="s">
        <v>3697</v>
      </c>
      <c r="E599" s="542" t="s">
        <v>3698</v>
      </c>
      <c r="F599" s="542" t="s">
        <v>3699</v>
      </c>
      <c r="G599" s="546">
        <v>10605.04</v>
      </c>
      <c r="H599" s="546"/>
      <c r="I599" s="546">
        <v>11352.6</v>
      </c>
      <c r="J599" s="542" t="s">
        <v>2701</v>
      </c>
      <c r="K599" s="547">
        <v>8401</v>
      </c>
      <c r="L599" s="542" t="s">
        <v>806</v>
      </c>
      <c r="M599" s="548"/>
      <c r="N599" s="549">
        <v>-52</v>
      </c>
      <c r="O599" s="544" t="s">
        <v>1674</v>
      </c>
      <c r="P599" s="544" t="s">
        <v>1674</v>
      </c>
      <c r="Q599" s="544" t="s">
        <v>2733</v>
      </c>
      <c r="R599" s="544" t="s">
        <v>1674</v>
      </c>
      <c r="S599" s="544" t="s">
        <v>1674</v>
      </c>
      <c r="T599" s="550">
        <v>19</v>
      </c>
      <c r="U599" s="544" t="s">
        <v>3328</v>
      </c>
      <c r="V599" s="547">
        <v>571</v>
      </c>
      <c r="W599" s="548"/>
      <c r="Y599" s="544" t="s">
        <v>1674</v>
      </c>
      <c r="AA599" s="544" t="s">
        <v>1674</v>
      </c>
      <c r="AE599" s="551"/>
      <c r="AF599" s="544" t="s">
        <v>1674</v>
      </c>
      <c r="AG599" s="544" t="s">
        <v>1674</v>
      </c>
      <c r="AH599" s="544" t="s">
        <v>1674</v>
      </c>
      <c r="AI599" s="544" t="s">
        <v>1674</v>
      </c>
      <c r="AJ599" s="544" t="s">
        <v>1674</v>
      </c>
      <c r="AK599" s="544" t="s">
        <v>1674</v>
      </c>
      <c r="AL599" s="544" t="s">
        <v>1674</v>
      </c>
      <c r="AM599" s="544" t="s">
        <v>1674</v>
      </c>
      <c r="AN599" s="544" t="s">
        <v>1674</v>
      </c>
      <c r="AP599" s="542">
        <f t="shared" si="19"/>
        <v>9</v>
      </c>
      <c r="AR599" s="552">
        <f t="shared" si="20"/>
        <v>11352.6</v>
      </c>
    </row>
    <row r="600" spans="1:44" outlineLevel="1" x14ac:dyDescent="0.25">
      <c r="A600" s="544" t="s">
        <v>1674</v>
      </c>
      <c r="B600" s="545">
        <v>21203</v>
      </c>
      <c r="C600" s="544" t="s">
        <v>3088</v>
      </c>
      <c r="D600" s="544" t="s">
        <v>3700</v>
      </c>
      <c r="E600" s="542" t="s">
        <v>3698</v>
      </c>
      <c r="F600" s="542" t="s">
        <v>3699</v>
      </c>
      <c r="G600" s="546">
        <v>119911.5</v>
      </c>
      <c r="H600" s="546"/>
      <c r="I600" s="546">
        <v>119911.5</v>
      </c>
      <c r="J600" s="542" t="s">
        <v>2701</v>
      </c>
      <c r="K600" s="547">
        <v>8120</v>
      </c>
      <c r="L600" s="542" t="s">
        <v>806</v>
      </c>
      <c r="M600" s="548"/>
      <c r="N600" s="549">
        <v>-52</v>
      </c>
      <c r="O600" s="544" t="s">
        <v>1674</v>
      </c>
      <c r="P600" s="544" t="s">
        <v>1674</v>
      </c>
      <c r="Q600" s="544" t="s">
        <v>3090</v>
      </c>
      <c r="R600" s="544" t="s">
        <v>1674</v>
      </c>
      <c r="S600" s="544" t="s">
        <v>1674</v>
      </c>
      <c r="T600" s="550"/>
      <c r="U600" s="544" t="s">
        <v>3328</v>
      </c>
      <c r="V600" s="547">
        <v>573</v>
      </c>
      <c r="W600" s="548"/>
      <c r="Y600" s="544" t="s">
        <v>1674</v>
      </c>
      <c r="AA600" s="544" t="s">
        <v>1674</v>
      </c>
      <c r="AE600" s="551"/>
      <c r="AF600" s="544" t="s">
        <v>1674</v>
      </c>
      <c r="AG600" s="544" t="s">
        <v>1674</v>
      </c>
      <c r="AH600" s="544" t="s">
        <v>1674</v>
      </c>
      <c r="AI600" s="544" t="s">
        <v>1674</v>
      </c>
      <c r="AJ600" s="544" t="s">
        <v>1674</v>
      </c>
      <c r="AK600" s="544" t="s">
        <v>1674</v>
      </c>
      <c r="AL600" s="544" t="s">
        <v>1674</v>
      </c>
      <c r="AM600" s="544" t="s">
        <v>3091</v>
      </c>
      <c r="AN600" s="544" t="s">
        <v>1674</v>
      </c>
      <c r="AP600" s="542">
        <f t="shared" si="19"/>
        <v>9</v>
      </c>
      <c r="AR600" s="552">
        <f t="shared" si="20"/>
        <v>119911.5</v>
      </c>
    </row>
    <row r="601" spans="1:44" outlineLevel="1" x14ac:dyDescent="0.25">
      <c r="A601" s="544" t="s">
        <v>1674</v>
      </c>
      <c r="B601" s="545">
        <v>21606</v>
      </c>
      <c r="C601" s="544" t="s">
        <v>3051</v>
      </c>
      <c r="D601" s="544" t="s">
        <v>3701</v>
      </c>
      <c r="E601" s="542" t="s">
        <v>3698</v>
      </c>
      <c r="F601" s="542" t="s">
        <v>3699</v>
      </c>
      <c r="G601" s="546">
        <v>154.30000000000001</v>
      </c>
      <c r="H601" s="546"/>
      <c r="I601" s="546">
        <v>154.30000000000001</v>
      </c>
      <c r="J601" s="542" t="s">
        <v>2701</v>
      </c>
      <c r="K601" s="547">
        <v>8125</v>
      </c>
      <c r="L601" s="542" t="s">
        <v>806</v>
      </c>
      <c r="M601" s="548"/>
      <c r="N601" s="549">
        <v>-52</v>
      </c>
      <c r="O601" s="544" t="s">
        <v>1674</v>
      </c>
      <c r="P601" s="544" t="s">
        <v>1674</v>
      </c>
      <c r="Q601" s="544" t="s">
        <v>3053</v>
      </c>
      <c r="R601" s="544" t="s">
        <v>1674</v>
      </c>
      <c r="S601" s="544" t="s">
        <v>1674</v>
      </c>
      <c r="T601" s="550"/>
      <c r="U601" s="544" t="s">
        <v>3328</v>
      </c>
      <c r="V601" s="547">
        <v>561</v>
      </c>
      <c r="W601" s="548"/>
      <c r="Y601" s="544" t="s">
        <v>1674</v>
      </c>
      <c r="AA601" s="544" t="s">
        <v>1674</v>
      </c>
      <c r="AE601" s="551"/>
      <c r="AF601" s="544" t="s">
        <v>1674</v>
      </c>
      <c r="AG601" s="544" t="s">
        <v>1674</v>
      </c>
      <c r="AH601" s="544" t="s">
        <v>1674</v>
      </c>
      <c r="AI601" s="544" t="s">
        <v>1674</v>
      </c>
      <c r="AJ601" s="544" t="s">
        <v>1674</v>
      </c>
      <c r="AK601" s="544" t="s">
        <v>1674</v>
      </c>
      <c r="AL601" s="544" t="s">
        <v>1674</v>
      </c>
      <c r="AM601" s="544" t="s">
        <v>3054</v>
      </c>
      <c r="AN601" s="544" t="s">
        <v>1674</v>
      </c>
      <c r="AP601" s="542">
        <f t="shared" si="19"/>
        <v>9</v>
      </c>
      <c r="AR601" s="552">
        <f t="shared" si="20"/>
        <v>154.30000000000001</v>
      </c>
    </row>
    <row r="602" spans="1:44" outlineLevel="1" x14ac:dyDescent="0.25">
      <c r="A602" s="544" t="s">
        <v>1674</v>
      </c>
      <c r="B602" s="545">
        <v>30701</v>
      </c>
      <c r="C602" s="544" t="s">
        <v>2787</v>
      </c>
      <c r="D602" s="544" t="s">
        <v>3702</v>
      </c>
      <c r="E602" s="542" t="s">
        <v>3698</v>
      </c>
      <c r="F602" s="542" t="s">
        <v>3699</v>
      </c>
      <c r="G602" s="546">
        <v>260</v>
      </c>
      <c r="H602" s="546"/>
      <c r="I602" s="546">
        <v>260</v>
      </c>
      <c r="J602" s="542" t="s">
        <v>2701</v>
      </c>
      <c r="K602" s="547">
        <v>8120</v>
      </c>
      <c r="L602" s="542" t="s">
        <v>806</v>
      </c>
      <c r="M602" s="548"/>
      <c r="N602" s="549">
        <v>-52</v>
      </c>
      <c r="O602" s="544" t="s">
        <v>1674</v>
      </c>
      <c r="P602" s="544" t="s">
        <v>1674</v>
      </c>
      <c r="Q602" s="544" t="s">
        <v>2810</v>
      </c>
      <c r="R602" s="544" t="s">
        <v>1674</v>
      </c>
      <c r="S602" s="544" t="s">
        <v>1674</v>
      </c>
      <c r="T602" s="550"/>
      <c r="U602" s="544" t="s">
        <v>3328</v>
      </c>
      <c r="V602" s="547">
        <v>562</v>
      </c>
      <c r="W602" s="548"/>
      <c r="Y602" s="544" t="s">
        <v>1674</v>
      </c>
      <c r="AA602" s="544" t="s">
        <v>1674</v>
      </c>
      <c r="AE602" s="551"/>
      <c r="AF602" s="544" t="s">
        <v>1674</v>
      </c>
      <c r="AG602" s="544" t="s">
        <v>1674</v>
      </c>
      <c r="AH602" s="544" t="s">
        <v>1674</v>
      </c>
      <c r="AI602" s="544" t="s">
        <v>1674</v>
      </c>
      <c r="AJ602" s="544" t="s">
        <v>1674</v>
      </c>
      <c r="AK602" s="544" t="s">
        <v>1674</v>
      </c>
      <c r="AL602" s="544" t="s">
        <v>1674</v>
      </c>
      <c r="AM602" s="544" t="s">
        <v>2792</v>
      </c>
      <c r="AN602" s="544" t="s">
        <v>1674</v>
      </c>
      <c r="AP602" s="542">
        <f t="shared" si="19"/>
        <v>9</v>
      </c>
      <c r="AR602" s="552">
        <f t="shared" si="20"/>
        <v>260</v>
      </c>
    </row>
    <row r="603" spans="1:44" outlineLevel="1" x14ac:dyDescent="0.25">
      <c r="A603" s="544" t="s">
        <v>1674</v>
      </c>
      <c r="B603" s="545">
        <v>20703</v>
      </c>
      <c r="C603" s="544" t="s">
        <v>3703</v>
      </c>
      <c r="D603" s="544" t="s">
        <v>3704</v>
      </c>
      <c r="E603" s="542" t="s">
        <v>3628</v>
      </c>
      <c r="F603" s="542" t="s">
        <v>3705</v>
      </c>
      <c r="G603" s="546">
        <v>172.5</v>
      </c>
      <c r="H603" s="546"/>
      <c r="I603" s="546">
        <v>172.5</v>
      </c>
      <c r="J603" s="542" t="s">
        <v>2701</v>
      </c>
      <c r="K603" s="547">
        <v>8125</v>
      </c>
      <c r="L603" s="542" t="s">
        <v>806</v>
      </c>
      <c r="M603" s="548"/>
      <c r="N603" s="549">
        <v>-51</v>
      </c>
      <c r="O603" s="544" t="s">
        <v>1674</v>
      </c>
      <c r="P603" s="544" t="s">
        <v>1674</v>
      </c>
      <c r="Q603" s="544" t="s">
        <v>3706</v>
      </c>
      <c r="R603" s="544" t="s">
        <v>1674</v>
      </c>
      <c r="S603" s="544" t="s">
        <v>1674</v>
      </c>
      <c r="T603" s="550"/>
      <c r="U603" s="544" t="s">
        <v>3328</v>
      </c>
      <c r="V603" s="547">
        <v>628</v>
      </c>
      <c r="W603" s="548"/>
      <c r="Y603" s="544" t="s">
        <v>1674</v>
      </c>
      <c r="AA603" s="544" t="s">
        <v>1674</v>
      </c>
      <c r="AE603" s="551"/>
      <c r="AF603" s="544" t="s">
        <v>1674</v>
      </c>
      <c r="AG603" s="544" t="s">
        <v>1674</v>
      </c>
      <c r="AH603" s="544" t="s">
        <v>1674</v>
      </c>
      <c r="AI603" s="544" t="s">
        <v>1674</v>
      </c>
      <c r="AJ603" s="544" t="s">
        <v>1674</v>
      </c>
      <c r="AK603" s="544" t="s">
        <v>1674</v>
      </c>
      <c r="AL603" s="544" t="s">
        <v>1674</v>
      </c>
      <c r="AM603" s="544" t="s">
        <v>3707</v>
      </c>
      <c r="AN603" s="544" t="s">
        <v>1674</v>
      </c>
      <c r="AP603" s="542">
        <f t="shared" si="19"/>
        <v>10</v>
      </c>
      <c r="AR603" s="552">
        <f t="shared" si="20"/>
        <v>172.5</v>
      </c>
    </row>
    <row r="604" spans="1:44" outlineLevel="1" x14ac:dyDescent="0.25">
      <c r="A604" s="544" t="s">
        <v>1674</v>
      </c>
      <c r="B604" s="545">
        <v>10302</v>
      </c>
      <c r="C604" s="544" t="s">
        <v>3708</v>
      </c>
      <c r="D604" s="544" t="s">
        <v>3709</v>
      </c>
      <c r="E604" s="542" t="s">
        <v>3710</v>
      </c>
      <c r="F604" s="542" t="s">
        <v>3711</v>
      </c>
      <c r="G604" s="546">
        <v>181.83</v>
      </c>
      <c r="H604" s="546"/>
      <c r="I604" s="546">
        <v>181.83</v>
      </c>
      <c r="J604" s="542" t="s">
        <v>2701</v>
      </c>
      <c r="K604" s="547">
        <v>8400</v>
      </c>
      <c r="L604" s="542" t="s">
        <v>806</v>
      </c>
      <c r="M604" s="548"/>
      <c r="N604" s="549">
        <v>-50</v>
      </c>
      <c r="O604" s="544" t="s">
        <v>1674</v>
      </c>
      <c r="P604" s="544" t="s">
        <v>1674</v>
      </c>
      <c r="Q604" s="544" t="s">
        <v>3708</v>
      </c>
      <c r="R604" s="544" t="s">
        <v>2622</v>
      </c>
      <c r="S604" s="544" t="s">
        <v>1674</v>
      </c>
      <c r="T604" s="550">
        <v>19</v>
      </c>
      <c r="U604" s="544" t="s">
        <v>3328</v>
      </c>
      <c r="V604" s="547">
        <v>738</v>
      </c>
      <c r="W604" s="548"/>
      <c r="Y604" s="544" t="s">
        <v>1674</v>
      </c>
      <c r="AA604" s="544" t="s">
        <v>1674</v>
      </c>
      <c r="AE604" s="551"/>
      <c r="AF604" s="544" t="s">
        <v>1674</v>
      </c>
      <c r="AG604" s="544" t="s">
        <v>1674</v>
      </c>
      <c r="AH604" s="544" t="s">
        <v>1674</v>
      </c>
      <c r="AI604" s="544" t="s">
        <v>1674</v>
      </c>
      <c r="AJ604" s="544" t="s">
        <v>1674</v>
      </c>
      <c r="AK604" s="544" t="s">
        <v>1674</v>
      </c>
      <c r="AL604" s="544" t="s">
        <v>1674</v>
      </c>
      <c r="AM604" s="544" t="s">
        <v>3712</v>
      </c>
      <c r="AN604" s="544" t="s">
        <v>1674</v>
      </c>
      <c r="AP604" s="542">
        <f t="shared" si="19"/>
        <v>11</v>
      </c>
      <c r="AR604" s="552">
        <f t="shared" si="20"/>
        <v>181.83</v>
      </c>
    </row>
    <row r="605" spans="1:44" outlineLevel="1" x14ac:dyDescent="0.25">
      <c r="A605" s="544" t="s">
        <v>1674</v>
      </c>
      <c r="B605" s="545">
        <v>10511</v>
      </c>
      <c r="C605" s="544" t="s">
        <v>3713</v>
      </c>
      <c r="D605" s="544" t="s">
        <v>3714</v>
      </c>
      <c r="E605" s="542" t="s">
        <v>3710</v>
      </c>
      <c r="F605" s="542" t="s">
        <v>3711</v>
      </c>
      <c r="G605" s="546">
        <v>716.38</v>
      </c>
      <c r="H605" s="546"/>
      <c r="I605" s="546">
        <v>716.38</v>
      </c>
      <c r="J605" s="542" t="s">
        <v>2701</v>
      </c>
      <c r="K605" s="547">
        <v>8400</v>
      </c>
      <c r="L605" s="542" t="s">
        <v>806</v>
      </c>
      <c r="M605" s="548"/>
      <c r="N605" s="549">
        <v>-50</v>
      </c>
      <c r="O605" s="544" t="s">
        <v>1674</v>
      </c>
      <c r="P605" s="544" t="s">
        <v>1674</v>
      </c>
      <c r="Q605" s="544" t="s">
        <v>3715</v>
      </c>
      <c r="R605" s="544" t="s">
        <v>1674</v>
      </c>
      <c r="S605" s="544" t="s">
        <v>1674</v>
      </c>
      <c r="T605" s="550">
        <v>19</v>
      </c>
      <c r="U605" s="544" t="s">
        <v>3328</v>
      </c>
      <c r="V605" s="547">
        <v>746</v>
      </c>
      <c r="W605" s="548"/>
      <c r="Y605" s="544" t="s">
        <v>1674</v>
      </c>
      <c r="AA605" s="544" t="s">
        <v>1674</v>
      </c>
      <c r="AE605" s="551"/>
      <c r="AF605" s="544" t="s">
        <v>1674</v>
      </c>
      <c r="AG605" s="544" t="s">
        <v>1674</v>
      </c>
      <c r="AH605" s="544" t="s">
        <v>1674</v>
      </c>
      <c r="AI605" s="544" t="s">
        <v>1674</v>
      </c>
      <c r="AJ605" s="544" t="s">
        <v>1674</v>
      </c>
      <c r="AK605" s="544" t="s">
        <v>1674</v>
      </c>
      <c r="AL605" s="544" t="s">
        <v>1674</v>
      </c>
      <c r="AM605" s="544" t="s">
        <v>3716</v>
      </c>
      <c r="AN605" s="544" t="s">
        <v>1674</v>
      </c>
      <c r="AP605" s="542">
        <f t="shared" si="19"/>
        <v>11</v>
      </c>
      <c r="AR605" s="552">
        <f t="shared" si="20"/>
        <v>716.38</v>
      </c>
    </row>
    <row r="606" spans="1:44" outlineLevel="1" x14ac:dyDescent="0.25">
      <c r="A606" s="544" t="s">
        <v>1674</v>
      </c>
      <c r="B606" s="545">
        <v>10400</v>
      </c>
      <c r="C606" s="544" t="s">
        <v>2730</v>
      </c>
      <c r="D606" s="544" t="s">
        <v>3717</v>
      </c>
      <c r="E606" s="542" t="s">
        <v>3630</v>
      </c>
      <c r="F606" s="542" t="s">
        <v>3718</v>
      </c>
      <c r="G606" s="546">
        <v>113.05</v>
      </c>
      <c r="H606" s="546"/>
      <c r="I606" s="546"/>
      <c r="J606" s="542" t="s">
        <v>806</v>
      </c>
      <c r="K606" s="547">
        <v>8400</v>
      </c>
      <c r="L606" s="542" t="s">
        <v>806</v>
      </c>
      <c r="M606" s="548"/>
      <c r="N606" s="549">
        <v>-49</v>
      </c>
      <c r="O606" s="544" t="s">
        <v>1674</v>
      </c>
      <c r="P606" s="544" t="s">
        <v>1674</v>
      </c>
      <c r="Q606" s="544" t="s">
        <v>3719</v>
      </c>
      <c r="R606" s="544" t="s">
        <v>2622</v>
      </c>
      <c r="S606" s="544" t="s">
        <v>1674</v>
      </c>
      <c r="T606" s="550">
        <v>19</v>
      </c>
      <c r="U606" s="544" t="s">
        <v>3328</v>
      </c>
      <c r="V606" s="547">
        <v>804</v>
      </c>
      <c r="W606" s="548"/>
      <c r="Y606" s="544" t="s">
        <v>1674</v>
      </c>
      <c r="AA606" s="544" t="s">
        <v>1674</v>
      </c>
      <c r="AE606" s="551"/>
      <c r="AF606" s="544" t="s">
        <v>1674</v>
      </c>
      <c r="AG606" s="544" t="s">
        <v>1674</v>
      </c>
      <c r="AH606" s="544" t="s">
        <v>1674</v>
      </c>
      <c r="AI606" s="544" t="s">
        <v>1674</v>
      </c>
      <c r="AJ606" s="544" t="s">
        <v>1674</v>
      </c>
      <c r="AK606" s="544" t="s">
        <v>1674</v>
      </c>
      <c r="AL606" s="544" t="s">
        <v>1674</v>
      </c>
      <c r="AM606" s="544" t="s">
        <v>2730</v>
      </c>
      <c r="AN606" s="544" t="s">
        <v>1674</v>
      </c>
      <c r="AP606" s="542">
        <f t="shared" si="19"/>
        <v>12</v>
      </c>
      <c r="AR606" s="552">
        <f t="shared" si="20"/>
        <v>0</v>
      </c>
    </row>
    <row r="607" spans="1:44" outlineLevel="1" x14ac:dyDescent="0.25">
      <c r="A607" s="544" t="s">
        <v>1674</v>
      </c>
      <c r="B607" s="545">
        <v>0</v>
      </c>
      <c r="C607" s="544" t="s">
        <v>1674</v>
      </c>
      <c r="D607" s="544" t="s">
        <v>3717</v>
      </c>
      <c r="E607" s="542" t="s">
        <v>3630</v>
      </c>
      <c r="F607" s="542" t="s">
        <v>3718</v>
      </c>
      <c r="G607" s="546">
        <v>7.14</v>
      </c>
      <c r="H607" s="546"/>
      <c r="I607" s="546">
        <v>120.19</v>
      </c>
      <c r="J607" s="542" t="s">
        <v>2701</v>
      </c>
      <c r="K607" s="547">
        <v>8400</v>
      </c>
      <c r="L607" s="542" t="s">
        <v>806</v>
      </c>
      <c r="M607" s="548"/>
      <c r="N607" s="549">
        <v>-49</v>
      </c>
      <c r="O607" s="544" t="s">
        <v>1674</v>
      </c>
      <c r="P607" s="544" t="s">
        <v>1674</v>
      </c>
      <c r="Q607" s="544" t="s">
        <v>3720</v>
      </c>
      <c r="R607" s="544" t="s">
        <v>1674</v>
      </c>
      <c r="S607" s="544" t="s">
        <v>1674</v>
      </c>
      <c r="T607" s="550">
        <v>19</v>
      </c>
      <c r="U607" s="544" t="s">
        <v>3328</v>
      </c>
      <c r="V607" s="547">
        <v>805</v>
      </c>
      <c r="W607" s="548"/>
      <c r="Y607" s="544" t="s">
        <v>1674</v>
      </c>
      <c r="AA607" s="544" t="s">
        <v>1674</v>
      </c>
      <c r="AE607" s="551"/>
      <c r="AF607" s="544" t="s">
        <v>1674</v>
      </c>
      <c r="AG607" s="544" t="s">
        <v>1674</v>
      </c>
      <c r="AH607" s="544" t="s">
        <v>1674</v>
      </c>
      <c r="AI607" s="544" t="s">
        <v>1674</v>
      </c>
      <c r="AJ607" s="544" t="s">
        <v>1674</v>
      </c>
      <c r="AK607" s="544" t="s">
        <v>1674</v>
      </c>
      <c r="AL607" s="544" t="s">
        <v>1674</v>
      </c>
      <c r="AM607" s="544" t="s">
        <v>1674</v>
      </c>
      <c r="AN607" s="544" t="s">
        <v>1674</v>
      </c>
      <c r="AP607" s="542">
        <f t="shared" si="19"/>
        <v>12</v>
      </c>
      <c r="AR607" s="552">
        <f t="shared" si="20"/>
        <v>120.19</v>
      </c>
    </row>
    <row r="608" spans="1:44" outlineLevel="1" x14ac:dyDescent="0.25">
      <c r="A608" s="544" t="s">
        <v>1674</v>
      </c>
      <c r="B608" s="545">
        <v>11321</v>
      </c>
      <c r="C608" s="544" t="s">
        <v>3145</v>
      </c>
      <c r="D608" s="544" t="s">
        <v>3721</v>
      </c>
      <c r="E608" s="542" t="s">
        <v>3630</v>
      </c>
      <c r="F608" s="542" t="s">
        <v>3718</v>
      </c>
      <c r="G608" s="546">
        <v>1297.3399999999999</v>
      </c>
      <c r="H608" s="546"/>
      <c r="I608" s="546">
        <v>1297.3399999999999</v>
      </c>
      <c r="J608" s="542" t="s">
        <v>2701</v>
      </c>
      <c r="K608" s="547">
        <v>8400</v>
      </c>
      <c r="L608" s="542" t="s">
        <v>806</v>
      </c>
      <c r="M608" s="548"/>
      <c r="N608" s="549">
        <v>-49</v>
      </c>
      <c r="O608" s="544" t="s">
        <v>1674</v>
      </c>
      <c r="P608" s="544" t="s">
        <v>1674</v>
      </c>
      <c r="Q608" s="544" t="s">
        <v>3147</v>
      </c>
      <c r="R608" s="544" t="s">
        <v>1674</v>
      </c>
      <c r="S608" s="544" t="s">
        <v>1674</v>
      </c>
      <c r="T608" s="550">
        <v>19</v>
      </c>
      <c r="U608" s="544" t="s">
        <v>3328</v>
      </c>
      <c r="V608" s="547">
        <v>808</v>
      </c>
      <c r="W608" s="548"/>
      <c r="Y608" s="544" t="s">
        <v>1674</v>
      </c>
      <c r="AA608" s="544" t="s">
        <v>1674</v>
      </c>
      <c r="AE608" s="551"/>
      <c r="AF608" s="544" t="s">
        <v>1674</v>
      </c>
      <c r="AG608" s="544" t="s">
        <v>1674</v>
      </c>
      <c r="AH608" s="544" t="s">
        <v>1674</v>
      </c>
      <c r="AI608" s="544" t="s">
        <v>1674</v>
      </c>
      <c r="AJ608" s="544" t="s">
        <v>1674</v>
      </c>
      <c r="AK608" s="544" t="s">
        <v>1674</v>
      </c>
      <c r="AL608" s="544" t="s">
        <v>1674</v>
      </c>
      <c r="AM608" s="544" t="s">
        <v>3148</v>
      </c>
      <c r="AN608" s="544" t="s">
        <v>1674</v>
      </c>
      <c r="AP608" s="542">
        <f t="shared" ref="AP608:AP671" si="21">IF(F608&lt;&gt;0,($AP$2-$F608)*-1,0)</f>
        <v>12</v>
      </c>
      <c r="AR608" s="552">
        <f t="shared" si="20"/>
        <v>1297.3399999999999</v>
      </c>
    </row>
    <row r="609" spans="1:44" outlineLevel="1" x14ac:dyDescent="0.25">
      <c r="A609" s="544" t="s">
        <v>1674</v>
      </c>
      <c r="B609" s="545">
        <v>11800</v>
      </c>
      <c r="C609" s="544" t="s">
        <v>2581</v>
      </c>
      <c r="D609" s="544" t="s">
        <v>3722</v>
      </c>
      <c r="E609" s="542" t="s">
        <v>3630</v>
      </c>
      <c r="G609" s="546"/>
      <c r="H609" s="546">
        <v>40.4</v>
      </c>
      <c r="I609" s="546">
        <v>40.4</v>
      </c>
      <c r="J609" s="542" t="s">
        <v>2584</v>
      </c>
      <c r="K609" s="547">
        <v>8400</v>
      </c>
      <c r="L609" s="542" t="s">
        <v>806</v>
      </c>
      <c r="M609" s="548"/>
      <c r="N609" s="549"/>
      <c r="O609" s="544" t="s">
        <v>1674</v>
      </c>
      <c r="P609" s="544" t="s">
        <v>1674</v>
      </c>
      <c r="Q609" s="544" t="s">
        <v>3676</v>
      </c>
      <c r="R609" s="544" t="s">
        <v>1674</v>
      </c>
      <c r="S609" s="544" t="s">
        <v>1674</v>
      </c>
      <c r="T609" s="550">
        <v>19</v>
      </c>
      <c r="U609" s="544" t="s">
        <v>3328</v>
      </c>
      <c r="V609" s="547">
        <v>803</v>
      </c>
      <c r="W609" s="548"/>
      <c r="Y609" s="544" t="s">
        <v>1674</v>
      </c>
      <c r="AA609" s="544" t="s">
        <v>1674</v>
      </c>
      <c r="AE609" s="551"/>
      <c r="AF609" s="544" t="s">
        <v>1674</v>
      </c>
      <c r="AG609" s="544" t="s">
        <v>1674</v>
      </c>
      <c r="AH609" s="544" t="s">
        <v>1674</v>
      </c>
      <c r="AI609" s="544" t="s">
        <v>1674</v>
      </c>
      <c r="AJ609" s="544" t="s">
        <v>1674</v>
      </c>
      <c r="AK609" s="544" t="s">
        <v>1674</v>
      </c>
      <c r="AL609" s="544" t="s">
        <v>1674</v>
      </c>
      <c r="AM609" s="544" t="s">
        <v>2581</v>
      </c>
      <c r="AN609" s="544" t="s">
        <v>1674</v>
      </c>
      <c r="AP609" s="542">
        <f t="shared" si="21"/>
        <v>0</v>
      </c>
      <c r="AR609" s="552">
        <f t="shared" si="20"/>
        <v>-40.4</v>
      </c>
    </row>
    <row r="610" spans="1:44" outlineLevel="1" x14ac:dyDescent="0.25">
      <c r="A610" s="544" t="s">
        <v>1674</v>
      </c>
      <c r="B610" s="545">
        <v>12401</v>
      </c>
      <c r="C610" s="544" t="s">
        <v>2958</v>
      </c>
      <c r="D610" s="544" t="s">
        <v>3723</v>
      </c>
      <c r="E610" s="542" t="s">
        <v>3630</v>
      </c>
      <c r="F610" s="542" t="s">
        <v>3718</v>
      </c>
      <c r="G610" s="546">
        <v>244.66</v>
      </c>
      <c r="H610" s="546"/>
      <c r="I610" s="546"/>
      <c r="J610" s="542" t="s">
        <v>806</v>
      </c>
      <c r="K610" s="547">
        <v>8400</v>
      </c>
      <c r="L610" s="542" t="s">
        <v>806</v>
      </c>
      <c r="M610" s="548"/>
      <c r="N610" s="549">
        <v>-49</v>
      </c>
      <c r="O610" s="544" t="s">
        <v>1674</v>
      </c>
      <c r="P610" s="544" t="s">
        <v>1674</v>
      </c>
      <c r="Q610" s="544" t="s">
        <v>2960</v>
      </c>
      <c r="R610" s="544" t="s">
        <v>2622</v>
      </c>
      <c r="S610" s="544" t="s">
        <v>1674</v>
      </c>
      <c r="T610" s="550">
        <v>19</v>
      </c>
      <c r="U610" s="544" t="s">
        <v>3328</v>
      </c>
      <c r="V610" s="547">
        <v>806</v>
      </c>
      <c r="W610" s="548"/>
      <c r="Y610" s="544" t="s">
        <v>1674</v>
      </c>
      <c r="AA610" s="544" t="s">
        <v>1674</v>
      </c>
      <c r="AE610" s="551"/>
      <c r="AF610" s="544" t="s">
        <v>1674</v>
      </c>
      <c r="AG610" s="544" t="s">
        <v>1674</v>
      </c>
      <c r="AH610" s="544" t="s">
        <v>1674</v>
      </c>
      <c r="AI610" s="544" t="s">
        <v>1674</v>
      </c>
      <c r="AJ610" s="544" t="s">
        <v>1674</v>
      </c>
      <c r="AK610" s="544" t="s">
        <v>1674</v>
      </c>
      <c r="AL610" s="544" t="s">
        <v>1674</v>
      </c>
      <c r="AM610" s="544" t="s">
        <v>2961</v>
      </c>
      <c r="AN610" s="544" t="s">
        <v>1674</v>
      </c>
      <c r="AP610" s="542">
        <f t="shared" si="21"/>
        <v>12</v>
      </c>
      <c r="AR610" s="552">
        <f t="shared" si="20"/>
        <v>0</v>
      </c>
    </row>
    <row r="611" spans="1:44" outlineLevel="1" x14ac:dyDescent="0.25">
      <c r="A611" s="544" t="s">
        <v>1674</v>
      </c>
      <c r="B611" s="545">
        <v>0</v>
      </c>
      <c r="C611" s="544" t="s">
        <v>1674</v>
      </c>
      <c r="D611" s="544" t="s">
        <v>3723</v>
      </c>
      <c r="E611" s="542" t="s">
        <v>3630</v>
      </c>
      <c r="F611" s="542" t="s">
        <v>3718</v>
      </c>
      <c r="G611" s="546">
        <v>14.28</v>
      </c>
      <c r="H611" s="546"/>
      <c r="I611" s="546">
        <v>258.94</v>
      </c>
      <c r="J611" s="542" t="s">
        <v>2701</v>
      </c>
      <c r="K611" s="547">
        <v>8400</v>
      </c>
      <c r="L611" s="542" t="s">
        <v>806</v>
      </c>
      <c r="M611" s="548"/>
      <c r="N611" s="549">
        <v>-49</v>
      </c>
      <c r="O611" s="544" t="s">
        <v>1674</v>
      </c>
      <c r="P611" s="544" t="s">
        <v>1674</v>
      </c>
      <c r="Q611" s="544" t="s">
        <v>3724</v>
      </c>
      <c r="R611" s="544" t="s">
        <v>1674</v>
      </c>
      <c r="S611" s="544" t="s">
        <v>1674</v>
      </c>
      <c r="T611" s="550">
        <v>19</v>
      </c>
      <c r="U611" s="544" t="s">
        <v>3328</v>
      </c>
      <c r="V611" s="547">
        <v>807</v>
      </c>
      <c r="W611" s="548"/>
      <c r="Y611" s="544" t="s">
        <v>1674</v>
      </c>
      <c r="AA611" s="544" t="s">
        <v>1674</v>
      </c>
      <c r="AE611" s="551"/>
      <c r="AF611" s="544" t="s">
        <v>1674</v>
      </c>
      <c r="AG611" s="544" t="s">
        <v>1674</v>
      </c>
      <c r="AH611" s="544" t="s">
        <v>1674</v>
      </c>
      <c r="AI611" s="544" t="s">
        <v>1674</v>
      </c>
      <c r="AJ611" s="544" t="s">
        <v>1674</v>
      </c>
      <c r="AK611" s="544" t="s">
        <v>1674</v>
      </c>
      <c r="AL611" s="544" t="s">
        <v>1674</v>
      </c>
      <c r="AM611" s="544" t="s">
        <v>1674</v>
      </c>
      <c r="AN611" s="544" t="s">
        <v>1674</v>
      </c>
      <c r="AP611" s="542">
        <f t="shared" si="21"/>
        <v>12</v>
      </c>
      <c r="AR611" s="552">
        <f t="shared" si="20"/>
        <v>258.94</v>
      </c>
    </row>
    <row r="612" spans="1:44" outlineLevel="1" x14ac:dyDescent="0.25">
      <c r="A612" s="544" t="s">
        <v>1674</v>
      </c>
      <c r="B612" s="545">
        <v>10832</v>
      </c>
      <c r="C612" s="544" t="s">
        <v>2734</v>
      </c>
      <c r="D612" s="544" t="s">
        <v>3725</v>
      </c>
      <c r="E612" s="542" t="s">
        <v>3726</v>
      </c>
      <c r="F612" s="542" t="s">
        <v>3727</v>
      </c>
      <c r="G612" s="546">
        <v>927.01</v>
      </c>
      <c r="H612" s="546"/>
      <c r="I612" s="546">
        <v>927.01</v>
      </c>
      <c r="J612" s="542" t="s">
        <v>2701</v>
      </c>
      <c r="K612" s="547">
        <v>8400</v>
      </c>
      <c r="L612" s="542" t="s">
        <v>806</v>
      </c>
      <c r="M612" s="548"/>
      <c r="N612" s="549">
        <v>-46</v>
      </c>
      <c r="O612" s="544" t="s">
        <v>1674</v>
      </c>
      <c r="P612" s="544" t="s">
        <v>1674</v>
      </c>
      <c r="Q612" s="544" t="s">
        <v>2737</v>
      </c>
      <c r="R612" s="544" t="s">
        <v>1674</v>
      </c>
      <c r="S612" s="544" t="s">
        <v>1674</v>
      </c>
      <c r="T612" s="550">
        <v>19</v>
      </c>
      <c r="U612" s="544" t="s">
        <v>3328</v>
      </c>
      <c r="V612" s="547">
        <v>896</v>
      </c>
      <c r="W612" s="548"/>
      <c r="Y612" s="544" t="s">
        <v>1674</v>
      </c>
      <c r="AA612" s="544" t="s">
        <v>1674</v>
      </c>
      <c r="AE612" s="551"/>
      <c r="AF612" s="544" t="s">
        <v>1674</v>
      </c>
      <c r="AG612" s="544" t="s">
        <v>1674</v>
      </c>
      <c r="AH612" s="544" t="s">
        <v>1674</v>
      </c>
      <c r="AI612" s="544" t="s">
        <v>1674</v>
      </c>
      <c r="AJ612" s="544" t="s">
        <v>1674</v>
      </c>
      <c r="AK612" s="544" t="s">
        <v>1674</v>
      </c>
      <c r="AL612" s="544" t="s">
        <v>1674</v>
      </c>
      <c r="AM612" s="544" t="s">
        <v>2738</v>
      </c>
      <c r="AN612" s="544" t="s">
        <v>1674</v>
      </c>
      <c r="AP612" s="542">
        <f t="shared" si="21"/>
        <v>15</v>
      </c>
      <c r="AR612" s="552">
        <f t="shared" si="20"/>
        <v>927.01</v>
      </c>
    </row>
    <row r="613" spans="1:44" outlineLevel="1" x14ac:dyDescent="0.25">
      <c r="A613" s="544" t="s">
        <v>1674</v>
      </c>
      <c r="B613" s="545">
        <v>20102</v>
      </c>
      <c r="C613" s="544" t="s">
        <v>3728</v>
      </c>
      <c r="D613" s="544" t="s">
        <v>3729</v>
      </c>
      <c r="E613" s="542" t="s">
        <v>3726</v>
      </c>
      <c r="F613" s="542" t="s">
        <v>3727</v>
      </c>
      <c r="G613" s="546">
        <v>375</v>
      </c>
      <c r="H613" s="546"/>
      <c r="I613" s="546">
        <v>375</v>
      </c>
      <c r="J613" s="542" t="s">
        <v>2701</v>
      </c>
      <c r="K613" s="547">
        <v>8125</v>
      </c>
      <c r="L613" s="542" t="s">
        <v>806</v>
      </c>
      <c r="M613" s="548"/>
      <c r="N613" s="549">
        <v>-46</v>
      </c>
      <c r="O613" s="544" t="s">
        <v>1674</v>
      </c>
      <c r="P613" s="544" t="s">
        <v>1674</v>
      </c>
      <c r="Q613" s="544" t="s">
        <v>3730</v>
      </c>
      <c r="R613" s="544" t="s">
        <v>1674</v>
      </c>
      <c r="S613" s="544" t="s">
        <v>1674</v>
      </c>
      <c r="T613" s="550"/>
      <c r="U613" s="544" t="s">
        <v>3328</v>
      </c>
      <c r="V613" s="547">
        <v>895</v>
      </c>
      <c r="W613" s="548"/>
      <c r="Y613" s="544" t="s">
        <v>1674</v>
      </c>
      <c r="AA613" s="544" t="s">
        <v>1674</v>
      </c>
      <c r="AE613" s="551"/>
      <c r="AF613" s="544" t="s">
        <v>1674</v>
      </c>
      <c r="AG613" s="544" t="s">
        <v>1674</v>
      </c>
      <c r="AH613" s="544" t="s">
        <v>1674</v>
      </c>
      <c r="AI613" s="544" t="s">
        <v>1674</v>
      </c>
      <c r="AJ613" s="544" t="s">
        <v>1674</v>
      </c>
      <c r="AK613" s="544" t="s">
        <v>1674</v>
      </c>
      <c r="AL613" s="544" t="s">
        <v>1674</v>
      </c>
      <c r="AM613" s="544" t="s">
        <v>3731</v>
      </c>
      <c r="AN613" s="544" t="s">
        <v>1674</v>
      </c>
      <c r="AP613" s="542">
        <f t="shared" si="21"/>
        <v>15</v>
      </c>
      <c r="AR613" s="552">
        <f t="shared" si="20"/>
        <v>375</v>
      </c>
    </row>
    <row r="614" spans="1:44" outlineLevel="1" x14ac:dyDescent="0.25">
      <c r="A614" s="544" t="s">
        <v>1674</v>
      </c>
      <c r="B614" s="545">
        <v>20301</v>
      </c>
      <c r="C614" s="544" t="s">
        <v>2981</v>
      </c>
      <c r="D614" s="544" t="s">
        <v>3732</v>
      </c>
      <c r="E614" s="542" t="s">
        <v>3726</v>
      </c>
      <c r="F614" s="542" t="s">
        <v>3727</v>
      </c>
      <c r="G614" s="546">
        <v>5339</v>
      </c>
      <c r="H614" s="546"/>
      <c r="I614" s="546"/>
      <c r="J614" s="542" t="s">
        <v>806</v>
      </c>
      <c r="K614" s="547">
        <v>8125</v>
      </c>
      <c r="L614" s="542" t="s">
        <v>806</v>
      </c>
      <c r="M614" s="548"/>
      <c r="N614" s="549">
        <v>-46</v>
      </c>
      <c r="O614" s="544" t="s">
        <v>1674</v>
      </c>
      <c r="P614" s="544" t="s">
        <v>1674</v>
      </c>
      <c r="Q614" s="544" t="s">
        <v>2983</v>
      </c>
      <c r="R614" s="544" t="s">
        <v>2984</v>
      </c>
      <c r="S614" s="544" t="s">
        <v>1674</v>
      </c>
      <c r="T614" s="550"/>
      <c r="U614" s="544" t="s">
        <v>3328</v>
      </c>
      <c r="V614" s="547">
        <v>902</v>
      </c>
      <c r="W614" s="548"/>
      <c r="Y614" s="544" t="s">
        <v>1674</v>
      </c>
      <c r="AA614" s="544" t="s">
        <v>1674</v>
      </c>
      <c r="AE614" s="551"/>
      <c r="AF614" s="544" t="s">
        <v>1674</v>
      </c>
      <c r="AG614" s="544" t="s">
        <v>1674</v>
      </c>
      <c r="AH614" s="544" t="s">
        <v>1674</v>
      </c>
      <c r="AI614" s="544" t="s">
        <v>1674</v>
      </c>
      <c r="AJ614" s="544" t="s">
        <v>1674</v>
      </c>
      <c r="AK614" s="544" t="s">
        <v>1674</v>
      </c>
      <c r="AL614" s="544" t="s">
        <v>1674</v>
      </c>
      <c r="AM614" s="544" t="s">
        <v>2985</v>
      </c>
      <c r="AN614" s="544" t="s">
        <v>1674</v>
      </c>
      <c r="AP614" s="542">
        <f t="shared" si="21"/>
        <v>15</v>
      </c>
      <c r="AR614" s="552">
        <f t="shared" si="20"/>
        <v>0</v>
      </c>
    </row>
    <row r="615" spans="1:44" outlineLevel="1" x14ac:dyDescent="0.25">
      <c r="A615" s="544" t="s">
        <v>1674</v>
      </c>
      <c r="B615" s="545">
        <v>0</v>
      </c>
      <c r="C615" s="544" t="s">
        <v>1674</v>
      </c>
      <c r="D615" s="544" t="s">
        <v>3732</v>
      </c>
      <c r="E615" s="542" t="s">
        <v>3726</v>
      </c>
      <c r="F615" s="542" t="s">
        <v>3727</v>
      </c>
      <c r="G615" s="546">
        <v>470</v>
      </c>
      <c r="H615" s="546"/>
      <c r="I615" s="546">
        <v>5809</v>
      </c>
      <c r="J615" s="542" t="s">
        <v>2701</v>
      </c>
      <c r="K615" s="547">
        <v>8125</v>
      </c>
      <c r="L615" s="542" t="s">
        <v>806</v>
      </c>
      <c r="M615" s="548"/>
      <c r="N615" s="549">
        <v>-46</v>
      </c>
      <c r="O615" s="544" t="s">
        <v>1674</v>
      </c>
      <c r="P615" s="544" t="s">
        <v>1674</v>
      </c>
      <c r="Q615" s="544" t="s">
        <v>2986</v>
      </c>
      <c r="R615" s="544" t="s">
        <v>1674</v>
      </c>
      <c r="S615" s="544" t="s">
        <v>1674</v>
      </c>
      <c r="T615" s="550"/>
      <c r="U615" s="544" t="s">
        <v>3328</v>
      </c>
      <c r="V615" s="547">
        <v>903</v>
      </c>
      <c r="W615" s="548"/>
      <c r="Y615" s="544" t="s">
        <v>1674</v>
      </c>
      <c r="AA615" s="544" t="s">
        <v>1674</v>
      </c>
      <c r="AE615" s="551"/>
      <c r="AF615" s="544" t="s">
        <v>1674</v>
      </c>
      <c r="AG615" s="544" t="s">
        <v>1674</v>
      </c>
      <c r="AH615" s="544" t="s">
        <v>1674</v>
      </c>
      <c r="AI615" s="544" t="s">
        <v>1674</v>
      </c>
      <c r="AJ615" s="544" t="s">
        <v>1674</v>
      </c>
      <c r="AK615" s="544" t="s">
        <v>1674</v>
      </c>
      <c r="AL615" s="544" t="s">
        <v>1674</v>
      </c>
      <c r="AM615" s="544" t="s">
        <v>1674</v>
      </c>
      <c r="AN615" s="544" t="s">
        <v>1674</v>
      </c>
      <c r="AP615" s="542">
        <f t="shared" si="21"/>
        <v>15</v>
      </c>
      <c r="AR615" s="552">
        <f t="shared" si="20"/>
        <v>5809</v>
      </c>
    </row>
    <row r="616" spans="1:44" outlineLevel="1" x14ac:dyDescent="0.25">
      <c r="A616" s="544" t="s">
        <v>1674</v>
      </c>
      <c r="B616" s="545">
        <v>21606</v>
      </c>
      <c r="C616" s="544" t="s">
        <v>3051</v>
      </c>
      <c r="D616" s="544" t="s">
        <v>3733</v>
      </c>
      <c r="E616" s="542" t="s">
        <v>3726</v>
      </c>
      <c r="F616" s="542" t="s">
        <v>3727</v>
      </c>
      <c r="G616" s="546">
        <v>2982.48</v>
      </c>
      <c r="H616" s="546"/>
      <c r="I616" s="546"/>
      <c r="J616" s="542" t="s">
        <v>806</v>
      </c>
      <c r="K616" s="547">
        <v>8125</v>
      </c>
      <c r="L616" s="542" t="s">
        <v>806</v>
      </c>
      <c r="M616" s="548"/>
      <c r="N616" s="549">
        <v>-46</v>
      </c>
      <c r="O616" s="544" t="s">
        <v>1674</v>
      </c>
      <c r="P616" s="544" t="s">
        <v>1674</v>
      </c>
      <c r="Q616" s="544" t="s">
        <v>3053</v>
      </c>
      <c r="R616" s="544" t="s">
        <v>1674</v>
      </c>
      <c r="S616" s="544" t="s">
        <v>1674</v>
      </c>
      <c r="T616" s="550"/>
      <c r="U616" s="544" t="s">
        <v>3328</v>
      </c>
      <c r="V616" s="547">
        <v>897</v>
      </c>
      <c r="W616" s="548"/>
      <c r="Y616" s="544" t="s">
        <v>1674</v>
      </c>
      <c r="AA616" s="544" t="s">
        <v>1674</v>
      </c>
      <c r="AE616" s="551"/>
      <c r="AF616" s="544" t="s">
        <v>1674</v>
      </c>
      <c r="AG616" s="544" t="s">
        <v>1674</v>
      </c>
      <c r="AH616" s="544" t="s">
        <v>1674</v>
      </c>
      <c r="AI616" s="544" t="s">
        <v>1674</v>
      </c>
      <c r="AJ616" s="544" t="s">
        <v>1674</v>
      </c>
      <c r="AK616" s="544" t="s">
        <v>1674</v>
      </c>
      <c r="AL616" s="544" t="s">
        <v>1674</v>
      </c>
      <c r="AM616" s="544" t="s">
        <v>3054</v>
      </c>
      <c r="AN616" s="544" t="s">
        <v>1674</v>
      </c>
      <c r="AP616" s="542">
        <f t="shared" si="21"/>
        <v>15</v>
      </c>
      <c r="AR616" s="552">
        <f t="shared" si="20"/>
        <v>0</v>
      </c>
    </row>
    <row r="617" spans="1:44" outlineLevel="1" x14ac:dyDescent="0.25">
      <c r="A617" s="544" t="s">
        <v>1674</v>
      </c>
      <c r="B617" s="545">
        <v>0</v>
      </c>
      <c r="C617" s="544" t="s">
        <v>1674</v>
      </c>
      <c r="D617" s="544" t="s">
        <v>3733</v>
      </c>
      <c r="E617" s="542" t="s">
        <v>3726</v>
      </c>
      <c r="F617" s="542" t="s">
        <v>3727</v>
      </c>
      <c r="G617" s="546">
        <v>17.52</v>
      </c>
      <c r="H617" s="546"/>
      <c r="I617" s="546">
        <v>3000</v>
      </c>
      <c r="J617" s="542" t="s">
        <v>2701</v>
      </c>
      <c r="K617" s="547">
        <v>8125</v>
      </c>
      <c r="L617" s="542" t="s">
        <v>806</v>
      </c>
      <c r="M617" s="548"/>
      <c r="N617" s="549">
        <v>-46</v>
      </c>
      <c r="O617" s="544" t="s">
        <v>1674</v>
      </c>
      <c r="P617" s="544" t="s">
        <v>1674</v>
      </c>
      <c r="Q617" s="544" t="s">
        <v>3053</v>
      </c>
      <c r="R617" s="544" t="s">
        <v>2617</v>
      </c>
      <c r="S617" s="544" t="s">
        <v>1674</v>
      </c>
      <c r="T617" s="550"/>
      <c r="U617" s="544" t="s">
        <v>3328</v>
      </c>
      <c r="V617" s="547">
        <v>898</v>
      </c>
      <c r="W617" s="548"/>
      <c r="Y617" s="544" t="s">
        <v>1674</v>
      </c>
      <c r="AA617" s="544" t="s">
        <v>1674</v>
      </c>
      <c r="AE617" s="551"/>
      <c r="AF617" s="544" t="s">
        <v>1674</v>
      </c>
      <c r="AG617" s="544" t="s">
        <v>1674</v>
      </c>
      <c r="AH617" s="544" t="s">
        <v>1674</v>
      </c>
      <c r="AI617" s="544" t="s">
        <v>1674</v>
      </c>
      <c r="AJ617" s="544" t="s">
        <v>1674</v>
      </c>
      <c r="AK617" s="544" t="s">
        <v>1674</v>
      </c>
      <c r="AL617" s="544" t="s">
        <v>1674</v>
      </c>
      <c r="AM617" s="544" t="s">
        <v>1674</v>
      </c>
      <c r="AN617" s="544" t="s">
        <v>1674</v>
      </c>
      <c r="AP617" s="542">
        <f t="shared" si="21"/>
        <v>15</v>
      </c>
      <c r="AR617" s="552">
        <f t="shared" si="20"/>
        <v>3000</v>
      </c>
    </row>
    <row r="618" spans="1:44" outlineLevel="1" x14ac:dyDescent="0.25">
      <c r="A618" s="544" t="s">
        <v>1674</v>
      </c>
      <c r="B618" s="545">
        <v>10100</v>
      </c>
      <c r="C618" s="544" t="s">
        <v>2864</v>
      </c>
      <c r="D618" s="544" t="s">
        <v>3734</v>
      </c>
      <c r="E618" s="542" t="s">
        <v>3735</v>
      </c>
      <c r="F618" s="542" t="s">
        <v>3736</v>
      </c>
      <c r="G618" s="546">
        <v>487.9</v>
      </c>
      <c r="H618" s="546"/>
      <c r="I618" s="546"/>
      <c r="J618" s="542" t="s">
        <v>806</v>
      </c>
      <c r="K618" s="547">
        <v>8400</v>
      </c>
      <c r="L618" s="542" t="s">
        <v>806</v>
      </c>
      <c r="M618" s="548"/>
      <c r="N618" s="549">
        <v>-45</v>
      </c>
      <c r="O618" s="544" t="s">
        <v>1674</v>
      </c>
      <c r="P618" s="544" t="s">
        <v>1674</v>
      </c>
      <c r="Q618" s="544" t="s">
        <v>2868</v>
      </c>
      <c r="R618" s="544" t="s">
        <v>2622</v>
      </c>
      <c r="S618" s="544" t="s">
        <v>1674</v>
      </c>
      <c r="T618" s="550">
        <v>19</v>
      </c>
      <c r="U618" s="544" t="s">
        <v>3328</v>
      </c>
      <c r="V618" s="547">
        <v>956</v>
      </c>
      <c r="W618" s="548"/>
      <c r="Y618" s="544" t="s">
        <v>1674</v>
      </c>
      <c r="AA618" s="544" t="s">
        <v>1674</v>
      </c>
      <c r="AE618" s="551"/>
      <c r="AF618" s="544" t="s">
        <v>1674</v>
      </c>
      <c r="AG618" s="544" t="s">
        <v>1674</v>
      </c>
      <c r="AH618" s="544" t="s">
        <v>1674</v>
      </c>
      <c r="AI618" s="544" t="s">
        <v>1674</v>
      </c>
      <c r="AJ618" s="544" t="s">
        <v>1674</v>
      </c>
      <c r="AK618" s="544" t="s">
        <v>1674</v>
      </c>
      <c r="AL618" s="544" t="s">
        <v>1674</v>
      </c>
      <c r="AM618" s="544" t="s">
        <v>2864</v>
      </c>
      <c r="AN618" s="544" t="s">
        <v>1674</v>
      </c>
      <c r="AP618" s="542">
        <f t="shared" si="21"/>
        <v>16</v>
      </c>
      <c r="AR618" s="552">
        <f t="shared" si="20"/>
        <v>0</v>
      </c>
    </row>
    <row r="619" spans="1:44" outlineLevel="1" x14ac:dyDescent="0.25">
      <c r="A619" s="544" t="s">
        <v>1674</v>
      </c>
      <c r="B619" s="545">
        <v>0</v>
      </c>
      <c r="C619" s="544" t="s">
        <v>1674</v>
      </c>
      <c r="D619" s="544" t="s">
        <v>3734</v>
      </c>
      <c r="E619" s="542" t="s">
        <v>3735</v>
      </c>
      <c r="F619" s="542" t="s">
        <v>3736</v>
      </c>
      <c r="G619" s="546">
        <v>35.700000000000003</v>
      </c>
      <c r="H619" s="546"/>
      <c r="I619" s="546">
        <v>523.6</v>
      </c>
      <c r="J619" s="542" t="s">
        <v>2701</v>
      </c>
      <c r="K619" s="547">
        <v>8400</v>
      </c>
      <c r="L619" s="542" t="s">
        <v>806</v>
      </c>
      <c r="M619" s="548"/>
      <c r="N619" s="549">
        <v>-45</v>
      </c>
      <c r="O619" s="544" t="s">
        <v>1674</v>
      </c>
      <c r="P619" s="544" t="s">
        <v>1674</v>
      </c>
      <c r="Q619" s="544" t="s">
        <v>3003</v>
      </c>
      <c r="R619" s="544" t="s">
        <v>1674</v>
      </c>
      <c r="S619" s="544" t="s">
        <v>1674</v>
      </c>
      <c r="T619" s="550">
        <v>19</v>
      </c>
      <c r="U619" s="544" t="s">
        <v>3328</v>
      </c>
      <c r="V619" s="547">
        <v>957</v>
      </c>
      <c r="W619" s="548"/>
      <c r="Y619" s="544" t="s">
        <v>1674</v>
      </c>
      <c r="AA619" s="544" t="s">
        <v>1674</v>
      </c>
      <c r="AE619" s="551"/>
      <c r="AF619" s="544" t="s">
        <v>1674</v>
      </c>
      <c r="AG619" s="544" t="s">
        <v>1674</v>
      </c>
      <c r="AH619" s="544" t="s">
        <v>1674</v>
      </c>
      <c r="AI619" s="544" t="s">
        <v>1674</v>
      </c>
      <c r="AJ619" s="544" t="s">
        <v>1674</v>
      </c>
      <c r="AK619" s="544" t="s">
        <v>1674</v>
      </c>
      <c r="AL619" s="544" t="s">
        <v>1674</v>
      </c>
      <c r="AM619" s="544" t="s">
        <v>1674</v>
      </c>
      <c r="AN619" s="544" t="s">
        <v>1674</v>
      </c>
      <c r="AP619" s="542">
        <f t="shared" si="21"/>
        <v>16</v>
      </c>
      <c r="AR619" s="552">
        <f t="shared" si="20"/>
        <v>523.6</v>
      </c>
    </row>
    <row r="620" spans="1:44" outlineLevel="1" x14ac:dyDescent="0.25">
      <c r="A620" s="544" t="s">
        <v>1674</v>
      </c>
      <c r="B620" s="545">
        <v>10200</v>
      </c>
      <c r="C620" s="544" t="s">
        <v>2774</v>
      </c>
      <c r="D620" s="544" t="s">
        <v>3737</v>
      </c>
      <c r="E620" s="542" t="s">
        <v>3735</v>
      </c>
      <c r="F620" s="542" t="s">
        <v>3736</v>
      </c>
      <c r="G620" s="546">
        <v>478.86</v>
      </c>
      <c r="H620" s="546"/>
      <c r="I620" s="546"/>
      <c r="J620" s="542" t="s">
        <v>806</v>
      </c>
      <c r="K620" s="547">
        <v>8400</v>
      </c>
      <c r="L620" s="542" t="s">
        <v>806</v>
      </c>
      <c r="M620" s="548"/>
      <c r="N620" s="549">
        <v>-45</v>
      </c>
      <c r="O620" s="544" t="s">
        <v>1674</v>
      </c>
      <c r="P620" s="544" t="s">
        <v>1674</v>
      </c>
      <c r="Q620" s="544" t="s">
        <v>3738</v>
      </c>
      <c r="R620" s="544" t="s">
        <v>2622</v>
      </c>
      <c r="S620" s="544" t="s">
        <v>1674</v>
      </c>
      <c r="T620" s="550">
        <v>19</v>
      </c>
      <c r="U620" s="544" t="s">
        <v>3328</v>
      </c>
      <c r="V620" s="547">
        <v>954</v>
      </c>
      <c r="W620" s="548"/>
      <c r="Y620" s="544" t="s">
        <v>1674</v>
      </c>
      <c r="AA620" s="544" t="s">
        <v>1674</v>
      </c>
      <c r="AE620" s="551"/>
      <c r="AF620" s="544" t="s">
        <v>1674</v>
      </c>
      <c r="AG620" s="544" t="s">
        <v>1674</v>
      </c>
      <c r="AH620" s="544" t="s">
        <v>1674</v>
      </c>
      <c r="AI620" s="544" t="s">
        <v>1674</v>
      </c>
      <c r="AJ620" s="544" t="s">
        <v>1674</v>
      </c>
      <c r="AK620" s="544" t="s">
        <v>1674</v>
      </c>
      <c r="AL620" s="544" t="s">
        <v>1674</v>
      </c>
      <c r="AM620" s="544" t="s">
        <v>2774</v>
      </c>
      <c r="AN620" s="544" t="s">
        <v>1674</v>
      </c>
      <c r="AP620" s="542">
        <f t="shared" si="21"/>
        <v>16</v>
      </c>
      <c r="AR620" s="552">
        <f t="shared" si="20"/>
        <v>0</v>
      </c>
    </row>
    <row r="621" spans="1:44" outlineLevel="1" x14ac:dyDescent="0.25">
      <c r="A621" s="544" t="s">
        <v>1674</v>
      </c>
      <c r="B621" s="545">
        <v>0</v>
      </c>
      <c r="C621" s="544" t="s">
        <v>1674</v>
      </c>
      <c r="D621" s="544" t="s">
        <v>3737</v>
      </c>
      <c r="E621" s="542" t="s">
        <v>3735</v>
      </c>
      <c r="F621" s="542" t="s">
        <v>3736</v>
      </c>
      <c r="G621" s="546">
        <v>28.56</v>
      </c>
      <c r="H621" s="546"/>
      <c r="I621" s="546">
        <v>507.42</v>
      </c>
      <c r="J621" s="542" t="s">
        <v>2701</v>
      </c>
      <c r="K621" s="547">
        <v>8400</v>
      </c>
      <c r="L621" s="542" t="s">
        <v>806</v>
      </c>
      <c r="M621" s="548"/>
      <c r="N621" s="549">
        <v>-45</v>
      </c>
      <c r="O621" s="544" t="s">
        <v>1674</v>
      </c>
      <c r="P621" s="544" t="s">
        <v>1674</v>
      </c>
      <c r="Q621" s="544" t="s">
        <v>3739</v>
      </c>
      <c r="R621" s="544" t="s">
        <v>1674</v>
      </c>
      <c r="S621" s="544" t="s">
        <v>1674</v>
      </c>
      <c r="T621" s="550">
        <v>19</v>
      </c>
      <c r="U621" s="544" t="s">
        <v>3328</v>
      </c>
      <c r="V621" s="547">
        <v>955</v>
      </c>
      <c r="W621" s="548"/>
      <c r="Y621" s="544" t="s">
        <v>1674</v>
      </c>
      <c r="AA621" s="544" t="s">
        <v>1674</v>
      </c>
      <c r="AE621" s="551"/>
      <c r="AF621" s="544" t="s">
        <v>1674</v>
      </c>
      <c r="AG621" s="544" t="s">
        <v>1674</v>
      </c>
      <c r="AH621" s="544" t="s">
        <v>1674</v>
      </c>
      <c r="AI621" s="544" t="s">
        <v>1674</v>
      </c>
      <c r="AJ621" s="544" t="s">
        <v>1674</v>
      </c>
      <c r="AK621" s="544" t="s">
        <v>1674</v>
      </c>
      <c r="AL621" s="544" t="s">
        <v>1674</v>
      </c>
      <c r="AM621" s="544" t="s">
        <v>1674</v>
      </c>
      <c r="AN621" s="544" t="s">
        <v>1674</v>
      </c>
      <c r="AP621" s="542">
        <f t="shared" si="21"/>
        <v>16</v>
      </c>
      <c r="AR621" s="552">
        <f t="shared" si="20"/>
        <v>507.42</v>
      </c>
    </row>
    <row r="622" spans="1:44" outlineLevel="1" x14ac:dyDescent="0.25">
      <c r="A622" s="544" t="s">
        <v>1674</v>
      </c>
      <c r="B622" s="545">
        <v>10102</v>
      </c>
      <c r="C622" s="544" t="s">
        <v>2747</v>
      </c>
      <c r="D622" s="544" t="s">
        <v>3740</v>
      </c>
      <c r="E622" s="542" t="s">
        <v>3625</v>
      </c>
      <c r="F622" s="542" t="s">
        <v>3741</v>
      </c>
      <c r="G622" s="546">
        <v>7159.04</v>
      </c>
      <c r="H622" s="546"/>
      <c r="I622" s="546">
        <v>7159.04</v>
      </c>
      <c r="J622" s="542" t="s">
        <v>2701</v>
      </c>
      <c r="K622" s="547">
        <v>8400</v>
      </c>
      <c r="L622" s="542" t="s">
        <v>806</v>
      </c>
      <c r="M622" s="548"/>
      <c r="N622" s="549">
        <v>-44</v>
      </c>
      <c r="O622" s="544" t="s">
        <v>1674</v>
      </c>
      <c r="P622" s="544" t="s">
        <v>1674</v>
      </c>
      <c r="Q622" s="544" t="s">
        <v>2747</v>
      </c>
      <c r="R622" s="544" t="s">
        <v>1674</v>
      </c>
      <c r="S622" s="544" t="s">
        <v>1674</v>
      </c>
      <c r="T622" s="550">
        <v>19</v>
      </c>
      <c r="U622" s="544" t="s">
        <v>3328</v>
      </c>
      <c r="V622" s="547">
        <v>1050</v>
      </c>
      <c r="W622" s="548"/>
      <c r="Y622" s="544" t="s">
        <v>1674</v>
      </c>
      <c r="AA622" s="544" t="s">
        <v>1674</v>
      </c>
      <c r="AE622" s="551"/>
      <c r="AF622" s="544" t="s">
        <v>1674</v>
      </c>
      <c r="AG622" s="544" t="s">
        <v>1674</v>
      </c>
      <c r="AH622" s="544" t="s">
        <v>1674</v>
      </c>
      <c r="AI622" s="544" t="s">
        <v>1674</v>
      </c>
      <c r="AJ622" s="544" t="s">
        <v>1674</v>
      </c>
      <c r="AK622" s="544" t="s">
        <v>1674</v>
      </c>
      <c r="AL622" s="544" t="s">
        <v>1674</v>
      </c>
      <c r="AM622" s="544" t="s">
        <v>2747</v>
      </c>
      <c r="AN622" s="544" t="s">
        <v>1674</v>
      </c>
      <c r="AP622" s="542">
        <f t="shared" si="21"/>
        <v>17</v>
      </c>
      <c r="AR622" s="552">
        <f t="shared" si="20"/>
        <v>7159.04</v>
      </c>
    </row>
    <row r="623" spans="1:44" outlineLevel="1" x14ac:dyDescent="0.25">
      <c r="A623" s="544" t="s">
        <v>1674</v>
      </c>
      <c r="B623" s="545">
        <v>10700</v>
      </c>
      <c r="C623" s="544" t="s">
        <v>2836</v>
      </c>
      <c r="D623" s="544" t="s">
        <v>3742</v>
      </c>
      <c r="E623" s="542" t="s">
        <v>3625</v>
      </c>
      <c r="F623" s="542" t="s">
        <v>3741</v>
      </c>
      <c r="G623" s="546">
        <v>1185.24</v>
      </c>
      <c r="H623" s="546"/>
      <c r="I623" s="546">
        <v>1185.24</v>
      </c>
      <c r="J623" s="542" t="s">
        <v>2701</v>
      </c>
      <c r="K623" s="547">
        <v>8400</v>
      </c>
      <c r="L623" s="542" t="s">
        <v>806</v>
      </c>
      <c r="M623" s="548"/>
      <c r="N623" s="549">
        <v>-44</v>
      </c>
      <c r="O623" s="544" t="s">
        <v>1674</v>
      </c>
      <c r="P623" s="544" t="s">
        <v>1674</v>
      </c>
      <c r="Q623" s="544" t="s">
        <v>2839</v>
      </c>
      <c r="R623" s="544" t="s">
        <v>1674</v>
      </c>
      <c r="S623" s="544" t="s">
        <v>1674</v>
      </c>
      <c r="T623" s="550">
        <v>19</v>
      </c>
      <c r="U623" s="544" t="s">
        <v>3328</v>
      </c>
      <c r="V623" s="547">
        <v>1041</v>
      </c>
      <c r="W623" s="548"/>
      <c r="Y623" s="544" t="s">
        <v>1674</v>
      </c>
      <c r="AA623" s="544" t="s">
        <v>1674</v>
      </c>
      <c r="AE623" s="551"/>
      <c r="AF623" s="544" t="s">
        <v>1674</v>
      </c>
      <c r="AG623" s="544" t="s">
        <v>1674</v>
      </c>
      <c r="AH623" s="544" t="s">
        <v>1674</v>
      </c>
      <c r="AI623" s="544" t="s">
        <v>1674</v>
      </c>
      <c r="AJ623" s="544" t="s">
        <v>1674</v>
      </c>
      <c r="AK623" s="544" t="s">
        <v>1674</v>
      </c>
      <c r="AL623" s="544" t="s">
        <v>1674</v>
      </c>
      <c r="AM623" s="544" t="s">
        <v>2836</v>
      </c>
      <c r="AN623" s="544" t="s">
        <v>1674</v>
      </c>
      <c r="AP623" s="542">
        <f t="shared" si="21"/>
        <v>17</v>
      </c>
      <c r="AR623" s="552">
        <f t="shared" si="20"/>
        <v>1185.24</v>
      </c>
    </row>
    <row r="624" spans="1:44" outlineLevel="1" x14ac:dyDescent="0.25">
      <c r="A624" s="544" t="s">
        <v>1674</v>
      </c>
      <c r="B624" s="545">
        <v>11000</v>
      </c>
      <c r="C624" s="544" t="s">
        <v>2900</v>
      </c>
      <c r="D624" s="544" t="s">
        <v>3743</v>
      </c>
      <c r="E624" s="542" t="s">
        <v>3625</v>
      </c>
      <c r="F624" s="542" t="s">
        <v>3741</v>
      </c>
      <c r="G624" s="546">
        <v>240.62</v>
      </c>
      <c r="H624" s="546"/>
      <c r="I624" s="546"/>
      <c r="J624" s="542" t="s">
        <v>806</v>
      </c>
      <c r="K624" s="547">
        <v>8400</v>
      </c>
      <c r="L624" s="542" t="s">
        <v>806</v>
      </c>
      <c r="M624" s="548"/>
      <c r="N624" s="549">
        <v>-44</v>
      </c>
      <c r="O624" s="544" t="s">
        <v>1674</v>
      </c>
      <c r="P624" s="544" t="s">
        <v>1674</v>
      </c>
      <c r="Q624" s="544" t="s">
        <v>3250</v>
      </c>
      <c r="R624" s="544" t="s">
        <v>1674</v>
      </c>
      <c r="S624" s="544" t="s">
        <v>1674</v>
      </c>
      <c r="T624" s="550">
        <v>19</v>
      </c>
      <c r="U624" s="544" t="s">
        <v>3328</v>
      </c>
      <c r="V624" s="547">
        <v>1044</v>
      </c>
      <c r="W624" s="548"/>
      <c r="Y624" s="544" t="s">
        <v>1674</v>
      </c>
      <c r="AA624" s="544" t="s">
        <v>1674</v>
      </c>
      <c r="AE624" s="551"/>
      <c r="AF624" s="544" t="s">
        <v>1674</v>
      </c>
      <c r="AG624" s="544" t="s">
        <v>1674</v>
      </c>
      <c r="AH624" s="544" t="s">
        <v>1674</v>
      </c>
      <c r="AI624" s="544" t="s">
        <v>1674</v>
      </c>
      <c r="AJ624" s="544" t="s">
        <v>1674</v>
      </c>
      <c r="AK624" s="544" t="s">
        <v>1674</v>
      </c>
      <c r="AL624" s="544" t="s">
        <v>1674</v>
      </c>
      <c r="AM624" s="544" t="s">
        <v>2900</v>
      </c>
      <c r="AN624" s="544" t="s">
        <v>1674</v>
      </c>
      <c r="AP624" s="542">
        <f t="shared" si="21"/>
        <v>17</v>
      </c>
      <c r="AR624" s="552">
        <f t="shared" si="20"/>
        <v>0</v>
      </c>
    </row>
    <row r="625" spans="1:44" outlineLevel="1" x14ac:dyDescent="0.25">
      <c r="A625" s="544" t="s">
        <v>1674</v>
      </c>
      <c r="B625" s="545">
        <v>0</v>
      </c>
      <c r="C625" s="544" t="s">
        <v>1674</v>
      </c>
      <c r="D625" s="544" t="s">
        <v>3743</v>
      </c>
      <c r="E625" s="542" t="s">
        <v>3625</v>
      </c>
      <c r="F625" s="542" t="s">
        <v>3741</v>
      </c>
      <c r="G625" s="546">
        <v>22.49</v>
      </c>
      <c r="H625" s="546"/>
      <c r="I625" s="546"/>
      <c r="J625" s="542" t="s">
        <v>806</v>
      </c>
      <c r="K625" s="547">
        <v>8400</v>
      </c>
      <c r="L625" s="542" t="s">
        <v>806</v>
      </c>
      <c r="M625" s="548"/>
      <c r="N625" s="549">
        <v>-44</v>
      </c>
      <c r="O625" s="544" t="s">
        <v>1674</v>
      </c>
      <c r="P625" s="544" t="s">
        <v>1674</v>
      </c>
      <c r="Q625" s="544" t="s">
        <v>3250</v>
      </c>
      <c r="R625" s="544" t="s">
        <v>2617</v>
      </c>
      <c r="S625" s="544" t="s">
        <v>1674</v>
      </c>
      <c r="T625" s="550">
        <v>19</v>
      </c>
      <c r="U625" s="544" t="s">
        <v>3328</v>
      </c>
      <c r="V625" s="547">
        <v>1045</v>
      </c>
      <c r="W625" s="548"/>
      <c r="Y625" s="544" t="s">
        <v>1674</v>
      </c>
      <c r="AA625" s="544" t="s">
        <v>1674</v>
      </c>
      <c r="AE625" s="551"/>
      <c r="AF625" s="544" t="s">
        <v>1674</v>
      </c>
      <c r="AG625" s="544" t="s">
        <v>1674</v>
      </c>
      <c r="AH625" s="544" t="s">
        <v>1674</v>
      </c>
      <c r="AI625" s="544" t="s">
        <v>1674</v>
      </c>
      <c r="AJ625" s="544" t="s">
        <v>1674</v>
      </c>
      <c r="AK625" s="544" t="s">
        <v>1674</v>
      </c>
      <c r="AL625" s="544" t="s">
        <v>1674</v>
      </c>
      <c r="AM625" s="544" t="s">
        <v>1674</v>
      </c>
      <c r="AN625" s="544" t="s">
        <v>1674</v>
      </c>
      <c r="AP625" s="542">
        <f t="shared" si="21"/>
        <v>17</v>
      </c>
      <c r="AR625" s="552">
        <f t="shared" si="20"/>
        <v>0</v>
      </c>
    </row>
    <row r="626" spans="1:44" outlineLevel="1" x14ac:dyDescent="0.25">
      <c r="A626" s="544" t="s">
        <v>1674</v>
      </c>
      <c r="B626" s="545">
        <v>0</v>
      </c>
      <c r="C626" s="544" t="s">
        <v>1674</v>
      </c>
      <c r="D626" s="544" t="s">
        <v>3743</v>
      </c>
      <c r="E626" s="542" t="s">
        <v>3625</v>
      </c>
      <c r="F626" s="542" t="s">
        <v>3741</v>
      </c>
      <c r="G626" s="546">
        <v>3592.49</v>
      </c>
      <c r="H626" s="546"/>
      <c r="I626" s="546">
        <v>3855.6</v>
      </c>
      <c r="J626" s="542" t="s">
        <v>2701</v>
      </c>
      <c r="K626" s="547">
        <v>8401</v>
      </c>
      <c r="L626" s="542" t="s">
        <v>806</v>
      </c>
      <c r="M626" s="548"/>
      <c r="N626" s="549">
        <v>-44</v>
      </c>
      <c r="O626" s="544" t="s">
        <v>1674</v>
      </c>
      <c r="P626" s="544" t="s">
        <v>1674</v>
      </c>
      <c r="Q626" s="544" t="s">
        <v>3250</v>
      </c>
      <c r="R626" s="544" t="s">
        <v>1674</v>
      </c>
      <c r="S626" s="544" t="s">
        <v>1674</v>
      </c>
      <c r="T626" s="550">
        <v>19</v>
      </c>
      <c r="U626" s="544" t="s">
        <v>3328</v>
      </c>
      <c r="V626" s="547">
        <v>1046</v>
      </c>
      <c r="W626" s="548"/>
      <c r="Y626" s="544" t="s">
        <v>1674</v>
      </c>
      <c r="AA626" s="544" t="s">
        <v>1674</v>
      </c>
      <c r="AE626" s="551"/>
      <c r="AF626" s="544" t="s">
        <v>1674</v>
      </c>
      <c r="AG626" s="544" t="s">
        <v>1674</v>
      </c>
      <c r="AH626" s="544" t="s">
        <v>1674</v>
      </c>
      <c r="AI626" s="544" t="s">
        <v>1674</v>
      </c>
      <c r="AJ626" s="544" t="s">
        <v>1674</v>
      </c>
      <c r="AK626" s="544" t="s">
        <v>1674</v>
      </c>
      <c r="AL626" s="544" t="s">
        <v>1674</v>
      </c>
      <c r="AM626" s="544" t="s">
        <v>1674</v>
      </c>
      <c r="AN626" s="544" t="s">
        <v>1674</v>
      </c>
      <c r="AP626" s="542">
        <f t="shared" si="21"/>
        <v>17</v>
      </c>
      <c r="AR626" s="552">
        <f t="shared" si="20"/>
        <v>3855.6</v>
      </c>
    </row>
    <row r="627" spans="1:44" outlineLevel="1" x14ac:dyDescent="0.25">
      <c r="A627" s="544" t="s">
        <v>1674</v>
      </c>
      <c r="B627" s="545">
        <v>11106</v>
      </c>
      <c r="C627" s="544" t="s">
        <v>3024</v>
      </c>
      <c r="D627" s="544" t="s">
        <v>3744</v>
      </c>
      <c r="E627" s="542" t="s">
        <v>3625</v>
      </c>
      <c r="F627" s="542" t="s">
        <v>3741</v>
      </c>
      <c r="G627" s="546">
        <v>4450.6000000000004</v>
      </c>
      <c r="H627" s="546"/>
      <c r="I627" s="546">
        <v>4450.6000000000004</v>
      </c>
      <c r="J627" s="542" t="s">
        <v>2701</v>
      </c>
      <c r="K627" s="547">
        <v>8401</v>
      </c>
      <c r="L627" s="542" t="s">
        <v>806</v>
      </c>
      <c r="M627" s="548"/>
      <c r="N627" s="549">
        <v>-44</v>
      </c>
      <c r="O627" s="544" t="s">
        <v>1674</v>
      </c>
      <c r="P627" s="544" t="s">
        <v>1674</v>
      </c>
      <c r="Q627" s="544" t="s">
        <v>3026</v>
      </c>
      <c r="R627" s="544" t="s">
        <v>1674</v>
      </c>
      <c r="S627" s="544" t="s">
        <v>1674</v>
      </c>
      <c r="T627" s="550">
        <v>19</v>
      </c>
      <c r="U627" s="544" t="s">
        <v>3328</v>
      </c>
      <c r="V627" s="547">
        <v>1048</v>
      </c>
      <c r="W627" s="548"/>
      <c r="Y627" s="544" t="s">
        <v>1674</v>
      </c>
      <c r="AA627" s="544" t="s">
        <v>1674</v>
      </c>
      <c r="AE627" s="551"/>
      <c r="AF627" s="544" t="s">
        <v>1674</v>
      </c>
      <c r="AG627" s="544" t="s">
        <v>1674</v>
      </c>
      <c r="AH627" s="544" t="s">
        <v>1674</v>
      </c>
      <c r="AI627" s="544" t="s">
        <v>1674</v>
      </c>
      <c r="AJ627" s="544" t="s">
        <v>1674</v>
      </c>
      <c r="AK627" s="544" t="s">
        <v>1674</v>
      </c>
      <c r="AL627" s="544" t="s">
        <v>1674</v>
      </c>
      <c r="AM627" s="544" t="s">
        <v>3027</v>
      </c>
      <c r="AN627" s="544" t="s">
        <v>1674</v>
      </c>
      <c r="AP627" s="542">
        <f t="shared" si="21"/>
        <v>17</v>
      </c>
      <c r="AR627" s="552">
        <f t="shared" si="20"/>
        <v>4450.6000000000004</v>
      </c>
    </row>
    <row r="628" spans="1:44" outlineLevel="1" x14ac:dyDescent="0.25">
      <c r="A628" s="544" t="s">
        <v>1674</v>
      </c>
      <c r="B628" s="545">
        <v>12505</v>
      </c>
      <c r="C628" s="544" t="s">
        <v>3233</v>
      </c>
      <c r="D628" s="544" t="s">
        <v>3745</v>
      </c>
      <c r="E628" s="542" t="s">
        <v>3625</v>
      </c>
      <c r="F628" s="542" t="s">
        <v>3741</v>
      </c>
      <c r="G628" s="546">
        <v>1487.5</v>
      </c>
      <c r="H628" s="546"/>
      <c r="I628" s="546">
        <v>1487.5</v>
      </c>
      <c r="J628" s="542" t="s">
        <v>2701</v>
      </c>
      <c r="K628" s="547">
        <v>8400</v>
      </c>
      <c r="L628" s="542" t="s">
        <v>806</v>
      </c>
      <c r="M628" s="548"/>
      <c r="N628" s="549">
        <v>-44</v>
      </c>
      <c r="O628" s="544" t="s">
        <v>1674</v>
      </c>
      <c r="P628" s="544" t="s">
        <v>1674</v>
      </c>
      <c r="Q628" s="544" t="s">
        <v>3235</v>
      </c>
      <c r="R628" s="544" t="s">
        <v>1674</v>
      </c>
      <c r="S628" s="544" t="s">
        <v>1674</v>
      </c>
      <c r="T628" s="550">
        <v>19</v>
      </c>
      <c r="U628" s="544" t="s">
        <v>3328</v>
      </c>
      <c r="V628" s="547">
        <v>1042</v>
      </c>
      <c r="W628" s="548"/>
      <c r="Y628" s="544" t="s">
        <v>1674</v>
      </c>
      <c r="AA628" s="544" t="s">
        <v>1674</v>
      </c>
      <c r="AE628" s="551"/>
      <c r="AF628" s="544" t="s">
        <v>1674</v>
      </c>
      <c r="AG628" s="544" t="s">
        <v>1674</v>
      </c>
      <c r="AH628" s="544" t="s">
        <v>1674</v>
      </c>
      <c r="AI628" s="544" t="s">
        <v>1674</v>
      </c>
      <c r="AJ628" s="544" t="s">
        <v>1674</v>
      </c>
      <c r="AK628" s="544" t="s">
        <v>1674</v>
      </c>
      <c r="AL628" s="544" t="s">
        <v>1674</v>
      </c>
      <c r="AM628" s="544" t="s">
        <v>3236</v>
      </c>
      <c r="AN628" s="544" t="s">
        <v>1674</v>
      </c>
      <c r="AP628" s="542">
        <f t="shared" si="21"/>
        <v>17</v>
      </c>
      <c r="AR628" s="552">
        <f t="shared" si="20"/>
        <v>1487.5</v>
      </c>
    </row>
    <row r="629" spans="1:44" outlineLevel="1" x14ac:dyDescent="0.25">
      <c r="A629" s="544" t="s">
        <v>1674</v>
      </c>
      <c r="B629" s="545">
        <v>11600</v>
      </c>
      <c r="C629" s="544" t="s">
        <v>2782</v>
      </c>
      <c r="D629" s="544" t="s">
        <v>3746</v>
      </c>
      <c r="E629" s="542" t="s">
        <v>3642</v>
      </c>
      <c r="F629" s="542" t="s">
        <v>3747</v>
      </c>
      <c r="G629" s="546">
        <v>953.33</v>
      </c>
      <c r="H629" s="546"/>
      <c r="I629" s="546"/>
      <c r="J629" s="542" t="s">
        <v>806</v>
      </c>
      <c r="K629" s="547">
        <v>8400</v>
      </c>
      <c r="L629" s="542" t="s">
        <v>806</v>
      </c>
      <c r="M629" s="548"/>
      <c r="N629" s="549">
        <v>-43</v>
      </c>
      <c r="O629" s="544" t="s">
        <v>1674</v>
      </c>
      <c r="P629" s="544" t="s">
        <v>1674</v>
      </c>
      <c r="Q629" s="544" t="s">
        <v>2786</v>
      </c>
      <c r="R629" s="544" t="s">
        <v>1674</v>
      </c>
      <c r="S629" s="544" t="s">
        <v>1674</v>
      </c>
      <c r="T629" s="550">
        <v>19</v>
      </c>
      <c r="U629" s="544" t="s">
        <v>3328</v>
      </c>
      <c r="V629" s="547">
        <v>1127</v>
      </c>
      <c r="W629" s="548"/>
      <c r="Y629" s="544" t="s">
        <v>1674</v>
      </c>
      <c r="AA629" s="544" t="s">
        <v>1674</v>
      </c>
      <c r="AE629" s="551"/>
      <c r="AF629" s="544" t="s">
        <v>1674</v>
      </c>
      <c r="AG629" s="544" t="s">
        <v>1674</v>
      </c>
      <c r="AH629" s="544" t="s">
        <v>1674</v>
      </c>
      <c r="AI629" s="544" t="s">
        <v>1674</v>
      </c>
      <c r="AJ629" s="544" t="s">
        <v>1674</v>
      </c>
      <c r="AK629" s="544" t="s">
        <v>1674</v>
      </c>
      <c r="AL629" s="544" t="s">
        <v>1674</v>
      </c>
      <c r="AM629" s="544" t="s">
        <v>2782</v>
      </c>
      <c r="AN629" s="544" t="s">
        <v>1674</v>
      </c>
      <c r="AP629" s="542">
        <f t="shared" si="21"/>
        <v>18</v>
      </c>
      <c r="AR629" s="552">
        <f t="shared" si="20"/>
        <v>0</v>
      </c>
    </row>
    <row r="630" spans="1:44" outlineLevel="1" x14ac:dyDescent="0.25">
      <c r="A630" s="544" t="s">
        <v>1674</v>
      </c>
      <c r="B630" s="545">
        <v>0</v>
      </c>
      <c r="C630" s="544" t="s">
        <v>1674</v>
      </c>
      <c r="D630" s="544" t="s">
        <v>3746</v>
      </c>
      <c r="E630" s="542" t="s">
        <v>3642</v>
      </c>
      <c r="F630" s="542" t="s">
        <v>3747</v>
      </c>
      <c r="G630" s="546">
        <v>88.83</v>
      </c>
      <c r="H630" s="546"/>
      <c r="I630" s="546"/>
      <c r="J630" s="542" t="s">
        <v>806</v>
      </c>
      <c r="K630" s="547">
        <v>8400</v>
      </c>
      <c r="L630" s="542" t="s">
        <v>806</v>
      </c>
      <c r="M630" s="548"/>
      <c r="N630" s="549">
        <v>-43</v>
      </c>
      <c r="O630" s="544" t="s">
        <v>1674</v>
      </c>
      <c r="P630" s="544" t="s">
        <v>1674</v>
      </c>
      <c r="Q630" s="544" t="s">
        <v>2786</v>
      </c>
      <c r="R630" s="544" t="s">
        <v>2617</v>
      </c>
      <c r="S630" s="544" t="s">
        <v>1674</v>
      </c>
      <c r="T630" s="550">
        <v>19</v>
      </c>
      <c r="U630" s="544" t="s">
        <v>3328</v>
      </c>
      <c r="V630" s="547">
        <v>1128</v>
      </c>
      <c r="W630" s="548"/>
      <c r="Y630" s="544" t="s">
        <v>1674</v>
      </c>
      <c r="AA630" s="544" t="s">
        <v>1674</v>
      </c>
      <c r="AE630" s="551"/>
      <c r="AF630" s="544" t="s">
        <v>1674</v>
      </c>
      <c r="AG630" s="544" t="s">
        <v>1674</v>
      </c>
      <c r="AH630" s="544" t="s">
        <v>1674</v>
      </c>
      <c r="AI630" s="544" t="s">
        <v>1674</v>
      </c>
      <c r="AJ630" s="544" t="s">
        <v>1674</v>
      </c>
      <c r="AK630" s="544" t="s">
        <v>1674</v>
      </c>
      <c r="AL630" s="544" t="s">
        <v>1674</v>
      </c>
      <c r="AM630" s="544" t="s">
        <v>1674</v>
      </c>
      <c r="AN630" s="544" t="s">
        <v>1674</v>
      </c>
      <c r="AP630" s="542">
        <f t="shared" si="21"/>
        <v>18</v>
      </c>
      <c r="AR630" s="552">
        <f t="shared" si="20"/>
        <v>0</v>
      </c>
    </row>
    <row r="631" spans="1:44" outlineLevel="1" x14ac:dyDescent="0.25">
      <c r="A631" s="544" t="s">
        <v>1674</v>
      </c>
      <c r="B631" s="545">
        <v>0</v>
      </c>
      <c r="C631" s="544" t="s">
        <v>1674</v>
      </c>
      <c r="D631" s="544" t="s">
        <v>3746</v>
      </c>
      <c r="E631" s="542" t="s">
        <v>3642</v>
      </c>
      <c r="F631" s="542" t="s">
        <v>3747</v>
      </c>
      <c r="G631" s="546">
        <v>14237.44</v>
      </c>
      <c r="H631" s="546"/>
      <c r="I631" s="546">
        <v>15279.6</v>
      </c>
      <c r="J631" s="542" t="s">
        <v>2701</v>
      </c>
      <c r="K631" s="547">
        <v>8401</v>
      </c>
      <c r="L631" s="542" t="s">
        <v>806</v>
      </c>
      <c r="M631" s="548"/>
      <c r="N631" s="549">
        <v>-43</v>
      </c>
      <c r="O631" s="544" t="s">
        <v>1674</v>
      </c>
      <c r="P631" s="544" t="s">
        <v>1674</v>
      </c>
      <c r="Q631" s="544" t="s">
        <v>2786</v>
      </c>
      <c r="R631" s="544" t="s">
        <v>1674</v>
      </c>
      <c r="S631" s="544" t="s">
        <v>1674</v>
      </c>
      <c r="T631" s="550">
        <v>19</v>
      </c>
      <c r="U631" s="544" t="s">
        <v>3328</v>
      </c>
      <c r="V631" s="547">
        <v>1129</v>
      </c>
      <c r="W631" s="548"/>
      <c r="Y631" s="544" t="s">
        <v>1674</v>
      </c>
      <c r="AA631" s="544" t="s">
        <v>1674</v>
      </c>
      <c r="AE631" s="551"/>
      <c r="AF631" s="544" t="s">
        <v>1674</v>
      </c>
      <c r="AG631" s="544" t="s">
        <v>1674</v>
      </c>
      <c r="AH631" s="544" t="s">
        <v>1674</v>
      </c>
      <c r="AI631" s="544" t="s">
        <v>1674</v>
      </c>
      <c r="AJ631" s="544" t="s">
        <v>1674</v>
      </c>
      <c r="AK631" s="544" t="s">
        <v>1674</v>
      </c>
      <c r="AL631" s="544" t="s">
        <v>1674</v>
      </c>
      <c r="AM631" s="544" t="s">
        <v>1674</v>
      </c>
      <c r="AN631" s="544" t="s">
        <v>1674</v>
      </c>
      <c r="AP631" s="542">
        <f t="shared" si="21"/>
        <v>18</v>
      </c>
      <c r="AR631" s="552">
        <f t="shared" si="20"/>
        <v>15279.6</v>
      </c>
    </row>
    <row r="632" spans="1:44" outlineLevel="1" x14ac:dyDescent="0.25">
      <c r="A632" s="544" t="s">
        <v>1674</v>
      </c>
      <c r="B632" s="545">
        <v>11813</v>
      </c>
      <c r="C632" s="544" t="s">
        <v>2814</v>
      </c>
      <c r="D632" s="544" t="s">
        <v>3748</v>
      </c>
      <c r="E632" s="542" t="s">
        <v>3642</v>
      </c>
      <c r="F632" s="542" t="s">
        <v>3747</v>
      </c>
      <c r="G632" s="546">
        <v>456.96</v>
      </c>
      <c r="H632" s="546"/>
      <c r="I632" s="546"/>
      <c r="J632" s="542" t="s">
        <v>806</v>
      </c>
      <c r="K632" s="547">
        <v>8400</v>
      </c>
      <c r="L632" s="542" t="s">
        <v>806</v>
      </c>
      <c r="M632" s="548"/>
      <c r="N632" s="549">
        <v>-43</v>
      </c>
      <c r="O632" s="544" t="s">
        <v>1674</v>
      </c>
      <c r="P632" s="544" t="s">
        <v>1674</v>
      </c>
      <c r="Q632" s="544" t="s">
        <v>2818</v>
      </c>
      <c r="R632" s="544" t="s">
        <v>2622</v>
      </c>
      <c r="S632" s="544" t="s">
        <v>1674</v>
      </c>
      <c r="T632" s="550">
        <v>19</v>
      </c>
      <c r="U632" s="544" t="s">
        <v>3328</v>
      </c>
      <c r="V632" s="547">
        <v>1124</v>
      </c>
      <c r="W632" s="548"/>
      <c r="Y632" s="544" t="s">
        <v>1674</v>
      </c>
      <c r="AA632" s="544" t="s">
        <v>1674</v>
      </c>
      <c r="AE632" s="551"/>
      <c r="AF632" s="544" t="s">
        <v>1674</v>
      </c>
      <c r="AG632" s="544" t="s">
        <v>1674</v>
      </c>
      <c r="AH632" s="544" t="s">
        <v>1674</v>
      </c>
      <c r="AI632" s="544" t="s">
        <v>1674</v>
      </c>
      <c r="AJ632" s="544" t="s">
        <v>1674</v>
      </c>
      <c r="AK632" s="544" t="s">
        <v>1674</v>
      </c>
      <c r="AL632" s="544" t="s">
        <v>1674</v>
      </c>
      <c r="AM632" s="544" t="s">
        <v>2819</v>
      </c>
      <c r="AN632" s="544" t="s">
        <v>1674</v>
      </c>
      <c r="AP632" s="542">
        <f t="shared" si="21"/>
        <v>18</v>
      </c>
      <c r="AR632" s="552">
        <f t="shared" si="20"/>
        <v>0</v>
      </c>
    </row>
    <row r="633" spans="1:44" outlineLevel="1" x14ac:dyDescent="0.25">
      <c r="A633" s="544" t="s">
        <v>1674</v>
      </c>
      <c r="B633" s="545">
        <v>0</v>
      </c>
      <c r="C633" s="544" t="s">
        <v>1674</v>
      </c>
      <c r="D633" s="544" t="s">
        <v>3748</v>
      </c>
      <c r="E633" s="542" t="s">
        <v>3642</v>
      </c>
      <c r="F633" s="542" t="s">
        <v>3747</v>
      </c>
      <c r="G633" s="546">
        <v>685.44</v>
      </c>
      <c r="H633" s="546"/>
      <c r="I633" s="546">
        <v>1142.4000000000001</v>
      </c>
      <c r="J633" s="542" t="s">
        <v>2701</v>
      </c>
      <c r="K633" s="547">
        <v>8400</v>
      </c>
      <c r="L633" s="542" t="s">
        <v>806</v>
      </c>
      <c r="M633" s="548"/>
      <c r="N633" s="549">
        <v>-43</v>
      </c>
      <c r="O633" s="544" t="s">
        <v>1674</v>
      </c>
      <c r="P633" s="544" t="s">
        <v>1674</v>
      </c>
      <c r="Q633" s="544" t="s">
        <v>2818</v>
      </c>
      <c r="R633" s="544" t="s">
        <v>1674</v>
      </c>
      <c r="S633" s="544" t="s">
        <v>1674</v>
      </c>
      <c r="T633" s="550">
        <v>19</v>
      </c>
      <c r="U633" s="544" t="s">
        <v>3328</v>
      </c>
      <c r="V633" s="547">
        <v>1125</v>
      </c>
      <c r="W633" s="548"/>
      <c r="Y633" s="544" t="s">
        <v>1674</v>
      </c>
      <c r="AA633" s="544" t="s">
        <v>1674</v>
      </c>
      <c r="AE633" s="551"/>
      <c r="AF633" s="544" t="s">
        <v>1674</v>
      </c>
      <c r="AG633" s="544" t="s">
        <v>1674</v>
      </c>
      <c r="AH633" s="544" t="s">
        <v>1674</v>
      </c>
      <c r="AI633" s="544" t="s">
        <v>1674</v>
      </c>
      <c r="AJ633" s="544" t="s">
        <v>1674</v>
      </c>
      <c r="AK633" s="544" t="s">
        <v>1674</v>
      </c>
      <c r="AL633" s="544" t="s">
        <v>1674</v>
      </c>
      <c r="AM633" s="544" t="s">
        <v>1674</v>
      </c>
      <c r="AN633" s="544" t="s">
        <v>1674</v>
      </c>
      <c r="AP633" s="542">
        <f t="shared" si="21"/>
        <v>18</v>
      </c>
      <c r="AR633" s="552">
        <f t="shared" si="20"/>
        <v>1142.4000000000001</v>
      </c>
    </row>
    <row r="634" spans="1:44" outlineLevel="1" x14ac:dyDescent="0.25">
      <c r="A634" s="544" t="s">
        <v>1674</v>
      </c>
      <c r="B634" s="545">
        <v>10200</v>
      </c>
      <c r="C634" s="544" t="s">
        <v>2774</v>
      </c>
      <c r="D634" s="544" t="s">
        <v>3749</v>
      </c>
      <c r="E634" s="542" t="s">
        <v>3644</v>
      </c>
      <c r="F634" s="542" t="s">
        <v>3750</v>
      </c>
      <c r="G634" s="546">
        <v>253.47</v>
      </c>
      <c r="H634" s="546"/>
      <c r="I634" s="546">
        <v>253.47</v>
      </c>
      <c r="J634" s="542" t="s">
        <v>2701</v>
      </c>
      <c r="K634" s="547">
        <v>8400</v>
      </c>
      <c r="L634" s="542" t="s">
        <v>806</v>
      </c>
      <c r="M634" s="548"/>
      <c r="N634" s="549">
        <v>-42</v>
      </c>
      <c r="O634" s="544" t="s">
        <v>1674</v>
      </c>
      <c r="P634" s="544" t="s">
        <v>1674</v>
      </c>
      <c r="Q634" s="544" t="s">
        <v>3751</v>
      </c>
      <c r="R634" s="544" t="s">
        <v>1674</v>
      </c>
      <c r="S634" s="544" t="s">
        <v>1674</v>
      </c>
      <c r="T634" s="550">
        <v>19</v>
      </c>
      <c r="U634" s="544" t="s">
        <v>3328</v>
      </c>
      <c r="V634" s="547">
        <v>1194</v>
      </c>
      <c r="W634" s="548"/>
      <c r="Y634" s="544" t="s">
        <v>1674</v>
      </c>
      <c r="AA634" s="544" t="s">
        <v>1674</v>
      </c>
      <c r="AE634" s="551"/>
      <c r="AF634" s="544" t="s">
        <v>1674</v>
      </c>
      <c r="AG634" s="544" t="s">
        <v>1674</v>
      </c>
      <c r="AH634" s="544" t="s">
        <v>1674</v>
      </c>
      <c r="AI634" s="544" t="s">
        <v>1674</v>
      </c>
      <c r="AJ634" s="544" t="s">
        <v>1674</v>
      </c>
      <c r="AK634" s="544" t="s">
        <v>1674</v>
      </c>
      <c r="AL634" s="544" t="s">
        <v>1674</v>
      </c>
      <c r="AM634" s="544" t="s">
        <v>2774</v>
      </c>
      <c r="AN634" s="544" t="s">
        <v>1674</v>
      </c>
      <c r="AP634" s="542">
        <f t="shared" si="21"/>
        <v>19</v>
      </c>
      <c r="AR634" s="552">
        <f t="shared" si="20"/>
        <v>253.47</v>
      </c>
    </row>
    <row r="635" spans="1:44" outlineLevel="1" x14ac:dyDescent="0.25">
      <c r="A635" s="544" t="s">
        <v>1674</v>
      </c>
      <c r="B635" s="545">
        <v>11106</v>
      </c>
      <c r="C635" s="544" t="s">
        <v>3024</v>
      </c>
      <c r="D635" s="544" t="s">
        <v>3752</v>
      </c>
      <c r="E635" s="542" t="s">
        <v>3644</v>
      </c>
      <c r="F635" s="542" t="s">
        <v>3750</v>
      </c>
      <c r="G635" s="546">
        <v>23.98</v>
      </c>
      <c r="H635" s="546"/>
      <c r="I635" s="546"/>
      <c r="J635" s="542" t="s">
        <v>806</v>
      </c>
      <c r="K635" s="547">
        <v>8400</v>
      </c>
      <c r="L635" s="542" t="s">
        <v>806</v>
      </c>
      <c r="M635" s="548"/>
      <c r="N635" s="549">
        <v>-42</v>
      </c>
      <c r="O635" s="544" t="s">
        <v>1674</v>
      </c>
      <c r="P635" s="544" t="s">
        <v>1674</v>
      </c>
      <c r="Q635" s="544" t="s">
        <v>3026</v>
      </c>
      <c r="R635" s="544" t="s">
        <v>1674</v>
      </c>
      <c r="S635" s="544" t="s">
        <v>1674</v>
      </c>
      <c r="T635" s="550">
        <v>19</v>
      </c>
      <c r="U635" s="544" t="s">
        <v>3328</v>
      </c>
      <c r="V635" s="547">
        <v>1195</v>
      </c>
      <c r="W635" s="548"/>
      <c r="Y635" s="544" t="s">
        <v>1674</v>
      </c>
      <c r="AA635" s="544" t="s">
        <v>1674</v>
      </c>
      <c r="AE635" s="551"/>
      <c r="AF635" s="544" t="s">
        <v>1674</v>
      </c>
      <c r="AG635" s="544" t="s">
        <v>1674</v>
      </c>
      <c r="AH635" s="544" t="s">
        <v>1674</v>
      </c>
      <c r="AI635" s="544" t="s">
        <v>1674</v>
      </c>
      <c r="AJ635" s="544" t="s">
        <v>1674</v>
      </c>
      <c r="AK635" s="544" t="s">
        <v>1674</v>
      </c>
      <c r="AL635" s="544" t="s">
        <v>1674</v>
      </c>
      <c r="AM635" s="544" t="s">
        <v>3027</v>
      </c>
      <c r="AN635" s="544" t="s">
        <v>1674</v>
      </c>
      <c r="AP635" s="542">
        <f t="shared" si="21"/>
        <v>19</v>
      </c>
      <c r="AR635" s="552">
        <f t="shared" si="20"/>
        <v>0</v>
      </c>
    </row>
    <row r="636" spans="1:44" outlineLevel="1" x14ac:dyDescent="0.25">
      <c r="A636" s="544" t="s">
        <v>1674</v>
      </c>
      <c r="B636" s="545">
        <v>0</v>
      </c>
      <c r="C636" s="544" t="s">
        <v>1674</v>
      </c>
      <c r="D636" s="544" t="s">
        <v>3752</v>
      </c>
      <c r="E636" s="542" t="s">
        <v>3644</v>
      </c>
      <c r="F636" s="542" t="s">
        <v>3750</v>
      </c>
      <c r="G636" s="546">
        <v>1.27</v>
      </c>
      <c r="H636" s="546"/>
      <c r="I636" s="546"/>
      <c r="J636" s="542" t="s">
        <v>806</v>
      </c>
      <c r="K636" s="547">
        <v>8400</v>
      </c>
      <c r="L636" s="542" t="s">
        <v>806</v>
      </c>
      <c r="M636" s="548"/>
      <c r="N636" s="549">
        <v>-42</v>
      </c>
      <c r="O636" s="544" t="s">
        <v>1674</v>
      </c>
      <c r="P636" s="544" t="s">
        <v>1674</v>
      </c>
      <c r="Q636" s="544" t="s">
        <v>3026</v>
      </c>
      <c r="R636" s="544" t="s">
        <v>2617</v>
      </c>
      <c r="S636" s="544" t="s">
        <v>1674</v>
      </c>
      <c r="T636" s="550">
        <v>19</v>
      </c>
      <c r="U636" s="544" t="s">
        <v>3328</v>
      </c>
      <c r="V636" s="547">
        <v>1196</v>
      </c>
      <c r="W636" s="548"/>
      <c r="Y636" s="544" t="s">
        <v>1674</v>
      </c>
      <c r="AA636" s="544" t="s">
        <v>1674</v>
      </c>
      <c r="AE636" s="551"/>
      <c r="AF636" s="544" t="s">
        <v>1674</v>
      </c>
      <c r="AG636" s="544" t="s">
        <v>1674</v>
      </c>
      <c r="AH636" s="544" t="s">
        <v>1674</v>
      </c>
      <c r="AI636" s="544" t="s">
        <v>1674</v>
      </c>
      <c r="AJ636" s="544" t="s">
        <v>1674</v>
      </c>
      <c r="AK636" s="544" t="s">
        <v>1674</v>
      </c>
      <c r="AL636" s="544" t="s">
        <v>1674</v>
      </c>
      <c r="AM636" s="544" t="s">
        <v>1674</v>
      </c>
      <c r="AN636" s="544" t="s">
        <v>1674</v>
      </c>
      <c r="AP636" s="542">
        <f t="shared" si="21"/>
        <v>19</v>
      </c>
      <c r="AR636" s="552">
        <f t="shared" si="20"/>
        <v>0</v>
      </c>
    </row>
    <row r="637" spans="1:44" outlineLevel="1" x14ac:dyDescent="0.25">
      <c r="A637" s="544" t="s">
        <v>1674</v>
      </c>
      <c r="B637" s="545">
        <v>0</v>
      </c>
      <c r="C637" s="544" t="s">
        <v>1674</v>
      </c>
      <c r="D637" s="544" t="s">
        <v>3752</v>
      </c>
      <c r="E637" s="542" t="s">
        <v>3644</v>
      </c>
      <c r="F637" s="542" t="s">
        <v>3750</v>
      </c>
      <c r="G637" s="546">
        <v>451.7</v>
      </c>
      <c r="H637" s="546"/>
      <c r="I637" s="546">
        <v>476.95</v>
      </c>
      <c r="J637" s="542" t="s">
        <v>2701</v>
      </c>
      <c r="K637" s="547">
        <v>8401</v>
      </c>
      <c r="L637" s="542" t="s">
        <v>806</v>
      </c>
      <c r="M637" s="548"/>
      <c r="N637" s="549">
        <v>-42</v>
      </c>
      <c r="O637" s="544" t="s">
        <v>1674</v>
      </c>
      <c r="P637" s="544" t="s">
        <v>1674</v>
      </c>
      <c r="Q637" s="544" t="s">
        <v>3026</v>
      </c>
      <c r="R637" s="544" t="s">
        <v>1674</v>
      </c>
      <c r="S637" s="544" t="s">
        <v>1674</v>
      </c>
      <c r="T637" s="550">
        <v>19</v>
      </c>
      <c r="U637" s="544" t="s">
        <v>3328</v>
      </c>
      <c r="V637" s="547">
        <v>1197</v>
      </c>
      <c r="W637" s="548"/>
      <c r="Y637" s="544" t="s">
        <v>1674</v>
      </c>
      <c r="AA637" s="544" t="s">
        <v>1674</v>
      </c>
      <c r="AE637" s="551"/>
      <c r="AF637" s="544" t="s">
        <v>1674</v>
      </c>
      <c r="AG637" s="544" t="s">
        <v>1674</v>
      </c>
      <c r="AH637" s="544" t="s">
        <v>1674</v>
      </c>
      <c r="AI637" s="544" t="s">
        <v>1674</v>
      </c>
      <c r="AJ637" s="544" t="s">
        <v>1674</v>
      </c>
      <c r="AK637" s="544" t="s">
        <v>1674</v>
      </c>
      <c r="AL637" s="544" t="s">
        <v>1674</v>
      </c>
      <c r="AM637" s="544" t="s">
        <v>1674</v>
      </c>
      <c r="AN637" s="544" t="s">
        <v>1674</v>
      </c>
      <c r="AP637" s="542">
        <f t="shared" si="21"/>
        <v>19</v>
      </c>
      <c r="AR637" s="552">
        <f t="shared" si="20"/>
        <v>476.95</v>
      </c>
    </row>
    <row r="638" spans="1:44" outlineLevel="1" x14ac:dyDescent="0.25">
      <c r="A638" s="544" t="s">
        <v>1674</v>
      </c>
      <c r="B638" s="545">
        <v>0</v>
      </c>
      <c r="C638" s="544" t="s">
        <v>1674</v>
      </c>
      <c r="D638" s="544" t="s">
        <v>3753</v>
      </c>
      <c r="E638" s="542" t="s">
        <v>3644</v>
      </c>
      <c r="F638" s="542" t="s">
        <v>3750</v>
      </c>
      <c r="G638" s="546">
        <v>95.92</v>
      </c>
      <c r="H638" s="546"/>
      <c r="I638" s="546"/>
      <c r="J638" s="542" t="s">
        <v>806</v>
      </c>
      <c r="K638" s="547">
        <v>8400</v>
      </c>
      <c r="L638" s="542" t="s">
        <v>806</v>
      </c>
      <c r="M638" s="548"/>
      <c r="N638" s="549">
        <v>-42</v>
      </c>
      <c r="O638" s="544" t="s">
        <v>1674</v>
      </c>
      <c r="P638" s="544" t="s">
        <v>1674</v>
      </c>
      <c r="Q638" s="544" t="s">
        <v>3026</v>
      </c>
      <c r="R638" s="544" t="s">
        <v>1674</v>
      </c>
      <c r="S638" s="544" t="s">
        <v>1674</v>
      </c>
      <c r="T638" s="550">
        <v>19</v>
      </c>
      <c r="U638" s="544" t="s">
        <v>3328</v>
      </c>
      <c r="V638" s="547">
        <v>1201</v>
      </c>
      <c r="W638" s="548"/>
      <c r="Y638" s="544" t="s">
        <v>1674</v>
      </c>
      <c r="AA638" s="544" t="s">
        <v>1674</v>
      </c>
      <c r="AE638" s="551"/>
      <c r="AF638" s="544" t="s">
        <v>1674</v>
      </c>
      <c r="AG638" s="544" t="s">
        <v>1674</v>
      </c>
      <c r="AH638" s="544" t="s">
        <v>1674</v>
      </c>
      <c r="AI638" s="544" t="s">
        <v>1674</v>
      </c>
      <c r="AJ638" s="544" t="s">
        <v>1674</v>
      </c>
      <c r="AK638" s="544" t="s">
        <v>1674</v>
      </c>
      <c r="AL638" s="544" t="s">
        <v>1674</v>
      </c>
      <c r="AM638" s="544" t="s">
        <v>1674</v>
      </c>
      <c r="AN638" s="544" t="s">
        <v>1674</v>
      </c>
      <c r="AP638" s="542">
        <f t="shared" si="21"/>
        <v>19</v>
      </c>
      <c r="AR638" s="552">
        <f t="shared" si="20"/>
        <v>0</v>
      </c>
    </row>
    <row r="639" spans="1:44" outlineLevel="1" x14ac:dyDescent="0.25">
      <c r="A639" s="544" t="s">
        <v>1674</v>
      </c>
      <c r="B639" s="545">
        <v>0</v>
      </c>
      <c r="C639" s="544" t="s">
        <v>1674</v>
      </c>
      <c r="D639" s="544" t="s">
        <v>3753</v>
      </c>
      <c r="E639" s="542" t="s">
        <v>3644</v>
      </c>
      <c r="F639" s="542" t="s">
        <v>3750</v>
      </c>
      <c r="G639" s="546">
        <v>5.09</v>
      </c>
      <c r="H639" s="546"/>
      <c r="I639" s="546"/>
      <c r="J639" s="542" t="s">
        <v>806</v>
      </c>
      <c r="K639" s="547">
        <v>8400</v>
      </c>
      <c r="L639" s="542" t="s">
        <v>806</v>
      </c>
      <c r="M639" s="548"/>
      <c r="N639" s="549">
        <v>-42</v>
      </c>
      <c r="O639" s="544" t="s">
        <v>1674</v>
      </c>
      <c r="P639" s="544" t="s">
        <v>1674</v>
      </c>
      <c r="Q639" s="544" t="s">
        <v>3026</v>
      </c>
      <c r="R639" s="544" t="s">
        <v>2617</v>
      </c>
      <c r="S639" s="544" t="s">
        <v>1674</v>
      </c>
      <c r="T639" s="550">
        <v>19</v>
      </c>
      <c r="U639" s="544" t="s">
        <v>3328</v>
      </c>
      <c r="V639" s="547">
        <v>1202</v>
      </c>
      <c r="W639" s="548"/>
      <c r="Y639" s="544" t="s">
        <v>1674</v>
      </c>
      <c r="AA639" s="544" t="s">
        <v>1674</v>
      </c>
      <c r="AE639" s="551"/>
      <c r="AF639" s="544" t="s">
        <v>1674</v>
      </c>
      <c r="AG639" s="544" t="s">
        <v>1674</v>
      </c>
      <c r="AH639" s="544" t="s">
        <v>1674</v>
      </c>
      <c r="AI639" s="544" t="s">
        <v>1674</v>
      </c>
      <c r="AJ639" s="544" t="s">
        <v>1674</v>
      </c>
      <c r="AK639" s="544" t="s">
        <v>1674</v>
      </c>
      <c r="AL639" s="544" t="s">
        <v>1674</v>
      </c>
      <c r="AM639" s="544" t="s">
        <v>1674</v>
      </c>
      <c r="AN639" s="544" t="s">
        <v>1674</v>
      </c>
      <c r="AP639" s="542">
        <f t="shared" si="21"/>
        <v>19</v>
      </c>
      <c r="AR639" s="552">
        <f t="shared" si="20"/>
        <v>0</v>
      </c>
    </row>
    <row r="640" spans="1:44" outlineLevel="1" x14ac:dyDescent="0.25">
      <c r="A640" s="544" t="s">
        <v>1674</v>
      </c>
      <c r="B640" s="545">
        <v>0</v>
      </c>
      <c r="C640" s="544" t="s">
        <v>1674</v>
      </c>
      <c r="D640" s="544" t="s">
        <v>3753</v>
      </c>
      <c r="E640" s="542" t="s">
        <v>3644</v>
      </c>
      <c r="F640" s="542" t="s">
        <v>3750</v>
      </c>
      <c r="G640" s="546">
        <v>1806.8</v>
      </c>
      <c r="H640" s="546"/>
      <c r="I640" s="546">
        <v>1907.81</v>
      </c>
      <c r="J640" s="542" t="s">
        <v>2701</v>
      </c>
      <c r="K640" s="547">
        <v>8401</v>
      </c>
      <c r="L640" s="542" t="s">
        <v>806</v>
      </c>
      <c r="M640" s="548"/>
      <c r="N640" s="549">
        <v>-42</v>
      </c>
      <c r="O640" s="544" t="s">
        <v>1674</v>
      </c>
      <c r="P640" s="544" t="s">
        <v>1674</v>
      </c>
      <c r="Q640" s="544" t="s">
        <v>3026</v>
      </c>
      <c r="R640" s="544" t="s">
        <v>1674</v>
      </c>
      <c r="S640" s="544" t="s">
        <v>1674</v>
      </c>
      <c r="T640" s="550">
        <v>19</v>
      </c>
      <c r="U640" s="544" t="s">
        <v>3328</v>
      </c>
      <c r="V640" s="547">
        <v>1203</v>
      </c>
      <c r="W640" s="548"/>
      <c r="Y640" s="544" t="s">
        <v>1674</v>
      </c>
      <c r="AA640" s="544" t="s">
        <v>1674</v>
      </c>
      <c r="AE640" s="551"/>
      <c r="AF640" s="544" t="s">
        <v>1674</v>
      </c>
      <c r="AG640" s="544" t="s">
        <v>1674</v>
      </c>
      <c r="AH640" s="544" t="s">
        <v>1674</v>
      </c>
      <c r="AI640" s="544" t="s">
        <v>1674</v>
      </c>
      <c r="AJ640" s="544" t="s">
        <v>1674</v>
      </c>
      <c r="AK640" s="544" t="s">
        <v>1674</v>
      </c>
      <c r="AL640" s="544" t="s">
        <v>1674</v>
      </c>
      <c r="AM640" s="544" t="s">
        <v>1674</v>
      </c>
      <c r="AN640" s="544" t="s">
        <v>1674</v>
      </c>
      <c r="AP640" s="542">
        <f t="shared" si="21"/>
        <v>19</v>
      </c>
      <c r="AR640" s="552">
        <f t="shared" si="20"/>
        <v>1907.81</v>
      </c>
    </row>
    <row r="641" spans="1:44" outlineLevel="1" x14ac:dyDescent="0.25">
      <c r="A641" s="544" t="s">
        <v>1674</v>
      </c>
      <c r="B641" s="545">
        <v>11600</v>
      </c>
      <c r="C641" s="544" t="s">
        <v>2782</v>
      </c>
      <c r="D641" s="544" t="s">
        <v>3754</v>
      </c>
      <c r="E641" s="542" t="s">
        <v>3644</v>
      </c>
      <c r="F641" s="542" t="s">
        <v>3750</v>
      </c>
      <c r="G641" s="546">
        <v>5.62</v>
      </c>
      <c r="H641" s="546"/>
      <c r="I641" s="546"/>
      <c r="J641" s="542" t="s">
        <v>806</v>
      </c>
      <c r="K641" s="547">
        <v>8400</v>
      </c>
      <c r="L641" s="542" t="s">
        <v>806</v>
      </c>
      <c r="M641" s="548"/>
      <c r="N641" s="549">
        <v>-42</v>
      </c>
      <c r="O641" s="544" t="s">
        <v>1674</v>
      </c>
      <c r="P641" s="544" t="s">
        <v>1674</v>
      </c>
      <c r="Q641" s="544" t="s">
        <v>2786</v>
      </c>
      <c r="R641" s="544" t="s">
        <v>2617</v>
      </c>
      <c r="S641" s="544" t="s">
        <v>1674</v>
      </c>
      <c r="T641" s="550">
        <v>19</v>
      </c>
      <c r="U641" s="544" t="s">
        <v>3328</v>
      </c>
      <c r="V641" s="547">
        <v>1205</v>
      </c>
      <c r="W641" s="548"/>
      <c r="Y641" s="544" t="s">
        <v>1674</v>
      </c>
      <c r="AA641" s="544" t="s">
        <v>1674</v>
      </c>
      <c r="AE641" s="551"/>
      <c r="AF641" s="544" t="s">
        <v>1674</v>
      </c>
      <c r="AG641" s="544" t="s">
        <v>1674</v>
      </c>
      <c r="AH641" s="544" t="s">
        <v>1674</v>
      </c>
      <c r="AI641" s="544" t="s">
        <v>1674</v>
      </c>
      <c r="AJ641" s="544" t="s">
        <v>1674</v>
      </c>
      <c r="AK641" s="544" t="s">
        <v>1674</v>
      </c>
      <c r="AL641" s="544" t="s">
        <v>1674</v>
      </c>
      <c r="AM641" s="544" t="s">
        <v>2782</v>
      </c>
      <c r="AN641" s="544" t="s">
        <v>1674</v>
      </c>
      <c r="AP641" s="542">
        <f t="shared" si="21"/>
        <v>19</v>
      </c>
      <c r="AR641" s="552">
        <f t="shared" si="20"/>
        <v>0</v>
      </c>
    </row>
    <row r="642" spans="1:44" outlineLevel="1" x14ac:dyDescent="0.25">
      <c r="A642" s="544" t="s">
        <v>1674</v>
      </c>
      <c r="B642" s="545">
        <v>0</v>
      </c>
      <c r="C642" s="544" t="s">
        <v>1674</v>
      </c>
      <c r="D642" s="544" t="s">
        <v>3754</v>
      </c>
      <c r="E642" s="542" t="s">
        <v>3644</v>
      </c>
      <c r="F642" s="542" t="s">
        <v>3750</v>
      </c>
      <c r="G642" s="546">
        <v>4254.58</v>
      </c>
      <c r="H642" s="546"/>
      <c r="I642" s="546">
        <v>4260.2</v>
      </c>
      <c r="J642" s="542" t="s">
        <v>2701</v>
      </c>
      <c r="K642" s="547">
        <v>8401</v>
      </c>
      <c r="L642" s="542" t="s">
        <v>806</v>
      </c>
      <c r="M642" s="548"/>
      <c r="N642" s="549">
        <v>-42</v>
      </c>
      <c r="O642" s="544" t="s">
        <v>1674</v>
      </c>
      <c r="P642" s="544" t="s">
        <v>1674</v>
      </c>
      <c r="Q642" s="544" t="s">
        <v>2786</v>
      </c>
      <c r="R642" s="544" t="s">
        <v>1674</v>
      </c>
      <c r="S642" s="544" t="s">
        <v>1674</v>
      </c>
      <c r="T642" s="550">
        <v>19</v>
      </c>
      <c r="U642" s="544" t="s">
        <v>3328</v>
      </c>
      <c r="V642" s="547">
        <v>1206</v>
      </c>
      <c r="W642" s="548"/>
      <c r="Y642" s="544" t="s">
        <v>1674</v>
      </c>
      <c r="AA642" s="544" t="s">
        <v>1674</v>
      </c>
      <c r="AE642" s="551"/>
      <c r="AF642" s="544" t="s">
        <v>1674</v>
      </c>
      <c r="AG642" s="544" t="s">
        <v>1674</v>
      </c>
      <c r="AH642" s="544" t="s">
        <v>1674</v>
      </c>
      <c r="AI642" s="544" t="s">
        <v>1674</v>
      </c>
      <c r="AJ642" s="544" t="s">
        <v>1674</v>
      </c>
      <c r="AK642" s="544" t="s">
        <v>1674</v>
      </c>
      <c r="AL642" s="544" t="s">
        <v>1674</v>
      </c>
      <c r="AM642" s="544" t="s">
        <v>1674</v>
      </c>
      <c r="AN642" s="544" t="s">
        <v>1674</v>
      </c>
      <c r="AP642" s="542">
        <f t="shared" si="21"/>
        <v>19</v>
      </c>
      <c r="AR642" s="552">
        <f t="shared" si="20"/>
        <v>4260.2</v>
      </c>
    </row>
    <row r="643" spans="1:44" outlineLevel="1" x14ac:dyDescent="0.25">
      <c r="A643" s="544" t="s">
        <v>1674</v>
      </c>
      <c r="B643" s="545">
        <v>0</v>
      </c>
      <c r="C643" s="544" t="s">
        <v>1674</v>
      </c>
      <c r="D643" s="544" t="s">
        <v>3755</v>
      </c>
      <c r="E643" s="542" t="s">
        <v>3644</v>
      </c>
      <c r="F643" s="542" t="s">
        <v>3750</v>
      </c>
      <c r="G643" s="546">
        <v>715</v>
      </c>
      <c r="H643" s="546"/>
      <c r="I643" s="546"/>
      <c r="J643" s="542" t="s">
        <v>806</v>
      </c>
      <c r="K643" s="547">
        <v>8400</v>
      </c>
      <c r="L643" s="542" t="s">
        <v>806</v>
      </c>
      <c r="M643" s="548"/>
      <c r="N643" s="549">
        <v>-42</v>
      </c>
      <c r="O643" s="544" t="s">
        <v>1674</v>
      </c>
      <c r="P643" s="544" t="s">
        <v>1674</v>
      </c>
      <c r="Q643" s="544" t="s">
        <v>2786</v>
      </c>
      <c r="R643" s="544" t="s">
        <v>1674</v>
      </c>
      <c r="S643" s="544" t="s">
        <v>1674</v>
      </c>
      <c r="T643" s="550">
        <v>19</v>
      </c>
      <c r="U643" s="544" t="s">
        <v>3328</v>
      </c>
      <c r="V643" s="547">
        <v>1208</v>
      </c>
      <c r="W643" s="548"/>
      <c r="Y643" s="544" t="s">
        <v>1674</v>
      </c>
      <c r="AA643" s="544" t="s">
        <v>1674</v>
      </c>
      <c r="AE643" s="551"/>
      <c r="AF643" s="544" t="s">
        <v>1674</v>
      </c>
      <c r="AG643" s="544" t="s">
        <v>1674</v>
      </c>
      <c r="AH643" s="544" t="s">
        <v>1674</v>
      </c>
      <c r="AI643" s="544" t="s">
        <v>1674</v>
      </c>
      <c r="AJ643" s="544" t="s">
        <v>1674</v>
      </c>
      <c r="AK643" s="544" t="s">
        <v>1674</v>
      </c>
      <c r="AL643" s="544" t="s">
        <v>1674</v>
      </c>
      <c r="AM643" s="544" t="s">
        <v>1674</v>
      </c>
      <c r="AN643" s="544" t="s">
        <v>1674</v>
      </c>
      <c r="AP643" s="542">
        <f t="shared" si="21"/>
        <v>19</v>
      </c>
      <c r="AR643" s="552">
        <f t="shared" si="20"/>
        <v>0</v>
      </c>
    </row>
    <row r="644" spans="1:44" outlineLevel="1" x14ac:dyDescent="0.25">
      <c r="A644" s="544" t="s">
        <v>1674</v>
      </c>
      <c r="B644" s="545">
        <v>0</v>
      </c>
      <c r="C644" s="544" t="s">
        <v>1674</v>
      </c>
      <c r="D644" s="544" t="s">
        <v>3755</v>
      </c>
      <c r="E644" s="542" t="s">
        <v>3644</v>
      </c>
      <c r="F644" s="542" t="s">
        <v>3750</v>
      </c>
      <c r="G644" s="546">
        <v>66.62</v>
      </c>
      <c r="H644" s="546"/>
      <c r="I644" s="546"/>
      <c r="J644" s="542" t="s">
        <v>806</v>
      </c>
      <c r="K644" s="547">
        <v>8400</v>
      </c>
      <c r="L644" s="542" t="s">
        <v>806</v>
      </c>
      <c r="M644" s="548"/>
      <c r="N644" s="549">
        <v>-42</v>
      </c>
      <c r="O644" s="544" t="s">
        <v>1674</v>
      </c>
      <c r="P644" s="544" t="s">
        <v>1674</v>
      </c>
      <c r="Q644" s="544" t="s">
        <v>2786</v>
      </c>
      <c r="R644" s="544" t="s">
        <v>2617</v>
      </c>
      <c r="S644" s="544" t="s">
        <v>1674</v>
      </c>
      <c r="T644" s="550">
        <v>19</v>
      </c>
      <c r="U644" s="544" t="s">
        <v>3328</v>
      </c>
      <c r="V644" s="547">
        <v>1209</v>
      </c>
      <c r="W644" s="548"/>
      <c r="Y644" s="544" t="s">
        <v>1674</v>
      </c>
      <c r="AA644" s="544" t="s">
        <v>1674</v>
      </c>
      <c r="AE644" s="551"/>
      <c r="AF644" s="544" t="s">
        <v>1674</v>
      </c>
      <c r="AG644" s="544" t="s">
        <v>1674</v>
      </c>
      <c r="AH644" s="544" t="s">
        <v>1674</v>
      </c>
      <c r="AI644" s="544" t="s">
        <v>1674</v>
      </c>
      <c r="AJ644" s="544" t="s">
        <v>1674</v>
      </c>
      <c r="AK644" s="544" t="s">
        <v>1674</v>
      </c>
      <c r="AL644" s="544" t="s">
        <v>1674</v>
      </c>
      <c r="AM644" s="544" t="s">
        <v>1674</v>
      </c>
      <c r="AN644" s="544" t="s">
        <v>1674</v>
      </c>
      <c r="AP644" s="542">
        <f t="shared" si="21"/>
        <v>19</v>
      </c>
      <c r="AR644" s="552">
        <f t="shared" si="20"/>
        <v>0</v>
      </c>
    </row>
    <row r="645" spans="1:44" outlineLevel="1" x14ac:dyDescent="0.25">
      <c r="A645" s="544" t="s">
        <v>1674</v>
      </c>
      <c r="B645" s="545">
        <v>0</v>
      </c>
      <c r="C645" s="544" t="s">
        <v>1674</v>
      </c>
      <c r="D645" s="544" t="s">
        <v>3755</v>
      </c>
      <c r="E645" s="542" t="s">
        <v>3644</v>
      </c>
      <c r="F645" s="542" t="s">
        <v>3750</v>
      </c>
      <c r="G645" s="546">
        <v>10678.08</v>
      </c>
      <c r="H645" s="546"/>
      <c r="I645" s="546">
        <v>11459.7</v>
      </c>
      <c r="J645" s="542" t="s">
        <v>2701</v>
      </c>
      <c r="K645" s="547">
        <v>8401</v>
      </c>
      <c r="L645" s="542" t="s">
        <v>806</v>
      </c>
      <c r="M645" s="548"/>
      <c r="N645" s="549">
        <v>-42</v>
      </c>
      <c r="O645" s="544" t="s">
        <v>1674</v>
      </c>
      <c r="P645" s="544" t="s">
        <v>1674</v>
      </c>
      <c r="Q645" s="544" t="s">
        <v>2786</v>
      </c>
      <c r="R645" s="544" t="s">
        <v>1674</v>
      </c>
      <c r="S645" s="544" t="s">
        <v>1674</v>
      </c>
      <c r="T645" s="550">
        <v>19</v>
      </c>
      <c r="U645" s="544" t="s">
        <v>3328</v>
      </c>
      <c r="V645" s="547">
        <v>1210</v>
      </c>
      <c r="W645" s="548"/>
      <c r="Y645" s="544" t="s">
        <v>1674</v>
      </c>
      <c r="AA645" s="544" t="s">
        <v>1674</v>
      </c>
      <c r="AE645" s="551"/>
      <c r="AF645" s="544" t="s">
        <v>1674</v>
      </c>
      <c r="AG645" s="544" t="s">
        <v>1674</v>
      </c>
      <c r="AH645" s="544" t="s">
        <v>1674</v>
      </c>
      <c r="AI645" s="544" t="s">
        <v>1674</v>
      </c>
      <c r="AJ645" s="544" t="s">
        <v>1674</v>
      </c>
      <c r="AK645" s="544" t="s">
        <v>1674</v>
      </c>
      <c r="AL645" s="544" t="s">
        <v>1674</v>
      </c>
      <c r="AM645" s="544" t="s">
        <v>1674</v>
      </c>
      <c r="AN645" s="544" t="s">
        <v>1674</v>
      </c>
      <c r="AP645" s="542">
        <f t="shared" si="21"/>
        <v>19</v>
      </c>
      <c r="AR645" s="552">
        <f t="shared" si="20"/>
        <v>11459.7</v>
      </c>
    </row>
    <row r="646" spans="1:44" outlineLevel="1" x14ac:dyDescent="0.25">
      <c r="A646" s="544" t="s">
        <v>1674</v>
      </c>
      <c r="B646" s="545">
        <v>11900</v>
      </c>
      <c r="C646" s="544" t="s">
        <v>2854</v>
      </c>
      <c r="D646" s="544" t="s">
        <v>3756</v>
      </c>
      <c r="E646" s="542" t="s">
        <v>3644</v>
      </c>
      <c r="F646" s="542" t="s">
        <v>3750</v>
      </c>
      <c r="G646" s="546">
        <v>98.77</v>
      </c>
      <c r="H646" s="546"/>
      <c r="I646" s="546"/>
      <c r="J646" s="542" t="s">
        <v>806</v>
      </c>
      <c r="K646" s="547">
        <v>8400</v>
      </c>
      <c r="L646" s="542" t="s">
        <v>806</v>
      </c>
      <c r="M646" s="548"/>
      <c r="N646" s="549">
        <v>-42</v>
      </c>
      <c r="O646" s="544" t="s">
        <v>1674</v>
      </c>
      <c r="P646" s="544" t="s">
        <v>1674</v>
      </c>
      <c r="Q646" s="544" t="s">
        <v>2857</v>
      </c>
      <c r="R646" s="544" t="s">
        <v>2622</v>
      </c>
      <c r="S646" s="544" t="s">
        <v>1674</v>
      </c>
      <c r="T646" s="550">
        <v>19</v>
      </c>
      <c r="U646" s="544" t="s">
        <v>3328</v>
      </c>
      <c r="V646" s="547">
        <v>1191</v>
      </c>
      <c r="W646" s="548"/>
      <c r="Y646" s="544" t="s">
        <v>1674</v>
      </c>
      <c r="AA646" s="544" t="s">
        <v>1674</v>
      </c>
      <c r="AE646" s="551"/>
      <c r="AF646" s="544" t="s">
        <v>1674</v>
      </c>
      <c r="AG646" s="544" t="s">
        <v>1674</v>
      </c>
      <c r="AH646" s="544" t="s">
        <v>1674</v>
      </c>
      <c r="AI646" s="544" t="s">
        <v>1674</v>
      </c>
      <c r="AJ646" s="544" t="s">
        <v>1674</v>
      </c>
      <c r="AK646" s="544" t="s">
        <v>1674</v>
      </c>
      <c r="AL646" s="544" t="s">
        <v>1674</v>
      </c>
      <c r="AM646" s="544" t="s">
        <v>2854</v>
      </c>
      <c r="AN646" s="544" t="s">
        <v>1674</v>
      </c>
      <c r="AP646" s="542">
        <f t="shared" si="21"/>
        <v>19</v>
      </c>
      <c r="AR646" s="552">
        <f t="shared" si="20"/>
        <v>0</v>
      </c>
    </row>
    <row r="647" spans="1:44" outlineLevel="1" x14ac:dyDescent="0.25">
      <c r="A647" s="544" t="s">
        <v>1674</v>
      </c>
      <c r="B647" s="545">
        <v>0</v>
      </c>
      <c r="C647" s="544" t="s">
        <v>1674</v>
      </c>
      <c r="D647" s="544" t="s">
        <v>3756</v>
      </c>
      <c r="E647" s="542" t="s">
        <v>3644</v>
      </c>
      <c r="F647" s="542" t="s">
        <v>3750</v>
      </c>
      <c r="G647" s="546">
        <v>7.14</v>
      </c>
      <c r="H647" s="546"/>
      <c r="I647" s="546">
        <v>105.91</v>
      </c>
      <c r="J647" s="542" t="s">
        <v>2701</v>
      </c>
      <c r="K647" s="547">
        <v>8400</v>
      </c>
      <c r="L647" s="542" t="s">
        <v>806</v>
      </c>
      <c r="M647" s="548"/>
      <c r="N647" s="549">
        <v>-42</v>
      </c>
      <c r="O647" s="544" t="s">
        <v>1674</v>
      </c>
      <c r="P647" s="544" t="s">
        <v>1674</v>
      </c>
      <c r="Q647" s="544" t="s">
        <v>2858</v>
      </c>
      <c r="R647" s="544" t="s">
        <v>1674</v>
      </c>
      <c r="S647" s="544" t="s">
        <v>1674</v>
      </c>
      <c r="T647" s="550">
        <v>19</v>
      </c>
      <c r="U647" s="544" t="s">
        <v>3328</v>
      </c>
      <c r="V647" s="547">
        <v>1192</v>
      </c>
      <c r="W647" s="548"/>
      <c r="Y647" s="544" t="s">
        <v>1674</v>
      </c>
      <c r="AA647" s="544" t="s">
        <v>1674</v>
      </c>
      <c r="AE647" s="551"/>
      <c r="AF647" s="544" t="s">
        <v>1674</v>
      </c>
      <c r="AG647" s="544" t="s">
        <v>1674</v>
      </c>
      <c r="AH647" s="544" t="s">
        <v>1674</v>
      </c>
      <c r="AI647" s="544" t="s">
        <v>1674</v>
      </c>
      <c r="AJ647" s="544" t="s">
        <v>1674</v>
      </c>
      <c r="AK647" s="544" t="s">
        <v>1674</v>
      </c>
      <c r="AL647" s="544" t="s">
        <v>1674</v>
      </c>
      <c r="AM647" s="544" t="s">
        <v>1674</v>
      </c>
      <c r="AN647" s="544" t="s">
        <v>1674</v>
      </c>
      <c r="AP647" s="542">
        <f t="shared" si="21"/>
        <v>19</v>
      </c>
      <c r="AR647" s="552">
        <f t="shared" si="20"/>
        <v>105.91</v>
      </c>
    </row>
    <row r="648" spans="1:44" outlineLevel="1" x14ac:dyDescent="0.25">
      <c r="A648" s="544" t="s">
        <v>1674</v>
      </c>
      <c r="B648" s="545">
        <v>12500</v>
      </c>
      <c r="C648" s="544" t="s">
        <v>3757</v>
      </c>
      <c r="D648" s="544" t="s">
        <v>3758</v>
      </c>
      <c r="E648" s="542" t="s">
        <v>3644</v>
      </c>
      <c r="F648" s="542" t="s">
        <v>3750</v>
      </c>
      <c r="G648" s="546">
        <v>373.07</v>
      </c>
      <c r="H648" s="546"/>
      <c r="I648" s="546">
        <v>373.07</v>
      </c>
      <c r="J648" s="542" t="s">
        <v>2701</v>
      </c>
      <c r="K648" s="547">
        <v>8402</v>
      </c>
      <c r="L648" s="542" t="s">
        <v>806</v>
      </c>
      <c r="M648" s="548"/>
      <c r="N648" s="549">
        <v>-42</v>
      </c>
      <c r="O648" s="544" t="s">
        <v>1674</v>
      </c>
      <c r="P648" s="544" t="s">
        <v>1674</v>
      </c>
      <c r="Q648" s="544" t="s">
        <v>3759</v>
      </c>
      <c r="R648" s="544" t="s">
        <v>1674</v>
      </c>
      <c r="S648" s="544" t="s">
        <v>1674</v>
      </c>
      <c r="T648" s="550">
        <v>19</v>
      </c>
      <c r="U648" s="544" t="s">
        <v>3328</v>
      </c>
      <c r="V648" s="547">
        <v>1190</v>
      </c>
      <c r="W648" s="548"/>
      <c r="Y648" s="544" t="s">
        <v>1674</v>
      </c>
      <c r="AA648" s="544" t="s">
        <v>1674</v>
      </c>
      <c r="AE648" s="551"/>
      <c r="AF648" s="544" t="s">
        <v>1674</v>
      </c>
      <c r="AG648" s="544" t="s">
        <v>1674</v>
      </c>
      <c r="AH648" s="544" t="s">
        <v>1674</v>
      </c>
      <c r="AI648" s="544" t="s">
        <v>1674</v>
      </c>
      <c r="AJ648" s="544" t="s">
        <v>1674</v>
      </c>
      <c r="AK648" s="544" t="s">
        <v>1674</v>
      </c>
      <c r="AL648" s="544" t="s">
        <v>1674</v>
      </c>
      <c r="AM648" s="544" t="s">
        <v>3757</v>
      </c>
      <c r="AN648" s="544" t="s">
        <v>1674</v>
      </c>
      <c r="AP648" s="542">
        <f t="shared" si="21"/>
        <v>19</v>
      </c>
      <c r="AR648" s="552">
        <f t="shared" si="20"/>
        <v>373.07</v>
      </c>
    </row>
    <row r="649" spans="1:44" outlineLevel="1" x14ac:dyDescent="0.25">
      <c r="A649" s="544" t="s">
        <v>1674</v>
      </c>
      <c r="B649" s="545">
        <v>31501</v>
      </c>
      <c r="C649" s="544" t="s">
        <v>2826</v>
      </c>
      <c r="D649" s="544" t="s">
        <v>3760</v>
      </c>
      <c r="E649" s="542" t="s">
        <v>3644</v>
      </c>
      <c r="F649" s="542" t="s">
        <v>3750</v>
      </c>
      <c r="G649" s="546">
        <v>500</v>
      </c>
      <c r="H649" s="546"/>
      <c r="I649" s="546">
        <v>500</v>
      </c>
      <c r="J649" s="542" t="s">
        <v>2701</v>
      </c>
      <c r="K649" s="547">
        <v>8338</v>
      </c>
      <c r="L649" s="542" t="s">
        <v>806</v>
      </c>
      <c r="M649" s="548"/>
      <c r="N649" s="549">
        <v>-42</v>
      </c>
      <c r="O649" s="544" t="s">
        <v>1674</v>
      </c>
      <c r="P649" s="544" t="s">
        <v>1674</v>
      </c>
      <c r="Q649" s="544" t="s">
        <v>2830</v>
      </c>
      <c r="R649" s="544" t="s">
        <v>1674</v>
      </c>
      <c r="S649" s="544" t="s">
        <v>1674</v>
      </c>
      <c r="T649" s="550"/>
      <c r="U649" s="544" t="s">
        <v>3328</v>
      </c>
      <c r="V649" s="547">
        <v>1181</v>
      </c>
      <c r="W649" s="548"/>
      <c r="Y649" s="544" t="s">
        <v>1674</v>
      </c>
      <c r="AA649" s="544" t="s">
        <v>1674</v>
      </c>
      <c r="AE649" s="551"/>
      <c r="AF649" s="544" t="s">
        <v>1674</v>
      </c>
      <c r="AG649" s="544" t="s">
        <v>1674</v>
      </c>
      <c r="AH649" s="544" t="s">
        <v>1674</v>
      </c>
      <c r="AI649" s="544" t="s">
        <v>1674</v>
      </c>
      <c r="AJ649" s="544" t="s">
        <v>1674</v>
      </c>
      <c r="AK649" s="544" t="s">
        <v>1674</v>
      </c>
      <c r="AL649" s="544" t="s">
        <v>1674</v>
      </c>
      <c r="AM649" s="544" t="s">
        <v>2831</v>
      </c>
      <c r="AN649" s="544" t="s">
        <v>1674</v>
      </c>
      <c r="AP649" s="542">
        <f t="shared" si="21"/>
        <v>19</v>
      </c>
      <c r="AR649" s="552">
        <f t="shared" si="20"/>
        <v>500</v>
      </c>
    </row>
    <row r="650" spans="1:44" outlineLevel="1" x14ac:dyDescent="0.25">
      <c r="A650" s="544" t="s">
        <v>1674</v>
      </c>
      <c r="B650" s="545">
        <v>0</v>
      </c>
      <c r="C650" s="544" t="s">
        <v>1674</v>
      </c>
      <c r="D650" s="544" t="s">
        <v>3761</v>
      </c>
      <c r="E650" s="542" t="s">
        <v>3644</v>
      </c>
      <c r="F650" s="542" t="s">
        <v>3750</v>
      </c>
      <c r="G650" s="546">
        <v>500</v>
      </c>
      <c r="H650" s="546"/>
      <c r="I650" s="546">
        <v>500</v>
      </c>
      <c r="J650" s="542" t="s">
        <v>2701</v>
      </c>
      <c r="K650" s="547">
        <v>8338</v>
      </c>
      <c r="L650" s="542" t="s">
        <v>806</v>
      </c>
      <c r="M650" s="548"/>
      <c r="N650" s="549">
        <v>-42</v>
      </c>
      <c r="O650" s="544" t="s">
        <v>1674</v>
      </c>
      <c r="P650" s="544" t="s">
        <v>1674</v>
      </c>
      <c r="Q650" s="544" t="s">
        <v>2830</v>
      </c>
      <c r="R650" s="544" t="s">
        <v>1674</v>
      </c>
      <c r="S650" s="544" t="s">
        <v>1674</v>
      </c>
      <c r="T650" s="550"/>
      <c r="U650" s="544" t="s">
        <v>3328</v>
      </c>
      <c r="V650" s="547">
        <v>1182</v>
      </c>
      <c r="W650" s="548"/>
      <c r="Y650" s="544" t="s">
        <v>1674</v>
      </c>
      <c r="AA650" s="544" t="s">
        <v>1674</v>
      </c>
      <c r="AE650" s="551"/>
      <c r="AF650" s="544" t="s">
        <v>1674</v>
      </c>
      <c r="AG650" s="544" t="s">
        <v>1674</v>
      </c>
      <c r="AH650" s="544" t="s">
        <v>1674</v>
      </c>
      <c r="AI650" s="544" t="s">
        <v>1674</v>
      </c>
      <c r="AJ650" s="544" t="s">
        <v>1674</v>
      </c>
      <c r="AK650" s="544" t="s">
        <v>1674</v>
      </c>
      <c r="AL650" s="544" t="s">
        <v>1674</v>
      </c>
      <c r="AM650" s="544" t="s">
        <v>1674</v>
      </c>
      <c r="AN650" s="544" t="s">
        <v>1674</v>
      </c>
      <c r="AP650" s="542">
        <f t="shared" si="21"/>
        <v>19</v>
      </c>
      <c r="AR650" s="552">
        <f t="shared" si="20"/>
        <v>500</v>
      </c>
    </row>
    <row r="651" spans="1:44" outlineLevel="1" x14ac:dyDescent="0.25">
      <c r="A651" s="544" t="s">
        <v>1674</v>
      </c>
      <c r="B651" s="545">
        <v>0</v>
      </c>
      <c r="C651" s="544" t="s">
        <v>1674</v>
      </c>
      <c r="D651" s="544" t="s">
        <v>3762</v>
      </c>
      <c r="E651" s="542" t="s">
        <v>3644</v>
      </c>
      <c r="F651" s="542" t="s">
        <v>3750</v>
      </c>
      <c r="G651" s="546">
        <v>500</v>
      </c>
      <c r="H651" s="546"/>
      <c r="I651" s="546">
        <v>500</v>
      </c>
      <c r="J651" s="542" t="s">
        <v>2701</v>
      </c>
      <c r="K651" s="547">
        <v>8338</v>
      </c>
      <c r="L651" s="542" t="s">
        <v>806</v>
      </c>
      <c r="M651" s="548"/>
      <c r="N651" s="549">
        <v>-42</v>
      </c>
      <c r="O651" s="544" t="s">
        <v>1674</v>
      </c>
      <c r="P651" s="544" t="s">
        <v>1674</v>
      </c>
      <c r="Q651" s="544" t="s">
        <v>2830</v>
      </c>
      <c r="R651" s="544" t="s">
        <v>1674</v>
      </c>
      <c r="S651" s="544" t="s">
        <v>1674</v>
      </c>
      <c r="T651" s="550"/>
      <c r="U651" s="544" t="s">
        <v>3328</v>
      </c>
      <c r="V651" s="547">
        <v>1183</v>
      </c>
      <c r="W651" s="548"/>
      <c r="Y651" s="544" t="s">
        <v>1674</v>
      </c>
      <c r="AA651" s="544" t="s">
        <v>1674</v>
      </c>
      <c r="AE651" s="551"/>
      <c r="AF651" s="544" t="s">
        <v>1674</v>
      </c>
      <c r="AG651" s="544" t="s">
        <v>1674</v>
      </c>
      <c r="AH651" s="544" t="s">
        <v>1674</v>
      </c>
      <c r="AI651" s="544" t="s">
        <v>1674</v>
      </c>
      <c r="AJ651" s="544" t="s">
        <v>1674</v>
      </c>
      <c r="AK651" s="544" t="s">
        <v>1674</v>
      </c>
      <c r="AL651" s="544" t="s">
        <v>1674</v>
      </c>
      <c r="AM651" s="544" t="s">
        <v>1674</v>
      </c>
      <c r="AN651" s="544" t="s">
        <v>1674</v>
      </c>
      <c r="AP651" s="542">
        <f t="shared" si="21"/>
        <v>19</v>
      </c>
      <c r="AR651" s="552">
        <f t="shared" si="20"/>
        <v>500</v>
      </c>
    </row>
    <row r="652" spans="1:44" outlineLevel="1" x14ac:dyDescent="0.25">
      <c r="A652" s="544" t="s">
        <v>1674</v>
      </c>
      <c r="B652" s="545">
        <v>0</v>
      </c>
      <c r="C652" s="544" t="s">
        <v>1674</v>
      </c>
      <c r="D652" s="544" t="s">
        <v>3763</v>
      </c>
      <c r="E652" s="542" t="s">
        <v>3644</v>
      </c>
      <c r="F652" s="542" t="s">
        <v>3750</v>
      </c>
      <c r="G652" s="546">
        <v>500</v>
      </c>
      <c r="H652" s="546"/>
      <c r="I652" s="546">
        <v>500</v>
      </c>
      <c r="J652" s="542" t="s">
        <v>2701</v>
      </c>
      <c r="K652" s="547">
        <v>8338</v>
      </c>
      <c r="L652" s="542" t="s">
        <v>806</v>
      </c>
      <c r="M652" s="548"/>
      <c r="N652" s="549">
        <v>-42</v>
      </c>
      <c r="O652" s="544" t="s">
        <v>1674</v>
      </c>
      <c r="P652" s="544" t="s">
        <v>1674</v>
      </c>
      <c r="Q652" s="544" t="s">
        <v>2830</v>
      </c>
      <c r="R652" s="544" t="s">
        <v>1674</v>
      </c>
      <c r="S652" s="544" t="s">
        <v>1674</v>
      </c>
      <c r="T652" s="550"/>
      <c r="U652" s="544" t="s">
        <v>3328</v>
      </c>
      <c r="V652" s="547">
        <v>1184</v>
      </c>
      <c r="W652" s="548"/>
      <c r="Y652" s="544" t="s">
        <v>1674</v>
      </c>
      <c r="AA652" s="544" t="s">
        <v>1674</v>
      </c>
      <c r="AE652" s="551"/>
      <c r="AF652" s="544" t="s">
        <v>1674</v>
      </c>
      <c r="AG652" s="544" t="s">
        <v>1674</v>
      </c>
      <c r="AH652" s="544" t="s">
        <v>1674</v>
      </c>
      <c r="AI652" s="544" t="s">
        <v>1674</v>
      </c>
      <c r="AJ652" s="544" t="s">
        <v>1674</v>
      </c>
      <c r="AK652" s="544" t="s">
        <v>1674</v>
      </c>
      <c r="AL652" s="544" t="s">
        <v>1674</v>
      </c>
      <c r="AM652" s="544" t="s">
        <v>1674</v>
      </c>
      <c r="AN652" s="544" t="s">
        <v>1674</v>
      </c>
      <c r="AP652" s="542">
        <f t="shared" si="21"/>
        <v>19</v>
      </c>
      <c r="AR652" s="552">
        <f t="shared" si="20"/>
        <v>500</v>
      </c>
    </row>
    <row r="653" spans="1:44" outlineLevel="1" x14ac:dyDescent="0.25">
      <c r="A653" s="544" t="s">
        <v>1674</v>
      </c>
      <c r="B653" s="545">
        <v>0</v>
      </c>
      <c r="C653" s="544" t="s">
        <v>1674</v>
      </c>
      <c r="D653" s="544" t="s">
        <v>3764</v>
      </c>
      <c r="E653" s="542" t="s">
        <v>3644</v>
      </c>
      <c r="F653" s="542" t="s">
        <v>3750</v>
      </c>
      <c r="G653" s="546">
        <v>500</v>
      </c>
      <c r="H653" s="546"/>
      <c r="I653" s="546">
        <v>500</v>
      </c>
      <c r="J653" s="542" t="s">
        <v>2701</v>
      </c>
      <c r="K653" s="547">
        <v>8338</v>
      </c>
      <c r="L653" s="542" t="s">
        <v>806</v>
      </c>
      <c r="M653" s="548"/>
      <c r="N653" s="549">
        <v>-42</v>
      </c>
      <c r="O653" s="544" t="s">
        <v>1674</v>
      </c>
      <c r="P653" s="544" t="s">
        <v>1674</v>
      </c>
      <c r="Q653" s="544" t="s">
        <v>2830</v>
      </c>
      <c r="R653" s="544" t="s">
        <v>1674</v>
      </c>
      <c r="S653" s="544" t="s">
        <v>1674</v>
      </c>
      <c r="T653" s="550"/>
      <c r="U653" s="544" t="s">
        <v>3328</v>
      </c>
      <c r="V653" s="547">
        <v>1185</v>
      </c>
      <c r="W653" s="548"/>
      <c r="Y653" s="544" t="s">
        <v>1674</v>
      </c>
      <c r="AA653" s="544" t="s">
        <v>1674</v>
      </c>
      <c r="AE653" s="551"/>
      <c r="AF653" s="544" t="s">
        <v>1674</v>
      </c>
      <c r="AG653" s="544" t="s">
        <v>1674</v>
      </c>
      <c r="AH653" s="544" t="s">
        <v>1674</v>
      </c>
      <c r="AI653" s="544" t="s">
        <v>1674</v>
      </c>
      <c r="AJ653" s="544" t="s">
        <v>1674</v>
      </c>
      <c r="AK653" s="544" t="s">
        <v>1674</v>
      </c>
      <c r="AL653" s="544" t="s">
        <v>1674</v>
      </c>
      <c r="AM653" s="544" t="s">
        <v>1674</v>
      </c>
      <c r="AN653" s="544" t="s">
        <v>1674</v>
      </c>
      <c r="AP653" s="542">
        <f t="shared" si="21"/>
        <v>19</v>
      </c>
      <c r="AR653" s="552">
        <f t="shared" si="20"/>
        <v>500</v>
      </c>
    </row>
    <row r="654" spans="1:44" outlineLevel="1" x14ac:dyDescent="0.25">
      <c r="A654" s="544" t="s">
        <v>1674</v>
      </c>
      <c r="B654" s="545">
        <v>0</v>
      </c>
      <c r="C654" s="544" t="s">
        <v>1674</v>
      </c>
      <c r="D654" s="544" t="s">
        <v>3765</v>
      </c>
      <c r="E654" s="542" t="s">
        <v>3644</v>
      </c>
      <c r="F654" s="542" t="s">
        <v>3750</v>
      </c>
      <c r="G654" s="546">
        <v>500</v>
      </c>
      <c r="H654" s="546"/>
      <c r="I654" s="546">
        <v>500</v>
      </c>
      <c r="J654" s="542" t="s">
        <v>2701</v>
      </c>
      <c r="K654" s="547">
        <v>8338</v>
      </c>
      <c r="L654" s="542" t="s">
        <v>806</v>
      </c>
      <c r="M654" s="548"/>
      <c r="N654" s="549">
        <v>-42</v>
      </c>
      <c r="O654" s="544" t="s">
        <v>1674</v>
      </c>
      <c r="P654" s="544" t="s">
        <v>1674</v>
      </c>
      <c r="Q654" s="544" t="s">
        <v>2830</v>
      </c>
      <c r="R654" s="544" t="s">
        <v>1674</v>
      </c>
      <c r="S654" s="544" t="s">
        <v>1674</v>
      </c>
      <c r="T654" s="550"/>
      <c r="U654" s="544" t="s">
        <v>3328</v>
      </c>
      <c r="V654" s="547">
        <v>1186</v>
      </c>
      <c r="W654" s="548"/>
      <c r="Y654" s="544" t="s">
        <v>1674</v>
      </c>
      <c r="AA654" s="544" t="s">
        <v>1674</v>
      </c>
      <c r="AE654" s="551"/>
      <c r="AF654" s="544" t="s">
        <v>1674</v>
      </c>
      <c r="AG654" s="544" t="s">
        <v>1674</v>
      </c>
      <c r="AH654" s="544" t="s">
        <v>1674</v>
      </c>
      <c r="AI654" s="544" t="s">
        <v>1674</v>
      </c>
      <c r="AJ654" s="544" t="s">
        <v>1674</v>
      </c>
      <c r="AK654" s="544" t="s">
        <v>1674</v>
      </c>
      <c r="AL654" s="544" t="s">
        <v>1674</v>
      </c>
      <c r="AM654" s="544" t="s">
        <v>1674</v>
      </c>
      <c r="AN654" s="544" t="s">
        <v>1674</v>
      </c>
      <c r="AP654" s="542">
        <f t="shared" si="21"/>
        <v>19</v>
      </c>
      <c r="AR654" s="552">
        <f t="shared" si="20"/>
        <v>500</v>
      </c>
    </row>
    <row r="655" spans="1:44" outlineLevel="1" x14ac:dyDescent="0.25">
      <c r="A655" s="544" t="s">
        <v>1674</v>
      </c>
      <c r="B655" s="545">
        <v>0</v>
      </c>
      <c r="C655" s="544" t="s">
        <v>1674</v>
      </c>
      <c r="D655" s="544" t="s">
        <v>3766</v>
      </c>
      <c r="E655" s="542" t="s">
        <v>3644</v>
      </c>
      <c r="F655" s="542" t="s">
        <v>3750</v>
      </c>
      <c r="G655" s="546">
        <v>500</v>
      </c>
      <c r="H655" s="546"/>
      <c r="I655" s="546">
        <v>500</v>
      </c>
      <c r="J655" s="542" t="s">
        <v>2701</v>
      </c>
      <c r="K655" s="547">
        <v>8338</v>
      </c>
      <c r="L655" s="542" t="s">
        <v>806</v>
      </c>
      <c r="M655" s="548"/>
      <c r="N655" s="549">
        <v>-42</v>
      </c>
      <c r="O655" s="544" t="s">
        <v>1674</v>
      </c>
      <c r="P655" s="544" t="s">
        <v>1674</v>
      </c>
      <c r="Q655" s="544" t="s">
        <v>2830</v>
      </c>
      <c r="R655" s="544" t="s">
        <v>1674</v>
      </c>
      <c r="S655" s="544" t="s">
        <v>1674</v>
      </c>
      <c r="T655" s="550"/>
      <c r="U655" s="544" t="s">
        <v>3328</v>
      </c>
      <c r="V655" s="547">
        <v>1187</v>
      </c>
      <c r="W655" s="548"/>
      <c r="Y655" s="544" t="s">
        <v>1674</v>
      </c>
      <c r="AA655" s="544" t="s">
        <v>1674</v>
      </c>
      <c r="AE655" s="551"/>
      <c r="AF655" s="544" t="s">
        <v>1674</v>
      </c>
      <c r="AG655" s="544" t="s">
        <v>1674</v>
      </c>
      <c r="AH655" s="544" t="s">
        <v>1674</v>
      </c>
      <c r="AI655" s="544" t="s">
        <v>1674</v>
      </c>
      <c r="AJ655" s="544" t="s">
        <v>1674</v>
      </c>
      <c r="AK655" s="544" t="s">
        <v>1674</v>
      </c>
      <c r="AL655" s="544" t="s">
        <v>1674</v>
      </c>
      <c r="AM655" s="544" t="s">
        <v>1674</v>
      </c>
      <c r="AN655" s="544" t="s">
        <v>1674</v>
      </c>
      <c r="AP655" s="542">
        <f t="shared" si="21"/>
        <v>19</v>
      </c>
      <c r="AR655" s="552">
        <f t="shared" si="20"/>
        <v>500</v>
      </c>
    </row>
    <row r="656" spans="1:44" outlineLevel="1" x14ac:dyDescent="0.25">
      <c r="A656" s="544" t="s">
        <v>1674</v>
      </c>
      <c r="B656" s="545">
        <v>0</v>
      </c>
      <c r="C656" s="544" t="s">
        <v>1674</v>
      </c>
      <c r="D656" s="544" t="s">
        <v>3767</v>
      </c>
      <c r="E656" s="542" t="s">
        <v>3644</v>
      </c>
      <c r="F656" s="542" t="s">
        <v>3750</v>
      </c>
      <c r="G656" s="546">
        <v>500</v>
      </c>
      <c r="H656" s="546"/>
      <c r="I656" s="546">
        <v>500</v>
      </c>
      <c r="J656" s="542" t="s">
        <v>2701</v>
      </c>
      <c r="K656" s="547">
        <v>8338</v>
      </c>
      <c r="L656" s="542" t="s">
        <v>806</v>
      </c>
      <c r="M656" s="548"/>
      <c r="N656" s="549">
        <v>-42</v>
      </c>
      <c r="O656" s="544" t="s">
        <v>1674</v>
      </c>
      <c r="P656" s="544" t="s">
        <v>1674</v>
      </c>
      <c r="Q656" s="544" t="s">
        <v>2830</v>
      </c>
      <c r="R656" s="544" t="s">
        <v>1674</v>
      </c>
      <c r="S656" s="544" t="s">
        <v>1674</v>
      </c>
      <c r="T656" s="550"/>
      <c r="U656" s="544" t="s">
        <v>3328</v>
      </c>
      <c r="V656" s="547">
        <v>1188</v>
      </c>
      <c r="W656" s="548"/>
      <c r="Y656" s="544" t="s">
        <v>1674</v>
      </c>
      <c r="AA656" s="544" t="s">
        <v>1674</v>
      </c>
      <c r="AE656" s="551"/>
      <c r="AF656" s="544" t="s">
        <v>1674</v>
      </c>
      <c r="AG656" s="544" t="s">
        <v>1674</v>
      </c>
      <c r="AH656" s="544" t="s">
        <v>1674</v>
      </c>
      <c r="AI656" s="544" t="s">
        <v>1674</v>
      </c>
      <c r="AJ656" s="544" t="s">
        <v>1674</v>
      </c>
      <c r="AK656" s="544" t="s">
        <v>1674</v>
      </c>
      <c r="AL656" s="544" t="s">
        <v>1674</v>
      </c>
      <c r="AM656" s="544" t="s">
        <v>1674</v>
      </c>
      <c r="AN656" s="544" t="s">
        <v>1674</v>
      </c>
      <c r="AP656" s="542">
        <f t="shared" si="21"/>
        <v>19</v>
      </c>
      <c r="AR656" s="552">
        <f t="shared" si="20"/>
        <v>500</v>
      </c>
    </row>
    <row r="657" spans="1:44" outlineLevel="1" x14ac:dyDescent="0.25">
      <c r="A657" s="544" t="s">
        <v>1674</v>
      </c>
      <c r="B657" s="545">
        <v>32001</v>
      </c>
      <c r="C657" s="544" t="s">
        <v>3073</v>
      </c>
      <c r="D657" s="544" t="s">
        <v>3768</v>
      </c>
      <c r="E657" s="542" t="s">
        <v>3644</v>
      </c>
      <c r="F657" s="542" t="s">
        <v>3750</v>
      </c>
      <c r="G657" s="546">
        <v>192</v>
      </c>
      <c r="H657" s="546"/>
      <c r="I657" s="546">
        <v>192</v>
      </c>
      <c r="J657" s="542" t="s">
        <v>2701</v>
      </c>
      <c r="K657" s="547">
        <v>8120</v>
      </c>
      <c r="L657" s="542" t="s">
        <v>806</v>
      </c>
      <c r="M657" s="548"/>
      <c r="N657" s="549">
        <v>-42</v>
      </c>
      <c r="O657" s="544" t="s">
        <v>1674</v>
      </c>
      <c r="P657" s="544" t="s">
        <v>1674</v>
      </c>
      <c r="Q657" s="544" t="s">
        <v>3075</v>
      </c>
      <c r="R657" s="544" t="s">
        <v>1674</v>
      </c>
      <c r="S657" s="544" t="s">
        <v>1674</v>
      </c>
      <c r="T657" s="550"/>
      <c r="U657" s="544" t="s">
        <v>3328</v>
      </c>
      <c r="V657" s="547">
        <v>1193</v>
      </c>
      <c r="W657" s="548"/>
      <c r="Y657" s="544" t="s">
        <v>1674</v>
      </c>
      <c r="AA657" s="544" t="s">
        <v>1674</v>
      </c>
      <c r="AE657" s="551"/>
      <c r="AF657" s="544" t="s">
        <v>1674</v>
      </c>
      <c r="AG657" s="544" t="s">
        <v>1674</v>
      </c>
      <c r="AH657" s="544" t="s">
        <v>1674</v>
      </c>
      <c r="AI657" s="544" t="s">
        <v>1674</v>
      </c>
      <c r="AJ657" s="544" t="s">
        <v>1674</v>
      </c>
      <c r="AK657" s="544" t="s">
        <v>1674</v>
      </c>
      <c r="AL657" s="544" t="s">
        <v>1674</v>
      </c>
      <c r="AM657" s="544" t="s">
        <v>3076</v>
      </c>
      <c r="AN657" s="544" t="s">
        <v>1674</v>
      </c>
      <c r="AP657" s="542">
        <f t="shared" si="21"/>
        <v>19</v>
      </c>
      <c r="AR657" s="552">
        <f t="shared" si="20"/>
        <v>192</v>
      </c>
    </row>
    <row r="658" spans="1:44" outlineLevel="1" x14ac:dyDescent="0.25">
      <c r="A658" s="544" t="s">
        <v>1674</v>
      </c>
      <c r="B658" s="545">
        <v>10601</v>
      </c>
      <c r="C658" s="544" t="s">
        <v>3769</v>
      </c>
      <c r="D658" s="544" t="s">
        <v>3770</v>
      </c>
      <c r="E658" s="542" t="s">
        <v>3771</v>
      </c>
      <c r="F658" s="542" t="s">
        <v>3772</v>
      </c>
      <c r="G658" s="546">
        <v>333.2</v>
      </c>
      <c r="H658" s="546"/>
      <c r="I658" s="546">
        <v>333.2</v>
      </c>
      <c r="J658" s="542" t="s">
        <v>2701</v>
      </c>
      <c r="K658" s="547">
        <v>8400</v>
      </c>
      <c r="L658" s="542" t="s">
        <v>806</v>
      </c>
      <c r="M658" s="548"/>
      <c r="N658" s="549">
        <v>-39</v>
      </c>
      <c r="O658" s="544" t="s">
        <v>1674</v>
      </c>
      <c r="P658" s="544" t="s">
        <v>1674</v>
      </c>
      <c r="Q658" s="544" t="s">
        <v>3773</v>
      </c>
      <c r="R658" s="544" t="s">
        <v>3070</v>
      </c>
      <c r="S658" s="544" t="s">
        <v>1674</v>
      </c>
      <c r="T658" s="550">
        <v>19</v>
      </c>
      <c r="U658" s="544" t="s">
        <v>3328</v>
      </c>
      <c r="V658" s="547">
        <v>1285</v>
      </c>
      <c r="W658" s="548"/>
      <c r="Y658" s="544" t="s">
        <v>1674</v>
      </c>
      <c r="AA658" s="544" t="s">
        <v>1674</v>
      </c>
      <c r="AE658" s="551"/>
      <c r="AF658" s="544" t="s">
        <v>3774</v>
      </c>
      <c r="AG658" s="544" t="s">
        <v>3775</v>
      </c>
      <c r="AH658" s="544" t="s">
        <v>3776</v>
      </c>
      <c r="AI658" s="544" t="s">
        <v>1674</v>
      </c>
      <c r="AJ658" s="544" t="s">
        <v>1674</v>
      </c>
      <c r="AK658" s="544" t="s">
        <v>1674</v>
      </c>
      <c r="AL658" s="544" t="s">
        <v>1674</v>
      </c>
      <c r="AM658" s="544" t="s">
        <v>3776</v>
      </c>
      <c r="AN658" s="544" t="s">
        <v>3777</v>
      </c>
      <c r="AP658" s="542">
        <f t="shared" si="21"/>
        <v>22</v>
      </c>
      <c r="AR658" s="552">
        <f t="shared" si="20"/>
        <v>333.2</v>
      </c>
    </row>
    <row r="659" spans="1:44" outlineLevel="1" x14ac:dyDescent="0.25">
      <c r="A659" s="544" t="s">
        <v>1674</v>
      </c>
      <c r="B659" s="545">
        <v>11200</v>
      </c>
      <c r="C659" s="544" t="s">
        <v>2871</v>
      </c>
      <c r="D659" s="544" t="s">
        <v>3778</v>
      </c>
      <c r="E659" s="542" t="s">
        <v>3771</v>
      </c>
      <c r="F659" s="542" t="s">
        <v>3772</v>
      </c>
      <c r="G659" s="546">
        <v>1058.57</v>
      </c>
      <c r="H659" s="546"/>
      <c r="I659" s="546"/>
      <c r="J659" s="542" t="s">
        <v>806</v>
      </c>
      <c r="K659" s="547">
        <v>8400</v>
      </c>
      <c r="L659" s="542" t="s">
        <v>806</v>
      </c>
      <c r="M659" s="548"/>
      <c r="N659" s="549">
        <v>-39</v>
      </c>
      <c r="O659" s="544" t="s">
        <v>1674</v>
      </c>
      <c r="P659" s="544" t="s">
        <v>1674</v>
      </c>
      <c r="Q659" s="544" t="s">
        <v>2914</v>
      </c>
      <c r="R659" s="544" t="s">
        <v>1674</v>
      </c>
      <c r="S659" s="544" t="s">
        <v>1674</v>
      </c>
      <c r="T659" s="550">
        <v>19</v>
      </c>
      <c r="U659" s="544" t="s">
        <v>3328</v>
      </c>
      <c r="V659" s="547">
        <v>1289</v>
      </c>
      <c r="W659" s="548"/>
      <c r="Y659" s="544" t="s">
        <v>1674</v>
      </c>
      <c r="AA659" s="544" t="s">
        <v>1674</v>
      </c>
      <c r="AE659" s="551"/>
      <c r="AF659" s="544" t="s">
        <v>1674</v>
      </c>
      <c r="AG659" s="544" t="s">
        <v>1674</v>
      </c>
      <c r="AH659" s="544" t="s">
        <v>1674</v>
      </c>
      <c r="AI659" s="544" t="s">
        <v>1674</v>
      </c>
      <c r="AJ659" s="544" t="s">
        <v>1674</v>
      </c>
      <c r="AK659" s="544" t="s">
        <v>1674</v>
      </c>
      <c r="AL659" s="544" t="s">
        <v>1674</v>
      </c>
      <c r="AM659" s="544" t="s">
        <v>2871</v>
      </c>
      <c r="AN659" s="544" t="s">
        <v>1674</v>
      </c>
      <c r="AP659" s="542">
        <f t="shared" si="21"/>
        <v>22</v>
      </c>
      <c r="AR659" s="552">
        <f t="shared" si="20"/>
        <v>0</v>
      </c>
    </row>
    <row r="660" spans="1:44" outlineLevel="1" x14ac:dyDescent="0.25">
      <c r="A660" s="544" t="s">
        <v>1674</v>
      </c>
      <c r="B660" s="545">
        <v>0</v>
      </c>
      <c r="C660" s="544" t="s">
        <v>1674</v>
      </c>
      <c r="D660" s="544" t="s">
        <v>3778</v>
      </c>
      <c r="E660" s="542" t="s">
        <v>3771</v>
      </c>
      <c r="F660" s="542" t="s">
        <v>3772</v>
      </c>
      <c r="G660" s="546">
        <v>55.69</v>
      </c>
      <c r="H660" s="546"/>
      <c r="I660" s="546"/>
      <c r="J660" s="542" t="s">
        <v>806</v>
      </c>
      <c r="K660" s="547">
        <v>8400</v>
      </c>
      <c r="L660" s="542" t="s">
        <v>806</v>
      </c>
      <c r="M660" s="548"/>
      <c r="N660" s="549">
        <v>-39</v>
      </c>
      <c r="O660" s="544" t="s">
        <v>1674</v>
      </c>
      <c r="P660" s="544" t="s">
        <v>1674</v>
      </c>
      <c r="Q660" s="544" t="s">
        <v>2914</v>
      </c>
      <c r="R660" s="544" t="s">
        <v>2617</v>
      </c>
      <c r="S660" s="544" t="s">
        <v>1674</v>
      </c>
      <c r="T660" s="550">
        <v>19</v>
      </c>
      <c r="U660" s="544" t="s">
        <v>3328</v>
      </c>
      <c r="V660" s="547">
        <v>1290</v>
      </c>
      <c r="W660" s="548"/>
      <c r="Y660" s="544" t="s">
        <v>1674</v>
      </c>
      <c r="AA660" s="544" t="s">
        <v>1674</v>
      </c>
      <c r="AE660" s="551"/>
      <c r="AF660" s="544" t="s">
        <v>1674</v>
      </c>
      <c r="AG660" s="544" t="s">
        <v>1674</v>
      </c>
      <c r="AH660" s="544" t="s">
        <v>1674</v>
      </c>
      <c r="AI660" s="544" t="s">
        <v>1674</v>
      </c>
      <c r="AJ660" s="544" t="s">
        <v>1674</v>
      </c>
      <c r="AK660" s="544" t="s">
        <v>1674</v>
      </c>
      <c r="AL660" s="544" t="s">
        <v>1674</v>
      </c>
      <c r="AM660" s="544" t="s">
        <v>1674</v>
      </c>
      <c r="AN660" s="544" t="s">
        <v>1674</v>
      </c>
      <c r="AP660" s="542">
        <f t="shared" si="21"/>
        <v>22</v>
      </c>
      <c r="AR660" s="552">
        <f t="shared" si="20"/>
        <v>0</v>
      </c>
    </row>
    <row r="661" spans="1:44" outlineLevel="1" x14ac:dyDescent="0.25">
      <c r="A661" s="544" t="s">
        <v>1674</v>
      </c>
      <c r="B661" s="545">
        <v>0</v>
      </c>
      <c r="C661" s="544" t="s">
        <v>1674</v>
      </c>
      <c r="D661" s="544" t="s">
        <v>3778</v>
      </c>
      <c r="E661" s="542" t="s">
        <v>3771</v>
      </c>
      <c r="F661" s="542" t="s">
        <v>3772</v>
      </c>
      <c r="G661" s="546">
        <v>15807.54</v>
      </c>
      <c r="H661" s="546"/>
      <c r="I661" s="546">
        <v>16921.8</v>
      </c>
      <c r="J661" s="542" t="s">
        <v>2701</v>
      </c>
      <c r="K661" s="547">
        <v>8401</v>
      </c>
      <c r="L661" s="542" t="s">
        <v>806</v>
      </c>
      <c r="M661" s="548"/>
      <c r="N661" s="549">
        <v>-39</v>
      </c>
      <c r="O661" s="544" t="s">
        <v>1674</v>
      </c>
      <c r="P661" s="544" t="s">
        <v>1674</v>
      </c>
      <c r="Q661" s="544" t="s">
        <v>2914</v>
      </c>
      <c r="R661" s="544" t="s">
        <v>1674</v>
      </c>
      <c r="S661" s="544" t="s">
        <v>1674</v>
      </c>
      <c r="T661" s="550">
        <v>19</v>
      </c>
      <c r="U661" s="544" t="s">
        <v>3328</v>
      </c>
      <c r="V661" s="547">
        <v>1291</v>
      </c>
      <c r="W661" s="548"/>
      <c r="Y661" s="544" t="s">
        <v>1674</v>
      </c>
      <c r="AA661" s="544" t="s">
        <v>1674</v>
      </c>
      <c r="AE661" s="551"/>
      <c r="AF661" s="544" t="s">
        <v>1674</v>
      </c>
      <c r="AG661" s="544" t="s">
        <v>1674</v>
      </c>
      <c r="AH661" s="544" t="s">
        <v>1674</v>
      </c>
      <c r="AI661" s="544" t="s">
        <v>1674</v>
      </c>
      <c r="AJ661" s="544" t="s">
        <v>1674</v>
      </c>
      <c r="AK661" s="544" t="s">
        <v>1674</v>
      </c>
      <c r="AL661" s="544" t="s">
        <v>1674</v>
      </c>
      <c r="AM661" s="544" t="s">
        <v>1674</v>
      </c>
      <c r="AN661" s="544" t="s">
        <v>1674</v>
      </c>
      <c r="AP661" s="542">
        <f t="shared" si="21"/>
        <v>22</v>
      </c>
      <c r="AR661" s="552">
        <f t="shared" ref="AR661:AR724" si="22">IF(J661="S",+I661,-I661)</f>
        <v>16921.8</v>
      </c>
    </row>
    <row r="662" spans="1:44" outlineLevel="1" x14ac:dyDescent="0.25">
      <c r="A662" s="544" t="s">
        <v>1674</v>
      </c>
      <c r="B662" s="545">
        <v>11410</v>
      </c>
      <c r="C662" s="544" t="s">
        <v>3251</v>
      </c>
      <c r="D662" s="544" t="s">
        <v>3779</v>
      </c>
      <c r="E662" s="542" t="s">
        <v>3771</v>
      </c>
      <c r="F662" s="542" t="s">
        <v>3772</v>
      </c>
      <c r="G662" s="546">
        <v>270.61</v>
      </c>
      <c r="H662" s="546"/>
      <c r="I662" s="546"/>
      <c r="J662" s="542" t="s">
        <v>806</v>
      </c>
      <c r="K662" s="547">
        <v>8400</v>
      </c>
      <c r="L662" s="542" t="s">
        <v>806</v>
      </c>
      <c r="M662" s="548"/>
      <c r="N662" s="549">
        <v>-39</v>
      </c>
      <c r="O662" s="544" t="s">
        <v>1674</v>
      </c>
      <c r="P662" s="544" t="s">
        <v>1674</v>
      </c>
      <c r="Q662" s="544" t="s">
        <v>3253</v>
      </c>
      <c r="R662" s="544" t="s">
        <v>3070</v>
      </c>
      <c r="S662" s="544" t="s">
        <v>1674</v>
      </c>
      <c r="T662" s="550">
        <v>19</v>
      </c>
      <c r="U662" s="544" t="s">
        <v>3328</v>
      </c>
      <c r="V662" s="547">
        <v>1283</v>
      </c>
      <c r="W662" s="548"/>
      <c r="Y662" s="544" t="s">
        <v>1674</v>
      </c>
      <c r="AA662" s="544" t="s">
        <v>1674</v>
      </c>
      <c r="AE662" s="551"/>
      <c r="AF662" s="544" t="s">
        <v>3254</v>
      </c>
      <c r="AG662" s="544" t="s">
        <v>3255</v>
      </c>
      <c r="AH662" s="544" t="s">
        <v>3256</v>
      </c>
      <c r="AI662" s="544" t="s">
        <v>1674</v>
      </c>
      <c r="AJ662" s="544" t="s">
        <v>1674</v>
      </c>
      <c r="AK662" s="544" t="s">
        <v>1674</v>
      </c>
      <c r="AL662" s="544" t="s">
        <v>1674</v>
      </c>
      <c r="AM662" s="544" t="s">
        <v>3257</v>
      </c>
      <c r="AN662" s="544" t="s">
        <v>3258</v>
      </c>
      <c r="AP662" s="542">
        <f t="shared" si="21"/>
        <v>22</v>
      </c>
      <c r="AR662" s="552">
        <f t="shared" si="22"/>
        <v>0</v>
      </c>
    </row>
    <row r="663" spans="1:44" outlineLevel="1" x14ac:dyDescent="0.25">
      <c r="A663" s="544" t="s">
        <v>1674</v>
      </c>
      <c r="B663" s="545">
        <v>0</v>
      </c>
      <c r="C663" s="544" t="s">
        <v>1674</v>
      </c>
      <c r="D663" s="544" t="s">
        <v>3779</v>
      </c>
      <c r="E663" s="542" t="s">
        <v>3771</v>
      </c>
      <c r="F663" s="542" t="s">
        <v>3772</v>
      </c>
      <c r="G663" s="546">
        <v>28.56</v>
      </c>
      <c r="H663" s="546"/>
      <c r="I663" s="546">
        <v>299.17</v>
      </c>
      <c r="J663" s="542" t="s">
        <v>2701</v>
      </c>
      <c r="K663" s="547">
        <v>8400</v>
      </c>
      <c r="L663" s="542" t="s">
        <v>806</v>
      </c>
      <c r="M663" s="548"/>
      <c r="N663" s="549">
        <v>-39</v>
      </c>
      <c r="O663" s="544" t="s">
        <v>1674</v>
      </c>
      <c r="P663" s="544" t="s">
        <v>1674</v>
      </c>
      <c r="Q663" s="544" t="s">
        <v>3259</v>
      </c>
      <c r="R663" s="544" t="s">
        <v>1674</v>
      </c>
      <c r="S663" s="544" t="s">
        <v>1674</v>
      </c>
      <c r="T663" s="550">
        <v>19</v>
      </c>
      <c r="U663" s="544" t="s">
        <v>3328</v>
      </c>
      <c r="V663" s="547">
        <v>1284</v>
      </c>
      <c r="W663" s="548"/>
      <c r="Y663" s="544" t="s">
        <v>1674</v>
      </c>
      <c r="AA663" s="544" t="s">
        <v>1674</v>
      </c>
      <c r="AE663" s="551"/>
      <c r="AF663" s="544" t="s">
        <v>1674</v>
      </c>
      <c r="AG663" s="544" t="s">
        <v>1674</v>
      </c>
      <c r="AH663" s="544" t="s">
        <v>1674</v>
      </c>
      <c r="AI663" s="544" t="s">
        <v>1674</v>
      </c>
      <c r="AJ663" s="544" t="s">
        <v>1674</v>
      </c>
      <c r="AK663" s="544" t="s">
        <v>1674</v>
      </c>
      <c r="AL663" s="544" t="s">
        <v>1674</v>
      </c>
      <c r="AM663" s="544" t="s">
        <v>1674</v>
      </c>
      <c r="AN663" s="544" t="s">
        <v>1674</v>
      </c>
      <c r="AP663" s="542">
        <f t="shared" si="21"/>
        <v>22</v>
      </c>
      <c r="AR663" s="552">
        <f t="shared" si="22"/>
        <v>299.17</v>
      </c>
    </row>
    <row r="664" spans="1:44" outlineLevel="1" x14ac:dyDescent="0.25">
      <c r="A664" s="544" t="s">
        <v>1674</v>
      </c>
      <c r="B664" s="545">
        <v>12500</v>
      </c>
      <c r="C664" s="544" t="s">
        <v>3757</v>
      </c>
      <c r="D664" s="544" t="s">
        <v>3780</v>
      </c>
      <c r="E664" s="542" t="s">
        <v>3771</v>
      </c>
      <c r="F664" s="542" t="s">
        <v>3772</v>
      </c>
      <c r="G664" s="546">
        <v>458.15</v>
      </c>
      <c r="H664" s="546"/>
      <c r="I664" s="546">
        <v>458.15</v>
      </c>
      <c r="J664" s="542" t="s">
        <v>2701</v>
      </c>
      <c r="K664" s="547">
        <v>8400</v>
      </c>
      <c r="L664" s="542" t="s">
        <v>806</v>
      </c>
      <c r="M664" s="548"/>
      <c r="N664" s="549">
        <v>-39</v>
      </c>
      <c r="O664" s="544" t="s">
        <v>1674</v>
      </c>
      <c r="P664" s="544" t="s">
        <v>1674</v>
      </c>
      <c r="Q664" s="544" t="s">
        <v>3781</v>
      </c>
      <c r="R664" s="544" t="s">
        <v>1674</v>
      </c>
      <c r="S664" s="544" t="s">
        <v>1674</v>
      </c>
      <c r="T664" s="550">
        <v>19</v>
      </c>
      <c r="U664" s="544" t="s">
        <v>3328</v>
      </c>
      <c r="V664" s="547">
        <v>1286</v>
      </c>
      <c r="W664" s="548"/>
      <c r="Y664" s="544" t="s">
        <v>1674</v>
      </c>
      <c r="AA664" s="544" t="s">
        <v>1674</v>
      </c>
      <c r="AE664" s="551"/>
      <c r="AF664" s="544" t="s">
        <v>1674</v>
      </c>
      <c r="AG664" s="544" t="s">
        <v>1674</v>
      </c>
      <c r="AH664" s="544" t="s">
        <v>1674</v>
      </c>
      <c r="AI664" s="544" t="s">
        <v>1674</v>
      </c>
      <c r="AJ664" s="544" t="s">
        <v>1674</v>
      </c>
      <c r="AK664" s="544" t="s">
        <v>1674</v>
      </c>
      <c r="AL664" s="544" t="s">
        <v>1674</v>
      </c>
      <c r="AM664" s="544" t="s">
        <v>3757</v>
      </c>
      <c r="AN664" s="544" t="s">
        <v>1674</v>
      </c>
      <c r="AP664" s="542">
        <f t="shared" si="21"/>
        <v>22</v>
      </c>
      <c r="AR664" s="552">
        <f t="shared" si="22"/>
        <v>458.15</v>
      </c>
    </row>
    <row r="665" spans="1:44" outlineLevel="1" x14ac:dyDescent="0.25">
      <c r="A665" s="544" t="s">
        <v>1674</v>
      </c>
      <c r="B665" s="545">
        <v>10400</v>
      </c>
      <c r="C665" s="544" t="s">
        <v>2730</v>
      </c>
      <c r="D665" s="544" t="s">
        <v>3782</v>
      </c>
      <c r="E665" s="542" t="s">
        <v>3783</v>
      </c>
      <c r="F665" s="542" t="s">
        <v>3784</v>
      </c>
      <c r="G665" s="546">
        <v>710.07</v>
      </c>
      <c r="H665" s="546"/>
      <c r="I665" s="546"/>
      <c r="J665" s="542" t="s">
        <v>806</v>
      </c>
      <c r="K665" s="547">
        <v>8400</v>
      </c>
      <c r="L665" s="542" t="s">
        <v>806</v>
      </c>
      <c r="M665" s="548"/>
      <c r="N665" s="549">
        <v>-38</v>
      </c>
      <c r="O665" s="544" t="s">
        <v>1674</v>
      </c>
      <c r="P665" s="544" t="s">
        <v>1674</v>
      </c>
      <c r="Q665" s="544" t="s">
        <v>2733</v>
      </c>
      <c r="R665" s="544" t="s">
        <v>1674</v>
      </c>
      <c r="S665" s="544" t="s">
        <v>1674</v>
      </c>
      <c r="T665" s="550">
        <v>19</v>
      </c>
      <c r="U665" s="544" t="s">
        <v>3328</v>
      </c>
      <c r="V665" s="547">
        <v>1330</v>
      </c>
      <c r="W665" s="548"/>
      <c r="Y665" s="544" t="s">
        <v>1674</v>
      </c>
      <c r="AA665" s="544" t="s">
        <v>1674</v>
      </c>
      <c r="AE665" s="551"/>
      <c r="AF665" s="544" t="s">
        <v>1674</v>
      </c>
      <c r="AG665" s="544" t="s">
        <v>1674</v>
      </c>
      <c r="AH665" s="544" t="s">
        <v>1674</v>
      </c>
      <c r="AI665" s="544" t="s">
        <v>1674</v>
      </c>
      <c r="AJ665" s="544" t="s">
        <v>1674</v>
      </c>
      <c r="AK665" s="544" t="s">
        <v>1674</v>
      </c>
      <c r="AL665" s="544" t="s">
        <v>1674</v>
      </c>
      <c r="AM665" s="544" t="s">
        <v>2730</v>
      </c>
      <c r="AN665" s="544" t="s">
        <v>1674</v>
      </c>
      <c r="AP665" s="542">
        <f t="shared" si="21"/>
        <v>23</v>
      </c>
      <c r="AR665" s="552">
        <f t="shared" si="22"/>
        <v>0</v>
      </c>
    </row>
    <row r="666" spans="1:44" outlineLevel="1" x14ac:dyDescent="0.25">
      <c r="A666" s="544" t="s">
        <v>1674</v>
      </c>
      <c r="B666" s="545">
        <v>0</v>
      </c>
      <c r="C666" s="544" t="s">
        <v>1674</v>
      </c>
      <c r="D666" s="544" t="s">
        <v>3782</v>
      </c>
      <c r="E666" s="542" t="s">
        <v>3783</v>
      </c>
      <c r="F666" s="542" t="s">
        <v>3784</v>
      </c>
      <c r="G666" s="546">
        <v>37.49</v>
      </c>
      <c r="H666" s="546"/>
      <c r="I666" s="546"/>
      <c r="J666" s="542" t="s">
        <v>806</v>
      </c>
      <c r="K666" s="547">
        <v>8400</v>
      </c>
      <c r="L666" s="542" t="s">
        <v>806</v>
      </c>
      <c r="M666" s="548"/>
      <c r="N666" s="549">
        <v>-38</v>
      </c>
      <c r="O666" s="544" t="s">
        <v>1674</v>
      </c>
      <c r="P666" s="544" t="s">
        <v>1674</v>
      </c>
      <c r="Q666" s="544" t="s">
        <v>2733</v>
      </c>
      <c r="R666" s="544" t="s">
        <v>2617</v>
      </c>
      <c r="S666" s="544" t="s">
        <v>1674</v>
      </c>
      <c r="T666" s="550">
        <v>19</v>
      </c>
      <c r="U666" s="544" t="s">
        <v>3328</v>
      </c>
      <c r="V666" s="547">
        <v>1331</v>
      </c>
      <c r="W666" s="548"/>
      <c r="Y666" s="544" t="s">
        <v>1674</v>
      </c>
      <c r="AA666" s="544" t="s">
        <v>1674</v>
      </c>
      <c r="AE666" s="551"/>
      <c r="AF666" s="544" t="s">
        <v>1674</v>
      </c>
      <c r="AG666" s="544" t="s">
        <v>1674</v>
      </c>
      <c r="AH666" s="544" t="s">
        <v>1674</v>
      </c>
      <c r="AI666" s="544" t="s">
        <v>1674</v>
      </c>
      <c r="AJ666" s="544" t="s">
        <v>1674</v>
      </c>
      <c r="AK666" s="544" t="s">
        <v>1674</v>
      </c>
      <c r="AL666" s="544" t="s">
        <v>1674</v>
      </c>
      <c r="AM666" s="544" t="s">
        <v>1674</v>
      </c>
      <c r="AN666" s="544" t="s">
        <v>1674</v>
      </c>
      <c r="AP666" s="542">
        <f t="shared" si="21"/>
        <v>23</v>
      </c>
      <c r="AR666" s="552">
        <f t="shared" si="22"/>
        <v>0</v>
      </c>
    </row>
    <row r="667" spans="1:44" outlineLevel="1" x14ac:dyDescent="0.25">
      <c r="A667" s="544" t="s">
        <v>1674</v>
      </c>
      <c r="B667" s="545">
        <v>0</v>
      </c>
      <c r="C667" s="544" t="s">
        <v>1674</v>
      </c>
      <c r="D667" s="544" t="s">
        <v>3782</v>
      </c>
      <c r="E667" s="542" t="s">
        <v>3783</v>
      </c>
      <c r="F667" s="542" t="s">
        <v>3784</v>
      </c>
      <c r="G667" s="546">
        <v>10605.04</v>
      </c>
      <c r="H667" s="546"/>
      <c r="I667" s="546">
        <v>11352.6</v>
      </c>
      <c r="J667" s="542" t="s">
        <v>2701</v>
      </c>
      <c r="K667" s="547">
        <v>8401</v>
      </c>
      <c r="L667" s="542" t="s">
        <v>806</v>
      </c>
      <c r="M667" s="548"/>
      <c r="N667" s="549">
        <v>-38</v>
      </c>
      <c r="O667" s="544" t="s">
        <v>1674</v>
      </c>
      <c r="P667" s="544" t="s">
        <v>1674</v>
      </c>
      <c r="Q667" s="544" t="s">
        <v>2733</v>
      </c>
      <c r="R667" s="544" t="s">
        <v>1674</v>
      </c>
      <c r="S667" s="544" t="s">
        <v>1674</v>
      </c>
      <c r="T667" s="550">
        <v>19</v>
      </c>
      <c r="U667" s="544" t="s">
        <v>3328</v>
      </c>
      <c r="V667" s="547">
        <v>1332</v>
      </c>
      <c r="W667" s="548"/>
      <c r="Y667" s="544" t="s">
        <v>1674</v>
      </c>
      <c r="AA667" s="544" t="s">
        <v>1674</v>
      </c>
      <c r="AE667" s="551"/>
      <c r="AF667" s="544" t="s">
        <v>1674</v>
      </c>
      <c r="AG667" s="544" t="s">
        <v>1674</v>
      </c>
      <c r="AH667" s="544" t="s">
        <v>1674</v>
      </c>
      <c r="AI667" s="544" t="s">
        <v>1674</v>
      </c>
      <c r="AJ667" s="544" t="s">
        <v>1674</v>
      </c>
      <c r="AK667" s="544" t="s">
        <v>1674</v>
      </c>
      <c r="AL667" s="544" t="s">
        <v>1674</v>
      </c>
      <c r="AM667" s="544" t="s">
        <v>1674</v>
      </c>
      <c r="AN667" s="544" t="s">
        <v>1674</v>
      </c>
      <c r="AP667" s="542">
        <f t="shared" si="21"/>
        <v>23</v>
      </c>
      <c r="AR667" s="552">
        <f t="shared" si="22"/>
        <v>11352.6</v>
      </c>
    </row>
    <row r="668" spans="1:44" outlineLevel="1" x14ac:dyDescent="0.25">
      <c r="A668" s="544" t="s">
        <v>1674</v>
      </c>
      <c r="B668" s="545">
        <v>10500</v>
      </c>
      <c r="C668" s="544" t="s">
        <v>2918</v>
      </c>
      <c r="D668" s="544" t="s">
        <v>3785</v>
      </c>
      <c r="E668" s="542" t="s">
        <v>3783</v>
      </c>
      <c r="F668" s="542" t="s">
        <v>3784</v>
      </c>
      <c r="G668" s="546">
        <v>154.46</v>
      </c>
      <c r="H668" s="546"/>
      <c r="I668" s="546"/>
      <c r="J668" s="542" t="s">
        <v>806</v>
      </c>
      <c r="K668" s="547">
        <v>8400</v>
      </c>
      <c r="L668" s="542" t="s">
        <v>806</v>
      </c>
      <c r="M668" s="548"/>
      <c r="N668" s="549">
        <v>-38</v>
      </c>
      <c r="O668" s="544" t="s">
        <v>1674</v>
      </c>
      <c r="P668" s="544" t="s">
        <v>1674</v>
      </c>
      <c r="Q668" s="544" t="s">
        <v>2921</v>
      </c>
      <c r="R668" s="544" t="s">
        <v>1674</v>
      </c>
      <c r="S668" s="544" t="s">
        <v>1674</v>
      </c>
      <c r="T668" s="550">
        <v>19</v>
      </c>
      <c r="U668" s="544" t="s">
        <v>3328</v>
      </c>
      <c r="V668" s="547">
        <v>1320</v>
      </c>
      <c r="W668" s="548"/>
      <c r="Y668" s="544" t="s">
        <v>1674</v>
      </c>
      <c r="AA668" s="544" t="s">
        <v>1674</v>
      </c>
      <c r="AE668" s="551"/>
      <c r="AF668" s="544" t="s">
        <v>1674</v>
      </c>
      <c r="AG668" s="544" t="s">
        <v>1674</v>
      </c>
      <c r="AH668" s="544" t="s">
        <v>1674</v>
      </c>
      <c r="AI668" s="544" t="s">
        <v>1674</v>
      </c>
      <c r="AJ668" s="544" t="s">
        <v>1674</v>
      </c>
      <c r="AK668" s="544" t="s">
        <v>1674</v>
      </c>
      <c r="AL668" s="544" t="s">
        <v>1674</v>
      </c>
      <c r="AM668" s="544" t="s">
        <v>2918</v>
      </c>
      <c r="AN668" s="544" t="s">
        <v>1674</v>
      </c>
      <c r="AP668" s="542">
        <f t="shared" si="21"/>
        <v>23</v>
      </c>
      <c r="AR668" s="552">
        <f t="shared" si="22"/>
        <v>0</v>
      </c>
    </row>
    <row r="669" spans="1:44" outlineLevel="1" x14ac:dyDescent="0.25">
      <c r="A669" s="544" t="s">
        <v>1674</v>
      </c>
      <c r="B669" s="545">
        <v>0</v>
      </c>
      <c r="C669" s="544" t="s">
        <v>1674</v>
      </c>
      <c r="D669" s="544" t="s">
        <v>3785</v>
      </c>
      <c r="E669" s="542" t="s">
        <v>3783</v>
      </c>
      <c r="F669" s="542" t="s">
        <v>3784</v>
      </c>
      <c r="G669" s="546">
        <v>8.15</v>
      </c>
      <c r="H669" s="546"/>
      <c r="I669" s="546"/>
      <c r="J669" s="542" t="s">
        <v>806</v>
      </c>
      <c r="K669" s="547">
        <v>8400</v>
      </c>
      <c r="L669" s="542" t="s">
        <v>806</v>
      </c>
      <c r="M669" s="548"/>
      <c r="N669" s="549">
        <v>-38</v>
      </c>
      <c r="O669" s="544" t="s">
        <v>1674</v>
      </c>
      <c r="P669" s="544" t="s">
        <v>1674</v>
      </c>
      <c r="Q669" s="544" t="s">
        <v>2921</v>
      </c>
      <c r="R669" s="544" t="s">
        <v>2617</v>
      </c>
      <c r="S669" s="544" t="s">
        <v>1674</v>
      </c>
      <c r="T669" s="550">
        <v>19</v>
      </c>
      <c r="U669" s="544" t="s">
        <v>3328</v>
      </c>
      <c r="V669" s="547">
        <v>1321</v>
      </c>
      <c r="W669" s="548"/>
      <c r="Y669" s="544" t="s">
        <v>1674</v>
      </c>
      <c r="AA669" s="544" t="s">
        <v>1674</v>
      </c>
      <c r="AE669" s="551"/>
      <c r="AF669" s="544" t="s">
        <v>1674</v>
      </c>
      <c r="AG669" s="544" t="s">
        <v>1674</v>
      </c>
      <c r="AH669" s="544" t="s">
        <v>1674</v>
      </c>
      <c r="AI669" s="544" t="s">
        <v>1674</v>
      </c>
      <c r="AJ669" s="544" t="s">
        <v>1674</v>
      </c>
      <c r="AK669" s="544" t="s">
        <v>1674</v>
      </c>
      <c r="AL669" s="544" t="s">
        <v>1674</v>
      </c>
      <c r="AM669" s="544" t="s">
        <v>1674</v>
      </c>
      <c r="AN669" s="544" t="s">
        <v>1674</v>
      </c>
      <c r="AP669" s="542">
        <f t="shared" si="21"/>
        <v>23</v>
      </c>
      <c r="AR669" s="552">
        <f t="shared" si="22"/>
        <v>0</v>
      </c>
    </row>
    <row r="670" spans="1:44" outlineLevel="1" x14ac:dyDescent="0.25">
      <c r="A670" s="544" t="s">
        <v>1674</v>
      </c>
      <c r="B670" s="545">
        <v>0</v>
      </c>
      <c r="C670" s="544" t="s">
        <v>1674</v>
      </c>
      <c r="D670" s="544" t="s">
        <v>3785</v>
      </c>
      <c r="E670" s="542" t="s">
        <v>3783</v>
      </c>
      <c r="F670" s="542" t="s">
        <v>3784</v>
      </c>
      <c r="G670" s="546">
        <v>2306.64</v>
      </c>
      <c r="H670" s="546"/>
      <c r="I670" s="546">
        <v>2469.25</v>
      </c>
      <c r="J670" s="542" t="s">
        <v>2701</v>
      </c>
      <c r="K670" s="547">
        <v>8401</v>
      </c>
      <c r="L670" s="542" t="s">
        <v>806</v>
      </c>
      <c r="M670" s="548"/>
      <c r="N670" s="549">
        <v>-38</v>
      </c>
      <c r="O670" s="544" t="s">
        <v>1674</v>
      </c>
      <c r="P670" s="544" t="s">
        <v>1674</v>
      </c>
      <c r="Q670" s="544" t="s">
        <v>2921</v>
      </c>
      <c r="R670" s="544" t="s">
        <v>1674</v>
      </c>
      <c r="S670" s="544" t="s">
        <v>1674</v>
      </c>
      <c r="T670" s="550">
        <v>19</v>
      </c>
      <c r="U670" s="544" t="s">
        <v>3328</v>
      </c>
      <c r="V670" s="547">
        <v>1322</v>
      </c>
      <c r="W670" s="548"/>
      <c r="Y670" s="544" t="s">
        <v>1674</v>
      </c>
      <c r="AA670" s="544" t="s">
        <v>1674</v>
      </c>
      <c r="AE670" s="551"/>
      <c r="AF670" s="544" t="s">
        <v>1674</v>
      </c>
      <c r="AG670" s="544" t="s">
        <v>1674</v>
      </c>
      <c r="AH670" s="544" t="s">
        <v>1674</v>
      </c>
      <c r="AI670" s="544" t="s">
        <v>1674</v>
      </c>
      <c r="AJ670" s="544" t="s">
        <v>1674</v>
      </c>
      <c r="AK670" s="544" t="s">
        <v>1674</v>
      </c>
      <c r="AL670" s="544" t="s">
        <v>1674</v>
      </c>
      <c r="AM670" s="544" t="s">
        <v>1674</v>
      </c>
      <c r="AN670" s="544" t="s">
        <v>1674</v>
      </c>
      <c r="AP670" s="542">
        <f t="shared" si="21"/>
        <v>23</v>
      </c>
      <c r="AR670" s="552">
        <f t="shared" si="22"/>
        <v>2469.25</v>
      </c>
    </row>
    <row r="671" spans="1:44" outlineLevel="1" x14ac:dyDescent="0.25">
      <c r="A671" s="544" t="s">
        <v>1674</v>
      </c>
      <c r="B671" s="545">
        <v>10808</v>
      </c>
      <c r="C671" s="544" t="s">
        <v>3786</v>
      </c>
      <c r="D671" s="544" t="s">
        <v>3787</v>
      </c>
      <c r="E671" s="542" t="s">
        <v>3783</v>
      </c>
      <c r="F671" s="542" t="s">
        <v>3784</v>
      </c>
      <c r="G671" s="546">
        <v>368.9</v>
      </c>
      <c r="H671" s="546"/>
      <c r="I671" s="546">
        <v>368.9</v>
      </c>
      <c r="J671" s="542" t="s">
        <v>2701</v>
      </c>
      <c r="K671" s="547">
        <v>8400</v>
      </c>
      <c r="L671" s="542" t="s">
        <v>806</v>
      </c>
      <c r="M671" s="548"/>
      <c r="N671" s="549">
        <v>-38</v>
      </c>
      <c r="O671" s="544" t="s">
        <v>1674</v>
      </c>
      <c r="P671" s="544" t="s">
        <v>1674</v>
      </c>
      <c r="Q671" s="544" t="s">
        <v>3788</v>
      </c>
      <c r="R671" s="544" t="s">
        <v>1674</v>
      </c>
      <c r="S671" s="544" t="s">
        <v>1674</v>
      </c>
      <c r="T671" s="550">
        <v>19</v>
      </c>
      <c r="U671" s="544" t="s">
        <v>3328</v>
      </c>
      <c r="V671" s="547">
        <v>1312</v>
      </c>
      <c r="W671" s="548"/>
      <c r="Y671" s="544" t="s">
        <v>1674</v>
      </c>
      <c r="AA671" s="544" t="s">
        <v>1674</v>
      </c>
      <c r="AE671" s="551"/>
      <c r="AF671" s="544" t="s">
        <v>1674</v>
      </c>
      <c r="AG671" s="544" t="s">
        <v>1674</v>
      </c>
      <c r="AH671" s="544" t="s">
        <v>1674</v>
      </c>
      <c r="AI671" s="544" t="s">
        <v>1674</v>
      </c>
      <c r="AJ671" s="544" t="s">
        <v>1674</v>
      </c>
      <c r="AK671" s="544" t="s">
        <v>1674</v>
      </c>
      <c r="AL671" s="544" t="s">
        <v>1674</v>
      </c>
      <c r="AM671" s="544" t="s">
        <v>3789</v>
      </c>
      <c r="AN671" s="544" t="s">
        <v>1674</v>
      </c>
      <c r="AP671" s="542">
        <f t="shared" si="21"/>
        <v>23</v>
      </c>
      <c r="AR671" s="552">
        <f t="shared" si="22"/>
        <v>368.9</v>
      </c>
    </row>
    <row r="672" spans="1:44" outlineLevel="1" x14ac:dyDescent="0.25">
      <c r="A672" s="544" t="s">
        <v>1674</v>
      </c>
      <c r="B672" s="545">
        <v>0</v>
      </c>
      <c r="C672" s="544" t="s">
        <v>1674</v>
      </c>
      <c r="D672" s="544" t="s">
        <v>3790</v>
      </c>
      <c r="E672" s="542" t="s">
        <v>3783</v>
      </c>
      <c r="F672" s="542" t="s">
        <v>3784</v>
      </c>
      <c r="G672" s="546">
        <v>355.43</v>
      </c>
      <c r="H672" s="546"/>
      <c r="I672" s="546"/>
      <c r="J672" s="542" t="s">
        <v>806</v>
      </c>
      <c r="K672" s="547">
        <v>8400</v>
      </c>
      <c r="L672" s="542" t="s">
        <v>806</v>
      </c>
      <c r="M672" s="548"/>
      <c r="N672" s="549">
        <v>-38</v>
      </c>
      <c r="O672" s="544" t="s">
        <v>1674</v>
      </c>
      <c r="P672" s="544" t="s">
        <v>1674</v>
      </c>
      <c r="Q672" s="544" t="s">
        <v>3788</v>
      </c>
      <c r="R672" s="544" t="s">
        <v>1674</v>
      </c>
      <c r="S672" s="544" t="s">
        <v>1674</v>
      </c>
      <c r="T672" s="550">
        <v>19</v>
      </c>
      <c r="U672" s="544" t="s">
        <v>3328</v>
      </c>
      <c r="V672" s="547">
        <v>1327</v>
      </c>
      <c r="W672" s="548"/>
      <c r="Y672" s="544" t="s">
        <v>1674</v>
      </c>
      <c r="AA672" s="544" t="s">
        <v>1674</v>
      </c>
      <c r="AE672" s="551"/>
      <c r="AF672" s="544" t="s">
        <v>1674</v>
      </c>
      <c r="AG672" s="544" t="s">
        <v>1674</v>
      </c>
      <c r="AH672" s="544" t="s">
        <v>1674</v>
      </c>
      <c r="AI672" s="544" t="s">
        <v>1674</v>
      </c>
      <c r="AJ672" s="544" t="s">
        <v>1674</v>
      </c>
      <c r="AK672" s="544" t="s">
        <v>1674</v>
      </c>
      <c r="AL672" s="544" t="s">
        <v>1674</v>
      </c>
      <c r="AM672" s="544" t="s">
        <v>1674</v>
      </c>
      <c r="AN672" s="544" t="s">
        <v>1674</v>
      </c>
      <c r="AP672" s="542">
        <f t="shared" ref="AP672:AP735" si="23">IF(F672&lt;&gt;0,($AP$2-$F672)*-1,0)</f>
        <v>23</v>
      </c>
      <c r="AR672" s="552">
        <f t="shared" si="22"/>
        <v>0</v>
      </c>
    </row>
    <row r="673" spans="1:44" outlineLevel="1" x14ac:dyDescent="0.25">
      <c r="A673" s="544" t="s">
        <v>1674</v>
      </c>
      <c r="B673" s="545">
        <v>0</v>
      </c>
      <c r="C673" s="544" t="s">
        <v>1674</v>
      </c>
      <c r="D673" s="544" t="s">
        <v>3790</v>
      </c>
      <c r="E673" s="542" t="s">
        <v>3783</v>
      </c>
      <c r="F673" s="542" t="s">
        <v>3784</v>
      </c>
      <c r="G673" s="546">
        <v>18.71</v>
      </c>
      <c r="H673" s="546"/>
      <c r="I673" s="546"/>
      <c r="J673" s="542" t="s">
        <v>806</v>
      </c>
      <c r="K673" s="547">
        <v>8400</v>
      </c>
      <c r="L673" s="542" t="s">
        <v>806</v>
      </c>
      <c r="M673" s="548"/>
      <c r="N673" s="549">
        <v>-38</v>
      </c>
      <c r="O673" s="544" t="s">
        <v>1674</v>
      </c>
      <c r="P673" s="544" t="s">
        <v>1674</v>
      </c>
      <c r="Q673" s="544" t="s">
        <v>3788</v>
      </c>
      <c r="R673" s="544" t="s">
        <v>2617</v>
      </c>
      <c r="S673" s="544" t="s">
        <v>1674</v>
      </c>
      <c r="T673" s="550">
        <v>19</v>
      </c>
      <c r="U673" s="544" t="s">
        <v>3328</v>
      </c>
      <c r="V673" s="547">
        <v>1328</v>
      </c>
      <c r="W673" s="548"/>
      <c r="Y673" s="544" t="s">
        <v>1674</v>
      </c>
      <c r="AA673" s="544" t="s">
        <v>1674</v>
      </c>
      <c r="AE673" s="551"/>
      <c r="AF673" s="544" t="s">
        <v>1674</v>
      </c>
      <c r="AG673" s="544" t="s">
        <v>1674</v>
      </c>
      <c r="AH673" s="544" t="s">
        <v>1674</v>
      </c>
      <c r="AI673" s="544" t="s">
        <v>1674</v>
      </c>
      <c r="AJ673" s="544" t="s">
        <v>1674</v>
      </c>
      <c r="AK673" s="544" t="s">
        <v>1674</v>
      </c>
      <c r="AL673" s="544" t="s">
        <v>1674</v>
      </c>
      <c r="AM673" s="544" t="s">
        <v>1674</v>
      </c>
      <c r="AN673" s="544" t="s">
        <v>1674</v>
      </c>
      <c r="AP673" s="542">
        <f t="shared" si="23"/>
        <v>23</v>
      </c>
      <c r="AR673" s="552">
        <f t="shared" si="22"/>
        <v>0</v>
      </c>
    </row>
    <row r="674" spans="1:44" outlineLevel="1" x14ac:dyDescent="0.25">
      <c r="A674" s="544" t="s">
        <v>1674</v>
      </c>
      <c r="B674" s="545">
        <v>0</v>
      </c>
      <c r="C674" s="544" t="s">
        <v>1674</v>
      </c>
      <c r="D674" s="544" t="s">
        <v>3790</v>
      </c>
      <c r="E674" s="542" t="s">
        <v>3783</v>
      </c>
      <c r="F674" s="542" t="s">
        <v>3784</v>
      </c>
      <c r="G674" s="546">
        <v>5309.3</v>
      </c>
      <c r="H674" s="546"/>
      <c r="I674" s="546">
        <v>5683.44</v>
      </c>
      <c r="J674" s="542" t="s">
        <v>2701</v>
      </c>
      <c r="K674" s="547">
        <v>8401</v>
      </c>
      <c r="L674" s="542" t="s">
        <v>806</v>
      </c>
      <c r="M674" s="548"/>
      <c r="N674" s="549">
        <v>-38</v>
      </c>
      <c r="O674" s="544" t="s">
        <v>1674</v>
      </c>
      <c r="P674" s="544" t="s">
        <v>1674</v>
      </c>
      <c r="Q674" s="544" t="s">
        <v>3788</v>
      </c>
      <c r="R674" s="544" t="s">
        <v>1674</v>
      </c>
      <c r="S674" s="544" t="s">
        <v>1674</v>
      </c>
      <c r="T674" s="550">
        <v>19</v>
      </c>
      <c r="U674" s="544" t="s">
        <v>3328</v>
      </c>
      <c r="V674" s="547">
        <v>1329</v>
      </c>
      <c r="W674" s="548"/>
      <c r="Y674" s="544" t="s">
        <v>1674</v>
      </c>
      <c r="AA674" s="544" t="s">
        <v>1674</v>
      </c>
      <c r="AE674" s="551"/>
      <c r="AF674" s="544" t="s">
        <v>1674</v>
      </c>
      <c r="AG674" s="544" t="s">
        <v>1674</v>
      </c>
      <c r="AH674" s="544" t="s">
        <v>1674</v>
      </c>
      <c r="AI674" s="544" t="s">
        <v>1674</v>
      </c>
      <c r="AJ674" s="544" t="s">
        <v>1674</v>
      </c>
      <c r="AK674" s="544" t="s">
        <v>1674</v>
      </c>
      <c r="AL674" s="544" t="s">
        <v>1674</v>
      </c>
      <c r="AM674" s="544" t="s">
        <v>1674</v>
      </c>
      <c r="AN674" s="544" t="s">
        <v>1674</v>
      </c>
      <c r="AP674" s="542">
        <f t="shared" si="23"/>
        <v>23</v>
      </c>
      <c r="AR674" s="552">
        <f t="shared" si="22"/>
        <v>5683.44</v>
      </c>
    </row>
    <row r="675" spans="1:44" outlineLevel="1" x14ac:dyDescent="0.25">
      <c r="A675" s="544" t="s">
        <v>1674</v>
      </c>
      <c r="B675" s="545">
        <v>11106</v>
      </c>
      <c r="C675" s="544" t="s">
        <v>3024</v>
      </c>
      <c r="D675" s="544" t="s">
        <v>3791</v>
      </c>
      <c r="E675" s="542" t="s">
        <v>3783</v>
      </c>
      <c r="F675" s="542" t="s">
        <v>3784</v>
      </c>
      <c r="G675" s="546">
        <v>171.36</v>
      </c>
      <c r="H675" s="546"/>
      <c r="I675" s="546">
        <v>171.36</v>
      </c>
      <c r="J675" s="542" t="s">
        <v>2701</v>
      </c>
      <c r="K675" s="547">
        <v>8400</v>
      </c>
      <c r="L675" s="542" t="s">
        <v>806</v>
      </c>
      <c r="M675" s="548"/>
      <c r="N675" s="549">
        <v>-38</v>
      </c>
      <c r="O675" s="544" t="s">
        <v>1674</v>
      </c>
      <c r="P675" s="544" t="s">
        <v>1674</v>
      </c>
      <c r="Q675" s="544" t="s">
        <v>3026</v>
      </c>
      <c r="R675" s="544" t="s">
        <v>1674</v>
      </c>
      <c r="S675" s="544" t="s">
        <v>1674</v>
      </c>
      <c r="T675" s="550">
        <v>19</v>
      </c>
      <c r="U675" s="544" t="s">
        <v>3328</v>
      </c>
      <c r="V675" s="547">
        <v>1310</v>
      </c>
      <c r="W675" s="548"/>
      <c r="Y675" s="544" t="s">
        <v>1674</v>
      </c>
      <c r="AA675" s="544" t="s">
        <v>1674</v>
      </c>
      <c r="AE675" s="551"/>
      <c r="AF675" s="544" t="s">
        <v>1674</v>
      </c>
      <c r="AG675" s="544" t="s">
        <v>1674</v>
      </c>
      <c r="AH675" s="544" t="s">
        <v>1674</v>
      </c>
      <c r="AI675" s="544" t="s">
        <v>1674</v>
      </c>
      <c r="AJ675" s="544" t="s">
        <v>1674</v>
      </c>
      <c r="AK675" s="544" t="s">
        <v>1674</v>
      </c>
      <c r="AL675" s="544" t="s">
        <v>1674</v>
      </c>
      <c r="AM675" s="544" t="s">
        <v>3027</v>
      </c>
      <c r="AN675" s="544" t="s">
        <v>1674</v>
      </c>
      <c r="AP675" s="542">
        <f t="shared" si="23"/>
        <v>23</v>
      </c>
      <c r="AR675" s="552">
        <f t="shared" si="22"/>
        <v>171.36</v>
      </c>
    </row>
    <row r="676" spans="1:44" outlineLevel="1" x14ac:dyDescent="0.25">
      <c r="A676" s="544" t="s">
        <v>1674</v>
      </c>
      <c r="B676" s="545">
        <v>0</v>
      </c>
      <c r="C676" s="544" t="s">
        <v>1674</v>
      </c>
      <c r="D676" s="544" t="s">
        <v>3792</v>
      </c>
      <c r="E676" s="542" t="s">
        <v>3783</v>
      </c>
      <c r="F676" s="542" t="s">
        <v>3784</v>
      </c>
      <c r="G676" s="546">
        <v>4450.6000000000004</v>
      </c>
      <c r="H676" s="546"/>
      <c r="I676" s="546">
        <v>4450.6000000000004</v>
      </c>
      <c r="J676" s="542" t="s">
        <v>2701</v>
      </c>
      <c r="K676" s="547">
        <v>8401</v>
      </c>
      <c r="L676" s="542" t="s">
        <v>806</v>
      </c>
      <c r="M676" s="548"/>
      <c r="N676" s="549">
        <v>-38</v>
      </c>
      <c r="O676" s="544" t="s">
        <v>1674</v>
      </c>
      <c r="P676" s="544" t="s">
        <v>1674</v>
      </c>
      <c r="Q676" s="544" t="s">
        <v>3026</v>
      </c>
      <c r="R676" s="544" t="s">
        <v>1674</v>
      </c>
      <c r="S676" s="544" t="s">
        <v>1674</v>
      </c>
      <c r="T676" s="550">
        <v>19</v>
      </c>
      <c r="U676" s="544" t="s">
        <v>3328</v>
      </c>
      <c r="V676" s="547">
        <v>1326</v>
      </c>
      <c r="W676" s="548"/>
      <c r="Y676" s="544" t="s">
        <v>1674</v>
      </c>
      <c r="AA676" s="544" t="s">
        <v>1674</v>
      </c>
      <c r="AE676" s="551"/>
      <c r="AF676" s="544" t="s">
        <v>1674</v>
      </c>
      <c r="AG676" s="544" t="s">
        <v>1674</v>
      </c>
      <c r="AH676" s="544" t="s">
        <v>1674</v>
      </c>
      <c r="AI676" s="544" t="s">
        <v>1674</v>
      </c>
      <c r="AJ676" s="544" t="s">
        <v>1674</v>
      </c>
      <c r="AK676" s="544" t="s">
        <v>1674</v>
      </c>
      <c r="AL676" s="544" t="s">
        <v>1674</v>
      </c>
      <c r="AM676" s="544" t="s">
        <v>1674</v>
      </c>
      <c r="AN676" s="544" t="s">
        <v>1674</v>
      </c>
      <c r="AP676" s="542">
        <f t="shared" si="23"/>
        <v>23</v>
      </c>
      <c r="AR676" s="552">
        <f t="shared" si="22"/>
        <v>4450.6000000000004</v>
      </c>
    </row>
    <row r="677" spans="1:44" outlineLevel="1" x14ac:dyDescent="0.25">
      <c r="A677" s="544" t="s">
        <v>1674</v>
      </c>
      <c r="B677" s="545">
        <v>11305</v>
      </c>
      <c r="C677" s="544" t="s">
        <v>2636</v>
      </c>
      <c r="D677" s="544" t="s">
        <v>3793</v>
      </c>
      <c r="E677" s="542" t="s">
        <v>3783</v>
      </c>
      <c r="F677" s="542" t="s">
        <v>3784</v>
      </c>
      <c r="G677" s="546">
        <v>3153.5</v>
      </c>
      <c r="H677" s="546"/>
      <c r="I677" s="546">
        <v>3153.5</v>
      </c>
      <c r="J677" s="542" t="s">
        <v>2701</v>
      </c>
      <c r="K677" s="547">
        <v>8400</v>
      </c>
      <c r="L677" s="542" t="s">
        <v>806</v>
      </c>
      <c r="M677" s="548"/>
      <c r="N677" s="549">
        <v>-38</v>
      </c>
      <c r="O677" s="544" t="s">
        <v>1674</v>
      </c>
      <c r="P677" s="544" t="s">
        <v>1674</v>
      </c>
      <c r="Q677" s="544" t="s">
        <v>2639</v>
      </c>
      <c r="R677" s="544" t="s">
        <v>1674</v>
      </c>
      <c r="S677" s="544" t="s">
        <v>1674</v>
      </c>
      <c r="T677" s="550">
        <v>19</v>
      </c>
      <c r="U677" s="544" t="s">
        <v>3328</v>
      </c>
      <c r="V677" s="547">
        <v>1323</v>
      </c>
      <c r="W677" s="548"/>
      <c r="Y677" s="544" t="s">
        <v>1674</v>
      </c>
      <c r="AA677" s="544" t="s">
        <v>1674</v>
      </c>
      <c r="AE677" s="551"/>
      <c r="AF677" s="544" t="s">
        <v>1674</v>
      </c>
      <c r="AG677" s="544" t="s">
        <v>1674</v>
      </c>
      <c r="AH677" s="544" t="s">
        <v>1674</v>
      </c>
      <c r="AI677" s="544" t="s">
        <v>1674</v>
      </c>
      <c r="AJ677" s="544" t="s">
        <v>1674</v>
      </c>
      <c r="AK677" s="544" t="s">
        <v>1674</v>
      </c>
      <c r="AL677" s="544" t="s">
        <v>1674</v>
      </c>
      <c r="AM677" s="544" t="s">
        <v>2641</v>
      </c>
      <c r="AN677" s="544" t="s">
        <v>1674</v>
      </c>
      <c r="AP677" s="542">
        <f t="shared" si="23"/>
        <v>23</v>
      </c>
      <c r="AR677" s="552">
        <f t="shared" si="22"/>
        <v>3153.5</v>
      </c>
    </row>
    <row r="678" spans="1:44" outlineLevel="1" x14ac:dyDescent="0.25">
      <c r="A678" s="544" t="s">
        <v>1674</v>
      </c>
      <c r="B678" s="545">
        <v>11401</v>
      </c>
      <c r="C678" s="544" t="s">
        <v>3043</v>
      </c>
      <c r="D678" s="544" t="s">
        <v>3794</v>
      </c>
      <c r="E678" s="542" t="s">
        <v>3783</v>
      </c>
      <c r="F678" s="542" t="s">
        <v>3784</v>
      </c>
      <c r="G678" s="546">
        <v>420.67</v>
      </c>
      <c r="H678" s="546"/>
      <c r="I678" s="546">
        <v>420.67</v>
      </c>
      <c r="J678" s="542" t="s">
        <v>2701</v>
      </c>
      <c r="K678" s="547">
        <v>8400</v>
      </c>
      <c r="L678" s="542" t="s">
        <v>806</v>
      </c>
      <c r="M678" s="548"/>
      <c r="N678" s="549">
        <v>-38</v>
      </c>
      <c r="O678" s="544" t="s">
        <v>1674</v>
      </c>
      <c r="P678" s="544" t="s">
        <v>1674</v>
      </c>
      <c r="Q678" s="544" t="s">
        <v>3045</v>
      </c>
      <c r="R678" s="544" t="s">
        <v>1674</v>
      </c>
      <c r="S678" s="544" t="s">
        <v>1674</v>
      </c>
      <c r="T678" s="550">
        <v>19</v>
      </c>
      <c r="U678" s="544" t="s">
        <v>3328</v>
      </c>
      <c r="V678" s="547">
        <v>1313</v>
      </c>
      <c r="W678" s="548"/>
      <c r="Y678" s="544" t="s">
        <v>1674</v>
      </c>
      <c r="AA678" s="544" t="s">
        <v>1674</v>
      </c>
      <c r="AE678" s="551"/>
      <c r="AF678" s="544" t="s">
        <v>3046</v>
      </c>
      <c r="AG678" s="544" t="s">
        <v>3047</v>
      </c>
      <c r="AH678" s="544" t="s">
        <v>3048</v>
      </c>
      <c r="AI678" s="544" t="s">
        <v>1674</v>
      </c>
      <c r="AJ678" s="544" t="s">
        <v>3049</v>
      </c>
      <c r="AK678" s="544" t="s">
        <v>1674</v>
      </c>
      <c r="AL678" s="544" t="s">
        <v>1674</v>
      </c>
      <c r="AM678" s="544" t="s">
        <v>3050</v>
      </c>
      <c r="AN678" s="544" t="s">
        <v>1674</v>
      </c>
      <c r="AP678" s="542">
        <f t="shared" si="23"/>
        <v>23</v>
      </c>
      <c r="AR678" s="552">
        <f t="shared" si="22"/>
        <v>420.67</v>
      </c>
    </row>
    <row r="679" spans="1:44" outlineLevel="1" x14ac:dyDescent="0.25">
      <c r="A679" s="544" t="s">
        <v>1674</v>
      </c>
      <c r="B679" s="545">
        <v>11602</v>
      </c>
      <c r="C679" s="544" t="s">
        <v>2758</v>
      </c>
      <c r="D679" s="544" t="s">
        <v>3795</v>
      </c>
      <c r="E679" s="542" t="s">
        <v>3783</v>
      </c>
      <c r="F679" s="542" t="s">
        <v>3784</v>
      </c>
      <c r="G679" s="546">
        <v>294.88</v>
      </c>
      <c r="H679" s="546"/>
      <c r="I679" s="546"/>
      <c r="J679" s="542" t="s">
        <v>806</v>
      </c>
      <c r="K679" s="547">
        <v>8400</v>
      </c>
      <c r="L679" s="542" t="s">
        <v>806</v>
      </c>
      <c r="M679" s="548"/>
      <c r="N679" s="549">
        <v>-38</v>
      </c>
      <c r="O679" s="544" t="s">
        <v>1674</v>
      </c>
      <c r="P679" s="544" t="s">
        <v>1674</v>
      </c>
      <c r="Q679" s="544" t="s">
        <v>2761</v>
      </c>
      <c r="R679" s="544" t="s">
        <v>2622</v>
      </c>
      <c r="S679" s="544" t="s">
        <v>1674</v>
      </c>
      <c r="T679" s="550">
        <v>19</v>
      </c>
      <c r="U679" s="544" t="s">
        <v>3328</v>
      </c>
      <c r="V679" s="547">
        <v>1317</v>
      </c>
      <c r="W679" s="548"/>
      <c r="Y679" s="544" t="s">
        <v>1674</v>
      </c>
      <c r="AA679" s="544" t="s">
        <v>1674</v>
      </c>
      <c r="AE679" s="551"/>
      <c r="AF679" s="544" t="s">
        <v>1674</v>
      </c>
      <c r="AG679" s="544" t="s">
        <v>1674</v>
      </c>
      <c r="AH679" s="544" t="s">
        <v>1674</v>
      </c>
      <c r="AI679" s="544" t="s">
        <v>1674</v>
      </c>
      <c r="AJ679" s="544" t="s">
        <v>1674</v>
      </c>
      <c r="AK679" s="544" t="s">
        <v>1674</v>
      </c>
      <c r="AL679" s="544" t="s">
        <v>1674</v>
      </c>
      <c r="AM679" s="544" t="s">
        <v>2762</v>
      </c>
      <c r="AN679" s="544" t="s">
        <v>1674</v>
      </c>
      <c r="AP679" s="542">
        <f t="shared" si="23"/>
        <v>23</v>
      </c>
      <c r="AR679" s="552">
        <f t="shared" si="22"/>
        <v>0</v>
      </c>
    </row>
    <row r="680" spans="1:44" outlineLevel="1" x14ac:dyDescent="0.25">
      <c r="A680" s="544" t="s">
        <v>1674</v>
      </c>
      <c r="B680" s="545">
        <v>0</v>
      </c>
      <c r="C680" s="544" t="s">
        <v>1674</v>
      </c>
      <c r="D680" s="544" t="s">
        <v>3795</v>
      </c>
      <c r="E680" s="542" t="s">
        <v>3783</v>
      </c>
      <c r="F680" s="542" t="s">
        <v>3784</v>
      </c>
      <c r="G680" s="546">
        <v>482.9</v>
      </c>
      <c r="H680" s="546"/>
      <c r="I680" s="546">
        <v>777.78</v>
      </c>
      <c r="J680" s="542" t="s">
        <v>2701</v>
      </c>
      <c r="K680" s="547">
        <v>8400</v>
      </c>
      <c r="L680" s="542" t="s">
        <v>806</v>
      </c>
      <c r="M680" s="548"/>
      <c r="N680" s="549">
        <v>-38</v>
      </c>
      <c r="O680" s="544" t="s">
        <v>1674</v>
      </c>
      <c r="P680" s="544" t="s">
        <v>1674</v>
      </c>
      <c r="Q680" s="544" t="s">
        <v>2761</v>
      </c>
      <c r="R680" s="544" t="s">
        <v>1674</v>
      </c>
      <c r="S680" s="544" t="s">
        <v>1674</v>
      </c>
      <c r="T680" s="550">
        <v>19</v>
      </c>
      <c r="U680" s="544" t="s">
        <v>3328</v>
      </c>
      <c r="V680" s="547">
        <v>1318</v>
      </c>
      <c r="W680" s="548"/>
      <c r="Y680" s="544" t="s">
        <v>1674</v>
      </c>
      <c r="AA680" s="544" t="s">
        <v>1674</v>
      </c>
      <c r="AE680" s="551"/>
      <c r="AF680" s="544" t="s">
        <v>1674</v>
      </c>
      <c r="AG680" s="544" t="s">
        <v>1674</v>
      </c>
      <c r="AH680" s="544" t="s">
        <v>1674</v>
      </c>
      <c r="AI680" s="544" t="s">
        <v>1674</v>
      </c>
      <c r="AJ680" s="544" t="s">
        <v>1674</v>
      </c>
      <c r="AK680" s="544" t="s">
        <v>1674</v>
      </c>
      <c r="AL680" s="544" t="s">
        <v>1674</v>
      </c>
      <c r="AM680" s="544" t="s">
        <v>1674</v>
      </c>
      <c r="AN680" s="544" t="s">
        <v>1674</v>
      </c>
      <c r="AP680" s="542">
        <f t="shared" si="23"/>
        <v>23</v>
      </c>
      <c r="AR680" s="552">
        <f t="shared" si="22"/>
        <v>777.78</v>
      </c>
    </row>
    <row r="681" spans="1:44" outlineLevel="1" x14ac:dyDescent="0.25">
      <c r="A681" s="544" t="s">
        <v>1674</v>
      </c>
      <c r="B681" s="545">
        <v>11800</v>
      </c>
      <c r="C681" s="544" t="s">
        <v>2581</v>
      </c>
      <c r="D681" s="544" t="s">
        <v>3796</v>
      </c>
      <c r="E681" s="542" t="s">
        <v>3783</v>
      </c>
      <c r="F681" s="542" t="s">
        <v>3784</v>
      </c>
      <c r="G681" s="546">
        <v>27286.22</v>
      </c>
      <c r="H681" s="546"/>
      <c r="I681" s="546">
        <v>27286.22</v>
      </c>
      <c r="J681" s="542" t="s">
        <v>2701</v>
      </c>
      <c r="K681" s="547">
        <v>8400</v>
      </c>
      <c r="L681" s="542" t="s">
        <v>806</v>
      </c>
      <c r="M681" s="548"/>
      <c r="N681" s="549">
        <v>-38</v>
      </c>
      <c r="O681" s="544" t="s">
        <v>1674</v>
      </c>
      <c r="P681" s="544" t="s">
        <v>1674</v>
      </c>
      <c r="Q681" s="544" t="s">
        <v>3676</v>
      </c>
      <c r="R681" s="544" t="s">
        <v>1674</v>
      </c>
      <c r="S681" s="544" t="s">
        <v>1674</v>
      </c>
      <c r="T681" s="550">
        <v>19</v>
      </c>
      <c r="U681" s="544" t="s">
        <v>3328</v>
      </c>
      <c r="V681" s="547">
        <v>1333</v>
      </c>
      <c r="W681" s="548"/>
      <c r="Y681" s="544" t="s">
        <v>1674</v>
      </c>
      <c r="AA681" s="544" t="s">
        <v>1674</v>
      </c>
      <c r="AE681" s="551"/>
      <c r="AF681" s="544" t="s">
        <v>1674</v>
      </c>
      <c r="AG681" s="544" t="s">
        <v>1674</v>
      </c>
      <c r="AH681" s="544" t="s">
        <v>1674</v>
      </c>
      <c r="AI681" s="544" t="s">
        <v>1674</v>
      </c>
      <c r="AJ681" s="544" t="s">
        <v>1674</v>
      </c>
      <c r="AK681" s="544" t="s">
        <v>1674</v>
      </c>
      <c r="AL681" s="544" t="s">
        <v>1674</v>
      </c>
      <c r="AM681" s="544" t="s">
        <v>2581</v>
      </c>
      <c r="AN681" s="544" t="s">
        <v>1674</v>
      </c>
      <c r="AP681" s="542">
        <f t="shared" si="23"/>
        <v>23</v>
      </c>
      <c r="AR681" s="552">
        <f t="shared" si="22"/>
        <v>27286.22</v>
      </c>
    </row>
    <row r="682" spans="1:44" outlineLevel="1" x14ac:dyDescent="0.25">
      <c r="A682" s="544" t="s">
        <v>1674</v>
      </c>
      <c r="B682" s="545">
        <v>20206</v>
      </c>
      <c r="C682" s="544" t="s">
        <v>2793</v>
      </c>
      <c r="D682" s="544" t="s">
        <v>3797</v>
      </c>
      <c r="E682" s="542" t="s">
        <v>3783</v>
      </c>
      <c r="F682" s="542" t="s">
        <v>3784</v>
      </c>
      <c r="G682" s="546">
        <v>660</v>
      </c>
      <c r="H682" s="546"/>
      <c r="I682" s="546"/>
      <c r="J682" s="542" t="s">
        <v>806</v>
      </c>
      <c r="K682" s="547">
        <v>8125</v>
      </c>
      <c r="L682" s="542" t="s">
        <v>806</v>
      </c>
      <c r="M682" s="548"/>
      <c r="N682" s="549">
        <v>-38</v>
      </c>
      <c r="O682" s="544" t="s">
        <v>1674</v>
      </c>
      <c r="P682" s="544" t="s">
        <v>1674</v>
      </c>
      <c r="Q682" s="544" t="s">
        <v>2796</v>
      </c>
      <c r="R682" s="544" t="s">
        <v>2984</v>
      </c>
      <c r="S682" s="544" t="s">
        <v>1674</v>
      </c>
      <c r="T682" s="550"/>
      <c r="U682" s="544" t="s">
        <v>3328</v>
      </c>
      <c r="V682" s="547">
        <v>1315</v>
      </c>
      <c r="W682" s="548"/>
      <c r="Y682" s="544" t="s">
        <v>1674</v>
      </c>
      <c r="AA682" s="544" t="s">
        <v>1674</v>
      </c>
      <c r="AE682" s="551"/>
      <c r="AF682" s="544" t="s">
        <v>1674</v>
      </c>
      <c r="AG682" s="544" t="s">
        <v>1674</v>
      </c>
      <c r="AH682" s="544" t="s">
        <v>1674</v>
      </c>
      <c r="AI682" s="544" t="s">
        <v>1674</v>
      </c>
      <c r="AJ682" s="544" t="s">
        <v>1674</v>
      </c>
      <c r="AK682" s="544" t="s">
        <v>1674</v>
      </c>
      <c r="AL682" s="544" t="s">
        <v>1674</v>
      </c>
      <c r="AM682" s="544" t="s">
        <v>2798</v>
      </c>
      <c r="AN682" s="544" t="s">
        <v>1674</v>
      </c>
      <c r="AP682" s="542">
        <f t="shared" si="23"/>
        <v>23</v>
      </c>
      <c r="AR682" s="552">
        <f t="shared" si="22"/>
        <v>0</v>
      </c>
    </row>
    <row r="683" spans="1:44" outlineLevel="1" x14ac:dyDescent="0.25">
      <c r="A683" s="544" t="s">
        <v>1674</v>
      </c>
      <c r="B683" s="545">
        <v>0</v>
      </c>
      <c r="C683" s="544" t="s">
        <v>1674</v>
      </c>
      <c r="D683" s="544" t="s">
        <v>3797</v>
      </c>
      <c r="E683" s="542" t="s">
        <v>3783</v>
      </c>
      <c r="F683" s="542" t="s">
        <v>3784</v>
      </c>
      <c r="G683" s="546">
        <v>25</v>
      </c>
      <c r="H683" s="546"/>
      <c r="I683" s="546">
        <v>685</v>
      </c>
      <c r="J683" s="542" t="s">
        <v>2701</v>
      </c>
      <c r="K683" s="547">
        <v>8125</v>
      </c>
      <c r="L683" s="542" t="s">
        <v>806</v>
      </c>
      <c r="M683" s="548"/>
      <c r="N683" s="549">
        <v>-38</v>
      </c>
      <c r="O683" s="544" t="s">
        <v>1674</v>
      </c>
      <c r="P683" s="544" t="s">
        <v>1674</v>
      </c>
      <c r="Q683" s="544" t="s">
        <v>2801</v>
      </c>
      <c r="R683" s="544" t="s">
        <v>1674</v>
      </c>
      <c r="S683" s="544" t="s">
        <v>1674</v>
      </c>
      <c r="T683" s="550"/>
      <c r="U683" s="544" t="s">
        <v>3328</v>
      </c>
      <c r="V683" s="547">
        <v>1316</v>
      </c>
      <c r="W683" s="548"/>
      <c r="Y683" s="544" t="s">
        <v>1674</v>
      </c>
      <c r="AA683" s="544" t="s">
        <v>1674</v>
      </c>
      <c r="AE683" s="551"/>
      <c r="AF683" s="544" t="s">
        <v>1674</v>
      </c>
      <c r="AG683" s="544" t="s">
        <v>1674</v>
      </c>
      <c r="AH683" s="544" t="s">
        <v>1674</v>
      </c>
      <c r="AI683" s="544" t="s">
        <v>1674</v>
      </c>
      <c r="AJ683" s="544" t="s">
        <v>1674</v>
      </c>
      <c r="AK683" s="544" t="s">
        <v>1674</v>
      </c>
      <c r="AL683" s="544" t="s">
        <v>1674</v>
      </c>
      <c r="AM683" s="544" t="s">
        <v>1674</v>
      </c>
      <c r="AN683" s="544" t="s">
        <v>1674</v>
      </c>
      <c r="AP683" s="542">
        <f t="shared" si="23"/>
        <v>23</v>
      </c>
      <c r="AR683" s="552">
        <f t="shared" si="22"/>
        <v>685</v>
      </c>
    </row>
    <row r="684" spans="1:44" outlineLevel="1" x14ac:dyDescent="0.25">
      <c r="A684" s="544" t="s">
        <v>1674</v>
      </c>
      <c r="B684" s="545">
        <v>0</v>
      </c>
      <c r="C684" s="544" t="s">
        <v>1674</v>
      </c>
      <c r="D684" s="544" t="s">
        <v>3798</v>
      </c>
      <c r="E684" s="542" t="s">
        <v>3783</v>
      </c>
      <c r="F684" s="542" t="s">
        <v>3784</v>
      </c>
      <c r="G684" s="546">
        <v>1000</v>
      </c>
      <c r="H684" s="546"/>
      <c r="I684" s="546">
        <v>1000</v>
      </c>
      <c r="J684" s="542" t="s">
        <v>2701</v>
      </c>
      <c r="K684" s="547">
        <v>8125</v>
      </c>
      <c r="L684" s="542" t="s">
        <v>806</v>
      </c>
      <c r="M684" s="548"/>
      <c r="N684" s="549">
        <v>-38</v>
      </c>
      <c r="O684" s="544" t="s">
        <v>1674</v>
      </c>
      <c r="P684" s="544" t="s">
        <v>1674</v>
      </c>
      <c r="Q684" s="544" t="s">
        <v>2796</v>
      </c>
      <c r="R684" s="544" t="s">
        <v>1674</v>
      </c>
      <c r="S684" s="544" t="s">
        <v>1674</v>
      </c>
      <c r="T684" s="550"/>
      <c r="U684" s="544" t="s">
        <v>3328</v>
      </c>
      <c r="V684" s="547">
        <v>1319</v>
      </c>
      <c r="W684" s="548"/>
      <c r="Y684" s="544" t="s">
        <v>1674</v>
      </c>
      <c r="AA684" s="544" t="s">
        <v>1674</v>
      </c>
      <c r="AE684" s="551"/>
      <c r="AF684" s="544" t="s">
        <v>1674</v>
      </c>
      <c r="AG684" s="544" t="s">
        <v>1674</v>
      </c>
      <c r="AH684" s="544" t="s">
        <v>1674</v>
      </c>
      <c r="AI684" s="544" t="s">
        <v>1674</v>
      </c>
      <c r="AJ684" s="544" t="s">
        <v>1674</v>
      </c>
      <c r="AK684" s="544" t="s">
        <v>1674</v>
      </c>
      <c r="AL684" s="544" t="s">
        <v>1674</v>
      </c>
      <c r="AM684" s="544" t="s">
        <v>1674</v>
      </c>
      <c r="AN684" s="544" t="s">
        <v>1674</v>
      </c>
      <c r="AP684" s="542">
        <f t="shared" si="23"/>
        <v>23</v>
      </c>
      <c r="AR684" s="552">
        <f t="shared" si="22"/>
        <v>1000</v>
      </c>
    </row>
    <row r="685" spans="1:44" outlineLevel="1" x14ac:dyDescent="0.25">
      <c r="A685" s="544" t="s">
        <v>1674</v>
      </c>
      <c r="B685" s="545">
        <v>32002</v>
      </c>
      <c r="C685" s="544" t="s">
        <v>3799</v>
      </c>
      <c r="D685" s="544" t="s">
        <v>3800</v>
      </c>
      <c r="E685" s="542" t="s">
        <v>3783</v>
      </c>
      <c r="F685" s="542" t="s">
        <v>3784</v>
      </c>
      <c r="G685" s="546">
        <v>3691.26</v>
      </c>
      <c r="H685" s="546"/>
      <c r="I685" s="546"/>
      <c r="J685" s="542" t="s">
        <v>806</v>
      </c>
      <c r="K685" s="547">
        <v>8120</v>
      </c>
      <c r="L685" s="542" t="s">
        <v>806</v>
      </c>
      <c r="M685" s="548"/>
      <c r="N685" s="549">
        <v>-38</v>
      </c>
      <c r="O685" s="544" t="s">
        <v>1674</v>
      </c>
      <c r="P685" s="544" t="s">
        <v>1674</v>
      </c>
      <c r="Q685" s="544" t="s">
        <v>3801</v>
      </c>
      <c r="R685" s="544" t="s">
        <v>1674</v>
      </c>
      <c r="S685" s="544" t="s">
        <v>1674</v>
      </c>
      <c r="T685" s="550"/>
      <c r="U685" s="544" t="s">
        <v>3328</v>
      </c>
      <c r="V685" s="547">
        <v>1324</v>
      </c>
      <c r="W685" s="548"/>
      <c r="Y685" s="544" t="s">
        <v>1674</v>
      </c>
      <c r="AA685" s="544" t="s">
        <v>1674</v>
      </c>
      <c r="AE685" s="551"/>
      <c r="AF685" s="544" t="s">
        <v>1674</v>
      </c>
      <c r="AG685" s="544" t="s">
        <v>1674</v>
      </c>
      <c r="AH685" s="544" t="s">
        <v>1674</v>
      </c>
      <c r="AI685" s="544" t="s">
        <v>1674</v>
      </c>
      <c r="AJ685" s="544" t="s">
        <v>1674</v>
      </c>
      <c r="AK685" s="544" t="s">
        <v>1674</v>
      </c>
      <c r="AL685" s="544" t="s">
        <v>1674</v>
      </c>
      <c r="AM685" s="544" t="s">
        <v>3802</v>
      </c>
      <c r="AN685" s="544" t="s">
        <v>1674</v>
      </c>
      <c r="AP685" s="542">
        <f t="shared" si="23"/>
        <v>23</v>
      </c>
      <c r="AR685" s="552">
        <f t="shared" si="22"/>
        <v>0</v>
      </c>
    </row>
    <row r="686" spans="1:44" outlineLevel="1" x14ac:dyDescent="0.25">
      <c r="A686" s="544" t="s">
        <v>1674</v>
      </c>
      <c r="B686" s="545">
        <v>0</v>
      </c>
      <c r="C686" s="544" t="s">
        <v>1674</v>
      </c>
      <c r="D686" s="544" t="s">
        <v>3800</v>
      </c>
      <c r="E686" s="542" t="s">
        <v>3783</v>
      </c>
      <c r="F686" s="542" t="s">
        <v>3784</v>
      </c>
      <c r="G686" s="546">
        <v>28.74</v>
      </c>
      <c r="H686" s="546"/>
      <c r="I686" s="546">
        <v>3720</v>
      </c>
      <c r="J686" s="542" t="s">
        <v>2701</v>
      </c>
      <c r="K686" s="547">
        <v>8120</v>
      </c>
      <c r="L686" s="542" t="s">
        <v>806</v>
      </c>
      <c r="M686" s="548"/>
      <c r="N686" s="549">
        <v>-38</v>
      </c>
      <c r="O686" s="544" t="s">
        <v>1674</v>
      </c>
      <c r="P686" s="544" t="s">
        <v>1674</v>
      </c>
      <c r="Q686" s="544" t="s">
        <v>3801</v>
      </c>
      <c r="R686" s="544" t="s">
        <v>2617</v>
      </c>
      <c r="S686" s="544" t="s">
        <v>1674</v>
      </c>
      <c r="T686" s="550"/>
      <c r="U686" s="544" t="s">
        <v>3328</v>
      </c>
      <c r="V686" s="547">
        <v>1325</v>
      </c>
      <c r="W686" s="548"/>
      <c r="Y686" s="544" t="s">
        <v>1674</v>
      </c>
      <c r="AA686" s="544" t="s">
        <v>1674</v>
      </c>
      <c r="AE686" s="551"/>
      <c r="AF686" s="544" t="s">
        <v>1674</v>
      </c>
      <c r="AG686" s="544" t="s">
        <v>1674</v>
      </c>
      <c r="AH686" s="544" t="s">
        <v>1674</v>
      </c>
      <c r="AI686" s="544" t="s">
        <v>1674</v>
      </c>
      <c r="AJ686" s="544" t="s">
        <v>1674</v>
      </c>
      <c r="AK686" s="544" t="s">
        <v>1674</v>
      </c>
      <c r="AL686" s="544" t="s">
        <v>1674</v>
      </c>
      <c r="AM686" s="544" t="s">
        <v>1674</v>
      </c>
      <c r="AN686" s="544" t="s">
        <v>1674</v>
      </c>
      <c r="AP686" s="542">
        <f t="shared" si="23"/>
        <v>23</v>
      </c>
      <c r="AR686" s="552">
        <f t="shared" si="22"/>
        <v>3720</v>
      </c>
    </row>
    <row r="687" spans="1:44" outlineLevel="1" x14ac:dyDescent="0.25">
      <c r="A687" s="544" t="s">
        <v>1674</v>
      </c>
      <c r="B687" s="545">
        <v>10208</v>
      </c>
      <c r="C687" s="544" t="s">
        <v>2989</v>
      </c>
      <c r="D687" s="544" t="s">
        <v>3803</v>
      </c>
      <c r="E687" s="542" t="s">
        <v>3649</v>
      </c>
      <c r="F687" s="542" t="s">
        <v>3804</v>
      </c>
      <c r="G687" s="546">
        <v>2329.7800000000002</v>
      </c>
      <c r="H687" s="546"/>
      <c r="I687" s="546">
        <v>2329.7800000000002</v>
      </c>
      <c r="J687" s="542" t="s">
        <v>2701</v>
      </c>
      <c r="K687" s="547">
        <v>8400</v>
      </c>
      <c r="L687" s="542" t="s">
        <v>806</v>
      </c>
      <c r="M687" s="548"/>
      <c r="N687" s="549">
        <v>-37</v>
      </c>
      <c r="O687" s="544" t="s">
        <v>1674</v>
      </c>
      <c r="P687" s="544" t="s">
        <v>1674</v>
      </c>
      <c r="Q687" s="544" t="s">
        <v>2992</v>
      </c>
      <c r="R687" s="544" t="s">
        <v>1674</v>
      </c>
      <c r="S687" s="544" t="s">
        <v>1674</v>
      </c>
      <c r="T687" s="550">
        <v>19</v>
      </c>
      <c r="U687" s="544" t="s">
        <v>3328</v>
      </c>
      <c r="V687" s="547">
        <v>1398</v>
      </c>
      <c r="W687" s="548"/>
      <c r="Y687" s="544" t="s">
        <v>1674</v>
      </c>
      <c r="AA687" s="544" t="s">
        <v>1674</v>
      </c>
      <c r="AE687" s="551"/>
      <c r="AF687" s="544" t="s">
        <v>2993</v>
      </c>
      <c r="AG687" s="544" t="s">
        <v>2994</v>
      </c>
      <c r="AH687" s="544" t="s">
        <v>2995</v>
      </c>
      <c r="AI687" s="544" t="s">
        <v>1674</v>
      </c>
      <c r="AJ687" s="544" t="s">
        <v>2996</v>
      </c>
      <c r="AK687" s="544" t="s">
        <v>1674</v>
      </c>
      <c r="AL687" s="544" t="s">
        <v>1674</v>
      </c>
      <c r="AM687" s="544" t="s">
        <v>2997</v>
      </c>
      <c r="AN687" s="544" t="s">
        <v>2998</v>
      </c>
      <c r="AP687" s="542">
        <f t="shared" si="23"/>
        <v>24</v>
      </c>
      <c r="AR687" s="552">
        <f t="shared" si="22"/>
        <v>2329.7800000000002</v>
      </c>
    </row>
    <row r="688" spans="1:44" outlineLevel="1" x14ac:dyDescent="0.25">
      <c r="A688" s="544" t="s">
        <v>1674</v>
      </c>
      <c r="B688" s="545">
        <v>10605</v>
      </c>
      <c r="C688" s="544" t="s">
        <v>3805</v>
      </c>
      <c r="D688" s="544" t="s">
        <v>3806</v>
      </c>
      <c r="E688" s="542" t="s">
        <v>3649</v>
      </c>
      <c r="F688" s="542" t="s">
        <v>3804</v>
      </c>
      <c r="G688" s="546">
        <v>700.67</v>
      </c>
      <c r="H688" s="546"/>
      <c r="I688" s="546">
        <v>700.67</v>
      </c>
      <c r="J688" s="542" t="s">
        <v>2701</v>
      </c>
      <c r="K688" s="547">
        <v>8400</v>
      </c>
      <c r="L688" s="542" t="s">
        <v>806</v>
      </c>
      <c r="M688" s="548"/>
      <c r="N688" s="549">
        <v>-37</v>
      </c>
      <c r="O688" s="544" t="s">
        <v>1674</v>
      </c>
      <c r="P688" s="544" t="s">
        <v>1674</v>
      </c>
      <c r="Q688" s="544" t="s">
        <v>3807</v>
      </c>
      <c r="R688" s="544" t="s">
        <v>2622</v>
      </c>
      <c r="S688" s="544" t="s">
        <v>1674</v>
      </c>
      <c r="T688" s="550">
        <v>19</v>
      </c>
      <c r="U688" s="544" t="s">
        <v>3328</v>
      </c>
      <c r="V688" s="547">
        <v>1394</v>
      </c>
      <c r="W688" s="548"/>
      <c r="Y688" s="544" t="s">
        <v>1674</v>
      </c>
      <c r="AA688" s="544" t="s">
        <v>1674</v>
      </c>
      <c r="AE688" s="551"/>
      <c r="AF688" s="544" t="s">
        <v>1674</v>
      </c>
      <c r="AG688" s="544" t="s">
        <v>1674</v>
      </c>
      <c r="AH688" s="544" t="s">
        <v>1674</v>
      </c>
      <c r="AI688" s="544" t="s">
        <v>1674</v>
      </c>
      <c r="AJ688" s="544" t="s">
        <v>1674</v>
      </c>
      <c r="AK688" s="544" t="s">
        <v>1674</v>
      </c>
      <c r="AL688" s="544" t="s">
        <v>1674</v>
      </c>
      <c r="AM688" s="544" t="s">
        <v>3808</v>
      </c>
      <c r="AN688" s="544" t="s">
        <v>1674</v>
      </c>
      <c r="AP688" s="542">
        <f t="shared" si="23"/>
        <v>24</v>
      </c>
      <c r="AR688" s="552">
        <f t="shared" si="22"/>
        <v>700.67</v>
      </c>
    </row>
    <row r="689" spans="1:44" outlineLevel="1" x14ac:dyDescent="0.25">
      <c r="A689" s="544" t="s">
        <v>1674</v>
      </c>
      <c r="B689" s="545">
        <v>10800</v>
      </c>
      <c r="C689" s="544" t="s">
        <v>2967</v>
      </c>
      <c r="D689" s="544" t="s">
        <v>3809</v>
      </c>
      <c r="E689" s="542" t="s">
        <v>3649</v>
      </c>
      <c r="F689" s="542" t="s">
        <v>3804</v>
      </c>
      <c r="G689" s="546">
        <v>559.29999999999995</v>
      </c>
      <c r="H689" s="546"/>
      <c r="I689" s="546"/>
      <c r="J689" s="542" t="s">
        <v>806</v>
      </c>
      <c r="K689" s="547">
        <v>8400</v>
      </c>
      <c r="L689" s="542" t="s">
        <v>806</v>
      </c>
      <c r="M689" s="548"/>
      <c r="N689" s="549">
        <v>-37</v>
      </c>
      <c r="O689" s="544" t="s">
        <v>1674</v>
      </c>
      <c r="P689" s="544" t="s">
        <v>1674</v>
      </c>
      <c r="Q689" s="544" t="s">
        <v>3810</v>
      </c>
      <c r="R689" s="544" t="s">
        <v>2622</v>
      </c>
      <c r="S689" s="544" t="s">
        <v>1674</v>
      </c>
      <c r="T689" s="550">
        <v>19</v>
      </c>
      <c r="U689" s="544" t="s">
        <v>3328</v>
      </c>
      <c r="V689" s="547">
        <v>1390</v>
      </c>
      <c r="W689" s="548"/>
      <c r="Y689" s="544" t="s">
        <v>1674</v>
      </c>
      <c r="AA689" s="544" t="s">
        <v>1674</v>
      </c>
      <c r="AE689" s="551"/>
      <c r="AF689" s="544" t="s">
        <v>1674</v>
      </c>
      <c r="AG689" s="544" t="s">
        <v>1674</v>
      </c>
      <c r="AH689" s="544" t="s">
        <v>1674</v>
      </c>
      <c r="AI689" s="544" t="s">
        <v>1674</v>
      </c>
      <c r="AJ689" s="544" t="s">
        <v>1674</v>
      </c>
      <c r="AK689" s="544" t="s">
        <v>1674</v>
      </c>
      <c r="AL689" s="544" t="s">
        <v>1674</v>
      </c>
      <c r="AM689" s="544" t="s">
        <v>2967</v>
      </c>
      <c r="AN689" s="544" t="s">
        <v>1674</v>
      </c>
      <c r="AP689" s="542">
        <f t="shared" si="23"/>
        <v>24</v>
      </c>
      <c r="AR689" s="552">
        <f t="shared" si="22"/>
        <v>0</v>
      </c>
    </row>
    <row r="690" spans="1:44" outlineLevel="1" x14ac:dyDescent="0.25">
      <c r="A690" s="544" t="s">
        <v>1674</v>
      </c>
      <c r="B690" s="545">
        <v>0</v>
      </c>
      <c r="C690" s="544" t="s">
        <v>1674</v>
      </c>
      <c r="D690" s="544" t="s">
        <v>3809</v>
      </c>
      <c r="E690" s="542" t="s">
        <v>3649</v>
      </c>
      <c r="F690" s="542" t="s">
        <v>3804</v>
      </c>
      <c r="G690" s="546">
        <v>35.700000000000003</v>
      </c>
      <c r="H690" s="546"/>
      <c r="I690" s="546">
        <v>595</v>
      </c>
      <c r="J690" s="542" t="s">
        <v>2701</v>
      </c>
      <c r="K690" s="547">
        <v>8400</v>
      </c>
      <c r="L690" s="542" t="s">
        <v>806</v>
      </c>
      <c r="M690" s="548"/>
      <c r="N690" s="549">
        <v>-37</v>
      </c>
      <c r="O690" s="544" t="s">
        <v>1674</v>
      </c>
      <c r="P690" s="544" t="s">
        <v>1674</v>
      </c>
      <c r="Q690" s="544" t="s">
        <v>3811</v>
      </c>
      <c r="R690" s="544" t="s">
        <v>1674</v>
      </c>
      <c r="S690" s="544" t="s">
        <v>1674</v>
      </c>
      <c r="T690" s="550">
        <v>19</v>
      </c>
      <c r="U690" s="544" t="s">
        <v>3328</v>
      </c>
      <c r="V690" s="547">
        <v>1391</v>
      </c>
      <c r="W690" s="548"/>
      <c r="Y690" s="544" t="s">
        <v>1674</v>
      </c>
      <c r="AA690" s="544" t="s">
        <v>1674</v>
      </c>
      <c r="AE690" s="551"/>
      <c r="AF690" s="544" t="s">
        <v>1674</v>
      </c>
      <c r="AG690" s="544" t="s">
        <v>1674</v>
      </c>
      <c r="AH690" s="544" t="s">
        <v>1674</v>
      </c>
      <c r="AI690" s="544" t="s">
        <v>1674</v>
      </c>
      <c r="AJ690" s="544" t="s">
        <v>1674</v>
      </c>
      <c r="AK690" s="544" t="s">
        <v>1674</v>
      </c>
      <c r="AL690" s="544" t="s">
        <v>1674</v>
      </c>
      <c r="AM690" s="544" t="s">
        <v>1674</v>
      </c>
      <c r="AN690" s="544" t="s">
        <v>1674</v>
      </c>
      <c r="AP690" s="542">
        <f t="shared" si="23"/>
        <v>24</v>
      </c>
      <c r="AR690" s="552">
        <f t="shared" si="22"/>
        <v>595</v>
      </c>
    </row>
    <row r="691" spans="1:44" outlineLevel="1" x14ac:dyDescent="0.25">
      <c r="A691" s="544" t="s">
        <v>1674</v>
      </c>
      <c r="B691" s="545">
        <v>10832</v>
      </c>
      <c r="C691" s="544" t="s">
        <v>2734</v>
      </c>
      <c r="D691" s="544" t="s">
        <v>3812</v>
      </c>
      <c r="E691" s="542" t="s">
        <v>3649</v>
      </c>
      <c r="F691" s="542" t="s">
        <v>3804</v>
      </c>
      <c r="G691" s="546">
        <v>9237.3799999999992</v>
      </c>
      <c r="H691" s="546"/>
      <c r="I691" s="546">
        <v>9237.3799999999992</v>
      </c>
      <c r="J691" s="542" t="s">
        <v>2701</v>
      </c>
      <c r="K691" s="547">
        <v>8401</v>
      </c>
      <c r="L691" s="542" t="s">
        <v>806</v>
      </c>
      <c r="M691" s="548"/>
      <c r="N691" s="549">
        <v>-37</v>
      </c>
      <c r="O691" s="544" t="s">
        <v>1674</v>
      </c>
      <c r="P691" s="544" t="s">
        <v>1674</v>
      </c>
      <c r="Q691" s="544" t="s">
        <v>2737</v>
      </c>
      <c r="R691" s="544" t="s">
        <v>3205</v>
      </c>
      <c r="S691" s="544" t="s">
        <v>1674</v>
      </c>
      <c r="T691" s="550">
        <v>19</v>
      </c>
      <c r="U691" s="544" t="s">
        <v>3328</v>
      </c>
      <c r="V691" s="547">
        <v>1403</v>
      </c>
      <c r="W691" s="548"/>
      <c r="Y691" s="544" t="s">
        <v>1674</v>
      </c>
      <c r="AA691" s="544" t="s">
        <v>1674</v>
      </c>
      <c r="AE691" s="551"/>
      <c r="AF691" s="544" t="s">
        <v>1674</v>
      </c>
      <c r="AG691" s="544" t="s">
        <v>1674</v>
      </c>
      <c r="AH691" s="544" t="s">
        <v>1674</v>
      </c>
      <c r="AI691" s="544" t="s">
        <v>1674</v>
      </c>
      <c r="AJ691" s="544" t="s">
        <v>1674</v>
      </c>
      <c r="AK691" s="544" t="s">
        <v>1674</v>
      </c>
      <c r="AL691" s="544" t="s">
        <v>1674</v>
      </c>
      <c r="AM691" s="544" t="s">
        <v>2738</v>
      </c>
      <c r="AN691" s="544" t="s">
        <v>1674</v>
      </c>
      <c r="AP691" s="542">
        <f t="shared" si="23"/>
        <v>24</v>
      </c>
      <c r="AR691" s="552">
        <f t="shared" si="22"/>
        <v>9237.3799999999992</v>
      </c>
    </row>
    <row r="692" spans="1:44" outlineLevel="1" x14ac:dyDescent="0.25">
      <c r="A692" s="544" t="s">
        <v>1674</v>
      </c>
      <c r="B692" s="545">
        <v>11206</v>
      </c>
      <c r="C692" s="544" t="s">
        <v>3132</v>
      </c>
      <c r="D692" s="544" t="s">
        <v>3813</v>
      </c>
      <c r="E692" s="542" t="s">
        <v>3649</v>
      </c>
      <c r="F692" s="542" t="s">
        <v>3804</v>
      </c>
      <c r="G692" s="546">
        <v>3978.41</v>
      </c>
      <c r="H692" s="546"/>
      <c r="I692" s="546"/>
      <c r="J692" s="542" t="s">
        <v>806</v>
      </c>
      <c r="K692" s="547">
        <v>8400</v>
      </c>
      <c r="L692" s="542" t="s">
        <v>806</v>
      </c>
      <c r="M692" s="548"/>
      <c r="N692" s="549">
        <v>-37</v>
      </c>
      <c r="O692" s="544" t="s">
        <v>1674</v>
      </c>
      <c r="P692" s="544" t="s">
        <v>1674</v>
      </c>
      <c r="Q692" s="544" t="s">
        <v>3134</v>
      </c>
      <c r="R692" s="544" t="s">
        <v>2898</v>
      </c>
      <c r="S692" s="544" t="s">
        <v>1674</v>
      </c>
      <c r="T692" s="550">
        <v>19</v>
      </c>
      <c r="U692" s="544" t="s">
        <v>3328</v>
      </c>
      <c r="V692" s="547">
        <v>1407</v>
      </c>
      <c r="W692" s="548"/>
      <c r="Y692" s="544" t="s">
        <v>1674</v>
      </c>
      <c r="AA692" s="544" t="s">
        <v>1674</v>
      </c>
      <c r="AE692" s="551"/>
      <c r="AF692" s="544" t="s">
        <v>1674</v>
      </c>
      <c r="AG692" s="544" t="s">
        <v>1674</v>
      </c>
      <c r="AH692" s="544" t="s">
        <v>1674</v>
      </c>
      <c r="AI692" s="544" t="s">
        <v>1674</v>
      </c>
      <c r="AJ692" s="544" t="s">
        <v>1674</v>
      </c>
      <c r="AK692" s="544" t="s">
        <v>1674</v>
      </c>
      <c r="AL692" s="544" t="s">
        <v>1674</v>
      </c>
      <c r="AM692" s="544" t="s">
        <v>3135</v>
      </c>
      <c r="AN692" s="544" t="s">
        <v>1674</v>
      </c>
      <c r="AP692" s="542">
        <f t="shared" si="23"/>
        <v>24</v>
      </c>
      <c r="AR692" s="552">
        <f t="shared" si="22"/>
        <v>0</v>
      </c>
    </row>
    <row r="693" spans="1:44" outlineLevel="1" x14ac:dyDescent="0.25">
      <c r="A693" s="544" t="s">
        <v>1674</v>
      </c>
      <c r="B693" s="545">
        <v>0</v>
      </c>
      <c r="C693" s="544" t="s">
        <v>1674</v>
      </c>
      <c r="D693" s="544" t="s">
        <v>3813</v>
      </c>
      <c r="E693" s="542" t="s">
        <v>3649</v>
      </c>
      <c r="F693" s="542" t="s">
        <v>3804</v>
      </c>
      <c r="G693" s="546">
        <v>35.700000000000003</v>
      </c>
      <c r="H693" s="546"/>
      <c r="I693" s="546">
        <v>4014.11</v>
      </c>
      <c r="J693" s="542" t="s">
        <v>2701</v>
      </c>
      <c r="K693" s="547">
        <v>8400</v>
      </c>
      <c r="L693" s="542" t="s">
        <v>806</v>
      </c>
      <c r="M693" s="548"/>
      <c r="N693" s="549">
        <v>-37</v>
      </c>
      <c r="O693" s="544" t="s">
        <v>1674</v>
      </c>
      <c r="P693" s="544" t="s">
        <v>1674</v>
      </c>
      <c r="Q693" s="544" t="s">
        <v>3139</v>
      </c>
      <c r="R693" s="544" t="s">
        <v>1674</v>
      </c>
      <c r="S693" s="544" t="s">
        <v>1674</v>
      </c>
      <c r="T693" s="550">
        <v>19</v>
      </c>
      <c r="U693" s="544" t="s">
        <v>3328</v>
      </c>
      <c r="V693" s="547">
        <v>1408</v>
      </c>
      <c r="W693" s="548"/>
      <c r="Y693" s="544" t="s">
        <v>1674</v>
      </c>
      <c r="AA693" s="544" t="s">
        <v>1674</v>
      </c>
      <c r="AE693" s="551"/>
      <c r="AF693" s="544" t="s">
        <v>1674</v>
      </c>
      <c r="AG693" s="544" t="s">
        <v>1674</v>
      </c>
      <c r="AH693" s="544" t="s">
        <v>1674</v>
      </c>
      <c r="AI693" s="544" t="s">
        <v>1674</v>
      </c>
      <c r="AJ693" s="544" t="s">
        <v>1674</v>
      </c>
      <c r="AK693" s="544" t="s">
        <v>1674</v>
      </c>
      <c r="AL693" s="544" t="s">
        <v>1674</v>
      </c>
      <c r="AM693" s="544" t="s">
        <v>1674</v>
      </c>
      <c r="AN693" s="544" t="s">
        <v>1674</v>
      </c>
      <c r="AP693" s="542">
        <f t="shared" si="23"/>
        <v>24</v>
      </c>
      <c r="AR693" s="552">
        <f t="shared" si="22"/>
        <v>4014.11</v>
      </c>
    </row>
    <row r="694" spans="1:44" outlineLevel="1" x14ac:dyDescent="0.25">
      <c r="A694" s="544" t="s">
        <v>1674</v>
      </c>
      <c r="B694" s="545">
        <v>0</v>
      </c>
      <c r="C694" s="544" t="s">
        <v>1674</v>
      </c>
      <c r="D694" s="544" t="s">
        <v>3814</v>
      </c>
      <c r="E694" s="542" t="s">
        <v>3649</v>
      </c>
      <c r="F694" s="542" t="s">
        <v>3804</v>
      </c>
      <c r="G694" s="546">
        <v>1989.2</v>
      </c>
      <c r="H694" s="546"/>
      <c r="I694" s="546">
        <v>1989.2</v>
      </c>
      <c r="J694" s="542" t="s">
        <v>2701</v>
      </c>
      <c r="K694" s="547">
        <v>8400</v>
      </c>
      <c r="L694" s="542" t="s">
        <v>806</v>
      </c>
      <c r="M694" s="548"/>
      <c r="N694" s="549">
        <v>-37</v>
      </c>
      <c r="O694" s="544" t="s">
        <v>1674</v>
      </c>
      <c r="P694" s="544" t="s">
        <v>1674</v>
      </c>
      <c r="Q694" s="544" t="s">
        <v>3134</v>
      </c>
      <c r="R694" s="544" t="s">
        <v>2898</v>
      </c>
      <c r="S694" s="544" t="s">
        <v>1674</v>
      </c>
      <c r="T694" s="550">
        <v>19</v>
      </c>
      <c r="U694" s="544" t="s">
        <v>3328</v>
      </c>
      <c r="V694" s="547">
        <v>1409</v>
      </c>
      <c r="W694" s="548"/>
      <c r="Y694" s="544" t="s">
        <v>1674</v>
      </c>
      <c r="AA694" s="544" t="s">
        <v>1674</v>
      </c>
      <c r="AE694" s="551"/>
      <c r="AF694" s="544" t="s">
        <v>1674</v>
      </c>
      <c r="AG694" s="544" t="s">
        <v>1674</v>
      </c>
      <c r="AH694" s="544" t="s">
        <v>1674</v>
      </c>
      <c r="AI694" s="544" t="s">
        <v>1674</v>
      </c>
      <c r="AJ694" s="544" t="s">
        <v>1674</v>
      </c>
      <c r="AK694" s="544" t="s">
        <v>1674</v>
      </c>
      <c r="AL694" s="544" t="s">
        <v>1674</v>
      </c>
      <c r="AM694" s="544" t="s">
        <v>1674</v>
      </c>
      <c r="AN694" s="544" t="s">
        <v>1674</v>
      </c>
      <c r="AP694" s="542">
        <f t="shared" si="23"/>
        <v>24</v>
      </c>
      <c r="AR694" s="552">
        <f t="shared" si="22"/>
        <v>1989.2</v>
      </c>
    </row>
    <row r="695" spans="1:44" outlineLevel="1" x14ac:dyDescent="0.25">
      <c r="A695" s="544" t="s">
        <v>1674</v>
      </c>
      <c r="B695" s="545">
        <v>0</v>
      </c>
      <c r="C695" s="544" t="s">
        <v>1674</v>
      </c>
      <c r="D695" s="544" t="s">
        <v>3815</v>
      </c>
      <c r="E695" s="542" t="s">
        <v>3649</v>
      </c>
      <c r="F695" s="542" t="s">
        <v>3804</v>
      </c>
      <c r="G695" s="546">
        <v>1989.2</v>
      </c>
      <c r="H695" s="546"/>
      <c r="I695" s="546">
        <v>1989.2</v>
      </c>
      <c r="J695" s="542" t="s">
        <v>2701</v>
      </c>
      <c r="K695" s="547">
        <v>8400</v>
      </c>
      <c r="L695" s="542" t="s">
        <v>806</v>
      </c>
      <c r="M695" s="548"/>
      <c r="N695" s="549">
        <v>-37</v>
      </c>
      <c r="O695" s="544" t="s">
        <v>1674</v>
      </c>
      <c r="P695" s="544" t="s">
        <v>1674</v>
      </c>
      <c r="Q695" s="544" t="s">
        <v>3134</v>
      </c>
      <c r="R695" s="544" t="s">
        <v>2898</v>
      </c>
      <c r="S695" s="544" t="s">
        <v>1674</v>
      </c>
      <c r="T695" s="550">
        <v>19</v>
      </c>
      <c r="U695" s="544" t="s">
        <v>3328</v>
      </c>
      <c r="V695" s="547">
        <v>1410</v>
      </c>
      <c r="W695" s="548"/>
      <c r="Y695" s="544" t="s">
        <v>1674</v>
      </c>
      <c r="AA695" s="544" t="s">
        <v>1674</v>
      </c>
      <c r="AE695" s="551"/>
      <c r="AF695" s="544" t="s">
        <v>1674</v>
      </c>
      <c r="AG695" s="544" t="s">
        <v>1674</v>
      </c>
      <c r="AH695" s="544" t="s">
        <v>1674</v>
      </c>
      <c r="AI695" s="544" t="s">
        <v>1674</v>
      </c>
      <c r="AJ695" s="544" t="s">
        <v>1674</v>
      </c>
      <c r="AK695" s="544" t="s">
        <v>1674</v>
      </c>
      <c r="AL695" s="544" t="s">
        <v>1674</v>
      </c>
      <c r="AM695" s="544" t="s">
        <v>1674</v>
      </c>
      <c r="AN695" s="544" t="s">
        <v>1674</v>
      </c>
      <c r="AP695" s="542">
        <f t="shared" si="23"/>
        <v>24</v>
      </c>
      <c r="AR695" s="552">
        <f t="shared" si="22"/>
        <v>1989.2</v>
      </c>
    </row>
    <row r="696" spans="1:44" outlineLevel="1" x14ac:dyDescent="0.25">
      <c r="A696" s="544" t="s">
        <v>1674</v>
      </c>
      <c r="B696" s="545">
        <v>0</v>
      </c>
      <c r="C696" s="544" t="s">
        <v>1674</v>
      </c>
      <c r="D696" s="544" t="s">
        <v>3816</v>
      </c>
      <c r="E696" s="542" t="s">
        <v>3649</v>
      </c>
      <c r="F696" s="542" t="s">
        <v>3804</v>
      </c>
      <c r="G696" s="546">
        <v>3978.41</v>
      </c>
      <c r="H696" s="546"/>
      <c r="I696" s="546">
        <v>3978.41</v>
      </c>
      <c r="J696" s="542" t="s">
        <v>2701</v>
      </c>
      <c r="K696" s="547">
        <v>8400</v>
      </c>
      <c r="L696" s="542" t="s">
        <v>806</v>
      </c>
      <c r="M696" s="548"/>
      <c r="N696" s="549">
        <v>-37</v>
      </c>
      <c r="O696" s="544" t="s">
        <v>1674</v>
      </c>
      <c r="P696" s="544" t="s">
        <v>1674</v>
      </c>
      <c r="Q696" s="544" t="s">
        <v>3134</v>
      </c>
      <c r="R696" s="544" t="s">
        <v>2898</v>
      </c>
      <c r="S696" s="544" t="s">
        <v>1674</v>
      </c>
      <c r="T696" s="550">
        <v>19</v>
      </c>
      <c r="U696" s="544" t="s">
        <v>3328</v>
      </c>
      <c r="V696" s="547">
        <v>1411</v>
      </c>
      <c r="W696" s="548"/>
      <c r="Y696" s="544" t="s">
        <v>1674</v>
      </c>
      <c r="AA696" s="544" t="s">
        <v>1674</v>
      </c>
      <c r="AE696" s="551"/>
      <c r="AF696" s="544" t="s">
        <v>1674</v>
      </c>
      <c r="AG696" s="544" t="s">
        <v>1674</v>
      </c>
      <c r="AH696" s="544" t="s">
        <v>1674</v>
      </c>
      <c r="AI696" s="544" t="s">
        <v>1674</v>
      </c>
      <c r="AJ696" s="544" t="s">
        <v>1674</v>
      </c>
      <c r="AK696" s="544" t="s">
        <v>1674</v>
      </c>
      <c r="AL696" s="544" t="s">
        <v>1674</v>
      </c>
      <c r="AM696" s="544" t="s">
        <v>1674</v>
      </c>
      <c r="AN696" s="544" t="s">
        <v>1674</v>
      </c>
      <c r="AP696" s="542">
        <f t="shared" si="23"/>
        <v>24</v>
      </c>
      <c r="AR696" s="552">
        <f t="shared" si="22"/>
        <v>3978.41</v>
      </c>
    </row>
    <row r="697" spans="1:44" outlineLevel="1" x14ac:dyDescent="0.25">
      <c r="A697" s="544" t="s">
        <v>1674</v>
      </c>
      <c r="B697" s="545">
        <v>0</v>
      </c>
      <c r="C697" s="544" t="s">
        <v>1674</v>
      </c>
      <c r="D697" s="544" t="s">
        <v>3817</v>
      </c>
      <c r="E697" s="542" t="s">
        <v>3649</v>
      </c>
      <c r="F697" s="542" t="s">
        <v>3804</v>
      </c>
      <c r="G697" s="546">
        <v>1989.2</v>
      </c>
      <c r="H697" s="546"/>
      <c r="I697" s="546">
        <v>1989.2</v>
      </c>
      <c r="J697" s="542" t="s">
        <v>2701</v>
      </c>
      <c r="K697" s="547">
        <v>8400</v>
      </c>
      <c r="L697" s="542" t="s">
        <v>806</v>
      </c>
      <c r="M697" s="548"/>
      <c r="N697" s="549">
        <v>-37</v>
      </c>
      <c r="O697" s="544" t="s">
        <v>1674</v>
      </c>
      <c r="P697" s="544" t="s">
        <v>1674</v>
      </c>
      <c r="Q697" s="544" t="s">
        <v>3134</v>
      </c>
      <c r="R697" s="544" t="s">
        <v>2898</v>
      </c>
      <c r="S697" s="544" t="s">
        <v>1674</v>
      </c>
      <c r="T697" s="550">
        <v>19</v>
      </c>
      <c r="U697" s="544" t="s">
        <v>3328</v>
      </c>
      <c r="V697" s="547">
        <v>1412</v>
      </c>
      <c r="W697" s="548"/>
      <c r="Y697" s="544" t="s">
        <v>1674</v>
      </c>
      <c r="AA697" s="544" t="s">
        <v>1674</v>
      </c>
      <c r="AE697" s="551"/>
      <c r="AF697" s="544" t="s">
        <v>1674</v>
      </c>
      <c r="AG697" s="544" t="s">
        <v>1674</v>
      </c>
      <c r="AH697" s="544" t="s">
        <v>1674</v>
      </c>
      <c r="AI697" s="544" t="s">
        <v>1674</v>
      </c>
      <c r="AJ697" s="544" t="s">
        <v>1674</v>
      </c>
      <c r="AK697" s="544" t="s">
        <v>1674</v>
      </c>
      <c r="AL697" s="544" t="s">
        <v>1674</v>
      </c>
      <c r="AM697" s="544" t="s">
        <v>1674</v>
      </c>
      <c r="AN697" s="544" t="s">
        <v>1674</v>
      </c>
      <c r="AP697" s="542">
        <f t="shared" si="23"/>
        <v>24</v>
      </c>
      <c r="AR697" s="552">
        <f t="shared" si="22"/>
        <v>1989.2</v>
      </c>
    </row>
    <row r="698" spans="1:44" outlineLevel="1" x14ac:dyDescent="0.25">
      <c r="A698" s="544" t="s">
        <v>1674</v>
      </c>
      <c r="B698" s="545">
        <v>11900</v>
      </c>
      <c r="C698" s="544" t="s">
        <v>2854</v>
      </c>
      <c r="D698" s="544" t="s">
        <v>3818</v>
      </c>
      <c r="E698" s="542" t="s">
        <v>3649</v>
      </c>
      <c r="F698" s="542" t="s">
        <v>3804</v>
      </c>
      <c r="G698" s="546">
        <v>98.77</v>
      </c>
      <c r="H698" s="546"/>
      <c r="I698" s="546"/>
      <c r="J698" s="542" t="s">
        <v>806</v>
      </c>
      <c r="K698" s="547">
        <v>8400</v>
      </c>
      <c r="L698" s="542" t="s">
        <v>806</v>
      </c>
      <c r="M698" s="548"/>
      <c r="N698" s="549">
        <v>-37</v>
      </c>
      <c r="O698" s="544" t="s">
        <v>1674</v>
      </c>
      <c r="P698" s="544" t="s">
        <v>1674</v>
      </c>
      <c r="Q698" s="544" t="s">
        <v>2857</v>
      </c>
      <c r="R698" s="544" t="s">
        <v>2622</v>
      </c>
      <c r="S698" s="544" t="s">
        <v>1674</v>
      </c>
      <c r="T698" s="550">
        <v>19</v>
      </c>
      <c r="U698" s="544" t="s">
        <v>3328</v>
      </c>
      <c r="V698" s="547">
        <v>1387</v>
      </c>
      <c r="W698" s="548"/>
      <c r="Y698" s="544" t="s">
        <v>1674</v>
      </c>
      <c r="AA698" s="544" t="s">
        <v>1674</v>
      </c>
      <c r="AE698" s="551"/>
      <c r="AF698" s="544" t="s">
        <v>1674</v>
      </c>
      <c r="AG698" s="544" t="s">
        <v>1674</v>
      </c>
      <c r="AH698" s="544" t="s">
        <v>1674</v>
      </c>
      <c r="AI698" s="544" t="s">
        <v>1674</v>
      </c>
      <c r="AJ698" s="544" t="s">
        <v>1674</v>
      </c>
      <c r="AK698" s="544" t="s">
        <v>1674</v>
      </c>
      <c r="AL698" s="544" t="s">
        <v>1674</v>
      </c>
      <c r="AM698" s="544" t="s">
        <v>2854</v>
      </c>
      <c r="AN698" s="544" t="s">
        <v>1674</v>
      </c>
      <c r="AP698" s="542">
        <f t="shared" si="23"/>
        <v>24</v>
      </c>
      <c r="AR698" s="552">
        <f t="shared" si="22"/>
        <v>0</v>
      </c>
    </row>
    <row r="699" spans="1:44" outlineLevel="1" x14ac:dyDescent="0.25">
      <c r="A699" s="544" t="s">
        <v>1674</v>
      </c>
      <c r="B699" s="545">
        <v>0</v>
      </c>
      <c r="C699" s="544" t="s">
        <v>1674</v>
      </c>
      <c r="D699" s="544" t="s">
        <v>3818</v>
      </c>
      <c r="E699" s="542" t="s">
        <v>3649</v>
      </c>
      <c r="F699" s="542" t="s">
        <v>3804</v>
      </c>
      <c r="G699" s="546">
        <v>7.14</v>
      </c>
      <c r="H699" s="546"/>
      <c r="I699" s="546">
        <v>105.91</v>
      </c>
      <c r="J699" s="542" t="s">
        <v>2701</v>
      </c>
      <c r="K699" s="547">
        <v>8400</v>
      </c>
      <c r="L699" s="542" t="s">
        <v>806</v>
      </c>
      <c r="M699" s="548"/>
      <c r="N699" s="549">
        <v>-37</v>
      </c>
      <c r="O699" s="544" t="s">
        <v>1674</v>
      </c>
      <c r="P699" s="544" t="s">
        <v>1674</v>
      </c>
      <c r="Q699" s="544" t="s">
        <v>2858</v>
      </c>
      <c r="R699" s="544" t="s">
        <v>1674</v>
      </c>
      <c r="S699" s="544" t="s">
        <v>1674</v>
      </c>
      <c r="T699" s="550">
        <v>19</v>
      </c>
      <c r="U699" s="544" t="s">
        <v>3328</v>
      </c>
      <c r="V699" s="547">
        <v>1388</v>
      </c>
      <c r="W699" s="548"/>
      <c r="Y699" s="544" t="s">
        <v>1674</v>
      </c>
      <c r="AA699" s="544" t="s">
        <v>1674</v>
      </c>
      <c r="AE699" s="551"/>
      <c r="AF699" s="544" t="s">
        <v>1674</v>
      </c>
      <c r="AG699" s="544" t="s">
        <v>1674</v>
      </c>
      <c r="AH699" s="544" t="s">
        <v>1674</v>
      </c>
      <c r="AI699" s="544" t="s">
        <v>1674</v>
      </c>
      <c r="AJ699" s="544" t="s">
        <v>1674</v>
      </c>
      <c r="AK699" s="544" t="s">
        <v>1674</v>
      </c>
      <c r="AL699" s="544" t="s">
        <v>1674</v>
      </c>
      <c r="AM699" s="544" t="s">
        <v>1674</v>
      </c>
      <c r="AN699" s="544" t="s">
        <v>1674</v>
      </c>
      <c r="AP699" s="542">
        <f t="shared" si="23"/>
        <v>24</v>
      </c>
      <c r="AR699" s="552">
        <f t="shared" si="22"/>
        <v>105.91</v>
      </c>
    </row>
    <row r="700" spans="1:44" outlineLevel="1" x14ac:dyDescent="0.25">
      <c r="A700" s="544" t="s">
        <v>1674</v>
      </c>
      <c r="B700" s="545">
        <v>21606</v>
      </c>
      <c r="C700" s="544" t="s">
        <v>3051</v>
      </c>
      <c r="D700" s="544" t="s">
        <v>3819</v>
      </c>
      <c r="E700" s="542" t="s">
        <v>3649</v>
      </c>
      <c r="F700" s="542" t="s">
        <v>3804</v>
      </c>
      <c r="G700" s="546">
        <v>888.5</v>
      </c>
      <c r="H700" s="546"/>
      <c r="I700" s="546">
        <v>888.5</v>
      </c>
      <c r="J700" s="542" t="s">
        <v>2701</v>
      </c>
      <c r="K700" s="547">
        <v>8125</v>
      </c>
      <c r="L700" s="542" t="s">
        <v>806</v>
      </c>
      <c r="M700" s="548"/>
      <c r="N700" s="549">
        <v>-37</v>
      </c>
      <c r="O700" s="544" t="s">
        <v>1674</v>
      </c>
      <c r="P700" s="544" t="s">
        <v>1674</v>
      </c>
      <c r="Q700" s="544" t="s">
        <v>3053</v>
      </c>
      <c r="R700" s="544" t="s">
        <v>1674</v>
      </c>
      <c r="S700" s="544" t="s">
        <v>1674</v>
      </c>
      <c r="T700" s="550"/>
      <c r="U700" s="544" t="s">
        <v>3328</v>
      </c>
      <c r="V700" s="547">
        <v>1395</v>
      </c>
      <c r="W700" s="548"/>
      <c r="Y700" s="544" t="s">
        <v>1674</v>
      </c>
      <c r="AA700" s="544" t="s">
        <v>1674</v>
      </c>
      <c r="AE700" s="551"/>
      <c r="AF700" s="544" t="s">
        <v>1674</v>
      </c>
      <c r="AG700" s="544" t="s">
        <v>1674</v>
      </c>
      <c r="AH700" s="544" t="s">
        <v>1674</v>
      </c>
      <c r="AI700" s="544" t="s">
        <v>1674</v>
      </c>
      <c r="AJ700" s="544" t="s">
        <v>1674</v>
      </c>
      <c r="AK700" s="544" t="s">
        <v>1674</v>
      </c>
      <c r="AL700" s="544" t="s">
        <v>1674</v>
      </c>
      <c r="AM700" s="544" t="s">
        <v>3054</v>
      </c>
      <c r="AN700" s="544" t="s">
        <v>1674</v>
      </c>
      <c r="AP700" s="542">
        <f t="shared" si="23"/>
        <v>24</v>
      </c>
      <c r="AR700" s="552">
        <f t="shared" si="22"/>
        <v>888.5</v>
      </c>
    </row>
    <row r="701" spans="1:44" outlineLevel="1" x14ac:dyDescent="0.25">
      <c r="A701" s="544" t="s">
        <v>1674</v>
      </c>
      <c r="B701" s="545">
        <v>0</v>
      </c>
      <c r="C701" s="544" t="s">
        <v>1674</v>
      </c>
      <c r="D701" s="544" t="s">
        <v>3820</v>
      </c>
      <c r="E701" s="542" t="s">
        <v>3649</v>
      </c>
      <c r="F701" s="542" t="s">
        <v>3804</v>
      </c>
      <c r="G701" s="546">
        <v>2982.48</v>
      </c>
      <c r="H701" s="546"/>
      <c r="I701" s="546"/>
      <c r="J701" s="542" t="s">
        <v>806</v>
      </c>
      <c r="K701" s="547">
        <v>8125</v>
      </c>
      <c r="L701" s="542" t="s">
        <v>806</v>
      </c>
      <c r="M701" s="548"/>
      <c r="N701" s="549">
        <v>-37</v>
      </c>
      <c r="O701" s="544" t="s">
        <v>1674</v>
      </c>
      <c r="P701" s="544" t="s">
        <v>1674</v>
      </c>
      <c r="Q701" s="544" t="s">
        <v>3053</v>
      </c>
      <c r="R701" s="544" t="s">
        <v>1674</v>
      </c>
      <c r="S701" s="544" t="s">
        <v>1674</v>
      </c>
      <c r="T701" s="550"/>
      <c r="U701" s="544" t="s">
        <v>3328</v>
      </c>
      <c r="V701" s="547">
        <v>1399</v>
      </c>
      <c r="W701" s="548"/>
      <c r="Y701" s="544" t="s">
        <v>1674</v>
      </c>
      <c r="AA701" s="544" t="s">
        <v>1674</v>
      </c>
      <c r="AE701" s="551"/>
      <c r="AF701" s="544" t="s">
        <v>1674</v>
      </c>
      <c r="AG701" s="544" t="s">
        <v>1674</v>
      </c>
      <c r="AH701" s="544" t="s">
        <v>1674</v>
      </c>
      <c r="AI701" s="544" t="s">
        <v>1674</v>
      </c>
      <c r="AJ701" s="544" t="s">
        <v>1674</v>
      </c>
      <c r="AK701" s="544" t="s">
        <v>1674</v>
      </c>
      <c r="AL701" s="544" t="s">
        <v>1674</v>
      </c>
      <c r="AM701" s="544" t="s">
        <v>1674</v>
      </c>
      <c r="AN701" s="544" t="s">
        <v>1674</v>
      </c>
      <c r="AP701" s="542">
        <f t="shared" si="23"/>
        <v>24</v>
      </c>
      <c r="AR701" s="552">
        <f t="shared" si="22"/>
        <v>0</v>
      </c>
    </row>
    <row r="702" spans="1:44" outlineLevel="1" x14ac:dyDescent="0.25">
      <c r="A702" s="544" t="s">
        <v>1674</v>
      </c>
      <c r="B702" s="545">
        <v>0</v>
      </c>
      <c r="C702" s="544" t="s">
        <v>1674</v>
      </c>
      <c r="D702" s="544" t="s">
        <v>3820</v>
      </c>
      <c r="E702" s="542" t="s">
        <v>3649</v>
      </c>
      <c r="F702" s="542" t="s">
        <v>3804</v>
      </c>
      <c r="G702" s="546">
        <v>17.52</v>
      </c>
      <c r="H702" s="546"/>
      <c r="I702" s="546">
        <v>3000</v>
      </c>
      <c r="J702" s="542" t="s">
        <v>2701</v>
      </c>
      <c r="K702" s="547">
        <v>8125</v>
      </c>
      <c r="L702" s="542" t="s">
        <v>806</v>
      </c>
      <c r="M702" s="548"/>
      <c r="N702" s="549">
        <v>-37</v>
      </c>
      <c r="O702" s="544" t="s">
        <v>1674</v>
      </c>
      <c r="P702" s="544" t="s">
        <v>1674</v>
      </c>
      <c r="Q702" s="544" t="s">
        <v>3053</v>
      </c>
      <c r="R702" s="544" t="s">
        <v>2617</v>
      </c>
      <c r="S702" s="544" t="s">
        <v>1674</v>
      </c>
      <c r="T702" s="550"/>
      <c r="U702" s="544" t="s">
        <v>3328</v>
      </c>
      <c r="V702" s="547">
        <v>1400</v>
      </c>
      <c r="W702" s="548"/>
      <c r="Y702" s="544" t="s">
        <v>1674</v>
      </c>
      <c r="AA702" s="544" t="s">
        <v>1674</v>
      </c>
      <c r="AE702" s="551"/>
      <c r="AF702" s="544" t="s">
        <v>1674</v>
      </c>
      <c r="AG702" s="544" t="s">
        <v>1674</v>
      </c>
      <c r="AH702" s="544" t="s">
        <v>1674</v>
      </c>
      <c r="AI702" s="544" t="s">
        <v>1674</v>
      </c>
      <c r="AJ702" s="544" t="s">
        <v>1674</v>
      </c>
      <c r="AK702" s="544" t="s">
        <v>1674</v>
      </c>
      <c r="AL702" s="544" t="s">
        <v>1674</v>
      </c>
      <c r="AM702" s="544" t="s">
        <v>1674</v>
      </c>
      <c r="AN702" s="544" t="s">
        <v>1674</v>
      </c>
      <c r="AP702" s="542">
        <f t="shared" si="23"/>
        <v>24</v>
      </c>
      <c r="AR702" s="552">
        <f t="shared" si="22"/>
        <v>3000</v>
      </c>
    </row>
    <row r="703" spans="1:44" outlineLevel="1" x14ac:dyDescent="0.25">
      <c r="A703" s="544" t="s">
        <v>1674</v>
      </c>
      <c r="B703" s="545">
        <v>22204</v>
      </c>
      <c r="C703" s="544" t="s">
        <v>3007</v>
      </c>
      <c r="D703" s="544" t="s">
        <v>3821</v>
      </c>
      <c r="E703" s="542" t="s">
        <v>3649</v>
      </c>
      <c r="F703" s="542" t="s">
        <v>3804</v>
      </c>
      <c r="G703" s="546">
        <v>3494.4</v>
      </c>
      <c r="H703" s="546"/>
      <c r="I703" s="546"/>
      <c r="J703" s="542" t="s">
        <v>806</v>
      </c>
      <c r="K703" s="547">
        <v>8125</v>
      </c>
      <c r="L703" s="542" t="s">
        <v>806</v>
      </c>
      <c r="M703" s="548"/>
      <c r="N703" s="549">
        <v>-37</v>
      </c>
      <c r="O703" s="544" t="s">
        <v>1674</v>
      </c>
      <c r="P703" s="544" t="s">
        <v>1674</v>
      </c>
      <c r="Q703" s="544" t="s">
        <v>3009</v>
      </c>
      <c r="R703" s="544" t="s">
        <v>2898</v>
      </c>
      <c r="S703" s="544" t="s">
        <v>1674</v>
      </c>
      <c r="T703" s="550"/>
      <c r="U703" s="544" t="s">
        <v>3328</v>
      </c>
      <c r="V703" s="547">
        <v>1401</v>
      </c>
      <c r="W703" s="548"/>
      <c r="Y703" s="544" t="s">
        <v>1674</v>
      </c>
      <c r="AA703" s="544" t="s">
        <v>1674</v>
      </c>
      <c r="AE703" s="551"/>
      <c r="AF703" s="544" t="s">
        <v>1674</v>
      </c>
      <c r="AG703" s="544" t="s">
        <v>1674</v>
      </c>
      <c r="AH703" s="544" t="s">
        <v>1674</v>
      </c>
      <c r="AI703" s="544" t="s">
        <v>1674</v>
      </c>
      <c r="AJ703" s="544" t="s">
        <v>1674</v>
      </c>
      <c r="AK703" s="544" t="s">
        <v>1674</v>
      </c>
      <c r="AL703" s="544" t="s">
        <v>1674</v>
      </c>
      <c r="AM703" s="544" t="s">
        <v>3010</v>
      </c>
      <c r="AN703" s="544" t="s">
        <v>1674</v>
      </c>
      <c r="AP703" s="542">
        <f t="shared" si="23"/>
        <v>24</v>
      </c>
      <c r="AR703" s="552">
        <f t="shared" si="22"/>
        <v>0</v>
      </c>
    </row>
    <row r="704" spans="1:44" outlineLevel="1" x14ac:dyDescent="0.25">
      <c r="A704" s="544" t="s">
        <v>1674</v>
      </c>
      <c r="B704" s="545">
        <v>0</v>
      </c>
      <c r="C704" s="544" t="s">
        <v>1674</v>
      </c>
      <c r="D704" s="544" t="s">
        <v>3821</v>
      </c>
      <c r="E704" s="542" t="s">
        <v>3649</v>
      </c>
      <c r="F704" s="542" t="s">
        <v>3804</v>
      </c>
      <c r="G704" s="546">
        <v>500</v>
      </c>
      <c r="H704" s="546"/>
      <c r="I704" s="546">
        <v>3994.4</v>
      </c>
      <c r="J704" s="542" t="s">
        <v>2701</v>
      </c>
      <c r="K704" s="547">
        <v>8125</v>
      </c>
      <c r="L704" s="542" t="s">
        <v>806</v>
      </c>
      <c r="M704" s="548"/>
      <c r="N704" s="549">
        <v>-37</v>
      </c>
      <c r="O704" s="544" t="s">
        <v>1674</v>
      </c>
      <c r="P704" s="544" t="s">
        <v>1674</v>
      </c>
      <c r="Q704" s="544" t="s">
        <v>3011</v>
      </c>
      <c r="R704" s="544" t="s">
        <v>1674</v>
      </c>
      <c r="S704" s="544" t="s">
        <v>1674</v>
      </c>
      <c r="T704" s="550"/>
      <c r="U704" s="544" t="s">
        <v>3328</v>
      </c>
      <c r="V704" s="547">
        <v>1402</v>
      </c>
      <c r="W704" s="548"/>
      <c r="Y704" s="544" t="s">
        <v>1674</v>
      </c>
      <c r="AA704" s="544" t="s">
        <v>1674</v>
      </c>
      <c r="AE704" s="551"/>
      <c r="AF704" s="544" t="s">
        <v>1674</v>
      </c>
      <c r="AG704" s="544" t="s">
        <v>1674</v>
      </c>
      <c r="AH704" s="544" t="s">
        <v>1674</v>
      </c>
      <c r="AI704" s="544" t="s">
        <v>1674</v>
      </c>
      <c r="AJ704" s="544" t="s">
        <v>1674</v>
      </c>
      <c r="AK704" s="544" t="s">
        <v>1674</v>
      </c>
      <c r="AL704" s="544" t="s">
        <v>1674</v>
      </c>
      <c r="AM704" s="544" t="s">
        <v>1674</v>
      </c>
      <c r="AN704" s="544" t="s">
        <v>1674</v>
      </c>
      <c r="AP704" s="542">
        <f t="shared" si="23"/>
        <v>24</v>
      </c>
      <c r="AR704" s="552">
        <f t="shared" si="22"/>
        <v>3994.4</v>
      </c>
    </row>
    <row r="705" spans="1:44" outlineLevel="1" x14ac:dyDescent="0.25">
      <c r="A705" s="544" t="s">
        <v>1674</v>
      </c>
      <c r="B705" s="545">
        <v>30301</v>
      </c>
      <c r="C705" s="544" t="s">
        <v>2890</v>
      </c>
      <c r="D705" s="544" t="s">
        <v>3822</v>
      </c>
      <c r="E705" s="542" t="s">
        <v>3649</v>
      </c>
      <c r="F705" s="542" t="s">
        <v>3804</v>
      </c>
      <c r="G705" s="546">
        <v>1800</v>
      </c>
      <c r="H705" s="546"/>
      <c r="I705" s="546"/>
      <c r="J705" s="542" t="s">
        <v>806</v>
      </c>
      <c r="K705" s="547">
        <v>8120</v>
      </c>
      <c r="L705" s="542" t="s">
        <v>806</v>
      </c>
      <c r="M705" s="548"/>
      <c r="N705" s="549">
        <v>-37</v>
      </c>
      <c r="O705" s="544" t="s">
        <v>1674</v>
      </c>
      <c r="P705" s="544" t="s">
        <v>1674</v>
      </c>
      <c r="Q705" s="544" t="s">
        <v>2892</v>
      </c>
      <c r="R705" s="544" t="s">
        <v>2622</v>
      </c>
      <c r="S705" s="544" t="s">
        <v>1674</v>
      </c>
      <c r="T705" s="550"/>
      <c r="U705" s="544" t="s">
        <v>3328</v>
      </c>
      <c r="V705" s="547">
        <v>1404</v>
      </c>
      <c r="W705" s="548"/>
      <c r="Y705" s="544" t="s">
        <v>1674</v>
      </c>
      <c r="AA705" s="544" t="s">
        <v>1674</v>
      </c>
      <c r="AE705" s="551"/>
      <c r="AF705" s="544" t="s">
        <v>1674</v>
      </c>
      <c r="AG705" s="544" t="s">
        <v>1674</v>
      </c>
      <c r="AH705" s="544" t="s">
        <v>1674</v>
      </c>
      <c r="AI705" s="544" t="s">
        <v>1674</v>
      </c>
      <c r="AJ705" s="544" t="s">
        <v>1674</v>
      </c>
      <c r="AK705" s="544" t="s">
        <v>1674</v>
      </c>
      <c r="AL705" s="544" t="s">
        <v>1674</v>
      </c>
      <c r="AM705" s="544" t="s">
        <v>2893</v>
      </c>
      <c r="AN705" s="544" t="s">
        <v>1674</v>
      </c>
      <c r="AP705" s="542">
        <f t="shared" si="23"/>
        <v>24</v>
      </c>
      <c r="AR705" s="552">
        <f t="shared" si="22"/>
        <v>0</v>
      </c>
    </row>
    <row r="706" spans="1:44" outlineLevel="1" x14ac:dyDescent="0.25">
      <c r="A706" s="544" t="s">
        <v>1674</v>
      </c>
      <c r="B706" s="545">
        <v>0</v>
      </c>
      <c r="C706" s="544" t="s">
        <v>1674</v>
      </c>
      <c r="D706" s="544" t="s">
        <v>3822</v>
      </c>
      <c r="E706" s="542" t="s">
        <v>3649</v>
      </c>
      <c r="F706" s="542" t="s">
        <v>3804</v>
      </c>
      <c r="G706" s="546">
        <v>7980</v>
      </c>
      <c r="H706" s="546"/>
      <c r="I706" s="546">
        <v>9780</v>
      </c>
      <c r="J706" s="542" t="s">
        <v>2701</v>
      </c>
      <c r="K706" s="547">
        <v>8120</v>
      </c>
      <c r="L706" s="542" t="s">
        <v>806</v>
      </c>
      <c r="M706" s="548"/>
      <c r="N706" s="549">
        <v>-37</v>
      </c>
      <c r="O706" s="544" t="s">
        <v>1674</v>
      </c>
      <c r="P706" s="544" t="s">
        <v>1674</v>
      </c>
      <c r="Q706" s="544" t="s">
        <v>2892</v>
      </c>
      <c r="R706" s="544" t="s">
        <v>1674</v>
      </c>
      <c r="S706" s="544" t="s">
        <v>1674</v>
      </c>
      <c r="T706" s="550"/>
      <c r="U706" s="544" t="s">
        <v>3328</v>
      </c>
      <c r="V706" s="547">
        <v>1405</v>
      </c>
      <c r="W706" s="548"/>
      <c r="Y706" s="544" t="s">
        <v>1674</v>
      </c>
      <c r="AA706" s="544" t="s">
        <v>1674</v>
      </c>
      <c r="AE706" s="551"/>
      <c r="AF706" s="544" t="s">
        <v>1674</v>
      </c>
      <c r="AG706" s="544" t="s">
        <v>1674</v>
      </c>
      <c r="AH706" s="544" t="s">
        <v>1674</v>
      </c>
      <c r="AI706" s="544" t="s">
        <v>1674</v>
      </c>
      <c r="AJ706" s="544" t="s">
        <v>1674</v>
      </c>
      <c r="AK706" s="544" t="s">
        <v>1674</v>
      </c>
      <c r="AL706" s="544" t="s">
        <v>1674</v>
      </c>
      <c r="AM706" s="544" t="s">
        <v>1674</v>
      </c>
      <c r="AN706" s="544" t="s">
        <v>1674</v>
      </c>
      <c r="AP706" s="542">
        <f t="shared" si="23"/>
        <v>24</v>
      </c>
      <c r="AR706" s="552">
        <f t="shared" si="22"/>
        <v>9780</v>
      </c>
    </row>
    <row r="707" spans="1:44" outlineLevel="1" x14ac:dyDescent="0.25">
      <c r="A707" s="544" t="s">
        <v>1674</v>
      </c>
      <c r="B707" s="545">
        <v>30803</v>
      </c>
      <c r="C707" s="544" t="s">
        <v>2925</v>
      </c>
      <c r="D707" s="544" t="s">
        <v>3823</v>
      </c>
      <c r="E707" s="542" t="s">
        <v>3649</v>
      </c>
      <c r="F707" s="542" t="s">
        <v>3804</v>
      </c>
      <c r="G707" s="546">
        <v>2309.79</v>
      </c>
      <c r="H707" s="546"/>
      <c r="I707" s="546">
        <v>2309.79</v>
      </c>
      <c r="J707" s="542" t="s">
        <v>2701</v>
      </c>
      <c r="K707" s="547">
        <v>8400</v>
      </c>
      <c r="L707" s="542" t="s">
        <v>806</v>
      </c>
      <c r="M707" s="548"/>
      <c r="N707" s="549">
        <v>-37</v>
      </c>
      <c r="O707" s="544" t="s">
        <v>1674</v>
      </c>
      <c r="P707" s="544" t="s">
        <v>1674</v>
      </c>
      <c r="Q707" s="544" t="s">
        <v>3030</v>
      </c>
      <c r="R707" s="544" t="s">
        <v>1674</v>
      </c>
      <c r="S707" s="544" t="s">
        <v>1674</v>
      </c>
      <c r="T707" s="550">
        <v>19</v>
      </c>
      <c r="U707" s="544" t="s">
        <v>3328</v>
      </c>
      <c r="V707" s="547">
        <v>1397</v>
      </c>
      <c r="W707" s="548"/>
      <c r="Y707" s="544" t="s">
        <v>1674</v>
      </c>
      <c r="AA707" s="544" t="s">
        <v>1674</v>
      </c>
      <c r="AE707" s="551"/>
      <c r="AF707" s="544" t="s">
        <v>1674</v>
      </c>
      <c r="AG707" s="544" t="s">
        <v>1674</v>
      </c>
      <c r="AH707" s="544" t="s">
        <v>1674</v>
      </c>
      <c r="AI707" s="544" t="s">
        <v>1674</v>
      </c>
      <c r="AJ707" s="544" t="s">
        <v>1674</v>
      </c>
      <c r="AK707" s="544" t="s">
        <v>1674</v>
      </c>
      <c r="AL707" s="544" t="s">
        <v>1674</v>
      </c>
      <c r="AM707" s="544" t="s">
        <v>2928</v>
      </c>
      <c r="AN707" s="544" t="s">
        <v>1674</v>
      </c>
      <c r="AP707" s="542">
        <f t="shared" si="23"/>
        <v>24</v>
      </c>
      <c r="AR707" s="552">
        <f t="shared" si="22"/>
        <v>2309.79</v>
      </c>
    </row>
    <row r="708" spans="1:44" outlineLevel="1" x14ac:dyDescent="0.25">
      <c r="A708" s="544" t="s">
        <v>1674</v>
      </c>
      <c r="B708" s="545">
        <v>0</v>
      </c>
      <c r="C708" s="544" t="s">
        <v>1674</v>
      </c>
      <c r="D708" s="544" t="s">
        <v>3824</v>
      </c>
      <c r="E708" s="542" t="s">
        <v>3649</v>
      </c>
      <c r="F708" s="542" t="s">
        <v>3804</v>
      </c>
      <c r="G708" s="546">
        <v>14458.5</v>
      </c>
      <c r="H708" s="546"/>
      <c r="I708" s="546">
        <v>14458.5</v>
      </c>
      <c r="J708" s="542" t="s">
        <v>2701</v>
      </c>
      <c r="K708" s="547">
        <v>8400</v>
      </c>
      <c r="L708" s="542" t="s">
        <v>806</v>
      </c>
      <c r="M708" s="548"/>
      <c r="N708" s="549">
        <v>-37</v>
      </c>
      <c r="O708" s="544" t="s">
        <v>1674</v>
      </c>
      <c r="P708" s="544" t="s">
        <v>1674</v>
      </c>
      <c r="Q708" s="544" t="s">
        <v>3030</v>
      </c>
      <c r="R708" s="544" t="s">
        <v>1674</v>
      </c>
      <c r="S708" s="544" t="s">
        <v>1674</v>
      </c>
      <c r="T708" s="550">
        <v>19</v>
      </c>
      <c r="U708" s="544" t="s">
        <v>3328</v>
      </c>
      <c r="V708" s="547">
        <v>1406</v>
      </c>
      <c r="W708" s="548"/>
      <c r="Y708" s="544" t="s">
        <v>1674</v>
      </c>
      <c r="AA708" s="544" t="s">
        <v>1674</v>
      </c>
      <c r="AE708" s="551"/>
      <c r="AF708" s="544" t="s">
        <v>1674</v>
      </c>
      <c r="AG708" s="544" t="s">
        <v>1674</v>
      </c>
      <c r="AH708" s="544" t="s">
        <v>1674</v>
      </c>
      <c r="AI708" s="544" t="s">
        <v>1674</v>
      </c>
      <c r="AJ708" s="544" t="s">
        <v>1674</v>
      </c>
      <c r="AK708" s="544" t="s">
        <v>1674</v>
      </c>
      <c r="AL708" s="544" t="s">
        <v>1674</v>
      </c>
      <c r="AM708" s="544" t="s">
        <v>1674</v>
      </c>
      <c r="AN708" s="544" t="s">
        <v>1674</v>
      </c>
      <c r="AP708" s="542">
        <f t="shared" si="23"/>
        <v>24</v>
      </c>
      <c r="AR708" s="552">
        <f t="shared" si="22"/>
        <v>14458.5</v>
      </c>
    </row>
    <row r="709" spans="1:44" outlineLevel="1" x14ac:dyDescent="0.25">
      <c r="A709" s="544" t="s">
        <v>1674</v>
      </c>
      <c r="B709" s="545">
        <v>10233</v>
      </c>
      <c r="C709" s="544" t="s">
        <v>3684</v>
      </c>
      <c r="D709" s="544" t="s">
        <v>3825</v>
      </c>
      <c r="E709" s="542" t="s">
        <v>3653</v>
      </c>
      <c r="F709" s="542" t="s">
        <v>3826</v>
      </c>
      <c r="G709" s="546">
        <v>822.29</v>
      </c>
      <c r="H709" s="546"/>
      <c r="I709" s="546">
        <v>822.29</v>
      </c>
      <c r="J709" s="542" t="s">
        <v>2701</v>
      </c>
      <c r="K709" s="547">
        <v>8400</v>
      </c>
      <c r="L709" s="542" t="s">
        <v>806</v>
      </c>
      <c r="M709" s="548"/>
      <c r="N709" s="549">
        <v>-36</v>
      </c>
      <c r="O709" s="544" t="s">
        <v>1674</v>
      </c>
      <c r="P709" s="544" t="s">
        <v>1674</v>
      </c>
      <c r="Q709" s="544" t="s">
        <v>3686</v>
      </c>
      <c r="R709" s="544" t="s">
        <v>1674</v>
      </c>
      <c r="S709" s="544" t="s">
        <v>1674</v>
      </c>
      <c r="T709" s="550">
        <v>19</v>
      </c>
      <c r="U709" s="544" t="s">
        <v>3328</v>
      </c>
      <c r="V709" s="547">
        <v>1455</v>
      </c>
      <c r="W709" s="548"/>
      <c r="Y709" s="544" t="s">
        <v>1674</v>
      </c>
      <c r="AA709" s="544" t="s">
        <v>1674</v>
      </c>
      <c r="AE709" s="551"/>
      <c r="AF709" s="544" t="s">
        <v>1674</v>
      </c>
      <c r="AG709" s="544" t="s">
        <v>1674</v>
      </c>
      <c r="AH709" s="544" t="s">
        <v>1674</v>
      </c>
      <c r="AI709" s="544" t="s">
        <v>1674</v>
      </c>
      <c r="AJ709" s="544" t="s">
        <v>1674</v>
      </c>
      <c r="AK709" s="544" t="s">
        <v>1674</v>
      </c>
      <c r="AL709" s="544" t="s">
        <v>1674</v>
      </c>
      <c r="AM709" s="544" t="s">
        <v>3687</v>
      </c>
      <c r="AN709" s="544" t="s">
        <v>1674</v>
      </c>
      <c r="AP709" s="542">
        <f t="shared" si="23"/>
        <v>25</v>
      </c>
      <c r="AR709" s="552">
        <f t="shared" si="22"/>
        <v>822.29</v>
      </c>
    </row>
    <row r="710" spans="1:44" outlineLevel="1" x14ac:dyDescent="0.25">
      <c r="A710" s="544" t="s">
        <v>1674</v>
      </c>
      <c r="B710" s="545">
        <v>10302</v>
      </c>
      <c r="C710" s="544" t="s">
        <v>3708</v>
      </c>
      <c r="D710" s="544" t="s">
        <v>3827</v>
      </c>
      <c r="E710" s="542" t="s">
        <v>3653</v>
      </c>
      <c r="F710" s="542" t="s">
        <v>3826</v>
      </c>
      <c r="G710" s="546">
        <v>727.33</v>
      </c>
      <c r="H710" s="546"/>
      <c r="I710" s="546">
        <v>727.33</v>
      </c>
      <c r="J710" s="542" t="s">
        <v>2701</v>
      </c>
      <c r="K710" s="547">
        <v>8400</v>
      </c>
      <c r="L710" s="542" t="s">
        <v>806</v>
      </c>
      <c r="M710" s="548"/>
      <c r="N710" s="549">
        <v>-36</v>
      </c>
      <c r="O710" s="544" t="s">
        <v>1674</v>
      </c>
      <c r="P710" s="544" t="s">
        <v>1674</v>
      </c>
      <c r="Q710" s="544" t="s">
        <v>3708</v>
      </c>
      <c r="R710" s="544" t="s">
        <v>2622</v>
      </c>
      <c r="S710" s="544" t="s">
        <v>1674</v>
      </c>
      <c r="T710" s="550">
        <v>19</v>
      </c>
      <c r="U710" s="544" t="s">
        <v>3328</v>
      </c>
      <c r="V710" s="547">
        <v>1454</v>
      </c>
      <c r="W710" s="548"/>
      <c r="Y710" s="544" t="s">
        <v>1674</v>
      </c>
      <c r="AA710" s="544" t="s">
        <v>1674</v>
      </c>
      <c r="AE710" s="551"/>
      <c r="AF710" s="544" t="s">
        <v>1674</v>
      </c>
      <c r="AG710" s="544" t="s">
        <v>1674</v>
      </c>
      <c r="AH710" s="544" t="s">
        <v>1674</v>
      </c>
      <c r="AI710" s="544" t="s">
        <v>1674</v>
      </c>
      <c r="AJ710" s="544" t="s">
        <v>1674</v>
      </c>
      <c r="AK710" s="544" t="s">
        <v>1674</v>
      </c>
      <c r="AL710" s="544" t="s">
        <v>1674</v>
      </c>
      <c r="AM710" s="544" t="s">
        <v>3712</v>
      </c>
      <c r="AN710" s="544" t="s">
        <v>1674</v>
      </c>
      <c r="AP710" s="542">
        <f t="shared" si="23"/>
        <v>25</v>
      </c>
      <c r="AR710" s="552">
        <f t="shared" si="22"/>
        <v>727.33</v>
      </c>
    </row>
    <row r="711" spans="1:44" outlineLevel="1" x14ac:dyDescent="0.25">
      <c r="A711" s="544" t="s">
        <v>1674</v>
      </c>
      <c r="B711" s="545">
        <v>11206</v>
      </c>
      <c r="C711" s="544" t="s">
        <v>3132</v>
      </c>
      <c r="D711" s="544" t="s">
        <v>3828</v>
      </c>
      <c r="E711" s="542" t="s">
        <v>3653</v>
      </c>
      <c r="F711" s="542" t="s">
        <v>3826</v>
      </c>
      <c r="G711" s="546">
        <v>1989.2</v>
      </c>
      <c r="H711" s="546"/>
      <c r="I711" s="546"/>
      <c r="J711" s="542" t="s">
        <v>806</v>
      </c>
      <c r="K711" s="547">
        <v>8400</v>
      </c>
      <c r="L711" s="542" t="s">
        <v>806</v>
      </c>
      <c r="M711" s="548"/>
      <c r="N711" s="549">
        <v>-36</v>
      </c>
      <c r="O711" s="544" t="s">
        <v>1674</v>
      </c>
      <c r="P711" s="544" t="s">
        <v>1674</v>
      </c>
      <c r="Q711" s="544" t="s">
        <v>3134</v>
      </c>
      <c r="R711" s="544" t="s">
        <v>2898</v>
      </c>
      <c r="S711" s="544" t="s">
        <v>1674</v>
      </c>
      <c r="T711" s="550">
        <v>19</v>
      </c>
      <c r="U711" s="544" t="s">
        <v>3328</v>
      </c>
      <c r="V711" s="547">
        <v>1467</v>
      </c>
      <c r="W711" s="548"/>
      <c r="Y711" s="544" t="s">
        <v>1674</v>
      </c>
      <c r="AA711" s="544" t="s">
        <v>1674</v>
      </c>
      <c r="AE711" s="551"/>
      <c r="AF711" s="544" t="s">
        <v>1674</v>
      </c>
      <c r="AG711" s="544" t="s">
        <v>1674</v>
      </c>
      <c r="AH711" s="544" t="s">
        <v>1674</v>
      </c>
      <c r="AI711" s="544" t="s">
        <v>1674</v>
      </c>
      <c r="AJ711" s="544" t="s">
        <v>1674</v>
      </c>
      <c r="AK711" s="544" t="s">
        <v>1674</v>
      </c>
      <c r="AL711" s="544" t="s">
        <v>1674</v>
      </c>
      <c r="AM711" s="544" t="s">
        <v>3135</v>
      </c>
      <c r="AN711" s="544" t="s">
        <v>1674</v>
      </c>
      <c r="AP711" s="542">
        <f t="shared" si="23"/>
        <v>25</v>
      </c>
      <c r="AR711" s="552">
        <f t="shared" si="22"/>
        <v>0</v>
      </c>
    </row>
    <row r="712" spans="1:44" outlineLevel="1" x14ac:dyDescent="0.25">
      <c r="A712" s="544" t="s">
        <v>1674</v>
      </c>
      <c r="B712" s="545">
        <v>0</v>
      </c>
      <c r="C712" s="544" t="s">
        <v>1674</v>
      </c>
      <c r="D712" s="544" t="s">
        <v>3828</v>
      </c>
      <c r="E712" s="542" t="s">
        <v>3653</v>
      </c>
      <c r="F712" s="542" t="s">
        <v>3826</v>
      </c>
      <c r="G712" s="546">
        <v>23.8</v>
      </c>
      <c r="H712" s="546"/>
      <c r="I712" s="546">
        <v>2013</v>
      </c>
      <c r="J712" s="542" t="s">
        <v>2701</v>
      </c>
      <c r="K712" s="547">
        <v>8400</v>
      </c>
      <c r="L712" s="542" t="s">
        <v>806</v>
      </c>
      <c r="M712" s="548"/>
      <c r="N712" s="549">
        <v>-36</v>
      </c>
      <c r="O712" s="544" t="s">
        <v>1674</v>
      </c>
      <c r="P712" s="544" t="s">
        <v>1674</v>
      </c>
      <c r="Q712" s="544" t="s">
        <v>3139</v>
      </c>
      <c r="R712" s="544" t="s">
        <v>1674</v>
      </c>
      <c r="S712" s="544" t="s">
        <v>1674</v>
      </c>
      <c r="T712" s="550">
        <v>19</v>
      </c>
      <c r="U712" s="544" t="s">
        <v>3328</v>
      </c>
      <c r="V712" s="547">
        <v>1468</v>
      </c>
      <c r="W712" s="548"/>
      <c r="Y712" s="544" t="s">
        <v>1674</v>
      </c>
      <c r="AA712" s="544" t="s">
        <v>1674</v>
      </c>
      <c r="AE712" s="551"/>
      <c r="AF712" s="544" t="s">
        <v>1674</v>
      </c>
      <c r="AG712" s="544" t="s">
        <v>1674</v>
      </c>
      <c r="AH712" s="544" t="s">
        <v>1674</v>
      </c>
      <c r="AI712" s="544" t="s">
        <v>1674</v>
      </c>
      <c r="AJ712" s="544" t="s">
        <v>1674</v>
      </c>
      <c r="AK712" s="544" t="s">
        <v>1674</v>
      </c>
      <c r="AL712" s="544" t="s">
        <v>1674</v>
      </c>
      <c r="AM712" s="544" t="s">
        <v>1674</v>
      </c>
      <c r="AN712" s="544" t="s">
        <v>1674</v>
      </c>
      <c r="AP712" s="542">
        <f t="shared" si="23"/>
        <v>25</v>
      </c>
      <c r="AR712" s="552">
        <f t="shared" si="22"/>
        <v>2013</v>
      </c>
    </row>
    <row r="713" spans="1:44" outlineLevel="1" x14ac:dyDescent="0.25">
      <c r="A713" s="544" t="s">
        <v>1674</v>
      </c>
      <c r="B713" s="545">
        <v>11319</v>
      </c>
      <c r="C713" s="544" t="s">
        <v>3829</v>
      </c>
      <c r="D713" s="544" t="s">
        <v>3830</v>
      </c>
      <c r="E713" s="542" t="s">
        <v>3653</v>
      </c>
      <c r="F713" s="542" t="s">
        <v>3826</v>
      </c>
      <c r="G713" s="546">
        <v>773.5</v>
      </c>
      <c r="H713" s="546"/>
      <c r="I713" s="546">
        <v>773.5</v>
      </c>
      <c r="J713" s="542" t="s">
        <v>2701</v>
      </c>
      <c r="K713" s="547">
        <v>8403</v>
      </c>
      <c r="L713" s="542" t="s">
        <v>806</v>
      </c>
      <c r="M713" s="548"/>
      <c r="N713" s="549">
        <v>-36</v>
      </c>
      <c r="O713" s="544" t="s">
        <v>1674</v>
      </c>
      <c r="P713" s="544" t="s">
        <v>1674</v>
      </c>
      <c r="Q713" s="544" t="s">
        <v>3831</v>
      </c>
      <c r="R713" s="544" t="s">
        <v>1674</v>
      </c>
      <c r="S713" s="544" t="s">
        <v>1674</v>
      </c>
      <c r="T713" s="550">
        <v>19</v>
      </c>
      <c r="U713" s="544" t="s">
        <v>3328</v>
      </c>
      <c r="V713" s="547">
        <v>1450</v>
      </c>
      <c r="W713" s="548"/>
      <c r="Y713" s="544" t="s">
        <v>1674</v>
      </c>
      <c r="AA713" s="544" t="s">
        <v>1674</v>
      </c>
      <c r="AE713" s="551"/>
      <c r="AF713" s="544" t="s">
        <v>1674</v>
      </c>
      <c r="AG713" s="544" t="s">
        <v>1674</v>
      </c>
      <c r="AH713" s="544" t="s">
        <v>1674</v>
      </c>
      <c r="AI713" s="544" t="s">
        <v>1674</v>
      </c>
      <c r="AJ713" s="544" t="s">
        <v>1674</v>
      </c>
      <c r="AK713" s="544" t="s">
        <v>1674</v>
      </c>
      <c r="AL713" s="544" t="s">
        <v>1674</v>
      </c>
      <c r="AM713" s="544" t="s">
        <v>3832</v>
      </c>
      <c r="AN713" s="544" t="s">
        <v>1674</v>
      </c>
      <c r="AP713" s="542">
        <f t="shared" si="23"/>
        <v>25</v>
      </c>
      <c r="AR713" s="552">
        <f t="shared" si="22"/>
        <v>773.5</v>
      </c>
    </row>
    <row r="714" spans="1:44" outlineLevel="1" x14ac:dyDescent="0.25">
      <c r="A714" s="544" t="s">
        <v>1674</v>
      </c>
      <c r="B714" s="545">
        <v>0</v>
      </c>
      <c r="C714" s="544" t="s">
        <v>1674</v>
      </c>
      <c r="D714" s="544" t="s">
        <v>3833</v>
      </c>
      <c r="E714" s="542" t="s">
        <v>3653</v>
      </c>
      <c r="F714" s="542" t="s">
        <v>3826</v>
      </c>
      <c r="G714" s="546">
        <v>773.5</v>
      </c>
      <c r="H714" s="546"/>
      <c r="I714" s="546">
        <v>773.5</v>
      </c>
      <c r="J714" s="542" t="s">
        <v>2701</v>
      </c>
      <c r="K714" s="547">
        <v>8403</v>
      </c>
      <c r="L714" s="542" t="s">
        <v>806</v>
      </c>
      <c r="M714" s="548"/>
      <c r="N714" s="549">
        <v>-36</v>
      </c>
      <c r="O714" s="544" t="s">
        <v>1674</v>
      </c>
      <c r="P714" s="544" t="s">
        <v>1674</v>
      </c>
      <c r="Q714" s="544" t="s">
        <v>3831</v>
      </c>
      <c r="R714" s="544" t="s">
        <v>1674</v>
      </c>
      <c r="S714" s="544" t="s">
        <v>1674</v>
      </c>
      <c r="T714" s="550">
        <v>19</v>
      </c>
      <c r="U714" s="544" t="s">
        <v>3328</v>
      </c>
      <c r="V714" s="547">
        <v>1451</v>
      </c>
      <c r="W714" s="548"/>
      <c r="Y714" s="544" t="s">
        <v>1674</v>
      </c>
      <c r="AA714" s="544" t="s">
        <v>1674</v>
      </c>
      <c r="AE714" s="551"/>
      <c r="AF714" s="544" t="s">
        <v>1674</v>
      </c>
      <c r="AG714" s="544" t="s">
        <v>1674</v>
      </c>
      <c r="AH714" s="544" t="s">
        <v>1674</v>
      </c>
      <c r="AI714" s="544" t="s">
        <v>1674</v>
      </c>
      <c r="AJ714" s="544" t="s">
        <v>1674</v>
      </c>
      <c r="AK714" s="544" t="s">
        <v>1674</v>
      </c>
      <c r="AL714" s="544" t="s">
        <v>1674</v>
      </c>
      <c r="AM714" s="544" t="s">
        <v>1674</v>
      </c>
      <c r="AN714" s="544" t="s">
        <v>1674</v>
      </c>
      <c r="AP714" s="542">
        <f t="shared" si="23"/>
        <v>25</v>
      </c>
      <c r="AR714" s="552">
        <f t="shared" si="22"/>
        <v>773.5</v>
      </c>
    </row>
    <row r="715" spans="1:44" outlineLevel="1" x14ac:dyDescent="0.25">
      <c r="A715" s="544" t="s">
        <v>1674</v>
      </c>
      <c r="B715" s="545">
        <v>0</v>
      </c>
      <c r="C715" s="544" t="s">
        <v>1674</v>
      </c>
      <c r="D715" s="544" t="s">
        <v>3834</v>
      </c>
      <c r="E715" s="542" t="s">
        <v>3653</v>
      </c>
      <c r="F715" s="542" t="s">
        <v>3826</v>
      </c>
      <c r="G715" s="546">
        <v>773.5</v>
      </c>
      <c r="H715" s="546"/>
      <c r="I715" s="546">
        <v>773.5</v>
      </c>
      <c r="J715" s="542" t="s">
        <v>2701</v>
      </c>
      <c r="K715" s="547">
        <v>8403</v>
      </c>
      <c r="L715" s="542" t="s">
        <v>806</v>
      </c>
      <c r="M715" s="548"/>
      <c r="N715" s="549">
        <v>-36</v>
      </c>
      <c r="O715" s="544" t="s">
        <v>1674</v>
      </c>
      <c r="P715" s="544" t="s">
        <v>1674</v>
      </c>
      <c r="Q715" s="544" t="s">
        <v>3831</v>
      </c>
      <c r="R715" s="544" t="s">
        <v>1674</v>
      </c>
      <c r="S715" s="544" t="s">
        <v>1674</v>
      </c>
      <c r="T715" s="550">
        <v>19</v>
      </c>
      <c r="U715" s="544" t="s">
        <v>3328</v>
      </c>
      <c r="V715" s="547">
        <v>1452</v>
      </c>
      <c r="W715" s="548"/>
      <c r="Y715" s="544" t="s">
        <v>1674</v>
      </c>
      <c r="AA715" s="544" t="s">
        <v>1674</v>
      </c>
      <c r="AE715" s="551"/>
      <c r="AF715" s="544" t="s">
        <v>1674</v>
      </c>
      <c r="AG715" s="544" t="s">
        <v>1674</v>
      </c>
      <c r="AH715" s="544" t="s">
        <v>1674</v>
      </c>
      <c r="AI715" s="544" t="s">
        <v>1674</v>
      </c>
      <c r="AJ715" s="544" t="s">
        <v>1674</v>
      </c>
      <c r="AK715" s="544" t="s">
        <v>1674</v>
      </c>
      <c r="AL715" s="544" t="s">
        <v>1674</v>
      </c>
      <c r="AM715" s="544" t="s">
        <v>1674</v>
      </c>
      <c r="AN715" s="544" t="s">
        <v>1674</v>
      </c>
      <c r="AP715" s="542">
        <f t="shared" si="23"/>
        <v>25</v>
      </c>
      <c r="AR715" s="552">
        <f t="shared" si="22"/>
        <v>773.5</v>
      </c>
    </row>
    <row r="716" spans="1:44" outlineLevel="1" x14ac:dyDescent="0.25">
      <c r="A716" s="544" t="s">
        <v>1674</v>
      </c>
      <c r="B716" s="545">
        <v>11411</v>
      </c>
      <c r="C716" s="544" t="s">
        <v>3835</v>
      </c>
      <c r="D716" s="544" t="s">
        <v>3836</v>
      </c>
      <c r="E716" s="542" t="s">
        <v>3653</v>
      </c>
      <c r="F716" s="542" t="s">
        <v>3826</v>
      </c>
      <c r="G716" s="546">
        <v>1408.01</v>
      </c>
      <c r="H716" s="546"/>
      <c r="I716" s="546">
        <v>1408.01</v>
      </c>
      <c r="J716" s="542" t="s">
        <v>2701</v>
      </c>
      <c r="K716" s="547">
        <v>8400</v>
      </c>
      <c r="L716" s="542" t="s">
        <v>806</v>
      </c>
      <c r="M716" s="548"/>
      <c r="N716" s="549">
        <v>-36</v>
      </c>
      <c r="O716" s="544" t="s">
        <v>1674</v>
      </c>
      <c r="P716" s="544" t="s">
        <v>1674</v>
      </c>
      <c r="Q716" s="544" t="s">
        <v>3837</v>
      </c>
      <c r="R716" s="544" t="s">
        <v>1674</v>
      </c>
      <c r="S716" s="544" t="s">
        <v>1674</v>
      </c>
      <c r="T716" s="550">
        <v>19</v>
      </c>
      <c r="U716" s="544" t="s">
        <v>3328</v>
      </c>
      <c r="V716" s="547">
        <v>1458</v>
      </c>
      <c r="W716" s="548"/>
      <c r="Y716" s="544" t="s">
        <v>1674</v>
      </c>
      <c r="AA716" s="544" t="s">
        <v>1674</v>
      </c>
      <c r="AE716" s="551"/>
      <c r="AF716" s="544" t="s">
        <v>1674</v>
      </c>
      <c r="AG716" s="544" t="s">
        <v>1674</v>
      </c>
      <c r="AH716" s="544" t="s">
        <v>1674</v>
      </c>
      <c r="AI716" s="544" t="s">
        <v>1674</v>
      </c>
      <c r="AJ716" s="544" t="s">
        <v>1674</v>
      </c>
      <c r="AK716" s="544" t="s">
        <v>1674</v>
      </c>
      <c r="AL716" s="544" t="s">
        <v>1674</v>
      </c>
      <c r="AM716" s="544" t="s">
        <v>3838</v>
      </c>
      <c r="AN716" s="544" t="s">
        <v>1674</v>
      </c>
      <c r="AP716" s="542">
        <f t="shared" si="23"/>
        <v>25</v>
      </c>
      <c r="AR716" s="552">
        <f t="shared" si="22"/>
        <v>1408.01</v>
      </c>
    </row>
    <row r="717" spans="1:44" outlineLevel="1" x14ac:dyDescent="0.25">
      <c r="A717" s="544" t="s">
        <v>1674</v>
      </c>
      <c r="B717" s="545">
        <v>11800</v>
      </c>
      <c r="C717" s="544" t="s">
        <v>2581</v>
      </c>
      <c r="D717" s="544" t="s">
        <v>3839</v>
      </c>
      <c r="E717" s="542" t="s">
        <v>3653</v>
      </c>
      <c r="F717" s="542" t="s">
        <v>3826</v>
      </c>
      <c r="G717" s="546">
        <v>1011.5</v>
      </c>
      <c r="H717" s="546"/>
      <c r="I717" s="546">
        <v>1011.5</v>
      </c>
      <c r="J717" s="542" t="s">
        <v>2701</v>
      </c>
      <c r="K717" s="547">
        <v>8403</v>
      </c>
      <c r="L717" s="542" t="s">
        <v>806</v>
      </c>
      <c r="M717" s="548"/>
      <c r="N717" s="549">
        <v>-36</v>
      </c>
      <c r="O717" s="544" t="s">
        <v>1674</v>
      </c>
      <c r="P717" s="544" t="s">
        <v>1674</v>
      </c>
      <c r="Q717" s="544" t="s">
        <v>2720</v>
      </c>
      <c r="R717" s="544" t="s">
        <v>1674</v>
      </c>
      <c r="S717" s="544" t="s">
        <v>1674</v>
      </c>
      <c r="T717" s="550">
        <v>19</v>
      </c>
      <c r="U717" s="544" t="s">
        <v>3328</v>
      </c>
      <c r="V717" s="547">
        <v>1453</v>
      </c>
      <c r="W717" s="548"/>
      <c r="Y717" s="544" t="s">
        <v>1674</v>
      </c>
      <c r="AA717" s="544" t="s">
        <v>1674</v>
      </c>
      <c r="AE717" s="551"/>
      <c r="AF717" s="544" t="s">
        <v>1674</v>
      </c>
      <c r="AG717" s="544" t="s">
        <v>1674</v>
      </c>
      <c r="AH717" s="544" t="s">
        <v>1674</v>
      </c>
      <c r="AI717" s="544" t="s">
        <v>1674</v>
      </c>
      <c r="AJ717" s="544" t="s">
        <v>1674</v>
      </c>
      <c r="AK717" s="544" t="s">
        <v>1674</v>
      </c>
      <c r="AL717" s="544" t="s">
        <v>1674</v>
      </c>
      <c r="AM717" s="544" t="s">
        <v>2581</v>
      </c>
      <c r="AN717" s="544" t="s">
        <v>1674</v>
      </c>
      <c r="AP717" s="542">
        <f t="shared" si="23"/>
        <v>25</v>
      </c>
      <c r="AR717" s="552">
        <f t="shared" si="22"/>
        <v>1011.5</v>
      </c>
    </row>
    <row r="718" spans="1:44" outlineLevel="1" x14ac:dyDescent="0.25">
      <c r="A718" s="544" t="s">
        <v>1674</v>
      </c>
      <c r="B718" s="545">
        <v>22203</v>
      </c>
      <c r="C718" s="544" t="s">
        <v>2934</v>
      </c>
      <c r="D718" s="544" t="s">
        <v>3840</v>
      </c>
      <c r="E718" s="542" t="s">
        <v>3653</v>
      </c>
      <c r="F718" s="542" t="s">
        <v>3826</v>
      </c>
      <c r="G718" s="546">
        <v>38720</v>
      </c>
      <c r="H718" s="546"/>
      <c r="I718" s="546">
        <v>38720</v>
      </c>
      <c r="J718" s="542" t="s">
        <v>2701</v>
      </c>
      <c r="K718" s="547">
        <v>8125</v>
      </c>
      <c r="L718" s="542" t="s">
        <v>806</v>
      </c>
      <c r="M718" s="548"/>
      <c r="N718" s="549">
        <v>-36</v>
      </c>
      <c r="O718" s="544" t="s">
        <v>1674</v>
      </c>
      <c r="P718" s="544" t="s">
        <v>1674</v>
      </c>
      <c r="Q718" s="544" t="s">
        <v>2936</v>
      </c>
      <c r="R718" s="544" t="s">
        <v>1674</v>
      </c>
      <c r="S718" s="544" t="s">
        <v>1674</v>
      </c>
      <c r="T718" s="550"/>
      <c r="U718" s="544" t="s">
        <v>3328</v>
      </c>
      <c r="V718" s="547">
        <v>1466</v>
      </c>
      <c r="W718" s="548"/>
      <c r="Y718" s="544" t="s">
        <v>1674</v>
      </c>
      <c r="AA718" s="544" t="s">
        <v>1674</v>
      </c>
      <c r="AE718" s="551"/>
      <c r="AF718" s="544" t="s">
        <v>1674</v>
      </c>
      <c r="AG718" s="544" t="s">
        <v>1674</v>
      </c>
      <c r="AH718" s="544" t="s">
        <v>1674</v>
      </c>
      <c r="AI718" s="544" t="s">
        <v>1674</v>
      </c>
      <c r="AJ718" s="544" t="s">
        <v>1674</v>
      </c>
      <c r="AK718" s="544" t="s">
        <v>1674</v>
      </c>
      <c r="AL718" s="544" t="s">
        <v>1674</v>
      </c>
      <c r="AM718" s="544" t="s">
        <v>2937</v>
      </c>
      <c r="AN718" s="544" t="s">
        <v>1674</v>
      </c>
      <c r="AP718" s="542">
        <f t="shared" si="23"/>
        <v>25</v>
      </c>
      <c r="AR718" s="552">
        <f t="shared" si="22"/>
        <v>38720</v>
      </c>
    </row>
    <row r="719" spans="1:44" outlineLevel="1" x14ac:dyDescent="0.25">
      <c r="A719" s="544" t="s">
        <v>1674</v>
      </c>
      <c r="B719" s="545">
        <v>22506</v>
      </c>
      <c r="C719" s="544" t="s">
        <v>2859</v>
      </c>
      <c r="D719" s="544" t="s">
        <v>3841</v>
      </c>
      <c r="E719" s="542" t="s">
        <v>3653</v>
      </c>
      <c r="F719" s="542" t="s">
        <v>3826</v>
      </c>
      <c r="G719" s="546">
        <v>10251</v>
      </c>
      <c r="H719" s="546"/>
      <c r="I719" s="546">
        <v>10251</v>
      </c>
      <c r="J719" s="542" t="s">
        <v>2701</v>
      </c>
      <c r="K719" s="547">
        <v>8125</v>
      </c>
      <c r="L719" s="542" t="s">
        <v>806</v>
      </c>
      <c r="M719" s="548"/>
      <c r="N719" s="549">
        <v>-36</v>
      </c>
      <c r="O719" s="544" t="s">
        <v>1674</v>
      </c>
      <c r="P719" s="544" t="s">
        <v>1674</v>
      </c>
      <c r="Q719" s="544" t="s">
        <v>3013</v>
      </c>
      <c r="R719" s="544" t="s">
        <v>1674</v>
      </c>
      <c r="S719" s="544" t="s">
        <v>1674</v>
      </c>
      <c r="T719" s="550"/>
      <c r="U719" s="544" t="s">
        <v>3328</v>
      </c>
      <c r="V719" s="547">
        <v>1465</v>
      </c>
      <c r="W719" s="548"/>
      <c r="Y719" s="544" t="s">
        <v>1674</v>
      </c>
      <c r="AA719" s="544" t="s">
        <v>1674</v>
      </c>
      <c r="AE719" s="551"/>
      <c r="AF719" s="544" t="s">
        <v>1674</v>
      </c>
      <c r="AG719" s="544" t="s">
        <v>1674</v>
      </c>
      <c r="AH719" s="544" t="s">
        <v>1674</v>
      </c>
      <c r="AI719" s="544" t="s">
        <v>1674</v>
      </c>
      <c r="AJ719" s="544" t="s">
        <v>1674</v>
      </c>
      <c r="AK719" s="544" t="s">
        <v>1674</v>
      </c>
      <c r="AL719" s="544" t="s">
        <v>1674</v>
      </c>
      <c r="AM719" s="544" t="s">
        <v>2863</v>
      </c>
      <c r="AN719" s="544" t="s">
        <v>1674</v>
      </c>
      <c r="AP719" s="542">
        <f t="shared" si="23"/>
        <v>25</v>
      </c>
      <c r="AR719" s="552">
        <f t="shared" si="22"/>
        <v>10251</v>
      </c>
    </row>
    <row r="720" spans="1:44" outlineLevel="1" x14ac:dyDescent="0.25">
      <c r="A720" s="544" t="s">
        <v>1674</v>
      </c>
      <c r="B720" s="545">
        <v>10200</v>
      </c>
      <c r="C720" s="544" t="s">
        <v>2774</v>
      </c>
      <c r="D720" s="544" t="s">
        <v>3842</v>
      </c>
      <c r="E720" s="542" t="s">
        <v>3657</v>
      </c>
      <c r="F720" s="542" t="s">
        <v>3843</v>
      </c>
      <c r="G720" s="546">
        <v>444.58</v>
      </c>
      <c r="H720" s="546"/>
      <c r="I720" s="546"/>
      <c r="J720" s="542" t="s">
        <v>806</v>
      </c>
      <c r="K720" s="547">
        <v>8400</v>
      </c>
      <c r="L720" s="542" t="s">
        <v>806</v>
      </c>
      <c r="M720" s="548"/>
      <c r="N720" s="549">
        <v>-35</v>
      </c>
      <c r="O720" s="544" t="s">
        <v>1674</v>
      </c>
      <c r="P720" s="544" t="s">
        <v>1674</v>
      </c>
      <c r="Q720" s="544" t="s">
        <v>3844</v>
      </c>
      <c r="R720" s="544" t="s">
        <v>2622</v>
      </c>
      <c r="S720" s="544" t="s">
        <v>1674</v>
      </c>
      <c r="T720" s="550">
        <v>19</v>
      </c>
      <c r="U720" s="544" t="s">
        <v>3328</v>
      </c>
      <c r="V720" s="547">
        <v>1528</v>
      </c>
      <c r="W720" s="548"/>
      <c r="Y720" s="544" t="s">
        <v>1674</v>
      </c>
      <c r="AA720" s="544" t="s">
        <v>1674</v>
      </c>
      <c r="AE720" s="551"/>
      <c r="AF720" s="544" t="s">
        <v>1674</v>
      </c>
      <c r="AG720" s="544" t="s">
        <v>1674</v>
      </c>
      <c r="AH720" s="544" t="s">
        <v>1674</v>
      </c>
      <c r="AI720" s="544" t="s">
        <v>1674</v>
      </c>
      <c r="AJ720" s="544" t="s">
        <v>1674</v>
      </c>
      <c r="AK720" s="544" t="s">
        <v>1674</v>
      </c>
      <c r="AL720" s="544" t="s">
        <v>1674</v>
      </c>
      <c r="AM720" s="544" t="s">
        <v>2774</v>
      </c>
      <c r="AN720" s="544" t="s">
        <v>1674</v>
      </c>
      <c r="AP720" s="542">
        <f t="shared" si="23"/>
        <v>26</v>
      </c>
      <c r="AR720" s="552">
        <f t="shared" si="22"/>
        <v>0</v>
      </c>
    </row>
    <row r="721" spans="1:44" outlineLevel="1" x14ac:dyDescent="0.25">
      <c r="A721" s="544" t="s">
        <v>1674</v>
      </c>
      <c r="B721" s="545">
        <v>0</v>
      </c>
      <c r="C721" s="544" t="s">
        <v>1674</v>
      </c>
      <c r="D721" s="544" t="s">
        <v>3842</v>
      </c>
      <c r="E721" s="542" t="s">
        <v>3657</v>
      </c>
      <c r="F721" s="542" t="s">
        <v>3843</v>
      </c>
      <c r="G721" s="546">
        <v>464.1</v>
      </c>
      <c r="H721" s="546"/>
      <c r="I721" s="546">
        <v>908.68</v>
      </c>
      <c r="J721" s="542" t="s">
        <v>2701</v>
      </c>
      <c r="K721" s="547">
        <v>8400</v>
      </c>
      <c r="L721" s="542" t="s">
        <v>806</v>
      </c>
      <c r="M721" s="548"/>
      <c r="N721" s="549">
        <v>-35</v>
      </c>
      <c r="O721" s="544" t="s">
        <v>1674</v>
      </c>
      <c r="P721" s="544" t="s">
        <v>1674</v>
      </c>
      <c r="Q721" s="544" t="s">
        <v>3844</v>
      </c>
      <c r="R721" s="544" t="s">
        <v>1674</v>
      </c>
      <c r="S721" s="544" t="s">
        <v>1674</v>
      </c>
      <c r="T721" s="550">
        <v>19</v>
      </c>
      <c r="U721" s="544" t="s">
        <v>3328</v>
      </c>
      <c r="V721" s="547">
        <v>1529</v>
      </c>
      <c r="W721" s="548"/>
      <c r="Y721" s="544" t="s">
        <v>1674</v>
      </c>
      <c r="AA721" s="544" t="s">
        <v>1674</v>
      </c>
      <c r="AE721" s="551"/>
      <c r="AF721" s="544" t="s">
        <v>1674</v>
      </c>
      <c r="AG721" s="544" t="s">
        <v>1674</v>
      </c>
      <c r="AH721" s="544" t="s">
        <v>1674</v>
      </c>
      <c r="AI721" s="544" t="s">
        <v>1674</v>
      </c>
      <c r="AJ721" s="544" t="s">
        <v>1674</v>
      </c>
      <c r="AK721" s="544" t="s">
        <v>1674</v>
      </c>
      <c r="AL721" s="544" t="s">
        <v>1674</v>
      </c>
      <c r="AM721" s="544" t="s">
        <v>1674</v>
      </c>
      <c r="AN721" s="544" t="s">
        <v>1674</v>
      </c>
      <c r="AP721" s="542">
        <f t="shared" si="23"/>
        <v>26</v>
      </c>
      <c r="AR721" s="552">
        <f t="shared" si="22"/>
        <v>908.68</v>
      </c>
    </row>
    <row r="722" spans="1:44" outlineLevel="1" x14ac:dyDescent="0.25">
      <c r="A722" s="544" t="s">
        <v>1674</v>
      </c>
      <c r="B722" s="545">
        <v>10208</v>
      </c>
      <c r="C722" s="544" t="s">
        <v>2989</v>
      </c>
      <c r="D722" s="544" t="s">
        <v>3845</v>
      </c>
      <c r="E722" s="542" t="s">
        <v>3657</v>
      </c>
      <c r="F722" s="542" t="s">
        <v>3843</v>
      </c>
      <c r="G722" s="546">
        <v>291.55</v>
      </c>
      <c r="H722" s="546"/>
      <c r="I722" s="546">
        <v>291.55</v>
      </c>
      <c r="J722" s="542" t="s">
        <v>2701</v>
      </c>
      <c r="K722" s="547">
        <v>8400</v>
      </c>
      <c r="L722" s="542" t="s">
        <v>806</v>
      </c>
      <c r="M722" s="548"/>
      <c r="N722" s="549">
        <v>-35</v>
      </c>
      <c r="O722" s="544" t="s">
        <v>1674</v>
      </c>
      <c r="P722" s="544" t="s">
        <v>1674</v>
      </c>
      <c r="Q722" s="544" t="s">
        <v>2992</v>
      </c>
      <c r="R722" s="544" t="s">
        <v>2617</v>
      </c>
      <c r="S722" s="544" t="s">
        <v>1674</v>
      </c>
      <c r="T722" s="550">
        <v>19</v>
      </c>
      <c r="U722" s="544" t="s">
        <v>3328</v>
      </c>
      <c r="V722" s="547">
        <v>1522</v>
      </c>
      <c r="W722" s="548"/>
      <c r="Y722" s="544" t="s">
        <v>1674</v>
      </c>
      <c r="AA722" s="544" t="s">
        <v>1674</v>
      </c>
      <c r="AE722" s="551"/>
      <c r="AF722" s="544" t="s">
        <v>2993</v>
      </c>
      <c r="AG722" s="544" t="s">
        <v>2994</v>
      </c>
      <c r="AH722" s="544" t="s">
        <v>2995</v>
      </c>
      <c r="AI722" s="544" t="s">
        <v>1674</v>
      </c>
      <c r="AJ722" s="544" t="s">
        <v>2996</v>
      </c>
      <c r="AK722" s="544" t="s">
        <v>1674</v>
      </c>
      <c r="AL722" s="544" t="s">
        <v>1674</v>
      </c>
      <c r="AM722" s="544" t="s">
        <v>2997</v>
      </c>
      <c r="AN722" s="544" t="s">
        <v>2998</v>
      </c>
      <c r="AP722" s="542">
        <f t="shared" si="23"/>
        <v>26</v>
      </c>
      <c r="AR722" s="552">
        <f t="shared" si="22"/>
        <v>291.55</v>
      </c>
    </row>
    <row r="723" spans="1:44" outlineLevel="1" x14ac:dyDescent="0.25">
      <c r="A723" s="544" t="s">
        <v>1674</v>
      </c>
      <c r="B723" s="545">
        <v>0</v>
      </c>
      <c r="C723" s="544" t="s">
        <v>1674</v>
      </c>
      <c r="D723" s="544" t="s">
        <v>3846</v>
      </c>
      <c r="E723" s="542" t="s">
        <v>3657</v>
      </c>
      <c r="F723" s="542" t="s">
        <v>3843</v>
      </c>
      <c r="G723" s="546">
        <v>737.8</v>
      </c>
      <c r="H723" s="546"/>
      <c r="I723" s="546">
        <v>737.8</v>
      </c>
      <c r="J723" s="542" t="s">
        <v>2701</v>
      </c>
      <c r="K723" s="547">
        <v>8400</v>
      </c>
      <c r="L723" s="542" t="s">
        <v>806</v>
      </c>
      <c r="M723" s="548"/>
      <c r="N723" s="549">
        <v>-35</v>
      </c>
      <c r="O723" s="544" t="s">
        <v>1674</v>
      </c>
      <c r="P723" s="544" t="s">
        <v>1674</v>
      </c>
      <c r="Q723" s="544" t="s">
        <v>2992</v>
      </c>
      <c r="R723" s="544" t="s">
        <v>1674</v>
      </c>
      <c r="S723" s="544" t="s">
        <v>1674</v>
      </c>
      <c r="T723" s="550">
        <v>19</v>
      </c>
      <c r="U723" s="544" t="s">
        <v>3328</v>
      </c>
      <c r="V723" s="547">
        <v>1527</v>
      </c>
      <c r="W723" s="548"/>
      <c r="Y723" s="544" t="s">
        <v>1674</v>
      </c>
      <c r="AA723" s="544" t="s">
        <v>1674</v>
      </c>
      <c r="AE723" s="551"/>
      <c r="AF723" s="544" t="s">
        <v>1674</v>
      </c>
      <c r="AG723" s="544" t="s">
        <v>1674</v>
      </c>
      <c r="AH723" s="544" t="s">
        <v>1674</v>
      </c>
      <c r="AI723" s="544" t="s">
        <v>1674</v>
      </c>
      <c r="AJ723" s="544" t="s">
        <v>1674</v>
      </c>
      <c r="AK723" s="544" t="s">
        <v>1674</v>
      </c>
      <c r="AL723" s="544" t="s">
        <v>1674</v>
      </c>
      <c r="AM723" s="544" t="s">
        <v>1674</v>
      </c>
      <c r="AN723" s="544" t="s">
        <v>1674</v>
      </c>
      <c r="AP723" s="542">
        <f t="shared" si="23"/>
        <v>26</v>
      </c>
      <c r="AR723" s="552">
        <f t="shared" si="22"/>
        <v>737.8</v>
      </c>
    </row>
    <row r="724" spans="1:44" outlineLevel="1" x14ac:dyDescent="0.25">
      <c r="A724" s="544" t="s">
        <v>1674</v>
      </c>
      <c r="B724" s="545">
        <v>10233</v>
      </c>
      <c r="C724" s="544" t="s">
        <v>3684</v>
      </c>
      <c r="D724" s="544" t="s">
        <v>3847</v>
      </c>
      <c r="E724" s="542" t="s">
        <v>3657</v>
      </c>
      <c r="F724" s="542" t="s">
        <v>3843</v>
      </c>
      <c r="G724" s="546">
        <v>1178.0999999999999</v>
      </c>
      <c r="H724" s="546"/>
      <c r="I724" s="546"/>
      <c r="J724" s="542" t="s">
        <v>806</v>
      </c>
      <c r="K724" s="547">
        <v>8400</v>
      </c>
      <c r="L724" s="542" t="s">
        <v>806</v>
      </c>
      <c r="M724" s="548"/>
      <c r="N724" s="549">
        <v>-35</v>
      </c>
      <c r="O724" s="544" t="s">
        <v>1674</v>
      </c>
      <c r="P724" s="544" t="s">
        <v>1674</v>
      </c>
      <c r="Q724" s="544" t="s">
        <v>3686</v>
      </c>
      <c r="R724" s="544" t="s">
        <v>1674</v>
      </c>
      <c r="S724" s="544" t="s">
        <v>1674</v>
      </c>
      <c r="T724" s="550">
        <v>19</v>
      </c>
      <c r="U724" s="544" t="s">
        <v>3328</v>
      </c>
      <c r="V724" s="547">
        <v>1530</v>
      </c>
      <c r="W724" s="548"/>
      <c r="Y724" s="544" t="s">
        <v>1674</v>
      </c>
      <c r="AA724" s="544" t="s">
        <v>1674</v>
      </c>
      <c r="AE724" s="551"/>
      <c r="AF724" s="544" t="s">
        <v>1674</v>
      </c>
      <c r="AG724" s="544" t="s">
        <v>1674</v>
      </c>
      <c r="AH724" s="544" t="s">
        <v>1674</v>
      </c>
      <c r="AI724" s="544" t="s">
        <v>1674</v>
      </c>
      <c r="AJ724" s="544" t="s">
        <v>1674</v>
      </c>
      <c r="AK724" s="544" t="s">
        <v>1674</v>
      </c>
      <c r="AL724" s="544" t="s">
        <v>1674</v>
      </c>
      <c r="AM724" s="544" t="s">
        <v>3687</v>
      </c>
      <c r="AN724" s="544" t="s">
        <v>1674</v>
      </c>
      <c r="AP724" s="542">
        <f t="shared" si="23"/>
        <v>26</v>
      </c>
      <c r="AR724" s="552">
        <f t="shared" si="22"/>
        <v>0</v>
      </c>
    </row>
    <row r="725" spans="1:44" outlineLevel="1" x14ac:dyDescent="0.25">
      <c r="A725" s="544" t="s">
        <v>1674</v>
      </c>
      <c r="B725" s="545">
        <v>0</v>
      </c>
      <c r="C725" s="544" t="s">
        <v>1674</v>
      </c>
      <c r="D725" s="544" t="s">
        <v>3847</v>
      </c>
      <c r="E725" s="542" t="s">
        <v>3657</v>
      </c>
      <c r="F725" s="542" t="s">
        <v>3843</v>
      </c>
      <c r="G725" s="546">
        <v>3462.9</v>
      </c>
      <c r="H725" s="546"/>
      <c r="I725" s="546">
        <v>4641</v>
      </c>
      <c r="J725" s="542" t="s">
        <v>2701</v>
      </c>
      <c r="K725" s="547">
        <v>8401</v>
      </c>
      <c r="L725" s="542" t="s">
        <v>806</v>
      </c>
      <c r="M725" s="548"/>
      <c r="N725" s="549">
        <v>-35</v>
      </c>
      <c r="O725" s="544" t="s">
        <v>1674</v>
      </c>
      <c r="P725" s="544" t="s">
        <v>1674</v>
      </c>
      <c r="Q725" s="544" t="s">
        <v>3686</v>
      </c>
      <c r="R725" s="544" t="s">
        <v>1674</v>
      </c>
      <c r="S725" s="544" t="s">
        <v>1674</v>
      </c>
      <c r="T725" s="550">
        <v>19</v>
      </c>
      <c r="U725" s="544" t="s">
        <v>3328</v>
      </c>
      <c r="V725" s="547">
        <v>1531</v>
      </c>
      <c r="W725" s="548"/>
      <c r="Y725" s="544" t="s">
        <v>1674</v>
      </c>
      <c r="AA725" s="544" t="s">
        <v>1674</v>
      </c>
      <c r="AE725" s="551"/>
      <c r="AF725" s="544" t="s">
        <v>1674</v>
      </c>
      <c r="AG725" s="544" t="s">
        <v>1674</v>
      </c>
      <c r="AH725" s="544" t="s">
        <v>1674</v>
      </c>
      <c r="AI725" s="544" t="s">
        <v>1674</v>
      </c>
      <c r="AJ725" s="544" t="s">
        <v>1674</v>
      </c>
      <c r="AK725" s="544" t="s">
        <v>1674</v>
      </c>
      <c r="AL725" s="544" t="s">
        <v>1674</v>
      </c>
      <c r="AM725" s="544" t="s">
        <v>1674</v>
      </c>
      <c r="AN725" s="544" t="s">
        <v>1674</v>
      </c>
      <c r="AP725" s="542">
        <f t="shared" si="23"/>
        <v>26</v>
      </c>
      <c r="AR725" s="552">
        <f t="shared" ref="AR725:AR788" si="24">IF(J725="S",+I725,-I725)</f>
        <v>4641</v>
      </c>
    </row>
    <row r="726" spans="1:44" outlineLevel="1" x14ac:dyDescent="0.25">
      <c r="A726" s="544" t="s">
        <v>1674</v>
      </c>
      <c r="B726" s="545">
        <v>10400</v>
      </c>
      <c r="C726" s="544" t="s">
        <v>2730</v>
      </c>
      <c r="D726" s="544" t="s">
        <v>3848</v>
      </c>
      <c r="E726" s="542" t="s">
        <v>3657</v>
      </c>
      <c r="F726" s="542" t="s">
        <v>3843</v>
      </c>
      <c r="G726" s="546">
        <v>5703.08</v>
      </c>
      <c r="H726" s="546"/>
      <c r="I726" s="546">
        <v>5703.08</v>
      </c>
      <c r="J726" s="542" t="s">
        <v>2701</v>
      </c>
      <c r="K726" s="547">
        <v>8400</v>
      </c>
      <c r="L726" s="542" t="s">
        <v>806</v>
      </c>
      <c r="M726" s="548"/>
      <c r="N726" s="549">
        <v>-35</v>
      </c>
      <c r="O726" s="544" t="s">
        <v>1674</v>
      </c>
      <c r="P726" s="544" t="s">
        <v>1674</v>
      </c>
      <c r="Q726" s="544" t="s">
        <v>3162</v>
      </c>
      <c r="R726" s="544" t="s">
        <v>1674</v>
      </c>
      <c r="S726" s="544" t="s">
        <v>1674</v>
      </c>
      <c r="T726" s="550">
        <v>19</v>
      </c>
      <c r="U726" s="544" t="s">
        <v>3328</v>
      </c>
      <c r="V726" s="547">
        <v>1532</v>
      </c>
      <c r="W726" s="548"/>
      <c r="Y726" s="544" t="s">
        <v>1674</v>
      </c>
      <c r="AA726" s="544" t="s">
        <v>1674</v>
      </c>
      <c r="AE726" s="551"/>
      <c r="AF726" s="544" t="s">
        <v>1674</v>
      </c>
      <c r="AG726" s="544" t="s">
        <v>1674</v>
      </c>
      <c r="AH726" s="544" t="s">
        <v>1674</v>
      </c>
      <c r="AI726" s="544" t="s">
        <v>1674</v>
      </c>
      <c r="AJ726" s="544" t="s">
        <v>1674</v>
      </c>
      <c r="AK726" s="544" t="s">
        <v>1674</v>
      </c>
      <c r="AL726" s="544" t="s">
        <v>1674</v>
      </c>
      <c r="AM726" s="544" t="s">
        <v>2730</v>
      </c>
      <c r="AN726" s="544" t="s">
        <v>1674</v>
      </c>
      <c r="AP726" s="542">
        <f t="shared" si="23"/>
        <v>26</v>
      </c>
      <c r="AR726" s="552">
        <f t="shared" si="24"/>
        <v>5703.08</v>
      </c>
    </row>
    <row r="727" spans="1:44" outlineLevel="1" x14ac:dyDescent="0.25">
      <c r="A727" s="544" t="s">
        <v>1674</v>
      </c>
      <c r="B727" s="545">
        <v>0</v>
      </c>
      <c r="C727" s="544" t="s">
        <v>1674</v>
      </c>
      <c r="D727" s="544" t="s">
        <v>3849</v>
      </c>
      <c r="E727" s="542" t="s">
        <v>3657</v>
      </c>
      <c r="F727" s="542" t="s">
        <v>3843</v>
      </c>
      <c r="G727" s="546">
        <v>6843.69</v>
      </c>
      <c r="H727" s="546"/>
      <c r="I727" s="546">
        <v>6843.69</v>
      </c>
      <c r="J727" s="542" t="s">
        <v>2701</v>
      </c>
      <c r="K727" s="547">
        <v>8400</v>
      </c>
      <c r="L727" s="542" t="s">
        <v>806</v>
      </c>
      <c r="M727" s="548"/>
      <c r="N727" s="549">
        <v>-35</v>
      </c>
      <c r="O727" s="544" t="s">
        <v>1674</v>
      </c>
      <c r="P727" s="544" t="s">
        <v>1674</v>
      </c>
      <c r="Q727" s="544" t="s">
        <v>3162</v>
      </c>
      <c r="R727" s="544" t="s">
        <v>1674</v>
      </c>
      <c r="S727" s="544" t="s">
        <v>1674</v>
      </c>
      <c r="T727" s="550">
        <v>19</v>
      </c>
      <c r="U727" s="544" t="s">
        <v>3328</v>
      </c>
      <c r="V727" s="547">
        <v>1533</v>
      </c>
      <c r="W727" s="548"/>
      <c r="Y727" s="544" t="s">
        <v>1674</v>
      </c>
      <c r="AA727" s="544" t="s">
        <v>1674</v>
      </c>
      <c r="AE727" s="551"/>
      <c r="AF727" s="544" t="s">
        <v>1674</v>
      </c>
      <c r="AG727" s="544" t="s">
        <v>1674</v>
      </c>
      <c r="AH727" s="544" t="s">
        <v>1674</v>
      </c>
      <c r="AI727" s="544" t="s">
        <v>1674</v>
      </c>
      <c r="AJ727" s="544" t="s">
        <v>1674</v>
      </c>
      <c r="AK727" s="544" t="s">
        <v>1674</v>
      </c>
      <c r="AL727" s="544" t="s">
        <v>1674</v>
      </c>
      <c r="AM727" s="544" t="s">
        <v>1674</v>
      </c>
      <c r="AN727" s="544" t="s">
        <v>1674</v>
      </c>
      <c r="AP727" s="542">
        <f t="shared" si="23"/>
        <v>26</v>
      </c>
      <c r="AR727" s="552">
        <f t="shared" si="24"/>
        <v>6843.69</v>
      </c>
    </row>
    <row r="728" spans="1:44" outlineLevel="1" x14ac:dyDescent="0.25">
      <c r="A728" s="544" t="s">
        <v>1674</v>
      </c>
      <c r="B728" s="545">
        <v>10508</v>
      </c>
      <c r="C728" s="544" t="s">
        <v>3097</v>
      </c>
      <c r="D728" s="544" t="s">
        <v>3850</v>
      </c>
      <c r="E728" s="542" t="s">
        <v>3657</v>
      </c>
      <c r="F728" s="542" t="s">
        <v>3843</v>
      </c>
      <c r="G728" s="546">
        <v>118.67</v>
      </c>
      <c r="H728" s="546"/>
      <c r="I728" s="546"/>
      <c r="J728" s="542" t="s">
        <v>806</v>
      </c>
      <c r="K728" s="547">
        <v>8400</v>
      </c>
      <c r="L728" s="542" t="s">
        <v>806</v>
      </c>
      <c r="M728" s="548"/>
      <c r="N728" s="549">
        <v>-35</v>
      </c>
      <c r="O728" s="544" t="s">
        <v>1674</v>
      </c>
      <c r="P728" s="544" t="s">
        <v>1674</v>
      </c>
      <c r="Q728" s="544" t="s">
        <v>3099</v>
      </c>
      <c r="R728" s="544" t="s">
        <v>1674</v>
      </c>
      <c r="S728" s="544" t="s">
        <v>1674</v>
      </c>
      <c r="T728" s="550">
        <v>19</v>
      </c>
      <c r="U728" s="544" t="s">
        <v>3328</v>
      </c>
      <c r="V728" s="547">
        <v>1535</v>
      </c>
      <c r="W728" s="548"/>
      <c r="Y728" s="544" t="s">
        <v>1674</v>
      </c>
      <c r="AA728" s="544" t="s">
        <v>1674</v>
      </c>
      <c r="AE728" s="551"/>
      <c r="AF728" s="544" t="s">
        <v>3100</v>
      </c>
      <c r="AG728" s="544" t="s">
        <v>3101</v>
      </c>
      <c r="AH728" s="544" t="s">
        <v>3102</v>
      </c>
      <c r="AI728" s="544" t="s">
        <v>1674</v>
      </c>
      <c r="AJ728" s="544" t="s">
        <v>3103</v>
      </c>
      <c r="AK728" s="544" t="s">
        <v>1674</v>
      </c>
      <c r="AL728" s="544" t="s">
        <v>1674</v>
      </c>
      <c r="AM728" s="544" t="s">
        <v>3104</v>
      </c>
      <c r="AN728" s="544" t="s">
        <v>3105</v>
      </c>
      <c r="AP728" s="542">
        <f t="shared" si="23"/>
        <v>26</v>
      </c>
      <c r="AR728" s="552">
        <f t="shared" si="24"/>
        <v>0</v>
      </c>
    </row>
    <row r="729" spans="1:44" outlineLevel="1" x14ac:dyDescent="0.25">
      <c r="A729" s="544" t="s">
        <v>1674</v>
      </c>
      <c r="B729" s="545">
        <v>0</v>
      </c>
      <c r="C729" s="544" t="s">
        <v>1674</v>
      </c>
      <c r="D729" s="544" t="s">
        <v>3850</v>
      </c>
      <c r="E729" s="542" t="s">
        <v>3657</v>
      </c>
      <c r="F729" s="542" t="s">
        <v>3843</v>
      </c>
      <c r="G729" s="546">
        <v>51.84</v>
      </c>
      <c r="H729" s="546"/>
      <c r="I729" s="546"/>
      <c r="J729" s="542" t="s">
        <v>806</v>
      </c>
      <c r="K729" s="547">
        <v>8400</v>
      </c>
      <c r="L729" s="542" t="s">
        <v>806</v>
      </c>
      <c r="M729" s="548"/>
      <c r="N729" s="549">
        <v>-35</v>
      </c>
      <c r="O729" s="544" t="s">
        <v>1674</v>
      </c>
      <c r="P729" s="544" t="s">
        <v>1674</v>
      </c>
      <c r="Q729" s="544" t="s">
        <v>3099</v>
      </c>
      <c r="R729" s="544" t="s">
        <v>2617</v>
      </c>
      <c r="S729" s="544" t="s">
        <v>1674</v>
      </c>
      <c r="T729" s="550">
        <v>19</v>
      </c>
      <c r="U729" s="544" t="s">
        <v>3328</v>
      </c>
      <c r="V729" s="547">
        <v>1536</v>
      </c>
      <c r="W729" s="548"/>
      <c r="Y729" s="544" t="s">
        <v>1674</v>
      </c>
      <c r="AA729" s="544" t="s">
        <v>1674</v>
      </c>
      <c r="AE729" s="551"/>
      <c r="AF729" s="544" t="s">
        <v>1674</v>
      </c>
      <c r="AG729" s="544" t="s">
        <v>1674</v>
      </c>
      <c r="AH729" s="544" t="s">
        <v>1674</v>
      </c>
      <c r="AI729" s="544" t="s">
        <v>1674</v>
      </c>
      <c r="AJ729" s="544" t="s">
        <v>1674</v>
      </c>
      <c r="AK729" s="544" t="s">
        <v>1674</v>
      </c>
      <c r="AL729" s="544" t="s">
        <v>1674</v>
      </c>
      <c r="AM729" s="544" t="s">
        <v>1674</v>
      </c>
      <c r="AN729" s="544" t="s">
        <v>1674</v>
      </c>
      <c r="AP729" s="542">
        <f t="shared" si="23"/>
        <v>26</v>
      </c>
      <c r="AR729" s="552">
        <f t="shared" si="24"/>
        <v>0</v>
      </c>
    </row>
    <row r="730" spans="1:44" outlineLevel="1" x14ac:dyDescent="0.25">
      <c r="A730" s="544" t="s">
        <v>1674</v>
      </c>
      <c r="B730" s="545">
        <v>0</v>
      </c>
      <c r="C730" s="544" t="s">
        <v>1674</v>
      </c>
      <c r="D730" s="544" t="s">
        <v>3850</v>
      </c>
      <c r="E730" s="542" t="s">
        <v>3657</v>
      </c>
      <c r="F730" s="542" t="s">
        <v>3843</v>
      </c>
      <c r="G730" s="546">
        <v>16879.810000000001</v>
      </c>
      <c r="H730" s="546"/>
      <c r="I730" s="546">
        <v>17050.32</v>
      </c>
      <c r="J730" s="542" t="s">
        <v>2701</v>
      </c>
      <c r="K730" s="547">
        <v>8401</v>
      </c>
      <c r="L730" s="542" t="s">
        <v>806</v>
      </c>
      <c r="M730" s="548"/>
      <c r="N730" s="549">
        <v>-35</v>
      </c>
      <c r="O730" s="544" t="s">
        <v>1674</v>
      </c>
      <c r="P730" s="544" t="s">
        <v>1674</v>
      </c>
      <c r="Q730" s="544" t="s">
        <v>3099</v>
      </c>
      <c r="R730" s="544" t="s">
        <v>1674</v>
      </c>
      <c r="S730" s="544" t="s">
        <v>1674</v>
      </c>
      <c r="T730" s="550">
        <v>19</v>
      </c>
      <c r="U730" s="544" t="s">
        <v>3328</v>
      </c>
      <c r="V730" s="547">
        <v>1537</v>
      </c>
      <c r="W730" s="548"/>
      <c r="Y730" s="544" t="s">
        <v>1674</v>
      </c>
      <c r="AA730" s="544" t="s">
        <v>1674</v>
      </c>
      <c r="AE730" s="551"/>
      <c r="AF730" s="544" t="s">
        <v>1674</v>
      </c>
      <c r="AG730" s="544" t="s">
        <v>1674</v>
      </c>
      <c r="AH730" s="544" t="s">
        <v>1674</v>
      </c>
      <c r="AI730" s="544" t="s">
        <v>1674</v>
      </c>
      <c r="AJ730" s="544" t="s">
        <v>1674</v>
      </c>
      <c r="AK730" s="544" t="s">
        <v>1674</v>
      </c>
      <c r="AL730" s="544" t="s">
        <v>1674</v>
      </c>
      <c r="AM730" s="544" t="s">
        <v>1674</v>
      </c>
      <c r="AN730" s="544" t="s">
        <v>1674</v>
      </c>
      <c r="AP730" s="542">
        <f t="shared" si="23"/>
        <v>26</v>
      </c>
      <c r="AR730" s="552">
        <f t="shared" si="24"/>
        <v>17050.32</v>
      </c>
    </row>
    <row r="731" spans="1:44" outlineLevel="1" x14ac:dyDescent="0.25">
      <c r="A731" s="544" t="s">
        <v>1674</v>
      </c>
      <c r="B731" s="545">
        <v>11100</v>
      </c>
      <c r="C731" s="544" t="s">
        <v>2742</v>
      </c>
      <c r="D731" s="544" t="s">
        <v>3851</v>
      </c>
      <c r="E731" s="542" t="s">
        <v>3657</v>
      </c>
      <c r="F731" s="542" t="s">
        <v>3843</v>
      </c>
      <c r="G731" s="546">
        <v>683.06</v>
      </c>
      <c r="H731" s="546"/>
      <c r="I731" s="546">
        <v>683.06</v>
      </c>
      <c r="J731" s="542" t="s">
        <v>2701</v>
      </c>
      <c r="K731" s="547">
        <v>8400</v>
      </c>
      <c r="L731" s="542" t="s">
        <v>806</v>
      </c>
      <c r="M731" s="548"/>
      <c r="N731" s="549">
        <v>-35</v>
      </c>
      <c r="O731" s="544" t="s">
        <v>1674</v>
      </c>
      <c r="P731" s="544" t="s">
        <v>1674</v>
      </c>
      <c r="Q731" s="544" t="s">
        <v>3356</v>
      </c>
      <c r="R731" s="544" t="s">
        <v>2622</v>
      </c>
      <c r="S731" s="544" t="s">
        <v>1674</v>
      </c>
      <c r="T731" s="550">
        <v>19</v>
      </c>
      <c r="U731" s="544" t="s">
        <v>3328</v>
      </c>
      <c r="V731" s="547">
        <v>1526</v>
      </c>
      <c r="W731" s="548"/>
      <c r="Y731" s="544" t="s">
        <v>1674</v>
      </c>
      <c r="AA731" s="544" t="s">
        <v>1674</v>
      </c>
      <c r="AE731" s="551"/>
      <c r="AF731" s="544" t="s">
        <v>1674</v>
      </c>
      <c r="AG731" s="544" t="s">
        <v>1674</v>
      </c>
      <c r="AH731" s="544" t="s">
        <v>1674</v>
      </c>
      <c r="AI731" s="544" t="s">
        <v>1674</v>
      </c>
      <c r="AJ731" s="544" t="s">
        <v>1674</v>
      </c>
      <c r="AK731" s="544" t="s">
        <v>1674</v>
      </c>
      <c r="AL731" s="544" t="s">
        <v>1674</v>
      </c>
      <c r="AM731" s="544" t="s">
        <v>2742</v>
      </c>
      <c r="AN731" s="544" t="s">
        <v>1674</v>
      </c>
      <c r="AP731" s="542">
        <f t="shared" si="23"/>
        <v>26</v>
      </c>
      <c r="AR731" s="552">
        <f t="shared" si="24"/>
        <v>683.06</v>
      </c>
    </row>
    <row r="732" spans="1:44" outlineLevel="1" x14ac:dyDescent="0.25">
      <c r="A732" s="544" t="s">
        <v>1674</v>
      </c>
      <c r="B732" s="545">
        <v>11300</v>
      </c>
      <c r="C732" s="544" t="s">
        <v>3550</v>
      </c>
      <c r="D732" s="544" t="s">
        <v>3852</v>
      </c>
      <c r="E732" s="542" t="s">
        <v>3657</v>
      </c>
      <c r="F732" s="542" t="s">
        <v>3843</v>
      </c>
      <c r="G732" s="546">
        <v>496.23</v>
      </c>
      <c r="H732" s="546"/>
      <c r="I732" s="546">
        <v>496.23</v>
      </c>
      <c r="J732" s="542" t="s">
        <v>2701</v>
      </c>
      <c r="K732" s="547">
        <v>8400</v>
      </c>
      <c r="L732" s="542" t="s">
        <v>806</v>
      </c>
      <c r="M732" s="548"/>
      <c r="N732" s="549">
        <v>-35</v>
      </c>
      <c r="O732" s="544" t="s">
        <v>1674</v>
      </c>
      <c r="P732" s="544" t="s">
        <v>1674</v>
      </c>
      <c r="Q732" s="544" t="s">
        <v>3853</v>
      </c>
      <c r="R732" s="544" t="s">
        <v>1674</v>
      </c>
      <c r="S732" s="544" t="s">
        <v>1674</v>
      </c>
      <c r="T732" s="550">
        <v>19</v>
      </c>
      <c r="U732" s="544" t="s">
        <v>3328</v>
      </c>
      <c r="V732" s="547">
        <v>1525</v>
      </c>
      <c r="W732" s="548"/>
      <c r="Y732" s="544" t="s">
        <v>1674</v>
      </c>
      <c r="AA732" s="544" t="s">
        <v>1674</v>
      </c>
      <c r="AE732" s="551"/>
      <c r="AF732" s="544" t="s">
        <v>1674</v>
      </c>
      <c r="AG732" s="544" t="s">
        <v>1674</v>
      </c>
      <c r="AH732" s="544" t="s">
        <v>1674</v>
      </c>
      <c r="AI732" s="544" t="s">
        <v>1674</v>
      </c>
      <c r="AJ732" s="544" t="s">
        <v>1674</v>
      </c>
      <c r="AK732" s="544" t="s">
        <v>1674</v>
      </c>
      <c r="AL732" s="544" t="s">
        <v>1674</v>
      </c>
      <c r="AM732" s="544" t="s">
        <v>3550</v>
      </c>
      <c r="AN732" s="544" t="s">
        <v>1674</v>
      </c>
      <c r="AP732" s="542">
        <f t="shared" si="23"/>
        <v>26</v>
      </c>
      <c r="AR732" s="552">
        <f t="shared" si="24"/>
        <v>496.23</v>
      </c>
    </row>
    <row r="733" spans="1:44" outlineLevel="1" x14ac:dyDescent="0.25">
      <c r="A733" s="544" t="s">
        <v>1674</v>
      </c>
      <c r="B733" s="545">
        <v>11321</v>
      </c>
      <c r="C733" s="544" t="s">
        <v>3145</v>
      </c>
      <c r="D733" s="544" t="s">
        <v>3854</v>
      </c>
      <c r="E733" s="542" t="s">
        <v>3657</v>
      </c>
      <c r="F733" s="542" t="s">
        <v>3843</v>
      </c>
      <c r="G733" s="546">
        <v>314.87</v>
      </c>
      <c r="H733" s="546"/>
      <c r="I733" s="546"/>
      <c r="J733" s="542" t="s">
        <v>806</v>
      </c>
      <c r="K733" s="547">
        <v>8400</v>
      </c>
      <c r="L733" s="542" t="s">
        <v>806</v>
      </c>
      <c r="M733" s="548"/>
      <c r="N733" s="549">
        <v>-35</v>
      </c>
      <c r="O733" s="544" t="s">
        <v>1674</v>
      </c>
      <c r="P733" s="544" t="s">
        <v>1674</v>
      </c>
      <c r="Q733" s="544" t="s">
        <v>3147</v>
      </c>
      <c r="R733" s="544" t="s">
        <v>2622</v>
      </c>
      <c r="S733" s="544" t="s">
        <v>1674</v>
      </c>
      <c r="T733" s="550">
        <v>19</v>
      </c>
      <c r="U733" s="544" t="s">
        <v>3328</v>
      </c>
      <c r="V733" s="547">
        <v>1523</v>
      </c>
      <c r="W733" s="548"/>
      <c r="Y733" s="544" t="s">
        <v>1674</v>
      </c>
      <c r="AA733" s="544" t="s">
        <v>1674</v>
      </c>
      <c r="AE733" s="551"/>
      <c r="AF733" s="544" t="s">
        <v>1674</v>
      </c>
      <c r="AG733" s="544" t="s">
        <v>1674</v>
      </c>
      <c r="AH733" s="544" t="s">
        <v>1674</v>
      </c>
      <c r="AI733" s="544" t="s">
        <v>1674</v>
      </c>
      <c r="AJ733" s="544" t="s">
        <v>1674</v>
      </c>
      <c r="AK733" s="544" t="s">
        <v>1674</v>
      </c>
      <c r="AL733" s="544" t="s">
        <v>1674</v>
      </c>
      <c r="AM733" s="544" t="s">
        <v>3148</v>
      </c>
      <c r="AN733" s="544" t="s">
        <v>1674</v>
      </c>
      <c r="AP733" s="542">
        <f t="shared" si="23"/>
        <v>26</v>
      </c>
      <c r="AR733" s="552">
        <f t="shared" si="24"/>
        <v>0</v>
      </c>
    </row>
    <row r="734" spans="1:44" outlineLevel="1" x14ac:dyDescent="0.25">
      <c r="A734" s="544" t="s">
        <v>1674</v>
      </c>
      <c r="B734" s="545">
        <v>0</v>
      </c>
      <c r="C734" s="544" t="s">
        <v>1674</v>
      </c>
      <c r="D734" s="544" t="s">
        <v>3854</v>
      </c>
      <c r="E734" s="542" t="s">
        <v>3657</v>
      </c>
      <c r="F734" s="542" t="s">
        <v>3843</v>
      </c>
      <c r="G734" s="546">
        <v>21.42</v>
      </c>
      <c r="H734" s="546"/>
      <c r="I734" s="546">
        <v>336.29</v>
      </c>
      <c r="J734" s="542" t="s">
        <v>2701</v>
      </c>
      <c r="K734" s="547">
        <v>8400</v>
      </c>
      <c r="L734" s="542" t="s">
        <v>806</v>
      </c>
      <c r="M734" s="548"/>
      <c r="N734" s="549">
        <v>-35</v>
      </c>
      <c r="O734" s="544" t="s">
        <v>1674</v>
      </c>
      <c r="P734" s="544" t="s">
        <v>1674</v>
      </c>
      <c r="Q734" s="544" t="s">
        <v>3149</v>
      </c>
      <c r="R734" s="544" t="s">
        <v>1674</v>
      </c>
      <c r="S734" s="544" t="s">
        <v>1674</v>
      </c>
      <c r="T734" s="550">
        <v>19</v>
      </c>
      <c r="U734" s="544" t="s">
        <v>3328</v>
      </c>
      <c r="V734" s="547">
        <v>1524</v>
      </c>
      <c r="W734" s="548"/>
      <c r="Y734" s="544" t="s">
        <v>1674</v>
      </c>
      <c r="AA734" s="544" t="s">
        <v>1674</v>
      </c>
      <c r="AE734" s="551"/>
      <c r="AF734" s="544" t="s">
        <v>1674</v>
      </c>
      <c r="AG734" s="544" t="s">
        <v>1674</v>
      </c>
      <c r="AH734" s="544" t="s">
        <v>1674</v>
      </c>
      <c r="AI734" s="544" t="s">
        <v>1674</v>
      </c>
      <c r="AJ734" s="544" t="s">
        <v>1674</v>
      </c>
      <c r="AK734" s="544" t="s">
        <v>1674</v>
      </c>
      <c r="AL734" s="544" t="s">
        <v>1674</v>
      </c>
      <c r="AM734" s="544" t="s">
        <v>1674</v>
      </c>
      <c r="AN734" s="544" t="s">
        <v>1674</v>
      </c>
      <c r="AP734" s="542">
        <f t="shared" si="23"/>
        <v>26</v>
      </c>
      <c r="AR734" s="552">
        <f t="shared" si="24"/>
        <v>336.29</v>
      </c>
    </row>
    <row r="735" spans="1:44" outlineLevel="1" x14ac:dyDescent="0.25">
      <c r="A735" s="544" t="s">
        <v>1674</v>
      </c>
      <c r="B735" s="545">
        <v>11800</v>
      </c>
      <c r="C735" s="544" t="s">
        <v>2581</v>
      </c>
      <c r="D735" s="544" t="s">
        <v>3855</v>
      </c>
      <c r="E735" s="542" t="s">
        <v>3657</v>
      </c>
      <c r="F735" s="542" t="s">
        <v>3843</v>
      </c>
      <c r="G735" s="546">
        <v>6854.4</v>
      </c>
      <c r="H735" s="546"/>
      <c r="I735" s="546">
        <v>6854.4</v>
      </c>
      <c r="J735" s="542" t="s">
        <v>2701</v>
      </c>
      <c r="K735" s="547">
        <v>8400</v>
      </c>
      <c r="L735" s="542" t="s">
        <v>806</v>
      </c>
      <c r="M735" s="548"/>
      <c r="N735" s="549">
        <v>-35</v>
      </c>
      <c r="O735" s="544" t="s">
        <v>1674</v>
      </c>
      <c r="P735" s="544" t="s">
        <v>1674</v>
      </c>
      <c r="Q735" s="544" t="s">
        <v>3676</v>
      </c>
      <c r="R735" s="544" t="s">
        <v>1674</v>
      </c>
      <c r="S735" s="544" t="s">
        <v>1674</v>
      </c>
      <c r="T735" s="550">
        <v>19</v>
      </c>
      <c r="U735" s="544" t="s">
        <v>3328</v>
      </c>
      <c r="V735" s="547">
        <v>1534</v>
      </c>
      <c r="W735" s="548"/>
      <c r="Y735" s="544" t="s">
        <v>1674</v>
      </c>
      <c r="AA735" s="544" t="s">
        <v>1674</v>
      </c>
      <c r="AE735" s="551"/>
      <c r="AF735" s="544" t="s">
        <v>1674</v>
      </c>
      <c r="AG735" s="544" t="s">
        <v>1674</v>
      </c>
      <c r="AH735" s="544" t="s">
        <v>1674</v>
      </c>
      <c r="AI735" s="544" t="s">
        <v>1674</v>
      </c>
      <c r="AJ735" s="544" t="s">
        <v>1674</v>
      </c>
      <c r="AK735" s="544" t="s">
        <v>1674</v>
      </c>
      <c r="AL735" s="544" t="s">
        <v>1674</v>
      </c>
      <c r="AM735" s="544" t="s">
        <v>2581</v>
      </c>
      <c r="AN735" s="544" t="s">
        <v>1674</v>
      </c>
      <c r="AP735" s="542">
        <f t="shared" si="23"/>
        <v>26</v>
      </c>
      <c r="AR735" s="552">
        <f t="shared" si="24"/>
        <v>6854.4</v>
      </c>
    </row>
    <row r="736" spans="1:44" outlineLevel="1" x14ac:dyDescent="0.25">
      <c r="A736" s="544" t="s">
        <v>1674</v>
      </c>
      <c r="B736" s="545">
        <v>0</v>
      </c>
      <c r="C736" s="544" t="s">
        <v>1674</v>
      </c>
      <c r="D736" s="544" t="s">
        <v>3856</v>
      </c>
      <c r="E736" s="542" t="s">
        <v>3657</v>
      </c>
      <c r="F736" s="542" t="s">
        <v>3843</v>
      </c>
      <c r="G736" s="546">
        <v>1011.5</v>
      </c>
      <c r="H736" s="546"/>
      <c r="I736" s="546">
        <v>1011.5</v>
      </c>
      <c r="J736" s="542" t="s">
        <v>2701</v>
      </c>
      <c r="K736" s="547">
        <v>8403</v>
      </c>
      <c r="L736" s="542" t="s">
        <v>806</v>
      </c>
      <c r="M736" s="548"/>
      <c r="N736" s="549">
        <v>-35</v>
      </c>
      <c r="O736" s="544" t="s">
        <v>1674</v>
      </c>
      <c r="P736" s="544" t="s">
        <v>1674</v>
      </c>
      <c r="Q736" s="544" t="s">
        <v>2720</v>
      </c>
      <c r="R736" s="544" t="s">
        <v>1674</v>
      </c>
      <c r="S736" s="544" t="s">
        <v>1674</v>
      </c>
      <c r="T736" s="550">
        <v>19</v>
      </c>
      <c r="U736" s="544" t="s">
        <v>3328</v>
      </c>
      <c r="V736" s="547">
        <v>1538</v>
      </c>
      <c r="W736" s="548"/>
      <c r="Y736" s="544" t="s">
        <v>1674</v>
      </c>
      <c r="AA736" s="544" t="s">
        <v>1674</v>
      </c>
      <c r="AE736" s="551"/>
      <c r="AF736" s="544" t="s">
        <v>1674</v>
      </c>
      <c r="AG736" s="544" t="s">
        <v>1674</v>
      </c>
      <c r="AH736" s="544" t="s">
        <v>1674</v>
      </c>
      <c r="AI736" s="544" t="s">
        <v>1674</v>
      </c>
      <c r="AJ736" s="544" t="s">
        <v>1674</v>
      </c>
      <c r="AK736" s="544" t="s">
        <v>1674</v>
      </c>
      <c r="AL736" s="544" t="s">
        <v>1674</v>
      </c>
      <c r="AM736" s="544" t="s">
        <v>1674</v>
      </c>
      <c r="AN736" s="544" t="s">
        <v>1674</v>
      </c>
      <c r="AP736" s="542">
        <f t="shared" ref="AP736:AP799" si="25">IF(F736&lt;&gt;0,($AP$2-$F736)*-1,0)</f>
        <v>26</v>
      </c>
      <c r="AR736" s="552">
        <f t="shared" si="24"/>
        <v>1011.5</v>
      </c>
    </row>
    <row r="737" spans="1:44" outlineLevel="1" x14ac:dyDescent="0.25">
      <c r="A737" s="544" t="s">
        <v>1674</v>
      </c>
      <c r="B737" s="545">
        <v>10208</v>
      </c>
      <c r="C737" s="544" t="s">
        <v>2989</v>
      </c>
      <c r="D737" s="544" t="s">
        <v>3857</v>
      </c>
      <c r="E737" s="542" t="s">
        <v>3858</v>
      </c>
      <c r="F737" s="542" t="s">
        <v>3859</v>
      </c>
      <c r="G737" s="546">
        <v>68.900000000000006</v>
      </c>
      <c r="H737" s="546"/>
      <c r="I737" s="546">
        <v>68.900000000000006</v>
      </c>
      <c r="J737" s="542" t="s">
        <v>2701</v>
      </c>
      <c r="K737" s="547">
        <v>8400</v>
      </c>
      <c r="L737" s="542" t="s">
        <v>806</v>
      </c>
      <c r="M737" s="548"/>
      <c r="N737" s="549">
        <v>-32</v>
      </c>
      <c r="O737" s="544" t="s">
        <v>1674</v>
      </c>
      <c r="P737" s="544" t="s">
        <v>1674</v>
      </c>
      <c r="Q737" s="544" t="s">
        <v>2992</v>
      </c>
      <c r="R737" s="544" t="s">
        <v>1674</v>
      </c>
      <c r="S737" s="544" t="s">
        <v>1674</v>
      </c>
      <c r="T737" s="550">
        <v>19</v>
      </c>
      <c r="U737" s="544" t="s">
        <v>3328</v>
      </c>
      <c r="V737" s="547">
        <v>1620</v>
      </c>
      <c r="W737" s="548"/>
      <c r="Y737" s="544" t="s">
        <v>1674</v>
      </c>
      <c r="AA737" s="544" t="s">
        <v>1674</v>
      </c>
      <c r="AE737" s="551"/>
      <c r="AF737" s="544" t="s">
        <v>2993</v>
      </c>
      <c r="AG737" s="544" t="s">
        <v>2994</v>
      </c>
      <c r="AH737" s="544" t="s">
        <v>2995</v>
      </c>
      <c r="AI737" s="544" t="s">
        <v>1674</v>
      </c>
      <c r="AJ737" s="544" t="s">
        <v>2996</v>
      </c>
      <c r="AK737" s="544" t="s">
        <v>1674</v>
      </c>
      <c r="AL737" s="544" t="s">
        <v>1674</v>
      </c>
      <c r="AM737" s="544" t="s">
        <v>2997</v>
      </c>
      <c r="AN737" s="544" t="s">
        <v>2998</v>
      </c>
      <c r="AP737" s="542">
        <f t="shared" si="25"/>
        <v>29</v>
      </c>
      <c r="AR737" s="552">
        <f t="shared" si="24"/>
        <v>68.900000000000006</v>
      </c>
    </row>
    <row r="738" spans="1:44" outlineLevel="1" x14ac:dyDescent="0.25">
      <c r="A738" s="544" t="s">
        <v>1674</v>
      </c>
      <c r="B738" s="545">
        <v>10229</v>
      </c>
      <c r="C738" s="544" t="s">
        <v>2590</v>
      </c>
      <c r="D738" s="544" t="s">
        <v>3860</v>
      </c>
      <c r="E738" s="542" t="s">
        <v>3858</v>
      </c>
      <c r="F738" s="542" t="s">
        <v>3859</v>
      </c>
      <c r="G738" s="546">
        <v>161.84</v>
      </c>
      <c r="H738" s="546"/>
      <c r="I738" s="546">
        <v>161.84</v>
      </c>
      <c r="J738" s="542" t="s">
        <v>2701</v>
      </c>
      <c r="K738" s="547">
        <v>8400</v>
      </c>
      <c r="L738" s="542" t="s">
        <v>806</v>
      </c>
      <c r="M738" s="548"/>
      <c r="N738" s="549">
        <v>-32</v>
      </c>
      <c r="O738" s="544" t="s">
        <v>1674</v>
      </c>
      <c r="P738" s="544" t="s">
        <v>1674</v>
      </c>
      <c r="Q738" s="544" t="s">
        <v>2593</v>
      </c>
      <c r="R738" s="544" t="s">
        <v>1674</v>
      </c>
      <c r="S738" s="544" t="s">
        <v>1674</v>
      </c>
      <c r="T738" s="550">
        <v>19</v>
      </c>
      <c r="U738" s="544" t="s">
        <v>3328</v>
      </c>
      <c r="V738" s="547">
        <v>1623</v>
      </c>
      <c r="W738" s="548"/>
      <c r="Y738" s="544" t="s">
        <v>1674</v>
      </c>
      <c r="AA738" s="544" t="s">
        <v>1674</v>
      </c>
      <c r="AE738" s="551"/>
      <c r="AF738" s="544" t="s">
        <v>2595</v>
      </c>
      <c r="AG738" s="544" t="s">
        <v>2596</v>
      </c>
      <c r="AH738" s="544" t="s">
        <v>2597</v>
      </c>
      <c r="AI738" s="544" t="s">
        <v>1674</v>
      </c>
      <c r="AJ738" s="544" t="s">
        <v>2598</v>
      </c>
      <c r="AK738" s="544" t="s">
        <v>1674</v>
      </c>
      <c r="AL738" s="544" t="s">
        <v>1674</v>
      </c>
      <c r="AM738" s="544" t="s">
        <v>2599</v>
      </c>
      <c r="AN738" s="544" t="s">
        <v>2600</v>
      </c>
      <c r="AP738" s="542">
        <f t="shared" si="25"/>
        <v>29</v>
      </c>
      <c r="AR738" s="552">
        <f t="shared" si="24"/>
        <v>161.84</v>
      </c>
    </row>
    <row r="739" spans="1:44" outlineLevel="1" x14ac:dyDescent="0.25">
      <c r="A739" s="544" t="s">
        <v>1674</v>
      </c>
      <c r="B739" s="545">
        <v>10239</v>
      </c>
      <c r="C739" s="544" t="s">
        <v>3861</v>
      </c>
      <c r="D739" s="544" t="s">
        <v>3862</v>
      </c>
      <c r="E739" s="542" t="s">
        <v>3858</v>
      </c>
      <c r="F739" s="542" t="s">
        <v>3859</v>
      </c>
      <c r="G739" s="546">
        <v>488.85</v>
      </c>
      <c r="H739" s="546"/>
      <c r="I739" s="546">
        <v>488.85</v>
      </c>
      <c r="J739" s="542" t="s">
        <v>2701</v>
      </c>
      <c r="K739" s="547">
        <v>8400</v>
      </c>
      <c r="L739" s="542" t="s">
        <v>806</v>
      </c>
      <c r="M739" s="548"/>
      <c r="N739" s="549">
        <v>-32</v>
      </c>
      <c r="O739" s="544" t="s">
        <v>1674</v>
      </c>
      <c r="P739" s="544" t="s">
        <v>1674</v>
      </c>
      <c r="Q739" s="544" t="s">
        <v>3863</v>
      </c>
      <c r="R739" s="544" t="s">
        <v>1674</v>
      </c>
      <c r="S739" s="544" t="s">
        <v>1674</v>
      </c>
      <c r="T739" s="550">
        <v>19</v>
      </c>
      <c r="U739" s="544" t="s">
        <v>3328</v>
      </c>
      <c r="V739" s="547">
        <v>1624</v>
      </c>
      <c r="W739" s="548"/>
      <c r="Y739" s="544" t="s">
        <v>1674</v>
      </c>
      <c r="AA739" s="544" t="s">
        <v>1674</v>
      </c>
      <c r="AE739" s="551"/>
      <c r="AF739" s="544" t="s">
        <v>1674</v>
      </c>
      <c r="AG739" s="544" t="s">
        <v>1674</v>
      </c>
      <c r="AH739" s="544" t="s">
        <v>1674</v>
      </c>
      <c r="AI739" s="544" t="s">
        <v>1674</v>
      </c>
      <c r="AJ739" s="544" t="s">
        <v>1674</v>
      </c>
      <c r="AK739" s="544" t="s">
        <v>1674</v>
      </c>
      <c r="AL739" s="544" t="s">
        <v>1674</v>
      </c>
      <c r="AM739" s="544" t="s">
        <v>3864</v>
      </c>
      <c r="AN739" s="544" t="s">
        <v>1674</v>
      </c>
      <c r="AP739" s="542">
        <f t="shared" si="25"/>
        <v>29</v>
      </c>
      <c r="AR739" s="552">
        <f t="shared" si="24"/>
        <v>488.85</v>
      </c>
    </row>
    <row r="740" spans="1:44" outlineLevel="1" x14ac:dyDescent="0.25">
      <c r="A740" s="544" t="s">
        <v>1674</v>
      </c>
      <c r="B740" s="545">
        <v>10507</v>
      </c>
      <c r="C740" s="544" t="s">
        <v>3865</v>
      </c>
      <c r="D740" s="544" t="s">
        <v>3866</v>
      </c>
      <c r="E740" s="542" t="s">
        <v>3858</v>
      </c>
      <c r="F740" s="542" t="s">
        <v>3859</v>
      </c>
      <c r="G740" s="546">
        <v>321.45</v>
      </c>
      <c r="H740" s="546"/>
      <c r="I740" s="546"/>
      <c r="J740" s="542" t="s">
        <v>806</v>
      </c>
      <c r="K740" s="547">
        <v>8400</v>
      </c>
      <c r="L740" s="542" t="s">
        <v>806</v>
      </c>
      <c r="M740" s="548"/>
      <c r="N740" s="549">
        <v>-32</v>
      </c>
      <c r="O740" s="544" t="s">
        <v>1674</v>
      </c>
      <c r="P740" s="544" t="s">
        <v>1674</v>
      </c>
      <c r="Q740" s="544" t="s">
        <v>3867</v>
      </c>
      <c r="R740" s="544" t="s">
        <v>1674</v>
      </c>
      <c r="S740" s="544" t="s">
        <v>1674</v>
      </c>
      <c r="T740" s="550">
        <v>19</v>
      </c>
      <c r="U740" s="544" t="s">
        <v>3328</v>
      </c>
      <c r="V740" s="547">
        <v>1628</v>
      </c>
      <c r="W740" s="548"/>
      <c r="Y740" s="544" t="s">
        <v>1674</v>
      </c>
      <c r="AA740" s="544" t="s">
        <v>1674</v>
      </c>
      <c r="AE740" s="551"/>
      <c r="AF740" s="544" t="s">
        <v>1674</v>
      </c>
      <c r="AG740" s="544" t="s">
        <v>1674</v>
      </c>
      <c r="AH740" s="544" t="s">
        <v>1674</v>
      </c>
      <c r="AI740" s="544" t="s">
        <v>1674</v>
      </c>
      <c r="AJ740" s="544" t="s">
        <v>1674</v>
      </c>
      <c r="AK740" s="544" t="s">
        <v>1674</v>
      </c>
      <c r="AL740" s="544" t="s">
        <v>1674</v>
      </c>
      <c r="AM740" s="544" t="s">
        <v>3868</v>
      </c>
      <c r="AN740" s="544" t="s">
        <v>1674</v>
      </c>
      <c r="AP740" s="542">
        <f t="shared" si="25"/>
        <v>29</v>
      </c>
      <c r="AR740" s="552">
        <f t="shared" si="24"/>
        <v>0</v>
      </c>
    </row>
    <row r="741" spans="1:44" outlineLevel="1" x14ac:dyDescent="0.25">
      <c r="A741" s="544" t="s">
        <v>1674</v>
      </c>
      <c r="B741" s="545">
        <v>0</v>
      </c>
      <c r="C741" s="544" t="s">
        <v>1674</v>
      </c>
      <c r="D741" s="544" t="s">
        <v>3866</v>
      </c>
      <c r="E741" s="542" t="s">
        <v>3858</v>
      </c>
      <c r="F741" s="542" t="s">
        <v>3859</v>
      </c>
      <c r="G741" s="546">
        <v>16.989999999999998</v>
      </c>
      <c r="H741" s="546"/>
      <c r="I741" s="546"/>
      <c r="J741" s="542" t="s">
        <v>806</v>
      </c>
      <c r="K741" s="547">
        <v>8400</v>
      </c>
      <c r="L741" s="542" t="s">
        <v>806</v>
      </c>
      <c r="M741" s="548"/>
      <c r="N741" s="549">
        <v>-32</v>
      </c>
      <c r="O741" s="544" t="s">
        <v>1674</v>
      </c>
      <c r="P741" s="544" t="s">
        <v>1674</v>
      </c>
      <c r="Q741" s="544" t="s">
        <v>3867</v>
      </c>
      <c r="R741" s="544" t="s">
        <v>2617</v>
      </c>
      <c r="S741" s="544" t="s">
        <v>1674</v>
      </c>
      <c r="T741" s="550">
        <v>19</v>
      </c>
      <c r="U741" s="544" t="s">
        <v>3328</v>
      </c>
      <c r="V741" s="547">
        <v>1629</v>
      </c>
      <c r="W741" s="548"/>
      <c r="Y741" s="544" t="s">
        <v>1674</v>
      </c>
      <c r="AA741" s="544" t="s">
        <v>1674</v>
      </c>
      <c r="AE741" s="551"/>
      <c r="AF741" s="544" t="s">
        <v>1674</v>
      </c>
      <c r="AG741" s="544" t="s">
        <v>1674</v>
      </c>
      <c r="AH741" s="544" t="s">
        <v>1674</v>
      </c>
      <c r="AI741" s="544" t="s">
        <v>1674</v>
      </c>
      <c r="AJ741" s="544" t="s">
        <v>1674</v>
      </c>
      <c r="AK741" s="544" t="s">
        <v>1674</v>
      </c>
      <c r="AL741" s="544" t="s">
        <v>1674</v>
      </c>
      <c r="AM741" s="544" t="s">
        <v>1674</v>
      </c>
      <c r="AN741" s="544" t="s">
        <v>1674</v>
      </c>
      <c r="AP741" s="542">
        <f t="shared" si="25"/>
        <v>29</v>
      </c>
      <c r="AR741" s="552">
        <f t="shared" si="24"/>
        <v>0</v>
      </c>
    </row>
    <row r="742" spans="1:44" outlineLevel="1" x14ac:dyDescent="0.25">
      <c r="A742" s="544" t="s">
        <v>1674</v>
      </c>
      <c r="B742" s="545">
        <v>0</v>
      </c>
      <c r="C742" s="544" t="s">
        <v>1674</v>
      </c>
      <c r="D742" s="544" t="s">
        <v>3866</v>
      </c>
      <c r="E742" s="542" t="s">
        <v>3858</v>
      </c>
      <c r="F742" s="542" t="s">
        <v>3859</v>
      </c>
      <c r="G742" s="546">
        <v>4802.3599999999997</v>
      </c>
      <c r="H742" s="546"/>
      <c r="I742" s="546">
        <v>5140.8</v>
      </c>
      <c r="J742" s="542" t="s">
        <v>2701</v>
      </c>
      <c r="K742" s="547">
        <v>8401</v>
      </c>
      <c r="L742" s="542" t="s">
        <v>806</v>
      </c>
      <c r="M742" s="548"/>
      <c r="N742" s="549">
        <v>-32</v>
      </c>
      <c r="O742" s="544" t="s">
        <v>1674</v>
      </c>
      <c r="P742" s="544" t="s">
        <v>1674</v>
      </c>
      <c r="Q742" s="544" t="s">
        <v>3867</v>
      </c>
      <c r="R742" s="544" t="s">
        <v>1674</v>
      </c>
      <c r="S742" s="544" t="s">
        <v>1674</v>
      </c>
      <c r="T742" s="550">
        <v>19</v>
      </c>
      <c r="U742" s="544" t="s">
        <v>3328</v>
      </c>
      <c r="V742" s="547">
        <v>1630</v>
      </c>
      <c r="W742" s="548"/>
      <c r="Y742" s="544" t="s">
        <v>1674</v>
      </c>
      <c r="AA742" s="544" t="s">
        <v>1674</v>
      </c>
      <c r="AE742" s="551"/>
      <c r="AF742" s="544" t="s">
        <v>1674</v>
      </c>
      <c r="AG742" s="544" t="s">
        <v>1674</v>
      </c>
      <c r="AH742" s="544" t="s">
        <v>1674</v>
      </c>
      <c r="AI742" s="544" t="s">
        <v>1674</v>
      </c>
      <c r="AJ742" s="544" t="s">
        <v>1674</v>
      </c>
      <c r="AK742" s="544" t="s">
        <v>1674</v>
      </c>
      <c r="AL742" s="544" t="s">
        <v>1674</v>
      </c>
      <c r="AM742" s="544" t="s">
        <v>1674</v>
      </c>
      <c r="AN742" s="544" t="s">
        <v>1674</v>
      </c>
      <c r="AP742" s="542">
        <f t="shared" si="25"/>
        <v>29</v>
      </c>
      <c r="AR742" s="552">
        <f t="shared" si="24"/>
        <v>5140.8</v>
      </c>
    </row>
    <row r="743" spans="1:44" outlineLevel="1" x14ac:dyDescent="0.25">
      <c r="A743" s="544" t="s">
        <v>1674</v>
      </c>
      <c r="B743" s="545">
        <v>10802</v>
      </c>
      <c r="C743" s="544" t="s">
        <v>3869</v>
      </c>
      <c r="D743" s="544" t="s">
        <v>3870</v>
      </c>
      <c r="E743" s="542" t="s">
        <v>3858</v>
      </c>
      <c r="F743" s="542" t="s">
        <v>3859</v>
      </c>
      <c r="G743" s="546">
        <v>14994</v>
      </c>
      <c r="H743" s="546"/>
      <c r="I743" s="546">
        <v>14994</v>
      </c>
      <c r="J743" s="542" t="s">
        <v>2701</v>
      </c>
      <c r="K743" s="547">
        <v>8400</v>
      </c>
      <c r="L743" s="542" t="s">
        <v>806</v>
      </c>
      <c r="M743" s="548"/>
      <c r="N743" s="549">
        <v>-32</v>
      </c>
      <c r="O743" s="544" t="s">
        <v>1674</v>
      </c>
      <c r="P743" s="544" t="s">
        <v>1674</v>
      </c>
      <c r="Q743" s="544" t="s">
        <v>3871</v>
      </c>
      <c r="R743" s="544" t="s">
        <v>1674</v>
      </c>
      <c r="S743" s="544" t="s">
        <v>1674</v>
      </c>
      <c r="T743" s="550">
        <v>19</v>
      </c>
      <c r="U743" s="544" t="s">
        <v>3328</v>
      </c>
      <c r="V743" s="547">
        <v>1631</v>
      </c>
      <c r="W743" s="548"/>
      <c r="Y743" s="544" t="s">
        <v>1674</v>
      </c>
      <c r="AA743" s="544" t="s">
        <v>1674</v>
      </c>
      <c r="AE743" s="551"/>
      <c r="AF743" s="544" t="s">
        <v>3872</v>
      </c>
      <c r="AG743" s="544" t="s">
        <v>3873</v>
      </c>
      <c r="AH743" s="544" t="s">
        <v>3874</v>
      </c>
      <c r="AI743" s="544" t="s">
        <v>1674</v>
      </c>
      <c r="AJ743" s="544" t="s">
        <v>3875</v>
      </c>
      <c r="AK743" s="544" t="s">
        <v>1674</v>
      </c>
      <c r="AL743" s="544" t="s">
        <v>1674</v>
      </c>
      <c r="AM743" s="544" t="s">
        <v>3876</v>
      </c>
      <c r="AN743" s="544" t="s">
        <v>3877</v>
      </c>
      <c r="AP743" s="542">
        <f t="shared" si="25"/>
        <v>29</v>
      </c>
      <c r="AR743" s="552">
        <f t="shared" si="24"/>
        <v>14994</v>
      </c>
    </row>
    <row r="744" spans="1:44" outlineLevel="1" x14ac:dyDescent="0.25">
      <c r="A744" s="544" t="s">
        <v>1674</v>
      </c>
      <c r="B744" s="545">
        <v>11300</v>
      </c>
      <c r="C744" s="544" t="s">
        <v>3550</v>
      </c>
      <c r="D744" s="544" t="s">
        <v>3878</v>
      </c>
      <c r="E744" s="542" t="s">
        <v>3858</v>
      </c>
      <c r="F744" s="542" t="s">
        <v>3859</v>
      </c>
      <c r="G744" s="546">
        <v>102.14</v>
      </c>
      <c r="H744" s="546"/>
      <c r="I744" s="546">
        <v>102.14</v>
      </c>
      <c r="J744" s="542" t="s">
        <v>2701</v>
      </c>
      <c r="K744" s="547">
        <v>8402</v>
      </c>
      <c r="L744" s="542" t="s">
        <v>806</v>
      </c>
      <c r="M744" s="548"/>
      <c r="N744" s="549">
        <v>-32</v>
      </c>
      <c r="O744" s="544" t="s">
        <v>1674</v>
      </c>
      <c r="P744" s="544" t="s">
        <v>1674</v>
      </c>
      <c r="Q744" s="544" t="s">
        <v>3879</v>
      </c>
      <c r="R744" s="544" t="s">
        <v>1674</v>
      </c>
      <c r="S744" s="544" t="s">
        <v>1674</v>
      </c>
      <c r="T744" s="550">
        <v>19</v>
      </c>
      <c r="U744" s="544" t="s">
        <v>3328</v>
      </c>
      <c r="V744" s="547">
        <v>1632</v>
      </c>
      <c r="W744" s="548"/>
      <c r="Y744" s="544" t="s">
        <v>1674</v>
      </c>
      <c r="AA744" s="544" t="s">
        <v>1674</v>
      </c>
      <c r="AE744" s="551"/>
      <c r="AF744" s="544" t="s">
        <v>1674</v>
      </c>
      <c r="AG744" s="544" t="s">
        <v>1674</v>
      </c>
      <c r="AH744" s="544" t="s">
        <v>1674</v>
      </c>
      <c r="AI744" s="544" t="s">
        <v>1674</v>
      </c>
      <c r="AJ744" s="544" t="s">
        <v>1674</v>
      </c>
      <c r="AK744" s="544" t="s">
        <v>1674</v>
      </c>
      <c r="AL744" s="544" t="s">
        <v>1674</v>
      </c>
      <c r="AM744" s="544" t="s">
        <v>3550</v>
      </c>
      <c r="AN744" s="544" t="s">
        <v>1674</v>
      </c>
      <c r="AP744" s="542">
        <f t="shared" si="25"/>
        <v>29</v>
      </c>
      <c r="AR744" s="552">
        <f t="shared" si="24"/>
        <v>102.14</v>
      </c>
    </row>
    <row r="745" spans="1:44" outlineLevel="1" x14ac:dyDescent="0.25">
      <c r="A745" s="544" t="s">
        <v>1674</v>
      </c>
      <c r="B745" s="545">
        <v>11411</v>
      </c>
      <c r="C745" s="544" t="s">
        <v>3835</v>
      </c>
      <c r="D745" s="544" t="s">
        <v>3880</v>
      </c>
      <c r="E745" s="542" t="s">
        <v>3858</v>
      </c>
      <c r="F745" s="542" t="s">
        <v>3859</v>
      </c>
      <c r="G745" s="546">
        <v>938.67</v>
      </c>
      <c r="H745" s="546"/>
      <c r="I745" s="546">
        <v>938.67</v>
      </c>
      <c r="J745" s="542" t="s">
        <v>2701</v>
      </c>
      <c r="K745" s="547">
        <v>8400</v>
      </c>
      <c r="L745" s="542" t="s">
        <v>806</v>
      </c>
      <c r="M745" s="548"/>
      <c r="N745" s="549">
        <v>-32</v>
      </c>
      <c r="O745" s="544" t="s">
        <v>1674</v>
      </c>
      <c r="P745" s="544" t="s">
        <v>1674</v>
      </c>
      <c r="Q745" s="544" t="s">
        <v>3837</v>
      </c>
      <c r="R745" s="544" t="s">
        <v>1674</v>
      </c>
      <c r="S745" s="544" t="s">
        <v>1674</v>
      </c>
      <c r="T745" s="550">
        <v>19</v>
      </c>
      <c r="U745" s="544" t="s">
        <v>3328</v>
      </c>
      <c r="V745" s="547">
        <v>1625</v>
      </c>
      <c r="W745" s="548"/>
      <c r="Y745" s="544" t="s">
        <v>1674</v>
      </c>
      <c r="AA745" s="544" t="s">
        <v>1674</v>
      </c>
      <c r="AE745" s="551"/>
      <c r="AF745" s="544" t="s">
        <v>1674</v>
      </c>
      <c r="AG745" s="544" t="s">
        <v>1674</v>
      </c>
      <c r="AH745" s="544" t="s">
        <v>1674</v>
      </c>
      <c r="AI745" s="544" t="s">
        <v>1674</v>
      </c>
      <c r="AJ745" s="544" t="s">
        <v>1674</v>
      </c>
      <c r="AK745" s="544" t="s">
        <v>1674</v>
      </c>
      <c r="AL745" s="544" t="s">
        <v>1674</v>
      </c>
      <c r="AM745" s="544" t="s">
        <v>3838</v>
      </c>
      <c r="AN745" s="544" t="s">
        <v>1674</v>
      </c>
      <c r="AP745" s="542">
        <f t="shared" si="25"/>
        <v>29</v>
      </c>
      <c r="AR745" s="552">
        <f t="shared" si="24"/>
        <v>938.67</v>
      </c>
    </row>
    <row r="746" spans="1:44" outlineLevel="1" x14ac:dyDescent="0.25">
      <c r="A746" s="544" t="s">
        <v>1674</v>
      </c>
      <c r="B746" s="545">
        <v>11800</v>
      </c>
      <c r="C746" s="544" t="s">
        <v>2581</v>
      </c>
      <c r="D746" s="544" t="s">
        <v>3881</v>
      </c>
      <c r="E746" s="542" t="s">
        <v>3858</v>
      </c>
      <c r="F746" s="542" t="s">
        <v>3859</v>
      </c>
      <c r="G746" s="546">
        <v>96.39</v>
      </c>
      <c r="H746" s="546"/>
      <c r="I746" s="546"/>
      <c r="J746" s="542" t="s">
        <v>806</v>
      </c>
      <c r="K746" s="547">
        <v>8400</v>
      </c>
      <c r="L746" s="542" t="s">
        <v>806</v>
      </c>
      <c r="M746" s="548"/>
      <c r="N746" s="549">
        <v>-32</v>
      </c>
      <c r="O746" s="544" t="s">
        <v>1674</v>
      </c>
      <c r="P746" s="544" t="s">
        <v>1674</v>
      </c>
      <c r="Q746" s="544" t="s">
        <v>2585</v>
      </c>
      <c r="R746" s="544" t="s">
        <v>2622</v>
      </c>
      <c r="S746" s="544" t="s">
        <v>1674</v>
      </c>
      <c r="T746" s="550">
        <v>19</v>
      </c>
      <c r="U746" s="544" t="s">
        <v>3328</v>
      </c>
      <c r="V746" s="547">
        <v>1621</v>
      </c>
      <c r="W746" s="548"/>
      <c r="Y746" s="544" t="s">
        <v>1674</v>
      </c>
      <c r="AA746" s="544" t="s">
        <v>1674</v>
      </c>
      <c r="AE746" s="551"/>
      <c r="AF746" s="544" t="s">
        <v>1674</v>
      </c>
      <c r="AG746" s="544" t="s">
        <v>1674</v>
      </c>
      <c r="AH746" s="544" t="s">
        <v>1674</v>
      </c>
      <c r="AI746" s="544" t="s">
        <v>1674</v>
      </c>
      <c r="AJ746" s="544" t="s">
        <v>1674</v>
      </c>
      <c r="AK746" s="544" t="s">
        <v>1674</v>
      </c>
      <c r="AL746" s="544" t="s">
        <v>1674</v>
      </c>
      <c r="AM746" s="544" t="s">
        <v>2581</v>
      </c>
      <c r="AN746" s="544" t="s">
        <v>1674</v>
      </c>
      <c r="AP746" s="542">
        <f t="shared" si="25"/>
        <v>29</v>
      </c>
      <c r="AR746" s="552">
        <f t="shared" si="24"/>
        <v>0</v>
      </c>
    </row>
    <row r="747" spans="1:44" outlineLevel="1" x14ac:dyDescent="0.25">
      <c r="A747" s="544" t="s">
        <v>1674</v>
      </c>
      <c r="B747" s="545">
        <v>0</v>
      </c>
      <c r="C747" s="544" t="s">
        <v>1674</v>
      </c>
      <c r="D747" s="544" t="s">
        <v>3881</v>
      </c>
      <c r="E747" s="542" t="s">
        <v>3858</v>
      </c>
      <c r="F747" s="542" t="s">
        <v>3859</v>
      </c>
      <c r="G747" s="546">
        <v>7.14</v>
      </c>
      <c r="H747" s="546"/>
      <c r="I747" s="546">
        <v>103.53</v>
      </c>
      <c r="J747" s="542" t="s">
        <v>2701</v>
      </c>
      <c r="K747" s="547">
        <v>8400</v>
      </c>
      <c r="L747" s="542" t="s">
        <v>806</v>
      </c>
      <c r="M747" s="548"/>
      <c r="N747" s="549">
        <v>-32</v>
      </c>
      <c r="O747" s="544" t="s">
        <v>1674</v>
      </c>
      <c r="P747" s="544" t="s">
        <v>1674</v>
      </c>
      <c r="Q747" s="544" t="s">
        <v>3882</v>
      </c>
      <c r="R747" s="544" t="s">
        <v>1674</v>
      </c>
      <c r="S747" s="544" t="s">
        <v>1674</v>
      </c>
      <c r="T747" s="550">
        <v>19</v>
      </c>
      <c r="U747" s="544" t="s">
        <v>3328</v>
      </c>
      <c r="V747" s="547">
        <v>1622</v>
      </c>
      <c r="W747" s="548"/>
      <c r="Y747" s="544" t="s">
        <v>1674</v>
      </c>
      <c r="AA747" s="544" t="s">
        <v>1674</v>
      </c>
      <c r="AE747" s="551"/>
      <c r="AF747" s="544" t="s">
        <v>1674</v>
      </c>
      <c r="AG747" s="544" t="s">
        <v>1674</v>
      </c>
      <c r="AH747" s="544" t="s">
        <v>1674</v>
      </c>
      <c r="AI747" s="544" t="s">
        <v>1674</v>
      </c>
      <c r="AJ747" s="544" t="s">
        <v>1674</v>
      </c>
      <c r="AK747" s="544" t="s">
        <v>1674</v>
      </c>
      <c r="AL747" s="544" t="s">
        <v>1674</v>
      </c>
      <c r="AM747" s="544" t="s">
        <v>1674</v>
      </c>
      <c r="AN747" s="544" t="s">
        <v>1674</v>
      </c>
      <c r="AP747" s="542">
        <f t="shared" si="25"/>
        <v>29</v>
      </c>
      <c r="AR747" s="552">
        <f t="shared" si="24"/>
        <v>103.53</v>
      </c>
    </row>
    <row r="748" spans="1:44" outlineLevel="1" x14ac:dyDescent="0.25">
      <c r="A748" s="544" t="s">
        <v>1674</v>
      </c>
      <c r="B748" s="545">
        <v>12401</v>
      </c>
      <c r="C748" s="544" t="s">
        <v>2958</v>
      </c>
      <c r="D748" s="544" t="s">
        <v>3883</v>
      </c>
      <c r="E748" s="542" t="s">
        <v>3858</v>
      </c>
      <c r="F748" s="542" t="s">
        <v>3859</v>
      </c>
      <c r="G748" s="546">
        <v>963.42</v>
      </c>
      <c r="H748" s="546"/>
      <c r="I748" s="546"/>
      <c r="J748" s="542" t="s">
        <v>806</v>
      </c>
      <c r="K748" s="547">
        <v>8400</v>
      </c>
      <c r="L748" s="542" t="s">
        <v>806</v>
      </c>
      <c r="M748" s="548"/>
      <c r="N748" s="549">
        <v>-32</v>
      </c>
      <c r="O748" s="544" t="s">
        <v>1674</v>
      </c>
      <c r="P748" s="544" t="s">
        <v>1674</v>
      </c>
      <c r="Q748" s="544" t="s">
        <v>2960</v>
      </c>
      <c r="R748" s="544" t="s">
        <v>1674</v>
      </c>
      <c r="S748" s="544" t="s">
        <v>1674</v>
      </c>
      <c r="T748" s="550">
        <v>19</v>
      </c>
      <c r="U748" s="544" t="s">
        <v>3328</v>
      </c>
      <c r="V748" s="547">
        <v>1626</v>
      </c>
      <c r="W748" s="548"/>
      <c r="Y748" s="544" t="s">
        <v>1674</v>
      </c>
      <c r="AA748" s="544" t="s">
        <v>1674</v>
      </c>
      <c r="AE748" s="551"/>
      <c r="AF748" s="544" t="s">
        <v>1674</v>
      </c>
      <c r="AG748" s="544" t="s">
        <v>1674</v>
      </c>
      <c r="AH748" s="544" t="s">
        <v>1674</v>
      </c>
      <c r="AI748" s="544" t="s">
        <v>1674</v>
      </c>
      <c r="AJ748" s="544" t="s">
        <v>1674</v>
      </c>
      <c r="AK748" s="544" t="s">
        <v>1674</v>
      </c>
      <c r="AL748" s="544" t="s">
        <v>1674</v>
      </c>
      <c r="AM748" s="544" t="s">
        <v>2961</v>
      </c>
      <c r="AN748" s="544" t="s">
        <v>1674</v>
      </c>
      <c r="AP748" s="542">
        <f t="shared" si="25"/>
        <v>29</v>
      </c>
      <c r="AR748" s="552">
        <f t="shared" si="24"/>
        <v>0</v>
      </c>
    </row>
    <row r="749" spans="1:44" outlineLevel="1" x14ac:dyDescent="0.25">
      <c r="A749" s="544" t="s">
        <v>1674</v>
      </c>
      <c r="B749" s="545">
        <v>0</v>
      </c>
      <c r="C749" s="544" t="s">
        <v>1674</v>
      </c>
      <c r="D749" s="544" t="s">
        <v>3883</v>
      </c>
      <c r="E749" s="542" t="s">
        <v>3858</v>
      </c>
      <c r="F749" s="542" t="s">
        <v>3859</v>
      </c>
      <c r="G749" s="546">
        <v>244.67</v>
      </c>
      <c r="H749" s="546"/>
      <c r="I749" s="546">
        <v>1208.0899999999999</v>
      </c>
      <c r="J749" s="542" t="s">
        <v>2701</v>
      </c>
      <c r="K749" s="547">
        <v>8400</v>
      </c>
      <c r="L749" s="542" t="s">
        <v>806</v>
      </c>
      <c r="M749" s="548"/>
      <c r="N749" s="549">
        <v>-32</v>
      </c>
      <c r="O749" s="544" t="s">
        <v>1674</v>
      </c>
      <c r="P749" s="544" t="s">
        <v>1674</v>
      </c>
      <c r="Q749" s="544" t="s">
        <v>2960</v>
      </c>
      <c r="R749" s="544" t="s">
        <v>2622</v>
      </c>
      <c r="S749" s="544" t="s">
        <v>1674</v>
      </c>
      <c r="T749" s="550">
        <v>19</v>
      </c>
      <c r="U749" s="544" t="s">
        <v>3328</v>
      </c>
      <c r="V749" s="547">
        <v>1627</v>
      </c>
      <c r="W749" s="548"/>
      <c r="Y749" s="544" t="s">
        <v>1674</v>
      </c>
      <c r="AA749" s="544" t="s">
        <v>1674</v>
      </c>
      <c r="AE749" s="551"/>
      <c r="AF749" s="544" t="s">
        <v>1674</v>
      </c>
      <c r="AG749" s="544" t="s">
        <v>1674</v>
      </c>
      <c r="AH749" s="544" t="s">
        <v>1674</v>
      </c>
      <c r="AI749" s="544" t="s">
        <v>1674</v>
      </c>
      <c r="AJ749" s="544" t="s">
        <v>1674</v>
      </c>
      <c r="AK749" s="544" t="s">
        <v>1674</v>
      </c>
      <c r="AL749" s="544" t="s">
        <v>1674</v>
      </c>
      <c r="AM749" s="544" t="s">
        <v>1674</v>
      </c>
      <c r="AN749" s="544" t="s">
        <v>1674</v>
      </c>
      <c r="AP749" s="542">
        <f t="shared" si="25"/>
        <v>29</v>
      </c>
      <c r="AR749" s="552">
        <f t="shared" si="24"/>
        <v>1208.0899999999999</v>
      </c>
    </row>
    <row r="750" spans="1:44" outlineLevel="1" x14ac:dyDescent="0.25">
      <c r="A750" s="544" t="s">
        <v>1674</v>
      </c>
      <c r="B750" s="545">
        <v>20206</v>
      </c>
      <c r="C750" s="544" t="s">
        <v>2793</v>
      </c>
      <c r="D750" s="544" t="s">
        <v>3884</v>
      </c>
      <c r="E750" s="542" t="s">
        <v>3858</v>
      </c>
      <c r="F750" s="542" t="s">
        <v>3859</v>
      </c>
      <c r="G750" s="546">
        <v>1040</v>
      </c>
      <c r="H750" s="546"/>
      <c r="I750" s="546">
        <v>1040</v>
      </c>
      <c r="J750" s="542" t="s">
        <v>2701</v>
      </c>
      <c r="K750" s="547">
        <v>8336</v>
      </c>
      <c r="L750" s="542" t="s">
        <v>806</v>
      </c>
      <c r="M750" s="548"/>
      <c r="N750" s="549">
        <v>-32</v>
      </c>
      <c r="O750" s="544" t="s">
        <v>1674</v>
      </c>
      <c r="P750" s="544" t="s">
        <v>1674</v>
      </c>
      <c r="Q750" s="544" t="s">
        <v>2796</v>
      </c>
      <c r="R750" s="544" t="s">
        <v>1674</v>
      </c>
      <c r="S750" s="544" t="s">
        <v>1674</v>
      </c>
      <c r="T750" s="550"/>
      <c r="U750" s="544" t="s">
        <v>3328</v>
      </c>
      <c r="V750" s="547">
        <v>1633</v>
      </c>
      <c r="W750" s="548"/>
      <c r="Y750" s="544" t="s">
        <v>1674</v>
      </c>
      <c r="AA750" s="544" t="s">
        <v>1674</v>
      </c>
      <c r="AE750" s="551"/>
      <c r="AF750" s="544" t="s">
        <v>1674</v>
      </c>
      <c r="AG750" s="544" t="s">
        <v>1674</v>
      </c>
      <c r="AH750" s="544" t="s">
        <v>1674</v>
      </c>
      <c r="AI750" s="544" t="s">
        <v>1674</v>
      </c>
      <c r="AJ750" s="544" t="s">
        <v>1674</v>
      </c>
      <c r="AK750" s="544" t="s">
        <v>1674</v>
      </c>
      <c r="AL750" s="544" t="s">
        <v>1674</v>
      </c>
      <c r="AM750" s="544" t="s">
        <v>2798</v>
      </c>
      <c r="AN750" s="544" t="s">
        <v>1674</v>
      </c>
      <c r="AP750" s="542">
        <f t="shared" si="25"/>
        <v>29</v>
      </c>
      <c r="AR750" s="552">
        <f t="shared" si="24"/>
        <v>1040</v>
      </c>
    </row>
    <row r="751" spans="1:44" outlineLevel="1" x14ac:dyDescent="0.25">
      <c r="A751" s="544" t="s">
        <v>1674</v>
      </c>
      <c r="B751" s="545">
        <v>0</v>
      </c>
      <c r="C751" s="544" t="s">
        <v>1674</v>
      </c>
      <c r="D751" s="544" t="s">
        <v>3885</v>
      </c>
      <c r="E751" s="542" t="s">
        <v>3858</v>
      </c>
      <c r="F751" s="542" t="s">
        <v>3859</v>
      </c>
      <c r="G751" s="546">
        <v>1040</v>
      </c>
      <c r="H751" s="546"/>
      <c r="I751" s="546">
        <v>1040</v>
      </c>
      <c r="J751" s="542" t="s">
        <v>2701</v>
      </c>
      <c r="K751" s="547">
        <v>8336</v>
      </c>
      <c r="L751" s="542" t="s">
        <v>806</v>
      </c>
      <c r="M751" s="548"/>
      <c r="N751" s="549">
        <v>-32</v>
      </c>
      <c r="O751" s="544" t="s">
        <v>1674</v>
      </c>
      <c r="P751" s="544" t="s">
        <v>1674</v>
      </c>
      <c r="Q751" s="544" t="s">
        <v>2796</v>
      </c>
      <c r="R751" s="544" t="s">
        <v>1674</v>
      </c>
      <c r="S751" s="544" t="s">
        <v>1674</v>
      </c>
      <c r="T751" s="550"/>
      <c r="U751" s="544" t="s">
        <v>3328</v>
      </c>
      <c r="V751" s="547">
        <v>1634</v>
      </c>
      <c r="W751" s="548"/>
      <c r="Y751" s="544" t="s">
        <v>1674</v>
      </c>
      <c r="AA751" s="544" t="s">
        <v>1674</v>
      </c>
      <c r="AE751" s="551"/>
      <c r="AF751" s="544" t="s">
        <v>1674</v>
      </c>
      <c r="AG751" s="544" t="s">
        <v>1674</v>
      </c>
      <c r="AH751" s="544" t="s">
        <v>1674</v>
      </c>
      <c r="AI751" s="544" t="s">
        <v>1674</v>
      </c>
      <c r="AJ751" s="544" t="s">
        <v>1674</v>
      </c>
      <c r="AK751" s="544" t="s">
        <v>1674</v>
      </c>
      <c r="AL751" s="544" t="s">
        <v>1674</v>
      </c>
      <c r="AM751" s="544" t="s">
        <v>1674</v>
      </c>
      <c r="AN751" s="544" t="s">
        <v>1674</v>
      </c>
      <c r="AP751" s="542">
        <f t="shared" si="25"/>
        <v>29</v>
      </c>
      <c r="AR751" s="552">
        <f t="shared" si="24"/>
        <v>1040</v>
      </c>
    </row>
    <row r="752" spans="1:44" outlineLevel="1" x14ac:dyDescent="0.25">
      <c r="A752" s="544" t="s">
        <v>1674</v>
      </c>
      <c r="B752" s="545">
        <v>0</v>
      </c>
      <c r="C752" s="544" t="s">
        <v>1674</v>
      </c>
      <c r="D752" s="544" t="s">
        <v>3886</v>
      </c>
      <c r="E752" s="542" t="s">
        <v>3858</v>
      </c>
      <c r="F752" s="542" t="s">
        <v>3859</v>
      </c>
      <c r="G752" s="546">
        <v>1040</v>
      </c>
      <c r="H752" s="546"/>
      <c r="I752" s="546">
        <v>1040</v>
      </c>
      <c r="J752" s="542" t="s">
        <v>2701</v>
      </c>
      <c r="K752" s="547">
        <v>8336</v>
      </c>
      <c r="L752" s="542" t="s">
        <v>806</v>
      </c>
      <c r="M752" s="548"/>
      <c r="N752" s="549">
        <v>-32</v>
      </c>
      <c r="O752" s="544" t="s">
        <v>1674</v>
      </c>
      <c r="P752" s="544" t="s">
        <v>1674</v>
      </c>
      <c r="Q752" s="544" t="s">
        <v>2796</v>
      </c>
      <c r="R752" s="544" t="s">
        <v>1674</v>
      </c>
      <c r="S752" s="544" t="s">
        <v>1674</v>
      </c>
      <c r="T752" s="550"/>
      <c r="U752" s="544" t="s">
        <v>3328</v>
      </c>
      <c r="V752" s="547">
        <v>1635</v>
      </c>
      <c r="W752" s="548"/>
      <c r="Y752" s="544" t="s">
        <v>1674</v>
      </c>
      <c r="AA752" s="544" t="s">
        <v>1674</v>
      </c>
      <c r="AE752" s="551"/>
      <c r="AF752" s="544" t="s">
        <v>1674</v>
      </c>
      <c r="AG752" s="544" t="s">
        <v>1674</v>
      </c>
      <c r="AH752" s="544" t="s">
        <v>1674</v>
      </c>
      <c r="AI752" s="544" t="s">
        <v>1674</v>
      </c>
      <c r="AJ752" s="544" t="s">
        <v>1674</v>
      </c>
      <c r="AK752" s="544" t="s">
        <v>1674</v>
      </c>
      <c r="AL752" s="544" t="s">
        <v>1674</v>
      </c>
      <c r="AM752" s="544" t="s">
        <v>1674</v>
      </c>
      <c r="AN752" s="544" t="s">
        <v>1674</v>
      </c>
      <c r="AP752" s="542">
        <f t="shared" si="25"/>
        <v>29</v>
      </c>
      <c r="AR752" s="552">
        <f t="shared" si="24"/>
        <v>1040</v>
      </c>
    </row>
    <row r="753" spans="1:44" outlineLevel="1" x14ac:dyDescent="0.25">
      <c r="A753" s="544" t="s">
        <v>1674</v>
      </c>
      <c r="B753" s="545">
        <v>0</v>
      </c>
      <c r="C753" s="544" t="s">
        <v>1674</v>
      </c>
      <c r="D753" s="544" t="s">
        <v>3887</v>
      </c>
      <c r="E753" s="542" t="s">
        <v>3858</v>
      </c>
      <c r="F753" s="542" t="s">
        <v>3859</v>
      </c>
      <c r="G753" s="546">
        <v>1040</v>
      </c>
      <c r="H753" s="546"/>
      <c r="I753" s="546">
        <v>1040</v>
      </c>
      <c r="J753" s="542" t="s">
        <v>2701</v>
      </c>
      <c r="K753" s="547">
        <v>8336</v>
      </c>
      <c r="L753" s="542" t="s">
        <v>806</v>
      </c>
      <c r="M753" s="548"/>
      <c r="N753" s="549">
        <v>-32</v>
      </c>
      <c r="O753" s="544" t="s">
        <v>1674</v>
      </c>
      <c r="P753" s="544" t="s">
        <v>1674</v>
      </c>
      <c r="Q753" s="544" t="s">
        <v>2796</v>
      </c>
      <c r="R753" s="544" t="s">
        <v>1674</v>
      </c>
      <c r="S753" s="544" t="s">
        <v>1674</v>
      </c>
      <c r="T753" s="550"/>
      <c r="U753" s="544" t="s">
        <v>3328</v>
      </c>
      <c r="V753" s="547">
        <v>1636</v>
      </c>
      <c r="W753" s="548"/>
      <c r="Y753" s="544" t="s">
        <v>1674</v>
      </c>
      <c r="AA753" s="544" t="s">
        <v>1674</v>
      </c>
      <c r="AE753" s="551"/>
      <c r="AF753" s="544" t="s">
        <v>1674</v>
      </c>
      <c r="AG753" s="544" t="s">
        <v>1674</v>
      </c>
      <c r="AH753" s="544" t="s">
        <v>1674</v>
      </c>
      <c r="AI753" s="544" t="s">
        <v>1674</v>
      </c>
      <c r="AJ753" s="544" t="s">
        <v>1674</v>
      </c>
      <c r="AK753" s="544" t="s">
        <v>1674</v>
      </c>
      <c r="AL753" s="544" t="s">
        <v>1674</v>
      </c>
      <c r="AM753" s="544" t="s">
        <v>1674</v>
      </c>
      <c r="AN753" s="544" t="s">
        <v>1674</v>
      </c>
      <c r="AP753" s="542">
        <f t="shared" si="25"/>
        <v>29</v>
      </c>
      <c r="AR753" s="552">
        <f t="shared" si="24"/>
        <v>1040</v>
      </c>
    </row>
    <row r="754" spans="1:44" outlineLevel="1" x14ac:dyDescent="0.25">
      <c r="A754" s="544" t="s">
        <v>1674</v>
      </c>
      <c r="B754" s="545">
        <v>0</v>
      </c>
      <c r="C754" s="544" t="s">
        <v>1674</v>
      </c>
      <c r="D754" s="544" t="s">
        <v>3888</v>
      </c>
      <c r="E754" s="542" t="s">
        <v>3858</v>
      </c>
      <c r="F754" s="542" t="s">
        <v>3859</v>
      </c>
      <c r="G754" s="546">
        <v>1040</v>
      </c>
      <c r="H754" s="546"/>
      <c r="I754" s="546">
        <v>1040</v>
      </c>
      <c r="J754" s="542" t="s">
        <v>2701</v>
      </c>
      <c r="K754" s="547">
        <v>8336</v>
      </c>
      <c r="L754" s="542" t="s">
        <v>806</v>
      </c>
      <c r="M754" s="548"/>
      <c r="N754" s="549">
        <v>-32</v>
      </c>
      <c r="O754" s="544" t="s">
        <v>1674</v>
      </c>
      <c r="P754" s="544" t="s">
        <v>1674</v>
      </c>
      <c r="Q754" s="544" t="s">
        <v>2796</v>
      </c>
      <c r="R754" s="544" t="s">
        <v>1674</v>
      </c>
      <c r="S754" s="544" t="s">
        <v>1674</v>
      </c>
      <c r="T754" s="550"/>
      <c r="U754" s="544" t="s">
        <v>3328</v>
      </c>
      <c r="V754" s="547">
        <v>1637</v>
      </c>
      <c r="W754" s="548"/>
      <c r="Y754" s="544" t="s">
        <v>1674</v>
      </c>
      <c r="AA754" s="544" t="s">
        <v>1674</v>
      </c>
      <c r="AE754" s="551"/>
      <c r="AF754" s="544" t="s">
        <v>1674</v>
      </c>
      <c r="AG754" s="544" t="s">
        <v>1674</v>
      </c>
      <c r="AH754" s="544" t="s">
        <v>1674</v>
      </c>
      <c r="AI754" s="544" t="s">
        <v>1674</v>
      </c>
      <c r="AJ754" s="544" t="s">
        <v>1674</v>
      </c>
      <c r="AK754" s="544" t="s">
        <v>1674</v>
      </c>
      <c r="AL754" s="544" t="s">
        <v>1674</v>
      </c>
      <c r="AM754" s="544" t="s">
        <v>1674</v>
      </c>
      <c r="AN754" s="544" t="s">
        <v>1674</v>
      </c>
      <c r="AP754" s="542">
        <f t="shared" si="25"/>
        <v>29</v>
      </c>
      <c r="AR754" s="552">
        <f t="shared" si="24"/>
        <v>1040</v>
      </c>
    </row>
    <row r="755" spans="1:44" outlineLevel="1" x14ac:dyDescent="0.25">
      <c r="A755" s="544" t="s">
        <v>1674</v>
      </c>
      <c r="B755" s="545">
        <v>0</v>
      </c>
      <c r="C755" s="544" t="s">
        <v>1674</v>
      </c>
      <c r="D755" s="544" t="s">
        <v>3889</v>
      </c>
      <c r="E755" s="542" t="s">
        <v>3858</v>
      </c>
      <c r="F755" s="542" t="s">
        <v>3859</v>
      </c>
      <c r="G755" s="546">
        <v>1040</v>
      </c>
      <c r="H755" s="546"/>
      <c r="I755" s="546">
        <v>1040</v>
      </c>
      <c r="J755" s="542" t="s">
        <v>2701</v>
      </c>
      <c r="K755" s="547">
        <v>8336</v>
      </c>
      <c r="L755" s="542" t="s">
        <v>806</v>
      </c>
      <c r="M755" s="548"/>
      <c r="N755" s="549">
        <v>-32</v>
      </c>
      <c r="O755" s="544" t="s">
        <v>1674</v>
      </c>
      <c r="P755" s="544" t="s">
        <v>1674</v>
      </c>
      <c r="Q755" s="544" t="s">
        <v>2796</v>
      </c>
      <c r="R755" s="544" t="s">
        <v>1674</v>
      </c>
      <c r="S755" s="544" t="s">
        <v>1674</v>
      </c>
      <c r="T755" s="550"/>
      <c r="U755" s="544" t="s">
        <v>3328</v>
      </c>
      <c r="V755" s="547">
        <v>1638</v>
      </c>
      <c r="W755" s="548"/>
      <c r="Y755" s="544" t="s">
        <v>1674</v>
      </c>
      <c r="AA755" s="544" t="s">
        <v>1674</v>
      </c>
      <c r="AE755" s="551"/>
      <c r="AF755" s="544" t="s">
        <v>1674</v>
      </c>
      <c r="AG755" s="544" t="s">
        <v>1674</v>
      </c>
      <c r="AH755" s="544" t="s">
        <v>1674</v>
      </c>
      <c r="AI755" s="544" t="s">
        <v>1674</v>
      </c>
      <c r="AJ755" s="544" t="s">
        <v>1674</v>
      </c>
      <c r="AK755" s="544" t="s">
        <v>1674</v>
      </c>
      <c r="AL755" s="544" t="s">
        <v>1674</v>
      </c>
      <c r="AM755" s="544" t="s">
        <v>1674</v>
      </c>
      <c r="AN755" s="544" t="s">
        <v>1674</v>
      </c>
      <c r="AP755" s="542">
        <f t="shared" si="25"/>
        <v>29</v>
      </c>
      <c r="AR755" s="552">
        <f t="shared" si="24"/>
        <v>1040</v>
      </c>
    </row>
    <row r="756" spans="1:44" outlineLevel="1" x14ac:dyDescent="0.25">
      <c r="A756" s="544" t="s">
        <v>1674</v>
      </c>
      <c r="B756" s="545">
        <v>0</v>
      </c>
      <c r="C756" s="544" t="s">
        <v>1674</v>
      </c>
      <c r="D756" s="544" t="s">
        <v>3890</v>
      </c>
      <c r="E756" s="542" t="s">
        <v>3858</v>
      </c>
      <c r="F756" s="542" t="s">
        <v>3859</v>
      </c>
      <c r="G756" s="546">
        <v>1040</v>
      </c>
      <c r="H756" s="546"/>
      <c r="I756" s="546">
        <v>1040</v>
      </c>
      <c r="J756" s="542" t="s">
        <v>2701</v>
      </c>
      <c r="K756" s="547">
        <v>8336</v>
      </c>
      <c r="L756" s="542" t="s">
        <v>806</v>
      </c>
      <c r="M756" s="548"/>
      <c r="N756" s="549">
        <v>-32</v>
      </c>
      <c r="O756" s="544" t="s">
        <v>1674</v>
      </c>
      <c r="P756" s="544" t="s">
        <v>1674</v>
      </c>
      <c r="Q756" s="544" t="s">
        <v>2796</v>
      </c>
      <c r="R756" s="544" t="s">
        <v>1674</v>
      </c>
      <c r="S756" s="544" t="s">
        <v>1674</v>
      </c>
      <c r="T756" s="550"/>
      <c r="U756" s="544" t="s">
        <v>3328</v>
      </c>
      <c r="V756" s="547">
        <v>1639</v>
      </c>
      <c r="W756" s="548"/>
      <c r="Y756" s="544" t="s">
        <v>1674</v>
      </c>
      <c r="AA756" s="544" t="s">
        <v>1674</v>
      </c>
      <c r="AE756" s="551"/>
      <c r="AF756" s="544" t="s">
        <v>1674</v>
      </c>
      <c r="AG756" s="544" t="s">
        <v>1674</v>
      </c>
      <c r="AH756" s="544" t="s">
        <v>1674</v>
      </c>
      <c r="AI756" s="544" t="s">
        <v>1674</v>
      </c>
      <c r="AJ756" s="544" t="s">
        <v>1674</v>
      </c>
      <c r="AK756" s="544" t="s">
        <v>1674</v>
      </c>
      <c r="AL756" s="544" t="s">
        <v>1674</v>
      </c>
      <c r="AM756" s="544" t="s">
        <v>1674</v>
      </c>
      <c r="AN756" s="544" t="s">
        <v>1674</v>
      </c>
      <c r="AP756" s="542">
        <f t="shared" si="25"/>
        <v>29</v>
      </c>
      <c r="AR756" s="552">
        <f t="shared" si="24"/>
        <v>1040</v>
      </c>
    </row>
    <row r="757" spans="1:44" outlineLevel="1" x14ac:dyDescent="0.25">
      <c r="A757" s="544" t="s">
        <v>1674</v>
      </c>
      <c r="B757" s="545">
        <v>0</v>
      </c>
      <c r="C757" s="544" t="s">
        <v>1674</v>
      </c>
      <c r="D757" s="544" t="s">
        <v>3891</v>
      </c>
      <c r="E757" s="542" t="s">
        <v>3858</v>
      </c>
      <c r="F757" s="542" t="s">
        <v>3859</v>
      </c>
      <c r="G757" s="546">
        <v>1040</v>
      </c>
      <c r="H757" s="546"/>
      <c r="I757" s="546">
        <v>1040</v>
      </c>
      <c r="J757" s="542" t="s">
        <v>2701</v>
      </c>
      <c r="K757" s="547">
        <v>8336</v>
      </c>
      <c r="L757" s="542" t="s">
        <v>806</v>
      </c>
      <c r="M757" s="548"/>
      <c r="N757" s="549">
        <v>-32</v>
      </c>
      <c r="O757" s="544" t="s">
        <v>1674</v>
      </c>
      <c r="P757" s="544" t="s">
        <v>1674</v>
      </c>
      <c r="Q757" s="544" t="s">
        <v>2796</v>
      </c>
      <c r="R757" s="544" t="s">
        <v>1674</v>
      </c>
      <c r="S757" s="544" t="s">
        <v>1674</v>
      </c>
      <c r="T757" s="550"/>
      <c r="U757" s="544" t="s">
        <v>3328</v>
      </c>
      <c r="V757" s="547">
        <v>1640</v>
      </c>
      <c r="W757" s="548"/>
      <c r="Y757" s="544" t="s">
        <v>1674</v>
      </c>
      <c r="AA757" s="544" t="s">
        <v>1674</v>
      </c>
      <c r="AE757" s="551"/>
      <c r="AF757" s="544" t="s">
        <v>1674</v>
      </c>
      <c r="AG757" s="544" t="s">
        <v>1674</v>
      </c>
      <c r="AH757" s="544" t="s">
        <v>1674</v>
      </c>
      <c r="AI757" s="544" t="s">
        <v>1674</v>
      </c>
      <c r="AJ757" s="544" t="s">
        <v>1674</v>
      </c>
      <c r="AK757" s="544" t="s">
        <v>1674</v>
      </c>
      <c r="AL757" s="544" t="s">
        <v>1674</v>
      </c>
      <c r="AM757" s="544" t="s">
        <v>1674</v>
      </c>
      <c r="AN757" s="544" t="s">
        <v>1674</v>
      </c>
      <c r="AP757" s="542">
        <f t="shared" si="25"/>
        <v>29</v>
      </c>
      <c r="AR757" s="552">
        <f t="shared" si="24"/>
        <v>1040</v>
      </c>
    </row>
    <row r="758" spans="1:44" outlineLevel="1" x14ac:dyDescent="0.25">
      <c r="A758" s="544" t="s">
        <v>1674</v>
      </c>
      <c r="B758" s="545">
        <v>0</v>
      </c>
      <c r="C758" s="544" t="s">
        <v>1674</v>
      </c>
      <c r="D758" s="544" t="s">
        <v>3892</v>
      </c>
      <c r="E758" s="542" t="s">
        <v>3858</v>
      </c>
      <c r="F758" s="542" t="s">
        <v>3859</v>
      </c>
      <c r="G758" s="546">
        <v>1040</v>
      </c>
      <c r="H758" s="546"/>
      <c r="I758" s="546">
        <v>1040</v>
      </c>
      <c r="J758" s="542" t="s">
        <v>2701</v>
      </c>
      <c r="K758" s="547">
        <v>8336</v>
      </c>
      <c r="L758" s="542" t="s">
        <v>806</v>
      </c>
      <c r="M758" s="548"/>
      <c r="N758" s="549">
        <v>-32</v>
      </c>
      <c r="O758" s="544" t="s">
        <v>1674</v>
      </c>
      <c r="P758" s="544" t="s">
        <v>1674</v>
      </c>
      <c r="Q758" s="544" t="s">
        <v>2796</v>
      </c>
      <c r="R758" s="544" t="s">
        <v>1674</v>
      </c>
      <c r="S758" s="544" t="s">
        <v>1674</v>
      </c>
      <c r="T758" s="550"/>
      <c r="U758" s="544" t="s">
        <v>3328</v>
      </c>
      <c r="V758" s="547">
        <v>1641</v>
      </c>
      <c r="W758" s="548"/>
      <c r="Y758" s="544" t="s">
        <v>1674</v>
      </c>
      <c r="AA758" s="544" t="s">
        <v>1674</v>
      </c>
      <c r="AE758" s="551"/>
      <c r="AF758" s="544" t="s">
        <v>1674</v>
      </c>
      <c r="AG758" s="544" t="s">
        <v>1674</v>
      </c>
      <c r="AH758" s="544" t="s">
        <v>1674</v>
      </c>
      <c r="AI758" s="544" t="s">
        <v>1674</v>
      </c>
      <c r="AJ758" s="544" t="s">
        <v>1674</v>
      </c>
      <c r="AK758" s="544" t="s">
        <v>1674</v>
      </c>
      <c r="AL758" s="544" t="s">
        <v>1674</v>
      </c>
      <c r="AM758" s="544" t="s">
        <v>1674</v>
      </c>
      <c r="AN758" s="544" t="s">
        <v>1674</v>
      </c>
      <c r="AP758" s="542">
        <f t="shared" si="25"/>
        <v>29</v>
      </c>
      <c r="AR758" s="552">
        <f t="shared" si="24"/>
        <v>1040</v>
      </c>
    </row>
    <row r="759" spans="1:44" outlineLevel="1" x14ac:dyDescent="0.25">
      <c r="A759" s="544" t="s">
        <v>1674</v>
      </c>
      <c r="B759" s="545">
        <v>0</v>
      </c>
      <c r="C759" s="544" t="s">
        <v>1674</v>
      </c>
      <c r="D759" s="544" t="s">
        <v>3893</v>
      </c>
      <c r="E759" s="542" t="s">
        <v>3858</v>
      </c>
      <c r="F759" s="542" t="s">
        <v>3859</v>
      </c>
      <c r="G759" s="546">
        <v>1040</v>
      </c>
      <c r="H759" s="546"/>
      <c r="I759" s="546">
        <v>1040</v>
      </c>
      <c r="J759" s="542" t="s">
        <v>2701</v>
      </c>
      <c r="K759" s="547">
        <v>8336</v>
      </c>
      <c r="L759" s="542" t="s">
        <v>806</v>
      </c>
      <c r="M759" s="548"/>
      <c r="N759" s="549">
        <v>-32</v>
      </c>
      <c r="O759" s="544" t="s">
        <v>1674</v>
      </c>
      <c r="P759" s="544" t="s">
        <v>1674</v>
      </c>
      <c r="Q759" s="544" t="s">
        <v>2796</v>
      </c>
      <c r="R759" s="544" t="s">
        <v>1674</v>
      </c>
      <c r="S759" s="544" t="s">
        <v>1674</v>
      </c>
      <c r="T759" s="550"/>
      <c r="U759" s="544" t="s">
        <v>3328</v>
      </c>
      <c r="V759" s="547">
        <v>1642</v>
      </c>
      <c r="W759" s="548"/>
      <c r="Y759" s="544" t="s">
        <v>1674</v>
      </c>
      <c r="AA759" s="544" t="s">
        <v>1674</v>
      </c>
      <c r="AE759" s="551"/>
      <c r="AF759" s="544" t="s">
        <v>1674</v>
      </c>
      <c r="AG759" s="544" t="s">
        <v>1674</v>
      </c>
      <c r="AH759" s="544" t="s">
        <v>1674</v>
      </c>
      <c r="AI759" s="544" t="s">
        <v>1674</v>
      </c>
      <c r="AJ759" s="544" t="s">
        <v>1674</v>
      </c>
      <c r="AK759" s="544" t="s">
        <v>1674</v>
      </c>
      <c r="AL759" s="544" t="s">
        <v>1674</v>
      </c>
      <c r="AM759" s="544" t="s">
        <v>1674</v>
      </c>
      <c r="AN759" s="544" t="s">
        <v>1674</v>
      </c>
      <c r="AP759" s="542">
        <f t="shared" si="25"/>
        <v>29</v>
      </c>
      <c r="AR759" s="552">
        <f t="shared" si="24"/>
        <v>1040</v>
      </c>
    </row>
    <row r="760" spans="1:44" outlineLevel="1" x14ac:dyDescent="0.25">
      <c r="A760" s="544" t="s">
        <v>1674</v>
      </c>
      <c r="B760" s="545">
        <v>0</v>
      </c>
      <c r="C760" s="544" t="s">
        <v>1674</v>
      </c>
      <c r="D760" s="544" t="s">
        <v>3894</v>
      </c>
      <c r="E760" s="542" t="s">
        <v>3858</v>
      </c>
      <c r="F760" s="542" t="s">
        <v>3859</v>
      </c>
      <c r="G760" s="546">
        <v>1040</v>
      </c>
      <c r="H760" s="546"/>
      <c r="I760" s="546">
        <v>1040</v>
      </c>
      <c r="J760" s="542" t="s">
        <v>2701</v>
      </c>
      <c r="K760" s="547">
        <v>8336</v>
      </c>
      <c r="L760" s="542" t="s">
        <v>806</v>
      </c>
      <c r="M760" s="548"/>
      <c r="N760" s="549">
        <v>-32</v>
      </c>
      <c r="O760" s="544" t="s">
        <v>1674</v>
      </c>
      <c r="P760" s="544" t="s">
        <v>1674</v>
      </c>
      <c r="Q760" s="544" t="s">
        <v>2796</v>
      </c>
      <c r="R760" s="544" t="s">
        <v>1674</v>
      </c>
      <c r="S760" s="544" t="s">
        <v>1674</v>
      </c>
      <c r="T760" s="550"/>
      <c r="U760" s="544" t="s">
        <v>3328</v>
      </c>
      <c r="V760" s="547">
        <v>1643</v>
      </c>
      <c r="W760" s="548"/>
      <c r="Y760" s="544" t="s">
        <v>1674</v>
      </c>
      <c r="AA760" s="544" t="s">
        <v>1674</v>
      </c>
      <c r="AE760" s="551"/>
      <c r="AF760" s="544" t="s">
        <v>1674</v>
      </c>
      <c r="AG760" s="544" t="s">
        <v>1674</v>
      </c>
      <c r="AH760" s="544" t="s">
        <v>1674</v>
      </c>
      <c r="AI760" s="544" t="s">
        <v>1674</v>
      </c>
      <c r="AJ760" s="544" t="s">
        <v>1674</v>
      </c>
      <c r="AK760" s="544" t="s">
        <v>1674</v>
      </c>
      <c r="AL760" s="544" t="s">
        <v>1674</v>
      </c>
      <c r="AM760" s="544" t="s">
        <v>1674</v>
      </c>
      <c r="AN760" s="544" t="s">
        <v>1674</v>
      </c>
      <c r="AP760" s="542">
        <f t="shared" si="25"/>
        <v>29</v>
      </c>
      <c r="AR760" s="552">
        <f t="shared" si="24"/>
        <v>1040</v>
      </c>
    </row>
    <row r="761" spans="1:44" outlineLevel="1" x14ac:dyDescent="0.25">
      <c r="A761" s="544" t="s">
        <v>1674</v>
      </c>
      <c r="B761" s="545">
        <v>0</v>
      </c>
      <c r="C761" s="544" t="s">
        <v>1674</v>
      </c>
      <c r="D761" s="544" t="s">
        <v>3895</v>
      </c>
      <c r="E761" s="542" t="s">
        <v>3858</v>
      </c>
      <c r="F761" s="542" t="s">
        <v>3859</v>
      </c>
      <c r="G761" s="546">
        <v>1040</v>
      </c>
      <c r="H761" s="546"/>
      <c r="I761" s="546">
        <v>1040</v>
      </c>
      <c r="J761" s="542" t="s">
        <v>2701</v>
      </c>
      <c r="K761" s="547">
        <v>8336</v>
      </c>
      <c r="L761" s="542" t="s">
        <v>806</v>
      </c>
      <c r="M761" s="548"/>
      <c r="N761" s="549">
        <v>-32</v>
      </c>
      <c r="O761" s="544" t="s">
        <v>1674</v>
      </c>
      <c r="P761" s="544" t="s">
        <v>1674</v>
      </c>
      <c r="Q761" s="544" t="s">
        <v>2796</v>
      </c>
      <c r="R761" s="544" t="s">
        <v>1674</v>
      </c>
      <c r="S761" s="544" t="s">
        <v>1674</v>
      </c>
      <c r="T761" s="550"/>
      <c r="U761" s="544" t="s">
        <v>3328</v>
      </c>
      <c r="V761" s="547">
        <v>1644</v>
      </c>
      <c r="W761" s="548"/>
      <c r="Y761" s="544" t="s">
        <v>1674</v>
      </c>
      <c r="AA761" s="544" t="s">
        <v>1674</v>
      </c>
      <c r="AE761" s="551"/>
      <c r="AF761" s="544" t="s">
        <v>1674</v>
      </c>
      <c r="AG761" s="544" t="s">
        <v>1674</v>
      </c>
      <c r="AH761" s="544" t="s">
        <v>1674</v>
      </c>
      <c r="AI761" s="544" t="s">
        <v>1674</v>
      </c>
      <c r="AJ761" s="544" t="s">
        <v>1674</v>
      </c>
      <c r="AK761" s="544" t="s">
        <v>1674</v>
      </c>
      <c r="AL761" s="544" t="s">
        <v>1674</v>
      </c>
      <c r="AM761" s="544" t="s">
        <v>1674</v>
      </c>
      <c r="AN761" s="544" t="s">
        <v>1674</v>
      </c>
      <c r="AP761" s="542">
        <f t="shared" si="25"/>
        <v>29</v>
      </c>
      <c r="AR761" s="552">
        <f t="shared" si="24"/>
        <v>1040</v>
      </c>
    </row>
    <row r="762" spans="1:44" outlineLevel="1" x14ac:dyDescent="0.25">
      <c r="A762" s="544" t="s">
        <v>1674</v>
      </c>
      <c r="B762" s="545">
        <v>0</v>
      </c>
      <c r="C762" s="544" t="s">
        <v>1674</v>
      </c>
      <c r="D762" s="544" t="s">
        <v>3896</v>
      </c>
      <c r="E762" s="542" t="s">
        <v>3858</v>
      </c>
      <c r="F762" s="542" t="s">
        <v>3859</v>
      </c>
      <c r="G762" s="546">
        <v>1340</v>
      </c>
      <c r="H762" s="546"/>
      <c r="I762" s="546">
        <v>1340</v>
      </c>
      <c r="J762" s="542" t="s">
        <v>2701</v>
      </c>
      <c r="K762" s="547">
        <v>8336</v>
      </c>
      <c r="L762" s="542" t="s">
        <v>806</v>
      </c>
      <c r="M762" s="548"/>
      <c r="N762" s="549">
        <v>-32</v>
      </c>
      <c r="O762" s="544" t="s">
        <v>1674</v>
      </c>
      <c r="P762" s="544" t="s">
        <v>1674</v>
      </c>
      <c r="Q762" s="544" t="s">
        <v>2796</v>
      </c>
      <c r="R762" s="544" t="s">
        <v>1674</v>
      </c>
      <c r="S762" s="544" t="s">
        <v>1674</v>
      </c>
      <c r="T762" s="550"/>
      <c r="U762" s="544" t="s">
        <v>3328</v>
      </c>
      <c r="V762" s="547">
        <v>1645</v>
      </c>
      <c r="W762" s="548"/>
      <c r="Y762" s="544" t="s">
        <v>1674</v>
      </c>
      <c r="AA762" s="544" t="s">
        <v>1674</v>
      </c>
      <c r="AE762" s="551"/>
      <c r="AF762" s="544" t="s">
        <v>1674</v>
      </c>
      <c r="AG762" s="544" t="s">
        <v>1674</v>
      </c>
      <c r="AH762" s="544" t="s">
        <v>1674</v>
      </c>
      <c r="AI762" s="544" t="s">
        <v>1674</v>
      </c>
      <c r="AJ762" s="544" t="s">
        <v>1674</v>
      </c>
      <c r="AK762" s="544" t="s">
        <v>1674</v>
      </c>
      <c r="AL762" s="544" t="s">
        <v>1674</v>
      </c>
      <c r="AM762" s="544" t="s">
        <v>1674</v>
      </c>
      <c r="AN762" s="544" t="s">
        <v>1674</v>
      </c>
      <c r="AP762" s="542">
        <f t="shared" si="25"/>
        <v>29</v>
      </c>
      <c r="AR762" s="552">
        <f t="shared" si="24"/>
        <v>1340</v>
      </c>
    </row>
    <row r="763" spans="1:44" outlineLevel="1" x14ac:dyDescent="0.25">
      <c r="A763" s="544" t="s">
        <v>1674</v>
      </c>
      <c r="B763" s="545">
        <v>0</v>
      </c>
      <c r="C763" s="544" t="s">
        <v>1674</v>
      </c>
      <c r="D763" s="544" t="s">
        <v>3897</v>
      </c>
      <c r="E763" s="542" t="s">
        <v>3858</v>
      </c>
      <c r="F763" s="542" t="s">
        <v>3859</v>
      </c>
      <c r="G763" s="546">
        <v>1000</v>
      </c>
      <c r="H763" s="546"/>
      <c r="I763" s="546">
        <v>1000</v>
      </c>
      <c r="J763" s="542" t="s">
        <v>2701</v>
      </c>
      <c r="K763" s="547">
        <v>8336</v>
      </c>
      <c r="L763" s="542" t="s">
        <v>806</v>
      </c>
      <c r="M763" s="548"/>
      <c r="N763" s="549">
        <v>-32</v>
      </c>
      <c r="O763" s="544" t="s">
        <v>1674</v>
      </c>
      <c r="P763" s="544" t="s">
        <v>1674</v>
      </c>
      <c r="Q763" s="544" t="s">
        <v>2796</v>
      </c>
      <c r="R763" s="544" t="s">
        <v>1674</v>
      </c>
      <c r="S763" s="544" t="s">
        <v>1674</v>
      </c>
      <c r="T763" s="550"/>
      <c r="U763" s="544" t="s">
        <v>3328</v>
      </c>
      <c r="V763" s="547">
        <v>1646</v>
      </c>
      <c r="W763" s="548"/>
      <c r="Y763" s="544" t="s">
        <v>1674</v>
      </c>
      <c r="AA763" s="544" t="s">
        <v>1674</v>
      </c>
      <c r="AE763" s="551"/>
      <c r="AF763" s="544" t="s">
        <v>1674</v>
      </c>
      <c r="AG763" s="544" t="s">
        <v>1674</v>
      </c>
      <c r="AH763" s="544" t="s">
        <v>1674</v>
      </c>
      <c r="AI763" s="544" t="s">
        <v>1674</v>
      </c>
      <c r="AJ763" s="544" t="s">
        <v>1674</v>
      </c>
      <c r="AK763" s="544" t="s">
        <v>1674</v>
      </c>
      <c r="AL763" s="544" t="s">
        <v>1674</v>
      </c>
      <c r="AM763" s="544" t="s">
        <v>1674</v>
      </c>
      <c r="AN763" s="544" t="s">
        <v>1674</v>
      </c>
      <c r="AP763" s="542">
        <f t="shared" si="25"/>
        <v>29</v>
      </c>
      <c r="AR763" s="552">
        <f t="shared" si="24"/>
        <v>1000</v>
      </c>
    </row>
    <row r="764" spans="1:44" outlineLevel="1" x14ac:dyDescent="0.25">
      <c r="A764" s="544" t="s">
        <v>1674</v>
      </c>
      <c r="B764" s="545">
        <v>10100</v>
      </c>
      <c r="C764" s="544" t="s">
        <v>2864</v>
      </c>
      <c r="D764" s="544" t="s">
        <v>3898</v>
      </c>
      <c r="E764" s="542" t="s">
        <v>3899</v>
      </c>
      <c r="F764" s="542" t="s">
        <v>3900</v>
      </c>
      <c r="G764" s="546">
        <v>887.74</v>
      </c>
      <c r="H764" s="546"/>
      <c r="I764" s="546">
        <v>887.74</v>
      </c>
      <c r="J764" s="542" t="s">
        <v>2701</v>
      </c>
      <c r="K764" s="547">
        <v>8400</v>
      </c>
      <c r="L764" s="542" t="s">
        <v>806</v>
      </c>
      <c r="M764" s="548"/>
      <c r="N764" s="549">
        <v>-31</v>
      </c>
      <c r="O764" s="544" t="s">
        <v>1674</v>
      </c>
      <c r="P764" s="544" t="s">
        <v>1674</v>
      </c>
      <c r="Q764" s="544" t="s">
        <v>2868</v>
      </c>
      <c r="R764" s="544" t="s">
        <v>1674</v>
      </c>
      <c r="S764" s="544" t="s">
        <v>1674</v>
      </c>
      <c r="T764" s="550">
        <v>19</v>
      </c>
      <c r="U764" s="544" t="s">
        <v>3328</v>
      </c>
      <c r="V764" s="547">
        <v>1731</v>
      </c>
      <c r="W764" s="548"/>
      <c r="Y764" s="544" t="s">
        <v>1674</v>
      </c>
      <c r="AA764" s="544" t="s">
        <v>1674</v>
      </c>
      <c r="AE764" s="551"/>
      <c r="AF764" s="544" t="s">
        <v>1674</v>
      </c>
      <c r="AG764" s="544" t="s">
        <v>1674</v>
      </c>
      <c r="AH764" s="544" t="s">
        <v>1674</v>
      </c>
      <c r="AI764" s="544" t="s">
        <v>1674</v>
      </c>
      <c r="AJ764" s="544" t="s">
        <v>1674</v>
      </c>
      <c r="AK764" s="544" t="s">
        <v>1674</v>
      </c>
      <c r="AL764" s="544" t="s">
        <v>1674</v>
      </c>
      <c r="AM764" s="544" t="s">
        <v>2864</v>
      </c>
      <c r="AN764" s="544" t="s">
        <v>1674</v>
      </c>
      <c r="AP764" s="542">
        <f t="shared" si="25"/>
        <v>30</v>
      </c>
      <c r="AR764" s="552">
        <f t="shared" si="24"/>
        <v>887.74</v>
      </c>
    </row>
    <row r="765" spans="1:44" outlineLevel="1" x14ac:dyDescent="0.25">
      <c r="A765" s="544" t="s">
        <v>1674</v>
      </c>
      <c r="B765" s="545">
        <v>10108</v>
      </c>
      <c r="C765" s="544" t="s">
        <v>3187</v>
      </c>
      <c r="D765" s="544" t="s">
        <v>3901</v>
      </c>
      <c r="E765" s="542" t="s">
        <v>3899</v>
      </c>
      <c r="F765" s="542" t="s">
        <v>3900</v>
      </c>
      <c r="G765" s="546">
        <v>87.58</v>
      </c>
      <c r="H765" s="546"/>
      <c r="I765" s="546"/>
      <c r="J765" s="542" t="s">
        <v>806</v>
      </c>
      <c r="K765" s="547">
        <v>8400</v>
      </c>
      <c r="L765" s="542" t="s">
        <v>806</v>
      </c>
      <c r="M765" s="548"/>
      <c r="N765" s="549">
        <v>-31</v>
      </c>
      <c r="O765" s="544" t="s">
        <v>1674</v>
      </c>
      <c r="P765" s="544" t="s">
        <v>1674</v>
      </c>
      <c r="Q765" s="544" t="s">
        <v>3189</v>
      </c>
      <c r="R765" s="544" t="s">
        <v>2622</v>
      </c>
      <c r="S765" s="544" t="s">
        <v>1674</v>
      </c>
      <c r="T765" s="550">
        <v>19</v>
      </c>
      <c r="U765" s="544" t="s">
        <v>3328</v>
      </c>
      <c r="V765" s="547">
        <v>1774</v>
      </c>
      <c r="W765" s="548"/>
      <c r="Y765" s="544" t="s">
        <v>1674</v>
      </c>
      <c r="AA765" s="544" t="s">
        <v>1674</v>
      </c>
      <c r="AE765" s="551"/>
      <c r="AF765" s="544" t="s">
        <v>1674</v>
      </c>
      <c r="AG765" s="544" t="s">
        <v>1674</v>
      </c>
      <c r="AH765" s="544" t="s">
        <v>1674</v>
      </c>
      <c r="AI765" s="544" t="s">
        <v>1674</v>
      </c>
      <c r="AJ765" s="544" t="s">
        <v>1674</v>
      </c>
      <c r="AK765" s="544" t="s">
        <v>1674</v>
      </c>
      <c r="AL765" s="544" t="s">
        <v>1674</v>
      </c>
      <c r="AM765" s="544" t="s">
        <v>3190</v>
      </c>
      <c r="AN765" s="544" t="s">
        <v>1674</v>
      </c>
      <c r="AP765" s="542">
        <f t="shared" si="25"/>
        <v>30</v>
      </c>
      <c r="AR765" s="552">
        <f t="shared" si="24"/>
        <v>0</v>
      </c>
    </row>
    <row r="766" spans="1:44" outlineLevel="1" x14ac:dyDescent="0.25">
      <c r="A766" s="544" t="s">
        <v>1674</v>
      </c>
      <c r="B766" s="545">
        <v>0</v>
      </c>
      <c r="C766" s="544" t="s">
        <v>1674</v>
      </c>
      <c r="D766" s="544" t="s">
        <v>3901</v>
      </c>
      <c r="E766" s="542" t="s">
        <v>3899</v>
      </c>
      <c r="F766" s="542" t="s">
        <v>3900</v>
      </c>
      <c r="G766" s="546">
        <v>397.7</v>
      </c>
      <c r="H766" s="546"/>
      <c r="I766" s="546">
        <v>485.28</v>
      </c>
      <c r="J766" s="542" t="s">
        <v>2701</v>
      </c>
      <c r="K766" s="547">
        <v>8400</v>
      </c>
      <c r="L766" s="542" t="s">
        <v>806</v>
      </c>
      <c r="M766" s="548"/>
      <c r="N766" s="549">
        <v>-31</v>
      </c>
      <c r="O766" s="544" t="s">
        <v>1674</v>
      </c>
      <c r="P766" s="544" t="s">
        <v>1674</v>
      </c>
      <c r="Q766" s="544" t="s">
        <v>3189</v>
      </c>
      <c r="R766" s="544" t="s">
        <v>1674</v>
      </c>
      <c r="S766" s="544" t="s">
        <v>1674</v>
      </c>
      <c r="T766" s="550">
        <v>19</v>
      </c>
      <c r="U766" s="544" t="s">
        <v>3328</v>
      </c>
      <c r="V766" s="547">
        <v>1775</v>
      </c>
      <c r="W766" s="548"/>
      <c r="Y766" s="544" t="s">
        <v>1674</v>
      </c>
      <c r="AA766" s="544" t="s">
        <v>1674</v>
      </c>
      <c r="AE766" s="551"/>
      <c r="AF766" s="544" t="s">
        <v>1674</v>
      </c>
      <c r="AG766" s="544" t="s">
        <v>1674</v>
      </c>
      <c r="AH766" s="544" t="s">
        <v>1674</v>
      </c>
      <c r="AI766" s="544" t="s">
        <v>1674</v>
      </c>
      <c r="AJ766" s="544" t="s">
        <v>1674</v>
      </c>
      <c r="AK766" s="544" t="s">
        <v>1674</v>
      </c>
      <c r="AL766" s="544" t="s">
        <v>1674</v>
      </c>
      <c r="AM766" s="544" t="s">
        <v>1674</v>
      </c>
      <c r="AN766" s="544" t="s">
        <v>1674</v>
      </c>
      <c r="AP766" s="542">
        <f t="shared" si="25"/>
        <v>30</v>
      </c>
      <c r="AR766" s="552">
        <f t="shared" si="24"/>
        <v>485.28</v>
      </c>
    </row>
    <row r="767" spans="1:44" outlineLevel="1" x14ac:dyDescent="0.25">
      <c r="A767" s="544" t="s">
        <v>1674</v>
      </c>
      <c r="B767" s="545">
        <v>10200</v>
      </c>
      <c r="C767" s="544" t="s">
        <v>2774</v>
      </c>
      <c r="D767" s="544" t="s">
        <v>3902</v>
      </c>
      <c r="E767" s="542" t="s">
        <v>3899</v>
      </c>
      <c r="F767" s="542" t="s">
        <v>3900</v>
      </c>
      <c r="G767" s="546">
        <v>88.35</v>
      </c>
      <c r="H767" s="546"/>
      <c r="I767" s="546"/>
      <c r="J767" s="542" t="s">
        <v>806</v>
      </c>
      <c r="K767" s="547">
        <v>8400</v>
      </c>
      <c r="L767" s="542" t="s">
        <v>806</v>
      </c>
      <c r="M767" s="548"/>
      <c r="N767" s="549">
        <v>-31</v>
      </c>
      <c r="O767" s="544" t="s">
        <v>1674</v>
      </c>
      <c r="P767" s="544" t="s">
        <v>1674</v>
      </c>
      <c r="Q767" s="544" t="s">
        <v>3903</v>
      </c>
      <c r="R767" s="544" t="s">
        <v>1674</v>
      </c>
      <c r="S767" s="544" t="s">
        <v>1674</v>
      </c>
      <c r="T767" s="550">
        <v>19</v>
      </c>
      <c r="U767" s="544" t="s">
        <v>3328</v>
      </c>
      <c r="V767" s="547">
        <v>1732</v>
      </c>
      <c r="W767" s="548"/>
      <c r="Y767" s="544" t="s">
        <v>1674</v>
      </c>
      <c r="AA767" s="544" t="s">
        <v>1674</v>
      </c>
      <c r="AE767" s="551"/>
      <c r="AF767" s="544" t="s">
        <v>1674</v>
      </c>
      <c r="AG767" s="544" t="s">
        <v>1674</v>
      </c>
      <c r="AH767" s="544" t="s">
        <v>1674</v>
      </c>
      <c r="AI767" s="544" t="s">
        <v>1674</v>
      </c>
      <c r="AJ767" s="544" t="s">
        <v>1674</v>
      </c>
      <c r="AK767" s="544" t="s">
        <v>1674</v>
      </c>
      <c r="AL767" s="544" t="s">
        <v>1674</v>
      </c>
      <c r="AM767" s="544" t="s">
        <v>2774</v>
      </c>
      <c r="AN767" s="544" t="s">
        <v>1674</v>
      </c>
      <c r="AP767" s="542">
        <f t="shared" si="25"/>
        <v>30</v>
      </c>
      <c r="AR767" s="552">
        <f t="shared" si="24"/>
        <v>0</v>
      </c>
    </row>
    <row r="768" spans="1:44" outlineLevel="1" x14ac:dyDescent="0.25">
      <c r="A768" s="544" t="s">
        <v>1674</v>
      </c>
      <c r="B768" s="545">
        <v>0</v>
      </c>
      <c r="C768" s="544" t="s">
        <v>1674</v>
      </c>
      <c r="D768" s="544" t="s">
        <v>3902</v>
      </c>
      <c r="E768" s="542" t="s">
        <v>3899</v>
      </c>
      <c r="F768" s="542" t="s">
        <v>3900</v>
      </c>
      <c r="G768" s="546">
        <v>8.25</v>
      </c>
      <c r="H768" s="546"/>
      <c r="I768" s="546"/>
      <c r="J768" s="542" t="s">
        <v>806</v>
      </c>
      <c r="K768" s="547">
        <v>8400</v>
      </c>
      <c r="L768" s="542" t="s">
        <v>806</v>
      </c>
      <c r="M768" s="548"/>
      <c r="N768" s="549">
        <v>-31</v>
      </c>
      <c r="O768" s="544" t="s">
        <v>1674</v>
      </c>
      <c r="P768" s="544" t="s">
        <v>1674</v>
      </c>
      <c r="Q768" s="544" t="s">
        <v>3903</v>
      </c>
      <c r="R768" s="544" t="s">
        <v>2617</v>
      </c>
      <c r="S768" s="544" t="s">
        <v>1674</v>
      </c>
      <c r="T768" s="550">
        <v>19</v>
      </c>
      <c r="U768" s="544" t="s">
        <v>3328</v>
      </c>
      <c r="V768" s="547">
        <v>1733</v>
      </c>
      <c r="W768" s="548"/>
      <c r="Y768" s="544" t="s">
        <v>1674</v>
      </c>
      <c r="AA768" s="544" t="s">
        <v>1674</v>
      </c>
      <c r="AE768" s="551"/>
      <c r="AF768" s="544" t="s">
        <v>1674</v>
      </c>
      <c r="AG768" s="544" t="s">
        <v>1674</v>
      </c>
      <c r="AH768" s="544" t="s">
        <v>1674</v>
      </c>
      <c r="AI768" s="544" t="s">
        <v>1674</v>
      </c>
      <c r="AJ768" s="544" t="s">
        <v>1674</v>
      </c>
      <c r="AK768" s="544" t="s">
        <v>1674</v>
      </c>
      <c r="AL768" s="544" t="s">
        <v>1674</v>
      </c>
      <c r="AM768" s="544" t="s">
        <v>1674</v>
      </c>
      <c r="AN768" s="544" t="s">
        <v>1674</v>
      </c>
      <c r="AP768" s="542">
        <f t="shared" si="25"/>
        <v>30</v>
      </c>
      <c r="AR768" s="552">
        <f t="shared" si="24"/>
        <v>0</v>
      </c>
    </row>
    <row r="769" spans="1:44" outlineLevel="1" x14ac:dyDescent="0.25">
      <c r="A769" s="544" t="s">
        <v>1674</v>
      </c>
      <c r="B769" s="545">
        <v>0</v>
      </c>
      <c r="C769" s="544" t="s">
        <v>1674</v>
      </c>
      <c r="D769" s="544" t="s">
        <v>3902</v>
      </c>
      <c r="E769" s="542" t="s">
        <v>3899</v>
      </c>
      <c r="F769" s="542" t="s">
        <v>3900</v>
      </c>
      <c r="G769" s="546">
        <v>1319.5</v>
      </c>
      <c r="H769" s="546"/>
      <c r="I769" s="546">
        <v>1416.1</v>
      </c>
      <c r="J769" s="542" t="s">
        <v>2701</v>
      </c>
      <c r="K769" s="547">
        <v>8401</v>
      </c>
      <c r="L769" s="542" t="s">
        <v>806</v>
      </c>
      <c r="M769" s="548"/>
      <c r="N769" s="549">
        <v>-31</v>
      </c>
      <c r="O769" s="544" t="s">
        <v>1674</v>
      </c>
      <c r="P769" s="544" t="s">
        <v>1674</v>
      </c>
      <c r="Q769" s="544" t="s">
        <v>3903</v>
      </c>
      <c r="R769" s="544" t="s">
        <v>1674</v>
      </c>
      <c r="S769" s="544" t="s">
        <v>1674</v>
      </c>
      <c r="T769" s="550">
        <v>19</v>
      </c>
      <c r="U769" s="544" t="s">
        <v>3328</v>
      </c>
      <c r="V769" s="547">
        <v>1734</v>
      </c>
      <c r="W769" s="548"/>
      <c r="Y769" s="544" t="s">
        <v>1674</v>
      </c>
      <c r="AA769" s="544" t="s">
        <v>1674</v>
      </c>
      <c r="AE769" s="551"/>
      <c r="AF769" s="544" t="s">
        <v>1674</v>
      </c>
      <c r="AG769" s="544" t="s">
        <v>1674</v>
      </c>
      <c r="AH769" s="544" t="s">
        <v>1674</v>
      </c>
      <c r="AI769" s="544" t="s">
        <v>1674</v>
      </c>
      <c r="AJ769" s="544" t="s">
        <v>1674</v>
      </c>
      <c r="AK769" s="544" t="s">
        <v>1674</v>
      </c>
      <c r="AL769" s="544" t="s">
        <v>1674</v>
      </c>
      <c r="AM769" s="544" t="s">
        <v>1674</v>
      </c>
      <c r="AN769" s="544" t="s">
        <v>1674</v>
      </c>
      <c r="AP769" s="542">
        <f t="shared" si="25"/>
        <v>30</v>
      </c>
      <c r="AR769" s="552">
        <f t="shared" si="24"/>
        <v>1416.1</v>
      </c>
    </row>
    <row r="770" spans="1:44" outlineLevel="1" x14ac:dyDescent="0.25">
      <c r="A770" s="544" t="s">
        <v>1674</v>
      </c>
      <c r="B770" s="545">
        <v>0</v>
      </c>
      <c r="C770" s="544" t="s">
        <v>1674</v>
      </c>
      <c r="D770" s="544" t="s">
        <v>3904</v>
      </c>
      <c r="E770" s="542" t="s">
        <v>3899</v>
      </c>
      <c r="F770" s="542" t="s">
        <v>3900</v>
      </c>
      <c r="G770" s="546">
        <v>21.42</v>
      </c>
      <c r="H770" s="546"/>
      <c r="I770" s="546"/>
      <c r="J770" s="542" t="s">
        <v>806</v>
      </c>
      <c r="K770" s="547">
        <v>8400</v>
      </c>
      <c r="L770" s="542" t="s">
        <v>806</v>
      </c>
      <c r="M770" s="548"/>
      <c r="N770" s="549">
        <v>-31</v>
      </c>
      <c r="O770" s="544" t="s">
        <v>1674</v>
      </c>
      <c r="P770" s="544" t="s">
        <v>1674</v>
      </c>
      <c r="Q770" s="544" t="s">
        <v>3905</v>
      </c>
      <c r="R770" s="544" t="s">
        <v>1674</v>
      </c>
      <c r="S770" s="544" t="s">
        <v>1674</v>
      </c>
      <c r="T770" s="550">
        <v>19</v>
      </c>
      <c r="U770" s="544" t="s">
        <v>3328</v>
      </c>
      <c r="V770" s="547">
        <v>1768</v>
      </c>
      <c r="W770" s="548"/>
      <c r="Y770" s="544" t="s">
        <v>1674</v>
      </c>
      <c r="AA770" s="544" t="s">
        <v>1674</v>
      </c>
      <c r="AE770" s="551"/>
      <c r="AF770" s="544" t="s">
        <v>1674</v>
      </c>
      <c r="AG770" s="544" t="s">
        <v>1674</v>
      </c>
      <c r="AH770" s="544" t="s">
        <v>1674</v>
      </c>
      <c r="AI770" s="544" t="s">
        <v>1674</v>
      </c>
      <c r="AJ770" s="544" t="s">
        <v>1674</v>
      </c>
      <c r="AK770" s="544" t="s">
        <v>1674</v>
      </c>
      <c r="AL770" s="544" t="s">
        <v>1674</v>
      </c>
      <c r="AM770" s="544" t="s">
        <v>1674</v>
      </c>
      <c r="AN770" s="544" t="s">
        <v>1674</v>
      </c>
      <c r="AP770" s="542">
        <f t="shared" si="25"/>
        <v>30</v>
      </c>
      <c r="AR770" s="552">
        <f t="shared" si="24"/>
        <v>0</v>
      </c>
    </row>
    <row r="771" spans="1:44" outlineLevel="1" x14ac:dyDescent="0.25">
      <c r="A771" s="544" t="s">
        <v>1674</v>
      </c>
      <c r="B771" s="545">
        <v>0</v>
      </c>
      <c r="C771" s="544" t="s">
        <v>1674</v>
      </c>
      <c r="D771" s="544" t="s">
        <v>3904</v>
      </c>
      <c r="E771" s="542" t="s">
        <v>3899</v>
      </c>
      <c r="F771" s="542" t="s">
        <v>3900</v>
      </c>
      <c r="G771" s="546">
        <v>333.44</v>
      </c>
      <c r="H771" s="546"/>
      <c r="I771" s="546">
        <v>354.86</v>
      </c>
      <c r="J771" s="542" t="s">
        <v>2701</v>
      </c>
      <c r="K771" s="547">
        <v>8400</v>
      </c>
      <c r="L771" s="542" t="s">
        <v>806</v>
      </c>
      <c r="M771" s="548"/>
      <c r="N771" s="549">
        <v>-31</v>
      </c>
      <c r="O771" s="544" t="s">
        <v>1674</v>
      </c>
      <c r="P771" s="544" t="s">
        <v>1674</v>
      </c>
      <c r="Q771" s="544" t="s">
        <v>3906</v>
      </c>
      <c r="R771" s="544" t="s">
        <v>2622</v>
      </c>
      <c r="S771" s="544" t="s">
        <v>1674</v>
      </c>
      <c r="T771" s="550">
        <v>19</v>
      </c>
      <c r="U771" s="544" t="s">
        <v>3328</v>
      </c>
      <c r="V771" s="547">
        <v>1769</v>
      </c>
      <c r="W771" s="548"/>
      <c r="Y771" s="544" t="s">
        <v>1674</v>
      </c>
      <c r="AA771" s="544" t="s">
        <v>1674</v>
      </c>
      <c r="AE771" s="551"/>
      <c r="AF771" s="544" t="s">
        <v>1674</v>
      </c>
      <c r="AG771" s="544" t="s">
        <v>1674</v>
      </c>
      <c r="AH771" s="544" t="s">
        <v>1674</v>
      </c>
      <c r="AI771" s="544" t="s">
        <v>1674</v>
      </c>
      <c r="AJ771" s="544" t="s">
        <v>1674</v>
      </c>
      <c r="AK771" s="544" t="s">
        <v>1674</v>
      </c>
      <c r="AL771" s="544" t="s">
        <v>1674</v>
      </c>
      <c r="AM771" s="544" t="s">
        <v>1674</v>
      </c>
      <c r="AN771" s="544" t="s">
        <v>1674</v>
      </c>
      <c r="AP771" s="542">
        <f t="shared" si="25"/>
        <v>30</v>
      </c>
      <c r="AR771" s="552">
        <f t="shared" si="24"/>
        <v>354.86</v>
      </c>
    </row>
    <row r="772" spans="1:44" outlineLevel="1" x14ac:dyDescent="0.25">
      <c r="A772" s="544" t="s">
        <v>1674</v>
      </c>
      <c r="B772" s="545">
        <v>0</v>
      </c>
      <c r="C772" s="544" t="s">
        <v>1674</v>
      </c>
      <c r="D772" s="544" t="s">
        <v>3907</v>
      </c>
      <c r="E772" s="542" t="s">
        <v>3899</v>
      </c>
      <c r="F772" s="542" t="s">
        <v>3900</v>
      </c>
      <c r="G772" s="546">
        <v>1067.99</v>
      </c>
      <c r="H772" s="546"/>
      <c r="I772" s="546"/>
      <c r="J772" s="542" t="s">
        <v>806</v>
      </c>
      <c r="K772" s="547">
        <v>8400</v>
      </c>
      <c r="L772" s="542" t="s">
        <v>806</v>
      </c>
      <c r="M772" s="548"/>
      <c r="N772" s="549">
        <v>-31</v>
      </c>
      <c r="O772" s="544" t="s">
        <v>1674</v>
      </c>
      <c r="P772" s="544" t="s">
        <v>1674</v>
      </c>
      <c r="Q772" s="544" t="s">
        <v>3908</v>
      </c>
      <c r="R772" s="544" t="s">
        <v>1674</v>
      </c>
      <c r="S772" s="544" t="s">
        <v>1674</v>
      </c>
      <c r="T772" s="550">
        <v>19</v>
      </c>
      <c r="U772" s="544" t="s">
        <v>3328</v>
      </c>
      <c r="V772" s="547">
        <v>1787</v>
      </c>
      <c r="W772" s="548"/>
      <c r="Y772" s="544" t="s">
        <v>1674</v>
      </c>
      <c r="AA772" s="544" t="s">
        <v>1674</v>
      </c>
      <c r="AE772" s="551"/>
      <c r="AF772" s="544" t="s">
        <v>1674</v>
      </c>
      <c r="AG772" s="544" t="s">
        <v>1674</v>
      </c>
      <c r="AH772" s="544" t="s">
        <v>1674</v>
      </c>
      <c r="AI772" s="544" t="s">
        <v>1674</v>
      </c>
      <c r="AJ772" s="544" t="s">
        <v>1674</v>
      </c>
      <c r="AK772" s="544" t="s">
        <v>1674</v>
      </c>
      <c r="AL772" s="544" t="s">
        <v>1674</v>
      </c>
      <c r="AM772" s="544" t="s">
        <v>1674</v>
      </c>
      <c r="AN772" s="544" t="s">
        <v>1674</v>
      </c>
      <c r="AP772" s="542">
        <f t="shared" si="25"/>
        <v>30</v>
      </c>
      <c r="AR772" s="552">
        <f t="shared" si="24"/>
        <v>0</v>
      </c>
    </row>
    <row r="773" spans="1:44" outlineLevel="1" x14ac:dyDescent="0.25">
      <c r="A773" s="544" t="s">
        <v>1674</v>
      </c>
      <c r="B773" s="545">
        <v>0</v>
      </c>
      <c r="C773" s="544" t="s">
        <v>1674</v>
      </c>
      <c r="D773" s="544" t="s">
        <v>3907</v>
      </c>
      <c r="E773" s="542" t="s">
        <v>3899</v>
      </c>
      <c r="F773" s="542" t="s">
        <v>3900</v>
      </c>
      <c r="G773" s="546">
        <v>45.84</v>
      </c>
      <c r="H773" s="546"/>
      <c r="I773" s="546"/>
      <c r="J773" s="542" t="s">
        <v>806</v>
      </c>
      <c r="K773" s="547">
        <v>8400</v>
      </c>
      <c r="L773" s="542" t="s">
        <v>806</v>
      </c>
      <c r="M773" s="548"/>
      <c r="N773" s="549">
        <v>-31</v>
      </c>
      <c r="O773" s="544" t="s">
        <v>1674</v>
      </c>
      <c r="P773" s="544" t="s">
        <v>1674</v>
      </c>
      <c r="Q773" s="544" t="s">
        <v>3908</v>
      </c>
      <c r="R773" s="544" t="s">
        <v>2617</v>
      </c>
      <c r="S773" s="544" t="s">
        <v>1674</v>
      </c>
      <c r="T773" s="550">
        <v>19</v>
      </c>
      <c r="U773" s="544" t="s">
        <v>3328</v>
      </c>
      <c r="V773" s="547">
        <v>1788</v>
      </c>
      <c r="W773" s="548"/>
      <c r="Y773" s="544" t="s">
        <v>1674</v>
      </c>
      <c r="AA773" s="544" t="s">
        <v>1674</v>
      </c>
      <c r="AE773" s="551"/>
      <c r="AF773" s="544" t="s">
        <v>1674</v>
      </c>
      <c r="AG773" s="544" t="s">
        <v>1674</v>
      </c>
      <c r="AH773" s="544" t="s">
        <v>1674</v>
      </c>
      <c r="AI773" s="544" t="s">
        <v>1674</v>
      </c>
      <c r="AJ773" s="544" t="s">
        <v>1674</v>
      </c>
      <c r="AK773" s="544" t="s">
        <v>1674</v>
      </c>
      <c r="AL773" s="544" t="s">
        <v>1674</v>
      </c>
      <c r="AM773" s="544" t="s">
        <v>1674</v>
      </c>
      <c r="AN773" s="544" t="s">
        <v>1674</v>
      </c>
      <c r="AP773" s="542">
        <f t="shared" si="25"/>
        <v>30</v>
      </c>
      <c r="AR773" s="552">
        <f t="shared" si="24"/>
        <v>0</v>
      </c>
    </row>
    <row r="774" spans="1:44" outlineLevel="1" x14ac:dyDescent="0.25">
      <c r="A774" s="544" t="s">
        <v>1674</v>
      </c>
      <c r="B774" s="545">
        <v>0</v>
      </c>
      <c r="C774" s="544" t="s">
        <v>1674</v>
      </c>
      <c r="D774" s="544" t="s">
        <v>3907</v>
      </c>
      <c r="E774" s="542" t="s">
        <v>3899</v>
      </c>
      <c r="F774" s="542" t="s">
        <v>3900</v>
      </c>
      <c r="G774" s="546">
        <v>15807.97</v>
      </c>
      <c r="H774" s="546"/>
      <c r="I774" s="546">
        <v>16921.8</v>
      </c>
      <c r="J774" s="542" t="s">
        <v>2701</v>
      </c>
      <c r="K774" s="547">
        <v>8401</v>
      </c>
      <c r="L774" s="542" t="s">
        <v>806</v>
      </c>
      <c r="M774" s="548"/>
      <c r="N774" s="549">
        <v>-31</v>
      </c>
      <c r="O774" s="544" t="s">
        <v>1674</v>
      </c>
      <c r="P774" s="544" t="s">
        <v>1674</v>
      </c>
      <c r="Q774" s="544" t="s">
        <v>3908</v>
      </c>
      <c r="R774" s="544" t="s">
        <v>1674</v>
      </c>
      <c r="S774" s="544" t="s">
        <v>1674</v>
      </c>
      <c r="T774" s="550">
        <v>19</v>
      </c>
      <c r="U774" s="544" t="s">
        <v>3328</v>
      </c>
      <c r="V774" s="547">
        <v>1789</v>
      </c>
      <c r="W774" s="548"/>
      <c r="Y774" s="544" t="s">
        <v>1674</v>
      </c>
      <c r="AA774" s="544" t="s">
        <v>1674</v>
      </c>
      <c r="AE774" s="551"/>
      <c r="AF774" s="544" t="s">
        <v>1674</v>
      </c>
      <c r="AG774" s="544" t="s">
        <v>1674</v>
      </c>
      <c r="AH774" s="544" t="s">
        <v>1674</v>
      </c>
      <c r="AI774" s="544" t="s">
        <v>1674</v>
      </c>
      <c r="AJ774" s="544" t="s">
        <v>1674</v>
      </c>
      <c r="AK774" s="544" t="s">
        <v>1674</v>
      </c>
      <c r="AL774" s="544" t="s">
        <v>1674</v>
      </c>
      <c r="AM774" s="544" t="s">
        <v>1674</v>
      </c>
      <c r="AN774" s="544" t="s">
        <v>1674</v>
      </c>
      <c r="AP774" s="542">
        <f t="shared" si="25"/>
        <v>30</v>
      </c>
      <c r="AR774" s="552">
        <f t="shared" si="24"/>
        <v>16921.8</v>
      </c>
    </row>
    <row r="775" spans="1:44" outlineLevel="1" x14ac:dyDescent="0.25">
      <c r="A775" s="544" t="s">
        <v>1674</v>
      </c>
      <c r="B775" s="545">
        <v>0</v>
      </c>
      <c r="C775" s="544" t="s">
        <v>1674</v>
      </c>
      <c r="D775" s="544" t="s">
        <v>3909</v>
      </c>
      <c r="E775" s="542" t="s">
        <v>3899</v>
      </c>
      <c r="F775" s="542" t="s">
        <v>3900</v>
      </c>
      <c r="G775" s="546">
        <v>938.52</v>
      </c>
      <c r="H775" s="546"/>
      <c r="I775" s="546">
        <v>938.52</v>
      </c>
      <c r="J775" s="542" t="s">
        <v>2701</v>
      </c>
      <c r="K775" s="547">
        <v>8402</v>
      </c>
      <c r="L775" s="542" t="s">
        <v>806</v>
      </c>
      <c r="M775" s="548"/>
      <c r="N775" s="549">
        <v>-31</v>
      </c>
      <c r="O775" s="544" t="s">
        <v>1674</v>
      </c>
      <c r="P775" s="544" t="s">
        <v>1674</v>
      </c>
      <c r="Q775" s="544" t="s">
        <v>3023</v>
      </c>
      <c r="R775" s="544" t="s">
        <v>1674</v>
      </c>
      <c r="S775" s="544" t="s">
        <v>1674</v>
      </c>
      <c r="T775" s="550">
        <v>19</v>
      </c>
      <c r="U775" s="544" t="s">
        <v>3328</v>
      </c>
      <c r="V775" s="547">
        <v>1766</v>
      </c>
      <c r="W775" s="548"/>
      <c r="Y775" s="544" t="s">
        <v>1674</v>
      </c>
      <c r="AA775" s="544" t="s">
        <v>1674</v>
      </c>
      <c r="AE775" s="551"/>
      <c r="AF775" s="544" t="s">
        <v>1674</v>
      </c>
      <c r="AG775" s="544" t="s">
        <v>1674</v>
      </c>
      <c r="AH775" s="544" t="s">
        <v>1674</v>
      </c>
      <c r="AI775" s="544" t="s">
        <v>1674</v>
      </c>
      <c r="AJ775" s="544" t="s">
        <v>1674</v>
      </c>
      <c r="AK775" s="544" t="s">
        <v>1674</v>
      </c>
      <c r="AL775" s="544" t="s">
        <v>1674</v>
      </c>
      <c r="AM775" s="544" t="s">
        <v>1674</v>
      </c>
      <c r="AN775" s="544" t="s">
        <v>1674</v>
      </c>
      <c r="AP775" s="542">
        <f t="shared" si="25"/>
        <v>30</v>
      </c>
      <c r="AR775" s="552">
        <f t="shared" si="24"/>
        <v>938.52</v>
      </c>
    </row>
    <row r="776" spans="1:44" outlineLevel="1" x14ac:dyDescent="0.25">
      <c r="A776" s="544" t="s">
        <v>1674</v>
      </c>
      <c r="B776" s="545">
        <v>10208</v>
      </c>
      <c r="C776" s="544" t="s">
        <v>2989</v>
      </c>
      <c r="D776" s="544" t="s">
        <v>3910</v>
      </c>
      <c r="E776" s="542" t="s">
        <v>3899</v>
      </c>
      <c r="F776" s="542" t="s">
        <v>3900</v>
      </c>
      <c r="G776" s="546">
        <v>113.05</v>
      </c>
      <c r="H776" s="546"/>
      <c r="I776" s="546">
        <v>113.05</v>
      </c>
      <c r="J776" s="542" t="s">
        <v>2701</v>
      </c>
      <c r="K776" s="547">
        <v>8400</v>
      </c>
      <c r="L776" s="542" t="s">
        <v>806</v>
      </c>
      <c r="M776" s="548"/>
      <c r="N776" s="549">
        <v>-31</v>
      </c>
      <c r="O776" s="544" t="s">
        <v>1674</v>
      </c>
      <c r="P776" s="544" t="s">
        <v>1674</v>
      </c>
      <c r="Q776" s="544" t="s">
        <v>2992</v>
      </c>
      <c r="R776" s="544" t="s">
        <v>2617</v>
      </c>
      <c r="S776" s="544" t="s">
        <v>1674</v>
      </c>
      <c r="T776" s="550">
        <v>19</v>
      </c>
      <c r="U776" s="544" t="s">
        <v>3328</v>
      </c>
      <c r="V776" s="547">
        <v>1725</v>
      </c>
      <c r="W776" s="548"/>
      <c r="Y776" s="544" t="s">
        <v>1674</v>
      </c>
      <c r="AA776" s="544" t="s">
        <v>1674</v>
      </c>
      <c r="AE776" s="551"/>
      <c r="AF776" s="544" t="s">
        <v>2993</v>
      </c>
      <c r="AG776" s="544" t="s">
        <v>2994</v>
      </c>
      <c r="AH776" s="544" t="s">
        <v>2995</v>
      </c>
      <c r="AI776" s="544" t="s">
        <v>1674</v>
      </c>
      <c r="AJ776" s="544" t="s">
        <v>2996</v>
      </c>
      <c r="AK776" s="544" t="s">
        <v>1674</v>
      </c>
      <c r="AL776" s="544" t="s">
        <v>1674</v>
      </c>
      <c r="AM776" s="544" t="s">
        <v>2997</v>
      </c>
      <c r="AN776" s="544" t="s">
        <v>2998</v>
      </c>
      <c r="AP776" s="542">
        <f t="shared" si="25"/>
        <v>30</v>
      </c>
      <c r="AR776" s="552">
        <f t="shared" si="24"/>
        <v>113.05</v>
      </c>
    </row>
    <row r="777" spans="1:44" outlineLevel="1" x14ac:dyDescent="0.25">
      <c r="A777" s="544" t="s">
        <v>1674</v>
      </c>
      <c r="B777" s="545">
        <v>0</v>
      </c>
      <c r="C777" s="544" t="s">
        <v>1674</v>
      </c>
      <c r="D777" s="544" t="s">
        <v>3911</v>
      </c>
      <c r="E777" s="542" t="s">
        <v>3899</v>
      </c>
      <c r="F777" s="542" t="s">
        <v>3900</v>
      </c>
      <c r="G777" s="546">
        <v>3763.49</v>
      </c>
      <c r="H777" s="546"/>
      <c r="I777" s="546">
        <v>3763.49</v>
      </c>
      <c r="J777" s="542" t="s">
        <v>2701</v>
      </c>
      <c r="K777" s="547">
        <v>8400</v>
      </c>
      <c r="L777" s="542" t="s">
        <v>806</v>
      </c>
      <c r="M777" s="548"/>
      <c r="N777" s="549">
        <v>-31</v>
      </c>
      <c r="O777" s="544" t="s">
        <v>1674</v>
      </c>
      <c r="P777" s="544" t="s">
        <v>1674</v>
      </c>
      <c r="Q777" s="544" t="s">
        <v>2992</v>
      </c>
      <c r="R777" s="544" t="s">
        <v>1674</v>
      </c>
      <c r="S777" s="544" t="s">
        <v>1674</v>
      </c>
      <c r="T777" s="550">
        <v>19</v>
      </c>
      <c r="U777" s="544" t="s">
        <v>3328</v>
      </c>
      <c r="V777" s="547">
        <v>1737</v>
      </c>
      <c r="W777" s="548"/>
      <c r="Y777" s="544" t="s">
        <v>1674</v>
      </c>
      <c r="AA777" s="544" t="s">
        <v>1674</v>
      </c>
      <c r="AE777" s="551"/>
      <c r="AF777" s="544" t="s">
        <v>1674</v>
      </c>
      <c r="AG777" s="544" t="s">
        <v>1674</v>
      </c>
      <c r="AH777" s="544" t="s">
        <v>1674</v>
      </c>
      <c r="AI777" s="544" t="s">
        <v>1674</v>
      </c>
      <c r="AJ777" s="544" t="s">
        <v>1674</v>
      </c>
      <c r="AK777" s="544" t="s">
        <v>1674</v>
      </c>
      <c r="AL777" s="544" t="s">
        <v>1674</v>
      </c>
      <c r="AM777" s="544" t="s">
        <v>1674</v>
      </c>
      <c r="AN777" s="544" t="s">
        <v>1674</v>
      </c>
      <c r="AP777" s="542">
        <f t="shared" si="25"/>
        <v>30</v>
      </c>
      <c r="AR777" s="552">
        <f t="shared" si="24"/>
        <v>3763.49</v>
      </c>
    </row>
    <row r="778" spans="1:44" outlineLevel="1" x14ac:dyDescent="0.25">
      <c r="A778" s="544" t="s">
        <v>1674</v>
      </c>
      <c r="B778" s="545">
        <v>0</v>
      </c>
      <c r="C778" s="544" t="s">
        <v>1674</v>
      </c>
      <c r="D778" s="544" t="s">
        <v>3912</v>
      </c>
      <c r="E778" s="542" t="s">
        <v>3899</v>
      </c>
      <c r="F778" s="542" t="s">
        <v>3900</v>
      </c>
      <c r="G778" s="546">
        <v>3845.96</v>
      </c>
      <c r="H778" s="546"/>
      <c r="I778" s="546">
        <v>3845.96</v>
      </c>
      <c r="J778" s="542" t="s">
        <v>2701</v>
      </c>
      <c r="K778" s="547">
        <v>8400</v>
      </c>
      <c r="L778" s="542" t="s">
        <v>806</v>
      </c>
      <c r="M778" s="548"/>
      <c r="N778" s="549">
        <v>-31</v>
      </c>
      <c r="O778" s="544" t="s">
        <v>1674</v>
      </c>
      <c r="P778" s="544" t="s">
        <v>1674</v>
      </c>
      <c r="Q778" s="544" t="s">
        <v>2992</v>
      </c>
      <c r="R778" s="544" t="s">
        <v>1674</v>
      </c>
      <c r="S778" s="544" t="s">
        <v>1674</v>
      </c>
      <c r="T778" s="550">
        <v>19</v>
      </c>
      <c r="U778" s="544" t="s">
        <v>3328</v>
      </c>
      <c r="V778" s="547">
        <v>1738</v>
      </c>
      <c r="W778" s="548"/>
      <c r="Y778" s="544" t="s">
        <v>1674</v>
      </c>
      <c r="AA778" s="544" t="s">
        <v>1674</v>
      </c>
      <c r="AE778" s="551"/>
      <c r="AF778" s="544" t="s">
        <v>1674</v>
      </c>
      <c r="AG778" s="544" t="s">
        <v>1674</v>
      </c>
      <c r="AH778" s="544" t="s">
        <v>1674</v>
      </c>
      <c r="AI778" s="544" t="s">
        <v>1674</v>
      </c>
      <c r="AJ778" s="544" t="s">
        <v>1674</v>
      </c>
      <c r="AK778" s="544" t="s">
        <v>1674</v>
      </c>
      <c r="AL778" s="544" t="s">
        <v>1674</v>
      </c>
      <c r="AM778" s="544" t="s">
        <v>1674</v>
      </c>
      <c r="AN778" s="544" t="s">
        <v>1674</v>
      </c>
      <c r="AP778" s="542">
        <f t="shared" si="25"/>
        <v>30</v>
      </c>
      <c r="AR778" s="552">
        <f t="shared" si="24"/>
        <v>3845.96</v>
      </c>
    </row>
    <row r="779" spans="1:44" outlineLevel="1" x14ac:dyDescent="0.25">
      <c r="A779" s="544" t="s">
        <v>1674</v>
      </c>
      <c r="B779" s="545">
        <v>0</v>
      </c>
      <c r="C779" s="544" t="s">
        <v>1674</v>
      </c>
      <c r="D779" s="544" t="s">
        <v>3913</v>
      </c>
      <c r="E779" s="542" t="s">
        <v>3899</v>
      </c>
      <c r="F779" s="542" t="s">
        <v>3900</v>
      </c>
      <c r="G779" s="546">
        <v>2073.81</v>
      </c>
      <c r="H779" s="546"/>
      <c r="I779" s="546">
        <v>2073.81</v>
      </c>
      <c r="J779" s="542" t="s">
        <v>2701</v>
      </c>
      <c r="K779" s="547">
        <v>8400</v>
      </c>
      <c r="L779" s="542" t="s">
        <v>806</v>
      </c>
      <c r="M779" s="548"/>
      <c r="N779" s="549">
        <v>-31</v>
      </c>
      <c r="O779" s="544" t="s">
        <v>1674</v>
      </c>
      <c r="P779" s="544" t="s">
        <v>1674</v>
      </c>
      <c r="Q779" s="544" t="s">
        <v>2992</v>
      </c>
      <c r="R779" s="544" t="s">
        <v>1674</v>
      </c>
      <c r="S779" s="544" t="s">
        <v>1674</v>
      </c>
      <c r="T779" s="550">
        <v>19</v>
      </c>
      <c r="U779" s="544" t="s">
        <v>3328</v>
      </c>
      <c r="V779" s="547">
        <v>1780</v>
      </c>
      <c r="W779" s="548"/>
      <c r="Y779" s="544" t="s">
        <v>1674</v>
      </c>
      <c r="AA779" s="544" t="s">
        <v>1674</v>
      </c>
      <c r="AE779" s="551"/>
      <c r="AF779" s="544" t="s">
        <v>1674</v>
      </c>
      <c r="AG779" s="544" t="s">
        <v>1674</v>
      </c>
      <c r="AH779" s="544" t="s">
        <v>1674</v>
      </c>
      <c r="AI779" s="544" t="s">
        <v>1674</v>
      </c>
      <c r="AJ779" s="544" t="s">
        <v>1674</v>
      </c>
      <c r="AK779" s="544" t="s">
        <v>1674</v>
      </c>
      <c r="AL779" s="544" t="s">
        <v>1674</v>
      </c>
      <c r="AM779" s="544" t="s">
        <v>1674</v>
      </c>
      <c r="AN779" s="544" t="s">
        <v>1674</v>
      </c>
      <c r="AP779" s="542">
        <f t="shared" si="25"/>
        <v>30</v>
      </c>
      <c r="AR779" s="552">
        <f t="shared" si="24"/>
        <v>2073.81</v>
      </c>
    </row>
    <row r="780" spans="1:44" outlineLevel="1" x14ac:dyDescent="0.25">
      <c r="A780" s="544" t="s">
        <v>1674</v>
      </c>
      <c r="B780" s="545">
        <v>10400</v>
      </c>
      <c r="C780" s="544" t="s">
        <v>2730</v>
      </c>
      <c r="D780" s="544" t="s">
        <v>3914</v>
      </c>
      <c r="E780" s="542" t="s">
        <v>3899</v>
      </c>
      <c r="F780" s="542" t="s">
        <v>3900</v>
      </c>
      <c r="G780" s="546">
        <v>710.07</v>
      </c>
      <c r="H780" s="546"/>
      <c r="I780" s="546"/>
      <c r="J780" s="542" t="s">
        <v>806</v>
      </c>
      <c r="K780" s="547">
        <v>8400</v>
      </c>
      <c r="L780" s="542" t="s">
        <v>806</v>
      </c>
      <c r="M780" s="548"/>
      <c r="N780" s="549">
        <v>-31</v>
      </c>
      <c r="O780" s="544" t="s">
        <v>1674</v>
      </c>
      <c r="P780" s="544" t="s">
        <v>1674</v>
      </c>
      <c r="Q780" s="544" t="s">
        <v>2733</v>
      </c>
      <c r="R780" s="544" t="s">
        <v>1674</v>
      </c>
      <c r="S780" s="544" t="s">
        <v>1674</v>
      </c>
      <c r="T780" s="550">
        <v>19</v>
      </c>
      <c r="U780" s="544" t="s">
        <v>3328</v>
      </c>
      <c r="V780" s="547">
        <v>1745</v>
      </c>
      <c r="W780" s="548"/>
      <c r="Y780" s="544" t="s">
        <v>1674</v>
      </c>
      <c r="AA780" s="544" t="s">
        <v>1674</v>
      </c>
      <c r="AE780" s="551"/>
      <c r="AF780" s="544" t="s">
        <v>1674</v>
      </c>
      <c r="AG780" s="544" t="s">
        <v>1674</v>
      </c>
      <c r="AH780" s="544" t="s">
        <v>1674</v>
      </c>
      <c r="AI780" s="544" t="s">
        <v>1674</v>
      </c>
      <c r="AJ780" s="544" t="s">
        <v>1674</v>
      </c>
      <c r="AK780" s="544" t="s">
        <v>1674</v>
      </c>
      <c r="AL780" s="544" t="s">
        <v>1674</v>
      </c>
      <c r="AM780" s="544" t="s">
        <v>2730</v>
      </c>
      <c r="AN780" s="544" t="s">
        <v>1674</v>
      </c>
      <c r="AP780" s="542">
        <f t="shared" si="25"/>
        <v>30</v>
      </c>
      <c r="AR780" s="552">
        <f t="shared" si="24"/>
        <v>0</v>
      </c>
    </row>
    <row r="781" spans="1:44" outlineLevel="1" x14ac:dyDescent="0.25">
      <c r="A781" s="544" t="s">
        <v>1674</v>
      </c>
      <c r="B781" s="545">
        <v>0</v>
      </c>
      <c r="C781" s="544" t="s">
        <v>1674</v>
      </c>
      <c r="D781" s="544" t="s">
        <v>3914</v>
      </c>
      <c r="E781" s="542" t="s">
        <v>3899</v>
      </c>
      <c r="F781" s="542" t="s">
        <v>3900</v>
      </c>
      <c r="G781" s="546">
        <v>37.49</v>
      </c>
      <c r="H781" s="546"/>
      <c r="I781" s="546"/>
      <c r="J781" s="542" t="s">
        <v>806</v>
      </c>
      <c r="K781" s="547">
        <v>8400</v>
      </c>
      <c r="L781" s="542" t="s">
        <v>806</v>
      </c>
      <c r="M781" s="548"/>
      <c r="N781" s="549">
        <v>-31</v>
      </c>
      <c r="O781" s="544" t="s">
        <v>1674</v>
      </c>
      <c r="P781" s="544" t="s">
        <v>1674</v>
      </c>
      <c r="Q781" s="544" t="s">
        <v>2733</v>
      </c>
      <c r="R781" s="544" t="s">
        <v>2617</v>
      </c>
      <c r="S781" s="544" t="s">
        <v>1674</v>
      </c>
      <c r="T781" s="550">
        <v>19</v>
      </c>
      <c r="U781" s="544" t="s">
        <v>3328</v>
      </c>
      <c r="V781" s="547">
        <v>1746</v>
      </c>
      <c r="W781" s="548"/>
      <c r="Y781" s="544" t="s">
        <v>1674</v>
      </c>
      <c r="AA781" s="544" t="s">
        <v>1674</v>
      </c>
      <c r="AE781" s="551"/>
      <c r="AF781" s="544" t="s">
        <v>1674</v>
      </c>
      <c r="AG781" s="544" t="s">
        <v>1674</v>
      </c>
      <c r="AH781" s="544" t="s">
        <v>1674</v>
      </c>
      <c r="AI781" s="544" t="s">
        <v>1674</v>
      </c>
      <c r="AJ781" s="544" t="s">
        <v>1674</v>
      </c>
      <c r="AK781" s="544" t="s">
        <v>1674</v>
      </c>
      <c r="AL781" s="544" t="s">
        <v>1674</v>
      </c>
      <c r="AM781" s="544" t="s">
        <v>1674</v>
      </c>
      <c r="AN781" s="544" t="s">
        <v>1674</v>
      </c>
      <c r="AP781" s="542">
        <f t="shared" si="25"/>
        <v>30</v>
      </c>
      <c r="AR781" s="552">
        <f t="shared" si="24"/>
        <v>0</v>
      </c>
    </row>
    <row r="782" spans="1:44" outlineLevel="1" x14ac:dyDescent="0.25">
      <c r="A782" s="544" t="s">
        <v>1674</v>
      </c>
      <c r="B782" s="545">
        <v>0</v>
      </c>
      <c r="C782" s="544" t="s">
        <v>1674</v>
      </c>
      <c r="D782" s="544" t="s">
        <v>3914</v>
      </c>
      <c r="E782" s="542" t="s">
        <v>3899</v>
      </c>
      <c r="F782" s="542" t="s">
        <v>3900</v>
      </c>
      <c r="G782" s="546">
        <v>10605.04</v>
      </c>
      <c r="H782" s="546"/>
      <c r="I782" s="546">
        <v>11352.6</v>
      </c>
      <c r="J782" s="542" t="s">
        <v>2701</v>
      </c>
      <c r="K782" s="547">
        <v>8401</v>
      </c>
      <c r="L782" s="542" t="s">
        <v>806</v>
      </c>
      <c r="M782" s="548"/>
      <c r="N782" s="549">
        <v>-31</v>
      </c>
      <c r="O782" s="544" t="s">
        <v>1674</v>
      </c>
      <c r="P782" s="544" t="s">
        <v>1674</v>
      </c>
      <c r="Q782" s="544" t="s">
        <v>2733</v>
      </c>
      <c r="R782" s="544" t="s">
        <v>1674</v>
      </c>
      <c r="S782" s="544" t="s">
        <v>1674</v>
      </c>
      <c r="T782" s="550">
        <v>19</v>
      </c>
      <c r="U782" s="544" t="s">
        <v>3328</v>
      </c>
      <c r="V782" s="547">
        <v>1747</v>
      </c>
      <c r="W782" s="548"/>
      <c r="Y782" s="544" t="s">
        <v>1674</v>
      </c>
      <c r="AA782" s="544" t="s">
        <v>1674</v>
      </c>
      <c r="AE782" s="551"/>
      <c r="AF782" s="544" t="s">
        <v>1674</v>
      </c>
      <c r="AG782" s="544" t="s">
        <v>1674</v>
      </c>
      <c r="AH782" s="544" t="s">
        <v>1674</v>
      </c>
      <c r="AI782" s="544" t="s">
        <v>1674</v>
      </c>
      <c r="AJ782" s="544" t="s">
        <v>1674</v>
      </c>
      <c r="AK782" s="544" t="s">
        <v>1674</v>
      </c>
      <c r="AL782" s="544" t="s">
        <v>1674</v>
      </c>
      <c r="AM782" s="544" t="s">
        <v>1674</v>
      </c>
      <c r="AN782" s="544" t="s">
        <v>1674</v>
      </c>
      <c r="AP782" s="542">
        <f t="shared" si="25"/>
        <v>30</v>
      </c>
      <c r="AR782" s="552">
        <f t="shared" si="24"/>
        <v>11352.6</v>
      </c>
    </row>
    <row r="783" spans="1:44" outlineLevel="1" x14ac:dyDescent="0.25">
      <c r="A783" s="544" t="s">
        <v>1674</v>
      </c>
      <c r="B783" s="545">
        <v>0</v>
      </c>
      <c r="C783" s="544" t="s">
        <v>1674</v>
      </c>
      <c r="D783" s="544" t="s">
        <v>3915</v>
      </c>
      <c r="E783" s="542" t="s">
        <v>3899</v>
      </c>
      <c r="F783" s="542" t="s">
        <v>3900</v>
      </c>
      <c r="G783" s="546">
        <v>456.2</v>
      </c>
      <c r="H783" s="546"/>
      <c r="I783" s="546"/>
      <c r="J783" s="542" t="s">
        <v>806</v>
      </c>
      <c r="K783" s="547">
        <v>8401</v>
      </c>
      <c r="L783" s="542" t="s">
        <v>806</v>
      </c>
      <c r="M783" s="548"/>
      <c r="N783" s="549">
        <v>-31</v>
      </c>
      <c r="O783" s="544" t="s">
        <v>1674</v>
      </c>
      <c r="P783" s="544" t="s">
        <v>1674</v>
      </c>
      <c r="Q783" s="544" t="s">
        <v>3916</v>
      </c>
      <c r="R783" s="544" t="s">
        <v>1674</v>
      </c>
      <c r="S783" s="544" t="s">
        <v>1674</v>
      </c>
      <c r="T783" s="550">
        <v>19</v>
      </c>
      <c r="U783" s="544" t="s">
        <v>3328</v>
      </c>
      <c r="V783" s="547">
        <v>1772</v>
      </c>
      <c r="W783" s="548"/>
      <c r="Y783" s="544" t="s">
        <v>1674</v>
      </c>
      <c r="AA783" s="544" t="s">
        <v>1674</v>
      </c>
      <c r="AE783" s="551"/>
      <c r="AF783" s="544" t="s">
        <v>1674</v>
      </c>
      <c r="AG783" s="544" t="s">
        <v>1674</v>
      </c>
      <c r="AH783" s="544" t="s">
        <v>1674</v>
      </c>
      <c r="AI783" s="544" t="s">
        <v>1674</v>
      </c>
      <c r="AJ783" s="544" t="s">
        <v>1674</v>
      </c>
      <c r="AK783" s="544" t="s">
        <v>1674</v>
      </c>
      <c r="AL783" s="544" t="s">
        <v>1674</v>
      </c>
      <c r="AM783" s="544" t="s">
        <v>1674</v>
      </c>
      <c r="AN783" s="544" t="s">
        <v>1674</v>
      </c>
      <c r="AP783" s="542">
        <f t="shared" si="25"/>
        <v>30</v>
      </c>
      <c r="AR783" s="552">
        <f t="shared" si="24"/>
        <v>0</v>
      </c>
    </row>
    <row r="784" spans="1:44" outlineLevel="1" x14ac:dyDescent="0.25">
      <c r="A784" s="544" t="s">
        <v>1674</v>
      </c>
      <c r="B784" s="545">
        <v>0</v>
      </c>
      <c r="C784" s="544" t="s">
        <v>1674</v>
      </c>
      <c r="D784" s="544" t="s">
        <v>3915</v>
      </c>
      <c r="E784" s="542" t="s">
        <v>3899</v>
      </c>
      <c r="F784" s="542" t="s">
        <v>3900</v>
      </c>
      <c r="G784" s="546">
        <v>7.14</v>
      </c>
      <c r="H784" s="546"/>
      <c r="I784" s="546">
        <v>463.34</v>
      </c>
      <c r="J784" s="542" t="s">
        <v>2701</v>
      </c>
      <c r="K784" s="547">
        <v>8401</v>
      </c>
      <c r="L784" s="542" t="s">
        <v>806</v>
      </c>
      <c r="M784" s="548"/>
      <c r="N784" s="549">
        <v>-31</v>
      </c>
      <c r="O784" s="544" t="s">
        <v>1674</v>
      </c>
      <c r="P784" s="544" t="s">
        <v>1674</v>
      </c>
      <c r="Q784" s="544" t="s">
        <v>3917</v>
      </c>
      <c r="R784" s="544" t="s">
        <v>1674</v>
      </c>
      <c r="S784" s="544" t="s">
        <v>1674</v>
      </c>
      <c r="T784" s="550">
        <v>19</v>
      </c>
      <c r="U784" s="544" t="s">
        <v>3328</v>
      </c>
      <c r="V784" s="547">
        <v>1773</v>
      </c>
      <c r="W784" s="548"/>
      <c r="Y784" s="544" t="s">
        <v>1674</v>
      </c>
      <c r="AA784" s="544" t="s">
        <v>1674</v>
      </c>
      <c r="AE784" s="551"/>
      <c r="AF784" s="544" t="s">
        <v>1674</v>
      </c>
      <c r="AG784" s="544" t="s">
        <v>1674</v>
      </c>
      <c r="AH784" s="544" t="s">
        <v>1674</v>
      </c>
      <c r="AI784" s="544" t="s">
        <v>1674</v>
      </c>
      <c r="AJ784" s="544" t="s">
        <v>1674</v>
      </c>
      <c r="AK784" s="544" t="s">
        <v>1674</v>
      </c>
      <c r="AL784" s="544" t="s">
        <v>1674</v>
      </c>
      <c r="AM784" s="544" t="s">
        <v>1674</v>
      </c>
      <c r="AN784" s="544" t="s">
        <v>1674</v>
      </c>
      <c r="AP784" s="542">
        <f t="shared" si="25"/>
        <v>30</v>
      </c>
      <c r="AR784" s="552">
        <f t="shared" si="24"/>
        <v>463.34</v>
      </c>
    </row>
    <row r="785" spans="1:44" outlineLevel="1" x14ac:dyDescent="0.25">
      <c r="A785" s="544" t="s">
        <v>1674</v>
      </c>
      <c r="B785" s="545">
        <v>0</v>
      </c>
      <c r="C785" s="544" t="s">
        <v>1674</v>
      </c>
      <c r="D785" s="544" t="s">
        <v>3918</v>
      </c>
      <c r="E785" s="542" t="s">
        <v>3899</v>
      </c>
      <c r="F785" s="542" t="s">
        <v>3900</v>
      </c>
      <c r="G785" s="546">
        <v>130.9</v>
      </c>
      <c r="H785" s="546"/>
      <c r="I785" s="546">
        <v>130.9</v>
      </c>
      <c r="J785" s="542" t="s">
        <v>2701</v>
      </c>
      <c r="K785" s="547">
        <v>8404</v>
      </c>
      <c r="L785" s="542" t="s">
        <v>806</v>
      </c>
      <c r="M785" s="548"/>
      <c r="N785" s="549">
        <v>-31</v>
      </c>
      <c r="O785" s="544" t="s">
        <v>1674</v>
      </c>
      <c r="P785" s="544" t="s">
        <v>1674</v>
      </c>
      <c r="Q785" s="544" t="s">
        <v>2733</v>
      </c>
      <c r="R785" s="544" t="s">
        <v>1674</v>
      </c>
      <c r="S785" s="544" t="s">
        <v>1674</v>
      </c>
      <c r="T785" s="550">
        <v>19</v>
      </c>
      <c r="U785" s="544" t="s">
        <v>3328</v>
      </c>
      <c r="V785" s="547">
        <v>1722</v>
      </c>
      <c r="W785" s="548"/>
      <c r="Y785" s="544" t="s">
        <v>1674</v>
      </c>
      <c r="AA785" s="544" t="s">
        <v>1674</v>
      </c>
      <c r="AE785" s="551"/>
      <c r="AF785" s="544" t="s">
        <v>1674</v>
      </c>
      <c r="AG785" s="544" t="s">
        <v>1674</v>
      </c>
      <c r="AH785" s="544" t="s">
        <v>1674</v>
      </c>
      <c r="AI785" s="544" t="s">
        <v>1674</v>
      </c>
      <c r="AJ785" s="544" t="s">
        <v>1674</v>
      </c>
      <c r="AK785" s="544" t="s">
        <v>1674</v>
      </c>
      <c r="AL785" s="544" t="s">
        <v>1674</v>
      </c>
      <c r="AM785" s="544" t="s">
        <v>1674</v>
      </c>
      <c r="AN785" s="544" t="s">
        <v>1674</v>
      </c>
      <c r="AP785" s="542">
        <f t="shared" si="25"/>
        <v>30</v>
      </c>
      <c r="AR785" s="552">
        <f t="shared" si="24"/>
        <v>130.9</v>
      </c>
    </row>
    <row r="786" spans="1:44" outlineLevel="1" x14ac:dyDescent="0.25">
      <c r="A786" s="544" t="s">
        <v>1674</v>
      </c>
      <c r="B786" s="545">
        <v>0</v>
      </c>
      <c r="C786" s="544" t="s">
        <v>1674</v>
      </c>
      <c r="D786" s="544" t="s">
        <v>3919</v>
      </c>
      <c r="E786" s="542" t="s">
        <v>3899</v>
      </c>
      <c r="F786" s="542" t="s">
        <v>3900</v>
      </c>
      <c r="G786" s="546">
        <v>130.9</v>
      </c>
      <c r="H786" s="546"/>
      <c r="I786" s="546">
        <v>130.9</v>
      </c>
      <c r="J786" s="542" t="s">
        <v>2701</v>
      </c>
      <c r="K786" s="547">
        <v>8404</v>
      </c>
      <c r="L786" s="542" t="s">
        <v>806</v>
      </c>
      <c r="M786" s="548"/>
      <c r="N786" s="549">
        <v>-31</v>
      </c>
      <c r="O786" s="544" t="s">
        <v>1674</v>
      </c>
      <c r="P786" s="544" t="s">
        <v>1674</v>
      </c>
      <c r="Q786" s="544" t="s">
        <v>2733</v>
      </c>
      <c r="R786" s="544" t="s">
        <v>1674</v>
      </c>
      <c r="S786" s="544" t="s">
        <v>1674</v>
      </c>
      <c r="T786" s="550">
        <v>19</v>
      </c>
      <c r="U786" s="544" t="s">
        <v>3328</v>
      </c>
      <c r="V786" s="547">
        <v>1723</v>
      </c>
      <c r="W786" s="548"/>
      <c r="Y786" s="544" t="s">
        <v>1674</v>
      </c>
      <c r="AA786" s="544" t="s">
        <v>1674</v>
      </c>
      <c r="AE786" s="551"/>
      <c r="AF786" s="544" t="s">
        <v>1674</v>
      </c>
      <c r="AG786" s="544" t="s">
        <v>1674</v>
      </c>
      <c r="AH786" s="544" t="s">
        <v>1674</v>
      </c>
      <c r="AI786" s="544" t="s">
        <v>1674</v>
      </c>
      <c r="AJ786" s="544" t="s">
        <v>1674</v>
      </c>
      <c r="AK786" s="544" t="s">
        <v>1674</v>
      </c>
      <c r="AL786" s="544" t="s">
        <v>1674</v>
      </c>
      <c r="AM786" s="544" t="s">
        <v>1674</v>
      </c>
      <c r="AN786" s="544" t="s">
        <v>1674</v>
      </c>
      <c r="AP786" s="542">
        <f t="shared" si="25"/>
        <v>30</v>
      </c>
      <c r="AR786" s="552">
        <f t="shared" si="24"/>
        <v>130.9</v>
      </c>
    </row>
    <row r="787" spans="1:44" outlineLevel="1" x14ac:dyDescent="0.25">
      <c r="A787" s="544" t="s">
        <v>1674</v>
      </c>
      <c r="B787" s="545">
        <v>0</v>
      </c>
      <c r="C787" s="544" t="s">
        <v>1674</v>
      </c>
      <c r="D787" s="544" t="s">
        <v>3920</v>
      </c>
      <c r="E787" s="542" t="s">
        <v>3899</v>
      </c>
      <c r="F787" s="542" t="s">
        <v>3900</v>
      </c>
      <c r="G787" s="546">
        <v>130.9</v>
      </c>
      <c r="H787" s="546"/>
      <c r="I787" s="546">
        <v>130.9</v>
      </c>
      <c r="J787" s="542" t="s">
        <v>2701</v>
      </c>
      <c r="K787" s="547">
        <v>8404</v>
      </c>
      <c r="L787" s="542" t="s">
        <v>806</v>
      </c>
      <c r="M787" s="548"/>
      <c r="N787" s="549">
        <v>-31</v>
      </c>
      <c r="O787" s="544" t="s">
        <v>1674</v>
      </c>
      <c r="P787" s="544" t="s">
        <v>1674</v>
      </c>
      <c r="Q787" s="544" t="s">
        <v>2733</v>
      </c>
      <c r="R787" s="544" t="s">
        <v>1674</v>
      </c>
      <c r="S787" s="544" t="s">
        <v>1674</v>
      </c>
      <c r="T787" s="550">
        <v>19</v>
      </c>
      <c r="U787" s="544" t="s">
        <v>3328</v>
      </c>
      <c r="V787" s="547">
        <v>1724</v>
      </c>
      <c r="W787" s="548"/>
      <c r="Y787" s="544" t="s">
        <v>1674</v>
      </c>
      <c r="AA787" s="544" t="s">
        <v>1674</v>
      </c>
      <c r="AE787" s="551"/>
      <c r="AF787" s="544" t="s">
        <v>1674</v>
      </c>
      <c r="AG787" s="544" t="s">
        <v>1674</v>
      </c>
      <c r="AH787" s="544" t="s">
        <v>1674</v>
      </c>
      <c r="AI787" s="544" t="s">
        <v>1674</v>
      </c>
      <c r="AJ787" s="544" t="s">
        <v>1674</v>
      </c>
      <c r="AK787" s="544" t="s">
        <v>1674</v>
      </c>
      <c r="AL787" s="544" t="s">
        <v>1674</v>
      </c>
      <c r="AM787" s="544" t="s">
        <v>1674</v>
      </c>
      <c r="AN787" s="544" t="s">
        <v>1674</v>
      </c>
      <c r="AP787" s="542">
        <f t="shared" si="25"/>
        <v>30</v>
      </c>
      <c r="AR787" s="552">
        <f t="shared" si="24"/>
        <v>130.9</v>
      </c>
    </row>
    <row r="788" spans="1:44" outlineLevel="1" x14ac:dyDescent="0.25">
      <c r="A788" s="544" t="s">
        <v>1674</v>
      </c>
      <c r="B788" s="545">
        <v>10419</v>
      </c>
      <c r="C788" s="544" t="s">
        <v>3921</v>
      </c>
      <c r="D788" s="544" t="s">
        <v>3922</v>
      </c>
      <c r="E788" s="542" t="s">
        <v>3899</v>
      </c>
      <c r="F788" s="542" t="s">
        <v>3900</v>
      </c>
      <c r="G788" s="546">
        <v>953.62</v>
      </c>
      <c r="H788" s="546"/>
      <c r="I788" s="546"/>
      <c r="J788" s="542" t="s">
        <v>806</v>
      </c>
      <c r="K788" s="547">
        <v>8400</v>
      </c>
      <c r="L788" s="542" t="s">
        <v>806</v>
      </c>
      <c r="M788" s="548"/>
      <c r="N788" s="549">
        <v>-31</v>
      </c>
      <c r="O788" s="544" t="s">
        <v>1674</v>
      </c>
      <c r="P788" s="544" t="s">
        <v>1674</v>
      </c>
      <c r="Q788" s="544" t="s">
        <v>3923</v>
      </c>
      <c r="R788" s="544" t="s">
        <v>1674</v>
      </c>
      <c r="S788" s="544" t="s">
        <v>1674</v>
      </c>
      <c r="T788" s="550">
        <v>19</v>
      </c>
      <c r="U788" s="544" t="s">
        <v>3328</v>
      </c>
      <c r="V788" s="547">
        <v>1748</v>
      </c>
      <c r="W788" s="548"/>
      <c r="Y788" s="544" t="s">
        <v>1674</v>
      </c>
      <c r="AA788" s="544" t="s">
        <v>1674</v>
      </c>
      <c r="AE788" s="551"/>
      <c r="AF788" s="544" t="s">
        <v>1674</v>
      </c>
      <c r="AG788" s="544" t="s">
        <v>1674</v>
      </c>
      <c r="AH788" s="544" t="s">
        <v>1674</v>
      </c>
      <c r="AI788" s="544" t="s">
        <v>1674</v>
      </c>
      <c r="AJ788" s="544" t="s">
        <v>1674</v>
      </c>
      <c r="AK788" s="544" t="s">
        <v>1674</v>
      </c>
      <c r="AL788" s="544" t="s">
        <v>1674</v>
      </c>
      <c r="AM788" s="544" t="s">
        <v>3924</v>
      </c>
      <c r="AN788" s="544" t="s">
        <v>1674</v>
      </c>
      <c r="AP788" s="542">
        <f t="shared" si="25"/>
        <v>30</v>
      </c>
      <c r="AR788" s="552">
        <f t="shared" si="24"/>
        <v>0</v>
      </c>
    </row>
    <row r="789" spans="1:44" outlineLevel="1" x14ac:dyDescent="0.25">
      <c r="A789" s="544" t="s">
        <v>1674</v>
      </c>
      <c r="B789" s="545">
        <v>0</v>
      </c>
      <c r="C789" s="544" t="s">
        <v>1674</v>
      </c>
      <c r="D789" s="544" t="s">
        <v>3922</v>
      </c>
      <c r="E789" s="542" t="s">
        <v>3899</v>
      </c>
      <c r="F789" s="542" t="s">
        <v>3900</v>
      </c>
      <c r="G789" s="546">
        <v>50.12</v>
      </c>
      <c r="H789" s="546"/>
      <c r="I789" s="546"/>
      <c r="J789" s="542" t="s">
        <v>806</v>
      </c>
      <c r="K789" s="547">
        <v>8400</v>
      </c>
      <c r="L789" s="542" t="s">
        <v>806</v>
      </c>
      <c r="M789" s="548"/>
      <c r="N789" s="549">
        <v>-31</v>
      </c>
      <c r="O789" s="544" t="s">
        <v>1674</v>
      </c>
      <c r="P789" s="544" t="s">
        <v>1674</v>
      </c>
      <c r="Q789" s="544" t="s">
        <v>3923</v>
      </c>
      <c r="R789" s="544" t="s">
        <v>2617</v>
      </c>
      <c r="S789" s="544" t="s">
        <v>1674</v>
      </c>
      <c r="T789" s="550">
        <v>19</v>
      </c>
      <c r="U789" s="544" t="s">
        <v>3328</v>
      </c>
      <c r="V789" s="547">
        <v>1749</v>
      </c>
      <c r="W789" s="548"/>
      <c r="Y789" s="544" t="s">
        <v>1674</v>
      </c>
      <c r="AA789" s="544" t="s">
        <v>1674</v>
      </c>
      <c r="AE789" s="551"/>
      <c r="AF789" s="544" t="s">
        <v>1674</v>
      </c>
      <c r="AG789" s="544" t="s">
        <v>1674</v>
      </c>
      <c r="AH789" s="544" t="s">
        <v>1674</v>
      </c>
      <c r="AI789" s="544" t="s">
        <v>1674</v>
      </c>
      <c r="AJ789" s="544" t="s">
        <v>1674</v>
      </c>
      <c r="AK789" s="544" t="s">
        <v>1674</v>
      </c>
      <c r="AL789" s="544" t="s">
        <v>1674</v>
      </c>
      <c r="AM789" s="544" t="s">
        <v>1674</v>
      </c>
      <c r="AN789" s="544" t="s">
        <v>1674</v>
      </c>
      <c r="AP789" s="542">
        <f t="shared" si="25"/>
        <v>30</v>
      </c>
      <c r="AR789" s="552">
        <f t="shared" ref="AR789:AR839" si="26">IF(J789="S",+I789,-I789)</f>
        <v>0</v>
      </c>
    </row>
    <row r="790" spans="1:44" outlineLevel="1" x14ac:dyDescent="0.25">
      <c r="A790" s="544" t="s">
        <v>1674</v>
      </c>
      <c r="B790" s="545">
        <v>0</v>
      </c>
      <c r="C790" s="544" t="s">
        <v>1674</v>
      </c>
      <c r="D790" s="544" t="s">
        <v>3922</v>
      </c>
      <c r="E790" s="542" t="s">
        <v>3899</v>
      </c>
      <c r="F790" s="542" t="s">
        <v>3900</v>
      </c>
      <c r="G790" s="546">
        <v>14247.3</v>
      </c>
      <c r="H790" s="546"/>
      <c r="I790" s="546">
        <v>15251.04</v>
      </c>
      <c r="J790" s="542" t="s">
        <v>2701</v>
      </c>
      <c r="K790" s="547">
        <v>8401</v>
      </c>
      <c r="L790" s="542" t="s">
        <v>806</v>
      </c>
      <c r="M790" s="548"/>
      <c r="N790" s="549">
        <v>-31</v>
      </c>
      <c r="O790" s="544" t="s">
        <v>1674</v>
      </c>
      <c r="P790" s="544" t="s">
        <v>1674</v>
      </c>
      <c r="Q790" s="544" t="s">
        <v>3923</v>
      </c>
      <c r="R790" s="544" t="s">
        <v>1674</v>
      </c>
      <c r="S790" s="544" t="s">
        <v>1674</v>
      </c>
      <c r="T790" s="550">
        <v>19</v>
      </c>
      <c r="U790" s="544" t="s">
        <v>3328</v>
      </c>
      <c r="V790" s="547">
        <v>1750</v>
      </c>
      <c r="W790" s="548"/>
      <c r="Y790" s="544" t="s">
        <v>1674</v>
      </c>
      <c r="AA790" s="544" t="s">
        <v>1674</v>
      </c>
      <c r="AE790" s="551"/>
      <c r="AF790" s="544" t="s">
        <v>1674</v>
      </c>
      <c r="AG790" s="544" t="s">
        <v>1674</v>
      </c>
      <c r="AH790" s="544" t="s">
        <v>1674</v>
      </c>
      <c r="AI790" s="544" t="s">
        <v>1674</v>
      </c>
      <c r="AJ790" s="544" t="s">
        <v>1674</v>
      </c>
      <c r="AK790" s="544" t="s">
        <v>1674</v>
      </c>
      <c r="AL790" s="544" t="s">
        <v>1674</v>
      </c>
      <c r="AM790" s="544" t="s">
        <v>1674</v>
      </c>
      <c r="AN790" s="544" t="s">
        <v>1674</v>
      </c>
      <c r="AP790" s="542">
        <f t="shared" si="25"/>
        <v>30</v>
      </c>
      <c r="AR790" s="552">
        <f t="shared" si="26"/>
        <v>15251.04</v>
      </c>
    </row>
    <row r="791" spans="1:44" outlineLevel="1" x14ac:dyDescent="0.25">
      <c r="A791" s="544" t="s">
        <v>1674</v>
      </c>
      <c r="B791" s="545">
        <v>10505</v>
      </c>
      <c r="C791" s="544" t="s">
        <v>3061</v>
      </c>
      <c r="D791" s="544" t="s">
        <v>3925</v>
      </c>
      <c r="E791" s="542" t="s">
        <v>3899</v>
      </c>
      <c r="F791" s="542" t="s">
        <v>3900</v>
      </c>
      <c r="G791" s="546">
        <v>3193.01</v>
      </c>
      <c r="H791" s="546"/>
      <c r="I791" s="546"/>
      <c r="J791" s="542" t="s">
        <v>806</v>
      </c>
      <c r="K791" s="547">
        <v>8400</v>
      </c>
      <c r="L791" s="542" t="s">
        <v>806</v>
      </c>
      <c r="M791" s="548"/>
      <c r="N791" s="549">
        <v>-31</v>
      </c>
      <c r="O791" s="544" t="s">
        <v>1674</v>
      </c>
      <c r="P791" s="544" t="s">
        <v>1674</v>
      </c>
      <c r="Q791" s="544" t="s">
        <v>3063</v>
      </c>
      <c r="R791" s="544" t="s">
        <v>1674</v>
      </c>
      <c r="S791" s="544" t="s">
        <v>1674</v>
      </c>
      <c r="T791" s="550">
        <v>19</v>
      </c>
      <c r="U791" s="544" t="s">
        <v>3328</v>
      </c>
      <c r="V791" s="547">
        <v>1781</v>
      </c>
      <c r="W791" s="548"/>
      <c r="Y791" s="544" t="s">
        <v>1674</v>
      </c>
      <c r="AA791" s="544" t="s">
        <v>1674</v>
      </c>
      <c r="AE791" s="551"/>
      <c r="AF791" s="544" t="s">
        <v>3064</v>
      </c>
      <c r="AG791" s="544" t="s">
        <v>3065</v>
      </c>
      <c r="AH791" s="544" t="s">
        <v>3066</v>
      </c>
      <c r="AI791" s="544" t="s">
        <v>1674</v>
      </c>
      <c r="AJ791" s="544" t="s">
        <v>3067</v>
      </c>
      <c r="AK791" s="544" t="s">
        <v>1674</v>
      </c>
      <c r="AL791" s="544" t="s">
        <v>1674</v>
      </c>
      <c r="AM791" s="544" t="s">
        <v>3068</v>
      </c>
      <c r="AN791" s="544" t="s">
        <v>3069</v>
      </c>
      <c r="AP791" s="542">
        <f t="shared" si="25"/>
        <v>30</v>
      </c>
      <c r="AR791" s="552">
        <f t="shared" si="26"/>
        <v>0</v>
      </c>
    </row>
    <row r="792" spans="1:44" outlineLevel="1" x14ac:dyDescent="0.25">
      <c r="A792" s="544" t="s">
        <v>1674</v>
      </c>
      <c r="B792" s="545">
        <v>0</v>
      </c>
      <c r="C792" s="544" t="s">
        <v>1674</v>
      </c>
      <c r="D792" s="544" t="s">
        <v>3925</v>
      </c>
      <c r="E792" s="542" t="s">
        <v>3899</v>
      </c>
      <c r="F792" s="542" t="s">
        <v>3900</v>
      </c>
      <c r="G792" s="546">
        <v>1066.71</v>
      </c>
      <c r="H792" s="546"/>
      <c r="I792" s="546">
        <v>4259.72</v>
      </c>
      <c r="J792" s="542" t="s">
        <v>2701</v>
      </c>
      <c r="K792" s="547">
        <v>8400</v>
      </c>
      <c r="L792" s="542" t="s">
        <v>806</v>
      </c>
      <c r="M792" s="548"/>
      <c r="N792" s="549">
        <v>-31</v>
      </c>
      <c r="O792" s="544" t="s">
        <v>1674</v>
      </c>
      <c r="P792" s="544" t="s">
        <v>1674</v>
      </c>
      <c r="Q792" s="544" t="s">
        <v>3063</v>
      </c>
      <c r="R792" s="544" t="s">
        <v>3070</v>
      </c>
      <c r="S792" s="544" t="s">
        <v>1674</v>
      </c>
      <c r="T792" s="550">
        <v>19</v>
      </c>
      <c r="U792" s="544" t="s">
        <v>3328</v>
      </c>
      <c r="V792" s="547">
        <v>1782</v>
      </c>
      <c r="W792" s="548"/>
      <c r="Y792" s="544" t="s">
        <v>1674</v>
      </c>
      <c r="AA792" s="544" t="s">
        <v>1674</v>
      </c>
      <c r="AE792" s="551"/>
      <c r="AF792" s="544" t="s">
        <v>1674</v>
      </c>
      <c r="AG792" s="544" t="s">
        <v>1674</v>
      </c>
      <c r="AH792" s="544" t="s">
        <v>1674</v>
      </c>
      <c r="AI792" s="544" t="s">
        <v>1674</v>
      </c>
      <c r="AJ792" s="544" t="s">
        <v>1674</v>
      </c>
      <c r="AK792" s="544" t="s">
        <v>1674</v>
      </c>
      <c r="AL792" s="544" t="s">
        <v>1674</v>
      </c>
      <c r="AM792" s="544" t="s">
        <v>1674</v>
      </c>
      <c r="AN792" s="544" t="s">
        <v>1674</v>
      </c>
      <c r="AP792" s="542">
        <f t="shared" si="25"/>
        <v>30</v>
      </c>
      <c r="AR792" s="552">
        <f t="shared" si="26"/>
        <v>4259.72</v>
      </c>
    </row>
    <row r="793" spans="1:44" outlineLevel="1" x14ac:dyDescent="0.25">
      <c r="A793" s="544" t="s">
        <v>1674</v>
      </c>
      <c r="B793" s="545">
        <v>10510</v>
      </c>
      <c r="C793" s="544" t="s">
        <v>3106</v>
      </c>
      <c r="D793" s="544" t="s">
        <v>3926</v>
      </c>
      <c r="E793" s="542" t="s">
        <v>3899</v>
      </c>
      <c r="F793" s="542" t="s">
        <v>3900</v>
      </c>
      <c r="G793" s="546">
        <v>243.65</v>
      </c>
      <c r="H793" s="546"/>
      <c r="I793" s="546">
        <v>243.65</v>
      </c>
      <c r="J793" s="542" t="s">
        <v>2701</v>
      </c>
      <c r="K793" s="547">
        <v>8400</v>
      </c>
      <c r="L793" s="542" t="s">
        <v>806</v>
      </c>
      <c r="M793" s="548"/>
      <c r="N793" s="549">
        <v>-31</v>
      </c>
      <c r="O793" s="544" t="s">
        <v>1674</v>
      </c>
      <c r="P793" s="544" t="s">
        <v>1674</v>
      </c>
      <c r="Q793" s="544" t="s">
        <v>3108</v>
      </c>
      <c r="R793" s="544" t="s">
        <v>1674</v>
      </c>
      <c r="S793" s="544" t="s">
        <v>1674</v>
      </c>
      <c r="T793" s="550">
        <v>19</v>
      </c>
      <c r="U793" s="544" t="s">
        <v>3328</v>
      </c>
      <c r="V793" s="547">
        <v>1726</v>
      </c>
      <c r="W793" s="548"/>
      <c r="Y793" s="544" t="s">
        <v>1674</v>
      </c>
      <c r="AA793" s="544" t="s">
        <v>1674</v>
      </c>
      <c r="AE793" s="551"/>
      <c r="AF793" s="544" t="s">
        <v>1674</v>
      </c>
      <c r="AG793" s="544" t="s">
        <v>1674</v>
      </c>
      <c r="AH793" s="544" t="s">
        <v>1674</v>
      </c>
      <c r="AI793" s="544" t="s">
        <v>1674</v>
      </c>
      <c r="AJ793" s="544" t="s">
        <v>1674</v>
      </c>
      <c r="AK793" s="544" t="s">
        <v>1674</v>
      </c>
      <c r="AL793" s="544" t="s">
        <v>1674</v>
      </c>
      <c r="AM793" s="544" t="s">
        <v>3109</v>
      </c>
      <c r="AN793" s="544" t="s">
        <v>1674</v>
      </c>
      <c r="AP793" s="542">
        <f t="shared" si="25"/>
        <v>30</v>
      </c>
      <c r="AR793" s="552">
        <f t="shared" si="26"/>
        <v>243.65</v>
      </c>
    </row>
    <row r="794" spans="1:44" outlineLevel="1" x14ac:dyDescent="0.25">
      <c r="A794" s="544" t="s">
        <v>1674</v>
      </c>
      <c r="B794" s="545">
        <v>10511</v>
      </c>
      <c r="C794" s="544" t="s">
        <v>3713</v>
      </c>
      <c r="D794" s="544" t="s">
        <v>3927</v>
      </c>
      <c r="E794" s="542" t="s">
        <v>3899</v>
      </c>
      <c r="F794" s="542" t="s">
        <v>3900</v>
      </c>
      <c r="G794" s="546">
        <v>721.38</v>
      </c>
      <c r="H794" s="546"/>
      <c r="I794" s="546">
        <v>721.38</v>
      </c>
      <c r="J794" s="542" t="s">
        <v>2701</v>
      </c>
      <c r="K794" s="547">
        <v>8400</v>
      </c>
      <c r="L794" s="542" t="s">
        <v>806</v>
      </c>
      <c r="M794" s="548"/>
      <c r="N794" s="549">
        <v>-31</v>
      </c>
      <c r="O794" s="544" t="s">
        <v>1674</v>
      </c>
      <c r="P794" s="544" t="s">
        <v>1674</v>
      </c>
      <c r="Q794" s="544" t="s">
        <v>3715</v>
      </c>
      <c r="R794" s="544" t="s">
        <v>1674</v>
      </c>
      <c r="S794" s="544" t="s">
        <v>1674</v>
      </c>
      <c r="T794" s="550">
        <v>19</v>
      </c>
      <c r="U794" s="544" t="s">
        <v>3328</v>
      </c>
      <c r="V794" s="547">
        <v>1776</v>
      </c>
      <c r="W794" s="548"/>
      <c r="Y794" s="544" t="s">
        <v>1674</v>
      </c>
      <c r="AA794" s="544" t="s">
        <v>1674</v>
      </c>
      <c r="AE794" s="551"/>
      <c r="AF794" s="544" t="s">
        <v>1674</v>
      </c>
      <c r="AG794" s="544" t="s">
        <v>1674</v>
      </c>
      <c r="AH794" s="544" t="s">
        <v>1674</v>
      </c>
      <c r="AI794" s="544" t="s">
        <v>1674</v>
      </c>
      <c r="AJ794" s="544" t="s">
        <v>1674</v>
      </c>
      <c r="AK794" s="544" t="s">
        <v>1674</v>
      </c>
      <c r="AL794" s="544" t="s">
        <v>1674</v>
      </c>
      <c r="AM794" s="544" t="s">
        <v>3716</v>
      </c>
      <c r="AN794" s="544" t="s">
        <v>1674</v>
      </c>
      <c r="AP794" s="542">
        <f t="shared" si="25"/>
        <v>30</v>
      </c>
      <c r="AR794" s="552">
        <f t="shared" si="26"/>
        <v>721.38</v>
      </c>
    </row>
    <row r="795" spans="1:44" outlineLevel="1" x14ac:dyDescent="0.25">
      <c r="A795" s="544" t="s">
        <v>1674</v>
      </c>
      <c r="B795" s="545">
        <v>10600</v>
      </c>
      <c r="C795" s="544" t="s">
        <v>2946</v>
      </c>
      <c r="D795" s="544" t="s">
        <v>3928</v>
      </c>
      <c r="E795" s="542" t="s">
        <v>3899</v>
      </c>
      <c r="F795" s="542" t="s">
        <v>3900</v>
      </c>
      <c r="G795" s="546">
        <v>999.6</v>
      </c>
      <c r="H795" s="546"/>
      <c r="I795" s="546">
        <v>999.6</v>
      </c>
      <c r="J795" s="542" t="s">
        <v>2701</v>
      </c>
      <c r="K795" s="547">
        <v>8400</v>
      </c>
      <c r="L795" s="542" t="s">
        <v>806</v>
      </c>
      <c r="M795" s="548"/>
      <c r="N795" s="549">
        <v>-31</v>
      </c>
      <c r="O795" s="544" t="s">
        <v>1674</v>
      </c>
      <c r="P795" s="544" t="s">
        <v>1674</v>
      </c>
      <c r="Q795" s="544" t="s">
        <v>3929</v>
      </c>
      <c r="R795" s="544" t="s">
        <v>1674</v>
      </c>
      <c r="S795" s="544" t="s">
        <v>1674</v>
      </c>
      <c r="T795" s="550">
        <v>19</v>
      </c>
      <c r="U795" s="544" t="s">
        <v>3328</v>
      </c>
      <c r="V795" s="547">
        <v>1767</v>
      </c>
      <c r="W795" s="548"/>
      <c r="Y795" s="544" t="s">
        <v>1674</v>
      </c>
      <c r="AA795" s="544" t="s">
        <v>1674</v>
      </c>
      <c r="AE795" s="551"/>
      <c r="AF795" s="544" t="s">
        <v>1674</v>
      </c>
      <c r="AG795" s="544" t="s">
        <v>1674</v>
      </c>
      <c r="AH795" s="544" t="s">
        <v>1674</v>
      </c>
      <c r="AI795" s="544" t="s">
        <v>1674</v>
      </c>
      <c r="AJ795" s="544" t="s">
        <v>1674</v>
      </c>
      <c r="AK795" s="544" t="s">
        <v>1674</v>
      </c>
      <c r="AL795" s="544" t="s">
        <v>1674</v>
      </c>
      <c r="AM795" s="544" t="s">
        <v>2946</v>
      </c>
      <c r="AN795" s="544" t="s">
        <v>1674</v>
      </c>
      <c r="AP795" s="542">
        <f t="shared" si="25"/>
        <v>30</v>
      </c>
      <c r="AR795" s="552">
        <f t="shared" si="26"/>
        <v>999.6</v>
      </c>
    </row>
    <row r="796" spans="1:44" outlineLevel="1" x14ac:dyDescent="0.25">
      <c r="A796" s="544" t="s">
        <v>1674</v>
      </c>
      <c r="B796" s="545">
        <v>10605</v>
      </c>
      <c r="C796" s="544" t="s">
        <v>3805</v>
      </c>
      <c r="D796" s="544" t="s">
        <v>3930</v>
      </c>
      <c r="E796" s="542" t="s">
        <v>3899</v>
      </c>
      <c r="F796" s="542" t="s">
        <v>3900</v>
      </c>
      <c r="G796" s="546">
        <v>1640.3</v>
      </c>
      <c r="H796" s="546"/>
      <c r="I796" s="546">
        <v>1640.3</v>
      </c>
      <c r="J796" s="542" t="s">
        <v>2701</v>
      </c>
      <c r="K796" s="547">
        <v>8400</v>
      </c>
      <c r="L796" s="542" t="s">
        <v>806</v>
      </c>
      <c r="M796" s="548"/>
      <c r="N796" s="549">
        <v>-31</v>
      </c>
      <c r="O796" s="544" t="s">
        <v>1674</v>
      </c>
      <c r="P796" s="544" t="s">
        <v>1674</v>
      </c>
      <c r="Q796" s="544" t="s">
        <v>3807</v>
      </c>
      <c r="R796" s="544" t="s">
        <v>1674</v>
      </c>
      <c r="S796" s="544" t="s">
        <v>1674</v>
      </c>
      <c r="T796" s="550">
        <v>19</v>
      </c>
      <c r="U796" s="544" t="s">
        <v>3328</v>
      </c>
      <c r="V796" s="547">
        <v>1779</v>
      </c>
      <c r="W796" s="548"/>
      <c r="Y796" s="544" t="s">
        <v>1674</v>
      </c>
      <c r="AA796" s="544" t="s">
        <v>1674</v>
      </c>
      <c r="AE796" s="551"/>
      <c r="AF796" s="544" t="s">
        <v>1674</v>
      </c>
      <c r="AG796" s="544" t="s">
        <v>1674</v>
      </c>
      <c r="AH796" s="544" t="s">
        <v>1674</v>
      </c>
      <c r="AI796" s="544" t="s">
        <v>1674</v>
      </c>
      <c r="AJ796" s="544" t="s">
        <v>1674</v>
      </c>
      <c r="AK796" s="544" t="s">
        <v>1674</v>
      </c>
      <c r="AL796" s="544" t="s">
        <v>1674</v>
      </c>
      <c r="AM796" s="544" t="s">
        <v>3808</v>
      </c>
      <c r="AN796" s="544" t="s">
        <v>1674</v>
      </c>
      <c r="AP796" s="542">
        <f t="shared" si="25"/>
        <v>30</v>
      </c>
      <c r="AR796" s="552">
        <f t="shared" si="26"/>
        <v>1640.3</v>
      </c>
    </row>
    <row r="797" spans="1:44" outlineLevel="1" x14ac:dyDescent="0.25">
      <c r="A797" s="544" t="s">
        <v>1674</v>
      </c>
      <c r="B797" s="545">
        <v>10705</v>
      </c>
      <c r="C797" s="544" t="s">
        <v>3110</v>
      </c>
      <c r="D797" s="544" t="s">
        <v>3931</v>
      </c>
      <c r="E797" s="542" t="s">
        <v>3899</v>
      </c>
      <c r="F797" s="542" t="s">
        <v>3900</v>
      </c>
      <c r="G797" s="546">
        <v>337.25</v>
      </c>
      <c r="H797" s="546"/>
      <c r="I797" s="546"/>
      <c r="J797" s="542" t="s">
        <v>806</v>
      </c>
      <c r="K797" s="547">
        <v>8400</v>
      </c>
      <c r="L797" s="542" t="s">
        <v>806</v>
      </c>
      <c r="M797" s="548"/>
      <c r="N797" s="549">
        <v>-31</v>
      </c>
      <c r="O797" s="544" t="s">
        <v>1674</v>
      </c>
      <c r="P797" s="544" t="s">
        <v>1674</v>
      </c>
      <c r="Q797" s="544" t="s">
        <v>3112</v>
      </c>
      <c r="R797" s="544" t="s">
        <v>1674</v>
      </c>
      <c r="S797" s="544" t="s">
        <v>1674</v>
      </c>
      <c r="T797" s="550">
        <v>19</v>
      </c>
      <c r="U797" s="544" t="s">
        <v>3328</v>
      </c>
      <c r="V797" s="547">
        <v>1739</v>
      </c>
      <c r="W797" s="548"/>
      <c r="Y797" s="544" t="s">
        <v>1674</v>
      </c>
      <c r="AA797" s="544" t="s">
        <v>1674</v>
      </c>
      <c r="AE797" s="551"/>
      <c r="AF797" s="544" t="s">
        <v>1674</v>
      </c>
      <c r="AG797" s="544" t="s">
        <v>1674</v>
      </c>
      <c r="AH797" s="544" t="s">
        <v>1674</v>
      </c>
      <c r="AI797" s="544" t="s">
        <v>1674</v>
      </c>
      <c r="AJ797" s="544" t="s">
        <v>1674</v>
      </c>
      <c r="AK797" s="544" t="s">
        <v>1674</v>
      </c>
      <c r="AL797" s="544" t="s">
        <v>1674</v>
      </c>
      <c r="AM797" s="544" t="s">
        <v>3113</v>
      </c>
      <c r="AN797" s="544" t="s">
        <v>1674</v>
      </c>
      <c r="AP797" s="542">
        <f t="shared" si="25"/>
        <v>30</v>
      </c>
      <c r="AR797" s="552">
        <f t="shared" si="26"/>
        <v>0</v>
      </c>
    </row>
    <row r="798" spans="1:44" outlineLevel="1" x14ac:dyDescent="0.25">
      <c r="A798" s="544" t="s">
        <v>1674</v>
      </c>
      <c r="B798" s="545">
        <v>0</v>
      </c>
      <c r="C798" s="544" t="s">
        <v>1674</v>
      </c>
      <c r="D798" s="544" t="s">
        <v>3931</v>
      </c>
      <c r="E798" s="542" t="s">
        <v>3899</v>
      </c>
      <c r="F798" s="542" t="s">
        <v>3900</v>
      </c>
      <c r="G798" s="546">
        <v>17.73</v>
      </c>
      <c r="H798" s="546"/>
      <c r="I798" s="546"/>
      <c r="J798" s="542" t="s">
        <v>806</v>
      </c>
      <c r="K798" s="547">
        <v>8400</v>
      </c>
      <c r="L798" s="542" t="s">
        <v>806</v>
      </c>
      <c r="M798" s="548"/>
      <c r="N798" s="549">
        <v>-31</v>
      </c>
      <c r="O798" s="544" t="s">
        <v>1674</v>
      </c>
      <c r="P798" s="544" t="s">
        <v>1674</v>
      </c>
      <c r="Q798" s="544" t="s">
        <v>3112</v>
      </c>
      <c r="R798" s="544" t="s">
        <v>2617</v>
      </c>
      <c r="S798" s="544" t="s">
        <v>1674</v>
      </c>
      <c r="T798" s="550">
        <v>19</v>
      </c>
      <c r="U798" s="544" t="s">
        <v>3328</v>
      </c>
      <c r="V798" s="547">
        <v>1740</v>
      </c>
      <c r="W798" s="548"/>
      <c r="Y798" s="544" t="s">
        <v>1674</v>
      </c>
      <c r="AA798" s="544" t="s">
        <v>1674</v>
      </c>
      <c r="AE798" s="551"/>
      <c r="AF798" s="544" t="s">
        <v>1674</v>
      </c>
      <c r="AG798" s="544" t="s">
        <v>1674</v>
      </c>
      <c r="AH798" s="544" t="s">
        <v>1674</v>
      </c>
      <c r="AI798" s="544" t="s">
        <v>1674</v>
      </c>
      <c r="AJ798" s="544" t="s">
        <v>1674</v>
      </c>
      <c r="AK798" s="544" t="s">
        <v>1674</v>
      </c>
      <c r="AL798" s="544" t="s">
        <v>1674</v>
      </c>
      <c r="AM798" s="544" t="s">
        <v>1674</v>
      </c>
      <c r="AN798" s="544" t="s">
        <v>1674</v>
      </c>
      <c r="AP798" s="542">
        <f t="shared" si="25"/>
        <v>30</v>
      </c>
      <c r="AR798" s="552">
        <f t="shared" si="26"/>
        <v>0</v>
      </c>
    </row>
    <row r="799" spans="1:44" outlineLevel="1" x14ac:dyDescent="0.25">
      <c r="A799" s="544" t="s">
        <v>1674</v>
      </c>
      <c r="B799" s="545">
        <v>0</v>
      </c>
      <c r="C799" s="544" t="s">
        <v>1674</v>
      </c>
      <c r="D799" s="544" t="s">
        <v>3931</v>
      </c>
      <c r="E799" s="542" t="s">
        <v>3899</v>
      </c>
      <c r="F799" s="542" t="s">
        <v>3900</v>
      </c>
      <c r="G799" s="546">
        <v>5035.72</v>
      </c>
      <c r="H799" s="546"/>
      <c r="I799" s="546">
        <v>5390.7</v>
      </c>
      <c r="J799" s="542" t="s">
        <v>2701</v>
      </c>
      <c r="K799" s="547">
        <v>8401</v>
      </c>
      <c r="L799" s="542" t="s">
        <v>806</v>
      </c>
      <c r="M799" s="548"/>
      <c r="N799" s="549">
        <v>-31</v>
      </c>
      <c r="O799" s="544" t="s">
        <v>1674</v>
      </c>
      <c r="P799" s="544" t="s">
        <v>1674</v>
      </c>
      <c r="Q799" s="544" t="s">
        <v>3112</v>
      </c>
      <c r="R799" s="544" t="s">
        <v>1674</v>
      </c>
      <c r="S799" s="544" t="s">
        <v>1674</v>
      </c>
      <c r="T799" s="550">
        <v>19</v>
      </c>
      <c r="U799" s="544" t="s">
        <v>3328</v>
      </c>
      <c r="V799" s="547">
        <v>1741</v>
      </c>
      <c r="W799" s="548"/>
      <c r="Y799" s="544" t="s">
        <v>1674</v>
      </c>
      <c r="AA799" s="544" t="s">
        <v>1674</v>
      </c>
      <c r="AE799" s="551"/>
      <c r="AF799" s="544" t="s">
        <v>1674</v>
      </c>
      <c r="AG799" s="544" t="s">
        <v>1674</v>
      </c>
      <c r="AH799" s="544" t="s">
        <v>1674</v>
      </c>
      <c r="AI799" s="544" t="s">
        <v>1674</v>
      </c>
      <c r="AJ799" s="544" t="s">
        <v>1674</v>
      </c>
      <c r="AK799" s="544" t="s">
        <v>1674</v>
      </c>
      <c r="AL799" s="544" t="s">
        <v>1674</v>
      </c>
      <c r="AM799" s="544" t="s">
        <v>1674</v>
      </c>
      <c r="AN799" s="544" t="s">
        <v>1674</v>
      </c>
      <c r="AP799" s="542">
        <f t="shared" si="25"/>
        <v>30</v>
      </c>
      <c r="AR799" s="552">
        <f t="shared" si="26"/>
        <v>5390.7</v>
      </c>
    </row>
    <row r="800" spans="1:44" outlineLevel="1" x14ac:dyDescent="0.25">
      <c r="A800" s="544" t="s">
        <v>1674</v>
      </c>
      <c r="B800" s="545">
        <v>0</v>
      </c>
      <c r="C800" s="544" t="s">
        <v>1674</v>
      </c>
      <c r="D800" s="544" t="s">
        <v>3932</v>
      </c>
      <c r="E800" s="542" t="s">
        <v>3899</v>
      </c>
      <c r="F800" s="542" t="s">
        <v>3900</v>
      </c>
      <c r="G800" s="546">
        <v>337.25</v>
      </c>
      <c r="H800" s="546"/>
      <c r="I800" s="546"/>
      <c r="J800" s="542" t="s">
        <v>806</v>
      </c>
      <c r="K800" s="547">
        <v>8400</v>
      </c>
      <c r="L800" s="542" t="s">
        <v>806</v>
      </c>
      <c r="M800" s="548"/>
      <c r="N800" s="549">
        <v>-31</v>
      </c>
      <c r="O800" s="544" t="s">
        <v>1674</v>
      </c>
      <c r="P800" s="544" t="s">
        <v>1674</v>
      </c>
      <c r="Q800" s="544" t="s">
        <v>3112</v>
      </c>
      <c r="R800" s="544" t="s">
        <v>1674</v>
      </c>
      <c r="S800" s="544" t="s">
        <v>1674</v>
      </c>
      <c r="T800" s="550">
        <v>19</v>
      </c>
      <c r="U800" s="544" t="s">
        <v>3328</v>
      </c>
      <c r="V800" s="547">
        <v>1742</v>
      </c>
      <c r="W800" s="548"/>
      <c r="Y800" s="544" t="s">
        <v>1674</v>
      </c>
      <c r="AA800" s="544" t="s">
        <v>1674</v>
      </c>
      <c r="AE800" s="551"/>
      <c r="AF800" s="544" t="s">
        <v>1674</v>
      </c>
      <c r="AG800" s="544" t="s">
        <v>1674</v>
      </c>
      <c r="AH800" s="544" t="s">
        <v>1674</v>
      </c>
      <c r="AI800" s="544" t="s">
        <v>1674</v>
      </c>
      <c r="AJ800" s="544" t="s">
        <v>1674</v>
      </c>
      <c r="AK800" s="544" t="s">
        <v>1674</v>
      </c>
      <c r="AL800" s="544" t="s">
        <v>1674</v>
      </c>
      <c r="AM800" s="544" t="s">
        <v>1674</v>
      </c>
      <c r="AN800" s="544" t="s">
        <v>1674</v>
      </c>
      <c r="AP800" s="542">
        <f t="shared" ref="AP800:AP839" si="27">IF(F800&lt;&gt;0,($AP$2-$F800)*-1,0)</f>
        <v>30</v>
      </c>
      <c r="AR800" s="552">
        <f t="shared" si="26"/>
        <v>0</v>
      </c>
    </row>
    <row r="801" spans="1:44" outlineLevel="1" x14ac:dyDescent="0.25">
      <c r="A801" s="544" t="s">
        <v>1674</v>
      </c>
      <c r="B801" s="545">
        <v>0</v>
      </c>
      <c r="C801" s="544" t="s">
        <v>1674</v>
      </c>
      <c r="D801" s="544" t="s">
        <v>3932</v>
      </c>
      <c r="E801" s="542" t="s">
        <v>3899</v>
      </c>
      <c r="F801" s="542" t="s">
        <v>3900</v>
      </c>
      <c r="G801" s="546">
        <v>17.73</v>
      </c>
      <c r="H801" s="546"/>
      <c r="I801" s="546"/>
      <c r="J801" s="542" t="s">
        <v>806</v>
      </c>
      <c r="K801" s="547">
        <v>8400</v>
      </c>
      <c r="L801" s="542" t="s">
        <v>806</v>
      </c>
      <c r="M801" s="548"/>
      <c r="N801" s="549">
        <v>-31</v>
      </c>
      <c r="O801" s="544" t="s">
        <v>1674</v>
      </c>
      <c r="P801" s="544" t="s">
        <v>1674</v>
      </c>
      <c r="Q801" s="544" t="s">
        <v>3112</v>
      </c>
      <c r="R801" s="544" t="s">
        <v>2617</v>
      </c>
      <c r="S801" s="544" t="s">
        <v>1674</v>
      </c>
      <c r="T801" s="550">
        <v>19</v>
      </c>
      <c r="U801" s="544" t="s">
        <v>3328</v>
      </c>
      <c r="V801" s="547">
        <v>1743</v>
      </c>
      <c r="W801" s="548"/>
      <c r="Y801" s="544" t="s">
        <v>1674</v>
      </c>
      <c r="AA801" s="544" t="s">
        <v>1674</v>
      </c>
      <c r="AE801" s="551"/>
      <c r="AF801" s="544" t="s">
        <v>1674</v>
      </c>
      <c r="AG801" s="544" t="s">
        <v>1674</v>
      </c>
      <c r="AH801" s="544" t="s">
        <v>1674</v>
      </c>
      <c r="AI801" s="544" t="s">
        <v>1674</v>
      </c>
      <c r="AJ801" s="544" t="s">
        <v>1674</v>
      </c>
      <c r="AK801" s="544" t="s">
        <v>1674</v>
      </c>
      <c r="AL801" s="544" t="s">
        <v>1674</v>
      </c>
      <c r="AM801" s="544" t="s">
        <v>1674</v>
      </c>
      <c r="AN801" s="544" t="s">
        <v>1674</v>
      </c>
      <c r="AP801" s="542">
        <f t="shared" si="27"/>
        <v>30</v>
      </c>
      <c r="AR801" s="552">
        <f t="shared" si="26"/>
        <v>0</v>
      </c>
    </row>
    <row r="802" spans="1:44" outlineLevel="1" x14ac:dyDescent="0.25">
      <c r="A802" s="544" t="s">
        <v>1674</v>
      </c>
      <c r="B802" s="545">
        <v>0</v>
      </c>
      <c r="C802" s="544" t="s">
        <v>1674</v>
      </c>
      <c r="D802" s="544" t="s">
        <v>3932</v>
      </c>
      <c r="E802" s="542" t="s">
        <v>3899</v>
      </c>
      <c r="F802" s="542" t="s">
        <v>3900</v>
      </c>
      <c r="G802" s="546">
        <v>5035.72</v>
      </c>
      <c r="H802" s="546"/>
      <c r="I802" s="546">
        <v>5390.7</v>
      </c>
      <c r="J802" s="542" t="s">
        <v>2701</v>
      </c>
      <c r="K802" s="547">
        <v>8401</v>
      </c>
      <c r="L802" s="542" t="s">
        <v>806</v>
      </c>
      <c r="M802" s="548"/>
      <c r="N802" s="549">
        <v>-31</v>
      </c>
      <c r="O802" s="544" t="s">
        <v>1674</v>
      </c>
      <c r="P802" s="544" t="s">
        <v>1674</v>
      </c>
      <c r="Q802" s="544" t="s">
        <v>3112</v>
      </c>
      <c r="R802" s="544" t="s">
        <v>1674</v>
      </c>
      <c r="S802" s="544" t="s">
        <v>1674</v>
      </c>
      <c r="T802" s="550">
        <v>19</v>
      </c>
      <c r="U802" s="544" t="s">
        <v>3328</v>
      </c>
      <c r="V802" s="547">
        <v>1744</v>
      </c>
      <c r="W802" s="548"/>
      <c r="Y802" s="544" t="s">
        <v>1674</v>
      </c>
      <c r="AA802" s="544" t="s">
        <v>1674</v>
      </c>
      <c r="AE802" s="551"/>
      <c r="AF802" s="544" t="s">
        <v>1674</v>
      </c>
      <c r="AG802" s="544" t="s">
        <v>1674</v>
      </c>
      <c r="AH802" s="544" t="s">
        <v>1674</v>
      </c>
      <c r="AI802" s="544" t="s">
        <v>1674</v>
      </c>
      <c r="AJ802" s="544" t="s">
        <v>1674</v>
      </c>
      <c r="AK802" s="544" t="s">
        <v>1674</v>
      </c>
      <c r="AL802" s="544" t="s">
        <v>1674</v>
      </c>
      <c r="AM802" s="544" t="s">
        <v>1674</v>
      </c>
      <c r="AN802" s="544" t="s">
        <v>1674</v>
      </c>
      <c r="AP802" s="542">
        <f t="shared" si="27"/>
        <v>30</v>
      </c>
      <c r="AR802" s="552">
        <f t="shared" si="26"/>
        <v>5390.7</v>
      </c>
    </row>
    <row r="803" spans="1:44" outlineLevel="1" x14ac:dyDescent="0.25">
      <c r="A803" s="544" t="s">
        <v>1674</v>
      </c>
      <c r="B803" s="545">
        <v>10709</v>
      </c>
      <c r="C803" s="544" t="s">
        <v>3933</v>
      </c>
      <c r="D803" s="544" t="s">
        <v>3934</v>
      </c>
      <c r="E803" s="542" t="s">
        <v>3899</v>
      </c>
      <c r="F803" s="542" t="s">
        <v>3900</v>
      </c>
      <c r="G803" s="546">
        <v>385.56</v>
      </c>
      <c r="H803" s="546"/>
      <c r="I803" s="546">
        <v>385.56</v>
      </c>
      <c r="J803" s="542" t="s">
        <v>2701</v>
      </c>
      <c r="K803" s="547">
        <v>8400</v>
      </c>
      <c r="L803" s="542" t="s">
        <v>806</v>
      </c>
      <c r="M803" s="548"/>
      <c r="N803" s="549">
        <v>-31</v>
      </c>
      <c r="O803" s="544" t="s">
        <v>1674</v>
      </c>
      <c r="P803" s="544" t="s">
        <v>1674</v>
      </c>
      <c r="Q803" s="544" t="s">
        <v>3935</v>
      </c>
      <c r="R803" s="544" t="s">
        <v>2622</v>
      </c>
      <c r="S803" s="544" t="s">
        <v>1674</v>
      </c>
      <c r="T803" s="550">
        <v>19</v>
      </c>
      <c r="U803" s="544" t="s">
        <v>3328</v>
      </c>
      <c r="V803" s="547">
        <v>1730</v>
      </c>
      <c r="W803" s="548"/>
      <c r="Y803" s="544" t="s">
        <v>1674</v>
      </c>
      <c r="AA803" s="544" t="s">
        <v>1674</v>
      </c>
      <c r="AE803" s="551"/>
      <c r="AF803" s="544" t="s">
        <v>1674</v>
      </c>
      <c r="AG803" s="544" t="s">
        <v>1674</v>
      </c>
      <c r="AH803" s="544" t="s">
        <v>1674</v>
      </c>
      <c r="AI803" s="544" t="s">
        <v>1674</v>
      </c>
      <c r="AJ803" s="544" t="s">
        <v>1674</v>
      </c>
      <c r="AK803" s="544" t="s">
        <v>1674</v>
      </c>
      <c r="AL803" s="544" t="s">
        <v>1674</v>
      </c>
      <c r="AM803" s="544" t="s">
        <v>3936</v>
      </c>
      <c r="AN803" s="544" t="s">
        <v>1674</v>
      </c>
      <c r="AP803" s="542">
        <f t="shared" si="27"/>
        <v>30</v>
      </c>
      <c r="AR803" s="552">
        <f t="shared" si="26"/>
        <v>385.56</v>
      </c>
    </row>
    <row r="804" spans="1:44" outlineLevel="1" x14ac:dyDescent="0.25">
      <c r="A804" s="544" t="s">
        <v>1674</v>
      </c>
      <c r="B804" s="545">
        <v>10800</v>
      </c>
      <c r="C804" s="544" t="s">
        <v>2967</v>
      </c>
      <c r="D804" s="544" t="s">
        <v>3937</v>
      </c>
      <c r="E804" s="542" t="s">
        <v>3899</v>
      </c>
      <c r="F804" s="542" t="s">
        <v>3900</v>
      </c>
      <c r="G804" s="546">
        <v>317.73</v>
      </c>
      <c r="H804" s="546"/>
      <c r="I804" s="546">
        <v>317.73</v>
      </c>
      <c r="J804" s="542" t="s">
        <v>2701</v>
      </c>
      <c r="K804" s="547">
        <v>8400</v>
      </c>
      <c r="L804" s="542" t="s">
        <v>806</v>
      </c>
      <c r="M804" s="548"/>
      <c r="N804" s="549">
        <v>-31</v>
      </c>
      <c r="O804" s="544" t="s">
        <v>1674</v>
      </c>
      <c r="P804" s="544" t="s">
        <v>1674</v>
      </c>
      <c r="Q804" s="544" t="s">
        <v>3938</v>
      </c>
      <c r="R804" s="544" t="s">
        <v>1674</v>
      </c>
      <c r="S804" s="544" t="s">
        <v>1674</v>
      </c>
      <c r="T804" s="550">
        <v>19</v>
      </c>
      <c r="U804" s="544" t="s">
        <v>3328</v>
      </c>
      <c r="V804" s="547">
        <v>1729</v>
      </c>
      <c r="W804" s="548"/>
      <c r="Y804" s="544" t="s">
        <v>1674</v>
      </c>
      <c r="AA804" s="544" t="s">
        <v>1674</v>
      </c>
      <c r="AE804" s="551"/>
      <c r="AF804" s="544" t="s">
        <v>1674</v>
      </c>
      <c r="AG804" s="544" t="s">
        <v>1674</v>
      </c>
      <c r="AH804" s="544" t="s">
        <v>1674</v>
      </c>
      <c r="AI804" s="544" t="s">
        <v>1674</v>
      </c>
      <c r="AJ804" s="544" t="s">
        <v>1674</v>
      </c>
      <c r="AK804" s="544" t="s">
        <v>1674</v>
      </c>
      <c r="AL804" s="544" t="s">
        <v>1674</v>
      </c>
      <c r="AM804" s="544" t="s">
        <v>2967</v>
      </c>
      <c r="AN804" s="544" t="s">
        <v>1674</v>
      </c>
      <c r="AP804" s="542">
        <f t="shared" si="27"/>
        <v>30</v>
      </c>
      <c r="AR804" s="552">
        <f t="shared" si="26"/>
        <v>317.73</v>
      </c>
    </row>
    <row r="805" spans="1:44" outlineLevel="1" x14ac:dyDescent="0.25">
      <c r="A805" s="544" t="s">
        <v>1674</v>
      </c>
      <c r="B805" s="545">
        <v>0</v>
      </c>
      <c r="C805" s="544" t="s">
        <v>1674</v>
      </c>
      <c r="D805" s="544" t="s">
        <v>3939</v>
      </c>
      <c r="E805" s="542" t="s">
        <v>3899</v>
      </c>
      <c r="F805" s="542" t="s">
        <v>3900</v>
      </c>
      <c r="G805" s="546">
        <v>924.27</v>
      </c>
      <c r="H805" s="546"/>
      <c r="I805" s="546"/>
      <c r="J805" s="542" t="s">
        <v>806</v>
      </c>
      <c r="K805" s="547">
        <v>8400</v>
      </c>
      <c r="L805" s="542" t="s">
        <v>806</v>
      </c>
      <c r="M805" s="548"/>
      <c r="N805" s="549">
        <v>-31</v>
      </c>
      <c r="O805" s="544" t="s">
        <v>1674</v>
      </c>
      <c r="P805" s="544" t="s">
        <v>1674</v>
      </c>
      <c r="Q805" s="544" t="s">
        <v>3940</v>
      </c>
      <c r="R805" s="544" t="s">
        <v>1674</v>
      </c>
      <c r="S805" s="544" t="s">
        <v>1674</v>
      </c>
      <c r="T805" s="550">
        <v>19</v>
      </c>
      <c r="U805" s="544" t="s">
        <v>3328</v>
      </c>
      <c r="V805" s="547">
        <v>1784</v>
      </c>
      <c r="W805" s="548"/>
      <c r="Y805" s="544" t="s">
        <v>1674</v>
      </c>
      <c r="AA805" s="544" t="s">
        <v>1674</v>
      </c>
      <c r="AE805" s="551"/>
      <c r="AF805" s="544" t="s">
        <v>1674</v>
      </c>
      <c r="AG805" s="544" t="s">
        <v>1674</v>
      </c>
      <c r="AH805" s="544" t="s">
        <v>1674</v>
      </c>
      <c r="AI805" s="544" t="s">
        <v>1674</v>
      </c>
      <c r="AJ805" s="544" t="s">
        <v>1674</v>
      </c>
      <c r="AK805" s="544" t="s">
        <v>1674</v>
      </c>
      <c r="AL805" s="544" t="s">
        <v>1674</v>
      </c>
      <c r="AM805" s="544" t="s">
        <v>1674</v>
      </c>
      <c r="AN805" s="544" t="s">
        <v>1674</v>
      </c>
      <c r="AP805" s="542">
        <f t="shared" si="27"/>
        <v>30</v>
      </c>
      <c r="AR805" s="552">
        <f t="shared" si="26"/>
        <v>0</v>
      </c>
    </row>
    <row r="806" spans="1:44" outlineLevel="1" x14ac:dyDescent="0.25">
      <c r="A806" s="544" t="s">
        <v>1674</v>
      </c>
      <c r="B806" s="545">
        <v>0</v>
      </c>
      <c r="C806" s="544" t="s">
        <v>1674</v>
      </c>
      <c r="D806" s="544" t="s">
        <v>3939</v>
      </c>
      <c r="E806" s="542" t="s">
        <v>3899</v>
      </c>
      <c r="F806" s="542" t="s">
        <v>3900</v>
      </c>
      <c r="G806" s="546">
        <v>48.91</v>
      </c>
      <c r="H806" s="546"/>
      <c r="I806" s="546"/>
      <c r="J806" s="542" t="s">
        <v>806</v>
      </c>
      <c r="K806" s="547">
        <v>8400</v>
      </c>
      <c r="L806" s="542" t="s">
        <v>806</v>
      </c>
      <c r="M806" s="548"/>
      <c r="N806" s="549">
        <v>-31</v>
      </c>
      <c r="O806" s="544" t="s">
        <v>1674</v>
      </c>
      <c r="P806" s="544" t="s">
        <v>1674</v>
      </c>
      <c r="Q806" s="544" t="s">
        <v>3940</v>
      </c>
      <c r="R806" s="544" t="s">
        <v>2617</v>
      </c>
      <c r="S806" s="544" t="s">
        <v>1674</v>
      </c>
      <c r="T806" s="550">
        <v>19</v>
      </c>
      <c r="U806" s="544" t="s">
        <v>3328</v>
      </c>
      <c r="V806" s="547">
        <v>1785</v>
      </c>
      <c r="W806" s="548"/>
      <c r="Y806" s="544" t="s">
        <v>1674</v>
      </c>
      <c r="AA806" s="544" t="s">
        <v>1674</v>
      </c>
      <c r="AE806" s="551"/>
      <c r="AF806" s="544" t="s">
        <v>1674</v>
      </c>
      <c r="AG806" s="544" t="s">
        <v>1674</v>
      </c>
      <c r="AH806" s="544" t="s">
        <v>1674</v>
      </c>
      <c r="AI806" s="544" t="s">
        <v>1674</v>
      </c>
      <c r="AJ806" s="544" t="s">
        <v>1674</v>
      </c>
      <c r="AK806" s="544" t="s">
        <v>1674</v>
      </c>
      <c r="AL806" s="544" t="s">
        <v>1674</v>
      </c>
      <c r="AM806" s="544" t="s">
        <v>1674</v>
      </c>
      <c r="AN806" s="544" t="s">
        <v>1674</v>
      </c>
      <c r="AP806" s="542">
        <f t="shared" si="27"/>
        <v>30</v>
      </c>
      <c r="AR806" s="552">
        <f t="shared" si="26"/>
        <v>0</v>
      </c>
    </row>
    <row r="807" spans="1:44" outlineLevel="1" x14ac:dyDescent="0.25">
      <c r="A807" s="544" t="s">
        <v>1674</v>
      </c>
      <c r="B807" s="545">
        <v>0</v>
      </c>
      <c r="C807" s="544" t="s">
        <v>1674</v>
      </c>
      <c r="D807" s="544" t="s">
        <v>3939</v>
      </c>
      <c r="E807" s="542" t="s">
        <v>3899</v>
      </c>
      <c r="F807" s="542" t="s">
        <v>3900</v>
      </c>
      <c r="G807" s="546">
        <v>13806.62</v>
      </c>
      <c r="H807" s="546"/>
      <c r="I807" s="546">
        <v>14779.8</v>
      </c>
      <c r="J807" s="542" t="s">
        <v>2701</v>
      </c>
      <c r="K807" s="547">
        <v>8401</v>
      </c>
      <c r="L807" s="542" t="s">
        <v>806</v>
      </c>
      <c r="M807" s="548"/>
      <c r="N807" s="549">
        <v>-31</v>
      </c>
      <c r="O807" s="544" t="s">
        <v>1674</v>
      </c>
      <c r="P807" s="544" t="s">
        <v>1674</v>
      </c>
      <c r="Q807" s="544" t="s">
        <v>3940</v>
      </c>
      <c r="R807" s="544" t="s">
        <v>1674</v>
      </c>
      <c r="S807" s="544" t="s">
        <v>1674</v>
      </c>
      <c r="T807" s="550">
        <v>19</v>
      </c>
      <c r="U807" s="544" t="s">
        <v>3328</v>
      </c>
      <c r="V807" s="547">
        <v>1786</v>
      </c>
      <c r="W807" s="548"/>
      <c r="Y807" s="544" t="s">
        <v>1674</v>
      </c>
      <c r="AA807" s="544" t="s">
        <v>1674</v>
      </c>
      <c r="AE807" s="551"/>
      <c r="AF807" s="544" t="s">
        <v>1674</v>
      </c>
      <c r="AG807" s="544" t="s">
        <v>1674</v>
      </c>
      <c r="AH807" s="544" t="s">
        <v>1674</v>
      </c>
      <c r="AI807" s="544" t="s">
        <v>1674</v>
      </c>
      <c r="AJ807" s="544" t="s">
        <v>1674</v>
      </c>
      <c r="AK807" s="544" t="s">
        <v>1674</v>
      </c>
      <c r="AL807" s="544" t="s">
        <v>1674</v>
      </c>
      <c r="AM807" s="544" t="s">
        <v>1674</v>
      </c>
      <c r="AN807" s="544" t="s">
        <v>1674</v>
      </c>
      <c r="AP807" s="542">
        <f t="shared" si="27"/>
        <v>30</v>
      </c>
      <c r="AR807" s="552">
        <f t="shared" si="26"/>
        <v>14779.8</v>
      </c>
    </row>
    <row r="808" spans="1:44" outlineLevel="1" x14ac:dyDescent="0.25">
      <c r="A808" s="544" t="s">
        <v>1674</v>
      </c>
      <c r="B808" s="545">
        <v>10810</v>
      </c>
      <c r="C808" s="544" t="s">
        <v>3293</v>
      </c>
      <c r="D808" s="544" t="s">
        <v>3941</v>
      </c>
      <c r="E808" s="542" t="s">
        <v>3899</v>
      </c>
      <c r="F808" s="542" t="s">
        <v>3900</v>
      </c>
      <c r="G808" s="546">
        <v>14</v>
      </c>
      <c r="H808" s="546"/>
      <c r="I808" s="546"/>
      <c r="J808" s="542" t="s">
        <v>806</v>
      </c>
      <c r="K808" s="547">
        <v>8337</v>
      </c>
      <c r="L808" s="542" t="s">
        <v>806</v>
      </c>
      <c r="M808" s="548"/>
      <c r="N808" s="549">
        <v>-31</v>
      </c>
      <c r="O808" s="544" t="s">
        <v>1674</v>
      </c>
      <c r="P808" s="544" t="s">
        <v>1674</v>
      </c>
      <c r="Q808" s="544" t="s">
        <v>3942</v>
      </c>
      <c r="R808" s="544" t="s">
        <v>1674</v>
      </c>
      <c r="S808" s="544" t="s">
        <v>1674</v>
      </c>
      <c r="T808" s="550"/>
      <c r="U808" s="544" t="s">
        <v>3328</v>
      </c>
      <c r="V808" s="547">
        <v>1686</v>
      </c>
      <c r="W808" s="548"/>
      <c r="Y808" s="544" t="s">
        <v>1674</v>
      </c>
      <c r="AA808" s="544" t="s">
        <v>1674</v>
      </c>
      <c r="AE808" s="551"/>
      <c r="AF808" s="544" t="s">
        <v>1674</v>
      </c>
      <c r="AG808" s="544" t="s">
        <v>1674</v>
      </c>
      <c r="AH808" s="544" t="s">
        <v>1674</v>
      </c>
      <c r="AI808" s="544" t="s">
        <v>1674</v>
      </c>
      <c r="AJ808" s="544" t="s">
        <v>1674</v>
      </c>
      <c r="AK808" s="544" t="s">
        <v>1674</v>
      </c>
      <c r="AL808" s="544" t="s">
        <v>1674</v>
      </c>
      <c r="AM808" s="544" t="s">
        <v>3298</v>
      </c>
      <c r="AN808" s="544" t="s">
        <v>1674</v>
      </c>
      <c r="AP808" s="542">
        <f t="shared" si="27"/>
        <v>30</v>
      </c>
      <c r="AR808" s="552">
        <f t="shared" si="26"/>
        <v>0</v>
      </c>
    </row>
    <row r="809" spans="1:44" outlineLevel="1" x14ac:dyDescent="0.25">
      <c r="A809" s="544" t="s">
        <v>1674</v>
      </c>
      <c r="B809" s="545">
        <v>0</v>
      </c>
      <c r="C809" s="544" t="s">
        <v>1674</v>
      </c>
      <c r="D809" s="544" t="s">
        <v>3941</v>
      </c>
      <c r="E809" s="542" t="s">
        <v>3899</v>
      </c>
      <c r="F809" s="542" t="s">
        <v>3900</v>
      </c>
      <c r="G809" s="546">
        <v>243.71</v>
      </c>
      <c r="H809" s="546"/>
      <c r="I809" s="546">
        <v>257.70999999999998</v>
      </c>
      <c r="J809" s="542" t="s">
        <v>2701</v>
      </c>
      <c r="K809" s="547">
        <v>8520</v>
      </c>
      <c r="L809" s="542" t="s">
        <v>806</v>
      </c>
      <c r="M809" s="548"/>
      <c r="N809" s="549">
        <v>-31</v>
      </c>
      <c r="O809" s="544" t="s">
        <v>1674</v>
      </c>
      <c r="P809" s="544" t="s">
        <v>1674</v>
      </c>
      <c r="Q809" s="544" t="s">
        <v>3942</v>
      </c>
      <c r="R809" s="544" t="s">
        <v>1674</v>
      </c>
      <c r="S809" s="544" t="s">
        <v>1674</v>
      </c>
      <c r="T809" s="550">
        <v>19</v>
      </c>
      <c r="U809" s="544" t="s">
        <v>3328</v>
      </c>
      <c r="V809" s="547">
        <v>1687</v>
      </c>
      <c r="W809" s="548"/>
      <c r="Y809" s="544" t="s">
        <v>1674</v>
      </c>
      <c r="AA809" s="544" t="s">
        <v>1674</v>
      </c>
      <c r="AE809" s="551"/>
      <c r="AF809" s="544" t="s">
        <v>1674</v>
      </c>
      <c r="AG809" s="544" t="s">
        <v>1674</v>
      </c>
      <c r="AH809" s="544" t="s">
        <v>1674</v>
      </c>
      <c r="AI809" s="544" t="s">
        <v>1674</v>
      </c>
      <c r="AJ809" s="544" t="s">
        <v>1674</v>
      </c>
      <c r="AK809" s="544" t="s">
        <v>1674</v>
      </c>
      <c r="AL809" s="544" t="s">
        <v>1674</v>
      </c>
      <c r="AM809" s="544" t="s">
        <v>1674</v>
      </c>
      <c r="AN809" s="544" t="s">
        <v>1674</v>
      </c>
      <c r="AP809" s="542">
        <f t="shared" si="27"/>
        <v>30</v>
      </c>
      <c r="AR809" s="552">
        <f t="shared" si="26"/>
        <v>257.70999999999998</v>
      </c>
    </row>
    <row r="810" spans="1:44" outlineLevel="1" x14ac:dyDescent="0.25">
      <c r="A810" s="544" t="s">
        <v>1674</v>
      </c>
      <c r="B810" s="545">
        <v>11100</v>
      </c>
      <c r="C810" s="544" t="s">
        <v>2742</v>
      </c>
      <c r="D810" s="544" t="s">
        <v>3943</v>
      </c>
      <c r="E810" s="542" t="s">
        <v>3899</v>
      </c>
      <c r="F810" s="542" t="s">
        <v>3900</v>
      </c>
      <c r="G810" s="546">
        <v>410.31</v>
      </c>
      <c r="H810" s="546"/>
      <c r="I810" s="546"/>
      <c r="J810" s="542" t="s">
        <v>806</v>
      </c>
      <c r="K810" s="547">
        <v>8400</v>
      </c>
      <c r="L810" s="542" t="s">
        <v>806</v>
      </c>
      <c r="M810" s="548"/>
      <c r="N810" s="549">
        <v>-31</v>
      </c>
      <c r="O810" s="544" t="s">
        <v>1674</v>
      </c>
      <c r="P810" s="544" t="s">
        <v>1674</v>
      </c>
      <c r="Q810" s="544" t="s">
        <v>3210</v>
      </c>
      <c r="R810" s="544" t="s">
        <v>2622</v>
      </c>
      <c r="S810" s="544" t="s">
        <v>1674</v>
      </c>
      <c r="T810" s="550">
        <v>19</v>
      </c>
      <c r="U810" s="544" t="s">
        <v>3328</v>
      </c>
      <c r="V810" s="547">
        <v>1770</v>
      </c>
      <c r="W810" s="548"/>
      <c r="Y810" s="544" t="s">
        <v>1674</v>
      </c>
      <c r="AA810" s="544" t="s">
        <v>1674</v>
      </c>
      <c r="AE810" s="551"/>
      <c r="AF810" s="544" t="s">
        <v>1674</v>
      </c>
      <c r="AG810" s="544" t="s">
        <v>1674</v>
      </c>
      <c r="AH810" s="544" t="s">
        <v>1674</v>
      </c>
      <c r="AI810" s="544" t="s">
        <v>1674</v>
      </c>
      <c r="AJ810" s="544" t="s">
        <v>1674</v>
      </c>
      <c r="AK810" s="544" t="s">
        <v>1674</v>
      </c>
      <c r="AL810" s="544" t="s">
        <v>1674</v>
      </c>
      <c r="AM810" s="544" t="s">
        <v>2742</v>
      </c>
      <c r="AN810" s="544" t="s">
        <v>1674</v>
      </c>
      <c r="AP810" s="542">
        <f t="shared" si="27"/>
        <v>30</v>
      </c>
      <c r="AR810" s="552">
        <f t="shared" si="26"/>
        <v>0</v>
      </c>
    </row>
    <row r="811" spans="1:44" outlineLevel="1" x14ac:dyDescent="0.25">
      <c r="A811" s="544" t="s">
        <v>1674</v>
      </c>
      <c r="B811" s="545">
        <v>0</v>
      </c>
      <c r="C811" s="544" t="s">
        <v>1674</v>
      </c>
      <c r="D811" s="544" t="s">
        <v>3943</v>
      </c>
      <c r="E811" s="542" t="s">
        <v>3899</v>
      </c>
      <c r="F811" s="542" t="s">
        <v>3900</v>
      </c>
      <c r="G811" s="546">
        <v>28.56</v>
      </c>
      <c r="H811" s="546"/>
      <c r="I811" s="546">
        <v>438.87</v>
      </c>
      <c r="J811" s="542" t="s">
        <v>2701</v>
      </c>
      <c r="K811" s="547">
        <v>8400</v>
      </c>
      <c r="L811" s="542" t="s">
        <v>806</v>
      </c>
      <c r="M811" s="548"/>
      <c r="N811" s="549">
        <v>-31</v>
      </c>
      <c r="O811" s="544" t="s">
        <v>1674</v>
      </c>
      <c r="P811" s="544" t="s">
        <v>1674</v>
      </c>
      <c r="Q811" s="544" t="s">
        <v>3211</v>
      </c>
      <c r="R811" s="544" t="s">
        <v>1674</v>
      </c>
      <c r="S811" s="544" t="s">
        <v>1674</v>
      </c>
      <c r="T811" s="550">
        <v>19</v>
      </c>
      <c r="U811" s="544" t="s">
        <v>3328</v>
      </c>
      <c r="V811" s="547">
        <v>1771</v>
      </c>
      <c r="W811" s="548"/>
      <c r="Y811" s="544" t="s">
        <v>1674</v>
      </c>
      <c r="AA811" s="544" t="s">
        <v>1674</v>
      </c>
      <c r="AE811" s="551"/>
      <c r="AF811" s="544" t="s">
        <v>1674</v>
      </c>
      <c r="AG811" s="544" t="s">
        <v>1674</v>
      </c>
      <c r="AH811" s="544" t="s">
        <v>1674</v>
      </c>
      <c r="AI811" s="544" t="s">
        <v>1674</v>
      </c>
      <c r="AJ811" s="544" t="s">
        <v>1674</v>
      </c>
      <c r="AK811" s="544" t="s">
        <v>1674</v>
      </c>
      <c r="AL811" s="544" t="s">
        <v>1674</v>
      </c>
      <c r="AM811" s="544" t="s">
        <v>1674</v>
      </c>
      <c r="AN811" s="544" t="s">
        <v>1674</v>
      </c>
      <c r="AP811" s="542">
        <f t="shared" si="27"/>
        <v>30</v>
      </c>
      <c r="AR811" s="552">
        <f t="shared" si="26"/>
        <v>438.87</v>
      </c>
    </row>
    <row r="812" spans="1:44" outlineLevel="1" x14ac:dyDescent="0.25">
      <c r="A812" s="544" t="s">
        <v>1674</v>
      </c>
      <c r="B812" s="545">
        <v>11206</v>
      </c>
      <c r="C812" s="544" t="s">
        <v>3132</v>
      </c>
      <c r="D812" s="544" t="s">
        <v>3944</v>
      </c>
      <c r="E812" s="542" t="s">
        <v>3899</v>
      </c>
      <c r="F812" s="542" t="s">
        <v>3900</v>
      </c>
      <c r="G812" s="546">
        <v>5967.61</v>
      </c>
      <c r="H812" s="546"/>
      <c r="I812" s="546">
        <v>5967.61</v>
      </c>
      <c r="J812" s="542" t="s">
        <v>2701</v>
      </c>
      <c r="K812" s="547">
        <v>8400</v>
      </c>
      <c r="L812" s="542" t="s">
        <v>806</v>
      </c>
      <c r="M812" s="548"/>
      <c r="N812" s="549">
        <v>-31</v>
      </c>
      <c r="O812" s="544" t="s">
        <v>1674</v>
      </c>
      <c r="P812" s="544" t="s">
        <v>1674</v>
      </c>
      <c r="Q812" s="544" t="s">
        <v>3134</v>
      </c>
      <c r="R812" s="544" t="s">
        <v>2898</v>
      </c>
      <c r="S812" s="544" t="s">
        <v>1674</v>
      </c>
      <c r="T812" s="550">
        <v>19</v>
      </c>
      <c r="U812" s="544" t="s">
        <v>3328</v>
      </c>
      <c r="V812" s="547">
        <v>1751</v>
      </c>
      <c r="W812" s="548"/>
      <c r="Y812" s="544" t="s">
        <v>1674</v>
      </c>
      <c r="AA812" s="544" t="s">
        <v>1674</v>
      </c>
      <c r="AE812" s="551"/>
      <c r="AF812" s="544" t="s">
        <v>1674</v>
      </c>
      <c r="AG812" s="544" t="s">
        <v>1674</v>
      </c>
      <c r="AH812" s="544" t="s">
        <v>1674</v>
      </c>
      <c r="AI812" s="544" t="s">
        <v>1674</v>
      </c>
      <c r="AJ812" s="544" t="s">
        <v>1674</v>
      </c>
      <c r="AK812" s="544" t="s">
        <v>1674</v>
      </c>
      <c r="AL812" s="544" t="s">
        <v>1674</v>
      </c>
      <c r="AM812" s="544" t="s">
        <v>3135</v>
      </c>
      <c r="AN812" s="544" t="s">
        <v>1674</v>
      </c>
      <c r="AP812" s="542">
        <f t="shared" si="27"/>
        <v>30</v>
      </c>
      <c r="AR812" s="552">
        <f t="shared" si="26"/>
        <v>5967.61</v>
      </c>
    </row>
    <row r="813" spans="1:44" outlineLevel="1" x14ac:dyDescent="0.25">
      <c r="A813" s="544" t="s">
        <v>1674</v>
      </c>
      <c r="B813" s="545">
        <v>0</v>
      </c>
      <c r="C813" s="544" t="s">
        <v>1674</v>
      </c>
      <c r="D813" s="544" t="s">
        <v>3945</v>
      </c>
      <c r="E813" s="542" t="s">
        <v>3899</v>
      </c>
      <c r="F813" s="542" t="s">
        <v>3900</v>
      </c>
      <c r="G813" s="546">
        <v>3949.99</v>
      </c>
      <c r="H813" s="546"/>
      <c r="I813" s="546">
        <v>3949.99</v>
      </c>
      <c r="J813" s="542" t="s">
        <v>2701</v>
      </c>
      <c r="K813" s="547">
        <v>8400</v>
      </c>
      <c r="L813" s="542" t="s">
        <v>806</v>
      </c>
      <c r="M813" s="548"/>
      <c r="N813" s="549">
        <v>-31</v>
      </c>
      <c r="O813" s="544" t="s">
        <v>1674</v>
      </c>
      <c r="P813" s="544" t="s">
        <v>1674</v>
      </c>
      <c r="Q813" s="544" t="s">
        <v>3134</v>
      </c>
      <c r="R813" s="544" t="s">
        <v>2898</v>
      </c>
      <c r="S813" s="544" t="s">
        <v>1674</v>
      </c>
      <c r="T813" s="550">
        <v>19</v>
      </c>
      <c r="U813" s="544" t="s">
        <v>3328</v>
      </c>
      <c r="V813" s="547">
        <v>1752</v>
      </c>
      <c r="W813" s="548"/>
      <c r="Y813" s="544" t="s">
        <v>1674</v>
      </c>
      <c r="AA813" s="544" t="s">
        <v>1674</v>
      </c>
      <c r="AE813" s="551"/>
      <c r="AF813" s="544" t="s">
        <v>1674</v>
      </c>
      <c r="AG813" s="544" t="s">
        <v>1674</v>
      </c>
      <c r="AH813" s="544" t="s">
        <v>1674</v>
      </c>
      <c r="AI813" s="544" t="s">
        <v>1674</v>
      </c>
      <c r="AJ813" s="544" t="s">
        <v>1674</v>
      </c>
      <c r="AK813" s="544" t="s">
        <v>1674</v>
      </c>
      <c r="AL813" s="544" t="s">
        <v>1674</v>
      </c>
      <c r="AM813" s="544" t="s">
        <v>1674</v>
      </c>
      <c r="AN813" s="544" t="s">
        <v>1674</v>
      </c>
      <c r="AP813" s="542">
        <f t="shared" si="27"/>
        <v>30</v>
      </c>
      <c r="AR813" s="552">
        <f t="shared" si="26"/>
        <v>3949.99</v>
      </c>
    </row>
    <row r="814" spans="1:44" outlineLevel="1" x14ac:dyDescent="0.25">
      <c r="A814" s="544" t="s">
        <v>1674</v>
      </c>
      <c r="B814" s="545">
        <v>0</v>
      </c>
      <c r="C814" s="544" t="s">
        <v>1674</v>
      </c>
      <c r="D814" s="544" t="s">
        <v>3946</v>
      </c>
      <c r="E814" s="542" t="s">
        <v>3899</v>
      </c>
      <c r="F814" s="542" t="s">
        <v>3900</v>
      </c>
      <c r="G814" s="546">
        <v>1989.2</v>
      </c>
      <c r="H814" s="546"/>
      <c r="I814" s="546">
        <v>1989.2</v>
      </c>
      <c r="J814" s="542" t="s">
        <v>2701</v>
      </c>
      <c r="K814" s="547">
        <v>8400</v>
      </c>
      <c r="L814" s="542" t="s">
        <v>806</v>
      </c>
      <c r="M814" s="548"/>
      <c r="N814" s="549">
        <v>-31</v>
      </c>
      <c r="O814" s="544" t="s">
        <v>1674</v>
      </c>
      <c r="P814" s="544" t="s">
        <v>1674</v>
      </c>
      <c r="Q814" s="544" t="s">
        <v>3134</v>
      </c>
      <c r="R814" s="544" t="s">
        <v>2898</v>
      </c>
      <c r="S814" s="544" t="s">
        <v>1674</v>
      </c>
      <c r="T814" s="550">
        <v>19</v>
      </c>
      <c r="U814" s="544" t="s">
        <v>3328</v>
      </c>
      <c r="V814" s="547">
        <v>1753</v>
      </c>
      <c r="W814" s="548"/>
      <c r="Y814" s="544" t="s">
        <v>1674</v>
      </c>
      <c r="AA814" s="544" t="s">
        <v>1674</v>
      </c>
      <c r="AE814" s="551"/>
      <c r="AF814" s="544" t="s">
        <v>1674</v>
      </c>
      <c r="AG814" s="544" t="s">
        <v>1674</v>
      </c>
      <c r="AH814" s="544" t="s">
        <v>1674</v>
      </c>
      <c r="AI814" s="544" t="s">
        <v>1674</v>
      </c>
      <c r="AJ814" s="544" t="s">
        <v>1674</v>
      </c>
      <c r="AK814" s="544" t="s">
        <v>1674</v>
      </c>
      <c r="AL814" s="544" t="s">
        <v>1674</v>
      </c>
      <c r="AM814" s="544" t="s">
        <v>1674</v>
      </c>
      <c r="AN814" s="544" t="s">
        <v>1674</v>
      </c>
      <c r="AP814" s="542">
        <f t="shared" si="27"/>
        <v>30</v>
      </c>
      <c r="AR814" s="552">
        <f t="shared" si="26"/>
        <v>1989.2</v>
      </c>
    </row>
    <row r="815" spans="1:44" outlineLevel="1" x14ac:dyDescent="0.25">
      <c r="A815" s="544" t="s">
        <v>1674</v>
      </c>
      <c r="B815" s="545">
        <v>0</v>
      </c>
      <c r="C815" s="544" t="s">
        <v>1674</v>
      </c>
      <c r="D815" s="544" t="s">
        <v>3947</v>
      </c>
      <c r="E815" s="542" t="s">
        <v>3899</v>
      </c>
      <c r="F815" s="542" t="s">
        <v>3900</v>
      </c>
      <c r="G815" s="546">
        <v>1989.2</v>
      </c>
      <c r="H815" s="546"/>
      <c r="I815" s="546">
        <v>1989.2</v>
      </c>
      <c r="J815" s="542" t="s">
        <v>2701</v>
      </c>
      <c r="K815" s="547">
        <v>8400</v>
      </c>
      <c r="L815" s="542" t="s">
        <v>806</v>
      </c>
      <c r="M815" s="548"/>
      <c r="N815" s="549">
        <v>-31</v>
      </c>
      <c r="O815" s="544" t="s">
        <v>1674</v>
      </c>
      <c r="P815" s="544" t="s">
        <v>1674</v>
      </c>
      <c r="Q815" s="544" t="s">
        <v>3134</v>
      </c>
      <c r="R815" s="544" t="s">
        <v>2898</v>
      </c>
      <c r="S815" s="544" t="s">
        <v>1674</v>
      </c>
      <c r="T815" s="550">
        <v>19</v>
      </c>
      <c r="U815" s="544" t="s">
        <v>3328</v>
      </c>
      <c r="V815" s="547">
        <v>1754</v>
      </c>
      <c r="W815" s="548"/>
      <c r="Y815" s="544" t="s">
        <v>1674</v>
      </c>
      <c r="AA815" s="544" t="s">
        <v>1674</v>
      </c>
      <c r="AE815" s="551"/>
      <c r="AF815" s="544" t="s">
        <v>1674</v>
      </c>
      <c r="AG815" s="544" t="s">
        <v>1674</v>
      </c>
      <c r="AH815" s="544" t="s">
        <v>1674</v>
      </c>
      <c r="AI815" s="544" t="s">
        <v>1674</v>
      </c>
      <c r="AJ815" s="544" t="s">
        <v>1674</v>
      </c>
      <c r="AK815" s="544" t="s">
        <v>1674</v>
      </c>
      <c r="AL815" s="544" t="s">
        <v>1674</v>
      </c>
      <c r="AM815" s="544" t="s">
        <v>1674</v>
      </c>
      <c r="AN815" s="544" t="s">
        <v>1674</v>
      </c>
      <c r="AP815" s="542">
        <f t="shared" si="27"/>
        <v>30</v>
      </c>
      <c r="AR815" s="552">
        <f t="shared" si="26"/>
        <v>1989.2</v>
      </c>
    </row>
    <row r="816" spans="1:44" outlineLevel="1" x14ac:dyDescent="0.25">
      <c r="A816" s="544" t="s">
        <v>1674</v>
      </c>
      <c r="B816" s="545">
        <v>0</v>
      </c>
      <c r="C816" s="544" t="s">
        <v>1674</v>
      </c>
      <c r="D816" s="544" t="s">
        <v>3948</v>
      </c>
      <c r="E816" s="542" t="s">
        <v>3899</v>
      </c>
      <c r="F816" s="542" t="s">
        <v>3900</v>
      </c>
      <c r="G816" s="546">
        <v>1989.2</v>
      </c>
      <c r="H816" s="546"/>
      <c r="I816" s="546">
        <v>1989.2</v>
      </c>
      <c r="J816" s="542" t="s">
        <v>2701</v>
      </c>
      <c r="K816" s="547">
        <v>8400</v>
      </c>
      <c r="L816" s="542" t="s">
        <v>806</v>
      </c>
      <c r="M816" s="548"/>
      <c r="N816" s="549">
        <v>-31</v>
      </c>
      <c r="O816" s="544" t="s">
        <v>1674</v>
      </c>
      <c r="P816" s="544" t="s">
        <v>1674</v>
      </c>
      <c r="Q816" s="544" t="s">
        <v>3134</v>
      </c>
      <c r="R816" s="544" t="s">
        <v>2898</v>
      </c>
      <c r="S816" s="544" t="s">
        <v>1674</v>
      </c>
      <c r="T816" s="550">
        <v>19</v>
      </c>
      <c r="U816" s="544" t="s">
        <v>3328</v>
      </c>
      <c r="V816" s="547">
        <v>1755</v>
      </c>
      <c r="W816" s="548"/>
      <c r="Y816" s="544" t="s">
        <v>1674</v>
      </c>
      <c r="AA816" s="544" t="s">
        <v>1674</v>
      </c>
      <c r="AE816" s="551"/>
      <c r="AF816" s="544" t="s">
        <v>1674</v>
      </c>
      <c r="AG816" s="544" t="s">
        <v>1674</v>
      </c>
      <c r="AH816" s="544" t="s">
        <v>1674</v>
      </c>
      <c r="AI816" s="544" t="s">
        <v>1674</v>
      </c>
      <c r="AJ816" s="544" t="s">
        <v>1674</v>
      </c>
      <c r="AK816" s="544" t="s">
        <v>1674</v>
      </c>
      <c r="AL816" s="544" t="s">
        <v>1674</v>
      </c>
      <c r="AM816" s="544" t="s">
        <v>1674</v>
      </c>
      <c r="AN816" s="544" t="s">
        <v>1674</v>
      </c>
      <c r="AP816" s="542">
        <f t="shared" si="27"/>
        <v>30</v>
      </c>
      <c r="AR816" s="552">
        <f t="shared" si="26"/>
        <v>1989.2</v>
      </c>
    </row>
    <row r="817" spans="1:44" outlineLevel="1" x14ac:dyDescent="0.25">
      <c r="A817" s="544" t="s">
        <v>1674</v>
      </c>
      <c r="B817" s="545">
        <v>0</v>
      </c>
      <c r="C817" s="544" t="s">
        <v>1674</v>
      </c>
      <c r="D817" s="544" t="s">
        <v>3949</v>
      </c>
      <c r="E817" s="542" t="s">
        <v>3899</v>
      </c>
      <c r="F817" s="542" t="s">
        <v>3900</v>
      </c>
      <c r="G817" s="546">
        <v>3978.41</v>
      </c>
      <c r="H817" s="546"/>
      <c r="I817" s="546">
        <v>3978.41</v>
      </c>
      <c r="J817" s="542" t="s">
        <v>2701</v>
      </c>
      <c r="K817" s="547">
        <v>8400</v>
      </c>
      <c r="L817" s="542" t="s">
        <v>806</v>
      </c>
      <c r="M817" s="548"/>
      <c r="N817" s="549">
        <v>-31</v>
      </c>
      <c r="O817" s="544" t="s">
        <v>1674</v>
      </c>
      <c r="P817" s="544" t="s">
        <v>1674</v>
      </c>
      <c r="Q817" s="544" t="s">
        <v>3134</v>
      </c>
      <c r="R817" s="544" t="s">
        <v>2898</v>
      </c>
      <c r="S817" s="544" t="s">
        <v>1674</v>
      </c>
      <c r="T817" s="550">
        <v>19</v>
      </c>
      <c r="U817" s="544" t="s">
        <v>3328</v>
      </c>
      <c r="V817" s="547">
        <v>1756</v>
      </c>
      <c r="W817" s="548"/>
      <c r="Y817" s="544" t="s">
        <v>1674</v>
      </c>
      <c r="AA817" s="544" t="s">
        <v>1674</v>
      </c>
      <c r="AE817" s="551"/>
      <c r="AF817" s="544" t="s">
        <v>1674</v>
      </c>
      <c r="AG817" s="544" t="s">
        <v>1674</v>
      </c>
      <c r="AH817" s="544" t="s">
        <v>1674</v>
      </c>
      <c r="AI817" s="544" t="s">
        <v>1674</v>
      </c>
      <c r="AJ817" s="544" t="s">
        <v>1674</v>
      </c>
      <c r="AK817" s="544" t="s">
        <v>1674</v>
      </c>
      <c r="AL817" s="544" t="s">
        <v>1674</v>
      </c>
      <c r="AM817" s="544" t="s">
        <v>1674</v>
      </c>
      <c r="AN817" s="544" t="s">
        <v>1674</v>
      </c>
      <c r="AP817" s="542">
        <f t="shared" si="27"/>
        <v>30</v>
      </c>
      <c r="AR817" s="552">
        <f t="shared" si="26"/>
        <v>3978.41</v>
      </c>
    </row>
    <row r="818" spans="1:44" outlineLevel="1" x14ac:dyDescent="0.25">
      <c r="A818" s="544" t="s">
        <v>1674</v>
      </c>
      <c r="B818" s="545">
        <v>0</v>
      </c>
      <c r="C818" s="544" t="s">
        <v>1674</v>
      </c>
      <c r="D818" s="544" t="s">
        <v>3950</v>
      </c>
      <c r="E818" s="542" t="s">
        <v>3899</v>
      </c>
      <c r="F818" s="542" t="s">
        <v>3900</v>
      </c>
      <c r="G818" s="546">
        <v>3978.41</v>
      </c>
      <c r="H818" s="546"/>
      <c r="I818" s="546">
        <v>3978.41</v>
      </c>
      <c r="J818" s="542" t="s">
        <v>2701</v>
      </c>
      <c r="K818" s="547">
        <v>8400</v>
      </c>
      <c r="L818" s="542" t="s">
        <v>806</v>
      </c>
      <c r="M818" s="548"/>
      <c r="N818" s="549">
        <v>-31</v>
      </c>
      <c r="O818" s="544" t="s">
        <v>1674</v>
      </c>
      <c r="P818" s="544" t="s">
        <v>1674</v>
      </c>
      <c r="Q818" s="544" t="s">
        <v>3134</v>
      </c>
      <c r="R818" s="544" t="s">
        <v>2898</v>
      </c>
      <c r="S818" s="544" t="s">
        <v>1674</v>
      </c>
      <c r="T818" s="550">
        <v>19</v>
      </c>
      <c r="U818" s="544" t="s">
        <v>3328</v>
      </c>
      <c r="V818" s="547">
        <v>1757</v>
      </c>
      <c r="W818" s="548"/>
      <c r="Y818" s="544" t="s">
        <v>1674</v>
      </c>
      <c r="AA818" s="544" t="s">
        <v>1674</v>
      </c>
      <c r="AE818" s="551"/>
      <c r="AF818" s="544" t="s">
        <v>1674</v>
      </c>
      <c r="AG818" s="544" t="s">
        <v>1674</v>
      </c>
      <c r="AH818" s="544" t="s">
        <v>1674</v>
      </c>
      <c r="AI818" s="544" t="s">
        <v>1674</v>
      </c>
      <c r="AJ818" s="544" t="s">
        <v>1674</v>
      </c>
      <c r="AK818" s="544" t="s">
        <v>1674</v>
      </c>
      <c r="AL818" s="544" t="s">
        <v>1674</v>
      </c>
      <c r="AM818" s="544" t="s">
        <v>1674</v>
      </c>
      <c r="AN818" s="544" t="s">
        <v>1674</v>
      </c>
      <c r="AP818" s="542">
        <f t="shared" si="27"/>
        <v>30</v>
      </c>
      <c r="AR818" s="552">
        <f t="shared" si="26"/>
        <v>3978.41</v>
      </c>
    </row>
    <row r="819" spans="1:44" outlineLevel="1" x14ac:dyDescent="0.25">
      <c r="A819" s="544" t="s">
        <v>1674</v>
      </c>
      <c r="B819" s="545">
        <v>0</v>
      </c>
      <c r="C819" s="544" t="s">
        <v>1674</v>
      </c>
      <c r="D819" s="544" t="s">
        <v>3951</v>
      </c>
      <c r="E819" s="542" t="s">
        <v>3899</v>
      </c>
      <c r="F819" s="542" t="s">
        <v>3900</v>
      </c>
      <c r="G819" s="546">
        <v>1989.2</v>
      </c>
      <c r="H819" s="546"/>
      <c r="I819" s="546">
        <v>1989.2</v>
      </c>
      <c r="J819" s="542" t="s">
        <v>2701</v>
      </c>
      <c r="K819" s="547">
        <v>8400</v>
      </c>
      <c r="L819" s="542" t="s">
        <v>806</v>
      </c>
      <c r="M819" s="548"/>
      <c r="N819" s="549">
        <v>-31</v>
      </c>
      <c r="O819" s="544" t="s">
        <v>1674</v>
      </c>
      <c r="P819" s="544" t="s">
        <v>1674</v>
      </c>
      <c r="Q819" s="544" t="s">
        <v>3134</v>
      </c>
      <c r="R819" s="544" t="s">
        <v>2898</v>
      </c>
      <c r="S819" s="544" t="s">
        <v>1674</v>
      </c>
      <c r="T819" s="550">
        <v>19</v>
      </c>
      <c r="U819" s="544" t="s">
        <v>3328</v>
      </c>
      <c r="V819" s="547">
        <v>1758</v>
      </c>
      <c r="W819" s="548"/>
      <c r="Y819" s="544" t="s">
        <v>1674</v>
      </c>
      <c r="AA819" s="544" t="s">
        <v>1674</v>
      </c>
      <c r="AE819" s="551"/>
      <c r="AF819" s="544" t="s">
        <v>1674</v>
      </c>
      <c r="AG819" s="544" t="s">
        <v>1674</v>
      </c>
      <c r="AH819" s="544" t="s">
        <v>1674</v>
      </c>
      <c r="AI819" s="544" t="s">
        <v>1674</v>
      </c>
      <c r="AJ819" s="544" t="s">
        <v>1674</v>
      </c>
      <c r="AK819" s="544" t="s">
        <v>1674</v>
      </c>
      <c r="AL819" s="544" t="s">
        <v>1674</v>
      </c>
      <c r="AM819" s="544" t="s">
        <v>1674</v>
      </c>
      <c r="AN819" s="544" t="s">
        <v>1674</v>
      </c>
      <c r="AP819" s="542">
        <f t="shared" si="27"/>
        <v>30</v>
      </c>
      <c r="AR819" s="552">
        <f t="shared" si="26"/>
        <v>1989.2</v>
      </c>
    </row>
    <row r="820" spans="1:44" outlineLevel="1" x14ac:dyDescent="0.25">
      <c r="A820" s="544" t="s">
        <v>1674</v>
      </c>
      <c r="B820" s="545">
        <v>0</v>
      </c>
      <c r="C820" s="544" t="s">
        <v>1674</v>
      </c>
      <c r="D820" s="544" t="s">
        <v>3952</v>
      </c>
      <c r="E820" s="542" t="s">
        <v>3899</v>
      </c>
      <c r="F820" s="542" t="s">
        <v>3900</v>
      </c>
      <c r="G820" s="546">
        <v>3978.41</v>
      </c>
      <c r="H820" s="546"/>
      <c r="I820" s="546"/>
      <c r="J820" s="542" t="s">
        <v>806</v>
      </c>
      <c r="K820" s="547">
        <v>8400</v>
      </c>
      <c r="L820" s="542" t="s">
        <v>806</v>
      </c>
      <c r="M820" s="548"/>
      <c r="N820" s="549">
        <v>-31</v>
      </c>
      <c r="O820" s="544" t="s">
        <v>1674</v>
      </c>
      <c r="P820" s="544" t="s">
        <v>1674</v>
      </c>
      <c r="Q820" s="544" t="s">
        <v>3134</v>
      </c>
      <c r="R820" s="544" t="s">
        <v>2898</v>
      </c>
      <c r="S820" s="544" t="s">
        <v>1674</v>
      </c>
      <c r="T820" s="550">
        <v>19</v>
      </c>
      <c r="U820" s="544" t="s">
        <v>3328</v>
      </c>
      <c r="V820" s="547">
        <v>1759</v>
      </c>
      <c r="W820" s="548"/>
      <c r="Y820" s="544" t="s">
        <v>1674</v>
      </c>
      <c r="AA820" s="544" t="s">
        <v>1674</v>
      </c>
      <c r="AE820" s="551"/>
      <c r="AF820" s="544" t="s">
        <v>1674</v>
      </c>
      <c r="AG820" s="544" t="s">
        <v>1674</v>
      </c>
      <c r="AH820" s="544" t="s">
        <v>1674</v>
      </c>
      <c r="AI820" s="544" t="s">
        <v>1674</v>
      </c>
      <c r="AJ820" s="544" t="s">
        <v>1674</v>
      </c>
      <c r="AK820" s="544" t="s">
        <v>1674</v>
      </c>
      <c r="AL820" s="544" t="s">
        <v>1674</v>
      </c>
      <c r="AM820" s="544" t="s">
        <v>1674</v>
      </c>
      <c r="AN820" s="544" t="s">
        <v>1674</v>
      </c>
      <c r="AP820" s="542">
        <f t="shared" si="27"/>
        <v>30</v>
      </c>
      <c r="AR820" s="552">
        <f t="shared" si="26"/>
        <v>0</v>
      </c>
    </row>
    <row r="821" spans="1:44" outlineLevel="1" x14ac:dyDescent="0.25">
      <c r="A821" s="544" t="s">
        <v>1674</v>
      </c>
      <c r="B821" s="545">
        <v>0</v>
      </c>
      <c r="C821" s="544" t="s">
        <v>1674</v>
      </c>
      <c r="D821" s="544" t="s">
        <v>3952</v>
      </c>
      <c r="E821" s="542" t="s">
        <v>3899</v>
      </c>
      <c r="F821" s="542" t="s">
        <v>3900</v>
      </c>
      <c r="G821" s="546">
        <v>35.700000000000003</v>
      </c>
      <c r="H821" s="546"/>
      <c r="I821" s="546">
        <v>4014.11</v>
      </c>
      <c r="J821" s="542" t="s">
        <v>2701</v>
      </c>
      <c r="K821" s="547">
        <v>8400</v>
      </c>
      <c r="L821" s="542" t="s">
        <v>806</v>
      </c>
      <c r="M821" s="548"/>
      <c r="N821" s="549">
        <v>-31</v>
      </c>
      <c r="O821" s="544" t="s">
        <v>1674</v>
      </c>
      <c r="P821" s="544" t="s">
        <v>1674</v>
      </c>
      <c r="Q821" s="544" t="s">
        <v>3139</v>
      </c>
      <c r="R821" s="544" t="s">
        <v>1674</v>
      </c>
      <c r="S821" s="544" t="s">
        <v>1674</v>
      </c>
      <c r="T821" s="550">
        <v>19</v>
      </c>
      <c r="U821" s="544" t="s">
        <v>3328</v>
      </c>
      <c r="V821" s="547">
        <v>1760</v>
      </c>
      <c r="W821" s="548"/>
      <c r="Y821" s="544" t="s">
        <v>1674</v>
      </c>
      <c r="AA821" s="544" t="s">
        <v>1674</v>
      </c>
      <c r="AE821" s="551"/>
      <c r="AF821" s="544" t="s">
        <v>1674</v>
      </c>
      <c r="AG821" s="544" t="s">
        <v>1674</v>
      </c>
      <c r="AH821" s="544" t="s">
        <v>1674</v>
      </c>
      <c r="AI821" s="544" t="s">
        <v>1674</v>
      </c>
      <c r="AJ821" s="544" t="s">
        <v>1674</v>
      </c>
      <c r="AK821" s="544" t="s">
        <v>1674</v>
      </c>
      <c r="AL821" s="544" t="s">
        <v>1674</v>
      </c>
      <c r="AM821" s="544" t="s">
        <v>1674</v>
      </c>
      <c r="AN821" s="544" t="s">
        <v>1674</v>
      </c>
      <c r="AP821" s="542">
        <f t="shared" si="27"/>
        <v>30</v>
      </c>
      <c r="AR821" s="552">
        <f t="shared" si="26"/>
        <v>4014.11</v>
      </c>
    </row>
    <row r="822" spans="1:44" outlineLevel="1" x14ac:dyDescent="0.25">
      <c r="A822" s="544" t="s">
        <v>1674</v>
      </c>
      <c r="B822" s="545">
        <v>0</v>
      </c>
      <c r="C822" s="544" t="s">
        <v>1674</v>
      </c>
      <c r="D822" s="544" t="s">
        <v>3953</v>
      </c>
      <c r="E822" s="542" t="s">
        <v>3899</v>
      </c>
      <c r="F822" s="542" t="s">
        <v>3900</v>
      </c>
      <c r="G822" s="546">
        <v>3978.41</v>
      </c>
      <c r="H822" s="546"/>
      <c r="I822" s="546"/>
      <c r="J822" s="542" t="s">
        <v>806</v>
      </c>
      <c r="K822" s="547">
        <v>8400</v>
      </c>
      <c r="L822" s="542" t="s">
        <v>806</v>
      </c>
      <c r="M822" s="548"/>
      <c r="N822" s="549">
        <v>-31</v>
      </c>
      <c r="O822" s="544" t="s">
        <v>1674</v>
      </c>
      <c r="P822" s="544" t="s">
        <v>1674</v>
      </c>
      <c r="Q822" s="544" t="s">
        <v>3134</v>
      </c>
      <c r="R822" s="544" t="s">
        <v>2898</v>
      </c>
      <c r="S822" s="544" t="s">
        <v>1674</v>
      </c>
      <c r="T822" s="550">
        <v>19</v>
      </c>
      <c r="U822" s="544" t="s">
        <v>3328</v>
      </c>
      <c r="V822" s="547">
        <v>1761</v>
      </c>
      <c r="W822" s="548"/>
      <c r="Y822" s="544" t="s">
        <v>1674</v>
      </c>
      <c r="AA822" s="544" t="s">
        <v>1674</v>
      </c>
      <c r="AE822" s="551"/>
      <c r="AF822" s="544" t="s">
        <v>1674</v>
      </c>
      <c r="AG822" s="544" t="s">
        <v>1674</v>
      </c>
      <c r="AH822" s="544" t="s">
        <v>1674</v>
      </c>
      <c r="AI822" s="544" t="s">
        <v>1674</v>
      </c>
      <c r="AJ822" s="544" t="s">
        <v>1674</v>
      </c>
      <c r="AK822" s="544" t="s">
        <v>1674</v>
      </c>
      <c r="AL822" s="544" t="s">
        <v>1674</v>
      </c>
      <c r="AM822" s="544" t="s">
        <v>1674</v>
      </c>
      <c r="AN822" s="544" t="s">
        <v>1674</v>
      </c>
      <c r="AP822" s="542">
        <f t="shared" si="27"/>
        <v>30</v>
      </c>
      <c r="AR822" s="552">
        <f t="shared" si="26"/>
        <v>0</v>
      </c>
    </row>
    <row r="823" spans="1:44" outlineLevel="1" x14ac:dyDescent="0.25">
      <c r="A823" s="544" t="s">
        <v>1674</v>
      </c>
      <c r="B823" s="545">
        <v>0</v>
      </c>
      <c r="C823" s="544" t="s">
        <v>1674</v>
      </c>
      <c r="D823" s="544" t="s">
        <v>3953</v>
      </c>
      <c r="E823" s="542" t="s">
        <v>3899</v>
      </c>
      <c r="F823" s="542" t="s">
        <v>3900</v>
      </c>
      <c r="G823" s="546">
        <v>35.700000000000003</v>
      </c>
      <c r="H823" s="546"/>
      <c r="I823" s="546">
        <v>4014.11</v>
      </c>
      <c r="J823" s="542" t="s">
        <v>2701</v>
      </c>
      <c r="K823" s="547">
        <v>8400</v>
      </c>
      <c r="L823" s="542" t="s">
        <v>806</v>
      </c>
      <c r="M823" s="548"/>
      <c r="N823" s="549">
        <v>-31</v>
      </c>
      <c r="O823" s="544" t="s">
        <v>1674</v>
      </c>
      <c r="P823" s="544" t="s">
        <v>1674</v>
      </c>
      <c r="Q823" s="544" t="s">
        <v>3139</v>
      </c>
      <c r="R823" s="544" t="s">
        <v>1674</v>
      </c>
      <c r="S823" s="544" t="s">
        <v>1674</v>
      </c>
      <c r="T823" s="550">
        <v>19</v>
      </c>
      <c r="U823" s="544" t="s">
        <v>3328</v>
      </c>
      <c r="V823" s="547">
        <v>1762</v>
      </c>
      <c r="W823" s="548"/>
      <c r="Y823" s="544" t="s">
        <v>1674</v>
      </c>
      <c r="AA823" s="544" t="s">
        <v>1674</v>
      </c>
      <c r="AE823" s="551"/>
      <c r="AF823" s="544" t="s">
        <v>1674</v>
      </c>
      <c r="AG823" s="544" t="s">
        <v>1674</v>
      </c>
      <c r="AH823" s="544" t="s">
        <v>1674</v>
      </c>
      <c r="AI823" s="544" t="s">
        <v>1674</v>
      </c>
      <c r="AJ823" s="544" t="s">
        <v>1674</v>
      </c>
      <c r="AK823" s="544" t="s">
        <v>1674</v>
      </c>
      <c r="AL823" s="544" t="s">
        <v>1674</v>
      </c>
      <c r="AM823" s="544" t="s">
        <v>1674</v>
      </c>
      <c r="AN823" s="544" t="s">
        <v>1674</v>
      </c>
      <c r="AP823" s="542">
        <f t="shared" si="27"/>
        <v>30</v>
      </c>
      <c r="AR823" s="552">
        <f t="shared" si="26"/>
        <v>4014.11</v>
      </c>
    </row>
    <row r="824" spans="1:44" outlineLevel="1" x14ac:dyDescent="0.25">
      <c r="A824" s="544" t="s">
        <v>1674</v>
      </c>
      <c r="B824" s="545">
        <v>0</v>
      </c>
      <c r="C824" s="544" t="s">
        <v>1674</v>
      </c>
      <c r="D824" s="544" t="s">
        <v>3954</v>
      </c>
      <c r="E824" s="542" t="s">
        <v>3899</v>
      </c>
      <c r="F824" s="542" t="s">
        <v>3900</v>
      </c>
      <c r="G824" s="546">
        <v>1989.2</v>
      </c>
      <c r="H824" s="546"/>
      <c r="I824" s="546">
        <v>1989.2</v>
      </c>
      <c r="J824" s="542" t="s">
        <v>2701</v>
      </c>
      <c r="K824" s="547">
        <v>8400</v>
      </c>
      <c r="L824" s="542" t="s">
        <v>806</v>
      </c>
      <c r="M824" s="548"/>
      <c r="N824" s="549">
        <v>-31</v>
      </c>
      <c r="O824" s="544" t="s">
        <v>1674</v>
      </c>
      <c r="P824" s="544" t="s">
        <v>1674</v>
      </c>
      <c r="Q824" s="544" t="s">
        <v>3134</v>
      </c>
      <c r="R824" s="544" t="s">
        <v>2898</v>
      </c>
      <c r="S824" s="544" t="s">
        <v>1674</v>
      </c>
      <c r="T824" s="550">
        <v>19</v>
      </c>
      <c r="U824" s="544" t="s">
        <v>3328</v>
      </c>
      <c r="V824" s="547">
        <v>1763</v>
      </c>
      <c r="W824" s="548"/>
      <c r="Y824" s="544" t="s">
        <v>1674</v>
      </c>
      <c r="AA824" s="544" t="s">
        <v>1674</v>
      </c>
      <c r="AE824" s="551"/>
      <c r="AF824" s="544" t="s">
        <v>1674</v>
      </c>
      <c r="AG824" s="544" t="s">
        <v>1674</v>
      </c>
      <c r="AH824" s="544" t="s">
        <v>1674</v>
      </c>
      <c r="AI824" s="544" t="s">
        <v>1674</v>
      </c>
      <c r="AJ824" s="544" t="s">
        <v>1674</v>
      </c>
      <c r="AK824" s="544" t="s">
        <v>1674</v>
      </c>
      <c r="AL824" s="544" t="s">
        <v>1674</v>
      </c>
      <c r="AM824" s="544" t="s">
        <v>1674</v>
      </c>
      <c r="AN824" s="544" t="s">
        <v>1674</v>
      </c>
      <c r="AP824" s="542">
        <f t="shared" si="27"/>
        <v>30</v>
      </c>
      <c r="AR824" s="552">
        <f t="shared" si="26"/>
        <v>1989.2</v>
      </c>
    </row>
    <row r="825" spans="1:44" outlineLevel="1" x14ac:dyDescent="0.25">
      <c r="A825" s="544" t="s">
        <v>1674</v>
      </c>
      <c r="B825" s="545">
        <v>0</v>
      </c>
      <c r="C825" s="544" t="s">
        <v>1674</v>
      </c>
      <c r="D825" s="544" t="s">
        <v>3955</v>
      </c>
      <c r="E825" s="542" t="s">
        <v>3899</v>
      </c>
      <c r="F825" s="542" t="s">
        <v>3900</v>
      </c>
      <c r="G825" s="546">
        <v>3978.41</v>
      </c>
      <c r="H825" s="546"/>
      <c r="I825" s="546">
        <v>3978.41</v>
      </c>
      <c r="J825" s="542" t="s">
        <v>2701</v>
      </c>
      <c r="K825" s="547">
        <v>8400</v>
      </c>
      <c r="L825" s="542" t="s">
        <v>806</v>
      </c>
      <c r="M825" s="548"/>
      <c r="N825" s="549">
        <v>-31</v>
      </c>
      <c r="O825" s="544" t="s">
        <v>1674</v>
      </c>
      <c r="P825" s="544" t="s">
        <v>1674</v>
      </c>
      <c r="Q825" s="544" t="s">
        <v>3134</v>
      </c>
      <c r="R825" s="544" t="s">
        <v>2898</v>
      </c>
      <c r="S825" s="544" t="s">
        <v>1674</v>
      </c>
      <c r="T825" s="550">
        <v>19</v>
      </c>
      <c r="U825" s="544" t="s">
        <v>3328</v>
      </c>
      <c r="V825" s="547">
        <v>1790</v>
      </c>
      <c r="W825" s="548"/>
      <c r="Y825" s="544" t="s">
        <v>1674</v>
      </c>
      <c r="AA825" s="544" t="s">
        <v>1674</v>
      </c>
      <c r="AE825" s="551"/>
      <c r="AF825" s="544" t="s">
        <v>1674</v>
      </c>
      <c r="AG825" s="544" t="s">
        <v>1674</v>
      </c>
      <c r="AH825" s="544" t="s">
        <v>1674</v>
      </c>
      <c r="AI825" s="544" t="s">
        <v>1674</v>
      </c>
      <c r="AJ825" s="544" t="s">
        <v>1674</v>
      </c>
      <c r="AK825" s="544" t="s">
        <v>1674</v>
      </c>
      <c r="AL825" s="544" t="s">
        <v>1674</v>
      </c>
      <c r="AM825" s="544" t="s">
        <v>1674</v>
      </c>
      <c r="AN825" s="544" t="s">
        <v>1674</v>
      </c>
      <c r="AP825" s="542">
        <f t="shared" si="27"/>
        <v>30</v>
      </c>
      <c r="AR825" s="552">
        <f t="shared" si="26"/>
        <v>3978.41</v>
      </c>
    </row>
    <row r="826" spans="1:44" outlineLevel="1" x14ac:dyDescent="0.25">
      <c r="A826" s="544" t="s">
        <v>1674</v>
      </c>
      <c r="B826" s="545">
        <v>0</v>
      </c>
      <c r="C826" s="544" t="s">
        <v>1674</v>
      </c>
      <c r="D826" s="544" t="s">
        <v>3956</v>
      </c>
      <c r="E826" s="542" t="s">
        <v>3899</v>
      </c>
      <c r="F826" s="542" t="s">
        <v>3900</v>
      </c>
      <c r="G826" s="546">
        <v>3978.41</v>
      </c>
      <c r="H826" s="546"/>
      <c r="I826" s="546">
        <v>3978.41</v>
      </c>
      <c r="J826" s="542" t="s">
        <v>2701</v>
      </c>
      <c r="K826" s="547">
        <v>8400</v>
      </c>
      <c r="L826" s="542" t="s">
        <v>806</v>
      </c>
      <c r="M826" s="548"/>
      <c r="N826" s="549">
        <v>-31</v>
      </c>
      <c r="O826" s="544" t="s">
        <v>1674</v>
      </c>
      <c r="P826" s="544" t="s">
        <v>1674</v>
      </c>
      <c r="Q826" s="544" t="s">
        <v>3134</v>
      </c>
      <c r="R826" s="544" t="s">
        <v>2898</v>
      </c>
      <c r="S826" s="544" t="s">
        <v>1674</v>
      </c>
      <c r="T826" s="550">
        <v>19</v>
      </c>
      <c r="U826" s="544" t="s">
        <v>3328</v>
      </c>
      <c r="V826" s="547">
        <v>1791</v>
      </c>
      <c r="W826" s="548"/>
      <c r="Y826" s="544" t="s">
        <v>1674</v>
      </c>
      <c r="AA826" s="544" t="s">
        <v>1674</v>
      </c>
      <c r="AE826" s="551"/>
      <c r="AF826" s="544" t="s">
        <v>1674</v>
      </c>
      <c r="AG826" s="544" t="s">
        <v>1674</v>
      </c>
      <c r="AH826" s="544" t="s">
        <v>1674</v>
      </c>
      <c r="AI826" s="544" t="s">
        <v>1674</v>
      </c>
      <c r="AJ826" s="544" t="s">
        <v>1674</v>
      </c>
      <c r="AK826" s="544" t="s">
        <v>1674</v>
      </c>
      <c r="AL826" s="544" t="s">
        <v>1674</v>
      </c>
      <c r="AM826" s="544" t="s">
        <v>1674</v>
      </c>
      <c r="AN826" s="544" t="s">
        <v>1674</v>
      </c>
      <c r="AP826" s="542">
        <f t="shared" si="27"/>
        <v>30</v>
      </c>
      <c r="AR826" s="552">
        <f t="shared" si="26"/>
        <v>3978.41</v>
      </c>
    </row>
    <row r="827" spans="1:44" outlineLevel="1" x14ac:dyDescent="0.25">
      <c r="A827" s="544" t="s">
        <v>1674</v>
      </c>
      <c r="B827" s="545">
        <v>0</v>
      </c>
      <c r="C827" s="544" t="s">
        <v>1674</v>
      </c>
      <c r="D827" s="544" t="s">
        <v>3957</v>
      </c>
      <c r="E827" s="542" t="s">
        <v>3899</v>
      </c>
      <c r="F827" s="542" t="s">
        <v>3900</v>
      </c>
      <c r="G827" s="546">
        <v>3978.41</v>
      </c>
      <c r="H827" s="546"/>
      <c r="I827" s="546">
        <v>3978.41</v>
      </c>
      <c r="J827" s="542" t="s">
        <v>2701</v>
      </c>
      <c r="K827" s="547">
        <v>8400</v>
      </c>
      <c r="L827" s="542" t="s">
        <v>806</v>
      </c>
      <c r="M827" s="548"/>
      <c r="N827" s="549">
        <v>-31</v>
      </c>
      <c r="O827" s="544" t="s">
        <v>1674</v>
      </c>
      <c r="P827" s="544" t="s">
        <v>1674</v>
      </c>
      <c r="Q827" s="544" t="s">
        <v>3134</v>
      </c>
      <c r="R827" s="544" t="s">
        <v>2898</v>
      </c>
      <c r="S827" s="544" t="s">
        <v>1674</v>
      </c>
      <c r="T827" s="550">
        <v>19</v>
      </c>
      <c r="U827" s="544" t="s">
        <v>3328</v>
      </c>
      <c r="V827" s="547">
        <v>1792</v>
      </c>
      <c r="W827" s="548"/>
      <c r="Y827" s="544" t="s">
        <v>1674</v>
      </c>
      <c r="AA827" s="544" t="s">
        <v>1674</v>
      </c>
      <c r="AE827" s="551"/>
      <c r="AF827" s="544" t="s">
        <v>1674</v>
      </c>
      <c r="AG827" s="544" t="s">
        <v>1674</v>
      </c>
      <c r="AH827" s="544" t="s">
        <v>1674</v>
      </c>
      <c r="AI827" s="544" t="s">
        <v>1674</v>
      </c>
      <c r="AJ827" s="544" t="s">
        <v>1674</v>
      </c>
      <c r="AK827" s="544" t="s">
        <v>1674</v>
      </c>
      <c r="AL827" s="544" t="s">
        <v>1674</v>
      </c>
      <c r="AM827" s="544" t="s">
        <v>1674</v>
      </c>
      <c r="AN827" s="544" t="s">
        <v>1674</v>
      </c>
      <c r="AP827" s="542">
        <f t="shared" si="27"/>
        <v>30</v>
      </c>
      <c r="AR827" s="552">
        <f t="shared" si="26"/>
        <v>3978.41</v>
      </c>
    </row>
    <row r="828" spans="1:44" outlineLevel="1" x14ac:dyDescent="0.25">
      <c r="A828" s="544" t="s">
        <v>1674</v>
      </c>
      <c r="B828" s="545">
        <v>0</v>
      </c>
      <c r="C828" s="544" t="s">
        <v>1674</v>
      </c>
      <c r="D828" s="544" t="s">
        <v>3958</v>
      </c>
      <c r="E828" s="542" t="s">
        <v>3899</v>
      </c>
      <c r="F828" s="542" t="s">
        <v>3900</v>
      </c>
      <c r="G828" s="546">
        <v>1989.2</v>
      </c>
      <c r="H828" s="546"/>
      <c r="I828" s="546"/>
      <c r="J828" s="542" t="s">
        <v>806</v>
      </c>
      <c r="K828" s="547">
        <v>8400</v>
      </c>
      <c r="L828" s="542" t="s">
        <v>806</v>
      </c>
      <c r="M828" s="548"/>
      <c r="N828" s="549">
        <v>-31</v>
      </c>
      <c r="O828" s="544" t="s">
        <v>1674</v>
      </c>
      <c r="P828" s="544" t="s">
        <v>1674</v>
      </c>
      <c r="Q828" s="544" t="s">
        <v>3134</v>
      </c>
      <c r="R828" s="544" t="s">
        <v>2898</v>
      </c>
      <c r="S828" s="544" t="s">
        <v>1674</v>
      </c>
      <c r="T828" s="550">
        <v>19</v>
      </c>
      <c r="U828" s="544" t="s">
        <v>3328</v>
      </c>
      <c r="V828" s="547">
        <v>1793</v>
      </c>
      <c r="W828" s="548"/>
      <c r="Y828" s="544" t="s">
        <v>1674</v>
      </c>
      <c r="AA828" s="544" t="s">
        <v>1674</v>
      </c>
      <c r="AE828" s="551"/>
      <c r="AF828" s="544" t="s">
        <v>1674</v>
      </c>
      <c r="AG828" s="544" t="s">
        <v>1674</v>
      </c>
      <c r="AH828" s="544" t="s">
        <v>1674</v>
      </c>
      <c r="AI828" s="544" t="s">
        <v>1674</v>
      </c>
      <c r="AJ828" s="544" t="s">
        <v>1674</v>
      </c>
      <c r="AK828" s="544" t="s">
        <v>1674</v>
      </c>
      <c r="AL828" s="544" t="s">
        <v>1674</v>
      </c>
      <c r="AM828" s="544" t="s">
        <v>1674</v>
      </c>
      <c r="AN828" s="544" t="s">
        <v>1674</v>
      </c>
      <c r="AP828" s="542">
        <f t="shared" si="27"/>
        <v>30</v>
      </c>
      <c r="AR828" s="552">
        <f t="shared" si="26"/>
        <v>0</v>
      </c>
    </row>
    <row r="829" spans="1:44" outlineLevel="1" x14ac:dyDescent="0.25">
      <c r="A829" s="544" t="s">
        <v>1674</v>
      </c>
      <c r="B829" s="545">
        <v>0</v>
      </c>
      <c r="C829" s="544" t="s">
        <v>1674</v>
      </c>
      <c r="D829" s="544" t="s">
        <v>3958</v>
      </c>
      <c r="E829" s="542" t="s">
        <v>3899</v>
      </c>
      <c r="F829" s="542" t="s">
        <v>3900</v>
      </c>
      <c r="G829" s="546">
        <v>23.8</v>
      </c>
      <c r="H829" s="546"/>
      <c r="I829" s="546">
        <v>2013</v>
      </c>
      <c r="J829" s="542" t="s">
        <v>2701</v>
      </c>
      <c r="K829" s="547">
        <v>8400</v>
      </c>
      <c r="L829" s="542" t="s">
        <v>806</v>
      </c>
      <c r="M829" s="548"/>
      <c r="N829" s="549">
        <v>-31</v>
      </c>
      <c r="O829" s="544" t="s">
        <v>1674</v>
      </c>
      <c r="P829" s="544" t="s">
        <v>1674</v>
      </c>
      <c r="Q829" s="544" t="s">
        <v>3139</v>
      </c>
      <c r="R829" s="544" t="s">
        <v>1674</v>
      </c>
      <c r="S829" s="544" t="s">
        <v>1674</v>
      </c>
      <c r="T829" s="550">
        <v>19</v>
      </c>
      <c r="U829" s="544" t="s">
        <v>3328</v>
      </c>
      <c r="V829" s="547">
        <v>1794</v>
      </c>
      <c r="W829" s="548"/>
      <c r="Y829" s="544" t="s">
        <v>1674</v>
      </c>
      <c r="AA829" s="544" t="s">
        <v>1674</v>
      </c>
      <c r="AE829" s="551"/>
      <c r="AF829" s="544" t="s">
        <v>1674</v>
      </c>
      <c r="AG829" s="544" t="s">
        <v>1674</v>
      </c>
      <c r="AH829" s="544" t="s">
        <v>1674</v>
      </c>
      <c r="AI829" s="544" t="s">
        <v>1674</v>
      </c>
      <c r="AJ829" s="544" t="s">
        <v>1674</v>
      </c>
      <c r="AK829" s="544" t="s">
        <v>1674</v>
      </c>
      <c r="AL829" s="544" t="s">
        <v>1674</v>
      </c>
      <c r="AM829" s="544" t="s">
        <v>1674</v>
      </c>
      <c r="AN829" s="544" t="s">
        <v>1674</v>
      </c>
      <c r="AP829" s="542">
        <f t="shared" si="27"/>
        <v>30</v>
      </c>
      <c r="AR829" s="552">
        <f t="shared" si="26"/>
        <v>2013</v>
      </c>
    </row>
    <row r="830" spans="1:44" outlineLevel="1" x14ac:dyDescent="0.25">
      <c r="A830" s="544" t="s">
        <v>1674</v>
      </c>
      <c r="B830" s="545">
        <v>11503</v>
      </c>
      <c r="C830" s="544" t="s">
        <v>3959</v>
      </c>
      <c r="D830" s="544" t="s">
        <v>3960</v>
      </c>
      <c r="E830" s="542" t="s">
        <v>3899</v>
      </c>
      <c r="F830" s="542" t="s">
        <v>3900</v>
      </c>
      <c r="G830" s="546">
        <v>289.17</v>
      </c>
      <c r="H830" s="546"/>
      <c r="I830" s="546"/>
      <c r="J830" s="542" t="s">
        <v>806</v>
      </c>
      <c r="K830" s="547">
        <v>8400</v>
      </c>
      <c r="L830" s="542" t="s">
        <v>806</v>
      </c>
      <c r="M830" s="548"/>
      <c r="N830" s="549">
        <v>-31</v>
      </c>
      <c r="O830" s="544" t="s">
        <v>1674</v>
      </c>
      <c r="P830" s="544" t="s">
        <v>1674</v>
      </c>
      <c r="Q830" s="544" t="s">
        <v>3961</v>
      </c>
      <c r="R830" s="544" t="s">
        <v>2622</v>
      </c>
      <c r="S830" s="544" t="s">
        <v>1674</v>
      </c>
      <c r="T830" s="550">
        <v>19</v>
      </c>
      <c r="U830" s="544" t="s">
        <v>3328</v>
      </c>
      <c r="V830" s="547">
        <v>1777</v>
      </c>
      <c r="W830" s="548"/>
      <c r="Y830" s="544" t="s">
        <v>1674</v>
      </c>
      <c r="AA830" s="544" t="s">
        <v>1674</v>
      </c>
      <c r="AE830" s="551"/>
      <c r="AF830" s="544" t="s">
        <v>1674</v>
      </c>
      <c r="AG830" s="544" t="s">
        <v>1674</v>
      </c>
      <c r="AH830" s="544" t="s">
        <v>1674</v>
      </c>
      <c r="AI830" s="544" t="s">
        <v>1674</v>
      </c>
      <c r="AJ830" s="544" t="s">
        <v>1674</v>
      </c>
      <c r="AK830" s="544" t="s">
        <v>1674</v>
      </c>
      <c r="AL830" s="544" t="s">
        <v>1674</v>
      </c>
      <c r="AM830" s="544" t="s">
        <v>3962</v>
      </c>
      <c r="AN830" s="544" t="s">
        <v>1674</v>
      </c>
      <c r="AP830" s="542">
        <f t="shared" si="27"/>
        <v>30</v>
      </c>
      <c r="AR830" s="552">
        <f t="shared" si="26"/>
        <v>0</v>
      </c>
    </row>
    <row r="831" spans="1:44" outlineLevel="1" x14ac:dyDescent="0.25">
      <c r="A831" s="544" t="s">
        <v>1674</v>
      </c>
      <c r="B831" s="545">
        <v>0</v>
      </c>
      <c r="C831" s="544" t="s">
        <v>1674</v>
      </c>
      <c r="D831" s="544" t="s">
        <v>3960</v>
      </c>
      <c r="E831" s="542" t="s">
        <v>3899</v>
      </c>
      <c r="F831" s="542" t="s">
        <v>3900</v>
      </c>
      <c r="G831" s="546">
        <v>481.71</v>
      </c>
      <c r="H831" s="546"/>
      <c r="I831" s="546">
        <v>770.88</v>
      </c>
      <c r="J831" s="542" t="s">
        <v>2701</v>
      </c>
      <c r="K831" s="547">
        <v>8400</v>
      </c>
      <c r="L831" s="542" t="s">
        <v>806</v>
      </c>
      <c r="M831" s="548"/>
      <c r="N831" s="549">
        <v>-31</v>
      </c>
      <c r="O831" s="544" t="s">
        <v>1674</v>
      </c>
      <c r="P831" s="544" t="s">
        <v>1674</v>
      </c>
      <c r="Q831" s="544" t="s">
        <v>3961</v>
      </c>
      <c r="R831" s="544" t="s">
        <v>1674</v>
      </c>
      <c r="S831" s="544" t="s">
        <v>1674</v>
      </c>
      <c r="T831" s="550">
        <v>19</v>
      </c>
      <c r="U831" s="544" t="s">
        <v>3328</v>
      </c>
      <c r="V831" s="547">
        <v>1778</v>
      </c>
      <c r="W831" s="548"/>
      <c r="Y831" s="544" t="s">
        <v>1674</v>
      </c>
      <c r="AA831" s="544" t="s">
        <v>1674</v>
      </c>
      <c r="AE831" s="551"/>
      <c r="AF831" s="544" t="s">
        <v>1674</v>
      </c>
      <c r="AG831" s="544" t="s">
        <v>1674</v>
      </c>
      <c r="AH831" s="544" t="s">
        <v>1674</v>
      </c>
      <c r="AI831" s="544" t="s">
        <v>1674</v>
      </c>
      <c r="AJ831" s="544" t="s">
        <v>1674</v>
      </c>
      <c r="AK831" s="544" t="s">
        <v>1674</v>
      </c>
      <c r="AL831" s="544" t="s">
        <v>1674</v>
      </c>
      <c r="AM831" s="544" t="s">
        <v>1674</v>
      </c>
      <c r="AN831" s="544" t="s">
        <v>1674</v>
      </c>
      <c r="AP831" s="542">
        <f t="shared" si="27"/>
        <v>30</v>
      </c>
      <c r="AR831" s="552">
        <f t="shared" si="26"/>
        <v>770.88</v>
      </c>
    </row>
    <row r="832" spans="1:44" outlineLevel="1" x14ac:dyDescent="0.25">
      <c r="A832" s="544" t="s">
        <v>1674</v>
      </c>
      <c r="B832" s="545">
        <v>11602</v>
      </c>
      <c r="C832" s="544" t="s">
        <v>2758</v>
      </c>
      <c r="D832" s="544" t="s">
        <v>3963</v>
      </c>
      <c r="E832" s="542" t="s">
        <v>3899</v>
      </c>
      <c r="F832" s="542" t="s">
        <v>3900</v>
      </c>
      <c r="G832" s="546">
        <v>21.42</v>
      </c>
      <c r="H832" s="546"/>
      <c r="I832" s="546"/>
      <c r="J832" s="542" t="s">
        <v>806</v>
      </c>
      <c r="K832" s="547">
        <v>8400</v>
      </c>
      <c r="L832" s="542" t="s">
        <v>806</v>
      </c>
      <c r="M832" s="548"/>
      <c r="N832" s="549">
        <v>-31</v>
      </c>
      <c r="O832" s="544" t="s">
        <v>1674</v>
      </c>
      <c r="P832" s="544" t="s">
        <v>1674</v>
      </c>
      <c r="Q832" s="544" t="s">
        <v>3964</v>
      </c>
      <c r="R832" s="544" t="s">
        <v>1674</v>
      </c>
      <c r="S832" s="544" t="s">
        <v>1674</v>
      </c>
      <c r="T832" s="550">
        <v>19</v>
      </c>
      <c r="U832" s="544" t="s">
        <v>3328</v>
      </c>
      <c r="V832" s="547">
        <v>1727</v>
      </c>
      <c r="W832" s="548"/>
      <c r="Y832" s="544" t="s">
        <v>1674</v>
      </c>
      <c r="AA832" s="544" t="s">
        <v>1674</v>
      </c>
      <c r="AE832" s="551"/>
      <c r="AF832" s="544" t="s">
        <v>1674</v>
      </c>
      <c r="AG832" s="544" t="s">
        <v>1674</v>
      </c>
      <c r="AH832" s="544" t="s">
        <v>1674</v>
      </c>
      <c r="AI832" s="544" t="s">
        <v>1674</v>
      </c>
      <c r="AJ832" s="544" t="s">
        <v>1674</v>
      </c>
      <c r="AK832" s="544" t="s">
        <v>1674</v>
      </c>
      <c r="AL832" s="544" t="s">
        <v>1674</v>
      </c>
      <c r="AM832" s="544" t="s">
        <v>2762</v>
      </c>
      <c r="AN832" s="544" t="s">
        <v>1674</v>
      </c>
      <c r="AP832" s="542">
        <f t="shared" si="27"/>
        <v>30</v>
      </c>
      <c r="AR832" s="552">
        <f t="shared" si="26"/>
        <v>0</v>
      </c>
    </row>
    <row r="833" spans="1:44" outlineLevel="1" x14ac:dyDescent="0.25">
      <c r="A833" s="544" t="s">
        <v>1674</v>
      </c>
      <c r="B833" s="545">
        <v>0</v>
      </c>
      <c r="C833" s="544" t="s">
        <v>1674</v>
      </c>
      <c r="D833" s="544" t="s">
        <v>3963</v>
      </c>
      <c r="E833" s="542" t="s">
        <v>3899</v>
      </c>
      <c r="F833" s="542" t="s">
        <v>3900</v>
      </c>
      <c r="G833" s="546">
        <v>294.88</v>
      </c>
      <c r="H833" s="546"/>
      <c r="I833" s="546">
        <v>316.3</v>
      </c>
      <c r="J833" s="542" t="s">
        <v>2701</v>
      </c>
      <c r="K833" s="547">
        <v>8400</v>
      </c>
      <c r="L833" s="542" t="s">
        <v>806</v>
      </c>
      <c r="M833" s="548"/>
      <c r="N833" s="549">
        <v>-31</v>
      </c>
      <c r="O833" s="544" t="s">
        <v>1674</v>
      </c>
      <c r="P833" s="544" t="s">
        <v>1674</v>
      </c>
      <c r="Q833" s="544" t="s">
        <v>2761</v>
      </c>
      <c r="R833" s="544" t="s">
        <v>2622</v>
      </c>
      <c r="S833" s="544" t="s">
        <v>1674</v>
      </c>
      <c r="T833" s="550">
        <v>19</v>
      </c>
      <c r="U833" s="544" t="s">
        <v>3328</v>
      </c>
      <c r="V833" s="547">
        <v>1728</v>
      </c>
      <c r="W833" s="548"/>
      <c r="Y833" s="544" t="s">
        <v>1674</v>
      </c>
      <c r="AA833" s="544" t="s">
        <v>1674</v>
      </c>
      <c r="AE833" s="551"/>
      <c r="AF833" s="544" t="s">
        <v>1674</v>
      </c>
      <c r="AG833" s="544" t="s">
        <v>1674</v>
      </c>
      <c r="AH833" s="544" t="s">
        <v>1674</v>
      </c>
      <c r="AI833" s="544" t="s">
        <v>1674</v>
      </c>
      <c r="AJ833" s="544" t="s">
        <v>1674</v>
      </c>
      <c r="AK833" s="544" t="s">
        <v>1674</v>
      </c>
      <c r="AL833" s="544" t="s">
        <v>1674</v>
      </c>
      <c r="AM833" s="544" t="s">
        <v>1674</v>
      </c>
      <c r="AN833" s="544" t="s">
        <v>1674</v>
      </c>
      <c r="AP833" s="542">
        <f t="shared" si="27"/>
        <v>30</v>
      </c>
      <c r="AR833" s="552">
        <f t="shared" si="26"/>
        <v>316.3</v>
      </c>
    </row>
    <row r="834" spans="1:44" outlineLevel="1" x14ac:dyDescent="0.25">
      <c r="A834" s="544" t="s">
        <v>1674</v>
      </c>
      <c r="B834" s="545">
        <v>11701</v>
      </c>
      <c r="C834" s="544" t="s">
        <v>3225</v>
      </c>
      <c r="D834" s="544" t="s">
        <v>3965</v>
      </c>
      <c r="E834" s="542" t="s">
        <v>3899</v>
      </c>
      <c r="F834" s="542" t="s">
        <v>3900</v>
      </c>
      <c r="G834" s="546">
        <v>1707.65</v>
      </c>
      <c r="H834" s="546"/>
      <c r="I834" s="546">
        <v>1707.65</v>
      </c>
      <c r="J834" s="542" t="s">
        <v>2701</v>
      </c>
      <c r="K834" s="547">
        <v>8402</v>
      </c>
      <c r="L834" s="542" t="s">
        <v>806</v>
      </c>
      <c r="M834" s="548"/>
      <c r="N834" s="549">
        <v>-31</v>
      </c>
      <c r="O834" s="544" t="s">
        <v>1674</v>
      </c>
      <c r="P834" s="544" t="s">
        <v>1674</v>
      </c>
      <c r="Q834" s="544" t="s">
        <v>3225</v>
      </c>
      <c r="R834" s="544" t="s">
        <v>1674</v>
      </c>
      <c r="S834" s="544" t="s">
        <v>1674</v>
      </c>
      <c r="T834" s="550">
        <v>19</v>
      </c>
      <c r="U834" s="544" t="s">
        <v>3328</v>
      </c>
      <c r="V834" s="547">
        <v>1764</v>
      </c>
      <c r="W834" s="548"/>
      <c r="Y834" s="544" t="s">
        <v>1674</v>
      </c>
      <c r="AA834" s="544" t="s">
        <v>1674</v>
      </c>
      <c r="AE834" s="551"/>
      <c r="AF834" s="544" t="s">
        <v>1674</v>
      </c>
      <c r="AG834" s="544" t="s">
        <v>1674</v>
      </c>
      <c r="AH834" s="544" t="s">
        <v>1674</v>
      </c>
      <c r="AI834" s="544" t="s">
        <v>1674</v>
      </c>
      <c r="AJ834" s="544" t="s">
        <v>1674</v>
      </c>
      <c r="AK834" s="544" t="s">
        <v>1674</v>
      </c>
      <c r="AL834" s="544" t="s">
        <v>1674</v>
      </c>
      <c r="AM834" s="544" t="s">
        <v>3225</v>
      </c>
      <c r="AN834" s="544" t="s">
        <v>1674</v>
      </c>
      <c r="AP834" s="542">
        <f t="shared" si="27"/>
        <v>30</v>
      </c>
      <c r="AR834" s="552">
        <f t="shared" si="26"/>
        <v>1707.65</v>
      </c>
    </row>
    <row r="835" spans="1:44" outlineLevel="1" x14ac:dyDescent="0.25">
      <c r="A835" s="544" t="s">
        <v>1674</v>
      </c>
      <c r="B835" s="545">
        <v>0</v>
      </c>
      <c r="C835" s="544" t="s">
        <v>1674</v>
      </c>
      <c r="D835" s="544" t="s">
        <v>3966</v>
      </c>
      <c r="E835" s="542" t="s">
        <v>3899</v>
      </c>
      <c r="F835" s="542" t="s">
        <v>3900</v>
      </c>
      <c r="G835" s="546">
        <v>1707.65</v>
      </c>
      <c r="H835" s="546"/>
      <c r="I835" s="546">
        <v>1707.65</v>
      </c>
      <c r="J835" s="542" t="s">
        <v>2701</v>
      </c>
      <c r="K835" s="547">
        <v>8402</v>
      </c>
      <c r="L835" s="542" t="s">
        <v>806</v>
      </c>
      <c r="M835" s="548"/>
      <c r="N835" s="549">
        <v>-31</v>
      </c>
      <c r="O835" s="544" t="s">
        <v>1674</v>
      </c>
      <c r="P835" s="544" t="s">
        <v>1674</v>
      </c>
      <c r="Q835" s="544" t="s">
        <v>3225</v>
      </c>
      <c r="R835" s="544" t="s">
        <v>1674</v>
      </c>
      <c r="S835" s="544" t="s">
        <v>1674</v>
      </c>
      <c r="T835" s="550">
        <v>19</v>
      </c>
      <c r="U835" s="544" t="s">
        <v>3328</v>
      </c>
      <c r="V835" s="547">
        <v>1765</v>
      </c>
      <c r="W835" s="548"/>
      <c r="Y835" s="544" t="s">
        <v>1674</v>
      </c>
      <c r="AA835" s="544" t="s">
        <v>1674</v>
      </c>
      <c r="AE835" s="551"/>
      <c r="AF835" s="544" t="s">
        <v>1674</v>
      </c>
      <c r="AG835" s="544" t="s">
        <v>1674</v>
      </c>
      <c r="AH835" s="544" t="s">
        <v>1674</v>
      </c>
      <c r="AI835" s="544" t="s">
        <v>1674</v>
      </c>
      <c r="AJ835" s="544" t="s">
        <v>1674</v>
      </c>
      <c r="AK835" s="544" t="s">
        <v>1674</v>
      </c>
      <c r="AL835" s="544" t="s">
        <v>1674</v>
      </c>
      <c r="AM835" s="544" t="s">
        <v>1674</v>
      </c>
      <c r="AN835" s="544" t="s">
        <v>1674</v>
      </c>
      <c r="AP835" s="542">
        <f t="shared" si="27"/>
        <v>30</v>
      </c>
      <c r="AR835" s="552">
        <f t="shared" si="26"/>
        <v>1707.65</v>
      </c>
    </row>
    <row r="836" spans="1:44" outlineLevel="1" x14ac:dyDescent="0.25">
      <c r="A836" s="544" t="s">
        <v>1674</v>
      </c>
      <c r="B836" s="545">
        <v>22506</v>
      </c>
      <c r="C836" s="544" t="s">
        <v>2859</v>
      </c>
      <c r="D836" s="544" t="s">
        <v>3967</v>
      </c>
      <c r="E836" s="542" t="s">
        <v>3899</v>
      </c>
      <c r="F836" s="542" t="s">
        <v>3900</v>
      </c>
      <c r="G836" s="546">
        <v>10251</v>
      </c>
      <c r="H836" s="546"/>
      <c r="I836" s="546">
        <v>10251</v>
      </c>
      <c r="J836" s="542" t="s">
        <v>2701</v>
      </c>
      <c r="K836" s="547">
        <v>8125</v>
      </c>
      <c r="L836" s="542" t="s">
        <v>806</v>
      </c>
      <c r="M836" s="548"/>
      <c r="N836" s="549">
        <v>-31</v>
      </c>
      <c r="O836" s="544" t="s">
        <v>1674</v>
      </c>
      <c r="P836" s="544" t="s">
        <v>1674</v>
      </c>
      <c r="Q836" s="544" t="s">
        <v>3013</v>
      </c>
      <c r="R836" s="544" t="s">
        <v>1674</v>
      </c>
      <c r="S836" s="544" t="s">
        <v>1674</v>
      </c>
      <c r="T836" s="550"/>
      <c r="U836" s="544" t="s">
        <v>3328</v>
      </c>
      <c r="V836" s="547">
        <v>1783</v>
      </c>
      <c r="W836" s="548"/>
      <c r="Y836" s="544" t="s">
        <v>1674</v>
      </c>
      <c r="AA836" s="544" t="s">
        <v>1674</v>
      </c>
      <c r="AE836" s="551"/>
      <c r="AF836" s="544" t="s">
        <v>1674</v>
      </c>
      <c r="AG836" s="544" t="s">
        <v>1674</v>
      </c>
      <c r="AH836" s="544" t="s">
        <v>1674</v>
      </c>
      <c r="AI836" s="544" t="s">
        <v>1674</v>
      </c>
      <c r="AJ836" s="544" t="s">
        <v>1674</v>
      </c>
      <c r="AK836" s="544" t="s">
        <v>1674</v>
      </c>
      <c r="AL836" s="544" t="s">
        <v>1674</v>
      </c>
      <c r="AM836" s="544" t="s">
        <v>2863</v>
      </c>
      <c r="AN836" s="544" t="s">
        <v>1674</v>
      </c>
      <c r="AP836" s="542">
        <f t="shared" si="27"/>
        <v>30</v>
      </c>
      <c r="AR836" s="552">
        <f t="shared" si="26"/>
        <v>10251</v>
      </c>
    </row>
    <row r="837" spans="1:44" outlineLevel="1" x14ac:dyDescent="0.25">
      <c r="A837" s="544" t="s">
        <v>1674</v>
      </c>
      <c r="B837" s="545">
        <v>31905</v>
      </c>
      <c r="C837" s="544" t="s">
        <v>2974</v>
      </c>
      <c r="D837" s="544" t="s">
        <v>3968</v>
      </c>
      <c r="E837" s="542" t="s">
        <v>3899</v>
      </c>
      <c r="F837" s="542" t="s">
        <v>3900</v>
      </c>
      <c r="G837" s="546">
        <v>1480</v>
      </c>
      <c r="H837" s="546"/>
      <c r="I837" s="546"/>
      <c r="J837" s="542" t="s">
        <v>806</v>
      </c>
      <c r="K837" s="547">
        <v>8120</v>
      </c>
      <c r="L837" s="542" t="s">
        <v>806</v>
      </c>
      <c r="M837" s="548"/>
      <c r="N837" s="549">
        <v>-31</v>
      </c>
      <c r="O837" s="544" t="s">
        <v>1674</v>
      </c>
      <c r="P837" s="544" t="s">
        <v>1674</v>
      </c>
      <c r="Q837" s="544" t="s">
        <v>2976</v>
      </c>
      <c r="R837" s="544" t="s">
        <v>1674</v>
      </c>
      <c r="S837" s="544" t="s">
        <v>1674</v>
      </c>
      <c r="T837" s="550"/>
      <c r="U837" s="544" t="s">
        <v>3328</v>
      </c>
      <c r="V837" s="547">
        <v>1735</v>
      </c>
      <c r="W837" s="548"/>
      <c r="Y837" s="544" t="s">
        <v>1674</v>
      </c>
      <c r="AA837" s="544" t="s">
        <v>1674</v>
      </c>
      <c r="AE837" s="551"/>
      <c r="AF837" s="544" t="s">
        <v>1674</v>
      </c>
      <c r="AG837" s="544" t="s">
        <v>1674</v>
      </c>
      <c r="AH837" s="544" t="s">
        <v>1674</v>
      </c>
      <c r="AI837" s="544" t="s">
        <v>1674</v>
      </c>
      <c r="AJ837" s="544" t="s">
        <v>1674</v>
      </c>
      <c r="AK837" s="544" t="s">
        <v>1674</v>
      </c>
      <c r="AL837" s="544" t="s">
        <v>1674</v>
      </c>
      <c r="AM837" s="544" t="s">
        <v>2977</v>
      </c>
      <c r="AN837" s="544" t="s">
        <v>1674</v>
      </c>
      <c r="AP837" s="542">
        <f t="shared" si="27"/>
        <v>30</v>
      </c>
      <c r="AR837" s="552">
        <f t="shared" si="26"/>
        <v>0</v>
      </c>
    </row>
    <row r="838" spans="1:44" outlineLevel="1" x14ac:dyDescent="0.25">
      <c r="A838" s="544" t="s">
        <v>1674</v>
      </c>
      <c r="B838" s="545">
        <v>0</v>
      </c>
      <c r="C838" s="544" t="s">
        <v>1674</v>
      </c>
      <c r="D838" s="544" t="s">
        <v>3968</v>
      </c>
      <c r="E838" s="542" t="s">
        <v>3899</v>
      </c>
      <c r="F838" s="542" t="s">
        <v>3900</v>
      </c>
      <c r="G838" s="546">
        <v>360</v>
      </c>
      <c r="H838" s="546"/>
      <c r="I838" s="546">
        <v>1840</v>
      </c>
      <c r="J838" s="542" t="s">
        <v>2701</v>
      </c>
      <c r="K838" s="547">
        <v>8120</v>
      </c>
      <c r="L838" s="542" t="s">
        <v>806</v>
      </c>
      <c r="M838" s="548"/>
      <c r="N838" s="549">
        <v>-31</v>
      </c>
      <c r="O838" s="544" t="s">
        <v>1674</v>
      </c>
      <c r="P838" s="544" t="s">
        <v>1674</v>
      </c>
      <c r="Q838" s="544" t="s">
        <v>2976</v>
      </c>
      <c r="R838" s="544" t="s">
        <v>2622</v>
      </c>
      <c r="S838" s="544" t="s">
        <v>1674</v>
      </c>
      <c r="T838" s="550"/>
      <c r="U838" s="544" t="s">
        <v>3328</v>
      </c>
      <c r="V838" s="547">
        <v>1736</v>
      </c>
      <c r="W838" s="548"/>
      <c r="Y838" s="544" t="s">
        <v>1674</v>
      </c>
      <c r="AA838" s="544" t="s">
        <v>1674</v>
      </c>
      <c r="AE838" s="551"/>
      <c r="AF838" s="544" t="s">
        <v>1674</v>
      </c>
      <c r="AG838" s="544" t="s">
        <v>1674</v>
      </c>
      <c r="AH838" s="544" t="s">
        <v>1674</v>
      </c>
      <c r="AI838" s="544" t="s">
        <v>1674</v>
      </c>
      <c r="AJ838" s="544" t="s">
        <v>1674</v>
      </c>
      <c r="AK838" s="544" t="s">
        <v>1674</v>
      </c>
      <c r="AL838" s="544" t="s">
        <v>1674</v>
      </c>
      <c r="AM838" s="544" t="s">
        <v>1674</v>
      </c>
      <c r="AN838" s="544" t="s">
        <v>1674</v>
      </c>
      <c r="AP838" s="542">
        <f t="shared" si="27"/>
        <v>30</v>
      </c>
      <c r="AR838" s="552">
        <f t="shared" si="26"/>
        <v>1840</v>
      </c>
    </row>
    <row r="839" spans="1:44" outlineLevel="1" x14ac:dyDescent="0.25">
      <c r="A839" s="544" t="s">
        <v>1674</v>
      </c>
      <c r="B839" s="545">
        <v>40806</v>
      </c>
      <c r="C839" s="544" t="s">
        <v>3567</v>
      </c>
      <c r="D839" s="544" t="s">
        <v>3969</v>
      </c>
      <c r="E839" s="542" t="s">
        <v>3899</v>
      </c>
      <c r="G839" s="546"/>
      <c r="H839" s="546">
        <v>10450</v>
      </c>
      <c r="I839" s="546">
        <v>10450</v>
      </c>
      <c r="J839" s="542" t="s">
        <v>2584</v>
      </c>
      <c r="K839" s="547">
        <v>1200</v>
      </c>
      <c r="L839" s="542" t="s">
        <v>806</v>
      </c>
      <c r="M839" s="548"/>
      <c r="N839" s="549"/>
      <c r="O839" s="544" t="s">
        <v>1674</v>
      </c>
      <c r="P839" s="544" t="s">
        <v>1674</v>
      </c>
      <c r="Q839" s="544" t="s">
        <v>3696</v>
      </c>
      <c r="R839" s="544" t="s">
        <v>1674</v>
      </c>
      <c r="S839" s="544" t="s">
        <v>1674</v>
      </c>
      <c r="T839" s="550"/>
      <c r="U839" s="544" t="s">
        <v>3328</v>
      </c>
      <c r="V839" s="547">
        <v>1693</v>
      </c>
      <c r="W839" s="548"/>
      <c r="Y839" s="544" t="s">
        <v>1674</v>
      </c>
      <c r="AA839" s="544" t="s">
        <v>1674</v>
      </c>
      <c r="AE839" s="551"/>
      <c r="AF839" s="544" t="s">
        <v>1674</v>
      </c>
      <c r="AG839" s="544" t="s">
        <v>1674</v>
      </c>
      <c r="AH839" s="544" t="s">
        <v>1674</v>
      </c>
      <c r="AI839" s="544" t="s">
        <v>1674</v>
      </c>
      <c r="AJ839" s="544" t="s">
        <v>1674</v>
      </c>
      <c r="AK839" s="544" t="s">
        <v>1674</v>
      </c>
      <c r="AL839" s="544" t="s">
        <v>1674</v>
      </c>
      <c r="AM839" s="544" t="s">
        <v>3571</v>
      </c>
      <c r="AN839" s="544" t="s">
        <v>1674</v>
      </c>
      <c r="AP839" s="542">
        <f t="shared" si="27"/>
        <v>0</v>
      </c>
      <c r="AR839" s="552">
        <f t="shared" si="26"/>
        <v>-10450</v>
      </c>
    </row>
    <row r="843" spans="1:44" x14ac:dyDescent="0.25">
      <c r="G843" s="552">
        <f>SUM(G3:G839)</f>
        <v>1942393.0999999985</v>
      </c>
      <c r="H843" s="552">
        <f>SUM(H3:H839)</f>
        <v>264159.46999999997</v>
      </c>
      <c r="I843" s="563">
        <f>G843-H843</f>
        <v>1678233.6299999985</v>
      </c>
      <c r="AR843" s="552">
        <f>SUM(AR3:AR839)</f>
        <v>1678233.63</v>
      </c>
    </row>
    <row r="844" spans="1:44" x14ac:dyDescent="0.25">
      <c r="AR844" s="564"/>
    </row>
    <row r="846" spans="1:44" x14ac:dyDescent="0.25">
      <c r="AQ846" s="542" t="s">
        <v>233</v>
      </c>
      <c r="AR846" s="552">
        <v>1659340.63</v>
      </c>
    </row>
    <row r="847" spans="1:44" x14ac:dyDescent="0.25">
      <c r="AR847" s="552">
        <f>AR843-AR846</f>
        <v>18893</v>
      </c>
    </row>
  </sheetData>
  <mergeCells count="1">
    <mergeCell ref="A1:AN1"/>
  </mergeCells>
  <conditionalFormatting sqref="AU10">
    <cfRule type="cellIs" dxfId="10" priority="1" operator="equal">
      <formula>0</formula>
    </cfRule>
  </conditionalFormatting>
  <pageMargins left="0.7" right="0.7" top="0.78740157499999996" bottom="0.78740157499999996"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465ED-E89F-4C72-9C78-E3A971B18AE6}">
  <sheetPr>
    <tabColor rgb="FF7030A0"/>
    <outlinePr summaryBelow="0"/>
  </sheetPr>
  <dimension ref="A1:AX462"/>
  <sheetViews>
    <sheetView workbookViewId="0"/>
  </sheetViews>
  <sheetFormatPr defaultColWidth="11.42578125" defaultRowHeight="15" outlineLevelRow="1" outlineLevelCol="1" x14ac:dyDescent="0.25"/>
  <cols>
    <col min="1" max="1" width="7.140625" customWidth="1"/>
    <col min="2" max="2" width="9.85546875" hidden="1" customWidth="1" outlineLevel="1"/>
    <col min="3" max="3" width="42.85546875" hidden="1" customWidth="1" outlineLevel="1"/>
    <col min="4" max="4" width="17.28515625" hidden="1" customWidth="1" outlineLevel="1"/>
    <col min="5" max="5" width="13.85546875" customWidth="1" collapsed="1"/>
    <col min="6" max="7" width="13.85546875" customWidth="1"/>
    <col min="8" max="8" width="16" customWidth="1"/>
    <col min="9" max="9" width="13.85546875" customWidth="1"/>
    <col min="10" max="10" width="13" customWidth="1"/>
    <col min="11" max="11" width="14.5703125" hidden="1" customWidth="1" outlineLevel="1"/>
    <col min="12" max="12" width="6.28515625" hidden="1" customWidth="1" outlineLevel="1"/>
    <col min="13" max="13" width="9.85546875" hidden="1" customWidth="1" outlineLevel="1"/>
    <col min="14" max="14" width="8.42578125" hidden="1" customWidth="1" outlineLevel="1"/>
    <col min="15" max="15" width="13.85546875" hidden="1" customWidth="1" outlineLevel="1"/>
    <col min="16" max="16" width="7.140625" hidden="1" customWidth="1" outlineLevel="1"/>
    <col min="17" max="17" width="75.7109375" customWidth="1" collapsed="1"/>
    <col min="18" max="19" width="11" hidden="1" customWidth="1" outlineLevel="1"/>
    <col min="20" max="20" width="9.42578125" hidden="1" customWidth="1" outlineLevel="1"/>
    <col min="21" max="21" width="16" hidden="1" customWidth="1" outlineLevel="1"/>
    <col min="22" max="22" width="9.7109375" hidden="1" customWidth="1" outlineLevel="1"/>
    <col min="23" max="23" width="6.28515625" hidden="1" customWidth="1" outlineLevel="1"/>
    <col min="24" max="24" width="12.28515625" hidden="1" customWidth="1" outlineLevel="1"/>
    <col min="25" max="25" width="15.28515625" hidden="1" customWidth="1" outlineLevel="1"/>
    <col min="26" max="26" width="12.42578125" hidden="1" customWidth="1" outlineLevel="1"/>
    <col min="27" max="27" width="24.140625" hidden="1" customWidth="1" outlineLevel="1"/>
    <col min="28" max="28" width="19.42578125" hidden="1" customWidth="1" outlineLevel="1"/>
    <col min="29" max="29" width="14.42578125" hidden="1" customWidth="1" outlineLevel="1"/>
    <col min="30" max="30" width="13.42578125" hidden="1" customWidth="1" outlineLevel="1"/>
    <col min="31" max="31" width="12.85546875" hidden="1" customWidth="1" outlineLevel="1"/>
    <col min="32" max="32" width="26.42578125" hidden="1" customWidth="1" outlineLevel="1"/>
    <col min="33" max="33" width="9.85546875" hidden="1" customWidth="1" outlineLevel="1"/>
    <col min="34" max="34" width="16.140625" hidden="1" customWidth="1" outlineLevel="1"/>
    <col min="35" max="35" width="8.85546875" hidden="1" customWidth="1" outlineLevel="1"/>
    <col min="36" max="36" width="27.5703125" hidden="1" customWidth="1" outlineLevel="1"/>
    <col min="37" max="37" width="18.5703125" hidden="1" customWidth="1" outlineLevel="1"/>
    <col min="38" max="38" width="24" hidden="1" customWidth="1" outlineLevel="1"/>
    <col min="39" max="39" width="20" hidden="1" customWidth="1" outlineLevel="1"/>
    <col min="40" max="40" width="19.5703125" hidden="1" customWidth="1" outlineLevel="1"/>
    <col min="41" max="41" width="11.42578125" collapsed="1"/>
    <col min="43" max="43" width="11.7109375" bestFit="1" customWidth="1"/>
    <col min="45" max="45" width="16.28515625" bestFit="1" customWidth="1"/>
    <col min="46" max="46" width="11.7109375" bestFit="1" customWidth="1"/>
    <col min="48" max="48" width="28" bestFit="1" customWidth="1"/>
    <col min="49" max="49" width="11.7109375" bestFit="1" customWidth="1"/>
  </cols>
  <sheetData>
    <row r="1" spans="1:50" x14ac:dyDescent="0.25">
      <c r="A1" s="629" t="s">
        <v>5045</v>
      </c>
    </row>
    <row r="2" spans="1:50" outlineLevel="1" x14ac:dyDescent="0.25">
      <c r="A2" s="609" t="s">
        <v>2541</v>
      </c>
      <c r="B2" s="609" t="s">
        <v>2542</v>
      </c>
      <c r="C2" s="609" t="s">
        <v>2543</v>
      </c>
      <c r="D2" s="609" t="s">
        <v>2544</v>
      </c>
      <c r="E2" s="609" t="s">
        <v>2545</v>
      </c>
      <c r="F2" s="609" t="s">
        <v>2546</v>
      </c>
      <c r="G2" s="609" t="s">
        <v>2547</v>
      </c>
      <c r="H2" s="609" t="s">
        <v>2548</v>
      </c>
      <c r="I2" s="609" t="s">
        <v>2549</v>
      </c>
      <c r="J2" s="609" t="s">
        <v>2550</v>
      </c>
      <c r="K2" s="609" t="s">
        <v>2551</v>
      </c>
      <c r="L2" s="609" t="s">
        <v>2552</v>
      </c>
      <c r="M2" s="609" t="s">
        <v>2553</v>
      </c>
      <c r="N2" s="609" t="s">
        <v>2554</v>
      </c>
      <c r="O2" s="609" t="s">
        <v>2555</v>
      </c>
      <c r="P2" s="609" t="s">
        <v>2556</v>
      </c>
      <c r="Q2" s="609" t="s">
        <v>2557</v>
      </c>
      <c r="R2" s="609" t="s">
        <v>2558</v>
      </c>
      <c r="S2" s="609" t="s">
        <v>2559</v>
      </c>
      <c r="T2" s="609" t="s">
        <v>2560</v>
      </c>
      <c r="U2" s="609" t="s">
        <v>2561</v>
      </c>
      <c r="V2" s="609" t="s">
        <v>2562</v>
      </c>
      <c r="W2" s="609" t="s">
        <v>2563</v>
      </c>
      <c r="X2" s="609" t="s">
        <v>2564</v>
      </c>
      <c r="Y2" s="609" t="s">
        <v>2565</v>
      </c>
      <c r="Z2" s="609" t="s">
        <v>2566</v>
      </c>
      <c r="AA2" s="609" t="s">
        <v>2567</v>
      </c>
      <c r="AB2" s="609" t="s">
        <v>2568</v>
      </c>
      <c r="AC2" s="609" t="s">
        <v>2569</v>
      </c>
      <c r="AD2" s="609" t="s">
        <v>2570</v>
      </c>
      <c r="AE2" s="609" t="s">
        <v>2571</v>
      </c>
      <c r="AF2" s="609" t="s">
        <v>2572</v>
      </c>
      <c r="AG2" s="609" t="s">
        <v>2573</v>
      </c>
      <c r="AH2" s="609" t="s">
        <v>2574</v>
      </c>
      <c r="AI2" s="609" t="s">
        <v>2575</v>
      </c>
      <c r="AJ2" s="609" t="s">
        <v>2576</v>
      </c>
      <c r="AK2" s="609" t="s">
        <v>2577</v>
      </c>
      <c r="AL2" s="609" t="s">
        <v>2578</v>
      </c>
      <c r="AM2" s="609" t="s">
        <v>2579</v>
      </c>
      <c r="AN2" s="609" t="s">
        <v>2580</v>
      </c>
      <c r="AO2" s="783">
        <v>46022</v>
      </c>
      <c r="AP2" s="609" t="s">
        <v>4887</v>
      </c>
      <c r="AQ2" s="609" t="s">
        <v>2549</v>
      </c>
      <c r="AS2" s="784" t="s">
        <v>2587</v>
      </c>
      <c r="AT2" s="785" t="s">
        <v>4888</v>
      </c>
      <c r="AV2" t="s">
        <v>5046</v>
      </c>
      <c r="AW2" s="623">
        <f>SUM(AQ3:AQ462)</f>
        <v>1429004.2099999997</v>
      </c>
    </row>
    <row r="3" spans="1:50" outlineLevel="1" x14ac:dyDescent="0.25">
      <c r="A3" s="612" t="s">
        <v>1674</v>
      </c>
      <c r="B3" s="786">
        <v>10100</v>
      </c>
      <c r="C3" s="612" t="s">
        <v>2864</v>
      </c>
      <c r="D3" s="612" t="s">
        <v>5047</v>
      </c>
      <c r="E3" t="s">
        <v>5022</v>
      </c>
      <c r="F3" t="s">
        <v>5023</v>
      </c>
      <c r="G3" s="787">
        <v>2360.96</v>
      </c>
      <c r="H3" s="787"/>
      <c r="I3" s="787">
        <v>2360.96</v>
      </c>
      <c r="J3" t="s">
        <v>2701</v>
      </c>
      <c r="K3" s="611">
        <v>8400</v>
      </c>
      <c r="L3" t="s">
        <v>2552</v>
      </c>
      <c r="M3" s="614"/>
      <c r="N3" s="788">
        <v>16</v>
      </c>
      <c r="O3" s="612" t="s">
        <v>1674</v>
      </c>
      <c r="P3" s="612" t="s">
        <v>1674</v>
      </c>
      <c r="Q3" s="612" t="s">
        <v>2868</v>
      </c>
      <c r="R3" s="612" t="s">
        <v>2622</v>
      </c>
      <c r="S3" s="612" t="s">
        <v>1674</v>
      </c>
      <c r="T3" s="789">
        <v>19</v>
      </c>
      <c r="U3" s="612" t="s">
        <v>4900</v>
      </c>
      <c r="V3" s="611">
        <v>1128</v>
      </c>
      <c r="W3" s="614"/>
      <c r="Y3" s="612" t="s">
        <v>1674</v>
      </c>
      <c r="AA3" s="612" t="s">
        <v>1674</v>
      </c>
      <c r="AE3" s="790"/>
      <c r="AF3" s="612" t="s">
        <v>1674</v>
      </c>
      <c r="AG3" s="612" t="s">
        <v>1674</v>
      </c>
      <c r="AH3" s="612" t="s">
        <v>1674</v>
      </c>
      <c r="AI3" s="612" t="s">
        <v>1674</v>
      </c>
      <c r="AJ3" s="612" t="s">
        <v>1674</v>
      </c>
      <c r="AK3" s="612" t="s">
        <v>1674</v>
      </c>
      <c r="AL3" s="612" t="s">
        <v>1674</v>
      </c>
      <c r="AM3" s="612" t="s">
        <v>2864</v>
      </c>
      <c r="AN3" s="612" t="s">
        <v>1674</v>
      </c>
      <c r="AP3">
        <f t="shared" ref="AP3:AP66" si="0">IF(F3="",0,$AO$2-F3)</f>
        <v>-16</v>
      </c>
      <c r="AQ3" s="552">
        <f>IF(J3="S",+I3,-I3)</f>
        <v>2360.96</v>
      </c>
      <c r="AS3" s="791" t="s">
        <v>503</v>
      </c>
      <c r="AT3" s="623">
        <f>SUMIFS($AQ$3:$AQ$532,$AP$3:$AP$532,"&lt;=0")</f>
        <v>398235.54000000015</v>
      </c>
      <c r="AV3" t="s">
        <v>5048</v>
      </c>
      <c r="AW3" s="623">
        <f>NA_TWC!$I$10*1000</f>
        <v>1415654.21</v>
      </c>
    </row>
    <row r="4" spans="1:50" outlineLevel="1" x14ac:dyDescent="0.25">
      <c r="A4" s="612" t="s">
        <v>1674</v>
      </c>
      <c r="B4" s="786">
        <v>0</v>
      </c>
      <c r="C4" s="612" t="s">
        <v>1674</v>
      </c>
      <c r="D4" s="612" t="s">
        <v>5049</v>
      </c>
      <c r="E4" t="s">
        <v>4915</v>
      </c>
      <c r="F4" t="s">
        <v>4916</v>
      </c>
      <c r="G4" s="787">
        <v>487.9</v>
      </c>
      <c r="H4" s="787"/>
      <c r="I4" s="787">
        <v>487.9</v>
      </c>
      <c r="J4" t="s">
        <v>2701</v>
      </c>
      <c r="K4" s="611">
        <v>8400</v>
      </c>
      <c r="L4" t="s">
        <v>806</v>
      </c>
      <c r="M4" s="614"/>
      <c r="N4" s="788">
        <v>18</v>
      </c>
      <c r="O4" s="612" t="s">
        <v>1674</v>
      </c>
      <c r="P4" s="612" t="s">
        <v>1674</v>
      </c>
      <c r="Q4" s="612" t="s">
        <v>2868</v>
      </c>
      <c r="R4" s="612" t="s">
        <v>2622</v>
      </c>
      <c r="S4" s="612" t="s">
        <v>1674</v>
      </c>
      <c r="T4" s="789">
        <v>19</v>
      </c>
      <c r="U4" s="612" t="s">
        <v>4900</v>
      </c>
      <c r="V4" s="611">
        <v>1371</v>
      </c>
      <c r="W4" s="614"/>
      <c r="Y4" s="612" t="s">
        <v>1674</v>
      </c>
      <c r="AA4" s="612" t="s">
        <v>1674</v>
      </c>
      <c r="AE4" s="790"/>
      <c r="AF4" s="612" t="s">
        <v>1674</v>
      </c>
      <c r="AG4" s="612" t="s">
        <v>1674</v>
      </c>
      <c r="AH4" s="612" t="s">
        <v>1674</v>
      </c>
      <c r="AI4" s="612" t="s">
        <v>1674</v>
      </c>
      <c r="AJ4" s="612" t="s">
        <v>1674</v>
      </c>
      <c r="AK4" s="612" t="s">
        <v>1674</v>
      </c>
      <c r="AL4" s="612" t="s">
        <v>1674</v>
      </c>
      <c r="AM4" s="612" t="s">
        <v>1674</v>
      </c>
      <c r="AN4" s="612" t="s">
        <v>1674</v>
      </c>
      <c r="AP4">
        <f t="shared" si="0"/>
        <v>-18</v>
      </c>
      <c r="AQ4" s="552">
        <f t="shared" ref="AQ4:AQ67" si="1">IF(J4="S",+I4,-I4)</f>
        <v>487.9</v>
      </c>
      <c r="AS4" s="791" t="s">
        <v>4901</v>
      </c>
      <c r="AT4" s="623">
        <f>SUMIFS($AQ$3:$AQ$532,$AP$3:$AP$532,"&gt;0",$AP$3:$AP$532,"&lt;=30")</f>
        <v>365224.97000000003</v>
      </c>
      <c r="AV4" t="s">
        <v>4902</v>
      </c>
      <c r="AW4" s="623">
        <f>AW2-AW3</f>
        <v>13349.999999999767</v>
      </c>
      <c r="AX4" s="792" t="s">
        <v>4903</v>
      </c>
    </row>
    <row r="5" spans="1:50" outlineLevel="1" x14ac:dyDescent="0.25">
      <c r="A5" s="612" t="s">
        <v>1674</v>
      </c>
      <c r="B5" s="786">
        <v>0</v>
      </c>
      <c r="C5" s="612" t="s">
        <v>1674</v>
      </c>
      <c r="D5" s="612" t="s">
        <v>5050</v>
      </c>
      <c r="E5" t="s">
        <v>5051</v>
      </c>
      <c r="F5" t="s">
        <v>4975</v>
      </c>
      <c r="G5" s="787">
        <v>340.65</v>
      </c>
      <c r="H5" s="787"/>
      <c r="I5" s="787">
        <v>340.65</v>
      </c>
      <c r="J5" t="s">
        <v>2701</v>
      </c>
      <c r="K5" s="611">
        <v>8402</v>
      </c>
      <c r="L5" t="s">
        <v>806</v>
      </c>
      <c r="M5" s="614"/>
      <c r="N5" s="788">
        <v>-5</v>
      </c>
      <c r="O5" s="612" t="s">
        <v>1674</v>
      </c>
      <c r="P5" s="612" t="s">
        <v>1674</v>
      </c>
      <c r="Q5" s="612" t="s">
        <v>5052</v>
      </c>
      <c r="R5" s="612" t="s">
        <v>1674</v>
      </c>
      <c r="S5" s="612" t="s">
        <v>1674</v>
      </c>
      <c r="T5" s="789">
        <v>19</v>
      </c>
      <c r="U5" s="612" t="s">
        <v>5010</v>
      </c>
      <c r="V5" s="611">
        <v>1590</v>
      </c>
      <c r="W5" s="614"/>
      <c r="Y5" s="612" t="s">
        <v>1674</v>
      </c>
      <c r="AA5" s="612" t="s">
        <v>1674</v>
      </c>
      <c r="AE5" s="790"/>
      <c r="AF5" s="612" t="s">
        <v>1674</v>
      </c>
      <c r="AG5" s="612" t="s">
        <v>1674</v>
      </c>
      <c r="AH5" s="612" t="s">
        <v>1674</v>
      </c>
      <c r="AI5" s="612" t="s">
        <v>1674</v>
      </c>
      <c r="AJ5" s="612" t="s">
        <v>1674</v>
      </c>
      <c r="AK5" s="612" t="s">
        <v>1674</v>
      </c>
      <c r="AL5" s="612" t="s">
        <v>1674</v>
      </c>
      <c r="AM5" s="612" t="s">
        <v>1674</v>
      </c>
      <c r="AN5" s="612" t="s">
        <v>1674</v>
      </c>
      <c r="AP5">
        <f t="shared" si="0"/>
        <v>5</v>
      </c>
      <c r="AQ5" s="552">
        <f t="shared" si="1"/>
        <v>340.65</v>
      </c>
      <c r="AS5" s="791" t="s">
        <v>4907</v>
      </c>
      <c r="AT5" s="623">
        <f>SUMIFS($AQ$3:$AQ$532,$AP$3:$AP$532,"&gt;30",$AP$3:$AP$532,"&lt;=60")</f>
        <v>172121.72</v>
      </c>
    </row>
    <row r="6" spans="1:50" outlineLevel="1" x14ac:dyDescent="0.25">
      <c r="A6" s="612" t="s">
        <v>1674</v>
      </c>
      <c r="B6" s="786">
        <v>10103</v>
      </c>
      <c r="C6" s="612" t="s">
        <v>3182</v>
      </c>
      <c r="D6" s="612" t="s">
        <v>5053</v>
      </c>
      <c r="E6" t="s">
        <v>4915</v>
      </c>
      <c r="F6" t="s">
        <v>4916</v>
      </c>
      <c r="G6" s="787">
        <v>94.72</v>
      </c>
      <c r="H6" s="787"/>
      <c r="I6" s="787">
        <v>94.72</v>
      </c>
      <c r="J6" t="s">
        <v>2701</v>
      </c>
      <c r="K6" s="611">
        <v>8400</v>
      </c>
      <c r="L6" t="s">
        <v>2552</v>
      </c>
      <c r="M6" s="614"/>
      <c r="N6" s="788">
        <v>18</v>
      </c>
      <c r="O6" s="612" t="s">
        <v>1674</v>
      </c>
      <c r="P6" s="612" t="s">
        <v>1674</v>
      </c>
      <c r="Q6" s="612" t="s">
        <v>3184</v>
      </c>
      <c r="R6" s="612" t="s">
        <v>2622</v>
      </c>
      <c r="S6" s="612" t="s">
        <v>1674</v>
      </c>
      <c r="T6" s="789">
        <v>19</v>
      </c>
      <c r="U6" s="612" t="s">
        <v>4900</v>
      </c>
      <c r="V6" s="611">
        <v>1360</v>
      </c>
      <c r="W6" s="614"/>
      <c r="Y6" s="612" t="s">
        <v>1674</v>
      </c>
      <c r="AA6" s="612" t="s">
        <v>1674</v>
      </c>
      <c r="AE6" s="790"/>
      <c r="AF6" s="612" t="s">
        <v>1674</v>
      </c>
      <c r="AG6" s="612" t="s">
        <v>1674</v>
      </c>
      <c r="AH6" s="612" t="s">
        <v>1674</v>
      </c>
      <c r="AI6" s="612" t="s">
        <v>1674</v>
      </c>
      <c r="AJ6" s="612" t="s">
        <v>1674</v>
      </c>
      <c r="AK6" s="612" t="s">
        <v>1674</v>
      </c>
      <c r="AL6" s="612" t="s">
        <v>1674</v>
      </c>
      <c r="AM6" s="612" t="s">
        <v>3185</v>
      </c>
      <c r="AN6" s="612" t="s">
        <v>1674</v>
      </c>
      <c r="AP6">
        <f t="shared" si="0"/>
        <v>-18</v>
      </c>
      <c r="AQ6" s="552">
        <f t="shared" si="1"/>
        <v>94.72</v>
      </c>
      <c r="AS6" s="791" t="s">
        <v>4909</v>
      </c>
      <c r="AT6" s="623">
        <f>SUMIFS($AQ$3:$AQ$532,$AP$3:$AP$532,"&gt;60",$AP$3:$AP$532,"&lt;=90")</f>
        <v>63454.19000000001</v>
      </c>
    </row>
    <row r="7" spans="1:50" outlineLevel="1" x14ac:dyDescent="0.25">
      <c r="A7" s="612" t="s">
        <v>1674</v>
      </c>
      <c r="B7" s="786">
        <v>10109</v>
      </c>
      <c r="C7" s="612" t="s">
        <v>3678</v>
      </c>
      <c r="D7" s="612" t="s">
        <v>5054</v>
      </c>
      <c r="E7" t="s">
        <v>5022</v>
      </c>
      <c r="F7" t="s">
        <v>5023</v>
      </c>
      <c r="G7" s="787">
        <v>77.95</v>
      </c>
      <c r="H7" s="787"/>
      <c r="I7" s="787">
        <v>77.95</v>
      </c>
      <c r="J7" t="s">
        <v>2701</v>
      </c>
      <c r="K7" s="611">
        <v>8401</v>
      </c>
      <c r="L7" t="s">
        <v>2552</v>
      </c>
      <c r="M7" s="614"/>
      <c r="N7" s="788">
        <v>16</v>
      </c>
      <c r="O7" s="612" t="s">
        <v>1674</v>
      </c>
      <c r="P7" s="612" t="s">
        <v>1674</v>
      </c>
      <c r="Q7" s="612" t="s">
        <v>3681</v>
      </c>
      <c r="R7" s="612" t="s">
        <v>1674</v>
      </c>
      <c r="S7" s="612" t="s">
        <v>1674</v>
      </c>
      <c r="T7" s="789">
        <v>19</v>
      </c>
      <c r="U7" s="612" t="s">
        <v>4900</v>
      </c>
      <c r="V7" s="611">
        <v>1090</v>
      </c>
      <c r="W7" s="614"/>
      <c r="Y7" s="612" t="s">
        <v>1674</v>
      </c>
      <c r="AA7" s="612" t="s">
        <v>1674</v>
      </c>
      <c r="AE7" s="790"/>
      <c r="AF7" s="612" t="s">
        <v>1674</v>
      </c>
      <c r="AG7" s="612" t="s">
        <v>1674</v>
      </c>
      <c r="AH7" s="612" t="s">
        <v>1674</v>
      </c>
      <c r="AI7" s="612" t="s">
        <v>1674</v>
      </c>
      <c r="AJ7" s="612" t="s">
        <v>1674</v>
      </c>
      <c r="AK7" s="612" t="s">
        <v>1674</v>
      </c>
      <c r="AL7" s="612" t="s">
        <v>1674</v>
      </c>
      <c r="AM7" s="612" t="s">
        <v>3682</v>
      </c>
      <c r="AN7" s="612" t="s">
        <v>1674</v>
      </c>
      <c r="AP7">
        <f t="shared" si="0"/>
        <v>-16</v>
      </c>
      <c r="AQ7" s="552">
        <f t="shared" si="1"/>
        <v>77.95</v>
      </c>
      <c r="AS7" s="793" t="s">
        <v>4913</v>
      </c>
      <c r="AT7" s="794">
        <f>SUMIFS($AQ$3:$AQ$532,$AP$3:$AP$532,"&gt;90")</f>
        <v>429967.78999999992</v>
      </c>
    </row>
    <row r="8" spans="1:50" outlineLevel="1" x14ac:dyDescent="0.25">
      <c r="A8" s="612" t="s">
        <v>1674</v>
      </c>
      <c r="B8" s="786">
        <v>0</v>
      </c>
      <c r="C8" s="612" t="s">
        <v>1674</v>
      </c>
      <c r="D8" s="612" t="s">
        <v>5055</v>
      </c>
      <c r="E8" t="s">
        <v>4915</v>
      </c>
      <c r="F8" t="s">
        <v>4916</v>
      </c>
      <c r="G8" s="787">
        <v>184.15</v>
      </c>
      <c r="H8" s="787"/>
      <c r="I8" s="787">
        <v>184.15</v>
      </c>
      <c r="J8" t="s">
        <v>2701</v>
      </c>
      <c r="K8" s="611">
        <v>8401</v>
      </c>
      <c r="L8" t="s">
        <v>2552</v>
      </c>
      <c r="M8" s="614"/>
      <c r="N8" s="788">
        <v>18</v>
      </c>
      <c r="O8" s="612" t="s">
        <v>1674</v>
      </c>
      <c r="P8" s="612" t="s">
        <v>1674</v>
      </c>
      <c r="Q8" s="612" t="s">
        <v>3681</v>
      </c>
      <c r="R8" s="612" t="s">
        <v>1674</v>
      </c>
      <c r="S8" s="612" t="s">
        <v>1674</v>
      </c>
      <c r="T8" s="789">
        <v>19</v>
      </c>
      <c r="U8" s="612" t="s">
        <v>4900</v>
      </c>
      <c r="V8" s="611">
        <v>1365</v>
      </c>
      <c r="W8" s="614"/>
      <c r="Y8" s="612" t="s">
        <v>1674</v>
      </c>
      <c r="AA8" s="612" t="s">
        <v>1674</v>
      </c>
      <c r="AE8" s="790"/>
      <c r="AF8" s="612" t="s">
        <v>1674</v>
      </c>
      <c r="AG8" s="612" t="s">
        <v>1674</v>
      </c>
      <c r="AH8" s="612" t="s">
        <v>1674</v>
      </c>
      <c r="AI8" s="612" t="s">
        <v>1674</v>
      </c>
      <c r="AJ8" s="612" t="s">
        <v>1674</v>
      </c>
      <c r="AK8" s="612" t="s">
        <v>1674</v>
      </c>
      <c r="AL8" s="612" t="s">
        <v>1674</v>
      </c>
      <c r="AM8" s="612" t="s">
        <v>1674</v>
      </c>
      <c r="AN8" s="612" t="s">
        <v>1674</v>
      </c>
      <c r="AP8">
        <f t="shared" si="0"/>
        <v>-18</v>
      </c>
      <c r="AQ8" s="552">
        <f t="shared" si="1"/>
        <v>184.15</v>
      </c>
      <c r="AS8" s="795" t="s">
        <v>640</v>
      </c>
      <c r="AT8" s="796">
        <f>SUM(AT3:AT7)</f>
        <v>1429004.2100000002</v>
      </c>
    </row>
    <row r="9" spans="1:50" outlineLevel="1" x14ac:dyDescent="0.25">
      <c r="A9" s="612" t="s">
        <v>1674</v>
      </c>
      <c r="B9" s="786">
        <v>10200</v>
      </c>
      <c r="C9" s="612" t="s">
        <v>2774</v>
      </c>
      <c r="D9" s="612" t="s">
        <v>5056</v>
      </c>
      <c r="E9" t="s">
        <v>5051</v>
      </c>
      <c r="G9" s="787"/>
      <c r="H9" s="787">
        <v>29378</v>
      </c>
      <c r="I9" s="787">
        <v>29378</v>
      </c>
      <c r="J9" t="s">
        <v>2584</v>
      </c>
      <c r="K9" s="611">
        <v>1200</v>
      </c>
      <c r="L9" t="s">
        <v>806</v>
      </c>
      <c r="M9" s="614"/>
      <c r="N9" s="788"/>
      <c r="O9" s="612" t="s">
        <v>1674</v>
      </c>
      <c r="P9" s="612" t="s">
        <v>1674</v>
      </c>
      <c r="Q9" s="612" t="s">
        <v>5057</v>
      </c>
      <c r="R9" s="612" t="s">
        <v>1674</v>
      </c>
      <c r="S9" s="612" t="s">
        <v>1674</v>
      </c>
      <c r="T9" s="789"/>
      <c r="U9" s="612" t="s">
        <v>4894</v>
      </c>
      <c r="V9" s="611">
        <v>45</v>
      </c>
      <c r="W9" s="614"/>
      <c r="Y9" s="612" t="s">
        <v>1674</v>
      </c>
      <c r="AA9" s="612" t="s">
        <v>1674</v>
      </c>
      <c r="AE9" s="790"/>
      <c r="AF9" s="612" t="s">
        <v>1674</v>
      </c>
      <c r="AG9" s="612" t="s">
        <v>1674</v>
      </c>
      <c r="AH9" s="612" t="s">
        <v>1674</v>
      </c>
      <c r="AI9" s="612" t="s">
        <v>1674</v>
      </c>
      <c r="AJ9" s="612" t="s">
        <v>1674</v>
      </c>
      <c r="AK9" s="612" t="s">
        <v>1674</v>
      </c>
      <c r="AL9" s="612" t="s">
        <v>1674</v>
      </c>
      <c r="AM9" s="612" t="s">
        <v>2774</v>
      </c>
      <c r="AN9" s="612" t="s">
        <v>1674</v>
      </c>
      <c r="AP9">
        <f t="shared" si="0"/>
        <v>0</v>
      </c>
      <c r="AQ9" s="552">
        <f t="shared" si="1"/>
        <v>-29378</v>
      </c>
    </row>
    <row r="10" spans="1:50" outlineLevel="1" x14ac:dyDescent="0.25">
      <c r="A10" s="612" t="s">
        <v>1674</v>
      </c>
      <c r="B10" s="786">
        <v>0</v>
      </c>
      <c r="C10" s="612" t="s">
        <v>1674</v>
      </c>
      <c r="D10" s="612" t="s">
        <v>2775</v>
      </c>
      <c r="E10" t="s">
        <v>2683</v>
      </c>
      <c r="F10" t="s">
        <v>2686</v>
      </c>
      <c r="G10" s="787">
        <v>3534.3</v>
      </c>
      <c r="H10" s="787"/>
      <c r="I10" s="787">
        <v>3534.3</v>
      </c>
      <c r="J10" t="s">
        <v>2701</v>
      </c>
      <c r="K10" s="611" t="s">
        <v>4945</v>
      </c>
      <c r="L10" t="s">
        <v>2552</v>
      </c>
      <c r="M10" s="614"/>
      <c r="N10" s="788">
        <v>-488</v>
      </c>
      <c r="O10" s="612" t="s">
        <v>1674</v>
      </c>
      <c r="P10" s="612" t="s">
        <v>1674</v>
      </c>
      <c r="Q10" s="612" t="s">
        <v>2776</v>
      </c>
      <c r="R10" s="612" t="s">
        <v>2617</v>
      </c>
      <c r="S10" s="612" t="s">
        <v>1674</v>
      </c>
      <c r="T10" s="789">
        <v>19</v>
      </c>
      <c r="U10" s="612" t="s">
        <v>2685</v>
      </c>
      <c r="V10" s="611">
        <v>1641</v>
      </c>
      <c r="W10" s="614"/>
      <c r="Y10" s="612" t="s">
        <v>1674</v>
      </c>
      <c r="AA10" s="612" t="s">
        <v>1674</v>
      </c>
      <c r="AE10" s="790"/>
      <c r="AF10" s="612" t="s">
        <v>1674</v>
      </c>
      <c r="AG10" s="612" t="s">
        <v>1674</v>
      </c>
      <c r="AH10" s="612" t="s">
        <v>1674</v>
      </c>
      <c r="AI10" s="612" t="s">
        <v>1674</v>
      </c>
      <c r="AJ10" s="612" t="s">
        <v>1674</v>
      </c>
      <c r="AK10" s="612" t="s">
        <v>1674</v>
      </c>
      <c r="AL10" s="612" t="s">
        <v>1674</v>
      </c>
      <c r="AM10" s="612" t="s">
        <v>1674</v>
      </c>
      <c r="AN10" s="612" t="s">
        <v>1674</v>
      </c>
      <c r="AP10">
        <f t="shared" si="0"/>
        <v>488</v>
      </c>
      <c r="AQ10" s="552">
        <f t="shared" si="1"/>
        <v>3534.3</v>
      </c>
    </row>
    <row r="11" spans="1:50" outlineLevel="1" x14ac:dyDescent="0.25">
      <c r="A11" s="612" t="s">
        <v>1674</v>
      </c>
      <c r="B11" s="786">
        <v>0</v>
      </c>
      <c r="C11" s="612" t="s">
        <v>1674</v>
      </c>
      <c r="D11" s="612" t="s">
        <v>3585</v>
      </c>
      <c r="E11" t="s">
        <v>3586</v>
      </c>
      <c r="F11" t="s">
        <v>3587</v>
      </c>
      <c r="G11" s="787">
        <v>2991.66</v>
      </c>
      <c r="H11" s="787"/>
      <c r="I11" s="787">
        <v>2991.66</v>
      </c>
      <c r="J11" t="s">
        <v>2701</v>
      </c>
      <c r="K11" s="611" t="s">
        <v>4945</v>
      </c>
      <c r="L11" t="s">
        <v>2552</v>
      </c>
      <c r="M11" s="614"/>
      <c r="N11" s="788">
        <v>-133</v>
      </c>
      <c r="O11" s="612" t="s">
        <v>1674</v>
      </c>
      <c r="P11" s="612" t="s">
        <v>1674</v>
      </c>
      <c r="Q11" s="612" t="s">
        <v>3588</v>
      </c>
      <c r="R11" s="612" t="s">
        <v>2617</v>
      </c>
      <c r="S11" s="612" t="s">
        <v>1674</v>
      </c>
      <c r="T11" s="789">
        <v>19</v>
      </c>
      <c r="U11" s="612" t="s">
        <v>3320</v>
      </c>
      <c r="V11" s="611">
        <v>1196</v>
      </c>
      <c r="W11" s="614"/>
      <c r="Y11" s="612" t="s">
        <v>1674</v>
      </c>
      <c r="AA11" s="612" t="s">
        <v>1674</v>
      </c>
      <c r="AE11" s="790"/>
      <c r="AF11" s="612" t="s">
        <v>1674</v>
      </c>
      <c r="AG11" s="612" t="s">
        <v>1674</v>
      </c>
      <c r="AH11" s="612" t="s">
        <v>1674</v>
      </c>
      <c r="AI11" s="612" t="s">
        <v>1674</v>
      </c>
      <c r="AJ11" s="612" t="s">
        <v>1674</v>
      </c>
      <c r="AK11" s="612" t="s">
        <v>1674</v>
      </c>
      <c r="AL11" s="612" t="s">
        <v>1674</v>
      </c>
      <c r="AM11" s="612" t="s">
        <v>1674</v>
      </c>
      <c r="AN11" s="612" t="s">
        <v>1674</v>
      </c>
      <c r="AP11">
        <f t="shared" si="0"/>
        <v>133</v>
      </c>
      <c r="AQ11" s="552">
        <f t="shared" si="1"/>
        <v>2991.66</v>
      </c>
    </row>
    <row r="12" spans="1:50" outlineLevel="1" x14ac:dyDescent="0.25">
      <c r="A12" s="612" t="s">
        <v>1674</v>
      </c>
      <c r="B12" s="786">
        <v>0</v>
      </c>
      <c r="C12" s="612" t="s">
        <v>1674</v>
      </c>
      <c r="D12" s="612" t="s">
        <v>3664</v>
      </c>
      <c r="E12" t="s">
        <v>3665</v>
      </c>
      <c r="F12" t="s">
        <v>3666</v>
      </c>
      <c r="G12" s="787">
        <v>9267.7199999999993</v>
      </c>
      <c r="H12" s="787"/>
      <c r="I12" s="787">
        <v>9267.7199999999993</v>
      </c>
      <c r="J12" t="s">
        <v>2701</v>
      </c>
      <c r="K12" s="611" t="s">
        <v>4945</v>
      </c>
      <c r="L12" t="s">
        <v>2552</v>
      </c>
      <c r="M12" s="614"/>
      <c r="N12" s="788">
        <v>-90</v>
      </c>
      <c r="O12" s="612" t="s">
        <v>1674</v>
      </c>
      <c r="P12" s="612" t="s">
        <v>1674</v>
      </c>
      <c r="Q12" s="612" t="s">
        <v>3588</v>
      </c>
      <c r="R12" s="612" t="s">
        <v>2617</v>
      </c>
      <c r="S12" s="612" t="s">
        <v>1674</v>
      </c>
      <c r="T12" s="789">
        <v>19</v>
      </c>
      <c r="U12" s="612" t="s">
        <v>3328</v>
      </c>
      <c r="V12" s="611">
        <v>185</v>
      </c>
      <c r="W12" s="614"/>
      <c r="Y12" s="612" t="s">
        <v>1674</v>
      </c>
      <c r="AA12" s="612" t="s">
        <v>1674</v>
      </c>
      <c r="AE12" s="790"/>
      <c r="AF12" s="612" t="s">
        <v>1674</v>
      </c>
      <c r="AG12" s="612" t="s">
        <v>1674</v>
      </c>
      <c r="AH12" s="612" t="s">
        <v>1674</v>
      </c>
      <c r="AI12" s="612" t="s">
        <v>1674</v>
      </c>
      <c r="AJ12" s="612" t="s">
        <v>1674</v>
      </c>
      <c r="AK12" s="612" t="s">
        <v>1674</v>
      </c>
      <c r="AL12" s="612" t="s">
        <v>1674</v>
      </c>
      <c r="AM12" s="612" t="s">
        <v>1674</v>
      </c>
      <c r="AN12" s="612" t="s">
        <v>1674</v>
      </c>
      <c r="AP12">
        <f t="shared" si="0"/>
        <v>90</v>
      </c>
      <c r="AQ12" s="552">
        <f t="shared" si="1"/>
        <v>9267.7199999999993</v>
      </c>
    </row>
    <row r="13" spans="1:50" outlineLevel="1" x14ac:dyDescent="0.25">
      <c r="A13" s="612" t="s">
        <v>1674</v>
      </c>
      <c r="B13" s="786">
        <v>0</v>
      </c>
      <c r="C13" s="612" t="s">
        <v>1674</v>
      </c>
      <c r="D13" s="612" t="s">
        <v>5058</v>
      </c>
      <c r="E13" t="s">
        <v>3705</v>
      </c>
      <c r="F13" t="s">
        <v>5059</v>
      </c>
      <c r="G13" s="787">
        <v>9267.7199999999993</v>
      </c>
      <c r="H13" s="787"/>
      <c r="I13" s="787">
        <v>9267.7199999999993</v>
      </c>
      <c r="J13" t="s">
        <v>2701</v>
      </c>
      <c r="K13" s="611" t="s">
        <v>4945</v>
      </c>
      <c r="L13" t="s">
        <v>2552</v>
      </c>
      <c r="M13" s="614"/>
      <c r="N13" s="788">
        <v>-52</v>
      </c>
      <c r="O13" s="612" t="s">
        <v>1674</v>
      </c>
      <c r="P13" s="612" t="s">
        <v>1674</v>
      </c>
      <c r="Q13" s="612" t="s">
        <v>3588</v>
      </c>
      <c r="R13" s="612" t="s">
        <v>2617</v>
      </c>
      <c r="S13" s="612" t="s">
        <v>1674</v>
      </c>
      <c r="T13" s="789">
        <v>19</v>
      </c>
      <c r="U13" s="612" t="s">
        <v>5002</v>
      </c>
      <c r="V13" s="611">
        <v>619</v>
      </c>
      <c r="W13" s="614"/>
      <c r="Y13" s="612" t="s">
        <v>1674</v>
      </c>
      <c r="AA13" s="612" t="s">
        <v>1674</v>
      </c>
      <c r="AE13" s="790"/>
      <c r="AF13" s="612" t="s">
        <v>1674</v>
      </c>
      <c r="AG13" s="612" t="s">
        <v>1674</v>
      </c>
      <c r="AH13" s="612" t="s">
        <v>1674</v>
      </c>
      <c r="AI13" s="612" t="s">
        <v>1674</v>
      </c>
      <c r="AJ13" s="612" t="s">
        <v>1674</v>
      </c>
      <c r="AK13" s="612" t="s">
        <v>1674</v>
      </c>
      <c r="AL13" s="612" t="s">
        <v>1674</v>
      </c>
      <c r="AM13" s="612" t="s">
        <v>1674</v>
      </c>
      <c r="AN13" s="612" t="s">
        <v>1674</v>
      </c>
      <c r="AP13">
        <f t="shared" si="0"/>
        <v>52</v>
      </c>
      <c r="AQ13" s="552">
        <f t="shared" si="1"/>
        <v>9267.7199999999993</v>
      </c>
    </row>
    <row r="14" spans="1:50" outlineLevel="1" x14ac:dyDescent="0.25">
      <c r="A14" s="612" t="s">
        <v>1674</v>
      </c>
      <c r="B14" s="786">
        <v>0</v>
      </c>
      <c r="C14" s="612" t="s">
        <v>1674</v>
      </c>
      <c r="D14" s="612" t="s">
        <v>5060</v>
      </c>
      <c r="E14" t="s">
        <v>3784</v>
      </c>
      <c r="F14" t="s">
        <v>5061</v>
      </c>
      <c r="G14" s="787">
        <v>4248.3</v>
      </c>
      <c r="H14" s="787"/>
      <c r="I14" s="787">
        <v>4248.3</v>
      </c>
      <c r="J14" t="s">
        <v>2701</v>
      </c>
      <c r="K14" s="611" t="s">
        <v>4945</v>
      </c>
      <c r="L14" t="s">
        <v>2552</v>
      </c>
      <c r="M14" s="614"/>
      <c r="N14" s="788">
        <v>-39</v>
      </c>
      <c r="O14" s="612" t="s">
        <v>1674</v>
      </c>
      <c r="P14" s="612" t="s">
        <v>1674</v>
      </c>
      <c r="Q14" s="612" t="s">
        <v>3903</v>
      </c>
      <c r="R14" s="612" t="s">
        <v>2617</v>
      </c>
      <c r="S14" s="612" t="s">
        <v>1674</v>
      </c>
      <c r="T14" s="789">
        <v>19</v>
      </c>
      <c r="U14" s="612" t="s">
        <v>5002</v>
      </c>
      <c r="V14" s="611">
        <v>1221</v>
      </c>
      <c r="W14" s="614"/>
      <c r="Y14" s="612" t="s">
        <v>1674</v>
      </c>
      <c r="AA14" s="612" t="s">
        <v>1674</v>
      </c>
      <c r="AE14" s="790"/>
      <c r="AF14" s="612" t="s">
        <v>1674</v>
      </c>
      <c r="AG14" s="612" t="s">
        <v>1674</v>
      </c>
      <c r="AH14" s="612" t="s">
        <v>1674</v>
      </c>
      <c r="AI14" s="612" t="s">
        <v>1674</v>
      </c>
      <c r="AJ14" s="612" t="s">
        <v>1674</v>
      </c>
      <c r="AK14" s="612" t="s">
        <v>1674</v>
      </c>
      <c r="AL14" s="612" t="s">
        <v>1674</v>
      </c>
      <c r="AM14" s="612" t="s">
        <v>1674</v>
      </c>
      <c r="AN14" s="612" t="s">
        <v>1674</v>
      </c>
      <c r="AP14">
        <f t="shared" si="0"/>
        <v>39</v>
      </c>
      <c r="AQ14" s="552">
        <f t="shared" si="1"/>
        <v>4248.3</v>
      </c>
    </row>
    <row r="15" spans="1:50" outlineLevel="1" x14ac:dyDescent="0.25">
      <c r="A15" s="612" t="s">
        <v>1674</v>
      </c>
      <c r="B15" s="786">
        <v>0</v>
      </c>
      <c r="C15" s="612" t="s">
        <v>1674</v>
      </c>
      <c r="D15" s="612" t="s">
        <v>5062</v>
      </c>
      <c r="E15" t="s">
        <v>5007</v>
      </c>
      <c r="F15" t="s">
        <v>4995</v>
      </c>
      <c r="G15" s="787">
        <v>4633.8599999999997</v>
      </c>
      <c r="H15" s="787"/>
      <c r="I15" s="787">
        <v>4633.8599999999997</v>
      </c>
      <c r="J15" t="s">
        <v>2701</v>
      </c>
      <c r="K15" s="611" t="s">
        <v>4945</v>
      </c>
      <c r="L15" t="s">
        <v>2552</v>
      </c>
      <c r="M15" s="614"/>
      <c r="N15" s="788">
        <v>-31</v>
      </c>
      <c r="O15" s="612" t="s">
        <v>1674</v>
      </c>
      <c r="P15" s="612" t="s">
        <v>1674</v>
      </c>
      <c r="Q15" s="612" t="s">
        <v>3588</v>
      </c>
      <c r="R15" s="612" t="s">
        <v>2617</v>
      </c>
      <c r="S15" s="612" t="s">
        <v>1674</v>
      </c>
      <c r="T15" s="789">
        <v>19</v>
      </c>
      <c r="U15" s="612" t="s">
        <v>5002</v>
      </c>
      <c r="V15" s="611">
        <v>1736</v>
      </c>
      <c r="W15" s="614"/>
      <c r="Y15" s="612" t="s">
        <v>1674</v>
      </c>
      <c r="AA15" s="612" t="s">
        <v>1674</v>
      </c>
      <c r="AE15" s="790"/>
      <c r="AF15" s="612" t="s">
        <v>1674</v>
      </c>
      <c r="AG15" s="612" t="s">
        <v>1674</v>
      </c>
      <c r="AH15" s="612" t="s">
        <v>1674</v>
      </c>
      <c r="AI15" s="612" t="s">
        <v>1674</v>
      </c>
      <c r="AJ15" s="612" t="s">
        <v>1674</v>
      </c>
      <c r="AK15" s="612" t="s">
        <v>1674</v>
      </c>
      <c r="AL15" s="612" t="s">
        <v>1674</v>
      </c>
      <c r="AM15" s="612" t="s">
        <v>1674</v>
      </c>
      <c r="AN15" s="612" t="s">
        <v>1674</v>
      </c>
      <c r="AP15">
        <f t="shared" si="0"/>
        <v>31</v>
      </c>
      <c r="AQ15" s="552">
        <f t="shared" si="1"/>
        <v>4633.8599999999997</v>
      </c>
    </row>
    <row r="16" spans="1:50" outlineLevel="1" x14ac:dyDescent="0.25">
      <c r="A16" s="612" t="s">
        <v>1674</v>
      </c>
      <c r="B16" s="786">
        <v>0</v>
      </c>
      <c r="C16" s="612" t="s">
        <v>1674</v>
      </c>
      <c r="D16" s="612" t="s">
        <v>5063</v>
      </c>
      <c r="E16" t="s">
        <v>4283</v>
      </c>
      <c r="F16" t="s">
        <v>4922</v>
      </c>
      <c r="G16" s="787">
        <v>4633.8599999999997</v>
      </c>
      <c r="H16" s="787"/>
      <c r="I16" s="787">
        <v>4633.8599999999997</v>
      </c>
      <c r="J16" t="s">
        <v>2701</v>
      </c>
      <c r="K16" s="611" t="s">
        <v>4945</v>
      </c>
      <c r="L16" t="s">
        <v>2552</v>
      </c>
      <c r="M16" s="614"/>
      <c r="N16" s="788">
        <v>-24</v>
      </c>
      <c r="O16" s="612" t="s">
        <v>1674</v>
      </c>
      <c r="P16" s="612" t="s">
        <v>1674</v>
      </c>
      <c r="Q16" s="612" t="s">
        <v>3588</v>
      </c>
      <c r="R16" s="612" t="s">
        <v>2617</v>
      </c>
      <c r="S16" s="612" t="s">
        <v>1674</v>
      </c>
      <c r="T16" s="789">
        <v>19</v>
      </c>
      <c r="U16" s="612" t="s">
        <v>5010</v>
      </c>
      <c r="V16" s="611">
        <v>492</v>
      </c>
      <c r="W16" s="614"/>
      <c r="Y16" s="612" t="s">
        <v>1674</v>
      </c>
      <c r="AA16" s="612" t="s">
        <v>1674</v>
      </c>
      <c r="AE16" s="790"/>
      <c r="AF16" s="612" t="s">
        <v>1674</v>
      </c>
      <c r="AG16" s="612" t="s">
        <v>1674</v>
      </c>
      <c r="AH16" s="612" t="s">
        <v>1674</v>
      </c>
      <c r="AI16" s="612" t="s">
        <v>1674</v>
      </c>
      <c r="AJ16" s="612" t="s">
        <v>1674</v>
      </c>
      <c r="AK16" s="612" t="s">
        <v>1674</v>
      </c>
      <c r="AL16" s="612" t="s">
        <v>1674</v>
      </c>
      <c r="AM16" s="612" t="s">
        <v>1674</v>
      </c>
      <c r="AN16" s="612" t="s">
        <v>1674</v>
      </c>
      <c r="AP16">
        <f t="shared" si="0"/>
        <v>24</v>
      </c>
      <c r="AQ16" s="552">
        <f t="shared" si="1"/>
        <v>4633.8599999999997</v>
      </c>
    </row>
    <row r="17" spans="1:43" outlineLevel="1" x14ac:dyDescent="0.25">
      <c r="A17" s="612" t="s">
        <v>1674</v>
      </c>
      <c r="B17" s="786">
        <v>0</v>
      </c>
      <c r="C17" s="612" t="s">
        <v>1674</v>
      </c>
      <c r="D17" s="612" t="s">
        <v>5064</v>
      </c>
      <c r="E17" t="s">
        <v>5065</v>
      </c>
      <c r="F17" t="s">
        <v>5066</v>
      </c>
      <c r="G17" s="787">
        <v>963.9</v>
      </c>
      <c r="H17" s="787"/>
      <c r="I17" s="787">
        <v>963.9</v>
      </c>
      <c r="J17" t="s">
        <v>2701</v>
      </c>
      <c r="K17" s="611">
        <v>8400</v>
      </c>
      <c r="L17" t="s">
        <v>806</v>
      </c>
      <c r="M17" s="614"/>
      <c r="N17" s="788">
        <v>-19</v>
      </c>
      <c r="O17" s="612" t="s">
        <v>1674</v>
      </c>
      <c r="P17" s="612" t="s">
        <v>1674</v>
      </c>
      <c r="Q17" s="612" t="s">
        <v>5067</v>
      </c>
      <c r="R17" s="612" t="s">
        <v>2617</v>
      </c>
      <c r="S17" s="612" t="s">
        <v>1674</v>
      </c>
      <c r="T17" s="789">
        <v>19</v>
      </c>
      <c r="U17" s="612" t="s">
        <v>5010</v>
      </c>
      <c r="V17" s="611">
        <v>703</v>
      </c>
      <c r="W17" s="614"/>
      <c r="Y17" s="612" t="s">
        <v>1674</v>
      </c>
      <c r="AA17" s="612" t="s">
        <v>1674</v>
      </c>
      <c r="AE17" s="790"/>
      <c r="AF17" s="612" t="s">
        <v>1674</v>
      </c>
      <c r="AG17" s="612" t="s">
        <v>1674</v>
      </c>
      <c r="AH17" s="612" t="s">
        <v>1674</v>
      </c>
      <c r="AI17" s="612" t="s">
        <v>1674</v>
      </c>
      <c r="AJ17" s="612" t="s">
        <v>1674</v>
      </c>
      <c r="AK17" s="612" t="s">
        <v>1674</v>
      </c>
      <c r="AL17" s="612" t="s">
        <v>1674</v>
      </c>
      <c r="AM17" s="612" t="s">
        <v>1674</v>
      </c>
      <c r="AN17" s="612" t="s">
        <v>1674</v>
      </c>
      <c r="AP17">
        <f t="shared" si="0"/>
        <v>19</v>
      </c>
      <c r="AQ17" s="552">
        <f t="shared" si="1"/>
        <v>963.9</v>
      </c>
    </row>
    <row r="18" spans="1:43" outlineLevel="1" x14ac:dyDescent="0.25">
      <c r="A18" s="612" t="s">
        <v>1674</v>
      </c>
      <c r="B18" s="786">
        <v>0</v>
      </c>
      <c r="C18" s="612" t="s">
        <v>1674</v>
      </c>
      <c r="D18" s="612" t="s">
        <v>5068</v>
      </c>
      <c r="E18" t="s">
        <v>5069</v>
      </c>
      <c r="F18" t="s">
        <v>5070</v>
      </c>
      <c r="G18" s="787">
        <v>4633.8599999999997</v>
      </c>
      <c r="H18" s="787"/>
      <c r="I18" s="787">
        <v>4633.8599999999997</v>
      </c>
      <c r="J18" t="s">
        <v>2701</v>
      </c>
      <c r="K18" s="611" t="s">
        <v>4945</v>
      </c>
      <c r="L18" t="s">
        <v>2552</v>
      </c>
      <c r="M18" s="614"/>
      <c r="N18" s="788">
        <v>-11</v>
      </c>
      <c r="O18" s="612" t="s">
        <v>1674</v>
      </c>
      <c r="P18" s="612" t="s">
        <v>1674</v>
      </c>
      <c r="Q18" s="612" t="s">
        <v>3588</v>
      </c>
      <c r="R18" s="612" t="s">
        <v>2617</v>
      </c>
      <c r="S18" s="612" t="s">
        <v>1674</v>
      </c>
      <c r="T18" s="789">
        <v>19</v>
      </c>
      <c r="U18" s="612" t="s">
        <v>5010</v>
      </c>
      <c r="V18" s="611">
        <v>1242</v>
      </c>
      <c r="W18" s="614"/>
      <c r="Y18" s="612" t="s">
        <v>1674</v>
      </c>
      <c r="AA18" s="612" t="s">
        <v>1674</v>
      </c>
      <c r="AE18" s="790"/>
      <c r="AF18" s="612" t="s">
        <v>1674</v>
      </c>
      <c r="AG18" s="612" t="s">
        <v>1674</v>
      </c>
      <c r="AH18" s="612" t="s">
        <v>1674</v>
      </c>
      <c r="AI18" s="612" t="s">
        <v>1674</v>
      </c>
      <c r="AJ18" s="612" t="s">
        <v>1674</v>
      </c>
      <c r="AK18" s="612" t="s">
        <v>1674</v>
      </c>
      <c r="AL18" s="612" t="s">
        <v>1674</v>
      </c>
      <c r="AM18" s="612" t="s">
        <v>1674</v>
      </c>
      <c r="AN18" s="612" t="s">
        <v>1674</v>
      </c>
      <c r="AP18">
        <f t="shared" si="0"/>
        <v>11</v>
      </c>
      <c r="AQ18" s="552">
        <f t="shared" si="1"/>
        <v>4633.8599999999997</v>
      </c>
    </row>
    <row r="19" spans="1:43" outlineLevel="1" x14ac:dyDescent="0.25">
      <c r="A19" s="612" t="s">
        <v>1674</v>
      </c>
      <c r="B19" s="786">
        <v>0</v>
      </c>
      <c r="C19" s="612" t="s">
        <v>1674</v>
      </c>
      <c r="D19" s="612" t="s">
        <v>5071</v>
      </c>
      <c r="E19" t="s">
        <v>4968</v>
      </c>
      <c r="F19" t="s">
        <v>4969</v>
      </c>
      <c r="G19" s="787">
        <v>9267.7199999999993</v>
      </c>
      <c r="H19" s="787"/>
      <c r="I19" s="787">
        <v>9267.7199999999993</v>
      </c>
      <c r="J19" t="s">
        <v>2701</v>
      </c>
      <c r="K19" s="611" t="s">
        <v>4945</v>
      </c>
      <c r="L19" t="s">
        <v>2552</v>
      </c>
      <c r="M19" s="614"/>
      <c r="N19" s="788">
        <v>1</v>
      </c>
      <c r="O19" s="612" t="s">
        <v>1674</v>
      </c>
      <c r="P19" s="612" t="s">
        <v>1674</v>
      </c>
      <c r="Q19" s="612" t="s">
        <v>3588</v>
      </c>
      <c r="R19" s="612" t="s">
        <v>2617</v>
      </c>
      <c r="S19" s="612" t="s">
        <v>1674</v>
      </c>
      <c r="T19" s="789">
        <v>19</v>
      </c>
      <c r="U19" s="612" t="s">
        <v>4900</v>
      </c>
      <c r="V19" s="611">
        <v>171</v>
      </c>
      <c r="W19" s="614"/>
      <c r="Y19" s="612" t="s">
        <v>1674</v>
      </c>
      <c r="AA19" s="612" t="s">
        <v>1674</v>
      </c>
      <c r="AE19" s="790"/>
      <c r="AF19" s="612" t="s">
        <v>1674</v>
      </c>
      <c r="AG19" s="612" t="s">
        <v>1674</v>
      </c>
      <c r="AH19" s="612" t="s">
        <v>1674</v>
      </c>
      <c r="AI19" s="612" t="s">
        <v>1674</v>
      </c>
      <c r="AJ19" s="612" t="s">
        <v>1674</v>
      </c>
      <c r="AK19" s="612" t="s">
        <v>1674</v>
      </c>
      <c r="AL19" s="612" t="s">
        <v>1674</v>
      </c>
      <c r="AM19" s="612" t="s">
        <v>1674</v>
      </c>
      <c r="AN19" s="612" t="s">
        <v>1674</v>
      </c>
      <c r="AP19">
        <f t="shared" si="0"/>
        <v>-1</v>
      </c>
      <c r="AQ19" s="552">
        <f t="shared" si="1"/>
        <v>9267.7199999999993</v>
      </c>
    </row>
    <row r="20" spans="1:43" outlineLevel="1" x14ac:dyDescent="0.25">
      <c r="A20" s="612" t="s">
        <v>1674</v>
      </c>
      <c r="B20" s="786">
        <v>0</v>
      </c>
      <c r="C20" s="612" t="s">
        <v>1674</v>
      </c>
      <c r="D20" s="612" t="s">
        <v>2802</v>
      </c>
      <c r="E20" t="s">
        <v>2803</v>
      </c>
      <c r="G20" s="787"/>
      <c r="H20" s="787">
        <v>110.24</v>
      </c>
      <c r="I20" s="787"/>
      <c r="J20" t="s">
        <v>806</v>
      </c>
      <c r="K20" s="611">
        <v>8400</v>
      </c>
      <c r="L20" t="s">
        <v>806</v>
      </c>
      <c r="M20" s="614"/>
      <c r="N20" s="788"/>
      <c r="O20" s="612" t="s">
        <v>1674</v>
      </c>
      <c r="P20" s="612" t="s">
        <v>1674</v>
      </c>
      <c r="Q20" s="612" t="s">
        <v>2776</v>
      </c>
      <c r="R20" s="612" t="s">
        <v>1674</v>
      </c>
      <c r="S20" s="612" t="s">
        <v>1674</v>
      </c>
      <c r="T20" s="789">
        <v>19</v>
      </c>
      <c r="U20" s="612" t="s">
        <v>2691</v>
      </c>
      <c r="V20" s="611">
        <v>350</v>
      </c>
      <c r="W20" s="614"/>
      <c r="Y20" s="612" t="s">
        <v>1674</v>
      </c>
      <c r="AA20" s="612" t="s">
        <v>1674</v>
      </c>
      <c r="AE20" s="790"/>
      <c r="AF20" s="612" t="s">
        <v>1674</v>
      </c>
      <c r="AG20" s="612" t="s">
        <v>1674</v>
      </c>
      <c r="AH20" s="612" t="s">
        <v>1674</v>
      </c>
      <c r="AI20" s="612" t="s">
        <v>1674</v>
      </c>
      <c r="AJ20" s="612" t="s">
        <v>1674</v>
      </c>
      <c r="AK20" s="612" t="s">
        <v>1674</v>
      </c>
      <c r="AL20" s="612" t="s">
        <v>1674</v>
      </c>
      <c r="AM20" s="612" t="s">
        <v>1674</v>
      </c>
      <c r="AN20" s="612" t="s">
        <v>1674</v>
      </c>
      <c r="AP20">
        <f t="shared" si="0"/>
        <v>0</v>
      </c>
      <c r="AQ20" s="552">
        <f t="shared" si="1"/>
        <v>0</v>
      </c>
    </row>
    <row r="21" spans="1:43" outlineLevel="1" x14ac:dyDescent="0.25">
      <c r="A21" s="612" t="s">
        <v>1674</v>
      </c>
      <c r="B21" s="786">
        <v>0</v>
      </c>
      <c r="C21" s="612" t="s">
        <v>1674</v>
      </c>
      <c r="D21" s="612" t="s">
        <v>2802</v>
      </c>
      <c r="E21" t="s">
        <v>2803</v>
      </c>
      <c r="G21" s="787"/>
      <c r="H21" s="787">
        <v>10.28</v>
      </c>
      <c r="I21" s="787"/>
      <c r="J21" t="s">
        <v>806</v>
      </c>
      <c r="K21" s="611">
        <v>8400</v>
      </c>
      <c r="L21" t="s">
        <v>806</v>
      </c>
      <c r="M21" s="614"/>
      <c r="N21" s="788"/>
      <c r="O21" s="612" t="s">
        <v>1674</v>
      </c>
      <c r="P21" s="612" t="s">
        <v>1674</v>
      </c>
      <c r="Q21" s="612" t="s">
        <v>2776</v>
      </c>
      <c r="R21" s="612" t="s">
        <v>2617</v>
      </c>
      <c r="S21" s="612" t="s">
        <v>1674</v>
      </c>
      <c r="T21" s="789">
        <v>19</v>
      </c>
      <c r="U21" s="612" t="s">
        <v>2691</v>
      </c>
      <c r="V21" s="611">
        <v>351</v>
      </c>
      <c r="W21" s="614"/>
      <c r="Y21" s="612" t="s">
        <v>1674</v>
      </c>
      <c r="AA21" s="612" t="s">
        <v>1674</v>
      </c>
      <c r="AE21" s="790"/>
      <c r="AF21" s="612" t="s">
        <v>1674</v>
      </c>
      <c r="AG21" s="612" t="s">
        <v>1674</v>
      </c>
      <c r="AH21" s="612" t="s">
        <v>1674</v>
      </c>
      <c r="AI21" s="612" t="s">
        <v>1674</v>
      </c>
      <c r="AJ21" s="612" t="s">
        <v>1674</v>
      </c>
      <c r="AK21" s="612" t="s">
        <v>1674</v>
      </c>
      <c r="AL21" s="612" t="s">
        <v>1674</v>
      </c>
      <c r="AM21" s="612" t="s">
        <v>1674</v>
      </c>
      <c r="AN21" s="612" t="s">
        <v>1674</v>
      </c>
      <c r="AP21">
        <f t="shared" si="0"/>
        <v>0</v>
      </c>
      <c r="AQ21" s="552">
        <f t="shared" si="1"/>
        <v>0</v>
      </c>
    </row>
    <row r="22" spans="1:43" outlineLevel="1" x14ac:dyDescent="0.25">
      <c r="A22" s="612" t="s">
        <v>1674</v>
      </c>
      <c r="B22" s="786">
        <v>0</v>
      </c>
      <c r="C22" s="612" t="s">
        <v>1674</v>
      </c>
      <c r="D22" s="612" t="s">
        <v>2802</v>
      </c>
      <c r="E22" t="s">
        <v>2803</v>
      </c>
      <c r="G22" s="787"/>
      <c r="H22" s="787">
        <v>1646.63</v>
      </c>
      <c r="I22" s="787">
        <v>1767.15</v>
      </c>
      <c r="J22" t="s">
        <v>2584</v>
      </c>
      <c r="K22" s="611">
        <v>8401</v>
      </c>
      <c r="L22" t="s">
        <v>806</v>
      </c>
      <c r="M22" s="614"/>
      <c r="N22" s="788"/>
      <c r="O22" s="612" t="s">
        <v>1674</v>
      </c>
      <c r="P22" s="612" t="s">
        <v>1674</v>
      </c>
      <c r="Q22" s="612" t="s">
        <v>2776</v>
      </c>
      <c r="R22" s="612" t="s">
        <v>1674</v>
      </c>
      <c r="S22" s="612" t="s">
        <v>1674</v>
      </c>
      <c r="T22" s="789">
        <v>19</v>
      </c>
      <c r="U22" s="612" t="s">
        <v>2691</v>
      </c>
      <c r="V22" s="611">
        <v>352</v>
      </c>
      <c r="W22" s="614"/>
      <c r="Y22" s="612" t="s">
        <v>1674</v>
      </c>
      <c r="AA22" s="612" t="s">
        <v>1674</v>
      </c>
      <c r="AE22" s="790"/>
      <c r="AF22" s="612" t="s">
        <v>1674</v>
      </c>
      <c r="AG22" s="612" t="s">
        <v>1674</v>
      </c>
      <c r="AH22" s="612" t="s">
        <v>1674</v>
      </c>
      <c r="AI22" s="612" t="s">
        <v>1674</v>
      </c>
      <c r="AJ22" s="612" t="s">
        <v>1674</v>
      </c>
      <c r="AK22" s="612" t="s">
        <v>1674</v>
      </c>
      <c r="AL22" s="612" t="s">
        <v>1674</v>
      </c>
      <c r="AM22" s="612" t="s">
        <v>1674</v>
      </c>
      <c r="AN22" s="612" t="s">
        <v>1674</v>
      </c>
      <c r="AP22">
        <f t="shared" si="0"/>
        <v>0</v>
      </c>
      <c r="AQ22" s="552">
        <f t="shared" si="1"/>
        <v>-1767.15</v>
      </c>
    </row>
    <row r="23" spans="1:43" outlineLevel="1" x14ac:dyDescent="0.25">
      <c r="A23" s="612" t="s">
        <v>1674</v>
      </c>
      <c r="B23" s="786">
        <v>0</v>
      </c>
      <c r="C23" s="612" t="s">
        <v>1674</v>
      </c>
      <c r="D23" s="612" t="s">
        <v>5072</v>
      </c>
      <c r="E23" t="s">
        <v>4985</v>
      </c>
      <c r="G23" s="787"/>
      <c r="H23" s="787">
        <v>578.20000000000005</v>
      </c>
      <c r="I23" s="787"/>
      <c r="J23" t="s">
        <v>806</v>
      </c>
      <c r="K23" s="611">
        <v>8400</v>
      </c>
      <c r="L23" t="s">
        <v>806</v>
      </c>
      <c r="M23" s="614"/>
      <c r="N23" s="788"/>
      <c r="O23" s="612" t="s">
        <v>1674</v>
      </c>
      <c r="P23" s="612" t="s">
        <v>1674</v>
      </c>
      <c r="Q23" s="612" t="s">
        <v>3588</v>
      </c>
      <c r="R23" s="612" t="s">
        <v>1674</v>
      </c>
      <c r="S23" s="612" t="s">
        <v>1674</v>
      </c>
      <c r="T23" s="789">
        <v>19</v>
      </c>
      <c r="U23" s="612" t="s">
        <v>4900</v>
      </c>
      <c r="V23" s="611">
        <v>119</v>
      </c>
      <c r="W23" s="614"/>
      <c r="Y23" s="612" t="s">
        <v>1674</v>
      </c>
      <c r="AA23" s="612" t="s">
        <v>1674</v>
      </c>
      <c r="AE23" s="790"/>
      <c r="AF23" s="612" t="s">
        <v>1674</v>
      </c>
      <c r="AG23" s="612" t="s">
        <v>1674</v>
      </c>
      <c r="AH23" s="612" t="s">
        <v>1674</v>
      </c>
      <c r="AI23" s="612" t="s">
        <v>1674</v>
      </c>
      <c r="AJ23" s="612" t="s">
        <v>1674</v>
      </c>
      <c r="AK23" s="612" t="s">
        <v>1674</v>
      </c>
      <c r="AL23" s="612" t="s">
        <v>1674</v>
      </c>
      <c r="AM23" s="612" t="s">
        <v>1674</v>
      </c>
      <c r="AN23" s="612" t="s">
        <v>1674</v>
      </c>
      <c r="AP23">
        <f t="shared" si="0"/>
        <v>0</v>
      </c>
      <c r="AQ23" s="552">
        <f t="shared" si="1"/>
        <v>0</v>
      </c>
    </row>
    <row r="24" spans="1:43" outlineLevel="1" x14ac:dyDescent="0.25">
      <c r="A24" s="612" t="s">
        <v>1674</v>
      </c>
      <c r="B24" s="786">
        <v>0</v>
      </c>
      <c r="C24" s="612" t="s">
        <v>1674</v>
      </c>
      <c r="D24" s="612" t="s">
        <v>5072</v>
      </c>
      <c r="E24" t="s">
        <v>4985</v>
      </c>
      <c r="G24" s="787"/>
      <c r="H24" s="787">
        <v>53.98</v>
      </c>
      <c r="I24" s="787"/>
      <c r="J24" t="s">
        <v>806</v>
      </c>
      <c r="K24" s="611">
        <v>8400</v>
      </c>
      <c r="L24" t="s">
        <v>806</v>
      </c>
      <c r="M24" s="614"/>
      <c r="N24" s="788"/>
      <c r="O24" s="612" t="s">
        <v>1674</v>
      </c>
      <c r="P24" s="612" t="s">
        <v>1674</v>
      </c>
      <c r="Q24" s="612" t="s">
        <v>3588</v>
      </c>
      <c r="R24" s="612" t="s">
        <v>2617</v>
      </c>
      <c r="S24" s="612" t="s">
        <v>1674</v>
      </c>
      <c r="T24" s="789">
        <v>19</v>
      </c>
      <c r="U24" s="612" t="s">
        <v>4900</v>
      </c>
      <c r="V24" s="611">
        <v>120</v>
      </c>
      <c r="W24" s="614"/>
      <c r="Y24" s="612" t="s">
        <v>1674</v>
      </c>
      <c r="AA24" s="612" t="s">
        <v>1674</v>
      </c>
      <c r="AE24" s="790"/>
      <c r="AF24" s="612" t="s">
        <v>1674</v>
      </c>
      <c r="AG24" s="612" t="s">
        <v>1674</v>
      </c>
      <c r="AH24" s="612" t="s">
        <v>1674</v>
      </c>
      <c r="AI24" s="612" t="s">
        <v>1674</v>
      </c>
      <c r="AJ24" s="612" t="s">
        <v>1674</v>
      </c>
      <c r="AK24" s="612" t="s">
        <v>1674</v>
      </c>
      <c r="AL24" s="612" t="s">
        <v>1674</v>
      </c>
      <c r="AM24" s="612" t="s">
        <v>1674</v>
      </c>
      <c r="AN24" s="612" t="s">
        <v>1674</v>
      </c>
      <c r="AP24">
        <f t="shared" si="0"/>
        <v>0</v>
      </c>
      <c r="AQ24" s="552">
        <f t="shared" si="1"/>
        <v>0</v>
      </c>
    </row>
    <row r="25" spans="1:43" outlineLevel="1" x14ac:dyDescent="0.25">
      <c r="A25" s="612" t="s">
        <v>1674</v>
      </c>
      <c r="B25" s="786">
        <v>0</v>
      </c>
      <c r="C25" s="612" t="s">
        <v>1674</v>
      </c>
      <c r="D25" s="612" t="s">
        <v>5072</v>
      </c>
      <c r="E25" t="s">
        <v>4985</v>
      </c>
      <c r="G25" s="787"/>
      <c r="H25" s="787">
        <v>8635.5400000000009</v>
      </c>
      <c r="I25" s="787">
        <v>9267.7199999999993</v>
      </c>
      <c r="J25" t="s">
        <v>2584</v>
      </c>
      <c r="K25" s="611">
        <v>8401</v>
      </c>
      <c r="L25" t="s">
        <v>806</v>
      </c>
      <c r="M25" s="614"/>
      <c r="N25" s="788"/>
      <c r="O25" s="612" t="s">
        <v>1674</v>
      </c>
      <c r="P25" s="612" t="s">
        <v>1674</v>
      </c>
      <c r="Q25" s="612" t="s">
        <v>3588</v>
      </c>
      <c r="R25" s="612" t="s">
        <v>1674</v>
      </c>
      <c r="S25" s="612" t="s">
        <v>1674</v>
      </c>
      <c r="T25" s="789">
        <v>19</v>
      </c>
      <c r="U25" s="612" t="s">
        <v>4900</v>
      </c>
      <c r="V25" s="611">
        <v>121</v>
      </c>
      <c r="W25" s="614"/>
      <c r="Y25" s="612" t="s">
        <v>1674</v>
      </c>
      <c r="AA25" s="612" t="s">
        <v>1674</v>
      </c>
      <c r="AE25" s="790"/>
      <c r="AF25" s="612" t="s">
        <v>1674</v>
      </c>
      <c r="AG25" s="612" t="s">
        <v>1674</v>
      </c>
      <c r="AH25" s="612" t="s">
        <v>1674</v>
      </c>
      <c r="AI25" s="612" t="s">
        <v>1674</v>
      </c>
      <c r="AJ25" s="612" t="s">
        <v>1674</v>
      </c>
      <c r="AK25" s="612" t="s">
        <v>1674</v>
      </c>
      <c r="AL25" s="612" t="s">
        <v>1674</v>
      </c>
      <c r="AM25" s="612" t="s">
        <v>1674</v>
      </c>
      <c r="AN25" s="612" t="s">
        <v>1674</v>
      </c>
      <c r="AP25">
        <f t="shared" si="0"/>
        <v>0</v>
      </c>
      <c r="AQ25" s="552">
        <f t="shared" si="1"/>
        <v>-9267.7199999999993</v>
      </c>
    </row>
    <row r="26" spans="1:43" outlineLevel="1" x14ac:dyDescent="0.25">
      <c r="A26" s="612" t="s">
        <v>1674</v>
      </c>
      <c r="B26" s="786">
        <v>0</v>
      </c>
      <c r="C26" s="612" t="s">
        <v>1674</v>
      </c>
      <c r="D26" s="612" t="s">
        <v>3614</v>
      </c>
      <c r="E26" t="s">
        <v>3615</v>
      </c>
      <c r="F26" t="s">
        <v>3616</v>
      </c>
      <c r="G26" s="787">
        <v>595</v>
      </c>
      <c r="H26" s="787"/>
      <c r="I26" s="787">
        <v>595</v>
      </c>
      <c r="J26" t="s">
        <v>2701</v>
      </c>
      <c r="K26" s="611">
        <v>8404</v>
      </c>
      <c r="L26" t="s">
        <v>806</v>
      </c>
      <c r="M26" s="614"/>
      <c r="N26" s="788">
        <v>-117</v>
      </c>
      <c r="O26" s="612" t="s">
        <v>1674</v>
      </c>
      <c r="P26" s="612" t="s">
        <v>1674</v>
      </c>
      <c r="Q26" s="612" t="s">
        <v>3588</v>
      </c>
      <c r="R26" s="612" t="s">
        <v>1674</v>
      </c>
      <c r="S26" s="612" t="s">
        <v>1674</v>
      </c>
      <c r="T26" s="789">
        <v>19</v>
      </c>
      <c r="U26" s="612" t="s">
        <v>3323</v>
      </c>
      <c r="V26" s="611">
        <v>331</v>
      </c>
      <c r="W26" s="614"/>
      <c r="Y26" s="612" t="s">
        <v>1674</v>
      </c>
      <c r="AA26" s="612" t="s">
        <v>1674</v>
      </c>
      <c r="AE26" s="790"/>
      <c r="AF26" s="612" t="s">
        <v>1674</v>
      </c>
      <c r="AG26" s="612" t="s">
        <v>1674</v>
      </c>
      <c r="AH26" s="612" t="s">
        <v>1674</v>
      </c>
      <c r="AI26" s="612" t="s">
        <v>1674</v>
      </c>
      <c r="AJ26" s="612" t="s">
        <v>1674</v>
      </c>
      <c r="AK26" s="612" t="s">
        <v>1674</v>
      </c>
      <c r="AL26" s="612" t="s">
        <v>1674</v>
      </c>
      <c r="AM26" s="612" t="s">
        <v>1674</v>
      </c>
      <c r="AN26" s="612" t="s">
        <v>1674</v>
      </c>
      <c r="AP26">
        <f t="shared" si="0"/>
        <v>117</v>
      </c>
      <c r="AQ26" s="552">
        <f t="shared" si="1"/>
        <v>595</v>
      </c>
    </row>
    <row r="27" spans="1:43" outlineLevel="1" x14ac:dyDescent="0.25">
      <c r="A27" s="612" t="s">
        <v>1674</v>
      </c>
      <c r="B27" s="786">
        <v>0</v>
      </c>
      <c r="C27" s="612" t="s">
        <v>1674</v>
      </c>
      <c r="D27" s="612" t="s">
        <v>3667</v>
      </c>
      <c r="E27" t="s">
        <v>3665</v>
      </c>
      <c r="F27" t="s">
        <v>3666</v>
      </c>
      <c r="G27" s="787">
        <v>595</v>
      </c>
      <c r="H27" s="787"/>
      <c r="I27" s="787">
        <v>595</v>
      </c>
      <c r="J27" t="s">
        <v>2701</v>
      </c>
      <c r="K27" s="611">
        <v>8404</v>
      </c>
      <c r="L27" t="s">
        <v>806</v>
      </c>
      <c r="M27" s="614"/>
      <c r="N27" s="788">
        <v>-90</v>
      </c>
      <c r="O27" s="612" t="s">
        <v>1674</v>
      </c>
      <c r="P27" s="612" t="s">
        <v>1674</v>
      </c>
      <c r="Q27" s="612" t="s">
        <v>3588</v>
      </c>
      <c r="R27" s="612" t="s">
        <v>1674</v>
      </c>
      <c r="S27" s="612" t="s">
        <v>1674</v>
      </c>
      <c r="T27" s="789">
        <v>19</v>
      </c>
      <c r="U27" s="612" t="s">
        <v>3328</v>
      </c>
      <c r="V27" s="611">
        <v>195</v>
      </c>
      <c r="W27" s="614"/>
      <c r="Y27" s="612" t="s">
        <v>1674</v>
      </c>
      <c r="AA27" s="612" t="s">
        <v>1674</v>
      </c>
      <c r="AE27" s="790"/>
      <c r="AF27" s="612" t="s">
        <v>1674</v>
      </c>
      <c r="AG27" s="612" t="s">
        <v>1674</v>
      </c>
      <c r="AH27" s="612" t="s">
        <v>1674</v>
      </c>
      <c r="AI27" s="612" t="s">
        <v>1674</v>
      </c>
      <c r="AJ27" s="612" t="s">
        <v>1674</v>
      </c>
      <c r="AK27" s="612" t="s">
        <v>1674</v>
      </c>
      <c r="AL27" s="612" t="s">
        <v>1674</v>
      </c>
      <c r="AM27" s="612" t="s">
        <v>1674</v>
      </c>
      <c r="AN27" s="612" t="s">
        <v>1674</v>
      </c>
      <c r="AP27">
        <f t="shared" si="0"/>
        <v>90</v>
      </c>
      <c r="AQ27" s="552">
        <f t="shared" si="1"/>
        <v>595</v>
      </c>
    </row>
    <row r="28" spans="1:43" outlineLevel="1" x14ac:dyDescent="0.25">
      <c r="A28" s="612" t="s">
        <v>1674</v>
      </c>
      <c r="B28" s="786">
        <v>0</v>
      </c>
      <c r="C28" s="612" t="s">
        <v>1674</v>
      </c>
      <c r="D28" s="612" t="s">
        <v>3668</v>
      </c>
      <c r="E28" t="s">
        <v>3665</v>
      </c>
      <c r="F28" t="s">
        <v>3666</v>
      </c>
      <c r="G28" s="787">
        <v>595</v>
      </c>
      <c r="H28" s="787"/>
      <c r="I28" s="787">
        <v>595</v>
      </c>
      <c r="J28" t="s">
        <v>2701</v>
      </c>
      <c r="K28" s="611">
        <v>8404</v>
      </c>
      <c r="L28" t="s">
        <v>806</v>
      </c>
      <c r="M28" s="614"/>
      <c r="N28" s="788">
        <v>-90</v>
      </c>
      <c r="O28" s="612" t="s">
        <v>1674</v>
      </c>
      <c r="P28" s="612" t="s">
        <v>1674</v>
      </c>
      <c r="Q28" s="612" t="s">
        <v>3588</v>
      </c>
      <c r="R28" s="612" t="s">
        <v>1674</v>
      </c>
      <c r="S28" s="612" t="s">
        <v>1674</v>
      </c>
      <c r="T28" s="789">
        <v>19</v>
      </c>
      <c r="U28" s="612" t="s">
        <v>3328</v>
      </c>
      <c r="V28" s="611">
        <v>196</v>
      </c>
      <c r="W28" s="614"/>
      <c r="Y28" s="612" t="s">
        <v>1674</v>
      </c>
      <c r="AA28" s="612" t="s">
        <v>1674</v>
      </c>
      <c r="AE28" s="790"/>
      <c r="AF28" s="612" t="s">
        <v>1674</v>
      </c>
      <c r="AG28" s="612" t="s">
        <v>1674</v>
      </c>
      <c r="AH28" s="612" t="s">
        <v>1674</v>
      </c>
      <c r="AI28" s="612" t="s">
        <v>1674</v>
      </c>
      <c r="AJ28" s="612" t="s">
        <v>1674</v>
      </c>
      <c r="AK28" s="612" t="s">
        <v>1674</v>
      </c>
      <c r="AL28" s="612" t="s">
        <v>1674</v>
      </c>
      <c r="AM28" s="612" t="s">
        <v>1674</v>
      </c>
      <c r="AN28" s="612" t="s">
        <v>1674</v>
      </c>
      <c r="AP28">
        <f t="shared" si="0"/>
        <v>90</v>
      </c>
      <c r="AQ28" s="552">
        <f t="shared" si="1"/>
        <v>595</v>
      </c>
    </row>
    <row r="29" spans="1:43" outlineLevel="1" x14ac:dyDescent="0.25">
      <c r="A29" s="612" t="s">
        <v>1674</v>
      </c>
      <c r="B29" s="786">
        <v>0</v>
      </c>
      <c r="C29" s="612" t="s">
        <v>1674</v>
      </c>
      <c r="D29" s="612" t="s">
        <v>5073</v>
      </c>
      <c r="E29" t="s">
        <v>3699</v>
      </c>
      <c r="F29" t="s">
        <v>4295</v>
      </c>
      <c r="G29" s="787">
        <v>595</v>
      </c>
      <c r="H29" s="787"/>
      <c r="I29" s="787">
        <v>595</v>
      </c>
      <c r="J29" t="s">
        <v>2701</v>
      </c>
      <c r="K29" s="611">
        <v>8404</v>
      </c>
      <c r="L29" t="s">
        <v>806</v>
      </c>
      <c r="M29" s="614"/>
      <c r="N29" s="788">
        <v>-53</v>
      </c>
      <c r="O29" s="612" t="s">
        <v>1674</v>
      </c>
      <c r="P29" s="612" t="s">
        <v>1674</v>
      </c>
      <c r="Q29" s="612" t="s">
        <v>3588</v>
      </c>
      <c r="R29" s="612" t="s">
        <v>1674</v>
      </c>
      <c r="S29" s="612" t="s">
        <v>1674</v>
      </c>
      <c r="T29" s="789">
        <v>19</v>
      </c>
      <c r="U29" s="612" t="s">
        <v>5002</v>
      </c>
      <c r="V29" s="611">
        <v>542</v>
      </c>
      <c r="W29" s="614"/>
      <c r="Y29" s="612" t="s">
        <v>1674</v>
      </c>
      <c r="AA29" s="612" t="s">
        <v>1674</v>
      </c>
      <c r="AE29" s="790"/>
      <c r="AF29" s="612" t="s">
        <v>1674</v>
      </c>
      <c r="AG29" s="612" t="s">
        <v>1674</v>
      </c>
      <c r="AH29" s="612" t="s">
        <v>1674</v>
      </c>
      <c r="AI29" s="612" t="s">
        <v>1674</v>
      </c>
      <c r="AJ29" s="612" t="s">
        <v>1674</v>
      </c>
      <c r="AK29" s="612" t="s">
        <v>1674</v>
      </c>
      <c r="AL29" s="612" t="s">
        <v>1674</v>
      </c>
      <c r="AM29" s="612" t="s">
        <v>1674</v>
      </c>
      <c r="AN29" s="612" t="s">
        <v>1674</v>
      </c>
      <c r="AP29">
        <f t="shared" si="0"/>
        <v>53</v>
      </c>
      <c r="AQ29" s="552">
        <f t="shared" si="1"/>
        <v>595</v>
      </c>
    </row>
    <row r="30" spans="1:43" outlineLevel="1" x14ac:dyDescent="0.25">
      <c r="A30" s="612" t="s">
        <v>1674</v>
      </c>
      <c r="B30" s="786">
        <v>0</v>
      </c>
      <c r="C30" s="612" t="s">
        <v>1674</v>
      </c>
      <c r="D30" s="612" t="s">
        <v>5074</v>
      </c>
      <c r="E30" t="s">
        <v>3699</v>
      </c>
      <c r="F30" t="s">
        <v>4295</v>
      </c>
      <c r="G30" s="787">
        <v>595</v>
      </c>
      <c r="H30" s="787"/>
      <c r="I30" s="787">
        <v>595</v>
      </c>
      <c r="J30" t="s">
        <v>2701</v>
      </c>
      <c r="K30" s="611">
        <v>8404</v>
      </c>
      <c r="L30" t="s">
        <v>806</v>
      </c>
      <c r="M30" s="614"/>
      <c r="N30" s="788">
        <v>-53</v>
      </c>
      <c r="O30" s="612" t="s">
        <v>1674</v>
      </c>
      <c r="P30" s="612" t="s">
        <v>1674</v>
      </c>
      <c r="Q30" s="612" t="s">
        <v>3588</v>
      </c>
      <c r="R30" s="612" t="s">
        <v>1674</v>
      </c>
      <c r="S30" s="612" t="s">
        <v>1674</v>
      </c>
      <c r="T30" s="789">
        <v>19</v>
      </c>
      <c r="U30" s="612" t="s">
        <v>5002</v>
      </c>
      <c r="V30" s="611">
        <v>543</v>
      </c>
      <c r="W30" s="614"/>
      <c r="Y30" s="612" t="s">
        <v>1674</v>
      </c>
      <c r="AA30" s="612" t="s">
        <v>1674</v>
      </c>
      <c r="AE30" s="790"/>
      <c r="AF30" s="612" t="s">
        <v>1674</v>
      </c>
      <c r="AG30" s="612" t="s">
        <v>1674</v>
      </c>
      <c r="AH30" s="612" t="s">
        <v>1674</v>
      </c>
      <c r="AI30" s="612" t="s">
        <v>1674</v>
      </c>
      <c r="AJ30" s="612" t="s">
        <v>1674</v>
      </c>
      <c r="AK30" s="612" t="s">
        <v>1674</v>
      </c>
      <c r="AL30" s="612" t="s">
        <v>1674</v>
      </c>
      <c r="AM30" s="612" t="s">
        <v>1674</v>
      </c>
      <c r="AN30" s="612" t="s">
        <v>1674</v>
      </c>
      <c r="AP30">
        <f t="shared" si="0"/>
        <v>53</v>
      </c>
      <c r="AQ30" s="552">
        <f t="shared" si="1"/>
        <v>595</v>
      </c>
    </row>
    <row r="31" spans="1:43" outlineLevel="1" x14ac:dyDescent="0.25">
      <c r="A31" s="612" t="s">
        <v>1674</v>
      </c>
      <c r="B31" s="786">
        <v>0</v>
      </c>
      <c r="C31" s="612" t="s">
        <v>1674</v>
      </c>
      <c r="D31" s="612" t="s">
        <v>5075</v>
      </c>
      <c r="E31" t="s">
        <v>3705</v>
      </c>
      <c r="F31" t="s">
        <v>5059</v>
      </c>
      <c r="G31" s="787">
        <v>595</v>
      </c>
      <c r="H31" s="787"/>
      <c r="I31" s="787">
        <v>595</v>
      </c>
      <c r="J31" t="s">
        <v>2701</v>
      </c>
      <c r="K31" s="611">
        <v>8404</v>
      </c>
      <c r="L31" t="s">
        <v>806</v>
      </c>
      <c r="M31" s="614"/>
      <c r="N31" s="788">
        <v>-52</v>
      </c>
      <c r="O31" s="612" t="s">
        <v>1674</v>
      </c>
      <c r="P31" s="612" t="s">
        <v>1674</v>
      </c>
      <c r="Q31" s="612" t="s">
        <v>3588</v>
      </c>
      <c r="R31" s="612" t="s">
        <v>1674</v>
      </c>
      <c r="S31" s="612" t="s">
        <v>1674</v>
      </c>
      <c r="T31" s="789">
        <v>19</v>
      </c>
      <c r="U31" s="612" t="s">
        <v>5002</v>
      </c>
      <c r="V31" s="611">
        <v>628</v>
      </c>
      <c r="W31" s="614"/>
      <c r="Y31" s="612" t="s">
        <v>1674</v>
      </c>
      <c r="AA31" s="612" t="s">
        <v>1674</v>
      </c>
      <c r="AE31" s="790"/>
      <c r="AF31" s="612" t="s">
        <v>1674</v>
      </c>
      <c r="AG31" s="612" t="s">
        <v>1674</v>
      </c>
      <c r="AH31" s="612" t="s">
        <v>1674</v>
      </c>
      <c r="AI31" s="612" t="s">
        <v>1674</v>
      </c>
      <c r="AJ31" s="612" t="s">
        <v>1674</v>
      </c>
      <c r="AK31" s="612" t="s">
        <v>1674</v>
      </c>
      <c r="AL31" s="612" t="s">
        <v>1674</v>
      </c>
      <c r="AM31" s="612" t="s">
        <v>1674</v>
      </c>
      <c r="AN31" s="612" t="s">
        <v>1674</v>
      </c>
      <c r="AP31">
        <f t="shared" si="0"/>
        <v>52</v>
      </c>
      <c r="AQ31" s="552">
        <f t="shared" si="1"/>
        <v>595</v>
      </c>
    </row>
    <row r="32" spans="1:43" outlineLevel="1" x14ac:dyDescent="0.25">
      <c r="A32" s="612" t="s">
        <v>1674</v>
      </c>
      <c r="B32" s="786">
        <v>0</v>
      </c>
      <c r="C32" s="612" t="s">
        <v>1674</v>
      </c>
      <c r="D32" s="612" t="s">
        <v>5076</v>
      </c>
      <c r="E32" t="s">
        <v>3705</v>
      </c>
      <c r="F32" t="s">
        <v>5059</v>
      </c>
      <c r="G32" s="787">
        <v>595</v>
      </c>
      <c r="H32" s="787"/>
      <c r="I32" s="787">
        <v>595</v>
      </c>
      <c r="J32" t="s">
        <v>2701</v>
      </c>
      <c r="K32" s="611">
        <v>8404</v>
      </c>
      <c r="L32" t="s">
        <v>806</v>
      </c>
      <c r="M32" s="614"/>
      <c r="N32" s="788">
        <v>-52</v>
      </c>
      <c r="O32" s="612" t="s">
        <v>1674</v>
      </c>
      <c r="P32" s="612" t="s">
        <v>1674</v>
      </c>
      <c r="Q32" s="612" t="s">
        <v>3588</v>
      </c>
      <c r="R32" s="612" t="s">
        <v>1674</v>
      </c>
      <c r="S32" s="612" t="s">
        <v>1674</v>
      </c>
      <c r="T32" s="789">
        <v>19</v>
      </c>
      <c r="U32" s="612" t="s">
        <v>5002</v>
      </c>
      <c r="V32" s="611">
        <v>629</v>
      </c>
      <c r="W32" s="614"/>
      <c r="Y32" s="612" t="s">
        <v>1674</v>
      </c>
      <c r="AA32" s="612" t="s">
        <v>1674</v>
      </c>
      <c r="AE32" s="790"/>
      <c r="AF32" s="612" t="s">
        <v>1674</v>
      </c>
      <c r="AG32" s="612" t="s">
        <v>1674</v>
      </c>
      <c r="AH32" s="612" t="s">
        <v>1674</v>
      </c>
      <c r="AI32" s="612" t="s">
        <v>1674</v>
      </c>
      <c r="AJ32" s="612" t="s">
        <v>1674</v>
      </c>
      <c r="AK32" s="612" t="s">
        <v>1674</v>
      </c>
      <c r="AL32" s="612" t="s">
        <v>1674</v>
      </c>
      <c r="AM32" s="612" t="s">
        <v>1674</v>
      </c>
      <c r="AN32" s="612" t="s">
        <v>1674</v>
      </c>
      <c r="AP32">
        <f t="shared" si="0"/>
        <v>52</v>
      </c>
      <c r="AQ32" s="552">
        <f t="shared" si="1"/>
        <v>595</v>
      </c>
    </row>
    <row r="33" spans="1:43" outlineLevel="1" x14ac:dyDescent="0.25">
      <c r="A33" s="612" t="s">
        <v>1674</v>
      </c>
      <c r="B33" s="786">
        <v>0</v>
      </c>
      <c r="C33" s="612" t="s">
        <v>1674</v>
      </c>
      <c r="D33" s="612" t="s">
        <v>5077</v>
      </c>
      <c r="E33" t="s">
        <v>5078</v>
      </c>
      <c r="F33" t="s">
        <v>5079</v>
      </c>
      <c r="G33" s="787">
        <v>595</v>
      </c>
      <c r="H33" s="787"/>
      <c r="I33" s="787">
        <v>595</v>
      </c>
      <c r="J33" t="s">
        <v>2701</v>
      </c>
      <c r="K33" s="611">
        <v>8404</v>
      </c>
      <c r="L33" t="s">
        <v>806</v>
      </c>
      <c r="M33" s="614"/>
      <c r="N33" s="788">
        <v>4</v>
      </c>
      <c r="O33" s="612" t="s">
        <v>1674</v>
      </c>
      <c r="P33" s="612" t="s">
        <v>1674</v>
      </c>
      <c r="Q33" s="612" t="s">
        <v>3588</v>
      </c>
      <c r="R33" s="612" t="s">
        <v>1674</v>
      </c>
      <c r="S33" s="612" t="s">
        <v>1674</v>
      </c>
      <c r="T33" s="789">
        <v>19</v>
      </c>
      <c r="U33" s="612" t="s">
        <v>4900</v>
      </c>
      <c r="V33" s="611">
        <v>444</v>
      </c>
      <c r="W33" s="614"/>
      <c r="Y33" s="612" t="s">
        <v>1674</v>
      </c>
      <c r="AA33" s="612" t="s">
        <v>1674</v>
      </c>
      <c r="AE33" s="790"/>
      <c r="AF33" s="612" t="s">
        <v>1674</v>
      </c>
      <c r="AG33" s="612" t="s">
        <v>1674</v>
      </c>
      <c r="AH33" s="612" t="s">
        <v>1674</v>
      </c>
      <c r="AI33" s="612" t="s">
        <v>1674</v>
      </c>
      <c r="AJ33" s="612" t="s">
        <v>1674</v>
      </c>
      <c r="AK33" s="612" t="s">
        <v>1674</v>
      </c>
      <c r="AL33" s="612" t="s">
        <v>1674</v>
      </c>
      <c r="AM33" s="612" t="s">
        <v>1674</v>
      </c>
      <c r="AN33" s="612" t="s">
        <v>1674</v>
      </c>
      <c r="AP33">
        <f t="shared" si="0"/>
        <v>-4</v>
      </c>
      <c r="AQ33" s="552">
        <f t="shared" si="1"/>
        <v>595</v>
      </c>
    </row>
    <row r="34" spans="1:43" outlineLevel="1" x14ac:dyDescent="0.25">
      <c r="A34" s="612" t="s">
        <v>1674</v>
      </c>
      <c r="B34" s="786">
        <v>0</v>
      </c>
      <c r="C34" s="612" t="s">
        <v>1674</v>
      </c>
      <c r="D34" s="612" t="s">
        <v>5080</v>
      </c>
      <c r="E34" t="s">
        <v>4979</v>
      </c>
      <c r="F34" t="s">
        <v>5081</v>
      </c>
      <c r="G34" s="787">
        <v>773.5</v>
      </c>
      <c r="H34" s="787"/>
      <c r="I34" s="787">
        <v>773.5</v>
      </c>
      <c r="J34" t="s">
        <v>2701</v>
      </c>
      <c r="K34" s="611">
        <v>8403</v>
      </c>
      <c r="L34" t="s">
        <v>806</v>
      </c>
      <c r="M34" s="614"/>
      <c r="N34" s="788">
        <v>14</v>
      </c>
      <c r="O34" s="612" t="s">
        <v>1674</v>
      </c>
      <c r="P34" s="612" t="s">
        <v>1674</v>
      </c>
      <c r="Q34" s="612" t="s">
        <v>3908</v>
      </c>
      <c r="R34" s="612" t="s">
        <v>1674</v>
      </c>
      <c r="S34" s="612" t="s">
        <v>1674</v>
      </c>
      <c r="T34" s="789">
        <v>19</v>
      </c>
      <c r="U34" s="612" t="s">
        <v>4900</v>
      </c>
      <c r="V34" s="611">
        <v>957</v>
      </c>
      <c r="W34" s="614"/>
      <c r="Y34" s="612" t="s">
        <v>1674</v>
      </c>
      <c r="AA34" s="612" t="s">
        <v>1674</v>
      </c>
      <c r="AE34" s="790"/>
      <c r="AF34" s="612" t="s">
        <v>1674</v>
      </c>
      <c r="AG34" s="612" t="s">
        <v>1674</v>
      </c>
      <c r="AH34" s="612" t="s">
        <v>1674</v>
      </c>
      <c r="AI34" s="612" t="s">
        <v>1674</v>
      </c>
      <c r="AJ34" s="612" t="s">
        <v>1674</v>
      </c>
      <c r="AK34" s="612" t="s">
        <v>1674</v>
      </c>
      <c r="AL34" s="612" t="s">
        <v>1674</v>
      </c>
      <c r="AM34" s="612" t="s">
        <v>1674</v>
      </c>
      <c r="AN34" s="612" t="s">
        <v>1674</v>
      </c>
      <c r="AP34">
        <f t="shared" si="0"/>
        <v>-14</v>
      </c>
      <c r="AQ34" s="552">
        <f t="shared" si="1"/>
        <v>773.5</v>
      </c>
    </row>
    <row r="35" spans="1:43" outlineLevel="1" x14ac:dyDescent="0.25">
      <c r="A35" s="612" t="s">
        <v>1674</v>
      </c>
      <c r="B35" s="786">
        <v>0</v>
      </c>
      <c r="C35" s="612" t="s">
        <v>1674</v>
      </c>
      <c r="D35" s="612" t="s">
        <v>5082</v>
      </c>
      <c r="E35" t="s">
        <v>4979</v>
      </c>
      <c r="F35" t="s">
        <v>5081</v>
      </c>
      <c r="G35" s="787">
        <v>773.5</v>
      </c>
      <c r="H35" s="787"/>
      <c r="I35" s="787">
        <v>773.5</v>
      </c>
      <c r="J35" t="s">
        <v>2701</v>
      </c>
      <c r="K35" s="611">
        <v>8403</v>
      </c>
      <c r="L35" t="s">
        <v>806</v>
      </c>
      <c r="M35" s="614"/>
      <c r="N35" s="788">
        <v>14</v>
      </c>
      <c r="O35" s="612" t="s">
        <v>1674</v>
      </c>
      <c r="P35" s="612" t="s">
        <v>1674</v>
      </c>
      <c r="Q35" s="612" t="s">
        <v>3908</v>
      </c>
      <c r="R35" s="612" t="s">
        <v>1674</v>
      </c>
      <c r="S35" s="612" t="s">
        <v>1674</v>
      </c>
      <c r="T35" s="789">
        <v>19</v>
      </c>
      <c r="U35" s="612" t="s">
        <v>4900</v>
      </c>
      <c r="V35" s="611">
        <v>958</v>
      </c>
      <c r="W35" s="614"/>
      <c r="Y35" s="612" t="s">
        <v>1674</v>
      </c>
      <c r="AA35" s="612" t="s">
        <v>1674</v>
      </c>
      <c r="AE35" s="790"/>
      <c r="AF35" s="612" t="s">
        <v>1674</v>
      </c>
      <c r="AG35" s="612" t="s">
        <v>1674</v>
      </c>
      <c r="AH35" s="612" t="s">
        <v>1674</v>
      </c>
      <c r="AI35" s="612" t="s">
        <v>1674</v>
      </c>
      <c r="AJ35" s="612" t="s">
        <v>1674</v>
      </c>
      <c r="AK35" s="612" t="s">
        <v>1674</v>
      </c>
      <c r="AL35" s="612" t="s">
        <v>1674</v>
      </c>
      <c r="AM35" s="612" t="s">
        <v>1674</v>
      </c>
      <c r="AN35" s="612" t="s">
        <v>1674</v>
      </c>
      <c r="AP35">
        <f t="shared" si="0"/>
        <v>-14</v>
      </c>
      <c r="AQ35" s="552">
        <f t="shared" si="1"/>
        <v>773.5</v>
      </c>
    </row>
    <row r="36" spans="1:43" outlineLevel="1" x14ac:dyDescent="0.25">
      <c r="A36" s="612" t="s">
        <v>1674</v>
      </c>
      <c r="B36" s="786">
        <v>0</v>
      </c>
      <c r="C36" s="612" t="s">
        <v>1674</v>
      </c>
      <c r="D36" s="612" t="s">
        <v>5083</v>
      </c>
      <c r="E36" t="s">
        <v>4979</v>
      </c>
      <c r="F36" t="s">
        <v>5081</v>
      </c>
      <c r="G36" s="787">
        <v>773.5</v>
      </c>
      <c r="H36" s="787"/>
      <c r="I36" s="787">
        <v>773.5</v>
      </c>
      <c r="J36" t="s">
        <v>2701</v>
      </c>
      <c r="K36" s="611">
        <v>8403</v>
      </c>
      <c r="L36" t="s">
        <v>806</v>
      </c>
      <c r="M36" s="614"/>
      <c r="N36" s="788">
        <v>14</v>
      </c>
      <c r="O36" s="612" t="s">
        <v>1674</v>
      </c>
      <c r="P36" s="612" t="s">
        <v>1674</v>
      </c>
      <c r="Q36" s="612" t="s">
        <v>3908</v>
      </c>
      <c r="R36" s="612" t="s">
        <v>1674</v>
      </c>
      <c r="S36" s="612" t="s">
        <v>1674</v>
      </c>
      <c r="T36" s="789">
        <v>19</v>
      </c>
      <c r="U36" s="612" t="s">
        <v>4900</v>
      </c>
      <c r="V36" s="611">
        <v>959</v>
      </c>
      <c r="W36" s="614"/>
      <c r="Y36" s="612" t="s">
        <v>1674</v>
      </c>
      <c r="AA36" s="612" t="s">
        <v>1674</v>
      </c>
      <c r="AE36" s="790"/>
      <c r="AF36" s="612" t="s">
        <v>1674</v>
      </c>
      <c r="AG36" s="612" t="s">
        <v>1674</v>
      </c>
      <c r="AH36" s="612" t="s">
        <v>1674</v>
      </c>
      <c r="AI36" s="612" t="s">
        <v>1674</v>
      </c>
      <c r="AJ36" s="612" t="s">
        <v>1674</v>
      </c>
      <c r="AK36" s="612" t="s">
        <v>1674</v>
      </c>
      <c r="AL36" s="612" t="s">
        <v>1674</v>
      </c>
      <c r="AM36" s="612" t="s">
        <v>1674</v>
      </c>
      <c r="AN36" s="612" t="s">
        <v>1674</v>
      </c>
      <c r="AP36">
        <f t="shared" si="0"/>
        <v>-14</v>
      </c>
      <c r="AQ36" s="552">
        <f t="shared" si="1"/>
        <v>773.5</v>
      </c>
    </row>
    <row r="37" spans="1:43" outlineLevel="1" x14ac:dyDescent="0.25">
      <c r="A37" s="612" t="s">
        <v>1674</v>
      </c>
      <c r="B37" s="786">
        <v>0</v>
      </c>
      <c r="C37" s="612" t="s">
        <v>1674</v>
      </c>
      <c r="D37" s="612" t="s">
        <v>5084</v>
      </c>
      <c r="E37" t="s">
        <v>5078</v>
      </c>
      <c r="G37" s="787"/>
      <c r="H37" s="787">
        <v>595</v>
      </c>
      <c r="I37" s="787">
        <v>595</v>
      </c>
      <c r="J37" t="s">
        <v>2584</v>
      </c>
      <c r="K37" s="611">
        <v>8404</v>
      </c>
      <c r="L37" t="s">
        <v>806</v>
      </c>
      <c r="M37" s="614"/>
      <c r="N37" s="788"/>
      <c r="O37" s="612" t="s">
        <v>1674</v>
      </c>
      <c r="P37" s="612" t="s">
        <v>1674</v>
      </c>
      <c r="Q37" s="612" t="s">
        <v>3588</v>
      </c>
      <c r="R37" s="612" t="s">
        <v>1674</v>
      </c>
      <c r="S37" s="612" t="s">
        <v>1674</v>
      </c>
      <c r="T37" s="789">
        <v>19</v>
      </c>
      <c r="U37" s="612" t="s">
        <v>4900</v>
      </c>
      <c r="V37" s="611">
        <v>446</v>
      </c>
      <c r="W37" s="614"/>
      <c r="Y37" s="612" t="s">
        <v>1674</v>
      </c>
      <c r="AA37" s="612" t="s">
        <v>1674</v>
      </c>
      <c r="AE37" s="790"/>
      <c r="AF37" s="612" t="s">
        <v>1674</v>
      </c>
      <c r="AG37" s="612" t="s">
        <v>1674</v>
      </c>
      <c r="AH37" s="612" t="s">
        <v>1674</v>
      </c>
      <c r="AI37" s="612" t="s">
        <v>1674</v>
      </c>
      <c r="AJ37" s="612" t="s">
        <v>1674</v>
      </c>
      <c r="AK37" s="612" t="s">
        <v>1674</v>
      </c>
      <c r="AL37" s="612" t="s">
        <v>1674</v>
      </c>
      <c r="AM37" s="612" t="s">
        <v>1674</v>
      </c>
      <c r="AN37" s="612" t="s">
        <v>1674</v>
      </c>
      <c r="AP37">
        <f t="shared" si="0"/>
        <v>0</v>
      </c>
      <c r="AQ37" s="552">
        <f t="shared" si="1"/>
        <v>-595</v>
      </c>
    </row>
    <row r="38" spans="1:43" outlineLevel="1" x14ac:dyDescent="0.25">
      <c r="A38" s="612" t="s">
        <v>1674</v>
      </c>
      <c r="B38" s="786">
        <v>0</v>
      </c>
      <c r="C38" s="612" t="s">
        <v>1674</v>
      </c>
      <c r="D38" s="612" t="s">
        <v>5085</v>
      </c>
      <c r="E38" t="s">
        <v>5078</v>
      </c>
      <c r="G38" s="787"/>
      <c r="H38" s="787">
        <v>595</v>
      </c>
      <c r="I38" s="787">
        <v>595</v>
      </c>
      <c r="J38" t="s">
        <v>2584</v>
      </c>
      <c r="K38" s="611">
        <v>8404</v>
      </c>
      <c r="L38" t="s">
        <v>806</v>
      </c>
      <c r="M38" s="614"/>
      <c r="N38" s="788"/>
      <c r="O38" s="612" t="s">
        <v>1674</v>
      </c>
      <c r="P38" s="612" t="s">
        <v>1674</v>
      </c>
      <c r="Q38" s="612" t="s">
        <v>3588</v>
      </c>
      <c r="R38" s="612" t="s">
        <v>1674</v>
      </c>
      <c r="S38" s="612" t="s">
        <v>1674</v>
      </c>
      <c r="T38" s="789">
        <v>19</v>
      </c>
      <c r="U38" s="612" t="s">
        <v>4900</v>
      </c>
      <c r="V38" s="611">
        <v>447</v>
      </c>
      <c r="W38" s="614"/>
      <c r="Y38" s="612" t="s">
        <v>1674</v>
      </c>
      <c r="AA38" s="612" t="s">
        <v>1674</v>
      </c>
      <c r="AE38" s="790"/>
      <c r="AF38" s="612" t="s">
        <v>1674</v>
      </c>
      <c r="AG38" s="612" t="s">
        <v>1674</v>
      </c>
      <c r="AH38" s="612" t="s">
        <v>1674</v>
      </c>
      <c r="AI38" s="612" t="s">
        <v>1674</v>
      </c>
      <c r="AJ38" s="612" t="s">
        <v>1674</v>
      </c>
      <c r="AK38" s="612" t="s">
        <v>1674</v>
      </c>
      <c r="AL38" s="612" t="s">
        <v>1674</v>
      </c>
      <c r="AM38" s="612" t="s">
        <v>1674</v>
      </c>
      <c r="AN38" s="612" t="s">
        <v>1674</v>
      </c>
      <c r="AP38">
        <f t="shared" si="0"/>
        <v>0</v>
      </c>
      <c r="AQ38" s="552">
        <f t="shared" si="1"/>
        <v>-595</v>
      </c>
    </row>
    <row r="39" spans="1:43" outlineLevel="1" x14ac:dyDescent="0.25">
      <c r="A39" s="612" t="s">
        <v>1674</v>
      </c>
      <c r="B39" s="786">
        <v>0</v>
      </c>
      <c r="C39" s="612" t="s">
        <v>1674</v>
      </c>
      <c r="D39" s="612" t="s">
        <v>3909</v>
      </c>
      <c r="E39" t="s">
        <v>3899</v>
      </c>
      <c r="F39" t="s">
        <v>3900</v>
      </c>
      <c r="G39" s="787">
        <v>938.52</v>
      </c>
      <c r="H39" s="787"/>
      <c r="I39" s="787">
        <v>938.52</v>
      </c>
      <c r="J39" t="s">
        <v>2701</v>
      </c>
      <c r="K39" s="611">
        <v>8402</v>
      </c>
      <c r="L39" t="s">
        <v>806</v>
      </c>
      <c r="M39" s="614"/>
      <c r="N39" s="788">
        <v>-62</v>
      </c>
      <c r="O39" s="612" t="s">
        <v>1674</v>
      </c>
      <c r="P39" s="612" t="s">
        <v>1674</v>
      </c>
      <c r="Q39" s="612" t="s">
        <v>3023</v>
      </c>
      <c r="R39" s="612" t="s">
        <v>1674</v>
      </c>
      <c r="S39" s="612" t="s">
        <v>1674</v>
      </c>
      <c r="T39" s="789">
        <v>19</v>
      </c>
      <c r="U39" s="612" t="s">
        <v>3328</v>
      </c>
      <c r="V39" s="611">
        <v>1766</v>
      </c>
      <c r="W39" s="614"/>
      <c r="Y39" s="612" t="s">
        <v>1674</v>
      </c>
      <c r="AA39" s="612" t="s">
        <v>1674</v>
      </c>
      <c r="AE39" s="790"/>
      <c r="AF39" s="612" t="s">
        <v>1674</v>
      </c>
      <c r="AG39" s="612" t="s">
        <v>1674</v>
      </c>
      <c r="AH39" s="612" t="s">
        <v>1674</v>
      </c>
      <c r="AI39" s="612" t="s">
        <v>1674</v>
      </c>
      <c r="AJ39" s="612" t="s">
        <v>1674</v>
      </c>
      <c r="AK39" s="612" t="s">
        <v>1674</v>
      </c>
      <c r="AL39" s="612" t="s">
        <v>1674</v>
      </c>
      <c r="AM39" s="612" t="s">
        <v>1674</v>
      </c>
      <c r="AN39" s="612" t="s">
        <v>1674</v>
      </c>
      <c r="AP39">
        <f t="shared" si="0"/>
        <v>62</v>
      </c>
      <c r="AQ39" s="552">
        <f t="shared" si="1"/>
        <v>938.52</v>
      </c>
    </row>
    <row r="40" spans="1:43" outlineLevel="1" x14ac:dyDescent="0.25">
      <c r="A40" s="612" t="s">
        <v>1674</v>
      </c>
      <c r="B40" s="786">
        <v>10208</v>
      </c>
      <c r="C40" s="612" t="s">
        <v>2989</v>
      </c>
      <c r="D40" s="612" t="s">
        <v>5086</v>
      </c>
      <c r="E40" t="s">
        <v>4979</v>
      </c>
      <c r="F40" t="s">
        <v>5081</v>
      </c>
      <c r="G40" s="787">
        <v>759.22</v>
      </c>
      <c r="H40" s="787"/>
      <c r="I40" s="787">
        <v>759.22</v>
      </c>
      <c r="J40" t="s">
        <v>2701</v>
      </c>
      <c r="K40" s="611">
        <v>8400</v>
      </c>
      <c r="L40" t="s">
        <v>2552</v>
      </c>
      <c r="M40" s="614"/>
      <c r="N40" s="788">
        <v>14</v>
      </c>
      <c r="O40" s="612" t="s">
        <v>1674</v>
      </c>
      <c r="P40" s="612" t="s">
        <v>1674</v>
      </c>
      <c r="Q40" s="612" t="s">
        <v>2992</v>
      </c>
      <c r="R40" s="612" t="s">
        <v>4945</v>
      </c>
      <c r="S40" s="612" t="s">
        <v>1674</v>
      </c>
      <c r="T40" s="789">
        <v>19</v>
      </c>
      <c r="U40" s="612" t="s">
        <v>4900</v>
      </c>
      <c r="V40" s="611">
        <v>931</v>
      </c>
      <c r="W40" s="614"/>
      <c r="Y40" s="612" t="s">
        <v>1674</v>
      </c>
      <c r="AA40" s="612" t="s">
        <v>1674</v>
      </c>
      <c r="AE40" s="790"/>
      <c r="AF40" s="612" t="s">
        <v>2993</v>
      </c>
      <c r="AG40" s="612" t="s">
        <v>2994</v>
      </c>
      <c r="AH40" s="612" t="s">
        <v>2995</v>
      </c>
      <c r="AI40" s="612" t="s">
        <v>1674</v>
      </c>
      <c r="AJ40" s="612" t="s">
        <v>2996</v>
      </c>
      <c r="AK40" s="612" t="s">
        <v>1674</v>
      </c>
      <c r="AL40" s="612" t="s">
        <v>1674</v>
      </c>
      <c r="AM40" s="612" t="s">
        <v>2997</v>
      </c>
      <c r="AN40" s="612" t="s">
        <v>2998</v>
      </c>
      <c r="AP40">
        <f t="shared" si="0"/>
        <v>-14</v>
      </c>
      <c r="AQ40" s="552">
        <f t="shared" si="1"/>
        <v>759.22</v>
      </c>
    </row>
    <row r="41" spans="1:43" outlineLevel="1" x14ac:dyDescent="0.25">
      <c r="A41" s="612" t="s">
        <v>1674</v>
      </c>
      <c r="B41" s="786">
        <v>0</v>
      </c>
      <c r="C41" s="612" t="s">
        <v>1674</v>
      </c>
      <c r="D41" s="612" t="s">
        <v>5087</v>
      </c>
      <c r="E41" t="s">
        <v>4979</v>
      </c>
      <c r="F41" t="s">
        <v>5081</v>
      </c>
      <c r="G41" s="787">
        <v>1357.67</v>
      </c>
      <c r="H41" s="787"/>
      <c r="I41" s="787">
        <v>1357.67</v>
      </c>
      <c r="J41" t="s">
        <v>2701</v>
      </c>
      <c r="K41" s="611">
        <v>8400</v>
      </c>
      <c r="L41" t="s">
        <v>806</v>
      </c>
      <c r="M41" s="614"/>
      <c r="N41" s="788">
        <v>14</v>
      </c>
      <c r="O41" s="612" t="s">
        <v>1674</v>
      </c>
      <c r="P41" s="612" t="s">
        <v>1674</v>
      </c>
      <c r="Q41" s="612" t="s">
        <v>2992</v>
      </c>
      <c r="R41" s="612" t="s">
        <v>1674</v>
      </c>
      <c r="S41" s="612" t="s">
        <v>1674</v>
      </c>
      <c r="T41" s="789">
        <v>19</v>
      </c>
      <c r="U41" s="612" t="s">
        <v>4900</v>
      </c>
      <c r="V41" s="611">
        <v>935</v>
      </c>
      <c r="W41" s="614"/>
      <c r="Y41" s="612" t="s">
        <v>1674</v>
      </c>
      <c r="AA41" s="612" t="s">
        <v>1674</v>
      </c>
      <c r="AE41" s="790"/>
      <c r="AF41" s="612" t="s">
        <v>1674</v>
      </c>
      <c r="AG41" s="612" t="s">
        <v>1674</v>
      </c>
      <c r="AH41" s="612" t="s">
        <v>1674</v>
      </c>
      <c r="AI41" s="612" t="s">
        <v>1674</v>
      </c>
      <c r="AJ41" s="612" t="s">
        <v>1674</v>
      </c>
      <c r="AK41" s="612" t="s">
        <v>1674</v>
      </c>
      <c r="AL41" s="612" t="s">
        <v>1674</v>
      </c>
      <c r="AM41" s="612" t="s">
        <v>1674</v>
      </c>
      <c r="AN41" s="612" t="s">
        <v>1674</v>
      </c>
      <c r="AP41">
        <f t="shared" si="0"/>
        <v>-14</v>
      </c>
      <c r="AQ41" s="552">
        <f t="shared" si="1"/>
        <v>1357.67</v>
      </c>
    </row>
    <row r="42" spans="1:43" outlineLevel="1" x14ac:dyDescent="0.25">
      <c r="A42" s="612" t="s">
        <v>1674</v>
      </c>
      <c r="B42" s="786">
        <v>0</v>
      </c>
      <c r="C42" s="612" t="s">
        <v>1674</v>
      </c>
      <c r="D42" s="612" t="s">
        <v>5088</v>
      </c>
      <c r="E42" t="s">
        <v>4979</v>
      </c>
      <c r="F42" t="s">
        <v>5081</v>
      </c>
      <c r="G42" s="787">
        <v>1447.28</v>
      </c>
      <c r="H42" s="787"/>
      <c r="I42" s="787">
        <v>1447.28</v>
      </c>
      <c r="J42" t="s">
        <v>2701</v>
      </c>
      <c r="K42" s="611">
        <v>8400</v>
      </c>
      <c r="L42" t="s">
        <v>806</v>
      </c>
      <c r="M42" s="614"/>
      <c r="N42" s="788">
        <v>14</v>
      </c>
      <c r="O42" s="612" t="s">
        <v>1674</v>
      </c>
      <c r="P42" s="612" t="s">
        <v>1674</v>
      </c>
      <c r="Q42" s="612" t="s">
        <v>2992</v>
      </c>
      <c r="R42" s="612" t="s">
        <v>1674</v>
      </c>
      <c r="S42" s="612" t="s">
        <v>1674</v>
      </c>
      <c r="T42" s="789">
        <v>19</v>
      </c>
      <c r="U42" s="612" t="s">
        <v>4900</v>
      </c>
      <c r="V42" s="611">
        <v>936</v>
      </c>
      <c r="W42" s="614"/>
      <c r="Y42" s="612" t="s">
        <v>1674</v>
      </c>
      <c r="AA42" s="612" t="s">
        <v>1674</v>
      </c>
      <c r="AE42" s="790"/>
      <c r="AF42" s="612" t="s">
        <v>1674</v>
      </c>
      <c r="AG42" s="612" t="s">
        <v>1674</v>
      </c>
      <c r="AH42" s="612" t="s">
        <v>1674</v>
      </c>
      <c r="AI42" s="612" t="s">
        <v>1674</v>
      </c>
      <c r="AJ42" s="612" t="s">
        <v>1674</v>
      </c>
      <c r="AK42" s="612" t="s">
        <v>1674</v>
      </c>
      <c r="AL42" s="612" t="s">
        <v>1674</v>
      </c>
      <c r="AM42" s="612" t="s">
        <v>1674</v>
      </c>
      <c r="AN42" s="612" t="s">
        <v>1674</v>
      </c>
      <c r="AP42">
        <f t="shared" si="0"/>
        <v>-14</v>
      </c>
      <c r="AQ42" s="552">
        <f t="shared" si="1"/>
        <v>1447.28</v>
      </c>
    </row>
    <row r="43" spans="1:43" outlineLevel="1" x14ac:dyDescent="0.25">
      <c r="A43" s="612" t="s">
        <v>1674</v>
      </c>
      <c r="B43" s="786">
        <v>0</v>
      </c>
      <c r="C43" s="612" t="s">
        <v>1674</v>
      </c>
      <c r="D43" s="612" t="s">
        <v>5089</v>
      </c>
      <c r="E43" t="s">
        <v>4979</v>
      </c>
      <c r="F43" t="s">
        <v>5081</v>
      </c>
      <c r="G43" s="787">
        <v>2825.66</v>
      </c>
      <c r="H43" s="787"/>
      <c r="I43" s="787">
        <v>2825.66</v>
      </c>
      <c r="J43" t="s">
        <v>2701</v>
      </c>
      <c r="K43" s="611">
        <v>8400</v>
      </c>
      <c r="L43" t="s">
        <v>806</v>
      </c>
      <c r="M43" s="614"/>
      <c r="N43" s="788">
        <v>14</v>
      </c>
      <c r="O43" s="612" t="s">
        <v>1674</v>
      </c>
      <c r="P43" s="612" t="s">
        <v>1674</v>
      </c>
      <c r="Q43" s="612" t="s">
        <v>2992</v>
      </c>
      <c r="R43" s="612" t="s">
        <v>1674</v>
      </c>
      <c r="S43" s="612" t="s">
        <v>1674</v>
      </c>
      <c r="T43" s="789">
        <v>19</v>
      </c>
      <c r="U43" s="612" t="s">
        <v>4900</v>
      </c>
      <c r="V43" s="611">
        <v>937</v>
      </c>
      <c r="W43" s="614"/>
      <c r="Y43" s="612" t="s">
        <v>1674</v>
      </c>
      <c r="AA43" s="612" t="s">
        <v>1674</v>
      </c>
      <c r="AE43" s="790"/>
      <c r="AF43" s="612" t="s">
        <v>1674</v>
      </c>
      <c r="AG43" s="612" t="s">
        <v>1674</v>
      </c>
      <c r="AH43" s="612" t="s">
        <v>1674</v>
      </c>
      <c r="AI43" s="612" t="s">
        <v>1674</v>
      </c>
      <c r="AJ43" s="612" t="s">
        <v>1674</v>
      </c>
      <c r="AK43" s="612" t="s">
        <v>1674</v>
      </c>
      <c r="AL43" s="612" t="s">
        <v>1674</v>
      </c>
      <c r="AM43" s="612" t="s">
        <v>1674</v>
      </c>
      <c r="AN43" s="612" t="s">
        <v>1674</v>
      </c>
      <c r="AP43">
        <f t="shared" si="0"/>
        <v>-14</v>
      </c>
      <c r="AQ43" s="552">
        <f t="shared" si="1"/>
        <v>2825.66</v>
      </c>
    </row>
    <row r="44" spans="1:43" outlineLevel="1" x14ac:dyDescent="0.25">
      <c r="A44" s="612" t="s">
        <v>1674</v>
      </c>
      <c r="B44" s="786">
        <v>0</v>
      </c>
      <c r="C44" s="612" t="s">
        <v>1674</v>
      </c>
      <c r="D44" s="612" t="s">
        <v>5090</v>
      </c>
      <c r="E44" t="s">
        <v>4979</v>
      </c>
      <c r="F44" t="s">
        <v>5081</v>
      </c>
      <c r="G44" s="787">
        <v>2825.66</v>
      </c>
      <c r="H44" s="787"/>
      <c r="I44" s="787">
        <v>2825.66</v>
      </c>
      <c r="J44" t="s">
        <v>2701</v>
      </c>
      <c r="K44" s="611">
        <v>8400</v>
      </c>
      <c r="L44" t="s">
        <v>806</v>
      </c>
      <c r="M44" s="614"/>
      <c r="N44" s="788">
        <v>14</v>
      </c>
      <c r="O44" s="612" t="s">
        <v>1674</v>
      </c>
      <c r="P44" s="612" t="s">
        <v>1674</v>
      </c>
      <c r="Q44" s="612" t="s">
        <v>2992</v>
      </c>
      <c r="R44" s="612" t="s">
        <v>1674</v>
      </c>
      <c r="S44" s="612" t="s">
        <v>1674</v>
      </c>
      <c r="T44" s="789">
        <v>19</v>
      </c>
      <c r="U44" s="612" t="s">
        <v>4900</v>
      </c>
      <c r="V44" s="611">
        <v>938</v>
      </c>
      <c r="W44" s="614"/>
      <c r="Y44" s="612" t="s">
        <v>1674</v>
      </c>
      <c r="AA44" s="612" t="s">
        <v>1674</v>
      </c>
      <c r="AE44" s="790"/>
      <c r="AF44" s="612" t="s">
        <v>1674</v>
      </c>
      <c r="AG44" s="612" t="s">
        <v>1674</v>
      </c>
      <c r="AH44" s="612" t="s">
        <v>1674</v>
      </c>
      <c r="AI44" s="612" t="s">
        <v>1674</v>
      </c>
      <c r="AJ44" s="612" t="s">
        <v>1674</v>
      </c>
      <c r="AK44" s="612" t="s">
        <v>1674</v>
      </c>
      <c r="AL44" s="612" t="s">
        <v>1674</v>
      </c>
      <c r="AM44" s="612" t="s">
        <v>1674</v>
      </c>
      <c r="AN44" s="612" t="s">
        <v>1674</v>
      </c>
      <c r="AP44">
        <f t="shared" si="0"/>
        <v>-14</v>
      </c>
      <c r="AQ44" s="552">
        <f t="shared" si="1"/>
        <v>2825.66</v>
      </c>
    </row>
    <row r="45" spans="1:43" outlineLevel="1" x14ac:dyDescent="0.25">
      <c r="A45" s="612" t="s">
        <v>1674</v>
      </c>
      <c r="B45" s="786">
        <v>0</v>
      </c>
      <c r="C45" s="612" t="s">
        <v>1674</v>
      </c>
      <c r="D45" s="612" t="s">
        <v>5091</v>
      </c>
      <c r="E45" t="s">
        <v>4897</v>
      </c>
      <c r="F45" t="s">
        <v>4898</v>
      </c>
      <c r="G45" s="787">
        <v>72.290000000000006</v>
      </c>
      <c r="H45" s="787"/>
      <c r="I45" s="787">
        <v>72.290000000000006</v>
      </c>
      <c r="J45" t="s">
        <v>2701</v>
      </c>
      <c r="K45" s="611">
        <v>8400</v>
      </c>
      <c r="L45" t="s">
        <v>806</v>
      </c>
      <c r="M45" s="614"/>
      <c r="N45" s="788">
        <v>15</v>
      </c>
      <c r="O45" s="612" t="s">
        <v>1674</v>
      </c>
      <c r="P45" s="612" t="s">
        <v>1674</v>
      </c>
      <c r="Q45" s="612" t="s">
        <v>2992</v>
      </c>
      <c r="R45" s="612" t="s">
        <v>3070</v>
      </c>
      <c r="S45" s="612" t="s">
        <v>1674</v>
      </c>
      <c r="T45" s="789">
        <v>19</v>
      </c>
      <c r="U45" s="612" t="s">
        <v>4900</v>
      </c>
      <c r="V45" s="611">
        <v>999</v>
      </c>
      <c r="W45" s="614"/>
      <c r="Y45" s="612" t="s">
        <v>1674</v>
      </c>
      <c r="AA45" s="612" t="s">
        <v>1674</v>
      </c>
      <c r="AE45" s="790"/>
      <c r="AF45" s="612" t="s">
        <v>1674</v>
      </c>
      <c r="AG45" s="612" t="s">
        <v>1674</v>
      </c>
      <c r="AH45" s="612" t="s">
        <v>1674</v>
      </c>
      <c r="AI45" s="612" t="s">
        <v>1674</v>
      </c>
      <c r="AJ45" s="612" t="s">
        <v>1674</v>
      </c>
      <c r="AK45" s="612" t="s">
        <v>1674</v>
      </c>
      <c r="AL45" s="612" t="s">
        <v>1674</v>
      </c>
      <c r="AM45" s="612" t="s">
        <v>1674</v>
      </c>
      <c r="AN45" s="612" t="s">
        <v>1674</v>
      </c>
      <c r="AP45">
        <f t="shared" si="0"/>
        <v>-15</v>
      </c>
      <c r="AQ45" s="552">
        <f t="shared" si="1"/>
        <v>72.290000000000006</v>
      </c>
    </row>
    <row r="46" spans="1:43" outlineLevel="1" x14ac:dyDescent="0.25">
      <c r="A46" s="612" t="s">
        <v>1674</v>
      </c>
      <c r="B46" s="786">
        <v>0</v>
      </c>
      <c r="C46" s="612" t="s">
        <v>1674</v>
      </c>
      <c r="D46" s="612" t="s">
        <v>5092</v>
      </c>
      <c r="E46" t="s">
        <v>4897</v>
      </c>
      <c r="F46" t="s">
        <v>4898</v>
      </c>
      <c r="G46" s="787">
        <v>650.63</v>
      </c>
      <c r="H46" s="787"/>
      <c r="I46" s="787">
        <v>650.63</v>
      </c>
      <c r="J46" t="s">
        <v>2701</v>
      </c>
      <c r="K46" s="611">
        <v>8400</v>
      </c>
      <c r="L46" t="s">
        <v>806</v>
      </c>
      <c r="M46" s="614"/>
      <c r="N46" s="788">
        <v>15</v>
      </c>
      <c r="O46" s="612" t="s">
        <v>1674</v>
      </c>
      <c r="P46" s="612" t="s">
        <v>1674</v>
      </c>
      <c r="Q46" s="612" t="s">
        <v>2992</v>
      </c>
      <c r="R46" s="612" t="s">
        <v>3070</v>
      </c>
      <c r="S46" s="612" t="s">
        <v>1674</v>
      </c>
      <c r="T46" s="789">
        <v>19</v>
      </c>
      <c r="U46" s="612" t="s">
        <v>4900</v>
      </c>
      <c r="V46" s="611">
        <v>1007</v>
      </c>
      <c r="W46" s="614"/>
      <c r="Y46" s="612" t="s">
        <v>1674</v>
      </c>
      <c r="AA46" s="612" t="s">
        <v>1674</v>
      </c>
      <c r="AE46" s="790"/>
      <c r="AF46" s="612" t="s">
        <v>1674</v>
      </c>
      <c r="AG46" s="612" t="s">
        <v>1674</v>
      </c>
      <c r="AH46" s="612" t="s">
        <v>1674</v>
      </c>
      <c r="AI46" s="612" t="s">
        <v>1674</v>
      </c>
      <c r="AJ46" s="612" t="s">
        <v>1674</v>
      </c>
      <c r="AK46" s="612" t="s">
        <v>1674</v>
      </c>
      <c r="AL46" s="612" t="s">
        <v>1674</v>
      </c>
      <c r="AM46" s="612" t="s">
        <v>1674</v>
      </c>
      <c r="AN46" s="612" t="s">
        <v>1674</v>
      </c>
      <c r="AP46">
        <f t="shared" si="0"/>
        <v>-15</v>
      </c>
      <c r="AQ46" s="552">
        <f t="shared" si="1"/>
        <v>650.63</v>
      </c>
    </row>
    <row r="47" spans="1:43" outlineLevel="1" x14ac:dyDescent="0.25">
      <c r="A47" s="612" t="s">
        <v>1674</v>
      </c>
      <c r="B47" s="786">
        <v>0</v>
      </c>
      <c r="C47" s="612" t="s">
        <v>1674</v>
      </c>
      <c r="D47" s="612" t="s">
        <v>5093</v>
      </c>
      <c r="E47" t="s">
        <v>5022</v>
      </c>
      <c r="F47" t="s">
        <v>5023</v>
      </c>
      <c r="G47" s="787">
        <v>2453.3000000000002</v>
      </c>
      <c r="H47" s="787"/>
      <c r="I47" s="787">
        <v>2453.3000000000002</v>
      </c>
      <c r="J47" t="s">
        <v>2701</v>
      </c>
      <c r="K47" s="611">
        <v>8400</v>
      </c>
      <c r="L47" t="s">
        <v>806</v>
      </c>
      <c r="M47" s="614"/>
      <c r="N47" s="788">
        <v>16</v>
      </c>
      <c r="O47" s="612" t="s">
        <v>1674</v>
      </c>
      <c r="P47" s="612" t="s">
        <v>1674</v>
      </c>
      <c r="Q47" s="612" t="s">
        <v>2992</v>
      </c>
      <c r="R47" s="612" t="s">
        <v>1674</v>
      </c>
      <c r="S47" s="612" t="s">
        <v>1674</v>
      </c>
      <c r="T47" s="789">
        <v>19</v>
      </c>
      <c r="U47" s="612" t="s">
        <v>4900</v>
      </c>
      <c r="V47" s="611">
        <v>1112</v>
      </c>
      <c r="W47" s="614"/>
      <c r="Y47" s="612" t="s">
        <v>1674</v>
      </c>
      <c r="AA47" s="612" t="s">
        <v>1674</v>
      </c>
      <c r="AE47" s="790"/>
      <c r="AF47" s="612" t="s">
        <v>1674</v>
      </c>
      <c r="AG47" s="612" t="s">
        <v>1674</v>
      </c>
      <c r="AH47" s="612" t="s">
        <v>1674</v>
      </c>
      <c r="AI47" s="612" t="s">
        <v>1674</v>
      </c>
      <c r="AJ47" s="612" t="s">
        <v>1674</v>
      </c>
      <c r="AK47" s="612" t="s">
        <v>1674</v>
      </c>
      <c r="AL47" s="612" t="s">
        <v>1674</v>
      </c>
      <c r="AM47" s="612" t="s">
        <v>1674</v>
      </c>
      <c r="AN47" s="612" t="s">
        <v>1674</v>
      </c>
      <c r="AP47">
        <f t="shared" si="0"/>
        <v>-16</v>
      </c>
      <c r="AQ47" s="552">
        <f t="shared" si="1"/>
        <v>2453.3000000000002</v>
      </c>
    </row>
    <row r="48" spans="1:43" outlineLevel="1" x14ac:dyDescent="0.25">
      <c r="A48" s="612" t="s">
        <v>1674</v>
      </c>
      <c r="B48" s="786">
        <v>0</v>
      </c>
      <c r="C48" s="612" t="s">
        <v>1674</v>
      </c>
      <c r="D48" s="612" t="s">
        <v>5094</v>
      </c>
      <c r="E48" t="s">
        <v>5022</v>
      </c>
      <c r="F48" t="s">
        <v>5023</v>
      </c>
      <c r="G48" s="787">
        <v>2688.21</v>
      </c>
      <c r="H48" s="787"/>
      <c r="I48" s="787">
        <v>2688.21</v>
      </c>
      <c r="J48" t="s">
        <v>2701</v>
      </c>
      <c r="K48" s="611">
        <v>8400</v>
      </c>
      <c r="L48" t="s">
        <v>806</v>
      </c>
      <c r="M48" s="614"/>
      <c r="N48" s="788">
        <v>16</v>
      </c>
      <c r="O48" s="612" t="s">
        <v>1674</v>
      </c>
      <c r="P48" s="612" t="s">
        <v>1674</v>
      </c>
      <c r="Q48" s="612" t="s">
        <v>2992</v>
      </c>
      <c r="R48" s="612" t="s">
        <v>1674</v>
      </c>
      <c r="S48" s="612" t="s">
        <v>1674</v>
      </c>
      <c r="T48" s="789">
        <v>19</v>
      </c>
      <c r="U48" s="612" t="s">
        <v>4900</v>
      </c>
      <c r="V48" s="611">
        <v>1113</v>
      </c>
      <c r="W48" s="614"/>
      <c r="Y48" s="612" t="s">
        <v>1674</v>
      </c>
      <c r="AA48" s="612" t="s">
        <v>1674</v>
      </c>
      <c r="AE48" s="790"/>
      <c r="AF48" s="612" t="s">
        <v>1674</v>
      </c>
      <c r="AG48" s="612" t="s">
        <v>1674</v>
      </c>
      <c r="AH48" s="612" t="s">
        <v>1674</v>
      </c>
      <c r="AI48" s="612" t="s">
        <v>1674</v>
      </c>
      <c r="AJ48" s="612" t="s">
        <v>1674</v>
      </c>
      <c r="AK48" s="612" t="s">
        <v>1674</v>
      </c>
      <c r="AL48" s="612" t="s">
        <v>1674</v>
      </c>
      <c r="AM48" s="612" t="s">
        <v>1674</v>
      </c>
      <c r="AN48" s="612" t="s">
        <v>1674</v>
      </c>
      <c r="AP48">
        <f t="shared" si="0"/>
        <v>-16</v>
      </c>
      <c r="AQ48" s="552">
        <f t="shared" si="1"/>
        <v>2688.21</v>
      </c>
    </row>
    <row r="49" spans="1:43" outlineLevel="1" x14ac:dyDescent="0.25">
      <c r="A49" s="612" t="s">
        <v>1674</v>
      </c>
      <c r="B49" s="786">
        <v>0</v>
      </c>
      <c r="C49" s="612" t="s">
        <v>1674</v>
      </c>
      <c r="D49" s="612" t="s">
        <v>5095</v>
      </c>
      <c r="E49" t="s">
        <v>5022</v>
      </c>
      <c r="F49" t="s">
        <v>5023</v>
      </c>
      <c r="G49" s="787">
        <v>3322.24</v>
      </c>
      <c r="H49" s="787"/>
      <c r="I49" s="787">
        <v>3322.24</v>
      </c>
      <c r="J49" t="s">
        <v>2701</v>
      </c>
      <c r="K49" s="611">
        <v>8400</v>
      </c>
      <c r="L49" t="s">
        <v>806</v>
      </c>
      <c r="M49" s="614"/>
      <c r="N49" s="788">
        <v>16</v>
      </c>
      <c r="O49" s="612" t="s">
        <v>1674</v>
      </c>
      <c r="P49" s="612" t="s">
        <v>1674</v>
      </c>
      <c r="Q49" s="612" t="s">
        <v>2992</v>
      </c>
      <c r="R49" s="612" t="s">
        <v>1674</v>
      </c>
      <c r="S49" s="612" t="s">
        <v>1674</v>
      </c>
      <c r="T49" s="789">
        <v>19</v>
      </c>
      <c r="U49" s="612" t="s">
        <v>4900</v>
      </c>
      <c r="V49" s="611">
        <v>1114</v>
      </c>
      <c r="W49" s="614"/>
      <c r="Y49" s="612" t="s">
        <v>1674</v>
      </c>
      <c r="AA49" s="612" t="s">
        <v>1674</v>
      </c>
      <c r="AE49" s="790"/>
      <c r="AF49" s="612" t="s">
        <v>1674</v>
      </c>
      <c r="AG49" s="612" t="s">
        <v>1674</v>
      </c>
      <c r="AH49" s="612" t="s">
        <v>1674</v>
      </c>
      <c r="AI49" s="612" t="s">
        <v>1674</v>
      </c>
      <c r="AJ49" s="612" t="s">
        <v>1674</v>
      </c>
      <c r="AK49" s="612" t="s">
        <v>1674</v>
      </c>
      <c r="AL49" s="612" t="s">
        <v>1674</v>
      </c>
      <c r="AM49" s="612" t="s">
        <v>1674</v>
      </c>
      <c r="AN49" s="612" t="s">
        <v>1674</v>
      </c>
      <c r="AP49">
        <f t="shared" si="0"/>
        <v>-16</v>
      </c>
      <c r="AQ49" s="552">
        <f t="shared" si="1"/>
        <v>3322.24</v>
      </c>
    </row>
    <row r="50" spans="1:43" outlineLevel="1" x14ac:dyDescent="0.25">
      <c r="A50" s="612" t="s">
        <v>1674</v>
      </c>
      <c r="B50" s="786">
        <v>0</v>
      </c>
      <c r="C50" s="612" t="s">
        <v>1674</v>
      </c>
      <c r="D50" s="612" t="s">
        <v>5096</v>
      </c>
      <c r="E50" t="s">
        <v>5022</v>
      </c>
      <c r="F50" t="s">
        <v>5023</v>
      </c>
      <c r="G50" s="787">
        <v>3322.24</v>
      </c>
      <c r="H50" s="787"/>
      <c r="I50" s="787">
        <v>3322.24</v>
      </c>
      <c r="J50" t="s">
        <v>2701</v>
      </c>
      <c r="K50" s="611">
        <v>8400</v>
      </c>
      <c r="L50" t="s">
        <v>806</v>
      </c>
      <c r="M50" s="614"/>
      <c r="N50" s="788">
        <v>16</v>
      </c>
      <c r="O50" s="612" t="s">
        <v>1674</v>
      </c>
      <c r="P50" s="612" t="s">
        <v>1674</v>
      </c>
      <c r="Q50" s="612" t="s">
        <v>2992</v>
      </c>
      <c r="R50" s="612" t="s">
        <v>1674</v>
      </c>
      <c r="S50" s="612" t="s">
        <v>1674</v>
      </c>
      <c r="T50" s="789">
        <v>19</v>
      </c>
      <c r="U50" s="612" t="s">
        <v>4900</v>
      </c>
      <c r="V50" s="611">
        <v>1115</v>
      </c>
      <c r="W50" s="614"/>
      <c r="Y50" s="612" t="s">
        <v>1674</v>
      </c>
      <c r="AA50" s="612" t="s">
        <v>1674</v>
      </c>
      <c r="AE50" s="790"/>
      <c r="AF50" s="612" t="s">
        <v>1674</v>
      </c>
      <c r="AG50" s="612" t="s">
        <v>1674</v>
      </c>
      <c r="AH50" s="612" t="s">
        <v>1674</v>
      </c>
      <c r="AI50" s="612" t="s">
        <v>1674</v>
      </c>
      <c r="AJ50" s="612" t="s">
        <v>1674</v>
      </c>
      <c r="AK50" s="612" t="s">
        <v>1674</v>
      </c>
      <c r="AL50" s="612" t="s">
        <v>1674</v>
      </c>
      <c r="AM50" s="612" t="s">
        <v>1674</v>
      </c>
      <c r="AN50" s="612" t="s">
        <v>1674</v>
      </c>
      <c r="AP50">
        <f t="shared" si="0"/>
        <v>-16</v>
      </c>
      <c r="AQ50" s="552">
        <f t="shared" si="1"/>
        <v>3322.24</v>
      </c>
    </row>
    <row r="51" spans="1:43" outlineLevel="1" x14ac:dyDescent="0.25">
      <c r="A51" s="612" t="s">
        <v>1674</v>
      </c>
      <c r="B51" s="786">
        <v>0</v>
      </c>
      <c r="C51" s="612" t="s">
        <v>1674</v>
      </c>
      <c r="D51" s="612" t="s">
        <v>5097</v>
      </c>
      <c r="E51" t="s">
        <v>5022</v>
      </c>
      <c r="F51" t="s">
        <v>5023</v>
      </c>
      <c r="G51" s="787">
        <v>5376.42</v>
      </c>
      <c r="H51" s="787"/>
      <c r="I51" s="787">
        <v>5376.42</v>
      </c>
      <c r="J51" t="s">
        <v>2701</v>
      </c>
      <c r="K51" s="611">
        <v>8400</v>
      </c>
      <c r="L51" t="s">
        <v>806</v>
      </c>
      <c r="M51" s="614"/>
      <c r="N51" s="788">
        <v>16</v>
      </c>
      <c r="O51" s="612" t="s">
        <v>1674</v>
      </c>
      <c r="P51" s="612" t="s">
        <v>1674</v>
      </c>
      <c r="Q51" s="612" t="s">
        <v>2992</v>
      </c>
      <c r="R51" s="612" t="s">
        <v>1674</v>
      </c>
      <c r="S51" s="612" t="s">
        <v>1674</v>
      </c>
      <c r="T51" s="789">
        <v>19</v>
      </c>
      <c r="U51" s="612" t="s">
        <v>4900</v>
      </c>
      <c r="V51" s="611">
        <v>1116</v>
      </c>
      <c r="W51" s="614"/>
      <c r="Y51" s="612" t="s">
        <v>1674</v>
      </c>
      <c r="AA51" s="612" t="s">
        <v>1674</v>
      </c>
      <c r="AE51" s="790"/>
      <c r="AF51" s="612" t="s">
        <v>1674</v>
      </c>
      <c r="AG51" s="612" t="s">
        <v>1674</v>
      </c>
      <c r="AH51" s="612" t="s">
        <v>1674</v>
      </c>
      <c r="AI51" s="612" t="s">
        <v>1674</v>
      </c>
      <c r="AJ51" s="612" t="s">
        <v>1674</v>
      </c>
      <c r="AK51" s="612" t="s">
        <v>1674</v>
      </c>
      <c r="AL51" s="612" t="s">
        <v>1674</v>
      </c>
      <c r="AM51" s="612" t="s">
        <v>1674</v>
      </c>
      <c r="AN51" s="612" t="s">
        <v>1674</v>
      </c>
      <c r="AP51">
        <f t="shared" si="0"/>
        <v>-16</v>
      </c>
      <c r="AQ51" s="552">
        <f t="shared" si="1"/>
        <v>5376.42</v>
      </c>
    </row>
    <row r="52" spans="1:43" outlineLevel="1" x14ac:dyDescent="0.25">
      <c r="A52" s="612" t="s">
        <v>1674</v>
      </c>
      <c r="B52" s="786">
        <v>0</v>
      </c>
      <c r="C52" s="612" t="s">
        <v>1674</v>
      </c>
      <c r="D52" s="612" t="s">
        <v>5098</v>
      </c>
      <c r="E52" t="s">
        <v>5022</v>
      </c>
      <c r="F52" t="s">
        <v>5023</v>
      </c>
      <c r="G52" s="787">
        <v>137.80000000000001</v>
      </c>
      <c r="H52" s="787"/>
      <c r="I52" s="787">
        <v>137.80000000000001</v>
      </c>
      <c r="J52" t="s">
        <v>2701</v>
      </c>
      <c r="K52" s="611">
        <v>8400</v>
      </c>
      <c r="L52" t="s">
        <v>806</v>
      </c>
      <c r="M52" s="614"/>
      <c r="N52" s="788">
        <v>16</v>
      </c>
      <c r="O52" s="612" t="s">
        <v>1674</v>
      </c>
      <c r="P52" s="612" t="s">
        <v>1674</v>
      </c>
      <c r="Q52" s="612" t="s">
        <v>2992</v>
      </c>
      <c r="R52" s="612" t="s">
        <v>1674</v>
      </c>
      <c r="S52" s="612" t="s">
        <v>1674</v>
      </c>
      <c r="T52" s="789">
        <v>19</v>
      </c>
      <c r="U52" s="612" t="s">
        <v>4900</v>
      </c>
      <c r="V52" s="611">
        <v>1126</v>
      </c>
      <c r="W52" s="614"/>
      <c r="Y52" s="612" t="s">
        <v>1674</v>
      </c>
      <c r="AA52" s="612" t="s">
        <v>1674</v>
      </c>
      <c r="AE52" s="790"/>
      <c r="AF52" s="612" t="s">
        <v>1674</v>
      </c>
      <c r="AG52" s="612" t="s">
        <v>1674</v>
      </c>
      <c r="AH52" s="612" t="s">
        <v>1674</v>
      </c>
      <c r="AI52" s="612" t="s">
        <v>1674</v>
      </c>
      <c r="AJ52" s="612" t="s">
        <v>1674</v>
      </c>
      <c r="AK52" s="612" t="s">
        <v>1674</v>
      </c>
      <c r="AL52" s="612" t="s">
        <v>1674</v>
      </c>
      <c r="AM52" s="612" t="s">
        <v>1674</v>
      </c>
      <c r="AN52" s="612" t="s">
        <v>1674</v>
      </c>
      <c r="AP52">
        <f t="shared" si="0"/>
        <v>-16</v>
      </c>
      <c r="AQ52" s="552">
        <f t="shared" si="1"/>
        <v>137.80000000000001</v>
      </c>
    </row>
    <row r="53" spans="1:43" outlineLevel="1" x14ac:dyDescent="0.25">
      <c r="A53" s="612" t="s">
        <v>1674</v>
      </c>
      <c r="B53" s="786">
        <v>0</v>
      </c>
      <c r="C53" s="612" t="s">
        <v>1674</v>
      </c>
      <c r="D53" s="612" t="s">
        <v>5099</v>
      </c>
      <c r="E53" t="s">
        <v>4911</v>
      </c>
      <c r="F53" t="s">
        <v>4912</v>
      </c>
      <c r="G53" s="787">
        <v>206.7</v>
      </c>
      <c r="H53" s="787"/>
      <c r="I53" s="787">
        <v>206.7</v>
      </c>
      <c r="J53" t="s">
        <v>2701</v>
      </c>
      <c r="K53" s="611">
        <v>8400</v>
      </c>
      <c r="L53" t="s">
        <v>806</v>
      </c>
      <c r="M53" s="614"/>
      <c r="N53" s="788">
        <v>17</v>
      </c>
      <c r="O53" s="612" t="s">
        <v>1674</v>
      </c>
      <c r="P53" s="612" t="s">
        <v>1674</v>
      </c>
      <c r="Q53" s="612" t="s">
        <v>2992</v>
      </c>
      <c r="R53" s="612" t="s">
        <v>1674</v>
      </c>
      <c r="S53" s="612" t="s">
        <v>1674</v>
      </c>
      <c r="T53" s="789">
        <v>19</v>
      </c>
      <c r="U53" s="612" t="s">
        <v>4900</v>
      </c>
      <c r="V53" s="611">
        <v>1207</v>
      </c>
      <c r="W53" s="614"/>
      <c r="Y53" s="612" t="s">
        <v>1674</v>
      </c>
      <c r="AA53" s="612" t="s">
        <v>1674</v>
      </c>
      <c r="AE53" s="790"/>
      <c r="AF53" s="612" t="s">
        <v>1674</v>
      </c>
      <c r="AG53" s="612" t="s">
        <v>1674</v>
      </c>
      <c r="AH53" s="612" t="s">
        <v>1674</v>
      </c>
      <c r="AI53" s="612" t="s">
        <v>1674</v>
      </c>
      <c r="AJ53" s="612" t="s">
        <v>1674</v>
      </c>
      <c r="AK53" s="612" t="s">
        <v>1674</v>
      </c>
      <c r="AL53" s="612" t="s">
        <v>1674</v>
      </c>
      <c r="AM53" s="612" t="s">
        <v>1674</v>
      </c>
      <c r="AN53" s="612" t="s">
        <v>1674</v>
      </c>
      <c r="AP53">
        <f t="shared" si="0"/>
        <v>-17</v>
      </c>
      <c r="AQ53" s="552">
        <f t="shared" si="1"/>
        <v>206.7</v>
      </c>
    </row>
    <row r="54" spans="1:43" outlineLevel="1" x14ac:dyDescent="0.25">
      <c r="A54" s="612" t="s">
        <v>1674</v>
      </c>
      <c r="B54" s="786">
        <v>0</v>
      </c>
      <c r="C54" s="612" t="s">
        <v>1674</v>
      </c>
      <c r="D54" s="612" t="s">
        <v>5100</v>
      </c>
      <c r="E54" t="s">
        <v>4911</v>
      </c>
      <c r="F54" t="s">
        <v>4912</v>
      </c>
      <c r="G54" s="787">
        <v>206.7</v>
      </c>
      <c r="H54" s="787"/>
      <c r="I54" s="787">
        <v>206.7</v>
      </c>
      <c r="J54" t="s">
        <v>2701</v>
      </c>
      <c r="K54" s="611">
        <v>8400</v>
      </c>
      <c r="L54" t="s">
        <v>806</v>
      </c>
      <c r="M54" s="614"/>
      <c r="N54" s="788">
        <v>17</v>
      </c>
      <c r="O54" s="612" t="s">
        <v>1674</v>
      </c>
      <c r="P54" s="612" t="s">
        <v>1674</v>
      </c>
      <c r="Q54" s="612" t="s">
        <v>2992</v>
      </c>
      <c r="R54" s="612" t="s">
        <v>1674</v>
      </c>
      <c r="S54" s="612" t="s">
        <v>1674</v>
      </c>
      <c r="T54" s="789">
        <v>19</v>
      </c>
      <c r="U54" s="612" t="s">
        <v>4900</v>
      </c>
      <c r="V54" s="611">
        <v>1208</v>
      </c>
      <c r="W54" s="614"/>
      <c r="Y54" s="612" t="s">
        <v>1674</v>
      </c>
      <c r="AA54" s="612" t="s">
        <v>1674</v>
      </c>
      <c r="AE54" s="790"/>
      <c r="AF54" s="612" t="s">
        <v>1674</v>
      </c>
      <c r="AG54" s="612" t="s">
        <v>1674</v>
      </c>
      <c r="AH54" s="612" t="s">
        <v>1674</v>
      </c>
      <c r="AI54" s="612" t="s">
        <v>1674</v>
      </c>
      <c r="AJ54" s="612" t="s">
        <v>1674</v>
      </c>
      <c r="AK54" s="612" t="s">
        <v>1674</v>
      </c>
      <c r="AL54" s="612" t="s">
        <v>1674</v>
      </c>
      <c r="AM54" s="612" t="s">
        <v>1674</v>
      </c>
      <c r="AN54" s="612" t="s">
        <v>1674</v>
      </c>
      <c r="AP54">
        <f t="shared" si="0"/>
        <v>-17</v>
      </c>
      <c r="AQ54" s="552">
        <f t="shared" si="1"/>
        <v>206.7</v>
      </c>
    </row>
    <row r="55" spans="1:43" outlineLevel="1" x14ac:dyDescent="0.25">
      <c r="A55" s="612" t="s">
        <v>1674</v>
      </c>
      <c r="B55" s="786">
        <v>0</v>
      </c>
      <c r="C55" s="612" t="s">
        <v>1674</v>
      </c>
      <c r="D55" s="612" t="s">
        <v>5101</v>
      </c>
      <c r="E55" t="s">
        <v>4911</v>
      </c>
      <c r="F55" t="s">
        <v>4912</v>
      </c>
      <c r="G55" s="787">
        <v>1793.75</v>
      </c>
      <c r="H55" s="787"/>
      <c r="I55" s="787">
        <v>1793.75</v>
      </c>
      <c r="J55" t="s">
        <v>2701</v>
      </c>
      <c r="K55" s="611">
        <v>8400</v>
      </c>
      <c r="L55" t="s">
        <v>806</v>
      </c>
      <c r="M55" s="614"/>
      <c r="N55" s="788">
        <v>17</v>
      </c>
      <c r="O55" s="612" t="s">
        <v>1674</v>
      </c>
      <c r="P55" s="612" t="s">
        <v>1674</v>
      </c>
      <c r="Q55" s="612" t="s">
        <v>2992</v>
      </c>
      <c r="R55" s="612" t="s">
        <v>1674</v>
      </c>
      <c r="S55" s="612" t="s">
        <v>1674</v>
      </c>
      <c r="T55" s="789">
        <v>19</v>
      </c>
      <c r="U55" s="612" t="s">
        <v>4900</v>
      </c>
      <c r="V55" s="611">
        <v>1235</v>
      </c>
      <c r="W55" s="614"/>
      <c r="Y55" s="612" t="s">
        <v>1674</v>
      </c>
      <c r="AA55" s="612" t="s">
        <v>1674</v>
      </c>
      <c r="AE55" s="790"/>
      <c r="AF55" s="612" t="s">
        <v>1674</v>
      </c>
      <c r="AG55" s="612" t="s">
        <v>1674</v>
      </c>
      <c r="AH55" s="612" t="s">
        <v>1674</v>
      </c>
      <c r="AI55" s="612" t="s">
        <v>1674</v>
      </c>
      <c r="AJ55" s="612" t="s">
        <v>1674</v>
      </c>
      <c r="AK55" s="612" t="s">
        <v>1674</v>
      </c>
      <c r="AL55" s="612" t="s">
        <v>1674</v>
      </c>
      <c r="AM55" s="612" t="s">
        <v>1674</v>
      </c>
      <c r="AN55" s="612" t="s">
        <v>1674</v>
      </c>
      <c r="AP55">
        <f t="shared" si="0"/>
        <v>-17</v>
      </c>
      <c r="AQ55" s="552">
        <f t="shared" si="1"/>
        <v>1793.75</v>
      </c>
    </row>
    <row r="56" spans="1:43" outlineLevel="1" x14ac:dyDescent="0.25">
      <c r="A56" s="612" t="s">
        <v>1674</v>
      </c>
      <c r="B56" s="786">
        <v>0</v>
      </c>
      <c r="C56" s="612" t="s">
        <v>1674</v>
      </c>
      <c r="D56" s="612" t="s">
        <v>5102</v>
      </c>
      <c r="E56" t="s">
        <v>4915</v>
      </c>
      <c r="F56" t="s">
        <v>4916</v>
      </c>
      <c r="G56" s="787">
        <v>1844.5</v>
      </c>
      <c r="H56" s="787"/>
      <c r="I56" s="787">
        <v>1844.5</v>
      </c>
      <c r="J56" t="s">
        <v>2701</v>
      </c>
      <c r="K56" s="611">
        <v>8400</v>
      </c>
      <c r="L56" t="s">
        <v>806</v>
      </c>
      <c r="M56" s="614"/>
      <c r="N56" s="788">
        <v>18</v>
      </c>
      <c r="O56" s="612" t="s">
        <v>1674</v>
      </c>
      <c r="P56" s="612" t="s">
        <v>1674</v>
      </c>
      <c r="Q56" s="612" t="s">
        <v>2992</v>
      </c>
      <c r="R56" s="612" t="s">
        <v>1674</v>
      </c>
      <c r="S56" s="612" t="s">
        <v>1674</v>
      </c>
      <c r="T56" s="789">
        <v>19</v>
      </c>
      <c r="U56" s="612" t="s">
        <v>4900</v>
      </c>
      <c r="V56" s="611">
        <v>1350</v>
      </c>
      <c r="W56" s="614"/>
      <c r="Y56" s="612" t="s">
        <v>1674</v>
      </c>
      <c r="AA56" s="612" t="s">
        <v>1674</v>
      </c>
      <c r="AE56" s="790"/>
      <c r="AF56" s="612" t="s">
        <v>1674</v>
      </c>
      <c r="AG56" s="612" t="s">
        <v>1674</v>
      </c>
      <c r="AH56" s="612" t="s">
        <v>1674</v>
      </c>
      <c r="AI56" s="612" t="s">
        <v>1674</v>
      </c>
      <c r="AJ56" s="612" t="s">
        <v>1674</v>
      </c>
      <c r="AK56" s="612" t="s">
        <v>1674</v>
      </c>
      <c r="AL56" s="612" t="s">
        <v>1674</v>
      </c>
      <c r="AM56" s="612" t="s">
        <v>1674</v>
      </c>
      <c r="AN56" s="612" t="s">
        <v>1674</v>
      </c>
      <c r="AP56">
        <f t="shared" si="0"/>
        <v>-18</v>
      </c>
      <c r="AQ56" s="552">
        <f t="shared" si="1"/>
        <v>1844.5</v>
      </c>
    </row>
    <row r="57" spans="1:43" outlineLevel="1" x14ac:dyDescent="0.25">
      <c r="A57" s="612" t="s">
        <v>1674</v>
      </c>
      <c r="B57" s="786">
        <v>0</v>
      </c>
      <c r="C57" s="612" t="s">
        <v>1674</v>
      </c>
      <c r="D57" s="612" t="s">
        <v>5103</v>
      </c>
      <c r="E57" t="s">
        <v>4915</v>
      </c>
      <c r="F57" t="s">
        <v>4916</v>
      </c>
      <c r="G57" s="787">
        <v>1844.5</v>
      </c>
      <c r="H57" s="787"/>
      <c r="I57" s="787">
        <v>1844.5</v>
      </c>
      <c r="J57" t="s">
        <v>2701</v>
      </c>
      <c r="K57" s="611">
        <v>8400</v>
      </c>
      <c r="L57" t="s">
        <v>806</v>
      </c>
      <c r="M57" s="614"/>
      <c r="N57" s="788">
        <v>18</v>
      </c>
      <c r="O57" s="612" t="s">
        <v>1674</v>
      </c>
      <c r="P57" s="612" t="s">
        <v>1674</v>
      </c>
      <c r="Q57" s="612" t="s">
        <v>2992</v>
      </c>
      <c r="R57" s="612" t="s">
        <v>1674</v>
      </c>
      <c r="S57" s="612" t="s">
        <v>1674</v>
      </c>
      <c r="T57" s="789">
        <v>19</v>
      </c>
      <c r="U57" s="612" t="s">
        <v>4900</v>
      </c>
      <c r="V57" s="611">
        <v>1351</v>
      </c>
      <c r="W57" s="614"/>
      <c r="Y57" s="612" t="s">
        <v>1674</v>
      </c>
      <c r="AA57" s="612" t="s">
        <v>1674</v>
      </c>
      <c r="AE57" s="790"/>
      <c r="AF57" s="612" t="s">
        <v>1674</v>
      </c>
      <c r="AG57" s="612" t="s">
        <v>1674</v>
      </c>
      <c r="AH57" s="612" t="s">
        <v>1674</v>
      </c>
      <c r="AI57" s="612" t="s">
        <v>1674</v>
      </c>
      <c r="AJ57" s="612" t="s">
        <v>1674</v>
      </c>
      <c r="AK57" s="612" t="s">
        <v>1674</v>
      </c>
      <c r="AL57" s="612" t="s">
        <v>1674</v>
      </c>
      <c r="AM57" s="612" t="s">
        <v>1674</v>
      </c>
      <c r="AN57" s="612" t="s">
        <v>1674</v>
      </c>
      <c r="AP57">
        <f t="shared" si="0"/>
        <v>-18</v>
      </c>
      <c r="AQ57" s="552">
        <f t="shared" si="1"/>
        <v>1844.5</v>
      </c>
    </row>
    <row r="58" spans="1:43" outlineLevel="1" x14ac:dyDescent="0.25">
      <c r="A58" s="612" t="s">
        <v>1674</v>
      </c>
      <c r="B58" s="786">
        <v>0</v>
      </c>
      <c r="C58" s="612" t="s">
        <v>1674</v>
      </c>
      <c r="D58" s="612" t="s">
        <v>5104</v>
      </c>
      <c r="E58" t="s">
        <v>4915</v>
      </c>
      <c r="F58" t="s">
        <v>4916</v>
      </c>
      <c r="G58" s="787">
        <v>2213.4</v>
      </c>
      <c r="H58" s="787"/>
      <c r="I58" s="787">
        <v>2213.4</v>
      </c>
      <c r="J58" t="s">
        <v>2701</v>
      </c>
      <c r="K58" s="611">
        <v>8400</v>
      </c>
      <c r="L58" t="s">
        <v>806</v>
      </c>
      <c r="M58" s="614"/>
      <c r="N58" s="788">
        <v>18</v>
      </c>
      <c r="O58" s="612" t="s">
        <v>1674</v>
      </c>
      <c r="P58" s="612" t="s">
        <v>1674</v>
      </c>
      <c r="Q58" s="612" t="s">
        <v>2992</v>
      </c>
      <c r="R58" s="612" t="s">
        <v>1674</v>
      </c>
      <c r="S58" s="612" t="s">
        <v>1674</v>
      </c>
      <c r="T58" s="789">
        <v>19</v>
      </c>
      <c r="U58" s="612" t="s">
        <v>4900</v>
      </c>
      <c r="V58" s="611">
        <v>1354</v>
      </c>
      <c r="W58" s="614"/>
      <c r="Y58" s="612" t="s">
        <v>1674</v>
      </c>
      <c r="AA58" s="612" t="s">
        <v>1674</v>
      </c>
      <c r="AE58" s="790"/>
      <c r="AF58" s="612" t="s">
        <v>1674</v>
      </c>
      <c r="AG58" s="612" t="s">
        <v>1674</v>
      </c>
      <c r="AH58" s="612" t="s">
        <v>1674</v>
      </c>
      <c r="AI58" s="612" t="s">
        <v>1674</v>
      </c>
      <c r="AJ58" s="612" t="s">
        <v>1674</v>
      </c>
      <c r="AK58" s="612" t="s">
        <v>1674</v>
      </c>
      <c r="AL58" s="612" t="s">
        <v>1674</v>
      </c>
      <c r="AM58" s="612" t="s">
        <v>1674</v>
      </c>
      <c r="AN58" s="612" t="s">
        <v>1674</v>
      </c>
      <c r="AP58">
        <f t="shared" si="0"/>
        <v>-18</v>
      </c>
      <c r="AQ58" s="552">
        <f t="shared" si="1"/>
        <v>2213.4</v>
      </c>
    </row>
    <row r="59" spans="1:43" outlineLevel="1" x14ac:dyDescent="0.25">
      <c r="A59" s="612" t="s">
        <v>1674</v>
      </c>
      <c r="B59" s="786">
        <v>0</v>
      </c>
      <c r="C59" s="612" t="s">
        <v>1674</v>
      </c>
      <c r="D59" s="612" t="s">
        <v>5105</v>
      </c>
      <c r="E59" t="s">
        <v>4915</v>
      </c>
      <c r="F59" t="s">
        <v>4916</v>
      </c>
      <c r="G59" s="787">
        <v>226.1</v>
      </c>
      <c r="H59" s="787"/>
      <c r="I59" s="787">
        <v>226.1</v>
      </c>
      <c r="J59" t="s">
        <v>2701</v>
      </c>
      <c r="K59" s="611">
        <v>8400</v>
      </c>
      <c r="L59" t="s">
        <v>806</v>
      </c>
      <c r="M59" s="614"/>
      <c r="N59" s="788">
        <v>18</v>
      </c>
      <c r="O59" s="612" t="s">
        <v>1674</v>
      </c>
      <c r="P59" s="612" t="s">
        <v>1674</v>
      </c>
      <c r="Q59" s="612" t="s">
        <v>2992</v>
      </c>
      <c r="R59" s="612" t="s">
        <v>2617</v>
      </c>
      <c r="S59" s="612" t="s">
        <v>1674</v>
      </c>
      <c r="T59" s="789">
        <v>19</v>
      </c>
      <c r="U59" s="612" t="s">
        <v>4900</v>
      </c>
      <c r="V59" s="611">
        <v>1368</v>
      </c>
      <c r="W59" s="614"/>
      <c r="Y59" s="612" t="s">
        <v>1674</v>
      </c>
      <c r="AA59" s="612" t="s">
        <v>1674</v>
      </c>
      <c r="AE59" s="790"/>
      <c r="AF59" s="612" t="s">
        <v>1674</v>
      </c>
      <c r="AG59" s="612" t="s">
        <v>1674</v>
      </c>
      <c r="AH59" s="612" t="s">
        <v>1674</v>
      </c>
      <c r="AI59" s="612" t="s">
        <v>1674</v>
      </c>
      <c r="AJ59" s="612" t="s">
        <v>1674</v>
      </c>
      <c r="AK59" s="612" t="s">
        <v>1674</v>
      </c>
      <c r="AL59" s="612" t="s">
        <v>1674</v>
      </c>
      <c r="AM59" s="612" t="s">
        <v>1674</v>
      </c>
      <c r="AN59" s="612" t="s">
        <v>1674</v>
      </c>
      <c r="AP59">
        <f t="shared" si="0"/>
        <v>-18</v>
      </c>
      <c r="AQ59" s="552">
        <f t="shared" si="1"/>
        <v>226.1</v>
      </c>
    </row>
    <row r="60" spans="1:43" outlineLevel="1" x14ac:dyDescent="0.25">
      <c r="A60" s="612" t="s">
        <v>1674</v>
      </c>
      <c r="B60" s="786">
        <v>10237</v>
      </c>
      <c r="C60" s="612" t="s">
        <v>2750</v>
      </c>
      <c r="D60" s="612" t="s">
        <v>3352</v>
      </c>
      <c r="E60" t="s">
        <v>3353</v>
      </c>
      <c r="F60" t="s">
        <v>3354</v>
      </c>
      <c r="G60" s="787">
        <v>28560</v>
      </c>
      <c r="H60" s="787"/>
      <c r="I60" s="787">
        <v>28560</v>
      </c>
      <c r="J60" t="s">
        <v>2701</v>
      </c>
      <c r="K60" s="611" t="s">
        <v>4945</v>
      </c>
      <c r="L60" t="s">
        <v>2552</v>
      </c>
      <c r="M60" s="614"/>
      <c r="N60" s="788">
        <v>-298</v>
      </c>
      <c r="O60" s="612" t="s">
        <v>1674</v>
      </c>
      <c r="P60" s="612" t="s">
        <v>1674</v>
      </c>
      <c r="Q60" s="612" t="s">
        <v>2754</v>
      </c>
      <c r="R60" s="612" t="s">
        <v>2617</v>
      </c>
      <c r="S60" s="612" t="s">
        <v>1674</v>
      </c>
      <c r="T60" s="789">
        <v>19</v>
      </c>
      <c r="U60" s="612" t="s">
        <v>3306</v>
      </c>
      <c r="V60" s="611">
        <v>311</v>
      </c>
      <c r="W60" s="614"/>
      <c r="Y60" s="612" t="s">
        <v>1674</v>
      </c>
      <c r="AA60" s="612" t="s">
        <v>1674</v>
      </c>
      <c r="AE60" s="790"/>
      <c r="AF60" s="612" t="s">
        <v>1674</v>
      </c>
      <c r="AG60" s="612" t="s">
        <v>1674</v>
      </c>
      <c r="AH60" s="612" t="s">
        <v>1674</v>
      </c>
      <c r="AI60" s="612" t="s">
        <v>1674</v>
      </c>
      <c r="AJ60" s="612" t="s">
        <v>1674</v>
      </c>
      <c r="AK60" s="612" t="s">
        <v>1674</v>
      </c>
      <c r="AL60" s="612" t="s">
        <v>1674</v>
      </c>
      <c r="AM60" s="612" t="s">
        <v>2755</v>
      </c>
      <c r="AN60" s="612" t="s">
        <v>1674</v>
      </c>
      <c r="AP60">
        <f t="shared" si="0"/>
        <v>298</v>
      </c>
      <c r="AQ60" s="552">
        <f t="shared" si="1"/>
        <v>28560</v>
      </c>
    </row>
    <row r="61" spans="1:43" outlineLevel="1" x14ac:dyDescent="0.25">
      <c r="A61" s="612" t="s">
        <v>1674</v>
      </c>
      <c r="B61" s="786">
        <v>0</v>
      </c>
      <c r="C61" s="612" t="s">
        <v>1674</v>
      </c>
      <c r="D61" s="612" t="s">
        <v>3418</v>
      </c>
      <c r="E61" t="s">
        <v>3419</v>
      </c>
      <c r="F61" t="s">
        <v>3420</v>
      </c>
      <c r="G61" s="787">
        <v>34272</v>
      </c>
      <c r="H61" s="787"/>
      <c r="I61" s="787">
        <v>34272</v>
      </c>
      <c r="J61" t="s">
        <v>2701</v>
      </c>
      <c r="K61" s="611" t="s">
        <v>4945</v>
      </c>
      <c r="L61" t="s">
        <v>2552</v>
      </c>
      <c r="M61" s="614"/>
      <c r="N61" s="788">
        <v>-243</v>
      </c>
      <c r="O61" s="612" t="s">
        <v>1674</v>
      </c>
      <c r="P61" s="612" t="s">
        <v>1674</v>
      </c>
      <c r="Q61" s="612" t="s">
        <v>2754</v>
      </c>
      <c r="R61" s="612" t="s">
        <v>2617</v>
      </c>
      <c r="S61" s="612" t="s">
        <v>1674</v>
      </c>
      <c r="T61" s="789">
        <v>19</v>
      </c>
      <c r="U61" s="612" t="s">
        <v>3312</v>
      </c>
      <c r="V61" s="611">
        <v>213</v>
      </c>
      <c r="W61" s="614"/>
      <c r="Y61" s="612" t="s">
        <v>1674</v>
      </c>
      <c r="AA61" s="612" t="s">
        <v>1674</v>
      </c>
      <c r="AE61" s="790"/>
      <c r="AF61" s="612" t="s">
        <v>1674</v>
      </c>
      <c r="AG61" s="612" t="s">
        <v>1674</v>
      </c>
      <c r="AH61" s="612" t="s">
        <v>1674</v>
      </c>
      <c r="AI61" s="612" t="s">
        <v>1674</v>
      </c>
      <c r="AJ61" s="612" t="s">
        <v>1674</v>
      </c>
      <c r="AK61" s="612" t="s">
        <v>1674</v>
      </c>
      <c r="AL61" s="612" t="s">
        <v>1674</v>
      </c>
      <c r="AM61" s="612" t="s">
        <v>1674</v>
      </c>
      <c r="AN61" s="612" t="s">
        <v>1674</v>
      </c>
      <c r="AP61">
        <f t="shared" si="0"/>
        <v>243</v>
      </c>
      <c r="AQ61" s="552">
        <f t="shared" si="1"/>
        <v>34272</v>
      </c>
    </row>
    <row r="62" spans="1:43" outlineLevel="1" x14ac:dyDescent="0.25">
      <c r="A62" s="612" t="s">
        <v>1674</v>
      </c>
      <c r="B62" s="786">
        <v>0</v>
      </c>
      <c r="C62" s="612" t="s">
        <v>1674</v>
      </c>
      <c r="D62" s="612" t="s">
        <v>3501</v>
      </c>
      <c r="E62" t="s">
        <v>3502</v>
      </c>
      <c r="F62" t="s">
        <v>3503</v>
      </c>
      <c r="G62" s="787">
        <v>28560</v>
      </c>
      <c r="H62" s="787"/>
      <c r="I62" s="787">
        <v>28560</v>
      </c>
      <c r="J62" t="s">
        <v>2701</v>
      </c>
      <c r="K62" s="611" t="s">
        <v>4945</v>
      </c>
      <c r="L62" t="s">
        <v>2552</v>
      </c>
      <c r="M62" s="614"/>
      <c r="N62" s="788">
        <v>-181</v>
      </c>
      <c r="O62" s="612" t="s">
        <v>1674</v>
      </c>
      <c r="P62" s="612" t="s">
        <v>1674</v>
      </c>
      <c r="Q62" s="612" t="s">
        <v>2754</v>
      </c>
      <c r="R62" s="612" t="s">
        <v>2617</v>
      </c>
      <c r="S62" s="612" t="s">
        <v>1674</v>
      </c>
      <c r="T62" s="789">
        <v>19</v>
      </c>
      <c r="U62" s="612" t="s">
        <v>3315</v>
      </c>
      <c r="V62" s="611">
        <v>226</v>
      </c>
      <c r="W62" s="614"/>
      <c r="Y62" s="612" t="s">
        <v>1674</v>
      </c>
      <c r="AA62" s="612" t="s">
        <v>1674</v>
      </c>
      <c r="AE62" s="790"/>
      <c r="AF62" s="612" t="s">
        <v>1674</v>
      </c>
      <c r="AG62" s="612" t="s">
        <v>1674</v>
      </c>
      <c r="AH62" s="612" t="s">
        <v>1674</v>
      </c>
      <c r="AI62" s="612" t="s">
        <v>1674</v>
      </c>
      <c r="AJ62" s="612" t="s">
        <v>1674</v>
      </c>
      <c r="AK62" s="612" t="s">
        <v>1674</v>
      </c>
      <c r="AL62" s="612" t="s">
        <v>1674</v>
      </c>
      <c r="AM62" s="612" t="s">
        <v>1674</v>
      </c>
      <c r="AN62" s="612" t="s">
        <v>1674</v>
      </c>
      <c r="AP62">
        <f t="shared" si="0"/>
        <v>181</v>
      </c>
      <c r="AQ62" s="552">
        <f t="shared" si="1"/>
        <v>28560</v>
      </c>
    </row>
    <row r="63" spans="1:43" outlineLevel="1" x14ac:dyDescent="0.25">
      <c r="A63" s="612" t="s">
        <v>1674</v>
      </c>
      <c r="B63" s="786">
        <v>0</v>
      </c>
      <c r="C63" s="612" t="s">
        <v>1674</v>
      </c>
      <c r="D63" s="612" t="s">
        <v>5106</v>
      </c>
      <c r="E63" t="s">
        <v>4911</v>
      </c>
      <c r="F63" t="s">
        <v>4912</v>
      </c>
      <c r="G63" s="787">
        <v>28560</v>
      </c>
      <c r="H63" s="787"/>
      <c r="I63" s="787">
        <v>28560</v>
      </c>
      <c r="J63" t="s">
        <v>2701</v>
      </c>
      <c r="K63" s="611" t="s">
        <v>4945</v>
      </c>
      <c r="L63" t="s">
        <v>2552</v>
      </c>
      <c r="M63" s="614"/>
      <c r="N63" s="788">
        <v>17</v>
      </c>
      <c r="O63" s="612" t="s">
        <v>1674</v>
      </c>
      <c r="P63" s="612" t="s">
        <v>1674</v>
      </c>
      <c r="Q63" s="612" t="s">
        <v>2754</v>
      </c>
      <c r="R63" s="612" t="s">
        <v>2617</v>
      </c>
      <c r="S63" s="612" t="s">
        <v>1674</v>
      </c>
      <c r="T63" s="789">
        <v>19</v>
      </c>
      <c r="U63" s="612" t="s">
        <v>4900</v>
      </c>
      <c r="V63" s="611">
        <v>1243</v>
      </c>
      <c r="W63" s="614"/>
      <c r="Y63" s="612" t="s">
        <v>1674</v>
      </c>
      <c r="AA63" s="612" t="s">
        <v>1674</v>
      </c>
      <c r="AE63" s="790"/>
      <c r="AF63" s="612" t="s">
        <v>1674</v>
      </c>
      <c r="AG63" s="612" t="s">
        <v>1674</v>
      </c>
      <c r="AH63" s="612" t="s">
        <v>1674</v>
      </c>
      <c r="AI63" s="612" t="s">
        <v>1674</v>
      </c>
      <c r="AJ63" s="612" t="s">
        <v>1674</v>
      </c>
      <c r="AK63" s="612" t="s">
        <v>1674</v>
      </c>
      <c r="AL63" s="612" t="s">
        <v>1674</v>
      </c>
      <c r="AM63" s="612" t="s">
        <v>1674</v>
      </c>
      <c r="AN63" s="612" t="s">
        <v>1674</v>
      </c>
      <c r="AP63">
        <f t="shared" si="0"/>
        <v>-17</v>
      </c>
      <c r="AQ63" s="552">
        <f t="shared" si="1"/>
        <v>28560</v>
      </c>
    </row>
    <row r="64" spans="1:43" outlineLevel="1" x14ac:dyDescent="0.25">
      <c r="A64" s="612" t="s">
        <v>1674</v>
      </c>
      <c r="B64" s="786">
        <v>0</v>
      </c>
      <c r="C64" s="612" t="s">
        <v>1674</v>
      </c>
      <c r="D64" s="612" t="s">
        <v>2806</v>
      </c>
      <c r="E64" t="s">
        <v>2807</v>
      </c>
      <c r="F64" t="s">
        <v>2808</v>
      </c>
      <c r="G64" s="787">
        <v>773.5</v>
      </c>
      <c r="H64" s="787"/>
      <c r="I64" s="787">
        <v>773.5</v>
      </c>
      <c r="J64" t="s">
        <v>2701</v>
      </c>
      <c r="K64" s="611">
        <v>8403</v>
      </c>
      <c r="L64" t="s">
        <v>806</v>
      </c>
      <c r="M64" s="614"/>
      <c r="N64" s="788">
        <v>-431</v>
      </c>
      <c r="O64" s="612" t="s">
        <v>1674</v>
      </c>
      <c r="P64" s="612" t="s">
        <v>1674</v>
      </c>
      <c r="Q64" s="612" t="s">
        <v>2754</v>
      </c>
      <c r="R64" s="612" t="s">
        <v>1674</v>
      </c>
      <c r="S64" s="612" t="s">
        <v>1674</v>
      </c>
      <c r="T64" s="789">
        <v>19</v>
      </c>
      <c r="U64" s="612" t="s">
        <v>2691</v>
      </c>
      <c r="V64" s="611">
        <v>405</v>
      </c>
      <c r="W64" s="614"/>
      <c r="Y64" s="612" t="s">
        <v>1674</v>
      </c>
      <c r="AA64" s="612" t="s">
        <v>1674</v>
      </c>
      <c r="AE64" s="790"/>
      <c r="AF64" s="612" t="s">
        <v>1674</v>
      </c>
      <c r="AG64" s="612" t="s">
        <v>1674</v>
      </c>
      <c r="AH64" s="612" t="s">
        <v>1674</v>
      </c>
      <c r="AI64" s="612" t="s">
        <v>1674</v>
      </c>
      <c r="AJ64" s="612" t="s">
        <v>1674</v>
      </c>
      <c r="AK64" s="612" t="s">
        <v>1674</v>
      </c>
      <c r="AL64" s="612" t="s">
        <v>1674</v>
      </c>
      <c r="AM64" s="612" t="s">
        <v>1674</v>
      </c>
      <c r="AN64" s="612" t="s">
        <v>1674</v>
      </c>
      <c r="AP64">
        <f t="shared" si="0"/>
        <v>431</v>
      </c>
      <c r="AQ64" s="552">
        <f t="shared" si="1"/>
        <v>773.5</v>
      </c>
    </row>
    <row r="65" spans="1:43" outlineLevel="1" x14ac:dyDescent="0.25">
      <c r="A65" s="612" t="s">
        <v>1674</v>
      </c>
      <c r="B65" s="786">
        <v>0</v>
      </c>
      <c r="C65" s="612" t="s">
        <v>1674</v>
      </c>
      <c r="D65" s="612" t="s">
        <v>3424</v>
      </c>
      <c r="E65" t="s">
        <v>3373</v>
      </c>
      <c r="F65" t="s">
        <v>3425</v>
      </c>
      <c r="G65" s="787">
        <v>595</v>
      </c>
      <c r="H65" s="787"/>
      <c r="I65" s="787">
        <v>595</v>
      </c>
      <c r="J65" t="s">
        <v>2701</v>
      </c>
      <c r="K65" s="611">
        <v>8404</v>
      </c>
      <c r="L65" t="s">
        <v>806</v>
      </c>
      <c r="M65" s="614"/>
      <c r="N65" s="788">
        <v>-242</v>
      </c>
      <c r="O65" s="612" t="s">
        <v>1674</v>
      </c>
      <c r="P65" s="612" t="s">
        <v>1674</v>
      </c>
      <c r="Q65" s="612" t="s">
        <v>2754</v>
      </c>
      <c r="R65" s="612" t="s">
        <v>1674</v>
      </c>
      <c r="S65" s="612" t="s">
        <v>1674</v>
      </c>
      <c r="T65" s="789">
        <v>19</v>
      </c>
      <c r="U65" s="612" t="s">
        <v>3312</v>
      </c>
      <c r="V65" s="611">
        <v>312</v>
      </c>
      <c r="W65" s="614"/>
      <c r="Y65" s="612" t="s">
        <v>1674</v>
      </c>
      <c r="AA65" s="612" t="s">
        <v>1674</v>
      </c>
      <c r="AE65" s="790"/>
      <c r="AF65" s="612" t="s">
        <v>1674</v>
      </c>
      <c r="AG65" s="612" t="s">
        <v>1674</v>
      </c>
      <c r="AH65" s="612" t="s">
        <v>1674</v>
      </c>
      <c r="AI65" s="612" t="s">
        <v>1674</v>
      </c>
      <c r="AJ65" s="612" t="s">
        <v>1674</v>
      </c>
      <c r="AK65" s="612" t="s">
        <v>1674</v>
      </c>
      <c r="AL65" s="612" t="s">
        <v>1674</v>
      </c>
      <c r="AM65" s="612" t="s">
        <v>1674</v>
      </c>
      <c r="AN65" s="612" t="s">
        <v>1674</v>
      </c>
      <c r="AP65">
        <f t="shared" si="0"/>
        <v>242</v>
      </c>
      <c r="AQ65" s="552">
        <f t="shared" si="1"/>
        <v>595</v>
      </c>
    </row>
    <row r="66" spans="1:43" outlineLevel="1" x14ac:dyDescent="0.25">
      <c r="A66" s="612" t="s">
        <v>1674</v>
      </c>
      <c r="B66" s="786">
        <v>0</v>
      </c>
      <c r="C66" s="612" t="s">
        <v>1674</v>
      </c>
      <c r="D66" s="612" t="s">
        <v>3590</v>
      </c>
      <c r="E66" t="s">
        <v>3591</v>
      </c>
      <c r="F66" t="s">
        <v>3592</v>
      </c>
      <c r="G66" s="787">
        <v>773.5</v>
      </c>
      <c r="H66" s="787"/>
      <c r="I66" s="787">
        <v>773.5</v>
      </c>
      <c r="J66" t="s">
        <v>2701</v>
      </c>
      <c r="K66" s="611">
        <v>8403</v>
      </c>
      <c r="L66" t="s">
        <v>806</v>
      </c>
      <c r="M66" s="614"/>
      <c r="N66" s="788">
        <v>-132</v>
      </c>
      <c r="O66" s="612" t="s">
        <v>1674</v>
      </c>
      <c r="P66" s="612" t="s">
        <v>1674</v>
      </c>
      <c r="Q66" s="612" t="s">
        <v>2754</v>
      </c>
      <c r="R66" s="612" t="s">
        <v>1674</v>
      </c>
      <c r="S66" s="612" t="s">
        <v>1674</v>
      </c>
      <c r="T66" s="789">
        <v>19</v>
      </c>
      <c r="U66" s="612" t="s">
        <v>3320</v>
      </c>
      <c r="V66" s="611">
        <v>1277</v>
      </c>
      <c r="W66" s="614"/>
      <c r="Y66" s="612" t="s">
        <v>1674</v>
      </c>
      <c r="AA66" s="612" t="s">
        <v>1674</v>
      </c>
      <c r="AE66" s="790"/>
      <c r="AF66" s="612" t="s">
        <v>1674</v>
      </c>
      <c r="AG66" s="612" t="s">
        <v>1674</v>
      </c>
      <c r="AH66" s="612" t="s">
        <v>1674</v>
      </c>
      <c r="AI66" s="612" t="s">
        <v>1674</v>
      </c>
      <c r="AJ66" s="612" t="s">
        <v>1674</v>
      </c>
      <c r="AK66" s="612" t="s">
        <v>1674</v>
      </c>
      <c r="AL66" s="612" t="s">
        <v>1674</v>
      </c>
      <c r="AM66" s="612" t="s">
        <v>1674</v>
      </c>
      <c r="AN66" s="612" t="s">
        <v>1674</v>
      </c>
      <c r="AP66">
        <f t="shared" si="0"/>
        <v>132</v>
      </c>
      <c r="AQ66" s="552">
        <f t="shared" si="1"/>
        <v>773.5</v>
      </c>
    </row>
    <row r="67" spans="1:43" outlineLevel="1" x14ac:dyDescent="0.25">
      <c r="A67" s="612" t="s">
        <v>1674</v>
      </c>
      <c r="B67" s="786">
        <v>0</v>
      </c>
      <c r="C67" s="612" t="s">
        <v>1674</v>
      </c>
      <c r="D67" s="612" t="s">
        <v>3593</v>
      </c>
      <c r="E67" t="s">
        <v>3591</v>
      </c>
      <c r="F67" t="s">
        <v>3592</v>
      </c>
      <c r="G67" s="787">
        <v>773.5</v>
      </c>
      <c r="H67" s="787"/>
      <c r="I67" s="787">
        <v>773.5</v>
      </c>
      <c r="J67" t="s">
        <v>2701</v>
      </c>
      <c r="K67" s="611">
        <v>8403</v>
      </c>
      <c r="L67" t="s">
        <v>806</v>
      </c>
      <c r="M67" s="614"/>
      <c r="N67" s="788">
        <v>-132</v>
      </c>
      <c r="O67" s="612" t="s">
        <v>1674</v>
      </c>
      <c r="P67" s="612" t="s">
        <v>1674</v>
      </c>
      <c r="Q67" s="612" t="s">
        <v>2754</v>
      </c>
      <c r="R67" s="612" t="s">
        <v>1674</v>
      </c>
      <c r="S67" s="612" t="s">
        <v>1674</v>
      </c>
      <c r="T67" s="789">
        <v>19</v>
      </c>
      <c r="U67" s="612" t="s">
        <v>3320</v>
      </c>
      <c r="V67" s="611">
        <v>1278</v>
      </c>
      <c r="W67" s="614"/>
      <c r="Y67" s="612" t="s">
        <v>1674</v>
      </c>
      <c r="AA67" s="612" t="s">
        <v>1674</v>
      </c>
      <c r="AE67" s="790"/>
      <c r="AF67" s="612" t="s">
        <v>1674</v>
      </c>
      <c r="AG67" s="612" t="s">
        <v>1674</v>
      </c>
      <c r="AH67" s="612" t="s">
        <v>1674</v>
      </c>
      <c r="AI67" s="612" t="s">
        <v>1674</v>
      </c>
      <c r="AJ67" s="612" t="s">
        <v>1674</v>
      </c>
      <c r="AK67" s="612" t="s">
        <v>1674</v>
      </c>
      <c r="AL67" s="612" t="s">
        <v>1674</v>
      </c>
      <c r="AM67" s="612" t="s">
        <v>1674</v>
      </c>
      <c r="AN67" s="612" t="s">
        <v>1674</v>
      </c>
      <c r="AP67">
        <f t="shared" ref="AP67:AP130" si="2">IF(F67="",0,$AO$2-F67)</f>
        <v>132</v>
      </c>
      <c r="AQ67" s="552">
        <f t="shared" si="1"/>
        <v>773.5</v>
      </c>
    </row>
    <row r="68" spans="1:43" outlineLevel="1" x14ac:dyDescent="0.25">
      <c r="A68" s="612" t="s">
        <v>1674</v>
      </c>
      <c r="B68" s="786">
        <v>0</v>
      </c>
      <c r="C68" s="612" t="s">
        <v>1674</v>
      </c>
      <c r="D68" s="612" t="s">
        <v>5107</v>
      </c>
      <c r="E68" t="s">
        <v>5051</v>
      </c>
      <c r="F68" t="s">
        <v>4975</v>
      </c>
      <c r="G68" s="787">
        <v>595</v>
      </c>
      <c r="H68" s="787"/>
      <c r="I68" s="787">
        <v>595</v>
      </c>
      <c r="J68" t="s">
        <v>2701</v>
      </c>
      <c r="K68" s="611">
        <v>8404</v>
      </c>
      <c r="L68" t="s">
        <v>806</v>
      </c>
      <c r="M68" s="614"/>
      <c r="N68" s="788">
        <v>-5</v>
      </c>
      <c r="O68" s="612" t="s">
        <v>1674</v>
      </c>
      <c r="P68" s="612" t="s">
        <v>1674</v>
      </c>
      <c r="Q68" s="612" t="s">
        <v>2754</v>
      </c>
      <c r="R68" s="612" t="s">
        <v>1674</v>
      </c>
      <c r="S68" s="612" t="s">
        <v>1674</v>
      </c>
      <c r="T68" s="789">
        <v>19</v>
      </c>
      <c r="U68" s="612" t="s">
        <v>5010</v>
      </c>
      <c r="V68" s="611">
        <v>1599</v>
      </c>
      <c r="W68" s="614"/>
      <c r="Y68" s="612" t="s">
        <v>1674</v>
      </c>
      <c r="AA68" s="612" t="s">
        <v>1674</v>
      </c>
      <c r="AE68" s="790"/>
      <c r="AF68" s="612" t="s">
        <v>1674</v>
      </c>
      <c r="AG68" s="612" t="s">
        <v>1674</v>
      </c>
      <c r="AH68" s="612" t="s">
        <v>1674</v>
      </c>
      <c r="AI68" s="612" t="s">
        <v>1674</v>
      </c>
      <c r="AJ68" s="612" t="s">
        <v>1674</v>
      </c>
      <c r="AK68" s="612" t="s">
        <v>1674</v>
      </c>
      <c r="AL68" s="612" t="s">
        <v>1674</v>
      </c>
      <c r="AM68" s="612" t="s">
        <v>1674</v>
      </c>
      <c r="AN68" s="612" t="s">
        <v>1674</v>
      </c>
      <c r="AP68">
        <f t="shared" si="2"/>
        <v>5</v>
      </c>
      <c r="AQ68" s="552">
        <f t="shared" ref="AQ68:AQ131" si="3">IF(J68="S",+I68,-I68)</f>
        <v>595</v>
      </c>
    </row>
    <row r="69" spans="1:43" outlineLevel="1" x14ac:dyDescent="0.25">
      <c r="A69" s="612" t="s">
        <v>1674</v>
      </c>
      <c r="B69" s="786">
        <v>0</v>
      </c>
      <c r="C69" s="612" t="s">
        <v>1674</v>
      </c>
      <c r="D69" s="612" t="s">
        <v>5108</v>
      </c>
      <c r="E69" t="s">
        <v>5051</v>
      </c>
      <c r="F69" t="s">
        <v>4975</v>
      </c>
      <c r="G69" s="787">
        <v>595</v>
      </c>
      <c r="H69" s="787"/>
      <c r="I69" s="787">
        <v>595</v>
      </c>
      <c r="J69" t="s">
        <v>2701</v>
      </c>
      <c r="K69" s="611">
        <v>8404</v>
      </c>
      <c r="L69" t="s">
        <v>806</v>
      </c>
      <c r="M69" s="614"/>
      <c r="N69" s="788">
        <v>-5</v>
      </c>
      <c r="O69" s="612" t="s">
        <v>1674</v>
      </c>
      <c r="P69" s="612" t="s">
        <v>1674</v>
      </c>
      <c r="Q69" s="612" t="s">
        <v>2754</v>
      </c>
      <c r="R69" s="612" t="s">
        <v>1674</v>
      </c>
      <c r="S69" s="612" t="s">
        <v>1674</v>
      </c>
      <c r="T69" s="789">
        <v>19</v>
      </c>
      <c r="U69" s="612" t="s">
        <v>5010</v>
      </c>
      <c r="V69" s="611">
        <v>1600</v>
      </c>
      <c r="W69" s="614"/>
      <c r="Y69" s="612" t="s">
        <v>1674</v>
      </c>
      <c r="AA69" s="612" t="s">
        <v>1674</v>
      </c>
      <c r="AE69" s="790"/>
      <c r="AF69" s="612" t="s">
        <v>1674</v>
      </c>
      <c r="AG69" s="612" t="s">
        <v>1674</v>
      </c>
      <c r="AH69" s="612" t="s">
        <v>1674</v>
      </c>
      <c r="AI69" s="612" t="s">
        <v>1674</v>
      </c>
      <c r="AJ69" s="612" t="s">
        <v>1674</v>
      </c>
      <c r="AK69" s="612" t="s">
        <v>1674</v>
      </c>
      <c r="AL69" s="612" t="s">
        <v>1674</v>
      </c>
      <c r="AM69" s="612" t="s">
        <v>1674</v>
      </c>
      <c r="AN69" s="612" t="s">
        <v>1674</v>
      </c>
      <c r="AP69">
        <f t="shared" si="2"/>
        <v>5</v>
      </c>
      <c r="AQ69" s="552">
        <f t="shared" si="3"/>
        <v>595</v>
      </c>
    </row>
    <row r="70" spans="1:43" outlineLevel="1" x14ac:dyDescent="0.25">
      <c r="A70" s="612" t="s">
        <v>1674</v>
      </c>
      <c r="B70" s="786">
        <v>0</v>
      </c>
      <c r="C70" s="612" t="s">
        <v>1674</v>
      </c>
      <c r="D70" s="612" t="s">
        <v>5109</v>
      </c>
      <c r="E70" t="s">
        <v>5051</v>
      </c>
      <c r="F70" t="s">
        <v>4975</v>
      </c>
      <c r="G70" s="787">
        <v>595</v>
      </c>
      <c r="H70" s="787"/>
      <c r="I70" s="787">
        <v>595</v>
      </c>
      <c r="J70" t="s">
        <v>2701</v>
      </c>
      <c r="K70" s="611">
        <v>8404</v>
      </c>
      <c r="L70" t="s">
        <v>806</v>
      </c>
      <c r="M70" s="614"/>
      <c r="N70" s="788">
        <v>-5</v>
      </c>
      <c r="O70" s="612" t="s">
        <v>1674</v>
      </c>
      <c r="P70" s="612" t="s">
        <v>1674</v>
      </c>
      <c r="Q70" s="612" t="s">
        <v>2754</v>
      </c>
      <c r="R70" s="612" t="s">
        <v>1674</v>
      </c>
      <c r="S70" s="612" t="s">
        <v>1674</v>
      </c>
      <c r="T70" s="789">
        <v>19</v>
      </c>
      <c r="U70" s="612" t="s">
        <v>5010</v>
      </c>
      <c r="V70" s="611">
        <v>1601</v>
      </c>
      <c r="W70" s="614"/>
      <c r="Y70" s="612" t="s">
        <v>1674</v>
      </c>
      <c r="AA70" s="612" t="s">
        <v>1674</v>
      </c>
      <c r="AE70" s="790"/>
      <c r="AF70" s="612" t="s">
        <v>1674</v>
      </c>
      <c r="AG70" s="612" t="s">
        <v>1674</v>
      </c>
      <c r="AH70" s="612" t="s">
        <v>1674</v>
      </c>
      <c r="AI70" s="612" t="s">
        <v>1674</v>
      </c>
      <c r="AJ70" s="612" t="s">
        <v>1674</v>
      </c>
      <c r="AK70" s="612" t="s">
        <v>1674</v>
      </c>
      <c r="AL70" s="612" t="s">
        <v>1674</v>
      </c>
      <c r="AM70" s="612" t="s">
        <v>1674</v>
      </c>
      <c r="AN70" s="612" t="s">
        <v>1674</v>
      </c>
      <c r="AP70">
        <f t="shared" si="2"/>
        <v>5</v>
      </c>
      <c r="AQ70" s="552">
        <f t="shared" si="3"/>
        <v>595</v>
      </c>
    </row>
    <row r="71" spans="1:43" outlineLevel="1" x14ac:dyDescent="0.25">
      <c r="A71" s="612" t="s">
        <v>1674</v>
      </c>
      <c r="B71" s="786">
        <v>0</v>
      </c>
      <c r="C71" s="612" t="s">
        <v>1674</v>
      </c>
      <c r="D71" s="612" t="s">
        <v>5110</v>
      </c>
      <c r="E71" t="s">
        <v>4911</v>
      </c>
      <c r="F71" t="s">
        <v>4912</v>
      </c>
      <c r="G71" s="787">
        <v>862.51</v>
      </c>
      <c r="H71" s="787"/>
      <c r="I71" s="787">
        <v>862.51</v>
      </c>
      <c r="J71" t="s">
        <v>2701</v>
      </c>
      <c r="K71" s="611" t="s">
        <v>4945</v>
      </c>
      <c r="L71" t="s">
        <v>2552</v>
      </c>
      <c r="M71" s="614"/>
      <c r="N71" s="788">
        <v>17</v>
      </c>
      <c r="O71" s="612" t="s">
        <v>1674</v>
      </c>
      <c r="P71" s="612" t="s">
        <v>1674</v>
      </c>
      <c r="Q71" s="612" t="s">
        <v>2754</v>
      </c>
      <c r="R71" s="612" t="s">
        <v>1674</v>
      </c>
      <c r="S71" s="612" t="s">
        <v>1674</v>
      </c>
      <c r="T71" s="789">
        <v>19</v>
      </c>
      <c r="U71" s="612" t="s">
        <v>4900</v>
      </c>
      <c r="V71" s="611">
        <v>1253</v>
      </c>
      <c r="W71" s="614"/>
      <c r="Y71" s="612" t="s">
        <v>1674</v>
      </c>
      <c r="AA71" s="612" t="s">
        <v>1674</v>
      </c>
      <c r="AE71" s="790"/>
      <c r="AF71" s="612" t="s">
        <v>1674</v>
      </c>
      <c r="AG71" s="612" t="s">
        <v>1674</v>
      </c>
      <c r="AH71" s="612" t="s">
        <v>1674</v>
      </c>
      <c r="AI71" s="612" t="s">
        <v>1674</v>
      </c>
      <c r="AJ71" s="612" t="s">
        <v>1674</v>
      </c>
      <c r="AK71" s="612" t="s">
        <v>1674</v>
      </c>
      <c r="AL71" s="612" t="s">
        <v>1674</v>
      </c>
      <c r="AM71" s="612" t="s">
        <v>1674</v>
      </c>
      <c r="AN71" s="612" t="s">
        <v>1674</v>
      </c>
      <c r="AP71">
        <f t="shared" si="2"/>
        <v>-17</v>
      </c>
      <c r="AQ71" s="552">
        <f t="shared" si="3"/>
        <v>862.51</v>
      </c>
    </row>
    <row r="72" spans="1:43" outlineLevel="1" x14ac:dyDescent="0.25">
      <c r="A72" s="612" t="s">
        <v>1674</v>
      </c>
      <c r="B72" s="786">
        <v>10238</v>
      </c>
      <c r="C72" s="612" t="s">
        <v>5111</v>
      </c>
      <c r="D72" s="612" t="s">
        <v>5112</v>
      </c>
      <c r="E72" t="s">
        <v>4911</v>
      </c>
      <c r="F72" t="s">
        <v>4912</v>
      </c>
      <c r="G72" s="787">
        <v>1679.8</v>
      </c>
      <c r="H72" s="787"/>
      <c r="I72" s="787">
        <v>1679.8</v>
      </c>
      <c r="J72" t="s">
        <v>2701</v>
      </c>
      <c r="K72" s="611">
        <v>8400</v>
      </c>
      <c r="L72" t="s">
        <v>2552</v>
      </c>
      <c r="M72" s="614"/>
      <c r="N72" s="788">
        <v>17</v>
      </c>
      <c r="O72" s="612" t="s">
        <v>1674</v>
      </c>
      <c r="P72" s="612" t="s">
        <v>1674</v>
      </c>
      <c r="Q72" s="612" t="s">
        <v>5113</v>
      </c>
      <c r="R72" s="612" t="s">
        <v>2622</v>
      </c>
      <c r="S72" s="612" t="s">
        <v>1674</v>
      </c>
      <c r="T72" s="789">
        <v>19</v>
      </c>
      <c r="U72" s="612" t="s">
        <v>4900</v>
      </c>
      <c r="V72" s="611">
        <v>1233</v>
      </c>
      <c r="W72" s="614"/>
      <c r="Y72" s="612" t="s">
        <v>1674</v>
      </c>
      <c r="AA72" s="612" t="s">
        <v>1674</v>
      </c>
      <c r="AE72" s="790"/>
      <c r="AF72" s="612" t="s">
        <v>1674</v>
      </c>
      <c r="AG72" s="612" t="s">
        <v>1674</v>
      </c>
      <c r="AH72" s="612" t="s">
        <v>1674</v>
      </c>
      <c r="AI72" s="612" t="s">
        <v>1674</v>
      </c>
      <c r="AJ72" s="612" t="s">
        <v>1674</v>
      </c>
      <c r="AK72" s="612" t="s">
        <v>1674</v>
      </c>
      <c r="AL72" s="612" t="s">
        <v>1674</v>
      </c>
      <c r="AM72" s="612" t="s">
        <v>5114</v>
      </c>
      <c r="AN72" s="612" t="s">
        <v>1674</v>
      </c>
      <c r="AP72">
        <f t="shared" si="2"/>
        <v>-17</v>
      </c>
      <c r="AQ72" s="552">
        <f t="shared" si="3"/>
        <v>1679.8</v>
      </c>
    </row>
    <row r="73" spans="1:43" outlineLevel="1" x14ac:dyDescent="0.25">
      <c r="A73" s="612" t="s">
        <v>1674</v>
      </c>
      <c r="B73" s="786">
        <v>10241</v>
      </c>
      <c r="C73" s="612" t="s">
        <v>3202</v>
      </c>
      <c r="D73" s="612" t="s">
        <v>5115</v>
      </c>
      <c r="E73" t="s">
        <v>4897</v>
      </c>
      <c r="F73" t="s">
        <v>4898</v>
      </c>
      <c r="G73" s="787">
        <v>5123.66</v>
      </c>
      <c r="H73" s="787"/>
      <c r="I73" s="787">
        <v>5123.66</v>
      </c>
      <c r="J73" t="s">
        <v>2701</v>
      </c>
      <c r="K73" s="611">
        <v>8401</v>
      </c>
      <c r="L73" t="s">
        <v>806</v>
      </c>
      <c r="M73" s="614"/>
      <c r="N73" s="788">
        <v>15</v>
      </c>
      <c r="O73" s="612" t="s">
        <v>1674</v>
      </c>
      <c r="P73" s="612" t="s">
        <v>1674</v>
      </c>
      <c r="Q73" s="612" t="s">
        <v>3204</v>
      </c>
      <c r="R73" s="612" t="s">
        <v>3205</v>
      </c>
      <c r="S73" s="612" t="s">
        <v>1674</v>
      </c>
      <c r="T73" s="789">
        <v>19</v>
      </c>
      <c r="U73" s="612" t="s">
        <v>4900</v>
      </c>
      <c r="V73" s="611">
        <v>1012</v>
      </c>
      <c r="W73" s="614"/>
      <c r="Y73" s="612" t="s">
        <v>1674</v>
      </c>
      <c r="AA73" s="612" t="s">
        <v>1674</v>
      </c>
      <c r="AE73" s="790"/>
      <c r="AF73" s="612" t="s">
        <v>1674</v>
      </c>
      <c r="AG73" s="612" t="s">
        <v>1674</v>
      </c>
      <c r="AH73" s="612" t="s">
        <v>1674</v>
      </c>
      <c r="AI73" s="612" t="s">
        <v>1674</v>
      </c>
      <c r="AJ73" s="612" t="s">
        <v>1674</v>
      </c>
      <c r="AK73" s="612" t="s">
        <v>1674</v>
      </c>
      <c r="AL73" s="612" t="s">
        <v>1674</v>
      </c>
      <c r="AM73" s="612" t="s">
        <v>3206</v>
      </c>
      <c r="AN73" s="612" t="s">
        <v>1674</v>
      </c>
      <c r="AP73">
        <f t="shared" si="2"/>
        <v>-15</v>
      </c>
      <c r="AQ73" s="552">
        <f t="shared" si="3"/>
        <v>5123.66</v>
      </c>
    </row>
    <row r="74" spans="1:43" outlineLevel="1" x14ac:dyDescent="0.25">
      <c r="A74" s="612" t="s">
        <v>1674</v>
      </c>
      <c r="B74" s="786">
        <v>10400</v>
      </c>
      <c r="C74" s="612" t="s">
        <v>2730</v>
      </c>
      <c r="D74" s="612" t="s">
        <v>5116</v>
      </c>
      <c r="E74" t="s">
        <v>4436</v>
      </c>
      <c r="F74" t="s">
        <v>5117</v>
      </c>
      <c r="G74" s="787">
        <v>11352.6</v>
      </c>
      <c r="H74" s="787"/>
      <c r="I74" s="787">
        <v>11352.6</v>
      </c>
      <c r="J74" t="s">
        <v>2701</v>
      </c>
      <c r="K74" s="611" t="s">
        <v>4945</v>
      </c>
      <c r="L74" t="s">
        <v>2552</v>
      </c>
      <c r="M74" s="614"/>
      <c r="N74" s="788">
        <v>-34</v>
      </c>
      <c r="O74" s="612" t="s">
        <v>1674</v>
      </c>
      <c r="P74" s="612" t="s">
        <v>1674</v>
      </c>
      <c r="Q74" s="612" t="s">
        <v>2733</v>
      </c>
      <c r="R74" s="612" t="s">
        <v>2617</v>
      </c>
      <c r="S74" s="612" t="s">
        <v>1674</v>
      </c>
      <c r="T74" s="789">
        <v>19</v>
      </c>
      <c r="U74" s="612" t="s">
        <v>5002</v>
      </c>
      <c r="V74" s="611">
        <v>1453</v>
      </c>
      <c r="W74" s="614"/>
      <c r="Y74" s="612" t="s">
        <v>1674</v>
      </c>
      <c r="AA74" s="612" t="s">
        <v>1674</v>
      </c>
      <c r="AE74" s="790"/>
      <c r="AF74" s="612" t="s">
        <v>1674</v>
      </c>
      <c r="AG74" s="612" t="s">
        <v>1674</v>
      </c>
      <c r="AH74" s="612" t="s">
        <v>1674</v>
      </c>
      <c r="AI74" s="612" t="s">
        <v>1674</v>
      </c>
      <c r="AJ74" s="612" t="s">
        <v>1674</v>
      </c>
      <c r="AK74" s="612" t="s">
        <v>1674</v>
      </c>
      <c r="AL74" s="612" t="s">
        <v>1674</v>
      </c>
      <c r="AM74" s="612" t="s">
        <v>2730</v>
      </c>
      <c r="AN74" s="612" t="s">
        <v>1674</v>
      </c>
      <c r="AP74">
        <f t="shared" si="2"/>
        <v>34</v>
      </c>
      <c r="AQ74" s="552">
        <f t="shared" si="3"/>
        <v>11352.6</v>
      </c>
    </row>
    <row r="75" spans="1:43" outlineLevel="1" x14ac:dyDescent="0.25">
      <c r="A75" s="612" t="s">
        <v>1674</v>
      </c>
      <c r="B75" s="786">
        <v>0</v>
      </c>
      <c r="C75" s="612" t="s">
        <v>1674</v>
      </c>
      <c r="D75" s="612" t="s">
        <v>5118</v>
      </c>
      <c r="E75" t="s">
        <v>5015</v>
      </c>
      <c r="F75" t="s">
        <v>5119</v>
      </c>
      <c r="G75" s="787">
        <v>3034.5</v>
      </c>
      <c r="H75" s="787"/>
      <c r="I75" s="787">
        <v>3034.5</v>
      </c>
      <c r="J75" t="s">
        <v>2701</v>
      </c>
      <c r="K75" s="611" t="s">
        <v>4945</v>
      </c>
      <c r="L75" t="s">
        <v>2552</v>
      </c>
      <c r="M75" s="614"/>
      <c r="N75" s="788">
        <v>-25</v>
      </c>
      <c r="O75" s="612" t="s">
        <v>1674</v>
      </c>
      <c r="P75" s="612" t="s">
        <v>1674</v>
      </c>
      <c r="Q75" s="612" t="s">
        <v>3442</v>
      </c>
      <c r="R75" s="612" t="s">
        <v>2617</v>
      </c>
      <c r="S75" s="612" t="s">
        <v>1674</v>
      </c>
      <c r="T75" s="789">
        <v>19</v>
      </c>
      <c r="U75" s="612" t="s">
        <v>5010</v>
      </c>
      <c r="V75" s="611">
        <v>336</v>
      </c>
      <c r="W75" s="614"/>
      <c r="Y75" s="612" t="s">
        <v>1674</v>
      </c>
      <c r="AA75" s="612" t="s">
        <v>1674</v>
      </c>
      <c r="AE75" s="790"/>
      <c r="AF75" s="612" t="s">
        <v>1674</v>
      </c>
      <c r="AG75" s="612" t="s">
        <v>1674</v>
      </c>
      <c r="AH75" s="612" t="s">
        <v>1674</v>
      </c>
      <c r="AI75" s="612" t="s">
        <v>1674</v>
      </c>
      <c r="AJ75" s="612" t="s">
        <v>1674</v>
      </c>
      <c r="AK75" s="612" t="s">
        <v>1674</v>
      </c>
      <c r="AL75" s="612" t="s">
        <v>1674</v>
      </c>
      <c r="AM75" s="612" t="s">
        <v>1674</v>
      </c>
      <c r="AN75" s="612" t="s">
        <v>1674</v>
      </c>
      <c r="AP75">
        <f t="shared" si="2"/>
        <v>25</v>
      </c>
      <c r="AQ75" s="552">
        <f t="shared" si="3"/>
        <v>3034.5</v>
      </c>
    </row>
    <row r="76" spans="1:43" outlineLevel="1" x14ac:dyDescent="0.25">
      <c r="A76" s="612" t="s">
        <v>1674</v>
      </c>
      <c r="B76" s="786">
        <v>0</v>
      </c>
      <c r="C76" s="612" t="s">
        <v>1674</v>
      </c>
      <c r="D76" s="612" t="s">
        <v>5120</v>
      </c>
      <c r="E76" t="s">
        <v>5121</v>
      </c>
      <c r="F76" t="s">
        <v>5041</v>
      </c>
      <c r="G76" s="787">
        <v>4248.3</v>
      </c>
      <c r="H76" s="787"/>
      <c r="I76" s="787">
        <v>4248.3</v>
      </c>
      <c r="J76" t="s">
        <v>2701</v>
      </c>
      <c r="K76" s="611" t="s">
        <v>4945</v>
      </c>
      <c r="L76" t="s">
        <v>2552</v>
      </c>
      <c r="M76" s="614"/>
      <c r="N76" s="788">
        <v>-3</v>
      </c>
      <c r="O76" s="612" t="s">
        <v>1674</v>
      </c>
      <c r="P76" s="612" t="s">
        <v>1674</v>
      </c>
      <c r="Q76" s="612" t="s">
        <v>3442</v>
      </c>
      <c r="R76" s="612" t="s">
        <v>2617</v>
      </c>
      <c r="S76" s="612" t="s">
        <v>1674</v>
      </c>
      <c r="T76" s="789">
        <v>19</v>
      </c>
      <c r="U76" s="612" t="s">
        <v>5010</v>
      </c>
      <c r="V76" s="611">
        <v>1828</v>
      </c>
      <c r="W76" s="614"/>
      <c r="Y76" s="612" t="s">
        <v>1674</v>
      </c>
      <c r="AA76" s="612" t="s">
        <v>1674</v>
      </c>
      <c r="AE76" s="790"/>
      <c r="AF76" s="612" t="s">
        <v>1674</v>
      </c>
      <c r="AG76" s="612" t="s">
        <v>1674</v>
      </c>
      <c r="AH76" s="612" t="s">
        <v>1674</v>
      </c>
      <c r="AI76" s="612" t="s">
        <v>1674</v>
      </c>
      <c r="AJ76" s="612" t="s">
        <v>1674</v>
      </c>
      <c r="AK76" s="612" t="s">
        <v>1674</v>
      </c>
      <c r="AL76" s="612" t="s">
        <v>1674</v>
      </c>
      <c r="AM76" s="612" t="s">
        <v>1674</v>
      </c>
      <c r="AN76" s="612" t="s">
        <v>1674</v>
      </c>
      <c r="AP76">
        <f t="shared" si="2"/>
        <v>3</v>
      </c>
      <c r="AQ76" s="552">
        <f t="shared" si="3"/>
        <v>4248.3</v>
      </c>
    </row>
    <row r="77" spans="1:43" outlineLevel="1" x14ac:dyDescent="0.25">
      <c r="A77" s="612" t="s">
        <v>1674</v>
      </c>
      <c r="B77" s="786">
        <v>0</v>
      </c>
      <c r="C77" s="612" t="s">
        <v>1674</v>
      </c>
      <c r="D77" s="612" t="s">
        <v>5122</v>
      </c>
      <c r="E77" t="s">
        <v>4968</v>
      </c>
      <c r="F77" t="s">
        <v>4969</v>
      </c>
      <c r="G77" s="787">
        <v>11352.6</v>
      </c>
      <c r="H77" s="787"/>
      <c r="I77" s="787">
        <v>11352.6</v>
      </c>
      <c r="J77" t="s">
        <v>2701</v>
      </c>
      <c r="K77" s="611" t="s">
        <v>4945</v>
      </c>
      <c r="L77" t="s">
        <v>2552</v>
      </c>
      <c r="M77" s="614"/>
      <c r="N77" s="788">
        <v>1</v>
      </c>
      <c r="O77" s="612" t="s">
        <v>1674</v>
      </c>
      <c r="P77" s="612" t="s">
        <v>1674</v>
      </c>
      <c r="Q77" s="612" t="s">
        <v>2733</v>
      </c>
      <c r="R77" s="612" t="s">
        <v>2617</v>
      </c>
      <c r="S77" s="612" t="s">
        <v>1674</v>
      </c>
      <c r="T77" s="789">
        <v>19</v>
      </c>
      <c r="U77" s="612" t="s">
        <v>4900</v>
      </c>
      <c r="V77" s="611">
        <v>167</v>
      </c>
      <c r="W77" s="614"/>
      <c r="Y77" s="612" t="s">
        <v>1674</v>
      </c>
      <c r="AA77" s="612" t="s">
        <v>1674</v>
      </c>
      <c r="AE77" s="790"/>
      <c r="AF77" s="612" t="s">
        <v>1674</v>
      </c>
      <c r="AG77" s="612" t="s">
        <v>1674</v>
      </c>
      <c r="AH77" s="612" t="s">
        <v>1674</v>
      </c>
      <c r="AI77" s="612" t="s">
        <v>1674</v>
      </c>
      <c r="AJ77" s="612" t="s">
        <v>1674</v>
      </c>
      <c r="AK77" s="612" t="s">
        <v>1674</v>
      </c>
      <c r="AL77" s="612" t="s">
        <v>1674</v>
      </c>
      <c r="AM77" s="612" t="s">
        <v>1674</v>
      </c>
      <c r="AN77" s="612" t="s">
        <v>1674</v>
      </c>
      <c r="AP77">
        <f t="shared" si="2"/>
        <v>-1</v>
      </c>
      <c r="AQ77" s="552">
        <f t="shared" si="3"/>
        <v>11352.6</v>
      </c>
    </row>
    <row r="78" spans="1:43" outlineLevel="1" x14ac:dyDescent="0.25">
      <c r="A78" s="612" t="s">
        <v>1674</v>
      </c>
      <c r="B78" s="786">
        <v>0</v>
      </c>
      <c r="C78" s="612" t="s">
        <v>1674</v>
      </c>
      <c r="D78" s="612" t="s">
        <v>5123</v>
      </c>
      <c r="E78" t="s">
        <v>5124</v>
      </c>
      <c r="F78" t="s">
        <v>5125</v>
      </c>
      <c r="G78" s="787">
        <v>9371.25</v>
      </c>
      <c r="H78" s="787"/>
      <c r="I78" s="787">
        <v>9371.25</v>
      </c>
      <c r="J78" t="s">
        <v>2701</v>
      </c>
      <c r="K78" s="611">
        <v>8400</v>
      </c>
      <c r="L78" t="s">
        <v>806</v>
      </c>
      <c r="M78" s="614"/>
      <c r="N78" s="788">
        <v>2</v>
      </c>
      <c r="O78" s="612" t="s">
        <v>1674</v>
      </c>
      <c r="P78" s="612" t="s">
        <v>1674</v>
      </c>
      <c r="Q78" s="612" t="s">
        <v>3162</v>
      </c>
      <c r="R78" s="612" t="s">
        <v>1674</v>
      </c>
      <c r="S78" s="612" t="s">
        <v>1674</v>
      </c>
      <c r="T78" s="789">
        <v>19</v>
      </c>
      <c r="U78" s="612" t="s">
        <v>4900</v>
      </c>
      <c r="V78" s="611">
        <v>231</v>
      </c>
      <c r="W78" s="614"/>
      <c r="Y78" s="612" t="s">
        <v>1674</v>
      </c>
      <c r="AA78" s="612" t="s">
        <v>1674</v>
      </c>
      <c r="AE78" s="790"/>
      <c r="AF78" s="612" t="s">
        <v>1674</v>
      </c>
      <c r="AG78" s="612" t="s">
        <v>1674</v>
      </c>
      <c r="AH78" s="612" t="s">
        <v>1674</v>
      </c>
      <c r="AI78" s="612" t="s">
        <v>1674</v>
      </c>
      <c r="AJ78" s="612" t="s">
        <v>1674</v>
      </c>
      <c r="AK78" s="612" t="s">
        <v>1674</v>
      </c>
      <c r="AL78" s="612" t="s">
        <v>1674</v>
      </c>
      <c r="AM78" s="612" t="s">
        <v>1674</v>
      </c>
      <c r="AN78" s="612" t="s">
        <v>1674</v>
      </c>
      <c r="AP78">
        <f t="shared" si="2"/>
        <v>-2</v>
      </c>
      <c r="AQ78" s="552">
        <f t="shared" si="3"/>
        <v>9371.25</v>
      </c>
    </row>
    <row r="79" spans="1:43" outlineLevel="1" x14ac:dyDescent="0.25">
      <c r="A79" s="612" t="s">
        <v>1674</v>
      </c>
      <c r="B79" s="786">
        <v>0</v>
      </c>
      <c r="C79" s="612" t="s">
        <v>1674</v>
      </c>
      <c r="D79" s="612" t="s">
        <v>5126</v>
      </c>
      <c r="E79" t="s">
        <v>4918</v>
      </c>
      <c r="F79" t="s">
        <v>4919</v>
      </c>
      <c r="G79" s="787">
        <v>11352.6</v>
      </c>
      <c r="H79" s="787"/>
      <c r="I79" s="787">
        <v>11352.6</v>
      </c>
      <c r="J79" t="s">
        <v>2701</v>
      </c>
      <c r="K79" s="611" t="s">
        <v>4945</v>
      </c>
      <c r="L79" t="s">
        <v>2552</v>
      </c>
      <c r="M79" s="614"/>
      <c r="N79" s="788">
        <v>8</v>
      </c>
      <c r="O79" s="612" t="s">
        <v>1674</v>
      </c>
      <c r="P79" s="612" t="s">
        <v>1674</v>
      </c>
      <c r="Q79" s="612" t="s">
        <v>2733</v>
      </c>
      <c r="R79" s="612" t="s">
        <v>2617</v>
      </c>
      <c r="S79" s="612" t="s">
        <v>1674</v>
      </c>
      <c r="T79" s="789">
        <v>19</v>
      </c>
      <c r="U79" s="612" t="s">
        <v>4900</v>
      </c>
      <c r="V79" s="611">
        <v>594</v>
      </c>
      <c r="W79" s="614"/>
      <c r="Y79" s="612" t="s">
        <v>1674</v>
      </c>
      <c r="AA79" s="612" t="s">
        <v>1674</v>
      </c>
      <c r="AE79" s="790"/>
      <c r="AF79" s="612" t="s">
        <v>1674</v>
      </c>
      <c r="AG79" s="612" t="s">
        <v>1674</v>
      </c>
      <c r="AH79" s="612" t="s">
        <v>1674</v>
      </c>
      <c r="AI79" s="612" t="s">
        <v>1674</v>
      </c>
      <c r="AJ79" s="612" t="s">
        <v>1674</v>
      </c>
      <c r="AK79" s="612" t="s">
        <v>1674</v>
      </c>
      <c r="AL79" s="612" t="s">
        <v>1674</v>
      </c>
      <c r="AM79" s="612" t="s">
        <v>1674</v>
      </c>
      <c r="AN79" s="612" t="s">
        <v>1674</v>
      </c>
      <c r="AP79">
        <f t="shared" si="2"/>
        <v>-8</v>
      </c>
      <c r="AQ79" s="552">
        <f t="shared" si="3"/>
        <v>11352.6</v>
      </c>
    </row>
    <row r="80" spans="1:43" outlineLevel="1" x14ac:dyDescent="0.25">
      <c r="A80" s="612" t="s">
        <v>1674</v>
      </c>
      <c r="B80" s="786">
        <v>0</v>
      </c>
      <c r="C80" s="612" t="s">
        <v>1674</v>
      </c>
      <c r="D80" s="612" t="s">
        <v>5127</v>
      </c>
      <c r="E80" t="s">
        <v>4897</v>
      </c>
      <c r="F80" t="s">
        <v>4898</v>
      </c>
      <c r="G80" s="787">
        <v>11352.6</v>
      </c>
      <c r="H80" s="787"/>
      <c r="I80" s="787">
        <v>11352.6</v>
      </c>
      <c r="J80" t="s">
        <v>2701</v>
      </c>
      <c r="K80" s="611" t="s">
        <v>4945</v>
      </c>
      <c r="L80" t="s">
        <v>2552</v>
      </c>
      <c r="M80" s="614"/>
      <c r="N80" s="788">
        <v>15</v>
      </c>
      <c r="O80" s="612" t="s">
        <v>1674</v>
      </c>
      <c r="P80" s="612" t="s">
        <v>1674</v>
      </c>
      <c r="Q80" s="612" t="s">
        <v>2733</v>
      </c>
      <c r="R80" s="612" t="s">
        <v>2617</v>
      </c>
      <c r="S80" s="612" t="s">
        <v>1674</v>
      </c>
      <c r="T80" s="789">
        <v>19</v>
      </c>
      <c r="U80" s="612" t="s">
        <v>4900</v>
      </c>
      <c r="V80" s="611">
        <v>1013</v>
      </c>
      <c r="W80" s="614"/>
      <c r="Y80" s="612" t="s">
        <v>1674</v>
      </c>
      <c r="AA80" s="612" t="s">
        <v>1674</v>
      </c>
      <c r="AE80" s="790"/>
      <c r="AF80" s="612" t="s">
        <v>1674</v>
      </c>
      <c r="AG80" s="612" t="s">
        <v>1674</v>
      </c>
      <c r="AH80" s="612" t="s">
        <v>1674</v>
      </c>
      <c r="AI80" s="612" t="s">
        <v>1674</v>
      </c>
      <c r="AJ80" s="612" t="s">
        <v>1674</v>
      </c>
      <c r="AK80" s="612" t="s">
        <v>1674</v>
      </c>
      <c r="AL80" s="612" t="s">
        <v>1674</v>
      </c>
      <c r="AM80" s="612" t="s">
        <v>1674</v>
      </c>
      <c r="AN80" s="612" t="s">
        <v>1674</v>
      </c>
      <c r="AP80">
        <f t="shared" si="2"/>
        <v>-15</v>
      </c>
      <c r="AQ80" s="552">
        <f t="shared" si="3"/>
        <v>11352.6</v>
      </c>
    </row>
    <row r="81" spans="1:43" outlineLevel="1" x14ac:dyDescent="0.25">
      <c r="A81" s="612" t="s">
        <v>1674</v>
      </c>
      <c r="B81" s="786">
        <v>0</v>
      </c>
      <c r="C81" s="612" t="s">
        <v>1674</v>
      </c>
      <c r="D81" s="612" t="s">
        <v>5128</v>
      </c>
      <c r="E81" t="s">
        <v>4915</v>
      </c>
      <c r="F81" t="s">
        <v>4916</v>
      </c>
      <c r="G81" s="787">
        <v>5703.08</v>
      </c>
      <c r="H81" s="787"/>
      <c r="I81" s="787">
        <v>5703.08</v>
      </c>
      <c r="J81" t="s">
        <v>2701</v>
      </c>
      <c r="K81" s="611">
        <v>8400</v>
      </c>
      <c r="L81" t="s">
        <v>806</v>
      </c>
      <c r="M81" s="614"/>
      <c r="N81" s="788">
        <v>18</v>
      </c>
      <c r="O81" s="612" t="s">
        <v>1674</v>
      </c>
      <c r="P81" s="612" t="s">
        <v>1674</v>
      </c>
      <c r="Q81" s="612" t="s">
        <v>3162</v>
      </c>
      <c r="R81" s="612" t="s">
        <v>1674</v>
      </c>
      <c r="S81" s="612" t="s">
        <v>1674</v>
      </c>
      <c r="T81" s="789">
        <v>19</v>
      </c>
      <c r="U81" s="612" t="s">
        <v>4900</v>
      </c>
      <c r="V81" s="611">
        <v>1372</v>
      </c>
      <c r="W81" s="614"/>
      <c r="Y81" s="612" t="s">
        <v>1674</v>
      </c>
      <c r="AA81" s="612" t="s">
        <v>1674</v>
      </c>
      <c r="AE81" s="790"/>
      <c r="AF81" s="612" t="s">
        <v>1674</v>
      </c>
      <c r="AG81" s="612" t="s">
        <v>1674</v>
      </c>
      <c r="AH81" s="612" t="s">
        <v>1674</v>
      </c>
      <c r="AI81" s="612" t="s">
        <v>1674</v>
      </c>
      <c r="AJ81" s="612" t="s">
        <v>1674</v>
      </c>
      <c r="AK81" s="612" t="s">
        <v>1674</v>
      </c>
      <c r="AL81" s="612" t="s">
        <v>1674</v>
      </c>
      <c r="AM81" s="612" t="s">
        <v>1674</v>
      </c>
      <c r="AN81" s="612" t="s">
        <v>1674</v>
      </c>
      <c r="AP81">
        <f t="shared" si="2"/>
        <v>-18</v>
      </c>
      <c r="AQ81" s="552">
        <f t="shared" si="3"/>
        <v>5703.08</v>
      </c>
    </row>
    <row r="82" spans="1:43" outlineLevel="1" x14ac:dyDescent="0.25">
      <c r="A82" s="612" t="s">
        <v>1674</v>
      </c>
      <c r="B82" s="786">
        <v>0</v>
      </c>
      <c r="C82" s="612" t="s">
        <v>1674</v>
      </c>
      <c r="D82" s="612" t="s">
        <v>5129</v>
      </c>
      <c r="E82" t="s">
        <v>4915</v>
      </c>
      <c r="F82" t="s">
        <v>4916</v>
      </c>
      <c r="G82" s="787">
        <v>22705.200000000001</v>
      </c>
      <c r="H82" s="787"/>
      <c r="I82" s="787">
        <v>22705.200000000001</v>
      </c>
      <c r="J82" t="s">
        <v>2701</v>
      </c>
      <c r="K82" s="611" t="s">
        <v>4945</v>
      </c>
      <c r="L82" t="s">
        <v>2552</v>
      </c>
      <c r="M82" s="614"/>
      <c r="N82" s="788">
        <v>18</v>
      </c>
      <c r="O82" s="612" t="s">
        <v>1674</v>
      </c>
      <c r="P82" s="612" t="s">
        <v>1674</v>
      </c>
      <c r="Q82" s="612" t="s">
        <v>2733</v>
      </c>
      <c r="R82" s="612" t="s">
        <v>2617</v>
      </c>
      <c r="S82" s="612" t="s">
        <v>1674</v>
      </c>
      <c r="T82" s="789">
        <v>19</v>
      </c>
      <c r="U82" s="612" t="s">
        <v>4900</v>
      </c>
      <c r="V82" s="611">
        <v>1382</v>
      </c>
      <c r="W82" s="614"/>
      <c r="Y82" s="612" t="s">
        <v>1674</v>
      </c>
      <c r="AA82" s="612" t="s">
        <v>1674</v>
      </c>
      <c r="AE82" s="790"/>
      <c r="AF82" s="612" t="s">
        <v>1674</v>
      </c>
      <c r="AG82" s="612" t="s">
        <v>1674</v>
      </c>
      <c r="AH82" s="612" t="s">
        <v>1674</v>
      </c>
      <c r="AI82" s="612" t="s">
        <v>1674</v>
      </c>
      <c r="AJ82" s="612" t="s">
        <v>1674</v>
      </c>
      <c r="AK82" s="612" t="s">
        <v>1674</v>
      </c>
      <c r="AL82" s="612" t="s">
        <v>1674</v>
      </c>
      <c r="AM82" s="612" t="s">
        <v>1674</v>
      </c>
      <c r="AN82" s="612" t="s">
        <v>1674</v>
      </c>
      <c r="AP82">
        <f t="shared" si="2"/>
        <v>-18</v>
      </c>
      <c r="AQ82" s="552">
        <f t="shared" si="3"/>
        <v>22705.200000000001</v>
      </c>
    </row>
    <row r="83" spans="1:43" outlineLevel="1" x14ac:dyDescent="0.25">
      <c r="A83" s="612" t="s">
        <v>1674</v>
      </c>
      <c r="B83" s="786">
        <v>0</v>
      </c>
      <c r="C83" s="612" t="s">
        <v>1674</v>
      </c>
      <c r="D83" s="612" t="s">
        <v>2731</v>
      </c>
      <c r="E83" t="s">
        <v>2732</v>
      </c>
      <c r="F83" t="s">
        <v>2668</v>
      </c>
      <c r="G83" s="787">
        <v>142.80000000000001</v>
      </c>
      <c r="H83" s="787"/>
      <c r="I83" s="787">
        <v>142.80000000000001</v>
      </c>
      <c r="J83" t="s">
        <v>2701</v>
      </c>
      <c r="K83" s="611">
        <v>8404</v>
      </c>
      <c r="L83" t="s">
        <v>806</v>
      </c>
      <c r="M83" s="614"/>
      <c r="N83" s="788">
        <v>-671</v>
      </c>
      <c r="O83" s="612" t="s">
        <v>1674</v>
      </c>
      <c r="P83" s="612" t="s">
        <v>1674</v>
      </c>
      <c r="Q83" s="612" t="s">
        <v>2733</v>
      </c>
      <c r="R83" s="612" t="s">
        <v>1674</v>
      </c>
      <c r="S83" s="612" t="s">
        <v>1674</v>
      </c>
      <c r="T83" s="789">
        <v>19</v>
      </c>
      <c r="U83" s="612" t="s">
        <v>2667</v>
      </c>
      <c r="V83" s="611">
        <v>1665</v>
      </c>
      <c r="W83" s="614"/>
      <c r="Y83" s="612" t="s">
        <v>1674</v>
      </c>
      <c r="AA83" s="612" t="s">
        <v>1674</v>
      </c>
      <c r="AE83" s="790"/>
      <c r="AF83" s="612" t="s">
        <v>1674</v>
      </c>
      <c r="AG83" s="612" t="s">
        <v>1674</v>
      </c>
      <c r="AH83" s="612" t="s">
        <v>1674</v>
      </c>
      <c r="AI83" s="612" t="s">
        <v>1674</v>
      </c>
      <c r="AJ83" s="612" t="s">
        <v>1674</v>
      </c>
      <c r="AK83" s="612" t="s">
        <v>1674</v>
      </c>
      <c r="AL83" s="612" t="s">
        <v>1674</v>
      </c>
      <c r="AM83" s="612" t="s">
        <v>1674</v>
      </c>
      <c r="AN83" s="612" t="s">
        <v>1674</v>
      </c>
      <c r="AP83">
        <f t="shared" si="2"/>
        <v>671</v>
      </c>
      <c r="AQ83" s="552">
        <f t="shared" si="3"/>
        <v>142.80000000000001</v>
      </c>
    </row>
    <row r="84" spans="1:43" outlineLevel="1" x14ac:dyDescent="0.25">
      <c r="A84" s="612" t="s">
        <v>1674</v>
      </c>
      <c r="B84" s="786">
        <v>0</v>
      </c>
      <c r="C84" s="612" t="s">
        <v>1674</v>
      </c>
      <c r="D84" s="612" t="s">
        <v>5130</v>
      </c>
      <c r="E84" t="s">
        <v>5066</v>
      </c>
      <c r="F84" t="s">
        <v>5131</v>
      </c>
      <c r="G84" s="787">
        <v>130.9</v>
      </c>
      <c r="H84" s="787"/>
      <c r="I84" s="787">
        <v>130.9</v>
      </c>
      <c r="J84" t="s">
        <v>2701</v>
      </c>
      <c r="K84" s="611">
        <v>8404</v>
      </c>
      <c r="L84" t="s">
        <v>806</v>
      </c>
      <c r="M84" s="614"/>
      <c r="N84" s="788">
        <v>11</v>
      </c>
      <c r="O84" s="612" t="s">
        <v>1674</v>
      </c>
      <c r="P84" s="612" t="s">
        <v>1674</v>
      </c>
      <c r="Q84" s="612" t="s">
        <v>2733</v>
      </c>
      <c r="R84" s="612" t="s">
        <v>1674</v>
      </c>
      <c r="S84" s="612" t="s">
        <v>1674</v>
      </c>
      <c r="T84" s="789">
        <v>19</v>
      </c>
      <c r="U84" s="612" t="s">
        <v>4900</v>
      </c>
      <c r="V84" s="611">
        <v>857</v>
      </c>
      <c r="W84" s="614"/>
      <c r="Y84" s="612" t="s">
        <v>1674</v>
      </c>
      <c r="AA84" s="612" t="s">
        <v>1674</v>
      </c>
      <c r="AE84" s="790"/>
      <c r="AF84" s="612" t="s">
        <v>1674</v>
      </c>
      <c r="AG84" s="612" t="s">
        <v>1674</v>
      </c>
      <c r="AH84" s="612" t="s">
        <v>1674</v>
      </c>
      <c r="AI84" s="612" t="s">
        <v>1674</v>
      </c>
      <c r="AJ84" s="612" t="s">
        <v>1674</v>
      </c>
      <c r="AK84" s="612" t="s">
        <v>1674</v>
      </c>
      <c r="AL84" s="612" t="s">
        <v>1674</v>
      </c>
      <c r="AM84" s="612" t="s">
        <v>1674</v>
      </c>
      <c r="AN84" s="612" t="s">
        <v>1674</v>
      </c>
      <c r="AP84">
        <f t="shared" si="2"/>
        <v>-11</v>
      </c>
      <c r="AQ84" s="552">
        <f t="shared" si="3"/>
        <v>130.9</v>
      </c>
    </row>
    <row r="85" spans="1:43" outlineLevel="1" x14ac:dyDescent="0.25">
      <c r="A85" s="612" t="s">
        <v>1674</v>
      </c>
      <c r="B85" s="786">
        <v>0</v>
      </c>
      <c r="C85" s="612" t="s">
        <v>1674</v>
      </c>
      <c r="D85" s="612" t="s">
        <v>5132</v>
      </c>
      <c r="E85" t="s">
        <v>5066</v>
      </c>
      <c r="F85" t="s">
        <v>5131</v>
      </c>
      <c r="G85" s="787">
        <v>130.9</v>
      </c>
      <c r="H85" s="787"/>
      <c r="I85" s="787">
        <v>130.9</v>
      </c>
      <c r="J85" t="s">
        <v>2701</v>
      </c>
      <c r="K85" s="611">
        <v>8404</v>
      </c>
      <c r="L85" t="s">
        <v>806</v>
      </c>
      <c r="M85" s="614"/>
      <c r="N85" s="788">
        <v>11</v>
      </c>
      <c r="O85" s="612" t="s">
        <v>1674</v>
      </c>
      <c r="P85" s="612" t="s">
        <v>1674</v>
      </c>
      <c r="Q85" s="612" t="s">
        <v>2733</v>
      </c>
      <c r="R85" s="612" t="s">
        <v>1674</v>
      </c>
      <c r="S85" s="612" t="s">
        <v>1674</v>
      </c>
      <c r="T85" s="789">
        <v>19</v>
      </c>
      <c r="U85" s="612" t="s">
        <v>4900</v>
      </c>
      <c r="V85" s="611">
        <v>858</v>
      </c>
      <c r="W85" s="614"/>
      <c r="Y85" s="612" t="s">
        <v>1674</v>
      </c>
      <c r="AA85" s="612" t="s">
        <v>1674</v>
      </c>
      <c r="AE85" s="790"/>
      <c r="AF85" s="612" t="s">
        <v>1674</v>
      </c>
      <c r="AG85" s="612" t="s">
        <v>1674</v>
      </c>
      <c r="AH85" s="612" t="s">
        <v>1674</v>
      </c>
      <c r="AI85" s="612" t="s">
        <v>1674</v>
      </c>
      <c r="AJ85" s="612" t="s">
        <v>1674</v>
      </c>
      <c r="AK85" s="612" t="s">
        <v>1674</v>
      </c>
      <c r="AL85" s="612" t="s">
        <v>1674</v>
      </c>
      <c r="AM85" s="612" t="s">
        <v>1674</v>
      </c>
      <c r="AN85" s="612" t="s">
        <v>1674</v>
      </c>
      <c r="AP85">
        <f t="shared" si="2"/>
        <v>-11</v>
      </c>
      <c r="AQ85" s="552">
        <f t="shared" si="3"/>
        <v>130.9</v>
      </c>
    </row>
    <row r="86" spans="1:43" outlineLevel="1" x14ac:dyDescent="0.25">
      <c r="A86" s="612" t="s">
        <v>1674</v>
      </c>
      <c r="B86" s="786">
        <v>0</v>
      </c>
      <c r="C86" s="612" t="s">
        <v>1674</v>
      </c>
      <c r="D86" s="612" t="s">
        <v>5133</v>
      </c>
      <c r="E86" t="s">
        <v>5066</v>
      </c>
      <c r="F86" t="s">
        <v>5131</v>
      </c>
      <c r="G86" s="787">
        <v>130.9</v>
      </c>
      <c r="H86" s="787"/>
      <c r="I86" s="787">
        <v>130.9</v>
      </c>
      <c r="J86" t="s">
        <v>2701</v>
      </c>
      <c r="K86" s="611">
        <v>8404</v>
      </c>
      <c r="L86" t="s">
        <v>806</v>
      </c>
      <c r="M86" s="614"/>
      <c r="N86" s="788">
        <v>11</v>
      </c>
      <c r="O86" s="612" t="s">
        <v>1674</v>
      </c>
      <c r="P86" s="612" t="s">
        <v>1674</v>
      </c>
      <c r="Q86" s="612" t="s">
        <v>2733</v>
      </c>
      <c r="R86" s="612" t="s">
        <v>1674</v>
      </c>
      <c r="S86" s="612" t="s">
        <v>1674</v>
      </c>
      <c r="T86" s="789">
        <v>19</v>
      </c>
      <c r="U86" s="612" t="s">
        <v>4900</v>
      </c>
      <c r="V86" s="611">
        <v>859</v>
      </c>
      <c r="W86" s="614"/>
      <c r="Y86" s="612" t="s">
        <v>1674</v>
      </c>
      <c r="AA86" s="612" t="s">
        <v>1674</v>
      </c>
      <c r="AE86" s="790"/>
      <c r="AF86" s="612" t="s">
        <v>1674</v>
      </c>
      <c r="AG86" s="612" t="s">
        <v>1674</v>
      </c>
      <c r="AH86" s="612" t="s">
        <v>1674</v>
      </c>
      <c r="AI86" s="612" t="s">
        <v>1674</v>
      </c>
      <c r="AJ86" s="612" t="s">
        <v>1674</v>
      </c>
      <c r="AK86" s="612" t="s">
        <v>1674</v>
      </c>
      <c r="AL86" s="612" t="s">
        <v>1674</v>
      </c>
      <c r="AM86" s="612" t="s">
        <v>1674</v>
      </c>
      <c r="AN86" s="612" t="s">
        <v>1674</v>
      </c>
      <c r="AP86">
        <f t="shared" si="2"/>
        <v>-11</v>
      </c>
      <c r="AQ86" s="552">
        <f t="shared" si="3"/>
        <v>130.9</v>
      </c>
    </row>
    <row r="87" spans="1:43" outlineLevel="1" x14ac:dyDescent="0.25">
      <c r="A87" s="612" t="s">
        <v>1674</v>
      </c>
      <c r="B87" s="786">
        <v>10409</v>
      </c>
      <c r="C87" s="612" t="s">
        <v>3445</v>
      </c>
      <c r="D87" s="612" t="s">
        <v>5134</v>
      </c>
      <c r="E87" t="s">
        <v>5135</v>
      </c>
      <c r="F87" t="s">
        <v>4308</v>
      </c>
      <c r="G87" s="787">
        <v>999.12</v>
      </c>
      <c r="H87" s="787"/>
      <c r="I87" s="787">
        <v>999.12</v>
      </c>
      <c r="J87" t="s">
        <v>2701</v>
      </c>
      <c r="K87" s="611">
        <v>8400</v>
      </c>
      <c r="L87" t="s">
        <v>2552</v>
      </c>
      <c r="M87" s="614"/>
      <c r="N87" s="788">
        <v>-20</v>
      </c>
      <c r="O87" s="612" t="s">
        <v>1674</v>
      </c>
      <c r="P87" s="612" t="s">
        <v>1674</v>
      </c>
      <c r="Q87" s="612" t="s">
        <v>3448</v>
      </c>
      <c r="R87" s="612" t="s">
        <v>2622</v>
      </c>
      <c r="S87" s="612" t="s">
        <v>1674</v>
      </c>
      <c r="T87" s="789">
        <v>19</v>
      </c>
      <c r="U87" s="612" t="s">
        <v>5010</v>
      </c>
      <c r="V87" s="611">
        <v>627</v>
      </c>
      <c r="W87" s="614"/>
      <c r="Y87" s="612" t="s">
        <v>1674</v>
      </c>
      <c r="AA87" s="612" t="s">
        <v>1674</v>
      </c>
      <c r="AE87" s="790"/>
      <c r="AF87" s="612" t="s">
        <v>1674</v>
      </c>
      <c r="AG87" s="612" t="s">
        <v>1674</v>
      </c>
      <c r="AH87" s="612" t="s">
        <v>1674</v>
      </c>
      <c r="AI87" s="612" t="s">
        <v>1674</v>
      </c>
      <c r="AJ87" s="612" t="s">
        <v>1674</v>
      </c>
      <c r="AK87" s="612" t="s">
        <v>1674</v>
      </c>
      <c r="AL87" s="612" t="s">
        <v>1674</v>
      </c>
      <c r="AM87" s="612" t="s">
        <v>3449</v>
      </c>
      <c r="AN87" s="612" t="s">
        <v>1674</v>
      </c>
      <c r="AP87">
        <f t="shared" si="2"/>
        <v>20</v>
      </c>
      <c r="AQ87" s="552">
        <f t="shared" si="3"/>
        <v>999.12</v>
      </c>
    </row>
    <row r="88" spans="1:43" outlineLevel="1" x14ac:dyDescent="0.25">
      <c r="A88" s="612" t="s">
        <v>1674</v>
      </c>
      <c r="B88" s="786">
        <v>0</v>
      </c>
      <c r="C88" s="612" t="s">
        <v>1674</v>
      </c>
      <c r="D88" s="612" t="s">
        <v>5136</v>
      </c>
      <c r="E88" t="s">
        <v>5022</v>
      </c>
      <c r="F88" t="s">
        <v>5023</v>
      </c>
      <c r="G88" s="787">
        <v>1071.48</v>
      </c>
      <c r="H88" s="787"/>
      <c r="I88" s="787">
        <v>1071.48</v>
      </c>
      <c r="J88" t="s">
        <v>2701</v>
      </c>
      <c r="K88" s="611">
        <v>8400</v>
      </c>
      <c r="L88" t="s">
        <v>2552</v>
      </c>
      <c r="M88" s="614"/>
      <c r="N88" s="788">
        <v>16</v>
      </c>
      <c r="O88" s="612" t="s">
        <v>1674</v>
      </c>
      <c r="P88" s="612" t="s">
        <v>1674</v>
      </c>
      <c r="Q88" s="612" t="s">
        <v>3448</v>
      </c>
      <c r="R88" s="612" t="s">
        <v>2622</v>
      </c>
      <c r="S88" s="612" t="s">
        <v>1674</v>
      </c>
      <c r="T88" s="789">
        <v>19</v>
      </c>
      <c r="U88" s="612" t="s">
        <v>4900</v>
      </c>
      <c r="V88" s="611">
        <v>1109</v>
      </c>
      <c r="W88" s="614"/>
      <c r="Y88" s="612" t="s">
        <v>1674</v>
      </c>
      <c r="AA88" s="612" t="s">
        <v>1674</v>
      </c>
      <c r="AE88" s="790"/>
      <c r="AF88" s="612" t="s">
        <v>1674</v>
      </c>
      <c r="AG88" s="612" t="s">
        <v>1674</v>
      </c>
      <c r="AH88" s="612" t="s">
        <v>1674</v>
      </c>
      <c r="AI88" s="612" t="s">
        <v>1674</v>
      </c>
      <c r="AJ88" s="612" t="s">
        <v>1674</v>
      </c>
      <c r="AK88" s="612" t="s">
        <v>1674</v>
      </c>
      <c r="AL88" s="612" t="s">
        <v>1674</v>
      </c>
      <c r="AM88" s="612" t="s">
        <v>1674</v>
      </c>
      <c r="AN88" s="612" t="s">
        <v>1674</v>
      </c>
      <c r="AP88">
        <f t="shared" si="2"/>
        <v>-16</v>
      </c>
      <c r="AQ88" s="552">
        <f t="shared" si="3"/>
        <v>1071.48</v>
      </c>
    </row>
    <row r="89" spans="1:43" outlineLevel="1" x14ac:dyDescent="0.25">
      <c r="A89" s="612" t="s">
        <v>1674</v>
      </c>
      <c r="B89" s="786">
        <v>10420</v>
      </c>
      <c r="C89" s="612" t="s">
        <v>5137</v>
      </c>
      <c r="D89" s="612" t="s">
        <v>5138</v>
      </c>
      <c r="E89" t="s">
        <v>5015</v>
      </c>
      <c r="F89" t="s">
        <v>5119</v>
      </c>
      <c r="G89" s="787">
        <v>4700.5</v>
      </c>
      <c r="H89" s="787"/>
      <c r="I89" s="787">
        <v>4700.5</v>
      </c>
      <c r="J89" t="s">
        <v>2701</v>
      </c>
      <c r="K89" s="611" t="s">
        <v>4945</v>
      </c>
      <c r="L89" t="s">
        <v>2552</v>
      </c>
      <c r="M89" s="614"/>
      <c r="N89" s="788">
        <v>-25</v>
      </c>
      <c r="O89" s="612" t="s">
        <v>1674</v>
      </c>
      <c r="P89" s="612" t="s">
        <v>1674</v>
      </c>
      <c r="Q89" s="612" t="s">
        <v>3281</v>
      </c>
      <c r="R89" s="612" t="s">
        <v>2617</v>
      </c>
      <c r="S89" s="612" t="s">
        <v>1674</v>
      </c>
      <c r="T89" s="789">
        <v>19</v>
      </c>
      <c r="U89" s="612" t="s">
        <v>5010</v>
      </c>
      <c r="V89" s="611">
        <v>342</v>
      </c>
      <c r="W89" s="614"/>
      <c r="Y89" s="612" t="s">
        <v>1674</v>
      </c>
      <c r="AA89" s="612" t="s">
        <v>1674</v>
      </c>
      <c r="AE89" s="790"/>
      <c r="AF89" s="612" t="s">
        <v>1674</v>
      </c>
      <c r="AG89" s="612" t="s">
        <v>1674</v>
      </c>
      <c r="AH89" s="612" t="s">
        <v>1674</v>
      </c>
      <c r="AI89" s="612" t="s">
        <v>1674</v>
      </c>
      <c r="AJ89" s="612" t="s">
        <v>1674</v>
      </c>
      <c r="AK89" s="612" t="s">
        <v>1674</v>
      </c>
      <c r="AL89" s="612" t="s">
        <v>1674</v>
      </c>
      <c r="AM89" s="612" t="s">
        <v>5139</v>
      </c>
      <c r="AN89" s="612" t="s">
        <v>1674</v>
      </c>
      <c r="AP89">
        <f t="shared" si="2"/>
        <v>25</v>
      </c>
      <c r="AQ89" s="552">
        <f t="shared" si="3"/>
        <v>4700.5</v>
      </c>
    </row>
    <row r="90" spans="1:43" outlineLevel="1" x14ac:dyDescent="0.25">
      <c r="A90" s="612" t="s">
        <v>1674</v>
      </c>
      <c r="B90" s="786">
        <v>10505</v>
      </c>
      <c r="C90" s="612" t="s">
        <v>3061</v>
      </c>
      <c r="D90" s="612" t="s">
        <v>5140</v>
      </c>
      <c r="E90" t="s">
        <v>4905</v>
      </c>
      <c r="F90" t="s">
        <v>4906</v>
      </c>
      <c r="G90" s="787">
        <v>21334.799999999999</v>
      </c>
      <c r="H90" s="787"/>
      <c r="I90" s="787">
        <v>21334.799999999999</v>
      </c>
      <c r="J90" t="s">
        <v>2701</v>
      </c>
      <c r="K90" s="611">
        <v>8400</v>
      </c>
      <c r="L90" t="s">
        <v>2552</v>
      </c>
      <c r="M90" s="614"/>
      <c r="N90" s="788">
        <v>3</v>
      </c>
      <c r="O90" s="612" t="s">
        <v>1674</v>
      </c>
      <c r="P90" s="612" t="s">
        <v>1674</v>
      </c>
      <c r="Q90" s="612" t="s">
        <v>3063</v>
      </c>
      <c r="R90" s="612" t="s">
        <v>3070</v>
      </c>
      <c r="S90" s="612" t="s">
        <v>1674</v>
      </c>
      <c r="T90" s="789">
        <v>19</v>
      </c>
      <c r="U90" s="612" t="s">
        <v>4900</v>
      </c>
      <c r="V90" s="611">
        <v>314</v>
      </c>
      <c r="W90" s="614"/>
      <c r="Y90" s="612" t="s">
        <v>1674</v>
      </c>
      <c r="AA90" s="612" t="s">
        <v>1674</v>
      </c>
      <c r="AE90" s="790"/>
      <c r="AF90" s="612" t="s">
        <v>3064</v>
      </c>
      <c r="AG90" s="612" t="s">
        <v>3065</v>
      </c>
      <c r="AH90" s="612" t="s">
        <v>3066</v>
      </c>
      <c r="AI90" s="612" t="s">
        <v>1674</v>
      </c>
      <c r="AJ90" s="612" t="s">
        <v>3067</v>
      </c>
      <c r="AK90" s="612" t="s">
        <v>1674</v>
      </c>
      <c r="AL90" s="612" t="s">
        <v>1674</v>
      </c>
      <c r="AM90" s="612" t="s">
        <v>3068</v>
      </c>
      <c r="AN90" s="612" t="s">
        <v>3069</v>
      </c>
      <c r="AP90">
        <f t="shared" si="2"/>
        <v>-3</v>
      </c>
      <c r="AQ90" s="552">
        <f t="shared" si="3"/>
        <v>21334.799999999999</v>
      </c>
    </row>
    <row r="91" spans="1:43" outlineLevel="1" x14ac:dyDescent="0.25">
      <c r="A91" s="612" t="s">
        <v>1674</v>
      </c>
      <c r="B91" s="786">
        <v>0</v>
      </c>
      <c r="C91" s="612" t="s">
        <v>1674</v>
      </c>
      <c r="D91" s="612" t="s">
        <v>5141</v>
      </c>
      <c r="E91" t="s">
        <v>5066</v>
      </c>
      <c r="F91" t="s">
        <v>5131</v>
      </c>
      <c r="G91" s="787">
        <v>21896</v>
      </c>
      <c r="H91" s="787"/>
      <c r="I91" s="787">
        <v>21896</v>
      </c>
      <c r="J91" t="s">
        <v>2701</v>
      </c>
      <c r="K91" s="611">
        <v>8400</v>
      </c>
      <c r="L91" t="s">
        <v>806</v>
      </c>
      <c r="M91" s="614"/>
      <c r="N91" s="788">
        <v>11</v>
      </c>
      <c r="O91" s="612" t="s">
        <v>1674</v>
      </c>
      <c r="P91" s="612" t="s">
        <v>1674</v>
      </c>
      <c r="Q91" s="612" t="s">
        <v>3063</v>
      </c>
      <c r="R91" s="612" t="s">
        <v>1674</v>
      </c>
      <c r="S91" s="612" t="s">
        <v>1674</v>
      </c>
      <c r="T91" s="789">
        <v>19</v>
      </c>
      <c r="U91" s="612" t="s">
        <v>4900</v>
      </c>
      <c r="V91" s="611">
        <v>849</v>
      </c>
      <c r="W91" s="614"/>
      <c r="Y91" s="612" t="s">
        <v>1674</v>
      </c>
      <c r="AA91" s="612" t="s">
        <v>1674</v>
      </c>
      <c r="AE91" s="790"/>
      <c r="AF91" s="612" t="s">
        <v>1674</v>
      </c>
      <c r="AG91" s="612" t="s">
        <v>1674</v>
      </c>
      <c r="AH91" s="612" t="s">
        <v>1674</v>
      </c>
      <c r="AI91" s="612" t="s">
        <v>1674</v>
      </c>
      <c r="AJ91" s="612" t="s">
        <v>1674</v>
      </c>
      <c r="AK91" s="612" t="s">
        <v>1674</v>
      </c>
      <c r="AL91" s="612" t="s">
        <v>1674</v>
      </c>
      <c r="AM91" s="612" t="s">
        <v>1674</v>
      </c>
      <c r="AN91" s="612" t="s">
        <v>1674</v>
      </c>
      <c r="AP91">
        <f t="shared" si="2"/>
        <v>-11</v>
      </c>
      <c r="AQ91" s="552">
        <f t="shared" si="3"/>
        <v>21896</v>
      </c>
    </row>
    <row r="92" spans="1:43" outlineLevel="1" x14ac:dyDescent="0.25">
      <c r="A92" s="612" t="s">
        <v>1674</v>
      </c>
      <c r="B92" s="786">
        <v>0</v>
      </c>
      <c r="C92" s="612" t="s">
        <v>1674</v>
      </c>
      <c r="D92" s="612" t="s">
        <v>5142</v>
      </c>
      <c r="E92" t="s">
        <v>4911</v>
      </c>
      <c r="F92" t="s">
        <v>4912</v>
      </c>
      <c r="G92" s="787">
        <v>997.82</v>
      </c>
      <c r="H92" s="787"/>
      <c r="I92" s="787">
        <v>997.82</v>
      </c>
      <c r="J92" t="s">
        <v>2701</v>
      </c>
      <c r="K92" s="611">
        <v>8400</v>
      </c>
      <c r="L92" t="s">
        <v>806</v>
      </c>
      <c r="M92" s="614"/>
      <c r="N92" s="788">
        <v>17</v>
      </c>
      <c r="O92" s="612" t="s">
        <v>1674</v>
      </c>
      <c r="P92" s="612" t="s">
        <v>1674</v>
      </c>
      <c r="Q92" s="612" t="s">
        <v>3063</v>
      </c>
      <c r="R92" s="612" t="s">
        <v>1674</v>
      </c>
      <c r="S92" s="612" t="s">
        <v>1674</v>
      </c>
      <c r="T92" s="789">
        <v>19</v>
      </c>
      <c r="U92" s="612" t="s">
        <v>4900</v>
      </c>
      <c r="V92" s="611">
        <v>1224</v>
      </c>
      <c r="W92" s="614"/>
      <c r="Y92" s="612" t="s">
        <v>1674</v>
      </c>
      <c r="AA92" s="612" t="s">
        <v>1674</v>
      </c>
      <c r="AE92" s="790"/>
      <c r="AF92" s="612" t="s">
        <v>1674</v>
      </c>
      <c r="AG92" s="612" t="s">
        <v>1674</v>
      </c>
      <c r="AH92" s="612" t="s">
        <v>1674</v>
      </c>
      <c r="AI92" s="612" t="s">
        <v>1674</v>
      </c>
      <c r="AJ92" s="612" t="s">
        <v>1674</v>
      </c>
      <c r="AK92" s="612" t="s">
        <v>1674</v>
      </c>
      <c r="AL92" s="612" t="s">
        <v>1674</v>
      </c>
      <c r="AM92" s="612" t="s">
        <v>1674</v>
      </c>
      <c r="AN92" s="612" t="s">
        <v>1674</v>
      </c>
      <c r="AP92">
        <f t="shared" si="2"/>
        <v>-17</v>
      </c>
      <c r="AQ92" s="552">
        <f t="shared" si="3"/>
        <v>997.82</v>
      </c>
    </row>
    <row r="93" spans="1:43" outlineLevel="1" x14ac:dyDescent="0.25">
      <c r="A93" s="612" t="s">
        <v>1674</v>
      </c>
      <c r="B93" s="786">
        <v>0</v>
      </c>
      <c r="C93" s="612" t="s">
        <v>1674</v>
      </c>
      <c r="D93" s="612" t="s">
        <v>5143</v>
      </c>
      <c r="E93" t="s">
        <v>4911</v>
      </c>
      <c r="F93" t="s">
        <v>4912</v>
      </c>
      <c r="G93" s="787">
        <v>4193.5600000000004</v>
      </c>
      <c r="H93" s="787"/>
      <c r="I93" s="787">
        <v>4193.5600000000004</v>
      </c>
      <c r="J93" t="s">
        <v>2701</v>
      </c>
      <c r="K93" s="611">
        <v>8400</v>
      </c>
      <c r="L93" t="s">
        <v>2552</v>
      </c>
      <c r="M93" s="614"/>
      <c r="N93" s="788">
        <v>17</v>
      </c>
      <c r="O93" s="612" t="s">
        <v>1674</v>
      </c>
      <c r="P93" s="612" t="s">
        <v>1674</v>
      </c>
      <c r="Q93" s="612" t="s">
        <v>3063</v>
      </c>
      <c r="R93" s="612" t="s">
        <v>2617</v>
      </c>
      <c r="S93" s="612" t="s">
        <v>1674</v>
      </c>
      <c r="T93" s="789">
        <v>19</v>
      </c>
      <c r="U93" s="612" t="s">
        <v>4900</v>
      </c>
      <c r="V93" s="611">
        <v>1236</v>
      </c>
      <c r="W93" s="614"/>
      <c r="Y93" s="612" t="s">
        <v>1674</v>
      </c>
      <c r="AA93" s="612" t="s">
        <v>1674</v>
      </c>
      <c r="AE93" s="790"/>
      <c r="AF93" s="612" t="s">
        <v>1674</v>
      </c>
      <c r="AG93" s="612" t="s">
        <v>1674</v>
      </c>
      <c r="AH93" s="612" t="s">
        <v>1674</v>
      </c>
      <c r="AI93" s="612" t="s">
        <v>1674</v>
      </c>
      <c r="AJ93" s="612" t="s">
        <v>1674</v>
      </c>
      <c r="AK93" s="612" t="s">
        <v>1674</v>
      </c>
      <c r="AL93" s="612" t="s">
        <v>1674</v>
      </c>
      <c r="AM93" s="612" t="s">
        <v>1674</v>
      </c>
      <c r="AN93" s="612" t="s">
        <v>1674</v>
      </c>
      <c r="AP93">
        <f t="shared" si="2"/>
        <v>-17</v>
      </c>
      <c r="AQ93" s="552">
        <f t="shared" si="3"/>
        <v>4193.5600000000004</v>
      </c>
    </row>
    <row r="94" spans="1:43" outlineLevel="1" x14ac:dyDescent="0.25">
      <c r="A94" s="612" t="s">
        <v>1674</v>
      </c>
      <c r="B94" s="786">
        <v>0</v>
      </c>
      <c r="C94" s="612" t="s">
        <v>1674</v>
      </c>
      <c r="D94" s="612" t="s">
        <v>5144</v>
      </c>
      <c r="E94" t="s">
        <v>4911</v>
      </c>
      <c r="F94" t="s">
        <v>4912</v>
      </c>
      <c r="G94" s="787">
        <v>14326.41</v>
      </c>
      <c r="H94" s="787"/>
      <c r="I94" s="787">
        <v>14326.41</v>
      </c>
      <c r="J94" t="s">
        <v>2701</v>
      </c>
      <c r="K94" s="611">
        <v>8400</v>
      </c>
      <c r="L94" t="s">
        <v>2552</v>
      </c>
      <c r="M94" s="614"/>
      <c r="N94" s="788">
        <v>17</v>
      </c>
      <c r="O94" s="612" t="s">
        <v>1674</v>
      </c>
      <c r="P94" s="612" t="s">
        <v>1674</v>
      </c>
      <c r="Q94" s="612" t="s">
        <v>3063</v>
      </c>
      <c r="R94" s="612" t="s">
        <v>3070</v>
      </c>
      <c r="S94" s="612" t="s">
        <v>1674</v>
      </c>
      <c r="T94" s="789">
        <v>19</v>
      </c>
      <c r="U94" s="612" t="s">
        <v>4900</v>
      </c>
      <c r="V94" s="611">
        <v>1241</v>
      </c>
      <c r="W94" s="614"/>
      <c r="Y94" s="612" t="s">
        <v>1674</v>
      </c>
      <c r="AA94" s="612" t="s">
        <v>1674</v>
      </c>
      <c r="AE94" s="790"/>
      <c r="AF94" s="612" t="s">
        <v>1674</v>
      </c>
      <c r="AG94" s="612" t="s">
        <v>1674</v>
      </c>
      <c r="AH94" s="612" t="s">
        <v>1674</v>
      </c>
      <c r="AI94" s="612" t="s">
        <v>1674</v>
      </c>
      <c r="AJ94" s="612" t="s">
        <v>1674</v>
      </c>
      <c r="AK94" s="612" t="s">
        <v>1674</v>
      </c>
      <c r="AL94" s="612" t="s">
        <v>1674</v>
      </c>
      <c r="AM94" s="612" t="s">
        <v>1674</v>
      </c>
      <c r="AN94" s="612" t="s">
        <v>1674</v>
      </c>
      <c r="AP94">
        <f t="shared" si="2"/>
        <v>-17</v>
      </c>
      <c r="AQ94" s="552">
        <f t="shared" si="3"/>
        <v>14326.41</v>
      </c>
    </row>
    <row r="95" spans="1:43" outlineLevel="1" x14ac:dyDescent="0.25">
      <c r="A95" s="612" t="s">
        <v>1674</v>
      </c>
      <c r="B95" s="786">
        <v>10509</v>
      </c>
      <c r="C95" s="612" t="s">
        <v>3017</v>
      </c>
      <c r="D95" s="612" t="s">
        <v>5145</v>
      </c>
      <c r="E95" t="s">
        <v>4918</v>
      </c>
      <c r="F95" t="s">
        <v>4919</v>
      </c>
      <c r="G95" s="787">
        <v>803.96</v>
      </c>
      <c r="H95" s="787"/>
      <c r="I95" s="787">
        <v>803.96</v>
      </c>
      <c r="J95" t="s">
        <v>2701</v>
      </c>
      <c r="K95" s="611">
        <v>8400</v>
      </c>
      <c r="L95" t="s">
        <v>806</v>
      </c>
      <c r="M95" s="614"/>
      <c r="N95" s="788">
        <v>8</v>
      </c>
      <c r="O95" s="612" t="s">
        <v>1674</v>
      </c>
      <c r="P95" s="612" t="s">
        <v>1674</v>
      </c>
      <c r="Q95" s="612" t="s">
        <v>3017</v>
      </c>
      <c r="R95" s="612" t="s">
        <v>1674</v>
      </c>
      <c r="S95" s="612" t="s">
        <v>1674</v>
      </c>
      <c r="T95" s="789">
        <v>19</v>
      </c>
      <c r="U95" s="612" t="s">
        <v>4900</v>
      </c>
      <c r="V95" s="611">
        <v>589</v>
      </c>
      <c r="W95" s="614"/>
      <c r="Y95" s="612" t="s">
        <v>1674</v>
      </c>
      <c r="AA95" s="612" t="s">
        <v>1674</v>
      </c>
      <c r="AE95" s="790"/>
      <c r="AF95" s="612" t="s">
        <v>1674</v>
      </c>
      <c r="AG95" s="612" t="s">
        <v>1674</v>
      </c>
      <c r="AH95" s="612" t="s">
        <v>1674</v>
      </c>
      <c r="AI95" s="612" t="s">
        <v>1674</v>
      </c>
      <c r="AJ95" s="612" t="s">
        <v>1674</v>
      </c>
      <c r="AK95" s="612" t="s">
        <v>1674</v>
      </c>
      <c r="AL95" s="612" t="s">
        <v>1674</v>
      </c>
      <c r="AM95" s="612" t="s">
        <v>3019</v>
      </c>
      <c r="AN95" s="612" t="s">
        <v>1674</v>
      </c>
      <c r="AP95">
        <f t="shared" si="2"/>
        <v>-8</v>
      </c>
      <c r="AQ95" s="552">
        <f t="shared" si="3"/>
        <v>803.96</v>
      </c>
    </row>
    <row r="96" spans="1:43" outlineLevel="1" x14ac:dyDescent="0.25">
      <c r="A96" s="612" t="s">
        <v>1674</v>
      </c>
      <c r="B96" s="786">
        <v>10510</v>
      </c>
      <c r="C96" s="612" t="s">
        <v>3106</v>
      </c>
      <c r="D96" s="612" t="s">
        <v>5146</v>
      </c>
      <c r="E96" t="s">
        <v>4897</v>
      </c>
      <c r="F96" t="s">
        <v>4898</v>
      </c>
      <c r="G96" s="787">
        <v>148.75</v>
      </c>
      <c r="H96" s="787"/>
      <c r="I96" s="787">
        <v>148.75</v>
      </c>
      <c r="J96" t="s">
        <v>2701</v>
      </c>
      <c r="K96" s="611">
        <v>8400</v>
      </c>
      <c r="L96" t="s">
        <v>806</v>
      </c>
      <c r="M96" s="614"/>
      <c r="N96" s="788">
        <v>15</v>
      </c>
      <c r="O96" s="612" t="s">
        <v>1674</v>
      </c>
      <c r="P96" s="612" t="s">
        <v>1674</v>
      </c>
      <c r="Q96" s="612" t="s">
        <v>3108</v>
      </c>
      <c r="R96" s="612" t="s">
        <v>1674</v>
      </c>
      <c r="S96" s="612" t="s">
        <v>1674</v>
      </c>
      <c r="T96" s="789">
        <v>19</v>
      </c>
      <c r="U96" s="612" t="s">
        <v>4900</v>
      </c>
      <c r="V96" s="611">
        <v>1001</v>
      </c>
      <c r="W96" s="614"/>
      <c r="Y96" s="612" t="s">
        <v>1674</v>
      </c>
      <c r="AA96" s="612" t="s">
        <v>1674</v>
      </c>
      <c r="AE96" s="790"/>
      <c r="AF96" s="612" t="s">
        <v>1674</v>
      </c>
      <c r="AG96" s="612" t="s">
        <v>1674</v>
      </c>
      <c r="AH96" s="612" t="s">
        <v>1674</v>
      </c>
      <c r="AI96" s="612" t="s">
        <v>1674</v>
      </c>
      <c r="AJ96" s="612" t="s">
        <v>1674</v>
      </c>
      <c r="AK96" s="612" t="s">
        <v>1674</v>
      </c>
      <c r="AL96" s="612" t="s">
        <v>1674</v>
      </c>
      <c r="AM96" s="612" t="s">
        <v>3109</v>
      </c>
      <c r="AN96" s="612" t="s">
        <v>1674</v>
      </c>
      <c r="AP96">
        <f t="shared" si="2"/>
        <v>-15</v>
      </c>
      <c r="AQ96" s="552">
        <f t="shared" si="3"/>
        <v>148.75</v>
      </c>
    </row>
    <row r="97" spans="1:43" outlineLevel="1" x14ac:dyDescent="0.25">
      <c r="A97" s="612" t="s">
        <v>1674</v>
      </c>
      <c r="B97" s="786">
        <v>0</v>
      </c>
      <c r="C97" s="612" t="s">
        <v>1674</v>
      </c>
      <c r="D97" s="612" t="s">
        <v>5147</v>
      </c>
      <c r="E97" t="s">
        <v>4915</v>
      </c>
      <c r="F97" t="s">
        <v>4916</v>
      </c>
      <c r="G97" s="787">
        <v>243.65</v>
      </c>
      <c r="H97" s="787"/>
      <c r="I97" s="787">
        <v>243.65</v>
      </c>
      <c r="J97" t="s">
        <v>2701</v>
      </c>
      <c r="K97" s="611">
        <v>8400</v>
      </c>
      <c r="L97" t="s">
        <v>806</v>
      </c>
      <c r="M97" s="614"/>
      <c r="N97" s="788">
        <v>18</v>
      </c>
      <c r="O97" s="612" t="s">
        <v>1674</v>
      </c>
      <c r="P97" s="612" t="s">
        <v>1674</v>
      </c>
      <c r="Q97" s="612" t="s">
        <v>3108</v>
      </c>
      <c r="R97" s="612" t="s">
        <v>1674</v>
      </c>
      <c r="S97" s="612" t="s">
        <v>1674</v>
      </c>
      <c r="T97" s="789">
        <v>19</v>
      </c>
      <c r="U97" s="612" t="s">
        <v>4900</v>
      </c>
      <c r="V97" s="611">
        <v>1369</v>
      </c>
      <c r="W97" s="614"/>
      <c r="Y97" s="612" t="s">
        <v>1674</v>
      </c>
      <c r="AA97" s="612" t="s">
        <v>1674</v>
      </c>
      <c r="AE97" s="790"/>
      <c r="AF97" s="612" t="s">
        <v>1674</v>
      </c>
      <c r="AG97" s="612" t="s">
        <v>1674</v>
      </c>
      <c r="AH97" s="612" t="s">
        <v>1674</v>
      </c>
      <c r="AI97" s="612" t="s">
        <v>1674</v>
      </c>
      <c r="AJ97" s="612" t="s">
        <v>1674</v>
      </c>
      <c r="AK97" s="612" t="s">
        <v>1674</v>
      </c>
      <c r="AL97" s="612" t="s">
        <v>1674</v>
      </c>
      <c r="AM97" s="612" t="s">
        <v>1674</v>
      </c>
      <c r="AN97" s="612" t="s">
        <v>1674</v>
      </c>
      <c r="AP97">
        <f t="shared" si="2"/>
        <v>-18</v>
      </c>
      <c r="AQ97" s="552">
        <f t="shared" si="3"/>
        <v>243.65</v>
      </c>
    </row>
    <row r="98" spans="1:43" outlineLevel="1" x14ac:dyDescent="0.25">
      <c r="A98" s="612" t="s">
        <v>1674</v>
      </c>
      <c r="B98" s="786">
        <v>10511</v>
      </c>
      <c r="C98" s="612" t="s">
        <v>3713</v>
      </c>
      <c r="D98" s="612" t="s">
        <v>5148</v>
      </c>
      <c r="E98" t="s">
        <v>5121</v>
      </c>
      <c r="F98" t="s">
        <v>5041</v>
      </c>
      <c r="G98" s="787">
        <v>716.38</v>
      </c>
      <c r="H98" s="787"/>
      <c r="I98" s="787">
        <v>716.38</v>
      </c>
      <c r="J98" t="s">
        <v>2701</v>
      </c>
      <c r="K98" s="611">
        <v>8400</v>
      </c>
      <c r="L98" t="s">
        <v>806</v>
      </c>
      <c r="M98" s="614"/>
      <c r="N98" s="788">
        <v>-3</v>
      </c>
      <c r="O98" s="612" t="s">
        <v>1674</v>
      </c>
      <c r="P98" s="612" t="s">
        <v>1674</v>
      </c>
      <c r="Q98" s="612" t="s">
        <v>3715</v>
      </c>
      <c r="R98" s="612" t="s">
        <v>1674</v>
      </c>
      <c r="S98" s="612" t="s">
        <v>1674</v>
      </c>
      <c r="T98" s="789">
        <v>19</v>
      </c>
      <c r="U98" s="612" t="s">
        <v>5010</v>
      </c>
      <c r="V98" s="611">
        <v>1820</v>
      </c>
      <c r="W98" s="614"/>
      <c r="Y98" s="612" t="s">
        <v>1674</v>
      </c>
      <c r="AA98" s="612" t="s">
        <v>1674</v>
      </c>
      <c r="AE98" s="790"/>
      <c r="AF98" s="612" t="s">
        <v>1674</v>
      </c>
      <c r="AG98" s="612" t="s">
        <v>1674</v>
      </c>
      <c r="AH98" s="612" t="s">
        <v>1674</v>
      </c>
      <c r="AI98" s="612" t="s">
        <v>1674</v>
      </c>
      <c r="AJ98" s="612" t="s">
        <v>1674</v>
      </c>
      <c r="AK98" s="612" t="s">
        <v>1674</v>
      </c>
      <c r="AL98" s="612" t="s">
        <v>1674</v>
      </c>
      <c r="AM98" s="612" t="s">
        <v>3716</v>
      </c>
      <c r="AN98" s="612" t="s">
        <v>1674</v>
      </c>
      <c r="AP98">
        <f t="shared" si="2"/>
        <v>3</v>
      </c>
      <c r="AQ98" s="552">
        <f t="shared" si="3"/>
        <v>716.38</v>
      </c>
    </row>
    <row r="99" spans="1:43" outlineLevel="1" x14ac:dyDescent="0.25">
      <c r="A99" s="612" t="s">
        <v>1674</v>
      </c>
      <c r="B99" s="786">
        <v>10512</v>
      </c>
      <c r="C99" s="612" t="s">
        <v>5149</v>
      </c>
      <c r="D99" s="612" t="s">
        <v>5150</v>
      </c>
      <c r="E99" t="s">
        <v>5022</v>
      </c>
      <c r="F99" t="s">
        <v>5023</v>
      </c>
      <c r="G99" s="787">
        <v>251.09</v>
      </c>
      <c r="H99" s="787"/>
      <c r="I99" s="787">
        <v>251.09</v>
      </c>
      <c r="J99" t="s">
        <v>2701</v>
      </c>
      <c r="K99" s="611">
        <v>8400</v>
      </c>
      <c r="L99" t="s">
        <v>806</v>
      </c>
      <c r="M99" s="614"/>
      <c r="N99" s="788">
        <v>16</v>
      </c>
      <c r="O99" s="612" t="s">
        <v>1674</v>
      </c>
      <c r="P99" s="612" t="s">
        <v>1674</v>
      </c>
      <c r="Q99" s="612" t="s">
        <v>5151</v>
      </c>
      <c r="R99" s="612" t="s">
        <v>1674</v>
      </c>
      <c r="S99" s="612" t="s">
        <v>1674</v>
      </c>
      <c r="T99" s="789">
        <v>19</v>
      </c>
      <c r="U99" s="612" t="s">
        <v>4900</v>
      </c>
      <c r="V99" s="611">
        <v>1095</v>
      </c>
      <c r="W99" s="614"/>
      <c r="Y99" s="612" t="s">
        <v>1674</v>
      </c>
      <c r="AA99" s="612" t="s">
        <v>1674</v>
      </c>
      <c r="AE99" s="790"/>
      <c r="AF99" s="612" t="s">
        <v>1674</v>
      </c>
      <c r="AG99" s="612" t="s">
        <v>1674</v>
      </c>
      <c r="AH99" s="612" t="s">
        <v>1674</v>
      </c>
      <c r="AI99" s="612" t="s">
        <v>1674</v>
      </c>
      <c r="AJ99" s="612" t="s">
        <v>1674</v>
      </c>
      <c r="AK99" s="612" t="s">
        <v>1674</v>
      </c>
      <c r="AL99" s="612" t="s">
        <v>1674</v>
      </c>
      <c r="AM99" s="612" t="s">
        <v>5152</v>
      </c>
      <c r="AN99" s="612" t="s">
        <v>1674</v>
      </c>
      <c r="AP99">
        <f t="shared" si="2"/>
        <v>-16</v>
      </c>
      <c r="AQ99" s="552">
        <f t="shared" si="3"/>
        <v>251.09</v>
      </c>
    </row>
    <row r="100" spans="1:43" outlineLevel="1" x14ac:dyDescent="0.25">
      <c r="A100" s="612" t="s">
        <v>1674</v>
      </c>
      <c r="B100" s="786">
        <v>10600</v>
      </c>
      <c r="C100" s="612" t="s">
        <v>2946</v>
      </c>
      <c r="D100" s="612" t="s">
        <v>5153</v>
      </c>
      <c r="E100" t="s">
        <v>4308</v>
      </c>
      <c r="F100" t="s">
        <v>5154</v>
      </c>
      <c r="G100" s="787">
        <v>136.85</v>
      </c>
      <c r="H100" s="787"/>
      <c r="I100" s="787">
        <v>136.85</v>
      </c>
      <c r="J100" t="s">
        <v>2701</v>
      </c>
      <c r="K100" s="611">
        <v>8400</v>
      </c>
      <c r="L100" t="s">
        <v>2552</v>
      </c>
      <c r="M100" s="614"/>
      <c r="N100" s="788">
        <v>10</v>
      </c>
      <c r="O100" s="612" t="s">
        <v>1674</v>
      </c>
      <c r="P100" s="612" t="s">
        <v>1674</v>
      </c>
      <c r="Q100" s="612" t="s">
        <v>5155</v>
      </c>
      <c r="R100" s="612" t="s">
        <v>2622</v>
      </c>
      <c r="S100" s="612" t="s">
        <v>1674</v>
      </c>
      <c r="T100" s="789">
        <v>19</v>
      </c>
      <c r="U100" s="612" t="s">
        <v>4900</v>
      </c>
      <c r="V100" s="611">
        <v>744</v>
      </c>
      <c r="W100" s="614"/>
      <c r="Y100" s="612" t="s">
        <v>1674</v>
      </c>
      <c r="AA100" s="612" t="s">
        <v>1674</v>
      </c>
      <c r="AE100" s="790"/>
      <c r="AF100" s="612" t="s">
        <v>1674</v>
      </c>
      <c r="AG100" s="612" t="s">
        <v>1674</v>
      </c>
      <c r="AH100" s="612" t="s">
        <v>1674</v>
      </c>
      <c r="AI100" s="612" t="s">
        <v>1674</v>
      </c>
      <c r="AJ100" s="612" t="s">
        <v>1674</v>
      </c>
      <c r="AK100" s="612" t="s">
        <v>1674</v>
      </c>
      <c r="AL100" s="612" t="s">
        <v>1674</v>
      </c>
      <c r="AM100" s="612" t="s">
        <v>2946</v>
      </c>
      <c r="AN100" s="612" t="s">
        <v>1674</v>
      </c>
      <c r="AP100">
        <f t="shared" si="2"/>
        <v>-10</v>
      </c>
      <c r="AQ100" s="552">
        <f t="shared" si="3"/>
        <v>136.85</v>
      </c>
    </row>
    <row r="101" spans="1:43" outlineLevel="1" x14ac:dyDescent="0.25">
      <c r="A101" s="612" t="s">
        <v>1674</v>
      </c>
      <c r="B101" s="786">
        <v>0</v>
      </c>
      <c r="C101" s="612" t="s">
        <v>1674</v>
      </c>
      <c r="D101" s="612" t="s">
        <v>2947</v>
      </c>
      <c r="E101" t="s">
        <v>2942</v>
      </c>
      <c r="G101" s="787"/>
      <c r="H101" s="787">
        <v>1130.5</v>
      </c>
      <c r="I101" s="787">
        <v>1130.5</v>
      </c>
      <c r="J101" t="s">
        <v>2584</v>
      </c>
      <c r="K101" s="611">
        <v>8400</v>
      </c>
      <c r="L101" t="s">
        <v>806</v>
      </c>
      <c r="M101" s="614"/>
      <c r="N101" s="788"/>
      <c r="O101" s="612" t="s">
        <v>1674</v>
      </c>
      <c r="P101" s="612" t="s">
        <v>1674</v>
      </c>
      <c r="Q101" s="612" t="s">
        <v>2948</v>
      </c>
      <c r="R101" s="612" t="s">
        <v>2622</v>
      </c>
      <c r="S101" s="612" t="s">
        <v>1674</v>
      </c>
      <c r="T101" s="789">
        <v>19</v>
      </c>
      <c r="U101" s="612" t="s">
        <v>2697</v>
      </c>
      <c r="V101" s="611">
        <v>1418</v>
      </c>
      <c r="W101" s="614"/>
      <c r="Y101" s="612" t="s">
        <v>1674</v>
      </c>
      <c r="AA101" s="612" t="s">
        <v>1674</v>
      </c>
      <c r="AE101" s="790"/>
      <c r="AF101" s="612" t="s">
        <v>1674</v>
      </c>
      <c r="AG101" s="612" t="s">
        <v>1674</v>
      </c>
      <c r="AH101" s="612" t="s">
        <v>1674</v>
      </c>
      <c r="AI101" s="612" t="s">
        <v>1674</v>
      </c>
      <c r="AJ101" s="612" t="s">
        <v>1674</v>
      </c>
      <c r="AK101" s="612" t="s">
        <v>1674</v>
      </c>
      <c r="AL101" s="612" t="s">
        <v>1674</v>
      </c>
      <c r="AM101" s="612" t="s">
        <v>1674</v>
      </c>
      <c r="AN101" s="612" t="s">
        <v>1674</v>
      </c>
      <c r="AP101">
        <f t="shared" si="2"/>
        <v>0</v>
      </c>
      <c r="AQ101" s="552">
        <f t="shared" si="3"/>
        <v>-1130.5</v>
      </c>
    </row>
    <row r="102" spans="1:43" outlineLevel="1" x14ac:dyDescent="0.25">
      <c r="A102" s="612" t="s">
        <v>1674</v>
      </c>
      <c r="B102" s="786">
        <v>10700</v>
      </c>
      <c r="C102" s="612" t="s">
        <v>2836</v>
      </c>
      <c r="D102" s="612" t="s">
        <v>3531</v>
      </c>
      <c r="E102" t="s">
        <v>3463</v>
      </c>
      <c r="F102" t="s">
        <v>3532</v>
      </c>
      <c r="G102" s="787">
        <v>16386.3</v>
      </c>
      <c r="H102" s="787"/>
      <c r="I102" s="787"/>
      <c r="J102" t="s">
        <v>806</v>
      </c>
      <c r="K102" s="611" t="s">
        <v>4945</v>
      </c>
      <c r="L102" t="s">
        <v>2552</v>
      </c>
      <c r="M102" s="614"/>
      <c r="N102" s="788">
        <v>-171</v>
      </c>
      <c r="O102" s="612" t="s">
        <v>1674</v>
      </c>
      <c r="P102" s="612" t="s">
        <v>1674</v>
      </c>
      <c r="Q102" s="612" t="s">
        <v>2909</v>
      </c>
      <c r="R102" s="612" t="s">
        <v>2617</v>
      </c>
      <c r="S102" s="612" t="s">
        <v>1674</v>
      </c>
      <c r="T102" s="789">
        <v>19</v>
      </c>
      <c r="U102" s="612" t="s">
        <v>3315</v>
      </c>
      <c r="V102" s="611">
        <v>868</v>
      </c>
      <c r="W102" s="614"/>
      <c r="Y102" s="612" t="s">
        <v>1674</v>
      </c>
      <c r="AA102" s="612" t="s">
        <v>1674</v>
      </c>
      <c r="AE102" s="790"/>
      <c r="AF102" s="612" t="s">
        <v>1674</v>
      </c>
      <c r="AG102" s="612" t="s">
        <v>1674</v>
      </c>
      <c r="AH102" s="612" t="s">
        <v>1674</v>
      </c>
      <c r="AI102" s="612" t="s">
        <v>1674</v>
      </c>
      <c r="AJ102" s="612" t="s">
        <v>1674</v>
      </c>
      <c r="AK102" s="612" t="s">
        <v>1674</v>
      </c>
      <c r="AL102" s="612" t="s">
        <v>1674</v>
      </c>
      <c r="AM102" s="612" t="s">
        <v>2836</v>
      </c>
      <c r="AN102" s="612" t="s">
        <v>1674</v>
      </c>
      <c r="AP102">
        <f t="shared" si="2"/>
        <v>171</v>
      </c>
      <c r="AQ102" s="552">
        <f t="shared" si="3"/>
        <v>0</v>
      </c>
    </row>
    <row r="103" spans="1:43" outlineLevel="1" x14ac:dyDescent="0.25">
      <c r="A103" s="612" t="s">
        <v>1674</v>
      </c>
      <c r="B103" s="786">
        <v>0</v>
      </c>
      <c r="C103" s="612" t="s">
        <v>1674</v>
      </c>
      <c r="D103" s="612" t="s">
        <v>3531</v>
      </c>
      <c r="E103" t="s">
        <v>3533</v>
      </c>
      <c r="G103" s="787"/>
      <c r="H103" s="787">
        <v>15737.4</v>
      </c>
      <c r="I103" s="787"/>
      <c r="J103" t="s">
        <v>806</v>
      </c>
      <c r="K103" s="611">
        <v>1200</v>
      </c>
      <c r="L103" t="s">
        <v>806</v>
      </c>
      <c r="M103" s="614"/>
      <c r="N103" s="788"/>
      <c r="O103" s="612" t="s">
        <v>1674</v>
      </c>
      <c r="P103" s="612" t="s">
        <v>1674</v>
      </c>
      <c r="Q103" s="612" t="s">
        <v>3534</v>
      </c>
      <c r="R103" s="612" t="s">
        <v>1674</v>
      </c>
      <c r="S103" s="612" t="s">
        <v>1674</v>
      </c>
      <c r="T103" s="789"/>
      <c r="U103" s="612" t="s">
        <v>3315</v>
      </c>
      <c r="V103" s="611">
        <v>1227</v>
      </c>
      <c r="W103" s="614"/>
      <c r="Y103" s="612" t="s">
        <v>1674</v>
      </c>
      <c r="AA103" s="612" t="s">
        <v>1674</v>
      </c>
      <c r="AE103" s="790"/>
      <c r="AF103" s="612" t="s">
        <v>1674</v>
      </c>
      <c r="AG103" s="612" t="s">
        <v>1674</v>
      </c>
      <c r="AH103" s="612" t="s">
        <v>1674</v>
      </c>
      <c r="AI103" s="612" t="s">
        <v>1674</v>
      </c>
      <c r="AJ103" s="612" t="s">
        <v>1674</v>
      </c>
      <c r="AK103" s="612" t="s">
        <v>1674</v>
      </c>
      <c r="AL103" s="612" t="s">
        <v>1674</v>
      </c>
      <c r="AM103" s="612" t="s">
        <v>1674</v>
      </c>
      <c r="AN103" s="612" t="s">
        <v>1674</v>
      </c>
      <c r="AP103">
        <f t="shared" si="2"/>
        <v>0</v>
      </c>
      <c r="AQ103" s="552">
        <f t="shared" si="3"/>
        <v>0</v>
      </c>
    </row>
    <row r="104" spans="1:43" outlineLevel="1" x14ac:dyDescent="0.25">
      <c r="A104" s="612" t="s">
        <v>1674</v>
      </c>
      <c r="B104" s="786">
        <v>0</v>
      </c>
      <c r="C104" s="612" t="s">
        <v>1674</v>
      </c>
      <c r="D104" s="612" t="s">
        <v>3531</v>
      </c>
      <c r="E104" t="s">
        <v>3533</v>
      </c>
      <c r="G104" s="787"/>
      <c r="H104" s="787">
        <v>327.73</v>
      </c>
      <c r="I104" s="787">
        <v>321.17</v>
      </c>
      <c r="J104" t="s">
        <v>2701</v>
      </c>
      <c r="K104" s="611">
        <v>8736</v>
      </c>
      <c r="L104" t="s">
        <v>806</v>
      </c>
      <c r="M104" s="614"/>
      <c r="N104" s="788"/>
      <c r="O104" s="612" t="s">
        <v>1674</v>
      </c>
      <c r="P104" s="612" t="s">
        <v>1674</v>
      </c>
      <c r="Q104" s="612" t="s">
        <v>3534</v>
      </c>
      <c r="R104" s="612" t="s">
        <v>1674</v>
      </c>
      <c r="S104" s="612" t="s">
        <v>1674</v>
      </c>
      <c r="T104" s="789">
        <v>19</v>
      </c>
      <c r="U104" s="612" t="s">
        <v>3315</v>
      </c>
      <c r="V104" s="611">
        <v>1228</v>
      </c>
      <c r="W104" s="614"/>
      <c r="Y104" s="612" t="s">
        <v>1674</v>
      </c>
      <c r="AA104" s="612" t="s">
        <v>1674</v>
      </c>
      <c r="AE104" s="790"/>
      <c r="AF104" s="612" t="s">
        <v>1674</v>
      </c>
      <c r="AG104" s="612" t="s">
        <v>1674</v>
      </c>
      <c r="AH104" s="612" t="s">
        <v>1674</v>
      </c>
      <c r="AI104" s="612" t="s">
        <v>1674</v>
      </c>
      <c r="AJ104" s="612" t="s">
        <v>1674</v>
      </c>
      <c r="AK104" s="612" t="s">
        <v>1674</v>
      </c>
      <c r="AL104" s="612" t="s">
        <v>1674</v>
      </c>
      <c r="AM104" s="612" t="s">
        <v>1674</v>
      </c>
      <c r="AN104" s="612" t="s">
        <v>1674</v>
      </c>
      <c r="AP104">
        <f t="shared" si="2"/>
        <v>0</v>
      </c>
      <c r="AQ104" s="552">
        <f t="shared" si="3"/>
        <v>321.17</v>
      </c>
    </row>
    <row r="105" spans="1:43" outlineLevel="1" x14ac:dyDescent="0.25">
      <c r="A105" s="612" t="s">
        <v>1674</v>
      </c>
      <c r="B105" s="786">
        <v>0</v>
      </c>
      <c r="C105" s="612" t="s">
        <v>1674</v>
      </c>
      <c r="D105" s="612" t="s">
        <v>3661</v>
      </c>
      <c r="E105" t="s">
        <v>3326</v>
      </c>
      <c r="F105" t="s">
        <v>3662</v>
      </c>
      <c r="G105" s="787">
        <v>3470.04</v>
      </c>
      <c r="H105" s="787"/>
      <c r="I105" s="787">
        <v>3470.04</v>
      </c>
      <c r="J105" t="s">
        <v>2701</v>
      </c>
      <c r="K105" s="611">
        <v>8400</v>
      </c>
      <c r="L105" t="s">
        <v>806</v>
      </c>
      <c r="M105" s="614"/>
      <c r="N105" s="788">
        <v>-91</v>
      </c>
      <c r="O105" s="612" t="s">
        <v>1674</v>
      </c>
      <c r="P105" s="612" t="s">
        <v>1674</v>
      </c>
      <c r="Q105" s="612" t="s">
        <v>2839</v>
      </c>
      <c r="R105" s="612" t="s">
        <v>1674</v>
      </c>
      <c r="S105" s="612" t="s">
        <v>1674</v>
      </c>
      <c r="T105" s="789">
        <v>19</v>
      </c>
      <c r="U105" s="612" t="s">
        <v>3328</v>
      </c>
      <c r="V105" s="611">
        <v>147</v>
      </c>
      <c r="W105" s="614"/>
      <c r="Y105" s="612" t="s">
        <v>1674</v>
      </c>
      <c r="AA105" s="612" t="s">
        <v>1674</v>
      </c>
      <c r="AE105" s="790"/>
      <c r="AF105" s="612" t="s">
        <v>1674</v>
      </c>
      <c r="AG105" s="612" t="s">
        <v>1674</v>
      </c>
      <c r="AH105" s="612" t="s">
        <v>1674</v>
      </c>
      <c r="AI105" s="612" t="s">
        <v>1674</v>
      </c>
      <c r="AJ105" s="612" t="s">
        <v>1674</v>
      </c>
      <c r="AK105" s="612" t="s">
        <v>1674</v>
      </c>
      <c r="AL105" s="612" t="s">
        <v>1674</v>
      </c>
      <c r="AM105" s="612" t="s">
        <v>1674</v>
      </c>
      <c r="AN105" s="612" t="s">
        <v>1674</v>
      </c>
      <c r="AP105">
        <f t="shared" si="2"/>
        <v>91</v>
      </c>
      <c r="AQ105" s="552">
        <f t="shared" si="3"/>
        <v>3470.04</v>
      </c>
    </row>
    <row r="106" spans="1:43" outlineLevel="1" x14ac:dyDescent="0.25">
      <c r="A106" s="612" t="s">
        <v>1674</v>
      </c>
      <c r="B106" s="786">
        <v>0</v>
      </c>
      <c r="C106" s="612" t="s">
        <v>1674</v>
      </c>
      <c r="D106" s="612" t="s">
        <v>3742</v>
      </c>
      <c r="E106" t="s">
        <v>3625</v>
      </c>
      <c r="F106" t="s">
        <v>3741</v>
      </c>
      <c r="G106" s="787">
        <v>1185.24</v>
      </c>
      <c r="H106" s="787"/>
      <c r="I106" s="787">
        <v>1185.24</v>
      </c>
      <c r="J106" t="s">
        <v>2701</v>
      </c>
      <c r="K106" s="611">
        <v>8400</v>
      </c>
      <c r="L106" t="s">
        <v>806</v>
      </c>
      <c r="M106" s="614"/>
      <c r="N106" s="788">
        <v>-75</v>
      </c>
      <c r="O106" s="612" t="s">
        <v>1674</v>
      </c>
      <c r="P106" s="612" t="s">
        <v>1674</v>
      </c>
      <c r="Q106" s="612" t="s">
        <v>2839</v>
      </c>
      <c r="R106" s="612" t="s">
        <v>1674</v>
      </c>
      <c r="S106" s="612" t="s">
        <v>1674</v>
      </c>
      <c r="T106" s="789">
        <v>19</v>
      </c>
      <c r="U106" s="612" t="s">
        <v>3328</v>
      </c>
      <c r="V106" s="611">
        <v>1041</v>
      </c>
      <c r="W106" s="614"/>
      <c r="Y106" s="612" t="s">
        <v>1674</v>
      </c>
      <c r="AA106" s="612" t="s">
        <v>1674</v>
      </c>
      <c r="AE106" s="790"/>
      <c r="AF106" s="612" t="s">
        <v>1674</v>
      </c>
      <c r="AG106" s="612" t="s">
        <v>1674</v>
      </c>
      <c r="AH106" s="612" t="s">
        <v>1674</v>
      </c>
      <c r="AI106" s="612" t="s">
        <v>1674</v>
      </c>
      <c r="AJ106" s="612" t="s">
        <v>1674</v>
      </c>
      <c r="AK106" s="612" t="s">
        <v>1674</v>
      </c>
      <c r="AL106" s="612" t="s">
        <v>1674</v>
      </c>
      <c r="AM106" s="612" t="s">
        <v>1674</v>
      </c>
      <c r="AN106" s="612" t="s">
        <v>1674</v>
      </c>
      <c r="AP106">
        <f t="shared" si="2"/>
        <v>75</v>
      </c>
      <c r="AQ106" s="552">
        <f t="shared" si="3"/>
        <v>1185.24</v>
      </c>
    </row>
    <row r="107" spans="1:43" outlineLevel="1" x14ac:dyDescent="0.25">
      <c r="A107" s="612" t="s">
        <v>1674</v>
      </c>
      <c r="B107" s="786">
        <v>0</v>
      </c>
      <c r="C107" s="612" t="s">
        <v>1674</v>
      </c>
      <c r="D107" s="612" t="s">
        <v>5156</v>
      </c>
      <c r="E107" t="s">
        <v>5157</v>
      </c>
      <c r="F107" t="s">
        <v>5015</v>
      </c>
      <c r="G107" s="787">
        <v>1185.24</v>
      </c>
      <c r="H107" s="787"/>
      <c r="I107" s="787">
        <v>1185.24</v>
      </c>
      <c r="J107" t="s">
        <v>2701</v>
      </c>
      <c r="K107" s="611">
        <v>8400</v>
      </c>
      <c r="L107" t="s">
        <v>806</v>
      </c>
      <c r="M107" s="614"/>
      <c r="N107" s="788">
        <v>-55</v>
      </c>
      <c r="O107" s="612" t="s">
        <v>1674</v>
      </c>
      <c r="P107" s="612" t="s">
        <v>1674</v>
      </c>
      <c r="Q107" s="612" t="s">
        <v>2839</v>
      </c>
      <c r="R107" s="612" t="s">
        <v>1674</v>
      </c>
      <c r="S107" s="612" t="s">
        <v>1674</v>
      </c>
      <c r="T107" s="789">
        <v>19</v>
      </c>
      <c r="U107" s="612" t="s">
        <v>5002</v>
      </c>
      <c r="V107" s="611">
        <v>372</v>
      </c>
      <c r="W107" s="614"/>
      <c r="Y107" s="612" t="s">
        <v>1674</v>
      </c>
      <c r="AA107" s="612" t="s">
        <v>1674</v>
      </c>
      <c r="AE107" s="790"/>
      <c r="AF107" s="612" t="s">
        <v>1674</v>
      </c>
      <c r="AG107" s="612" t="s">
        <v>1674</v>
      </c>
      <c r="AH107" s="612" t="s">
        <v>1674</v>
      </c>
      <c r="AI107" s="612" t="s">
        <v>1674</v>
      </c>
      <c r="AJ107" s="612" t="s">
        <v>1674</v>
      </c>
      <c r="AK107" s="612" t="s">
        <v>1674</v>
      </c>
      <c r="AL107" s="612" t="s">
        <v>1674</v>
      </c>
      <c r="AM107" s="612" t="s">
        <v>1674</v>
      </c>
      <c r="AN107" s="612" t="s">
        <v>1674</v>
      </c>
      <c r="AP107">
        <f t="shared" si="2"/>
        <v>55</v>
      </c>
      <c r="AQ107" s="552">
        <f t="shared" si="3"/>
        <v>1185.24</v>
      </c>
    </row>
    <row r="108" spans="1:43" outlineLevel="1" x14ac:dyDescent="0.25">
      <c r="A108" s="612" t="s">
        <v>1674</v>
      </c>
      <c r="B108" s="786">
        <v>0</v>
      </c>
      <c r="C108" s="612" t="s">
        <v>1674</v>
      </c>
      <c r="D108" s="612" t="s">
        <v>5158</v>
      </c>
      <c r="E108" t="s">
        <v>3736</v>
      </c>
      <c r="F108" t="s">
        <v>5159</v>
      </c>
      <c r="G108" s="787">
        <v>1506.54</v>
      </c>
      <c r="H108" s="787"/>
      <c r="I108" s="787">
        <v>1506.54</v>
      </c>
      <c r="J108" t="s">
        <v>2701</v>
      </c>
      <c r="K108" s="611">
        <v>8400</v>
      </c>
      <c r="L108" t="s">
        <v>806</v>
      </c>
      <c r="M108" s="614"/>
      <c r="N108" s="788">
        <v>-46</v>
      </c>
      <c r="O108" s="612" t="s">
        <v>1674</v>
      </c>
      <c r="P108" s="612" t="s">
        <v>1674</v>
      </c>
      <c r="Q108" s="612" t="s">
        <v>2839</v>
      </c>
      <c r="R108" s="612" t="s">
        <v>1674</v>
      </c>
      <c r="S108" s="612" t="s">
        <v>1674</v>
      </c>
      <c r="T108" s="789">
        <v>19</v>
      </c>
      <c r="U108" s="612" t="s">
        <v>5002</v>
      </c>
      <c r="V108" s="611">
        <v>916</v>
      </c>
      <c r="W108" s="614"/>
      <c r="Y108" s="612" t="s">
        <v>1674</v>
      </c>
      <c r="AA108" s="612" t="s">
        <v>1674</v>
      </c>
      <c r="AE108" s="790"/>
      <c r="AF108" s="612" t="s">
        <v>1674</v>
      </c>
      <c r="AG108" s="612" t="s">
        <v>1674</v>
      </c>
      <c r="AH108" s="612" t="s">
        <v>1674</v>
      </c>
      <c r="AI108" s="612" t="s">
        <v>1674</v>
      </c>
      <c r="AJ108" s="612" t="s">
        <v>1674</v>
      </c>
      <c r="AK108" s="612" t="s">
        <v>1674</v>
      </c>
      <c r="AL108" s="612" t="s">
        <v>1674</v>
      </c>
      <c r="AM108" s="612" t="s">
        <v>1674</v>
      </c>
      <c r="AN108" s="612" t="s">
        <v>1674</v>
      </c>
      <c r="AP108">
        <f t="shared" si="2"/>
        <v>46</v>
      </c>
      <c r="AQ108" s="552">
        <f t="shared" si="3"/>
        <v>1506.54</v>
      </c>
    </row>
    <row r="109" spans="1:43" outlineLevel="1" x14ac:dyDescent="0.25">
      <c r="A109" s="612" t="s">
        <v>1674</v>
      </c>
      <c r="B109" s="786">
        <v>0</v>
      </c>
      <c r="C109" s="612" t="s">
        <v>1674</v>
      </c>
      <c r="D109" s="612" t="s">
        <v>5160</v>
      </c>
      <c r="E109" t="s">
        <v>3900</v>
      </c>
      <c r="F109" t="s">
        <v>5161</v>
      </c>
      <c r="G109" s="787">
        <v>1506.54</v>
      </c>
      <c r="H109" s="787"/>
      <c r="I109" s="787">
        <v>1506.54</v>
      </c>
      <c r="J109" t="s">
        <v>2701</v>
      </c>
      <c r="K109" s="611">
        <v>8400</v>
      </c>
      <c r="L109" t="s">
        <v>806</v>
      </c>
      <c r="M109" s="614"/>
      <c r="N109" s="788">
        <v>-32</v>
      </c>
      <c r="O109" s="612" t="s">
        <v>1674</v>
      </c>
      <c r="P109" s="612" t="s">
        <v>1674</v>
      </c>
      <c r="Q109" s="612" t="s">
        <v>2839</v>
      </c>
      <c r="R109" s="612" t="s">
        <v>1674</v>
      </c>
      <c r="S109" s="612" t="s">
        <v>1674</v>
      </c>
      <c r="T109" s="789">
        <v>19</v>
      </c>
      <c r="U109" s="612" t="s">
        <v>5002</v>
      </c>
      <c r="V109" s="611">
        <v>1608</v>
      </c>
      <c r="W109" s="614"/>
      <c r="Y109" s="612" t="s">
        <v>1674</v>
      </c>
      <c r="AA109" s="612" t="s">
        <v>1674</v>
      </c>
      <c r="AE109" s="790"/>
      <c r="AF109" s="612" t="s">
        <v>1674</v>
      </c>
      <c r="AG109" s="612" t="s">
        <v>1674</v>
      </c>
      <c r="AH109" s="612" t="s">
        <v>1674</v>
      </c>
      <c r="AI109" s="612" t="s">
        <v>1674</v>
      </c>
      <c r="AJ109" s="612" t="s">
        <v>1674</v>
      </c>
      <c r="AK109" s="612" t="s">
        <v>1674</v>
      </c>
      <c r="AL109" s="612" t="s">
        <v>1674</v>
      </c>
      <c r="AM109" s="612" t="s">
        <v>1674</v>
      </c>
      <c r="AN109" s="612" t="s">
        <v>1674</v>
      </c>
      <c r="AP109">
        <f t="shared" si="2"/>
        <v>32</v>
      </c>
      <c r="AQ109" s="552">
        <f t="shared" si="3"/>
        <v>1506.54</v>
      </c>
    </row>
    <row r="110" spans="1:43" outlineLevel="1" x14ac:dyDescent="0.25">
      <c r="A110" s="612" t="s">
        <v>1674</v>
      </c>
      <c r="B110" s="786">
        <v>0</v>
      </c>
      <c r="C110" s="612" t="s">
        <v>1674</v>
      </c>
      <c r="D110" s="612" t="s">
        <v>5162</v>
      </c>
      <c r="E110" t="s">
        <v>5000</v>
      </c>
      <c r="F110" t="s">
        <v>5163</v>
      </c>
      <c r="G110" s="787">
        <v>1410.15</v>
      </c>
      <c r="H110" s="787"/>
      <c r="I110" s="787">
        <v>1410.15</v>
      </c>
      <c r="J110" t="s">
        <v>2701</v>
      </c>
      <c r="K110" s="611">
        <v>8400</v>
      </c>
      <c r="L110" t="s">
        <v>2552</v>
      </c>
      <c r="M110" s="614"/>
      <c r="N110" s="788">
        <v>-17</v>
      </c>
      <c r="O110" s="612" t="s">
        <v>1674</v>
      </c>
      <c r="P110" s="612" t="s">
        <v>1674</v>
      </c>
      <c r="Q110" s="612" t="s">
        <v>2839</v>
      </c>
      <c r="R110" s="612" t="s">
        <v>2622</v>
      </c>
      <c r="S110" s="612" t="s">
        <v>1674</v>
      </c>
      <c r="T110" s="789">
        <v>19</v>
      </c>
      <c r="U110" s="612" t="s">
        <v>5010</v>
      </c>
      <c r="V110" s="611">
        <v>898</v>
      </c>
      <c r="W110" s="614"/>
      <c r="Y110" s="612" t="s">
        <v>1674</v>
      </c>
      <c r="AA110" s="612" t="s">
        <v>1674</v>
      </c>
      <c r="AE110" s="790"/>
      <c r="AF110" s="612" t="s">
        <v>1674</v>
      </c>
      <c r="AG110" s="612" t="s">
        <v>1674</v>
      </c>
      <c r="AH110" s="612" t="s">
        <v>1674</v>
      </c>
      <c r="AI110" s="612" t="s">
        <v>1674</v>
      </c>
      <c r="AJ110" s="612" t="s">
        <v>1674</v>
      </c>
      <c r="AK110" s="612" t="s">
        <v>1674</v>
      </c>
      <c r="AL110" s="612" t="s">
        <v>1674</v>
      </c>
      <c r="AM110" s="612" t="s">
        <v>1674</v>
      </c>
      <c r="AN110" s="612" t="s">
        <v>1674</v>
      </c>
      <c r="AP110">
        <f t="shared" si="2"/>
        <v>17</v>
      </c>
      <c r="AQ110" s="552">
        <f t="shared" si="3"/>
        <v>1410.15</v>
      </c>
    </row>
    <row r="111" spans="1:43" outlineLevel="1" x14ac:dyDescent="0.25">
      <c r="A111" s="612" t="s">
        <v>1674</v>
      </c>
      <c r="B111" s="786">
        <v>0</v>
      </c>
      <c r="C111" s="612" t="s">
        <v>1674</v>
      </c>
      <c r="D111" s="612" t="s">
        <v>5164</v>
      </c>
      <c r="E111" t="s">
        <v>5078</v>
      </c>
      <c r="F111" t="s">
        <v>5079</v>
      </c>
      <c r="G111" s="787">
        <v>7282.8</v>
      </c>
      <c r="H111" s="787"/>
      <c r="I111" s="787">
        <v>7282.8</v>
      </c>
      <c r="J111" t="s">
        <v>2701</v>
      </c>
      <c r="K111" s="611">
        <v>8400</v>
      </c>
      <c r="L111" t="s">
        <v>2552</v>
      </c>
      <c r="M111" s="614"/>
      <c r="N111" s="788">
        <v>4</v>
      </c>
      <c r="O111" s="612" t="s">
        <v>1674</v>
      </c>
      <c r="P111" s="612" t="s">
        <v>1674</v>
      </c>
      <c r="Q111" s="612" t="s">
        <v>2839</v>
      </c>
      <c r="R111" s="612" t="s">
        <v>2622</v>
      </c>
      <c r="S111" s="612" t="s">
        <v>1674</v>
      </c>
      <c r="T111" s="789">
        <v>19</v>
      </c>
      <c r="U111" s="612" t="s">
        <v>4900</v>
      </c>
      <c r="V111" s="611">
        <v>439</v>
      </c>
      <c r="W111" s="614"/>
      <c r="Y111" s="612" t="s">
        <v>1674</v>
      </c>
      <c r="AA111" s="612" t="s">
        <v>1674</v>
      </c>
      <c r="AE111" s="790"/>
      <c r="AF111" s="612" t="s">
        <v>1674</v>
      </c>
      <c r="AG111" s="612" t="s">
        <v>1674</v>
      </c>
      <c r="AH111" s="612" t="s">
        <v>1674</v>
      </c>
      <c r="AI111" s="612" t="s">
        <v>1674</v>
      </c>
      <c r="AJ111" s="612" t="s">
        <v>1674</v>
      </c>
      <c r="AK111" s="612" t="s">
        <v>1674</v>
      </c>
      <c r="AL111" s="612" t="s">
        <v>1674</v>
      </c>
      <c r="AM111" s="612" t="s">
        <v>1674</v>
      </c>
      <c r="AN111" s="612" t="s">
        <v>1674</v>
      </c>
      <c r="AP111">
        <f t="shared" si="2"/>
        <v>-4</v>
      </c>
      <c r="AQ111" s="552">
        <f t="shared" si="3"/>
        <v>7282.8</v>
      </c>
    </row>
    <row r="112" spans="1:43" outlineLevel="1" x14ac:dyDescent="0.25">
      <c r="A112" s="612" t="s">
        <v>1674</v>
      </c>
      <c r="B112" s="786">
        <v>0</v>
      </c>
      <c r="C112" s="612" t="s">
        <v>1674</v>
      </c>
      <c r="D112" s="612" t="s">
        <v>5165</v>
      </c>
      <c r="E112" t="s">
        <v>5022</v>
      </c>
      <c r="F112" t="s">
        <v>5023</v>
      </c>
      <c r="G112" s="787">
        <v>911.54</v>
      </c>
      <c r="H112" s="787"/>
      <c r="I112" s="787">
        <v>911.54</v>
      </c>
      <c r="J112" t="s">
        <v>2701</v>
      </c>
      <c r="K112" s="611">
        <v>8400</v>
      </c>
      <c r="L112" t="s">
        <v>806</v>
      </c>
      <c r="M112" s="614"/>
      <c r="N112" s="788">
        <v>16</v>
      </c>
      <c r="O112" s="612" t="s">
        <v>1674</v>
      </c>
      <c r="P112" s="612" t="s">
        <v>1674</v>
      </c>
      <c r="Q112" s="612" t="s">
        <v>5166</v>
      </c>
      <c r="R112" s="612" t="s">
        <v>1674</v>
      </c>
      <c r="S112" s="612" t="s">
        <v>1674</v>
      </c>
      <c r="T112" s="789">
        <v>19</v>
      </c>
      <c r="U112" s="612" t="s">
        <v>4900</v>
      </c>
      <c r="V112" s="611">
        <v>1105</v>
      </c>
      <c r="W112" s="614"/>
      <c r="Y112" s="612" t="s">
        <v>1674</v>
      </c>
      <c r="AA112" s="612" t="s">
        <v>1674</v>
      </c>
      <c r="AE112" s="790"/>
      <c r="AF112" s="612" t="s">
        <v>1674</v>
      </c>
      <c r="AG112" s="612" t="s">
        <v>1674</v>
      </c>
      <c r="AH112" s="612" t="s">
        <v>1674</v>
      </c>
      <c r="AI112" s="612" t="s">
        <v>1674</v>
      </c>
      <c r="AJ112" s="612" t="s">
        <v>1674</v>
      </c>
      <c r="AK112" s="612" t="s">
        <v>1674</v>
      </c>
      <c r="AL112" s="612" t="s">
        <v>1674</v>
      </c>
      <c r="AM112" s="612" t="s">
        <v>1674</v>
      </c>
      <c r="AN112" s="612" t="s">
        <v>1674</v>
      </c>
      <c r="AP112">
        <f t="shared" si="2"/>
        <v>-16</v>
      </c>
      <c r="AQ112" s="552">
        <f t="shared" si="3"/>
        <v>911.54</v>
      </c>
    </row>
    <row r="113" spans="1:43" outlineLevel="1" x14ac:dyDescent="0.25">
      <c r="A113" s="612" t="s">
        <v>1674</v>
      </c>
      <c r="B113" s="786">
        <v>0</v>
      </c>
      <c r="C113" s="612" t="s">
        <v>1674</v>
      </c>
      <c r="D113" s="612" t="s">
        <v>2908</v>
      </c>
      <c r="E113" t="s">
        <v>2800</v>
      </c>
      <c r="G113" s="787"/>
      <c r="H113" s="787">
        <v>11.19</v>
      </c>
      <c r="I113" s="787"/>
      <c r="J113" t="s">
        <v>806</v>
      </c>
      <c r="K113" s="611">
        <v>8400</v>
      </c>
      <c r="L113" t="s">
        <v>806</v>
      </c>
      <c r="M113" s="614"/>
      <c r="N113" s="788"/>
      <c r="O113" s="612" t="s">
        <v>1674</v>
      </c>
      <c r="P113" s="612" t="s">
        <v>1674</v>
      </c>
      <c r="Q113" s="612" t="s">
        <v>2909</v>
      </c>
      <c r="R113" s="612" t="s">
        <v>1674</v>
      </c>
      <c r="S113" s="612" t="s">
        <v>1674</v>
      </c>
      <c r="T113" s="789">
        <v>19</v>
      </c>
      <c r="U113" s="612" t="s">
        <v>2697</v>
      </c>
      <c r="V113" s="611">
        <v>903</v>
      </c>
      <c r="W113" s="614"/>
      <c r="Y113" s="612" t="s">
        <v>1674</v>
      </c>
      <c r="AA113" s="612" t="s">
        <v>1674</v>
      </c>
      <c r="AE113" s="790"/>
      <c r="AF113" s="612" t="s">
        <v>1674</v>
      </c>
      <c r="AG113" s="612" t="s">
        <v>1674</v>
      </c>
      <c r="AH113" s="612" t="s">
        <v>1674</v>
      </c>
      <c r="AI113" s="612" t="s">
        <v>1674</v>
      </c>
      <c r="AJ113" s="612" t="s">
        <v>1674</v>
      </c>
      <c r="AK113" s="612" t="s">
        <v>1674</v>
      </c>
      <c r="AL113" s="612" t="s">
        <v>1674</v>
      </c>
      <c r="AM113" s="612" t="s">
        <v>1674</v>
      </c>
      <c r="AN113" s="612" t="s">
        <v>1674</v>
      </c>
      <c r="AP113">
        <f t="shared" si="2"/>
        <v>0</v>
      </c>
      <c r="AQ113" s="552">
        <f t="shared" si="3"/>
        <v>0</v>
      </c>
    </row>
    <row r="114" spans="1:43" outlineLevel="1" x14ac:dyDescent="0.25">
      <c r="A114" s="612" t="s">
        <v>1674</v>
      </c>
      <c r="B114" s="786">
        <v>0</v>
      </c>
      <c r="C114" s="612" t="s">
        <v>1674</v>
      </c>
      <c r="D114" s="612" t="s">
        <v>2908</v>
      </c>
      <c r="E114" t="s">
        <v>2800</v>
      </c>
      <c r="G114" s="787"/>
      <c r="H114" s="787">
        <v>0.6</v>
      </c>
      <c r="I114" s="787"/>
      <c r="J114" t="s">
        <v>806</v>
      </c>
      <c r="K114" s="611">
        <v>8400</v>
      </c>
      <c r="L114" t="s">
        <v>806</v>
      </c>
      <c r="M114" s="614"/>
      <c r="N114" s="788"/>
      <c r="O114" s="612" t="s">
        <v>1674</v>
      </c>
      <c r="P114" s="612" t="s">
        <v>1674</v>
      </c>
      <c r="Q114" s="612" t="s">
        <v>2909</v>
      </c>
      <c r="R114" s="612" t="s">
        <v>2617</v>
      </c>
      <c r="S114" s="612" t="s">
        <v>1674</v>
      </c>
      <c r="T114" s="789">
        <v>19</v>
      </c>
      <c r="U114" s="612" t="s">
        <v>2697</v>
      </c>
      <c r="V114" s="611">
        <v>904</v>
      </c>
      <c r="W114" s="614"/>
      <c r="Y114" s="612" t="s">
        <v>1674</v>
      </c>
      <c r="AA114" s="612" t="s">
        <v>1674</v>
      </c>
      <c r="AE114" s="790"/>
      <c r="AF114" s="612" t="s">
        <v>1674</v>
      </c>
      <c r="AG114" s="612" t="s">
        <v>1674</v>
      </c>
      <c r="AH114" s="612" t="s">
        <v>1674</v>
      </c>
      <c r="AI114" s="612" t="s">
        <v>1674</v>
      </c>
      <c r="AJ114" s="612" t="s">
        <v>1674</v>
      </c>
      <c r="AK114" s="612" t="s">
        <v>1674</v>
      </c>
      <c r="AL114" s="612" t="s">
        <v>1674</v>
      </c>
      <c r="AM114" s="612" t="s">
        <v>1674</v>
      </c>
      <c r="AN114" s="612" t="s">
        <v>1674</v>
      </c>
      <c r="AP114">
        <f t="shared" si="2"/>
        <v>0</v>
      </c>
      <c r="AQ114" s="552">
        <f t="shared" si="3"/>
        <v>0</v>
      </c>
    </row>
    <row r="115" spans="1:43" outlineLevel="1" x14ac:dyDescent="0.25">
      <c r="A115" s="612" t="s">
        <v>1674</v>
      </c>
      <c r="B115" s="786">
        <v>0</v>
      </c>
      <c r="C115" s="612" t="s">
        <v>1674</v>
      </c>
      <c r="D115" s="612" t="s">
        <v>2908</v>
      </c>
      <c r="E115" t="s">
        <v>2800</v>
      </c>
      <c r="G115" s="787"/>
      <c r="H115" s="787">
        <v>166.71</v>
      </c>
      <c r="I115" s="787">
        <v>178.5</v>
      </c>
      <c r="J115" t="s">
        <v>2584</v>
      </c>
      <c r="K115" s="611">
        <v>8401</v>
      </c>
      <c r="L115" t="s">
        <v>806</v>
      </c>
      <c r="M115" s="614"/>
      <c r="N115" s="788"/>
      <c r="O115" s="612" t="s">
        <v>1674</v>
      </c>
      <c r="P115" s="612" t="s">
        <v>1674</v>
      </c>
      <c r="Q115" s="612" t="s">
        <v>2909</v>
      </c>
      <c r="R115" s="612" t="s">
        <v>1674</v>
      </c>
      <c r="S115" s="612" t="s">
        <v>1674</v>
      </c>
      <c r="T115" s="789">
        <v>19</v>
      </c>
      <c r="U115" s="612" t="s">
        <v>2697</v>
      </c>
      <c r="V115" s="611">
        <v>905</v>
      </c>
      <c r="W115" s="614"/>
      <c r="Y115" s="612" t="s">
        <v>1674</v>
      </c>
      <c r="AA115" s="612" t="s">
        <v>1674</v>
      </c>
      <c r="AE115" s="790"/>
      <c r="AF115" s="612" t="s">
        <v>1674</v>
      </c>
      <c r="AG115" s="612" t="s">
        <v>1674</v>
      </c>
      <c r="AH115" s="612" t="s">
        <v>1674</v>
      </c>
      <c r="AI115" s="612" t="s">
        <v>1674</v>
      </c>
      <c r="AJ115" s="612" t="s">
        <v>1674</v>
      </c>
      <c r="AK115" s="612" t="s">
        <v>1674</v>
      </c>
      <c r="AL115" s="612" t="s">
        <v>1674</v>
      </c>
      <c r="AM115" s="612" t="s">
        <v>1674</v>
      </c>
      <c r="AN115" s="612" t="s">
        <v>1674</v>
      </c>
      <c r="AP115">
        <f t="shared" si="2"/>
        <v>0</v>
      </c>
      <c r="AQ115" s="552">
        <f t="shared" si="3"/>
        <v>-178.5</v>
      </c>
    </row>
    <row r="116" spans="1:43" outlineLevel="1" x14ac:dyDescent="0.25">
      <c r="A116" s="612" t="s">
        <v>1674</v>
      </c>
      <c r="B116" s="786">
        <v>10705</v>
      </c>
      <c r="C116" s="612" t="s">
        <v>3110</v>
      </c>
      <c r="D116" s="612" t="s">
        <v>5167</v>
      </c>
      <c r="E116" t="s">
        <v>4905</v>
      </c>
      <c r="F116" t="s">
        <v>4906</v>
      </c>
      <c r="G116" s="787">
        <v>2695.35</v>
      </c>
      <c r="H116" s="787"/>
      <c r="I116" s="787">
        <v>2695.35</v>
      </c>
      <c r="J116" t="s">
        <v>2701</v>
      </c>
      <c r="K116" s="611" t="s">
        <v>4945</v>
      </c>
      <c r="L116" t="s">
        <v>2552</v>
      </c>
      <c r="M116" s="614"/>
      <c r="N116" s="788">
        <v>3</v>
      </c>
      <c r="O116" s="612" t="s">
        <v>1674</v>
      </c>
      <c r="P116" s="612" t="s">
        <v>1674</v>
      </c>
      <c r="Q116" s="612" t="s">
        <v>3112</v>
      </c>
      <c r="R116" s="612" t="s">
        <v>2617</v>
      </c>
      <c r="S116" s="612" t="s">
        <v>1674</v>
      </c>
      <c r="T116" s="789">
        <v>19</v>
      </c>
      <c r="U116" s="612" t="s">
        <v>4900</v>
      </c>
      <c r="V116" s="611">
        <v>307</v>
      </c>
      <c r="W116" s="614"/>
      <c r="Y116" s="612" t="s">
        <v>1674</v>
      </c>
      <c r="AA116" s="612" t="s">
        <v>1674</v>
      </c>
      <c r="AE116" s="790"/>
      <c r="AF116" s="612" t="s">
        <v>1674</v>
      </c>
      <c r="AG116" s="612" t="s">
        <v>1674</v>
      </c>
      <c r="AH116" s="612" t="s">
        <v>1674</v>
      </c>
      <c r="AI116" s="612" t="s">
        <v>1674</v>
      </c>
      <c r="AJ116" s="612" t="s">
        <v>1674</v>
      </c>
      <c r="AK116" s="612" t="s">
        <v>1674</v>
      </c>
      <c r="AL116" s="612" t="s">
        <v>1674</v>
      </c>
      <c r="AM116" s="612" t="s">
        <v>3113</v>
      </c>
      <c r="AN116" s="612" t="s">
        <v>1674</v>
      </c>
      <c r="AP116">
        <f t="shared" si="2"/>
        <v>-3</v>
      </c>
      <c r="AQ116" s="552">
        <f t="shared" si="3"/>
        <v>2695.35</v>
      </c>
    </row>
    <row r="117" spans="1:43" outlineLevel="1" x14ac:dyDescent="0.25">
      <c r="A117" s="612" t="s">
        <v>1674</v>
      </c>
      <c r="B117" s="786">
        <v>0</v>
      </c>
      <c r="C117" s="612" t="s">
        <v>1674</v>
      </c>
      <c r="D117" s="612" t="s">
        <v>5168</v>
      </c>
      <c r="E117" t="s">
        <v>4905</v>
      </c>
      <c r="F117" t="s">
        <v>4906</v>
      </c>
      <c r="G117" s="787">
        <v>5390.7</v>
      </c>
      <c r="H117" s="787"/>
      <c r="I117" s="787">
        <v>5390.7</v>
      </c>
      <c r="J117" t="s">
        <v>2701</v>
      </c>
      <c r="K117" s="611" t="s">
        <v>4945</v>
      </c>
      <c r="L117" t="s">
        <v>2552</v>
      </c>
      <c r="M117" s="614"/>
      <c r="N117" s="788">
        <v>3</v>
      </c>
      <c r="O117" s="612" t="s">
        <v>1674</v>
      </c>
      <c r="P117" s="612" t="s">
        <v>1674</v>
      </c>
      <c r="Q117" s="612" t="s">
        <v>3112</v>
      </c>
      <c r="R117" s="612" t="s">
        <v>2617</v>
      </c>
      <c r="S117" s="612" t="s">
        <v>1674</v>
      </c>
      <c r="T117" s="789">
        <v>19</v>
      </c>
      <c r="U117" s="612" t="s">
        <v>4900</v>
      </c>
      <c r="V117" s="611">
        <v>310</v>
      </c>
      <c r="W117" s="614"/>
      <c r="Y117" s="612" t="s">
        <v>1674</v>
      </c>
      <c r="AA117" s="612" t="s">
        <v>1674</v>
      </c>
      <c r="AE117" s="790"/>
      <c r="AF117" s="612" t="s">
        <v>1674</v>
      </c>
      <c r="AG117" s="612" t="s">
        <v>1674</v>
      </c>
      <c r="AH117" s="612" t="s">
        <v>1674</v>
      </c>
      <c r="AI117" s="612" t="s">
        <v>1674</v>
      </c>
      <c r="AJ117" s="612" t="s">
        <v>1674</v>
      </c>
      <c r="AK117" s="612" t="s">
        <v>1674</v>
      </c>
      <c r="AL117" s="612" t="s">
        <v>1674</v>
      </c>
      <c r="AM117" s="612" t="s">
        <v>1674</v>
      </c>
      <c r="AN117" s="612" t="s">
        <v>1674</v>
      </c>
      <c r="AP117">
        <f t="shared" si="2"/>
        <v>-3</v>
      </c>
      <c r="AQ117" s="552">
        <f t="shared" si="3"/>
        <v>5390.7</v>
      </c>
    </row>
    <row r="118" spans="1:43" outlineLevel="1" x14ac:dyDescent="0.25">
      <c r="A118" s="612" t="s">
        <v>1674</v>
      </c>
      <c r="B118" s="786">
        <v>0</v>
      </c>
      <c r="C118" s="612" t="s">
        <v>1674</v>
      </c>
      <c r="D118" s="612" t="s">
        <v>5169</v>
      </c>
      <c r="E118" t="s">
        <v>4979</v>
      </c>
      <c r="F118" t="s">
        <v>5081</v>
      </c>
      <c r="G118" s="787">
        <v>5390.7</v>
      </c>
      <c r="H118" s="787"/>
      <c r="I118" s="787">
        <v>5390.7</v>
      </c>
      <c r="J118" t="s">
        <v>2701</v>
      </c>
      <c r="K118" s="611" t="s">
        <v>4945</v>
      </c>
      <c r="L118" t="s">
        <v>2552</v>
      </c>
      <c r="M118" s="614"/>
      <c r="N118" s="788">
        <v>14</v>
      </c>
      <c r="O118" s="612" t="s">
        <v>1674</v>
      </c>
      <c r="P118" s="612" t="s">
        <v>1674</v>
      </c>
      <c r="Q118" s="612" t="s">
        <v>3112</v>
      </c>
      <c r="R118" s="612" t="s">
        <v>2617</v>
      </c>
      <c r="S118" s="612" t="s">
        <v>1674</v>
      </c>
      <c r="T118" s="789">
        <v>19</v>
      </c>
      <c r="U118" s="612" t="s">
        <v>4900</v>
      </c>
      <c r="V118" s="611">
        <v>944</v>
      </c>
      <c r="W118" s="614"/>
      <c r="Y118" s="612" t="s">
        <v>1674</v>
      </c>
      <c r="AA118" s="612" t="s">
        <v>1674</v>
      </c>
      <c r="AE118" s="790"/>
      <c r="AF118" s="612" t="s">
        <v>1674</v>
      </c>
      <c r="AG118" s="612" t="s">
        <v>1674</v>
      </c>
      <c r="AH118" s="612" t="s">
        <v>1674</v>
      </c>
      <c r="AI118" s="612" t="s">
        <v>1674</v>
      </c>
      <c r="AJ118" s="612" t="s">
        <v>1674</v>
      </c>
      <c r="AK118" s="612" t="s">
        <v>1674</v>
      </c>
      <c r="AL118" s="612" t="s">
        <v>1674</v>
      </c>
      <c r="AM118" s="612" t="s">
        <v>1674</v>
      </c>
      <c r="AN118" s="612" t="s">
        <v>1674</v>
      </c>
      <c r="AP118">
        <f t="shared" si="2"/>
        <v>-14</v>
      </c>
      <c r="AQ118" s="552">
        <f t="shared" si="3"/>
        <v>5390.7</v>
      </c>
    </row>
    <row r="119" spans="1:43" outlineLevel="1" x14ac:dyDescent="0.25">
      <c r="A119" s="612" t="s">
        <v>1674</v>
      </c>
      <c r="B119" s="786">
        <v>0</v>
      </c>
      <c r="C119" s="612" t="s">
        <v>1674</v>
      </c>
      <c r="D119" s="612" t="s">
        <v>5170</v>
      </c>
      <c r="E119" t="s">
        <v>4897</v>
      </c>
      <c r="F119" t="s">
        <v>4898</v>
      </c>
      <c r="G119" s="787">
        <v>2695.35</v>
      </c>
      <c r="H119" s="787"/>
      <c r="I119" s="787">
        <v>2695.35</v>
      </c>
      <c r="J119" t="s">
        <v>2701</v>
      </c>
      <c r="K119" s="611" t="s">
        <v>4945</v>
      </c>
      <c r="L119" t="s">
        <v>2552</v>
      </c>
      <c r="M119" s="614"/>
      <c r="N119" s="788">
        <v>15</v>
      </c>
      <c r="O119" s="612" t="s">
        <v>1674</v>
      </c>
      <c r="P119" s="612" t="s">
        <v>1674</v>
      </c>
      <c r="Q119" s="612" t="s">
        <v>3112</v>
      </c>
      <c r="R119" s="612" t="s">
        <v>2617</v>
      </c>
      <c r="S119" s="612" t="s">
        <v>1674</v>
      </c>
      <c r="T119" s="789">
        <v>19</v>
      </c>
      <c r="U119" s="612" t="s">
        <v>4900</v>
      </c>
      <c r="V119" s="611">
        <v>1009</v>
      </c>
      <c r="W119" s="614"/>
      <c r="Y119" s="612" t="s">
        <v>1674</v>
      </c>
      <c r="AA119" s="612" t="s">
        <v>1674</v>
      </c>
      <c r="AE119" s="790"/>
      <c r="AF119" s="612" t="s">
        <v>1674</v>
      </c>
      <c r="AG119" s="612" t="s">
        <v>1674</v>
      </c>
      <c r="AH119" s="612" t="s">
        <v>1674</v>
      </c>
      <c r="AI119" s="612" t="s">
        <v>1674</v>
      </c>
      <c r="AJ119" s="612" t="s">
        <v>1674</v>
      </c>
      <c r="AK119" s="612" t="s">
        <v>1674</v>
      </c>
      <c r="AL119" s="612" t="s">
        <v>1674</v>
      </c>
      <c r="AM119" s="612" t="s">
        <v>1674</v>
      </c>
      <c r="AN119" s="612" t="s">
        <v>1674</v>
      </c>
      <c r="AP119">
        <f t="shared" si="2"/>
        <v>-15</v>
      </c>
      <c r="AQ119" s="552">
        <f t="shared" si="3"/>
        <v>2695.35</v>
      </c>
    </row>
    <row r="120" spans="1:43" outlineLevel="1" x14ac:dyDescent="0.25">
      <c r="A120" s="612" t="s">
        <v>1674</v>
      </c>
      <c r="B120" s="786">
        <v>0</v>
      </c>
      <c r="C120" s="612" t="s">
        <v>1674</v>
      </c>
      <c r="D120" s="612" t="s">
        <v>5171</v>
      </c>
      <c r="E120" t="s">
        <v>4915</v>
      </c>
      <c r="F120" t="s">
        <v>4916</v>
      </c>
      <c r="G120" s="787">
        <v>8086.05</v>
      </c>
      <c r="H120" s="787"/>
      <c r="I120" s="787">
        <v>8086.05</v>
      </c>
      <c r="J120" t="s">
        <v>2701</v>
      </c>
      <c r="K120" s="611" t="s">
        <v>4945</v>
      </c>
      <c r="L120" t="s">
        <v>2552</v>
      </c>
      <c r="M120" s="614"/>
      <c r="N120" s="788">
        <v>18</v>
      </c>
      <c r="O120" s="612" t="s">
        <v>1674</v>
      </c>
      <c r="P120" s="612" t="s">
        <v>1674</v>
      </c>
      <c r="Q120" s="612" t="s">
        <v>3112</v>
      </c>
      <c r="R120" s="612" t="s">
        <v>2617</v>
      </c>
      <c r="S120" s="612" t="s">
        <v>1674</v>
      </c>
      <c r="T120" s="789">
        <v>19</v>
      </c>
      <c r="U120" s="612" t="s">
        <v>4900</v>
      </c>
      <c r="V120" s="611">
        <v>1376</v>
      </c>
      <c r="W120" s="614"/>
      <c r="Y120" s="612" t="s">
        <v>1674</v>
      </c>
      <c r="AA120" s="612" t="s">
        <v>1674</v>
      </c>
      <c r="AE120" s="790"/>
      <c r="AF120" s="612" t="s">
        <v>1674</v>
      </c>
      <c r="AG120" s="612" t="s">
        <v>1674</v>
      </c>
      <c r="AH120" s="612" t="s">
        <v>1674</v>
      </c>
      <c r="AI120" s="612" t="s">
        <v>1674</v>
      </c>
      <c r="AJ120" s="612" t="s">
        <v>1674</v>
      </c>
      <c r="AK120" s="612" t="s">
        <v>1674</v>
      </c>
      <c r="AL120" s="612" t="s">
        <v>1674</v>
      </c>
      <c r="AM120" s="612" t="s">
        <v>1674</v>
      </c>
      <c r="AN120" s="612" t="s">
        <v>1674</v>
      </c>
      <c r="AP120">
        <f t="shared" si="2"/>
        <v>-18</v>
      </c>
      <c r="AQ120" s="552">
        <f t="shared" si="3"/>
        <v>8086.05</v>
      </c>
    </row>
    <row r="121" spans="1:43" outlineLevel="1" x14ac:dyDescent="0.25">
      <c r="A121" s="612" t="s">
        <v>1674</v>
      </c>
      <c r="B121" s="786">
        <v>10800</v>
      </c>
      <c r="C121" s="612" t="s">
        <v>2967</v>
      </c>
      <c r="D121" s="612" t="s">
        <v>5172</v>
      </c>
      <c r="E121" t="s">
        <v>4897</v>
      </c>
      <c r="F121" t="s">
        <v>4898</v>
      </c>
      <c r="G121" s="787">
        <v>203.49</v>
      </c>
      <c r="H121" s="787"/>
      <c r="I121" s="787">
        <v>203.49</v>
      </c>
      <c r="J121" t="s">
        <v>2701</v>
      </c>
      <c r="K121" s="611">
        <v>8400</v>
      </c>
      <c r="L121" t="s">
        <v>806</v>
      </c>
      <c r="M121" s="614"/>
      <c r="N121" s="788">
        <v>15</v>
      </c>
      <c r="O121" s="612" t="s">
        <v>1674</v>
      </c>
      <c r="P121" s="612" t="s">
        <v>1674</v>
      </c>
      <c r="Q121" s="612" t="s">
        <v>5173</v>
      </c>
      <c r="R121" s="612" t="s">
        <v>1674</v>
      </c>
      <c r="S121" s="612" t="s">
        <v>1674</v>
      </c>
      <c r="T121" s="789">
        <v>19</v>
      </c>
      <c r="U121" s="612" t="s">
        <v>4900</v>
      </c>
      <c r="V121" s="611">
        <v>1002</v>
      </c>
      <c r="W121" s="614"/>
      <c r="Y121" s="612" t="s">
        <v>1674</v>
      </c>
      <c r="AA121" s="612" t="s">
        <v>1674</v>
      </c>
      <c r="AE121" s="790"/>
      <c r="AF121" s="612" t="s">
        <v>1674</v>
      </c>
      <c r="AG121" s="612" t="s">
        <v>1674</v>
      </c>
      <c r="AH121" s="612" t="s">
        <v>1674</v>
      </c>
      <c r="AI121" s="612" t="s">
        <v>1674</v>
      </c>
      <c r="AJ121" s="612" t="s">
        <v>1674</v>
      </c>
      <c r="AK121" s="612" t="s">
        <v>1674</v>
      </c>
      <c r="AL121" s="612" t="s">
        <v>1674</v>
      </c>
      <c r="AM121" s="612" t="s">
        <v>2967</v>
      </c>
      <c r="AN121" s="612" t="s">
        <v>1674</v>
      </c>
      <c r="AP121">
        <f t="shared" si="2"/>
        <v>-15</v>
      </c>
      <c r="AQ121" s="552">
        <f t="shared" si="3"/>
        <v>203.49</v>
      </c>
    </row>
    <row r="122" spans="1:43" outlineLevel="1" x14ac:dyDescent="0.25">
      <c r="A122" s="612" t="s">
        <v>1674</v>
      </c>
      <c r="B122" s="786">
        <v>0</v>
      </c>
      <c r="C122" s="612" t="s">
        <v>1674</v>
      </c>
      <c r="D122" s="612" t="s">
        <v>5174</v>
      </c>
      <c r="E122" t="s">
        <v>4897</v>
      </c>
      <c r="F122" t="s">
        <v>4898</v>
      </c>
      <c r="G122" s="787">
        <v>24633</v>
      </c>
      <c r="H122" s="787"/>
      <c r="I122" s="787">
        <v>24633</v>
      </c>
      <c r="J122" t="s">
        <v>2701</v>
      </c>
      <c r="K122" s="611" t="s">
        <v>4945</v>
      </c>
      <c r="L122" t="s">
        <v>2552</v>
      </c>
      <c r="M122" s="614"/>
      <c r="N122" s="788">
        <v>15</v>
      </c>
      <c r="O122" s="612" t="s">
        <v>1674</v>
      </c>
      <c r="P122" s="612" t="s">
        <v>1674</v>
      </c>
      <c r="Q122" s="612" t="s">
        <v>3940</v>
      </c>
      <c r="R122" s="612" t="s">
        <v>2617</v>
      </c>
      <c r="S122" s="612" t="s">
        <v>1674</v>
      </c>
      <c r="T122" s="789">
        <v>19</v>
      </c>
      <c r="U122" s="612" t="s">
        <v>4900</v>
      </c>
      <c r="V122" s="611">
        <v>1020</v>
      </c>
      <c r="W122" s="614"/>
      <c r="Y122" s="612" t="s">
        <v>1674</v>
      </c>
      <c r="AA122" s="612" t="s">
        <v>1674</v>
      </c>
      <c r="AE122" s="790"/>
      <c r="AF122" s="612" t="s">
        <v>1674</v>
      </c>
      <c r="AG122" s="612" t="s">
        <v>1674</v>
      </c>
      <c r="AH122" s="612" t="s">
        <v>1674</v>
      </c>
      <c r="AI122" s="612" t="s">
        <v>1674</v>
      </c>
      <c r="AJ122" s="612" t="s">
        <v>1674</v>
      </c>
      <c r="AK122" s="612" t="s">
        <v>1674</v>
      </c>
      <c r="AL122" s="612" t="s">
        <v>1674</v>
      </c>
      <c r="AM122" s="612" t="s">
        <v>1674</v>
      </c>
      <c r="AN122" s="612" t="s">
        <v>1674</v>
      </c>
      <c r="AP122">
        <f t="shared" si="2"/>
        <v>-15</v>
      </c>
      <c r="AQ122" s="552">
        <f t="shared" si="3"/>
        <v>24633</v>
      </c>
    </row>
    <row r="123" spans="1:43" outlineLevel="1" x14ac:dyDescent="0.25">
      <c r="A123" s="612" t="s">
        <v>1674</v>
      </c>
      <c r="B123" s="786">
        <v>0</v>
      </c>
      <c r="C123" s="612" t="s">
        <v>1674</v>
      </c>
      <c r="D123" s="612" t="s">
        <v>5175</v>
      </c>
      <c r="E123" t="s">
        <v>4911</v>
      </c>
      <c r="F123" t="s">
        <v>4912</v>
      </c>
      <c r="G123" s="787">
        <v>368.9</v>
      </c>
      <c r="H123" s="787"/>
      <c r="I123" s="787">
        <v>368.9</v>
      </c>
      <c r="J123" t="s">
        <v>2701</v>
      </c>
      <c r="K123" s="611">
        <v>8400</v>
      </c>
      <c r="L123" t="s">
        <v>806</v>
      </c>
      <c r="M123" s="614"/>
      <c r="N123" s="788">
        <v>17</v>
      </c>
      <c r="O123" s="612" t="s">
        <v>1674</v>
      </c>
      <c r="P123" s="612" t="s">
        <v>1674</v>
      </c>
      <c r="Q123" s="612" t="s">
        <v>5176</v>
      </c>
      <c r="R123" s="612" t="s">
        <v>1674</v>
      </c>
      <c r="S123" s="612" t="s">
        <v>1674</v>
      </c>
      <c r="T123" s="789">
        <v>19</v>
      </c>
      <c r="U123" s="612" t="s">
        <v>4900</v>
      </c>
      <c r="V123" s="611">
        <v>1210</v>
      </c>
      <c r="W123" s="614"/>
      <c r="Y123" s="612" t="s">
        <v>1674</v>
      </c>
      <c r="AA123" s="612" t="s">
        <v>1674</v>
      </c>
      <c r="AE123" s="790"/>
      <c r="AF123" s="612" t="s">
        <v>1674</v>
      </c>
      <c r="AG123" s="612" t="s">
        <v>1674</v>
      </c>
      <c r="AH123" s="612" t="s">
        <v>1674</v>
      </c>
      <c r="AI123" s="612" t="s">
        <v>1674</v>
      </c>
      <c r="AJ123" s="612" t="s">
        <v>1674</v>
      </c>
      <c r="AK123" s="612" t="s">
        <v>1674</v>
      </c>
      <c r="AL123" s="612" t="s">
        <v>1674</v>
      </c>
      <c r="AM123" s="612" t="s">
        <v>1674</v>
      </c>
      <c r="AN123" s="612" t="s">
        <v>1674</v>
      </c>
      <c r="AP123">
        <f t="shared" si="2"/>
        <v>-17</v>
      </c>
      <c r="AQ123" s="552">
        <f t="shared" si="3"/>
        <v>368.9</v>
      </c>
    </row>
    <row r="124" spans="1:43" outlineLevel="1" x14ac:dyDescent="0.25">
      <c r="A124" s="612" t="s">
        <v>1674</v>
      </c>
      <c r="B124" s="786">
        <v>0</v>
      </c>
      <c r="C124" s="612" t="s">
        <v>1674</v>
      </c>
      <c r="D124" s="612" t="s">
        <v>5177</v>
      </c>
      <c r="E124" t="s">
        <v>4911</v>
      </c>
      <c r="F124" t="s">
        <v>4912</v>
      </c>
      <c r="G124" s="787">
        <v>1445.14</v>
      </c>
      <c r="H124" s="787"/>
      <c r="I124" s="787">
        <v>1445.14</v>
      </c>
      <c r="J124" t="s">
        <v>2701</v>
      </c>
      <c r="K124" s="611">
        <v>8400</v>
      </c>
      <c r="L124" t="s">
        <v>806</v>
      </c>
      <c r="M124" s="614"/>
      <c r="N124" s="788">
        <v>17</v>
      </c>
      <c r="O124" s="612" t="s">
        <v>1674</v>
      </c>
      <c r="P124" s="612" t="s">
        <v>1674</v>
      </c>
      <c r="Q124" s="612" t="s">
        <v>5178</v>
      </c>
      <c r="R124" s="612" t="s">
        <v>1674</v>
      </c>
      <c r="S124" s="612" t="s">
        <v>1674</v>
      </c>
      <c r="T124" s="789">
        <v>19</v>
      </c>
      <c r="U124" s="612" t="s">
        <v>4900</v>
      </c>
      <c r="V124" s="611">
        <v>1230</v>
      </c>
      <c r="W124" s="614"/>
      <c r="Y124" s="612" t="s">
        <v>1674</v>
      </c>
      <c r="AA124" s="612" t="s">
        <v>1674</v>
      </c>
      <c r="AE124" s="790"/>
      <c r="AF124" s="612" t="s">
        <v>1674</v>
      </c>
      <c r="AG124" s="612" t="s">
        <v>1674</v>
      </c>
      <c r="AH124" s="612" t="s">
        <v>1674</v>
      </c>
      <c r="AI124" s="612" t="s">
        <v>1674</v>
      </c>
      <c r="AJ124" s="612" t="s">
        <v>1674</v>
      </c>
      <c r="AK124" s="612" t="s">
        <v>1674</v>
      </c>
      <c r="AL124" s="612" t="s">
        <v>1674</v>
      </c>
      <c r="AM124" s="612" t="s">
        <v>1674</v>
      </c>
      <c r="AN124" s="612" t="s">
        <v>1674</v>
      </c>
      <c r="AP124">
        <f t="shared" si="2"/>
        <v>-17</v>
      </c>
      <c r="AQ124" s="552">
        <f t="shared" si="3"/>
        <v>1445.14</v>
      </c>
    </row>
    <row r="125" spans="1:43" outlineLevel="1" x14ac:dyDescent="0.25">
      <c r="A125" s="612" t="s">
        <v>1674</v>
      </c>
      <c r="B125" s="786">
        <v>0</v>
      </c>
      <c r="C125" s="612" t="s">
        <v>1674</v>
      </c>
      <c r="D125" s="612" t="s">
        <v>5179</v>
      </c>
      <c r="E125" t="s">
        <v>4915</v>
      </c>
      <c r="F125" t="s">
        <v>4916</v>
      </c>
      <c r="G125" s="787">
        <v>740.78</v>
      </c>
      <c r="H125" s="787"/>
      <c r="I125" s="787">
        <v>740.78</v>
      </c>
      <c r="J125" t="s">
        <v>2701</v>
      </c>
      <c r="K125" s="611">
        <v>8400</v>
      </c>
      <c r="L125" t="s">
        <v>806</v>
      </c>
      <c r="M125" s="614"/>
      <c r="N125" s="788">
        <v>18</v>
      </c>
      <c r="O125" s="612" t="s">
        <v>1674</v>
      </c>
      <c r="P125" s="612" t="s">
        <v>1674</v>
      </c>
      <c r="Q125" s="612" t="s">
        <v>3938</v>
      </c>
      <c r="R125" s="612" t="s">
        <v>1674</v>
      </c>
      <c r="S125" s="612" t="s">
        <v>1674</v>
      </c>
      <c r="T125" s="789">
        <v>19</v>
      </c>
      <c r="U125" s="612" t="s">
        <v>4900</v>
      </c>
      <c r="V125" s="611">
        <v>1349</v>
      </c>
      <c r="W125" s="614"/>
      <c r="Y125" s="612" t="s">
        <v>1674</v>
      </c>
      <c r="AA125" s="612" t="s">
        <v>1674</v>
      </c>
      <c r="AE125" s="790"/>
      <c r="AF125" s="612" t="s">
        <v>1674</v>
      </c>
      <c r="AG125" s="612" t="s">
        <v>1674</v>
      </c>
      <c r="AH125" s="612" t="s">
        <v>1674</v>
      </c>
      <c r="AI125" s="612" t="s">
        <v>1674</v>
      </c>
      <c r="AJ125" s="612" t="s">
        <v>1674</v>
      </c>
      <c r="AK125" s="612" t="s">
        <v>1674</v>
      </c>
      <c r="AL125" s="612" t="s">
        <v>1674</v>
      </c>
      <c r="AM125" s="612" t="s">
        <v>1674</v>
      </c>
      <c r="AN125" s="612" t="s">
        <v>1674</v>
      </c>
      <c r="AP125">
        <f t="shared" si="2"/>
        <v>-18</v>
      </c>
      <c r="AQ125" s="552">
        <f t="shared" si="3"/>
        <v>740.78</v>
      </c>
    </row>
    <row r="126" spans="1:43" outlineLevel="1" x14ac:dyDescent="0.25">
      <c r="A126" s="612" t="s">
        <v>1674</v>
      </c>
      <c r="B126" s="786">
        <v>0</v>
      </c>
      <c r="C126" s="612" t="s">
        <v>1674</v>
      </c>
      <c r="D126" s="612" t="s">
        <v>2968</v>
      </c>
      <c r="E126" t="s">
        <v>2965</v>
      </c>
      <c r="F126" t="s">
        <v>2969</v>
      </c>
      <c r="G126" s="787">
        <v>595</v>
      </c>
      <c r="H126" s="787"/>
      <c r="I126" s="787">
        <v>595</v>
      </c>
      <c r="J126" t="s">
        <v>2701</v>
      </c>
      <c r="K126" s="611">
        <v>8404</v>
      </c>
      <c r="L126" t="s">
        <v>806</v>
      </c>
      <c r="M126" s="614"/>
      <c r="N126" s="788">
        <v>-369</v>
      </c>
      <c r="O126" s="612" t="s">
        <v>1674</v>
      </c>
      <c r="P126" s="612" t="s">
        <v>1674</v>
      </c>
      <c r="Q126" s="612" t="s">
        <v>2970</v>
      </c>
      <c r="R126" s="612" t="s">
        <v>1674</v>
      </c>
      <c r="S126" s="612" t="s">
        <v>1674</v>
      </c>
      <c r="T126" s="789">
        <v>19</v>
      </c>
      <c r="U126" s="612" t="s">
        <v>2697</v>
      </c>
      <c r="V126" s="611">
        <v>1599</v>
      </c>
      <c r="W126" s="614"/>
      <c r="Y126" s="612" t="s">
        <v>1674</v>
      </c>
      <c r="AA126" s="612" t="s">
        <v>1674</v>
      </c>
      <c r="AE126" s="790"/>
      <c r="AF126" s="612" t="s">
        <v>1674</v>
      </c>
      <c r="AG126" s="612" t="s">
        <v>1674</v>
      </c>
      <c r="AH126" s="612" t="s">
        <v>1674</v>
      </c>
      <c r="AI126" s="612" t="s">
        <v>1674</v>
      </c>
      <c r="AJ126" s="612" t="s">
        <v>1674</v>
      </c>
      <c r="AK126" s="612" t="s">
        <v>1674</v>
      </c>
      <c r="AL126" s="612" t="s">
        <v>1674</v>
      </c>
      <c r="AM126" s="612" t="s">
        <v>1674</v>
      </c>
      <c r="AN126" s="612" t="s">
        <v>1674</v>
      </c>
      <c r="AP126">
        <f t="shared" si="2"/>
        <v>369</v>
      </c>
      <c r="AQ126" s="552">
        <f t="shared" si="3"/>
        <v>595</v>
      </c>
    </row>
    <row r="127" spans="1:43" outlineLevel="1" x14ac:dyDescent="0.25">
      <c r="A127" s="612" t="s">
        <v>1674</v>
      </c>
      <c r="B127" s="786">
        <v>0</v>
      </c>
      <c r="C127" s="612" t="s">
        <v>1674</v>
      </c>
      <c r="D127" s="612" t="s">
        <v>2971</v>
      </c>
      <c r="E127" t="s">
        <v>2965</v>
      </c>
      <c r="F127" t="s">
        <v>2969</v>
      </c>
      <c r="G127" s="787">
        <v>595</v>
      </c>
      <c r="H127" s="787"/>
      <c r="I127" s="787">
        <v>595</v>
      </c>
      <c r="J127" t="s">
        <v>2701</v>
      </c>
      <c r="K127" s="611">
        <v>8404</v>
      </c>
      <c r="L127" t="s">
        <v>806</v>
      </c>
      <c r="M127" s="614"/>
      <c r="N127" s="788">
        <v>-369</v>
      </c>
      <c r="O127" s="612" t="s">
        <v>1674</v>
      </c>
      <c r="P127" s="612" t="s">
        <v>1674</v>
      </c>
      <c r="Q127" s="612" t="s">
        <v>2970</v>
      </c>
      <c r="R127" s="612" t="s">
        <v>1674</v>
      </c>
      <c r="S127" s="612" t="s">
        <v>1674</v>
      </c>
      <c r="T127" s="789">
        <v>19</v>
      </c>
      <c r="U127" s="612" t="s">
        <v>2697</v>
      </c>
      <c r="V127" s="611">
        <v>1600</v>
      </c>
      <c r="W127" s="614"/>
      <c r="Y127" s="612" t="s">
        <v>1674</v>
      </c>
      <c r="AA127" s="612" t="s">
        <v>1674</v>
      </c>
      <c r="AE127" s="790"/>
      <c r="AF127" s="612" t="s">
        <v>1674</v>
      </c>
      <c r="AG127" s="612" t="s">
        <v>1674</v>
      </c>
      <c r="AH127" s="612" t="s">
        <v>1674</v>
      </c>
      <c r="AI127" s="612" t="s">
        <v>1674</v>
      </c>
      <c r="AJ127" s="612" t="s">
        <v>1674</v>
      </c>
      <c r="AK127" s="612" t="s">
        <v>1674</v>
      </c>
      <c r="AL127" s="612" t="s">
        <v>1674</v>
      </c>
      <c r="AM127" s="612" t="s">
        <v>1674</v>
      </c>
      <c r="AN127" s="612" t="s">
        <v>1674</v>
      </c>
      <c r="AP127">
        <f t="shared" si="2"/>
        <v>369</v>
      </c>
      <c r="AQ127" s="552">
        <f t="shared" si="3"/>
        <v>595</v>
      </c>
    </row>
    <row r="128" spans="1:43" outlineLevel="1" x14ac:dyDescent="0.25">
      <c r="A128" s="612" t="s">
        <v>1674</v>
      </c>
      <c r="B128" s="786">
        <v>0</v>
      </c>
      <c r="C128" s="612" t="s">
        <v>1674</v>
      </c>
      <c r="D128" s="612" t="s">
        <v>2972</v>
      </c>
      <c r="E128" t="s">
        <v>2965</v>
      </c>
      <c r="F128" t="s">
        <v>2969</v>
      </c>
      <c r="G128" s="787">
        <v>595</v>
      </c>
      <c r="H128" s="787"/>
      <c r="I128" s="787">
        <v>595</v>
      </c>
      <c r="J128" t="s">
        <v>2701</v>
      </c>
      <c r="K128" s="611">
        <v>8404</v>
      </c>
      <c r="L128" t="s">
        <v>806</v>
      </c>
      <c r="M128" s="614"/>
      <c r="N128" s="788">
        <v>-369</v>
      </c>
      <c r="O128" s="612" t="s">
        <v>1674</v>
      </c>
      <c r="P128" s="612" t="s">
        <v>1674</v>
      </c>
      <c r="Q128" s="612" t="s">
        <v>2970</v>
      </c>
      <c r="R128" s="612" t="s">
        <v>1674</v>
      </c>
      <c r="S128" s="612" t="s">
        <v>1674</v>
      </c>
      <c r="T128" s="789">
        <v>19</v>
      </c>
      <c r="U128" s="612" t="s">
        <v>2697</v>
      </c>
      <c r="V128" s="611">
        <v>1601</v>
      </c>
      <c r="W128" s="614"/>
      <c r="Y128" s="612" t="s">
        <v>1674</v>
      </c>
      <c r="AA128" s="612" t="s">
        <v>1674</v>
      </c>
      <c r="AE128" s="790"/>
      <c r="AF128" s="612" t="s">
        <v>1674</v>
      </c>
      <c r="AG128" s="612" t="s">
        <v>1674</v>
      </c>
      <c r="AH128" s="612" t="s">
        <v>1674</v>
      </c>
      <c r="AI128" s="612" t="s">
        <v>1674</v>
      </c>
      <c r="AJ128" s="612" t="s">
        <v>1674</v>
      </c>
      <c r="AK128" s="612" t="s">
        <v>1674</v>
      </c>
      <c r="AL128" s="612" t="s">
        <v>1674</v>
      </c>
      <c r="AM128" s="612" t="s">
        <v>1674</v>
      </c>
      <c r="AN128" s="612" t="s">
        <v>1674</v>
      </c>
      <c r="AP128">
        <f t="shared" si="2"/>
        <v>369</v>
      </c>
      <c r="AQ128" s="552">
        <f t="shared" si="3"/>
        <v>595</v>
      </c>
    </row>
    <row r="129" spans="1:43" outlineLevel="1" x14ac:dyDescent="0.25">
      <c r="A129" s="612" t="s">
        <v>1674</v>
      </c>
      <c r="B129" s="786">
        <v>10802</v>
      </c>
      <c r="C129" s="612" t="s">
        <v>3869</v>
      </c>
      <c r="D129" s="612" t="s">
        <v>5180</v>
      </c>
      <c r="E129" t="s">
        <v>4905</v>
      </c>
      <c r="F129" t="s">
        <v>4906</v>
      </c>
      <c r="G129" s="787">
        <v>218.96</v>
      </c>
      <c r="H129" s="787"/>
      <c r="I129" s="787">
        <v>218.96</v>
      </c>
      <c r="J129" t="s">
        <v>2701</v>
      </c>
      <c r="K129" s="611">
        <v>8400</v>
      </c>
      <c r="L129" t="s">
        <v>806</v>
      </c>
      <c r="M129" s="614"/>
      <c r="N129" s="788">
        <v>3</v>
      </c>
      <c r="O129" s="612" t="s">
        <v>1674</v>
      </c>
      <c r="P129" s="612" t="s">
        <v>1674</v>
      </c>
      <c r="Q129" s="612" t="s">
        <v>5181</v>
      </c>
      <c r="R129" s="612" t="s">
        <v>1674</v>
      </c>
      <c r="S129" s="612" t="s">
        <v>1674</v>
      </c>
      <c r="T129" s="789">
        <v>19</v>
      </c>
      <c r="U129" s="612" t="s">
        <v>4900</v>
      </c>
      <c r="V129" s="611">
        <v>291</v>
      </c>
      <c r="W129" s="614"/>
      <c r="Y129" s="612" t="s">
        <v>1674</v>
      </c>
      <c r="AA129" s="612" t="s">
        <v>1674</v>
      </c>
      <c r="AE129" s="790"/>
      <c r="AF129" s="612" t="s">
        <v>3872</v>
      </c>
      <c r="AG129" s="612" t="s">
        <v>3873</v>
      </c>
      <c r="AH129" s="612" t="s">
        <v>3874</v>
      </c>
      <c r="AI129" s="612" t="s">
        <v>1674</v>
      </c>
      <c r="AJ129" s="612" t="s">
        <v>3875</v>
      </c>
      <c r="AK129" s="612" t="s">
        <v>1674</v>
      </c>
      <c r="AL129" s="612" t="s">
        <v>1674</v>
      </c>
      <c r="AM129" s="612" t="s">
        <v>3876</v>
      </c>
      <c r="AN129" s="612" t="s">
        <v>3877</v>
      </c>
      <c r="AP129">
        <f t="shared" si="2"/>
        <v>-3</v>
      </c>
      <c r="AQ129" s="552">
        <f t="shared" si="3"/>
        <v>218.96</v>
      </c>
    </row>
    <row r="130" spans="1:43" outlineLevel="1" x14ac:dyDescent="0.25">
      <c r="A130" s="612" t="s">
        <v>1674</v>
      </c>
      <c r="B130" s="786">
        <v>10831</v>
      </c>
      <c r="C130" s="612" t="s">
        <v>5182</v>
      </c>
      <c r="D130" s="612" t="s">
        <v>5183</v>
      </c>
      <c r="E130" t="s">
        <v>4911</v>
      </c>
      <c r="F130" t="s">
        <v>4912</v>
      </c>
      <c r="G130" s="787">
        <v>464.1</v>
      </c>
      <c r="H130" s="787"/>
      <c r="I130" s="787">
        <v>464.1</v>
      </c>
      <c r="J130" t="s">
        <v>2701</v>
      </c>
      <c r="K130" s="611">
        <v>8400</v>
      </c>
      <c r="L130" t="s">
        <v>806</v>
      </c>
      <c r="M130" s="614"/>
      <c r="N130" s="788">
        <v>17</v>
      </c>
      <c r="O130" s="612" t="s">
        <v>1674</v>
      </c>
      <c r="P130" s="612" t="s">
        <v>1674</v>
      </c>
      <c r="Q130" s="612" t="s">
        <v>5184</v>
      </c>
      <c r="R130" s="612" t="s">
        <v>1674</v>
      </c>
      <c r="S130" s="612" t="s">
        <v>1674</v>
      </c>
      <c r="T130" s="789">
        <v>19</v>
      </c>
      <c r="U130" s="612" t="s">
        <v>4900</v>
      </c>
      <c r="V130" s="611">
        <v>1250</v>
      </c>
      <c r="W130" s="614"/>
      <c r="Y130" s="612" t="s">
        <v>1674</v>
      </c>
      <c r="AA130" s="612" t="s">
        <v>1674</v>
      </c>
      <c r="AE130" s="790"/>
      <c r="AF130" s="612" t="s">
        <v>1674</v>
      </c>
      <c r="AG130" s="612" t="s">
        <v>1674</v>
      </c>
      <c r="AH130" s="612" t="s">
        <v>1674</v>
      </c>
      <c r="AI130" s="612" t="s">
        <v>1674</v>
      </c>
      <c r="AJ130" s="612" t="s">
        <v>1674</v>
      </c>
      <c r="AK130" s="612" t="s">
        <v>1674</v>
      </c>
      <c r="AL130" s="612" t="s">
        <v>1674</v>
      </c>
      <c r="AM130" s="612" t="s">
        <v>5185</v>
      </c>
      <c r="AN130" s="612" t="s">
        <v>1674</v>
      </c>
      <c r="AP130">
        <f t="shared" si="2"/>
        <v>-17</v>
      </c>
      <c r="AQ130" s="552">
        <f t="shared" si="3"/>
        <v>464.1</v>
      </c>
    </row>
    <row r="131" spans="1:43" outlineLevel="1" x14ac:dyDescent="0.25">
      <c r="A131" s="612" t="s">
        <v>1674</v>
      </c>
      <c r="B131" s="786">
        <v>0</v>
      </c>
      <c r="C131" s="612" t="s">
        <v>1674</v>
      </c>
      <c r="D131" s="612" t="s">
        <v>5186</v>
      </c>
      <c r="E131" t="s">
        <v>4911</v>
      </c>
      <c r="F131" t="s">
        <v>4912</v>
      </c>
      <c r="G131" s="787">
        <v>464.1</v>
      </c>
      <c r="H131" s="787"/>
      <c r="I131" s="787">
        <v>464.1</v>
      </c>
      <c r="J131" t="s">
        <v>2701</v>
      </c>
      <c r="K131" s="611">
        <v>8400</v>
      </c>
      <c r="L131" t="s">
        <v>806</v>
      </c>
      <c r="M131" s="614"/>
      <c r="N131" s="788">
        <v>17</v>
      </c>
      <c r="O131" s="612" t="s">
        <v>1674</v>
      </c>
      <c r="P131" s="612" t="s">
        <v>1674</v>
      </c>
      <c r="Q131" s="612" t="s">
        <v>5184</v>
      </c>
      <c r="R131" s="612" t="s">
        <v>1674</v>
      </c>
      <c r="S131" s="612" t="s">
        <v>1674</v>
      </c>
      <c r="T131" s="789">
        <v>19</v>
      </c>
      <c r="U131" s="612" t="s">
        <v>4900</v>
      </c>
      <c r="V131" s="611">
        <v>1251</v>
      </c>
      <c r="W131" s="614"/>
      <c r="Y131" s="612" t="s">
        <v>1674</v>
      </c>
      <c r="AA131" s="612" t="s">
        <v>1674</v>
      </c>
      <c r="AE131" s="790"/>
      <c r="AF131" s="612" t="s">
        <v>1674</v>
      </c>
      <c r="AG131" s="612" t="s">
        <v>1674</v>
      </c>
      <c r="AH131" s="612" t="s">
        <v>1674</v>
      </c>
      <c r="AI131" s="612" t="s">
        <v>1674</v>
      </c>
      <c r="AJ131" s="612" t="s">
        <v>1674</v>
      </c>
      <c r="AK131" s="612" t="s">
        <v>1674</v>
      </c>
      <c r="AL131" s="612" t="s">
        <v>1674</v>
      </c>
      <c r="AM131" s="612" t="s">
        <v>1674</v>
      </c>
      <c r="AN131" s="612" t="s">
        <v>1674</v>
      </c>
      <c r="AP131">
        <f t="shared" ref="AP131:AP194" si="4">IF(F131="",0,$AO$2-F131)</f>
        <v>-17</v>
      </c>
      <c r="AQ131" s="552">
        <f t="shared" si="3"/>
        <v>464.1</v>
      </c>
    </row>
    <row r="132" spans="1:43" outlineLevel="1" x14ac:dyDescent="0.25">
      <c r="A132" s="612" t="s">
        <v>1674</v>
      </c>
      <c r="B132" s="786">
        <v>0</v>
      </c>
      <c r="C132" s="612" t="s">
        <v>1674</v>
      </c>
      <c r="D132" s="612" t="s">
        <v>5187</v>
      </c>
      <c r="E132" t="s">
        <v>4962</v>
      </c>
      <c r="G132" s="787"/>
      <c r="H132" s="787">
        <v>464.1</v>
      </c>
      <c r="I132" s="787">
        <v>464.1</v>
      </c>
      <c r="J132" t="s">
        <v>2584</v>
      </c>
      <c r="K132" s="611">
        <v>8400</v>
      </c>
      <c r="L132" t="s">
        <v>806</v>
      </c>
      <c r="M132" s="614"/>
      <c r="N132" s="788"/>
      <c r="O132" s="612" t="s">
        <v>1674</v>
      </c>
      <c r="P132" s="612" t="s">
        <v>1674</v>
      </c>
      <c r="Q132" s="612" t="s">
        <v>5184</v>
      </c>
      <c r="R132" s="612" t="s">
        <v>1674</v>
      </c>
      <c r="S132" s="612" t="s">
        <v>1674</v>
      </c>
      <c r="T132" s="789">
        <v>19</v>
      </c>
      <c r="U132" s="612" t="s">
        <v>4900</v>
      </c>
      <c r="V132" s="611">
        <v>1744</v>
      </c>
      <c r="W132" s="614"/>
      <c r="Y132" s="612" t="s">
        <v>1674</v>
      </c>
      <c r="AA132" s="612" t="s">
        <v>1674</v>
      </c>
      <c r="AE132" s="790"/>
      <c r="AF132" s="612" t="s">
        <v>1674</v>
      </c>
      <c r="AG132" s="612" t="s">
        <v>1674</v>
      </c>
      <c r="AH132" s="612" t="s">
        <v>1674</v>
      </c>
      <c r="AI132" s="612" t="s">
        <v>1674</v>
      </c>
      <c r="AJ132" s="612" t="s">
        <v>1674</v>
      </c>
      <c r="AK132" s="612" t="s">
        <v>1674</v>
      </c>
      <c r="AL132" s="612" t="s">
        <v>1674</v>
      </c>
      <c r="AM132" s="612" t="s">
        <v>1674</v>
      </c>
      <c r="AN132" s="612" t="s">
        <v>1674</v>
      </c>
      <c r="AP132">
        <f t="shared" si="4"/>
        <v>0</v>
      </c>
      <c r="AQ132" s="552">
        <f t="shared" ref="AQ132:AQ195" si="5">IF(J132="S",+I132,-I132)</f>
        <v>-464.1</v>
      </c>
    </row>
    <row r="133" spans="1:43" outlineLevel="1" x14ac:dyDescent="0.25">
      <c r="A133" s="612" t="s">
        <v>1674</v>
      </c>
      <c r="B133" s="786">
        <v>0</v>
      </c>
      <c r="C133" s="612" t="s">
        <v>1674</v>
      </c>
      <c r="D133" s="612" t="s">
        <v>5188</v>
      </c>
      <c r="E133" t="s">
        <v>4962</v>
      </c>
      <c r="G133" s="787"/>
      <c r="H133" s="787">
        <v>464.1</v>
      </c>
      <c r="I133" s="787">
        <v>464.1</v>
      </c>
      <c r="J133" t="s">
        <v>2584</v>
      </c>
      <c r="K133" s="611">
        <v>8400</v>
      </c>
      <c r="L133" t="s">
        <v>806</v>
      </c>
      <c r="M133" s="614"/>
      <c r="N133" s="788"/>
      <c r="O133" s="612" t="s">
        <v>1674</v>
      </c>
      <c r="P133" s="612" t="s">
        <v>1674</v>
      </c>
      <c r="Q133" s="612" t="s">
        <v>5184</v>
      </c>
      <c r="R133" s="612" t="s">
        <v>1674</v>
      </c>
      <c r="S133" s="612" t="s">
        <v>1674</v>
      </c>
      <c r="T133" s="789">
        <v>19</v>
      </c>
      <c r="U133" s="612" t="s">
        <v>4900</v>
      </c>
      <c r="V133" s="611">
        <v>1745</v>
      </c>
      <c r="W133" s="614"/>
      <c r="Y133" s="612" t="s">
        <v>1674</v>
      </c>
      <c r="AA133" s="612" t="s">
        <v>1674</v>
      </c>
      <c r="AE133" s="790"/>
      <c r="AF133" s="612" t="s">
        <v>1674</v>
      </c>
      <c r="AG133" s="612" t="s">
        <v>1674</v>
      </c>
      <c r="AH133" s="612" t="s">
        <v>1674</v>
      </c>
      <c r="AI133" s="612" t="s">
        <v>1674</v>
      </c>
      <c r="AJ133" s="612" t="s">
        <v>1674</v>
      </c>
      <c r="AK133" s="612" t="s">
        <v>1674</v>
      </c>
      <c r="AL133" s="612" t="s">
        <v>1674</v>
      </c>
      <c r="AM133" s="612" t="s">
        <v>1674</v>
      </c>
      <c r="AN133" s="612" t="s">
        <v>1674</v>
      </c>
      <c r="AP133">
        <f t="shared" si="4"/>
        <v>0</v>
      </c>
      <c r="AQ133" s="552">
        <f t="shared" si="5"/>
        <v>-464.1</v>
      </c>
    </row>
    <row r="134" spans="1:43" outlineLevel="1" x14ac:dyDescent="0.25">
      <c r="A134" s="612" t="s">
        <v>1674</v>
      </c>
      <c r="B134" s="786">
        <v>10832</v>
      </c>
      <c r="C134" s="612" t="s">
        <v>2734</v>
      </c>
      <c r="D134" s="612" t="s">
        <v>3725</v>
      </c>
      <c r="E134" t="s">
        <v>3726</v>
      </c>
      <c r="F134" t="s">
        <v>3727</v>
      </c>
      <c r="G134" s="787">
        <v>927.01</v>
      </c>
      <c r="H134" s="787"/>
      <c r="I134" s="787">
        <v>927.01</v>
      </c>
      <c r="J134" t="s">
        <v>2701</v>
      </c>
      <c r="K134" s="611">
        <v>8400</v>
      </c>
      <c r="L134" t="s">
        <v>806</v>
      </c>
      <c r="M134" s="614"/>
      <c r="N134" s="788">
        <v>-77</v>
      </c>
      <c r="O134" s="612" t="s">
        <v>1674</v>
      </c>
      <c r="P134" s="612" t="s">
        <v>1674</v>
      </c>
      <c r="Q134" s="612" t="s">
        <v>2737</v>
      </c>
      <c r="R134" s="612" t="s">
        <v>1674</v>
      </c>
      <c r="S134" s="612" t="s">
        <v>1674</v>
      </c>
      <c r="T134" s="789">
        <v>19</v>
      </c>
      <c r="U134" s="612" t="s">
        <v>3328</v>
      </c>
      <c r="V134" s="611">
        <v>896</v>
      </c>
      <c r="W134" s="614"/>
      <c r="Y134" s="612" t="s">
        <v>1674</v>
      </c>
      <c r="AA134" s="612" t="s">
        <v>1674</v>
      </c>
      <c r="AE134" s="790"/>
      <c r="AF134" s="612" t="s">
        <v>1674</v>
      </c>
      <c r="AG134" s="612" t="s">
        <v>1674</v>
      </c>
      <c r="AH134" s="612" t="s">
        <v>1674</v>
      </c>
      <c r="AI134" s="612" t="s">
        <v>1674</v>
      </c>
      <c r="AJ134" s="612" t="s">
        <v>1674</v>
      </c>
      <c r="AK134" s="612" t="s">
        <v>1674</v>
      </c>
      <c r="AL134" s="612" t="s">
        <v>1674</v>
      </c>
      <c r="AM134" s="612" t="s">
        <v>2738</v>
      </c>
      <c r="AN134" s="612" t="s">
        <v>1674</v>
      </c>
      <c r="AP134">
        <f t="shared" si="4"/>
        <v>77</v>
      </c>
      <c r="AQ134" s="552">
        <f t="shared" si="5"/>
        <v>927.01</v>
      </c>
    </row>
    <row r="135" spans="1:43" outlineLevel="1" x14ac:dyDescent="0.25">
      <c r="A135" s="612" t="s">
        <v>1674</v>
      </c>
      <c r="B135" s="786">
        <v>11000</v>
      </c>
      <c r="C135" s="612" t="s">
        <v>2900</v>
      </c>
      <c r="D135" s="612" t="s">
        <v>3452</v>
      </c>
      <c r="E135" t="s">
        <v>3453</v>
      </c>
      <c r="F135" t="s">
        <v>3454</v>
      </c>
      <c r="G135" s="787">
        <v>3855.6</v>
      </c>
      <c r="H135" s="787"/>
      <c r="I135" s="787">
        <v>3855.6</v>
      </c>
      <c r="J135" t="s">
        <v>2701</v>
      </c>
      <c r="K135" s="611" t="s">
        <v>4945</v>
      </c>
      <c r="L135" t="s">
        <v>2552</v>
      </c>
      <c r="M135" s="614"/>
      <c r="N135" s="788">
        <v>-210</v>
      </c>
      <c r="O135" s="612" t="s">
        <v>1674</v>
      </c>
      <c r="P135" s="612" t="s">
        <v>1674</v>
      </c>
      <c r="Q135" s="612" t="s">
        <v>3250</v>
      </c>
      <c r="R135" s="612" t="s">
        <v>2617</v>
      </c>
      <c r="S135" s="612" t="s">
        <v>1674</v>
      </c>
      <c r="T135" s="789">
        <v>19</v>
      </c>
      <c r="U135" s="612" t="s">
        <v>3415</v>
      </c>
      <c r="V135" s="611">
        <v>39</v>
      </c>
      <c r="W135" s="614"/>
      <c r="Y135" s="612" t="s">
        <v>1674</v>
      </c>
      <c r="AA135" s="612" t="s">
        <v>1674</v>
      </c>
      <c r="AE135" s="790"/>
      <c r="AF135" s="612" t="s">
        <v>1674</v>
      </c>
      <c r="AG135" s="612" t="s">
        <v>1674</v>
      </c>
      <c r="AH135" s="612" t="s">
        <v>1674</v>
      </c>
      <c r="AI135" s="612" t="s">
        <v>1674</v>
      </c>
      <c r="AJ135" s="612" t="s">
        <v>1674</v>
      </c>
      <c r="AK135" s="612" t="s">
        <v>1674</v>
      </c>
      <c r="AL135" s="612" t="s">
        <v>1674</v>
      </c>
      <c r="AM135" s="612" t="s">
        <v>2900</v>
      </c>
      <c r="AN135" s="612" t="s">
        <v>1674</v>
      </c>
      <c r="AP135">
        <f t="shared" si="4"/>
        <v>210</v>
      </c>
      <c r="AQ135" s="552">
        <f t="shared" si="5"/>
        <v>3855.6</v>
      </c>
    </row>
    <row r="136" spans="1:43" outlineLevel="1" x14ac:dyDescent="0.25">
      <c r="A136" s="612" t="s">
        <v>1674</v>
      </c>
      <c r="B136" s="786">
        <v>0</v>
      </c>
      <c r="C136" s="612" t="s">
        <v>1674</v>
      </c>
      <c r="D136" s="612" t="s">
        <v>3535</v>
      </c>
      <c r="E136" t="s">
        <v>3536</v>
      </c>
      <c r="F136" t="s">
        <v>3537</v>
      </c>
      <c r="G136" s="787">
        <v>3855.6</v>
      </c>
      <c r="H136" s="787"/>
      <c r="I136" s="787">
        <v>3855.6</v>
      </c>
      <c r="J136" t="s">
        <v>2701</v>
      </c>
      <c r="K136" s="611" t="s">
        <v>4945</v>
      </c>
      <c r="L136" t="s">
        <v>2552</v>
      </c>
      <c r="M136" s="614"/>
      <c r="N136" s="788">
        <v>-168</v>
      </c>
      <c r="O136" s="612" t="s">
        <v>1674</v>
      </c>
      <c r="P136" s="612" t="s">
        <v>1674</v>
      </c>
      <c r="Q136" s="612" t="s">
        <v>3250</v>
      </c>
      <c r="R136" s="612" t="s">
        <v>2617</v>
      </c>
      <c r="S136" s="612" t="s">
        <v>1674</v>
      </c>
      <c r="T136" s="789">
        <v>19</v>
      </c>
      <c r="U136" s="612" t="s">
        <v>3315</v>
      </c>
      <c r="V136" s="611">
        <v>963</v>
      </c>
      <c r="W136" s="614"/>
      <c r="Y136" s="612" t="s">
        <v>1674</v>
      </c>
      <c r="AA136" s="612" t="s">
        <v>1674</v>
      </c>
      <c r="AE136" s="790"/>
      <c r="AF136" s="612" t="s">
        <v>1674</v>
      </c>
      <c r="AG136" s="612" t="s">
        <v>1674</v>
      </c>
      <c r="AH136" s="612" t="s">
        <v>1674</v>
      </c>
      <c r="AI136" s="612" t="s">
        <v>1674</v>
      </c>
      <c r="AJ136" s="612" t="s">
        <v>1674</v>
      </c>
      <c r="AK136" s="612" t="s">
        <v>1674</v>
      </c>
      <c r="AL136" s="612" t="s">
        <v>1674</v>
      </c>
      <c r="AM136" s="612" t="s">
        <v>1674</v>
      </c>
      <c r="AN136" s="612" t="s">
        <v>1674</v>
      </c>
      <c r="AP136">
        <f t="shared" si="4"/>
        <v>168</v>
      </c>
      <c r="AQ136" s="552">
        <f t="shared" si="5"/>
        <v>3855.6</v>
      </c>
    </row>
    <row r="137" spans="1:43" outlineLevel="1" x14ac:dyDescent="0.25">
      <c r="A137" s="612" t="s">
        <v>1674</v>
      </c>
      <c r="B137" s="786">
        <v>0</v>
      </c>
      <c r="C137" s="612" t="s">
        <v>1674</v>
      </c>
      <c r="D137" s="612" t="s">
        <v>5189</v>
      </c>
      <c r="E137" t="s">
        <v>4915</v>
      </c>
      <c r="F137" t="s">
        <v>4916</v>
      </c>
      <c r="G137" s="787">
        <v>459.34</v>
      </c>
      <c r="H137" s="787"/>
      <c r="I137" s="787">
        <v>459.34</v>
      </c>
      <c r="J137" t="s">
        <v>2701</v>
      </c>
      <c r="K137" s="611">
        <v>8402</v>
      </c>
      <c r="L137" t="s">
        <v>806</v>
      </c>
      <c r="M137" s="614"/>
      <c r="N137" s="788">
        <v>18</v>
      </c>
      <c r="O137" s="612" t="s">
        <v>1674</v>
      </c>
      <c r="P137" s="612" t="s">
        <v>1674</v>
      </c>
      <c r="Q137" s="612" t="s">
        <v>5190</v>
      </c>
      <c r="R137" s="612" t="s">
        <v>1674</v>
      </c>
      <c r="S137" s="612" t="s">
        <v>1674</v>
      </c>
      <c r="T137" s="789">
        <v>19</v>
      </c>
      <c r="U137" s="612" t="s">
        <v>4900</v>
      </c>
      <c r="V137" s="611">
        <v>1388</v>
      </c>
      <c r="W137" s="614"/>
      <c r="Y137" s="612" t="s">
        <v>1674</v>
      </c>
      <c r="AA137" s="612" t="s">
        <v>1674</v>
      </c>
      <c r="AE137" s="790"/>
      <c r="AF137" s="612" t="s">
        <v>1674</v>
      </c>
      <c r="AG137" s="612" t="s">
        <v>1674</v>
      </c>
      <c r="AH137" s="612" t="s">
        <v>1674</v>
      </c>
      <c r="AI137" s="612" t="s">
        <v>1674</v>
      </c>
      <c r="AJ137" s="612" t="s">
        <v>1674</v>
      </c>
      <c r="AK137" s="612" t="s">
        <v>1674</v>
      </c>
      <c r="AL137" s="612" t="s">
        <v>1674</v>
      </c>
      <c r="AM137" s="612" t="s">
        <v>1674</v>
      </c>
      <c r="AN137" s="612" t="s">
        <v>1674</v>
      </c>
      <c r="AP137">
        <f t="shared" si="4"/>
        <v>-18</v>
      </c>
      <c r="AQ137" s="552">
        <f t="shared" si="5"/>
        <v>459.34</v>
      </c>
    </row>
    <row r="138" spans="1:43" outlineLevel="1" x14ac:dyDescent="0.25">
      <c r="A138" s="612" t="s">
        <v>1674</v>
      </c>
      <c r="B138" s="786">
        <v>11100</v>
      </c>
      <c r="C138" s="612" t="s">
        <v>2742</v>
      </c>
      <c r="D138" s="612" t="s">
        <v>5191</v>
      </c>
      <c r="E138" t="s">
        <v>3741</v>
      </c>
      <c r="F138" t="s">
        <v>4343</v>
      </c>
      <c r="G138" s="787">
        <v>1170.96</v>
      </c>
      <c r="H138" s="787"/>
      <c r="I138" s="787"/>
      <c r="J138" t="s">
        <v>806</v>
      </c>
      <c r="K138" s="611">
        <v>8400</v>
      </c>
      <c r="L138" t="s">
        <v>806</v>
      </c>
      <c r="M138" s="614"/>
      <c r="N138" s="788">
        <v>-45</v>
      </c>
      <c r="O138" s="612" t="s">
        <v>1674</v>
      </c>
      <c r="P138" s="612" t="s">
        <v>1674</v>
      </c>
      <c r="Q138" s="612" t="s">
        <v>3356</v>
      </c>
      <c r="R138" s="612" t="s">
        <v>2622</v>
      </c>
      <c r="S138" s="612" t="s">
        <v>1674</v>
      </c>
      <c r="T138" s="789">
        <v>19</v>
      </c>
      <c r="U138" s="612" t="s">
        <v>5002</v>
      </c>
      <c r="V138" s="611">
        <v>963</v>
      </c>
      <c r="W138" s="614"/>
      <c r="Y138" s="612" t="s">
        <v>1674</v>
      </c>
      <c r="AA138" s="612" t="s">
        <v>1674</v>
      </c>
      <c r="AE138" s="790"/>
      <c r="AF138" s="612" t="s">
        <v>1674</v>
      </c>
      <c r="AG138" s="612" t="s">
        <v>1674</v>
      </c>
      <c r="AH138" s="612" t="s">
        <v>1674</v>
      </c>
      <c r="AI138" s="612" t="s">
        <v>1674</v>
      </c>
      <c r="AJ138" s="612" t="s">
        <v>1674</v>
      </c>
      <c r="AK138" s="612" t="s">
        <v>1674</v>
      </c>
      <c r="AL138" s="612" t="s">
        <v>1674</v>
      </c>
      <c r="AM138" s="612" t="s">
        <v>2742</v>
      </c>
      <c r="AN138" s="612" t="s">
        <v>1674</v>
      </c>
      <c r="AP138">
        <f t="shared" si="4"/>
        <v>45</v>
      </c>
      <c r="AQ138" s="552">
        <f t="shared" si="5"/>
        <v>0</v>
      </c>
    </row>
    <row r="139" spans="1:43" outlineLevel="1" x14ac:dyDescent="0.25">
      <c r="A139" s="612" t="s">
        <v>1674</v>
      </c>
      <c r="B139" s="786">
        <v>0</v>
      </c>
      <c r="C139" s="612" t="s">
        <v>1674</v>
      </c>
      <c r="D139" s="612" t="s">
        <v>5191</v>
      </c>
      <c r="E139" t="s">
        <v>5005</v>
      </c>
      <c r="G139" s="787"/>
      <c r="H139" s="787">
        <v>1147.54</v>
      </c>
      <c r="I139" s="787"/>
      <c r="J139" t="s">
        <v>806</v>
      </c>
      <c r="K139" s="611">
        <v>1200</v>
      </c>
      <c r="L139" t="s">
        <v>806</v>
      </c>
      <c r="M139" s="614"/>
      <c r="N139" s="788"/>
      <c r="O139" s="612" t="s">
        <v>1674</v>
      </c>
      <c r="P139" s="612" t="s">
        <v>1674</v>
      </c>
      <c r="Q139" s="612" t="s">
        <v>5192</v>
      </c>
      <c r="R139" s="612" t="s">
        <v>1674</v>
      </c>
      <c r="S139" s="612" t="s">
        <v>1674</v>
      </c>
      <c r="T139" s="789"/>
      <c r="U139" s="612" t="s">
        <v>5002</v>
      </c>
      <c r="V139" s="611">
        <v>1359</v>
      </c>
      <c r="W139" s="614"/>
      <c r="Y139" s="612" t="s">
        <v>1674</v>
      </c>
      <c r="AA139" s="612" t="s">
        <v>1674</v>
      </c>
      <c r="AE139" s="790"/>
      <c r="AF139" s="612" t="s">
        <v>1674</v>
      </c>
      <c r="AG139" s="612" t="s">
        <v>1674</v>
      </c>
      <c r="AH139" s="612" t="s">
        <v>1674</v>
      </c>
      <c r="AI139" s="612" t="s">
        <v>1674</v>
      </c>
      <c r="AJ139" s="612" t="s">
        <v>1674</v>
      </c>
      <c r="AK139" s="612" t="s">
        <v>1674</v>
      </c>
      <c r="AL139" s="612" t="s">
        <v>1674</v>
      </c>
      <c r="AM139" s="612" t="s">
        <v>1674</v>
      </c>
      <c r="AN139" s="612" t="s">
        <v>1674</v>
      </c>
      <c r="AP139">
        <f t="shared" si="4"/>
        <v>0</v>
      </c>
      <c r="AQ139" s="552">
        <f t="shared" si="5"/>
        <v>0</v>
      </c>
    </row>
    <row r="140" spans="1:43" outlineLevel="1" x14ac:dyDescent="0.25">
      <c r="A140" s="612" t="s">
        <v>1674</v>
      </c>
      <c r="B140" s="786">
        <v>0</v>
      </c>
      <c r="C140" s="612" t="s">
        <v>1674</v>
      </c>
      <c r="D140" s="612" t="s">
        <v>5191</v>
      </c>
      <c r="E140" t="s">
        <v>5005</v>
      </c>
      <c r="G140" s="787"/>
      <c r="H140" s="787">
        <v>11.71</v>
      </c>
      <c r="I140" s="787">
        <v>11.71</v>
      </c>
      <c r="J140" t="s">
        <v>2701</v>
      </c>
      <c r="K140" s="611">
        <v>8736</v>
      </c>
      <c r="L140" t="s">
        <v>806</v>
      </c>
      <c r="M140" s="614"/>
      <c r="N140" s="788"/>
      <c r="O140" s="612" t="s">
        <v>1674</v>
      </c>
      <c r="P140" s="612" t="s">
        <v>1674</v>
      </c>
      <c r="Q140" s="612" t="s">
        <v>5192</v>
      </c>
      <c r="R140" s="612" t="s">
        <v>1674</v>
      </c>
      <c r="S140" s="612" t="s">
        <v>1674</v>
      </c>
      <c r="T140" s="789">
        <v>19</v>
      </c>
      <c r="U140" s="612" t="s">
        <v>5002</v>
      </c>
      <c r="V140" s="611">
        <v>1360</v>
      </c>
      <c r="W140" s="614"/>
      <c r="Y140" s="612" t="s">
        <v>1674</v>
      </c>
      <c r="AA140" s="612" t="s">
        <v>1674</v>
      </c>
      <c r="AE140" s="790"/>
      <c r="AF140" s="612" t="s">
        <v>1674</v>
      </c>
      <c r="AG140" s="612" t="s">
        <v>1674</v>
      </c>
      <c r="AH140" s="612" t="s">
        <v>1674</v>
      </c>
      <c r="AI140" s="612" t="s">
        <v>1674</v>
      </c>
      <c r="AJ140" s="612" t="s">
        <v>1674</v>
      </c>
      <c r="AK140" s="612" t="s">
        <v>1674</v>
      </c>
      <c r="AL140" s="612" t="s">
        <v>1674</v>
      </c>
      <c r="AM140" s="612" t="s">
        <v>1674</v>
      </c>
      <c r="AN140" s="612" t="s">
        <v>1674</v>
      </c>
      <c r="AP140">
        <f t="shared" si="4"/>
        <v>0</v>
      </c>
      <c r="AQ140" s="552">
        <f t="shared" si="5"/>
        <v>11.71</v>
      </c>
    </row>
    <row r="141" spans="1:43" outlineLevel="1" x14ac:dyDescent="0.25">
      <c r="A141" s="612" t="s">
        <v>1674</v>
      </c>
      <c r="B141" s="786">
        <v>0</v>
      </c>
      <c r="C141" s="612" t="s">
        <v>1674</v>
      </c>
      <c r="D141" s="612" t="s">
        <v>2743</v>
      </c>
      <c r="E141" t="s">
        <v>2744</v>
      </c>
      <c r="F141" t="s">
        <v>2746</v>
      </c>
      <c r="G141" s="787">
        <v>178.5</v>
      </c>
      <c r="H141" s="787"/>
      <c r="I141" s="787"/>
      <c r="J141" t="s">
        <v>806</v>
      </c>
      <c r="K141" s="611">
        <v>8400</v>
      </c>
      <c r="L141" t="s">
        <v>806</v>
      </c>
      <c r="M141" s="614"/>
      <c r="N141" s="788">
        <v>-592</v>
      </c>
      <c r="O141" s="612" t="s">
        <v>1674</v>
      </c>
      <c r="P141" s="612" t="s">
        <v>1674</v>
      </c>
      <c r="Q141" s="612" t="s">
        <v>2745</v>
      </c>
      <c r="R141" s="612" t="s">
        <v>1674</v>
      </c>
      <c r="S141" s="612" t="s">
        <v>1674</v>
      </c>
      <c r="T141" s="789">
        <v>19</v>
      </c>
      <c r="U141" s="612" t="s">
        <v>2676</v>
      </c>
      <c r="V141" s="611">
        <v>1001</v>
      </c>
      <c r="W141" s="614"/>
      <c r="Y141" s="612" t="s">
        <v>1674</v>
      </c>
      <c r="AA141" s="612" t="s">
        <v>1674</v>
      </c>
      <c r="AE141" s="790"/>
      <c r="AF141" s="612" t="s">
        <v>1674</v>
      </c>
      <c r="AG141" s="612" t="s">
        <v>1674</v>
      </c>
      <c r="AH141" s="612" t="s">
        <v>1674</v>
      </c>
      <c r="AI141" s="612" t="s">
        <v>1674</v>
      </c>
      <c r="AJ141" s="612" t="s">
        <v>1674</v>
      </c>
      <c r="AK141" s="612" t="s">
        <v>1674</v>
      </c>
      <c r="AL141" s="612" t="s">
        <v>1674</v>
      </c>
      <c r="AM141" s="612" t="s">
        <v>1674</v>
      </c>
      <c r="AN141" s="612" t="s">
        <v>1674</v>
      </c>
      <c r="AP141">
        <f t="shared" si="4"/>
        <v>592</v>
      </c>
      <c r="AQ141" s="552">
        <f t="shared" si="5"/>
        <v>0</v>
      </c>
    </row>
    <row r="142" spans="1:43" outlineLevel="1" x14ac:dyDescent="0.25">
      <c r="A142" s="612" t="s">
        <v>1674</v>
      </c>
      <c r="B142" s="786">
        <v>0</v>
      </c>
      <c r="C142" s="612" t="s">
        <v>1674</v>
      </c>
      <c r="D142" s="612" t="s">
        <v>2743</v>
      </c>
      <c r="E142" t="s">
        <v>2744</v>
      </c>
      <c r="G142" s="787"/>
      <c r="H142" s="787">
        <v>885.36</v>
      </c>
      <c r="I142" s="787">
        <v>706.86</v>
      </c>
      <c r="J142" t="s">
        <v>2584</v>
      </c>
      <c r="K142" s="611">
        <v>8400</v>
      </c>
      <c r="L142" t="s">
        <v>806</v>
      </c>
      <c r="M142" s="614"/>
      <c r="N142" s="788"/>
      <c r="O142" s="612" t="s">
        <v>1674</v>
      </c>
      <c r="P142" s="612" t="s">
        <v>1674</v>
      </c>
      <c r="Q142" s="612" t="s">
        <v>2745</v>
      </c>
      <c r="R142" s="612" t="s">
        <v>2622</v>
      </c>
      <c r="S142" s="612" t="s">
        <v>1674</v>
      </c>
      <c r="T142" s="789">
        <v>19</v>
      </c>
      <c r="U142" s="612" t="s">
        <v>2676</v>
      </c>
      <c r="V142" s="611">
        <v>1000</v>
      </c>
      <c r="W142" s="614"/>
      <c r="Y142" s="612" t="s">
        <v>1674</v>
      </c>
      <c r="AA142" s="612" t="s">
        <v>1674</v>
      </c>
      <c r="AE142" s="790"/>
      <c r="AF142" s="612" t="s">
        <v>1674</v>
      </c>
      <c r="AG142" s="612" t="s">
        <v>1674</v>
      </c>
      <c r="AH142" s="612" t="s">
        <v>1674</v>
      </c>
      <c r="AI142" s="612" t="s">
        <v>1674</v>
      </c>
      <c r="AJ142" s="612" t="s">
        <v>1674</v>
      </c>
      <c r="AK142" s="612" t="s">
        <v>1674</v>
      </c>
      <c r="AL142" s="612" t="s">
        <v>1674</v>
      </c>
      <c r="AM142" s="612" t="s">
        <v>1674</v>
      </c>
      <c r="AN142" s="612" t="s">
        <v>1674</v>
      </c>
      <c r="AP142">
        <f t="shared" si="4"/>
        <v>0</v>
      </c>
      <c r="AQ142" s="552">
        <f t="shared" si="5"/>
        <v>-706.86</v>
      </c>
    </row>
    <row r="143" spans="1:43" outlineLevel="1" x14ac:dyDescent="0.25">
      <c r="A143" s="612" t="s">
        <v>1674</v>
      </c>
      <c r="B143" s="786">
        <v>0</v>
      </c>
      <c r="C143" s="612" t="s">
        <v>1674</v>
      </c>
      <c r="D143" s="612" t="s">
        <v>5193</v>
      </c>
      <c r="E143" t="s">
        <v>5066</v>
      </c>
      <c r="G143" s="787"/>
      <c r="H143" s="787">
        <v>419.48</v>
      </c>
      <c r="I143" s="787">
        <v>419.48</v>
      </c>
      <c r="J143" t="s">
        <v>2584</v>
      </c>
      <c r="K143" s="611">
        <v>8400</v>
      </c>
      <c r="L143" t="s">
        <v>806</v>
      </c>
      <c r="M143" s="614"/>
      <c r="N143" s="788"/>
      <c r="O143" s="612" t="s">
        <v>1674</v>
      </c>
      <c r="P143" s="612" t="s">
        <v>1674</v>
      </c>
      <c r="Q143" s="612" t="s">
        <v>5194</v>
      </c>
      <c r="R143" s="612" t="s">
        <v>1674</v>
      </c>
      <c r="S143" s="612" t="s">
        <v>1674</v>
      </c>
      <c r="T143" s="789">
        <v>19</v>
      </c>
      <c r="U143" s="612" t="s">
        <v>4900</v>
      </c>
      <c r="V143" s="611">
        <v>856</v>
      </c>
      <c r="W143" s="614"/>
      <c r="Y143" s="612" t="s">
        <v>1674</v>
      </c>
      <c r="AA143" s="612" t="s">
        <v>1674</v>
      </c>
      <c r="AE143" s="790"/>
      <c r="AF143" s="612" t="s">
        <v>1674</v>
      </c>
      <c r="AG143" s="612" t="s">
        <v>1674</v>
      </c>
      <c r="AH143" s="612" t="s">
        <v>1674</v>
      </c>
      <c r="AI143" s="612" t="s">
        <v>1674</v>
      </c>
      <c r="AJ143" s="612" t="s">
        <v>1674</v>
      </c>
      <c r="AK143" s="612" t="s">
        <v>1674</v>
      </c>
      <c r="AL143" s="612" t="s">
        <v>1674</v>
      </c>
      <c r="AM143" s="612" t="s">
        <v>1674</v>
      </c>
      <c r="AN143" s="612" t="s">
        <v>1674</v>
      </c>
      <c r="AP143">
        <f t="shared" si="4"/>
        <v>0</v>
      </c>
      <c r="AQ143" s="552">
        <f t="shared" si="5"/>
        <v>-419.48</v>
      </c>
    </row>
    <row r="144" spans="1:43" outlineLevel="1" x14ac:dyDescent="0.25">
      <c r="A144" s="612" t="s">
        <v>1674</v>
      </c>
      <c r="B144" s="786">
        <v>11103</v>
      </c>
      <c r="C144" s="612" t="s">
        <v>3168</v>
      </c>
      <c r="D144" s="612" t="s">
        <v>5195</v>
      </c>
      <c r="E144" t="s">
        <v>4918</v>
      </c>
      <c r="F144" t="s">
        <v>4919</v>
      </c>
      <c r="G144" s="787">
        <v>471.24</v>
      </c>
      <c r="H144" s="787"/>
      <c r="I144" s="787">
        <v>471.24</v>
      </c>
      <c r="J144" t="s">
        <v>2701</v>
      </c>
      <c r="K144" s="611">
        <v>8400</v>
      </c>
      <c r="L144" t="s">
        <v>806</v>
      </c>
      <c r="M144" s="614"/>
      <c r="N144" s="788">
        <v>8</v>
      </c>
      <c r="O144" s="612" t="s">
        <v>1674</v>
      </c>
      <c r="P144" s="612" t="s">
        <v>1674</v>
      </c>
      <c r="Q144" s="612" t="s">
        <v>3516</v>
      </c>
      <c r="R144" s="612" t="s">
        <v>1674</v>
      </c>
      <c r="S144" s="612" t="s">
        <v>1674</v>
      </c>
      <c r="T144" s="789">
        <v>19</v>
      </c>
      <c r="U144" s="612" t="s">
        <v>4900</v>
      </c>
      <c r="V144" s="611">
        <v>587</v>
      </c>
      <c r="W144" s="614"/>
      <c r="Y144" s="612" t="s">
        <v>1674</v>
      </c>
      <c r="AA144" s="612" t="s">
        <v>1674</v>
      </c>
      <c r="AE144" s="790"/>
      <c r="AF144" s="612" t="s">
        <v>1674</v>
      </c>
      <c r="AG144" s="612" t="s">
        <v>1674</v>
      </c>
      <c r="AH144" s="612" t="s">
        <v>1674</v>
      </c>
      <c r="AI144" s="612" t="s">
        <v>1674</v>
      </c>
      <c r="AJ144" s="612" t="s">
        <v>1674</v>
      </c>
      <c r="AK144" s="612" t="s">
        <v>1674</v>
      </c>
      <c r="AL144" s="612" t="s">
        <v>1674</v>
      </c>
      <c r="AM144" s="612" t="s">
        <v>3171</v>
      </c>
      <c r="AN144" s="612" t="s">
        <v>1674</v>
      </c>
      <c r="AP144">
        <f t="shared" si="4"/>
        <v>-8</v>
      </c>
      <c r="AQ144" s="552">
        <f t="shared" si="5"/>
        <v>471.24</v>
      </c>
    </row>
    <row r="145" spans="1:43" outlineLevel="1" x14ac:dyDescent="0.25">
      <c r="A145" s="612" t="s">
        <v>1674</v>
      </c>
      <c r="B145" s="786">
        <v>0</v>
      </c>
      <c r="C145" s="612" t="s">
        <v>1674</v>
      </c>
      <c r="D145" s="612" t="s">
        <v>5196</v>
      </c>
      <c r="E145" t="s">
        <v>4915</v>
      </c>
      <c r="F145" t="s">
        <v>4916</v>
      </c>
      <c r="G145" s="787">
        <v>481.95</v>
      </c>
      <c r="H145" s="787"/>
      <c r="I145" s="787">
        <v>481.95</v>
      </c>
      <c r="J145" t="s">
        <v>2701</v>
      </c>
      <c r="K145" s="611">
        <v>8400</v>
      </c>
      <c r="L145" t="s">
        <v>806</v>
      </c>
      <c r="M145" s="614"/>
      <c r="N145" s="788">
        <v>18</v>
      </c>
      <c r="O145" s="612" t="s">
        <v>1674</v>
      </c>
      <c r="P145" s="612" t="s">
        <v>1674</v>
      </c>
      <c r="Q145" s="612" t="s">
        <v>3516</v>
      </c>
      <c r="R145" s="612" t="s">
        <v>1674</v>
      </c>
      <c r="S145" s="612" t="s">
        <v>1674</v>
      </c>
      <c r="T145" s="789">
        <v>19</v>
      </c>
      <c r="U145" s="612" t="s">
        <v>4900</v>
      </c>
      <c r="V145" s="611">
        <v>1346</v>
      </c>
      <c r="W145" s="614"/>
      <c r="Y145" s="612" t="s">
        <v>1674</v>
      </c>
      <c r="AA145" s="612" t="s">
        <v>1674</v>
      </c>
      <c r="AE145" s="790"/>
      <c r="AF145" s="612" t="s">
        <v>1674</v>
      </c>
      <c r="AG145" s="612" t="s">
        <v>1674</v>
      </c>
      <c r="AH145" s="612" t="s">
        <v>1674</v>
      </c>
      <c r="AI145" s="612" t="s">
        <v>1674</v>
      </c>
      <c r="AJ145" s="612" t="s">
        <v>1674</v>
      </c>
      <c r="AK145" s="612" t="s">
        <v>1674</v>
      </c>
      <c r="AL145" s="612" t="s">
        <v>1674</v>
      </c>
      <c r="AM145" s="612" t="s">
        <v>1674</v>
      </c>
      <c r="AN145" s="612" t="s">
        <v>1674</v>
      </c>
      <c r="AP145">
        <f t="shared" si="4"/>
        <v>-18</v>
      </c>
      <c r="AQ145" s="552">
        <f t="shared" si="5"/>
        <v>481.95</v>
      </c>
    </row>
    <row r="146" spans="1:43" outlineLevel="1" x14ac:dyDescent="0.25">
      <c r="A146" s="612" t="s">
        <v>1674</v>
      </c>
      <c r="B146" s="786">
        <v>0</v>
      </c>
      <c r="C146" s="612" t="s">
        <v>1674</v>
      </c>
      <c r="D146" s="612" t="s">
        <v>5197</v>
      </c>
      <c r="E146" t="s">
        <v>4915</v>
      </c>
      <c r="F146" t="s">
        <v>4916</v>
      </c>
      <c r="G146" s="787">
        <v>117.81</v>
      </c>
      <c r="H146" s="787"/>
      <c r="I146" s="787">
        <v>117.81</v>
      </c>
      <c r="J146" t="s">
        <v>2701</v>
      </c>
      <c r="K146" s="611">
        <v>8400</v>
      </c>
      <c r="L146" t="s">
        <v>2552</v>
      </c>
      <c r="M146" s="614"/>
      <c r="N146" s="788">
        <v>18</v>
      </c>
      <c r="O146" s="612" t="s">
        <v>1674</v>
      </c>
      <c r="P146" s="612" t="s">
        <v>1674</v>
      </c>
      <c r="Q146" s="612" t="s">
        <v>3516</v>
      </c>
      <c r="R146" s="612" t="s">
        <v>2622</v>
      </c>
      <c r="S146" s="612" t="s">
        <v>1674</v>
      </c>
      <c r="T146" s="789">
        <v>19</v>
      </c>
      <c r="U146" s="612" t="s">
        <v>4900</v>
      </c>
      <c r="V146" s="611">
        <v>1363</v>
      </c>
      <c r="W146" s="614"/>
      <c r="Y146" s="612" t="s">
        <v>1674</v>
      </c>
      <c r="AA146" s="612" t="s">
        <v>1674</v>
      </c>
      <c r="AE146" s="790"/>
      <c r="AF146" s="612" t="s">
        <v>1674</v>
      </c>
      <c r="AG146" s="612" t="s">
        <v>1674</v>
      </c>
      <c r="AH146" s="612" t="s">
        <v>1674</v>
      </c>
      <c r="AI146" s="612" t="s">
        <v>1674</v>
      </c>
      <c r="AJ146" s="612" t="s">
        <v>1674</v>
      </c>
      <c r="AK146" s="612" t="s">
        <v>1674</v>
      </c>
      <c r="AL146" s="612" t="s">
        <v>1674</v>
      </c>
      <c r="AM146" s="612" t="s">
        <v>1674</v>
      </c>
      <c r="AN146" s="612" t="s">
        <v>1674</v>
      </c>
      <c r="AP146">
        <f t="shared" si="4"/>
        <v>-18</v>
      </c>
      <c r="AQ146" s="552">
        <f t="shared" si="5"/>
        <v>117.81</v>
      </c>
    </row>
    <row r="147" spans="1:43" outlineLevel="1" x14ac:dyDescent="0.25">
      <c r="A147" s="612" t="s">
        <v>1674</v>
      </c>
      <c r="B147" s="786">
        <v>11106</v>
      </c>
      <c r="C147" s="612" t="s">
        <v>3024</v>
      </c>
      <c r="D147" s="612" t="s">
        <v>5198</v>
      </c>
      <c r="E147" t="s">
        <v>5199</v>
      </c>
      <c r="F147" t="s">
        <v>4905</v>
      </c>
      <c r="G147" s="787">
        <v>2384.7600000000002</v>
      </c>
      <c r="H147" s="787"/>
      <c r="I147" s="787">
        <v>2384.7600000000002</v>
      </c>
      <c r="J147" t="s">
        <v>2701</v>
      </c>
      <c r="K147" s="611" t="s">
        <v>4945</v>
      </c>
      <c r="L147" t="s">
        <v>2552</v>
      </c>
      <c r="M147" s="614"/>
      <c r="N147" s="788">
        <v>-27</v>
      </c>
      <c r="O147" s="612" t="s">
        <v>1674</v>
      </c>
      <c r="P147" s="612" t="s">
        <v>1674</v>
      </c>
      <c r="Q147" s="612" t="s">
        <v>3026</v>
      </c>
      <c r="R147" s="612" t="s">
        <v>2617</v>
      </c>
      <c r="S147" s="612" t="s">
        <v>1674</v>
      </c>
      <c r="T147" s="789">
        <v>19</v>
      </c>
      <c r="U147" s="612" t="s">
        <v>5010</v>
      </c>
      <c r="V147" s="611">
        <v>149</v>
      </c>
      <c r="W147" s="614"/>
      <c r="Y147" s="612" t="s">
        <v>1674</v>
      </c>
      <c r="AA147" s="612" t="s">
        <v>1674</v>
      </c>
      <c r="AE147" s="790"/>
      <c r="AF147" s="612" t="s">
        <v>1674</v>
      </c>
      <c r="AG147" s="612" t="s">
        <v>1674</v>
      </c>
      <c r="AH147" s="612" t="s">
        <v>1674</v>
      </c>
      <c r="AI147" s="612" t="s">
        <v>1674</v>
      </c>
      <c r="AJ147" s="612" t="s">
        <v>1674</v>
      </c>
      <c r="AK147" s="612" t="s">
        <v>1674</v>
      </c>
      <c r="AL147" s="612" t="s">
        <v>1674</v>
      </c>
      <c r="AM147" s="612" t="s">
        <v>3027</v>
      </c>
      <c r="AN147" s="612" t="s">
        <v>1674</v>
      </c>
      <c r="AP147">
        <f t="shared" si="4"/>
        <v>27</v>
      </c>
      <c r="AQ147" s="552">
        <f t="shared" si="5"/>
        <v>2384.7600000000002</v>
      </c>
    </row>
    <row r="148" spans="1:43" outlineLevel="1" x14ac:dyDescent="0.25">
      <c r="A148" s="612" t="s">
        <v>1674</v>
      </c>
      <c r="B148" s="786">
        <v>0</v>
      </c>
      <c r="C148" s="612" t="s">
        <v>1674</v>
      </c>
      <c r="D148" s="612" t="s">
        <v>5200</v>
      </c>
      <c r="E148" t="s">
        <v>5135</v>
      </c>
      <c r="F148" t="s">
        <v>4308</v>
      </c>
      <c r="G148" s="787">
        <v>6706.84</v>
      </c>
      <c r="H148" s="787"/>
      <c r="I148" s="787">
        <v>6706.84</v>
      </c>
      <c r="J148" t="s">
        <v>2701</v>
      </c>
      <c r="K148" s="611" t="s">
        <v>4945</v>
      </c>
      <c r="L148" t="s">
        <v>2552</v>
      </c>
      <c r="M148" s="614"/>
      <c r="N148" s="788">
        <v>-20</v>
      </c>
      <c r="O148" s="612" t="s">
        <v>1674</v>
      </c>
      <c r="P148" s="612" t="s">
        <v>1674</v>
      </c>
      <c r="Q148" s="612" t="s">
        <v>3026</v>
      </c>
      <c r="R148" s="612" t="s">
        <v>1674</v>
      </c>
      <c r="S148" s="612" t="s">
        <v>1674</v>
      </c>
      <c r="T148" s="789">
        <v>19</v>
      </c>
      <c r="U148" s="612" t="s">
        <v>5010</v>
      </c>
      <c r="V148" s="611">
        <v>634</v>
      </c>
      <c r="W148" s="614"/>
      <c r="Y148" s="612" t="s">
        <v>1674</v>
      </c>
      <c r="AA148" s="612" t="s">
        <v>1674</v>
      </c>
      <c r="AE148" s="790"/>
      <c r="AF148" s="612" t="s">
        <v>1674</v>
      </c>
      <c r="AG148" s="612" t="s">
        <v>1674</v>
      </c>
      <c r="AH148" s="612" t="s">
        <v>1674</v>
      </c>
      <c r="AI148" s="612" t="s">
        <v>1674</v>
      </c>
      <c r="AJ148" s="612" t="s">
        <v>1674</v>
      </c>
      <c r="AK148" s="612" t="s">
        <v>1674</v>
      </c>
      <c r="AL148" s="612" t="s">
        <v>1674</v>
      </c>
      <c r="AM148" s="612" t="s">
        <v>1674</v>
      </c>
      <c r="AN148" s="612" t="s">
        <v>1674</v>
      </c>
      <c r="AP148">
        <f t="shared" si="4"/>
        <v>20</v>
      </c>
      <c r="AQ148" s="552">
        <f t="shared" si="5"/>
        <v>6706.84</v>
      </c>
    </row>
    <row r="149" spans="1:43" outlineLevel="1" x14ac:dyDescent="0.25">
      <c r="A149" s="612" t="s">
        <v>1674</v>
      </c>
      <c r="B149" s="786">
        <v>0</v>
      </c>
      <c r="C149" s="612" t="s">
        <v>1674</v>
      </c>
      <c r="D149" s="612" t="s">
        <v>5201</v>
      </c>
      <c r="E149" t="s">
        <v>5036</v>
      </c>
      <c r="F149" t="s">
        <v>4915</v>
      </c>
      <c r="G149" s="787">
        <v>6840.12</v>
      </c>
      <c r="H149" s="787"/>
      <c r="I149" s="787">
        <v>6840.12</v>
      </c>
      <c r="J149" t="s">
        <v>2701</v>
      </c>
      <c r="K149" s="611" t="s">
        <v>4945</v>
      </c>
      <c r="L149" t="s">
        <v>2552</v>
      </c>
      <c r="M149" s="614"/>
      <c r="N149" s="788">
        <v>-12</v>
      </c>
      <c r="O149" s="612" t="s">
        <v>1674</v>
      </c>
      <c r="P149" s="612" t="s">
        <v>1674</v>
      </c>
      <c r="Q149" s="612" t="s">
        <v>3026</v>
      </c>
      <c r="R149" s="612" t="s">
        <v>1674</v>
      </c>
      <c r="S149" s="612" t="s">
        <v>1674</v>
      </c>
      <c r="T149" s="789">
        <v>19</v>
      </c>
      <c r="U149" s="612" t="s">
        <v>5010</v>
      </c>
      <c r="V149" s="611">
        <v>1152</v>
      </c>
      <c r="W149" s="614"/>
      <c r="Y149" s="612" t="s">
        <v>1674</v>
      </c>
      <c r="AA149" s="612" t="s">
        <v>1674</v>
      </c>
      <c r="AE149" s="790"/>
      <c r="AF149" s="612" t="s">
        <v>1674</v>
      </c>
      <c r="AG149" s="612" t="s">
        <v>1674</v>
      </c>
      <c r="AH149" s="612" t="s">
        <v>1674</v>
      </c>
      <c r="AI149" s="612" t="s">
        <v>1674</v>
      </c>
      <c r="AJ149" s="612" t="s">
        <v>1674</v>
      </c>
      <c r="AK149" s="612" t="s">
        <v>1674</v>
      </c>
      <c r="AL149" s="612" t="s">
        <v>1674</v>
      </c>
      <c r="AM149" s="612" t="s">
        <v>1674</v>
      </c>
      <c r="AN149" s="612" t="s">
        <v>1674</v>
      </c>
      <c r="AP149">
        <f t="shared" si="4"/>
        <v>12</v>
      </c>
      <c r="AQ149" s="552">
        <f t="shared" si="5"/>
        <v>6840.12</v>
      </c>
    </row>
    <row r="150" spans="1:43" outlineLevel="1" x14ac:dyDescent="0.25">
      <c r="A150" s="612" t="s">
        <v>1674</v>
      </c>
      <c r="B150" s="786">
        <v>0</v>
      </c>
      <c r="C150" s="612" t="s">
        <v>1674</v>
      </c>
      <c r="D150" s="612" t="s">
        <v>5202</v>
      </c>
      <c r="E150" t="s">
        <v>5051</v>
      </c>
      <c r="F150" t="s">
        <v>4975</v>
      </c>
      <c r="G150" s="787">
        <v>4450.6000000000004</v>
      </c>
      <c r="H150" s="787"/>
      <c r="I150" s="787">
        <v>4450.6000000000004</v>
      </c>
      <c r="J150" t="s">
        <v>2701</v>
      </c>
      <c r="K150" s="611">
        <v>8401</v>
      </c>
      <c r="L150" t="s">
        <v>806</v>
      </c>
      <c r="M150" s="614"/>
      <c r="N150" s="788">
        <v>-5</v>
      </c>
      <c r="O150" s="612" t="s">
        <v>1674</v>
      </c>
      <c r="P150" s="612" t="s">
        <v>1674</v>
      </c>
      <c r="Q150" s="612" t="s">
        <v>3026</v>
      </c>
      <c r="R150" s="612" t="s">
        <v>1674</v>
      </c>
      <c r="S150" s="612" t="s">
        <v>1674</v>
      </c>
      <c r="T150" s="789">
        <v>19</v>
      </c>
      <c r="U150" s="612" t="s">
        <v>5010</v>
      </c>
      <c r="V150" s="611">
        <v>1576</v>
      </c>
      <c r="W150" s="614"/>
      <c r="Y150" s="612" t="s">
        <v>1674</v>
      </c>
      <c r="AA150" s="612" t="s">
        <v>1674</v>
      </c>
      <c r="AE150" s="790"/>
      <c r="AF150" s="612" t="s">
        <v>1674</v>
      </c>
      <c r="AG150" s="612" t="s">
        <v>1674</v>
      </c>
      <c r="AH150" s="612" t="s">
        <v>1674</v>
      </c>
      <c r="AI150" s="612" t="s">
        <v>1674</v>
      </c>
      <c r="AJ150" s="612" t="s">
        <v>1674</v>
      </c>
      <c r="AK150" s="612" t="s">
        <v>1674</v>
      </c>
      <c r="AL150" s="612" t="s">
        <v>1674</v>
      </c>
      <c r="AM150" s="612" t="s">
        <v>1674</v>
      </c>
      <c r="AN150" s="612" t="s">
        <v>1674</v>
      </c>
      <c r="AP150">
        <f t="shared" si="4"/>
        <v>5</v>
      </c>
      <c r="AQ150" s="552">
        <f t="shared" si="5"/>
        <v>4450.6000000000004</v>
      </c>
    </row>
    <row r="151" spans="1:43" outlineLevel="1" x14ac:dyDescent="0.25">
      <c r="A151" s="612" t="s">
        <v>1674</v>
      </c>
      <c r="B151" s="786">
        <v>0</v>
      </c>
      <c r="C151" s="612" t="s">
        <v>1674</v>
      </c>
      <c r="D151" s="612" t="s">
        <v>5203</v>
      </c>
      <c r="E151" t="s">
        <v>4968</v>
      </c>
      <c r="F151" t="s">
        <v>4969</v>
      </c>
      <c r="G151" s="787">
        <v>2384.7600000000002</v>
      </c>
      <c r="H151" s="787"/>
      <c r="I151" s="787">
        <v>2384.7600000000002</v>
      </c>
      <c r="J151" t="s">
        <v>2701</v>
      </c>
      <c r="K151" s="611" t="s">
        <v>4945</v>
      </c>
      <c r="L151" t="s">
        <v>2552</v>
      </c>
      <c r="M151" s="614"/>
      <c r="N151" s="788">
        <v>1</v>
      </c>
      <c r="O151" s="612" t="s">
        <v>1674</v>
      </c>
      <c r="P151" s="612" t="s">
        <v>1674</v>
      </c>
      <c r="Q151" s="612" t="s">
        <v>3026</v>
      </c>
      <c r="R151" s="612" t="s">
        <v>2617</v>
      </c>
      <c r="S151" s="612" t="s">
        <v>1674</v>
      </c>
      <c r="T151" s="789">
        <v>19</v>
      </c>
      <c r="U151" s="612" t="s">
        <v>4900</v>
      </c>
      <c r="V151" s="611">
        <v>161</v>
      </c>
      <c r="W151" s="614"/>
      <c r="Y151" s="612" t="s">
        <v>1674</v>
      </c>
      <c r="AA151" s="612" t="s">
        <v>1674</v>
      </c>
      <c r="AE151" s="790"/>
      <c r="AF151" s="612" t="s">
        <v>1674</v>
      </c>
      <c r="AG151" s="612" t="s">
        <v>1674</v>
      </c>
      <c r="AH151" s="612" t="s">
        <v>1674</v>
      </c>
      <c r="AI151" s="612" t="s">
        <v>1674</v>
      </c>
      <c r="AJ151" s="612" t="s">
        <v>1674</v>
      </c>
      <c r="AK151" s="612" t="s">
        <v>1674</v>
      </c>
      <c r="AL151" s="612" t="s">
        <v>1674</v>
      </c>
      <c r="AM151" s="612" t="s">
        <v>1674</v>
      </c>
      <c r="AN151" s="612" t="s">
        <v>1674</v>
      </c>
      <c r="AP151">
        <f t="shared" si="4"/>
        <v>-1</v>
      </c>
      <c r="AQ151" s="552">
        <f t="shared" si="5"/>
        <v>2384.7600000000002</v>
      </c>
    </row>
    <row r="152" spans="1:43" outlineLevel="1" x14ac:dyDescent="0.25">
      <c r="A152" s="612" t="s">
        <v>1674</v>
      </c>
      <c r="B152" s="786">
        <v>0</v>
      </c>
      <c r="C152" s="612" t="s">
        <v>1674</v>
      </c>
      <c r="D152" s="612" t="s">
        <v>5204</v>
      </c>
      <c r="E152" t="s">
        <v>4931</v>
      </c>
      <c r="F152" t="s">
        <v>4932</v>
      </c>
      <c r="G152" s="787">
        <v>6675.9</v>
      </c>
      <c r="H152" s="787"/>
      <c r="I152" s="787">
        <v>6675.9</v>
      </c>
      <c r="J152" t="s">
        <v>2701</v>
      </c>
      <c r="K152" s="611">
        <v>8401</v>
      </c>
      <c r="L152" t="s">
        <v>806</v>
      </c>
      <c r="M152" s="614"/>
      <c r="N152" s="788">
        <v>21</v>
      </c>
      <c r="O152" s="612" t="s">
        <v>1674</v>
      </c>
      <c r="P152" s="612" t="s">
        <v>1674</v>
      </c>
      <c r="Q152" s="612" t="s">
        <v>3026</v>
      </c>
      <c r="R152" s="612" t="s">
        <v>1674</v>
      </c>
      <c r="S152" s="612" t="s">
        <v>1674</v>
      </c>
      <c r="T152" s="789">
        <v>19</v>
      </c>
      <c r="U152" s="612" t="s">
        <v>4900</v>
      </c>
      <c r="V152" s="611">
        <v>1500</v>
      </c>
      <c r="W152" s="614"/>
      <c r="Y152" s="612" t="s">
        <v>1674</v>
      </c>
      <c r="AA152" s="612" t="s">
        <v>1674</v>
      </c>
      <c r="AE152" s="790"/>
      <c r="AF152" s="612" t="s">
        <v>1674</v>
      </c>
      <c r="AG152" s="612" t="s">
        <v>1674</v>
      </c>
      <c r="AH152" s="612" t="s">
        <v>1674</v>
      </c>
      <c r="AI152" s="612" t="s">
        <v>1674</v>
      </c>
      <c r="AJ152" s="612" t="s">
        <v>1674</v>
      </c>
      <c r="AK152" s="612" t="s">
        <v>1674</v>
      </c>
      <c r="AL152" s="612" t="s">
        <v>1674</v>
      </c>
      <c r="AM152" s="612" t="s">
        <v>1674</v>
      </c>
      <c r="AN152" s="612" t="s">
        <v>1674</v>
      </c>
      <c r="AP152">
        <f t="shared" si="4"/>
        <v>-21</v>
      </c>
      <c r="AQ152" s="552">
        <f t="shared" si="5"/>
        <v>6675.9</v>
      </c>
    </row>
    <row r="153" spans="1:43" outlineLevel="1" x14ac:dyDescent="0.25">
      <c r="A153" s="612" t="s">
        <v>1674</v>
      </c>
      <c r="B153" s="786">
        <v>11200</v>
      </c>
      <c r="C153" s="612" t="s">
        <v>2871</v>
      </c>
      <c r="D153" s="612" t="s">
        <v>3388</v>
      </c>
      <c r="E153" t="s">
        <v>3389</v>
      </c>
      <c r="F153" t="s">
        <v>3390</v>
      </c>
      <c r="G153" s="787">
        <v>16921.8</v>
      </c>
      <c r="H153" s="787"/>
      <c r="I153" s="787"/>
      <c r="J153" t="s">
        <v>806</v>
      </c>
      <c r="K153" s="611" t="s">
        <v>4945</v>
      </c>
      <c r="L153" t="s">
        <v>2552</v>
      </c>
      <c r="M153" s="614"/>
      <c r="N153" s="788">
        <v>-263</v>
      </c>
      <c r="O153" s="612" t="s">
        <v>1674</v>
      </c>
      <c r="P153" s="612" t="s">
        <v>1674</v>
      </c>
      <c r="Q153" s="612" t="s">
        <v>2914</v>
      </c>
      <c r="R153" s="612" t="s">
        <v>2617</v>
      </c>
      <c r="S153" s="612" t="s">
        <v>1674</v>
      </c>
      <c r="T153" s="789">
        <v>19</v>
      </c>
      <c r="U153" s="612" t="s">
        <v>3309</v>
      </c>
      <c r="V153" s="611">
        <v>780</v>
      </c>
      <c r="W153" s="614"/>
      <c r="Y153" s="612" t="s">
        <v>1674</v>
      </c>
      <c r="AA153" s="612" t="s">
        <v>1674</v>
      </c>
      <c r="AE153" s="790"/>
      <c r="AF153" s="612" t="s">
        <v>1674</v>
      </c>
      <c r="AG153" s="612" t="s">
        <v>1674</v>
      </c>
      <c r="AH153" s="612" t="s">
        <v>1674</v>
      </c>
      <c r="AI153" s="612" t="s">
        <v>1674</v>
      </c>
      <c r="AJ153" s="612" t="s">
        <v>1674</v>
      </c>
      <c r="AK153" s="612" t="s">
        <v>1674</v>
      </c>
      <c r="AL153" s="612" t="s">
        <v>1674</v>
      </c>
      <c r="AM153" s="612" t="s">
        <v>2871</v>
      </c>
      <c r="AN153" s="612" t="s">
        <v>1674</v>
      </c>
      <c r="AP153">
        <f t="shared" si="4"/>
        <v>263</v>
      </c>
      <c r="AQ153" s="552">
        <f t="shared" si="5"/>
        <v>0</v>
      </c>
    </row>
    <row r="154" spans="1:43" outlineLevel="1" x14ac:dyDescent="0.25">
      <c r="A154" s="612" t="s">
        <v>1674</v>
      </c>
      <c r="B154" s="786">
        <v>0</v>
      </c>
      <c r="C154" s="612" t="s">
        <v>1674</v>
      </c>
      <c r="D154" s="612" t="s">
        <v>3388</v>
      </c>
      <c r="E154" t="s">
        <v>3391</v>
      </c>
      <c r="G154" s="787"/>
      <c r="H154" s="787">
        <v>16080.23</v>
      </c>
      <c r="I154" s="787"/>
      <c r="J154" t="s">
        <v>806</v>
      </c>
      <c r="K154" s="611">
        <v>1220</v>
      </c>
      <c r="L154" t="s">
        <v>806</v>
      </c>
      <c r="M154" s="614"/>
      <c r="N154" s="788"/>
      <c r="O154" s="612" t="s">
        <v>1674</v>
      </c>
      <c r="P154" s="612" t="s">
        <v>1674</v>
      </c>
      <c r="Q154" s="612" t="s">
        <v>3392</v>
      </c>
      <c r="R154" s="612" t="s">
        <v>1674</v>
      </c>
      <c r="S154" s="612" t="s">
        <v>1674</v>
      </c>
      <c r="T154" s="789"/>
      <c r="U154" s="612" t="s">
        <v>3309</v>
      </c>
      <c r="V154" s="611">
        <v>1307</v>
      </c>
      <c r="W154" s="614"/>
      <c r="Y154" s="612" t="s">
        <v>1674</v>
      </c>
      <c r="AA154" s="612" t="s">
        <v>1674</v>
      </c>
      <c r="AE154" s="790"/>
      <c r="AF154" s="612" t="s">
        <v>1674</v>
      </c>
      <c r="AG154" s="612" t="s">
        <v>1674</v>
      </c>
      <c r="AH154" s="612" t="s">
        <v>1674</v>
      </c>
      <c r="AI154" s="612" t="s">
        <v>1674</v>
      </c>
      <c r="AJ154" s="612" t="s">
        <v>1674</v>
      </c>
      <c r="AK154" s="612" t="s">
        <v>1674</v>
      </c>
      <c r="AL154" s="612" t="s">
        <v>1674</v>
      </c>
      <c r="AM154" s="612" t="s">
        <v>1674</v>
      </c>
      <c r="AN154" s="612" t="s">
        <v>1674</v>
      </c>
      <c r="AP154">
        <f t="shared" si="4"/>
        <v>0</v>
      </c>
      <c r="AQ154" s="552">
        <f t="shared" si="5"/>
        <v>0</v>
      </c>
    </row>
    <row r="155" spans="1:43" outlineLevel="1" x14ac:dyDescent="0.25">
      <c r="A155" s="612" t="s">
        <v>1674</v>
      </c>
      <c r="B155" s="786">
        <v>0</v>
      </c>
      <c r="C155" s="612" t="s">
        <v>1674</v>
      </c>
      <c r="D155" s="612" t="s">
        <v>3388</v>
      </c>
      <c r="E155" t="s">
        <v>3391</v>
      </c>
      <c r="G155" s="787"/>
      <c r="H155" s="787">
        <v>169.22</v>
      </c>
      <c r="I155" s="787">
        <v>672.35</v>
      </c>
      <c r="J155" t="s">
        <v>2701</v>
      </c>
      <c r="K155" s="611">
        <v>8736</v>
      </c>
      <c r="L155" t="s">
        <v>806</v>
      </c>
      <c r="M155" s="614"/>
      <c r="N155" s="788"/>
      <c r="O155" s="612" t="s">
        <v>1674</v>
      </c>
      <c r="P155" s="612" t="s">
        <v>1674</v>
      </c>
      <c r="Q155" s="612" t="s">
        <v>3392</v>
      </c>
      <c r="R155" s="612" t="s">
        <v>1674</v>
      </c>
      <c r="S155" s="612" t="s">
        <v>1674</v>
      </c>
      <c r="T155" s="789">
        <v>19</v>
      </c>
      <c r="U155" s="612" t="s">
        <v>3309</v>
      </c>
      <c r="V155" s="611">
        <v>1308</v>
      </c>
      <c r="W155" s="614"/>
      <c r="Y155" s="612" t="s">
        <v>1674</v>
      </c>
      <c r="AA155" s="612" t="s">
        <v>1674</v>
      </c>
      <c r="AE155" s="790"/>
      <c r="AF155" s="612" t="s">
        <v>1674</v>
      </c>
      <c r="AG155" s="612" t="s">
        <v>1674</v>
      </c>
      <c r="AH155" s="612" t="s">
        <v>1674</v>
      </c>
      <c r="AI155" s="612" t="s">
        <v>1674</v>
      </c>
      <c r="AJ155" s="612" t="s">
        <v>1674</v>
      </c>
      <c r="AK155" s="612" t="s">
        <v>1674</v>
      </c>
      <c r="AL155" s="612" t="s">
        <v>1674</v>
      </c>
      <c r="AM155" s="612" t="s">
        <v>1674</v>
      </c>
      <c r="AN155" s="612" t="s">
        <v>1674</v>
      </c>
      <c r="AP155">
        <f t="shared" si="4"/>
        <v>0</v>
      </c>
      <c r="AQ155" s="552">
        <f t="shared" si="5"/>
        <v>672.35</v>
      </c>
    </row>
    <row r="156" spans="1:43" outlineLevel="1" x14ac:dyDescent="0.25">
      <c r="A156" s="612" t="s">
        <v>1674</v>
      </c>
      <c r="B156" s="786">
        <v>0</v>
      </c>
      <c r="C156" s="612" t="s">
        <v>1674</v>
      </c>
      <c r="D156" s="612" t="s">
        <v>5205</v>
      </c>
      <c r="E156" t="s">
        <v>5069</v>
      </c>
      <c r="F156" t="s">
        <v>5070</v>
      </c>
      <c r="G156" s="787">
        <v>209.14</v>
      </c>
      <c r="H156" s="787"/>
      <c r="I156" s="787">
        <v>209.14</v>
      </c>
      <c r="J156" t="s">
        <v>2701</v>
      </c>
      <c r="K156" s="611">
        <v>8400</v>
      </c>
      <c r="L156" t="s">
        <v>806</v>
      </c>
      <c r="M156" s="614"/>
      <c r="N156" s="788">
        <v>-11</v>
      </c>
      <c r="O156" s="612" t="s">
        <v>1674</v>
      </c>
      <c r="P156" s="612" t="s">
        <v>1674</v>
      </c>
      <c r="Q156" s="612" t="s">
        <v>5206</v>
      </c>
      <c r="R156" s="612" t="s">
        <v>1674</v>
      </c>
      <c r="S156" s="612" t="s">
        <v>1674</v>
      </c>
      <c r="T156" s="789">
        <v>19</v>
      </c>
      <c r="U156" s="612" t="s">
        <v>5010</v>
      </c>
      <c r="V156" s="611">
        <v>1229</v>
      </c>
      <c r="W156" s="614"/>
      <c r="Y156" s="612" t="s">
        <v>1674</v>
      </c>
      <c r="AA156" s="612" t="s">
        <v>1674</v>
      </c>
      <c r="AE156" s="790"/>
      <c r="AF156" s="612" t="s">
        <v>1674</v>
      </c>
      <c r="AG156" s="612" t="s">
        <v>1674</v>
      </c>
      <c r="AH156" s="612" t="s">
        <v>1674</v>
      </c>
      <c r="AI156" s="612" t="s">
        <v>1674</v>
      </c>
      <c r="AJ156" s="612" t="s">
        <v>1674</v>
      </c>
      <c r="AK156" s="612" t="s">
        <v>1674</v>
      </c>
      <c r="AL156" s="612" t="s">
        <v>1674</v>
      </c>
      <c r="AM156" s="612" t="s">
        <v>1674</v>
      </c>
      <c r="AN156" s="612" t="s">
        <v>1674</v>
      </c>
      <c r="AP156">
        <f t="shared" si="4"/>
        <v>11</v>
      </c>
      <c r="AQ156" s="552">
        <f t="shared" si="5"/>
        <v>209.14</v>
      </c>
    </row>
    <row r="157" spans="1:43" outlineLevel="1" x14ac:dyDescent="0.25">
      <c r="A157" s="612" t="s">
        <v>1674</v>
      </c>
      <c r="B157" s="786">
        <v>0</v>
      </c>
      <c r="C157" s="612" t="s">
        <v>1674</v>
      </c>
      <c r="D157" s="612" t="s">
        <v>5207</v>
      </c>
      <c r="E157" t="s">
        <v>4905</v>
      </c>
      <c r="F157" t="s">
        <v>4906</v>
      </c>
      <c r="G157" s="787">
        <v>418.29</v>
      </c>
      <c r="H157" s="787"/>
      <c r="I157" s="787">
        <v>418.29</v>
      </c>
      <c r="J157" t="s">
        <v>2701</v>
      </c>
      <c r="K157" s="611">
        <v>8400</v>
      </c>
      <c r="L157" t="s">
        <v>806</v>
      </c>
      <c r="M157" s="614"/>
      <c r="N157" s="788">
        <v>3</v>
      </c>
      <c r="O157" s="612" t="s">
        <v>1674</v>
      </c>
      <c r="P157" s="612" t="s">
        <v>1674</v>
      </c>
      <c r="Q157" s="612" t="s">
        <v>5206</v>
      </c>
      <c r="R157" s="612" t="s">
        <v>1674</v>
      </c>
      <c r="S157" s="612" t="s">
        <v>1674</v>
      </c>
      <c r="T157" s="789">
        <v>19</v>
      </c>
      <c r="U157" s="612" t="s">
        <v>4900</v>
      </c>
      <c r="V157" s="611">
        <v>292</v>
      </c>
      <c r="W157" s="614"/>
      <c r="Y157" s="612" t="s">
        <v>1674</v>
      </c>
      <c r="AA157" s="612" t="s">
        <v>1674</v>
      </c>
      <c r="AE157" s="790"/>
      <c r="AF157" s="612" t="s">
        <v>1674</v>
      </c>
      <c r="AG157" s="612" t="s">
        <v>1674</v>
      </c>
      <c r="AH157" s="612" t="s">
        <v>1674</v>
      </c>
      <c r="AI157" s="612" t="s">
        <v>1674</v>
      </c>
      <c r="AJ157" s="612" t="s">
        <v>1674</v>
      </c>
      <c r="AK157" s="612" t="s">
        <v>1674</v>
      </c>
      <c r="AL157" s="612" t="s">
        <v>1674</v>
      </c>
      <c r="AM157" s="612" t="s">
        <v>1674</v>
      </c>
      <c r="AN157" s="612" t="s">
        <v>1674</v>
      </c>
      <c r="AP157">
        <f t="shared" si="4"/>
        <v>-3</v>
      </c>
      <c r="AQ157" s="552">
        <f t="shared" si="5"/>
        <v>418.29</v>
      </c>
    </row>
    <row r="158" spans="1:43" outlineLevel="1" x14ac:dyDescent="0.25">
      <c r="A158" s="612" t="s">
        <v>1674</v>
      </c>
      <c r="B158" s="786">
        <v>0</v>
      </c>
      <c r="C158" s="612" t="s">
        <v>1674</v>
      </c>
      <c r="D158" s="612" t="s">
        <v>5208</v>
      </c>
      <c r="E158" t="s">
        <v>4958</v>
      </c>
      <c r="F158" t="s">
        <v>4959</v>
      </c>
      <c r="G158" s="787">
        <v>209.14</v>
      </c>
      <c r="H158" s="787"/>
      <c r="I158" s="787">
        <v>209.14</v>
      </c>
      <c r="J158" t="s">
        <v>2701</v>
      </c>
      <c r="K158" s="611">
        <v>8400</v>
      </c>
      <c r="L158" t="s">
        <v>806</v>
      </c>
      <c r="M158" s="614"/>
      <c r="N158" s="788">
        <v>9</v>
      </c>
      <c r="O158" s="612" t="s">
        <v>1674</v>
      </c>
      <c r="P158" s="612" t="s">
        <v>1674</v>
      </c>
      <c r="Q158" s="612" t="s">
        <v>5206</v>
      </c>
      <c r="R158" s="612" t="s">
        <v>1674</v>
      </c>
      <c r="S158" s="612" t="s">
        <v>1674</v>
      </c>
      <c r="T158" s="789">
        <v>19</v>
      </c>
      <c r="U158" s="612" t="s">
        <v>4900</v>
      </c>
      <c r="V158" s="611">
        <v>648</v>
      </c>
      <c r="W158" s="614"/>
      <c r="Y158" s="612" t="s">
        <v>1674</v>
      </c>
      <c r="AA158" s="612" t="s">
        <v>1674</v>
      </c>
      <c r="AE158" s="790"/>
      <c r="AF158" s="612" t="s">
        <v>1674</v>
      </c>
      <c r="AG158" s="612" t="s">
        <v>1674</v>
      </c>
      <c r="AH158" s="612" t="s">
        <v>1674</v>
      </c>
      <c r="AI158" s="612" t="s">
        <v>1674</v>
      </c>
      <c r="AJ158" s="612" t="s">
        <v>1674</v>
      </c>
      <c r="AK158" s="612" t="s">
        <v>1674</v>
      </c>
      <c r="AL158" s="612" t="s">
        <v>1674</v>
      </c>
      <c r="AM158" s="612" t="s">
        <v>1674</v>
      </c>
      <c r="AN158" s="612" t="s">
        <v>1674</v>
      </c>
      <c r="AP158">
        <f t="shared" si="4"/>
        <v>-9</v>
      </c>
      <c r="AQ158" s="552">
        <f t="shared" si="5"/>
        <v>209.14</v>
      </c>
    </row>
    <row r="159" spans="1:43" outlineLevel="1" x14ac:dyDescent="0.25">
      <c r="A159" s="612" t="s">
        <v>1674</v>
      </c>
      <c r="B159" s="786">
        <v>0</v>
      </c>
      <c r="C159" s="612" t="s">
        <v>1674</v>
      </c>
      <c r="D159" s="612" t="s">
        <v>5209</v>
      </c>
      <c r="E159" t="s">
        <v>5022</v>
      </c>
      <c r="F159" t="s">
        <v>5023</v>
      </c>
      <c r="G159" s="787">
        <v>499.56</v>
      </c>
      <c r="H159" s="787"/>
      <c r="I159" s="787">
        <v>499.56</v>
      </c>
      <c r="J159" t="s">
        <v>2701</v>
      </c>
      <c r="K159" s="611">
        <v>8400</v>
      </c>
      <c r="L159" t="s">
        <v>2552</v>
      </c>
      <c r="M159" s="614"/>
      <c r="N159" s="788">
        <v>16</v>
      </c>
      <c r="O159" s="612" t="s">
        <v>1674</v>
      </c>
      <c r="P159" s="612" t="s">
        <v>1674</v>
      </c>
      <c r="Q159" s="612" t="s">
        <v>5210</v>
      </c>
      <c r="R159" s="612" t="s">
        <v>2622</v>
      </c>
      <c r="S159" s="612" t="s">
        <v>1674</v>
      </c>
      <c r="T159" s="789">
        <v>19</v>
      </c>
      <c r="U159" s="612" t="s">
        <v>4900</v>
      </c>
      <c r="V159" s="611">
        <v>1102</v>
      </c>
      <c r="W159" s="614"/>
      <c r="Y159" s="612" t="s">
        <v>1674</v>
      </c>
      <c r="AA159" s="612" t="s">
        <v>1674</v>
      </c>
      <c r="AE159" s="790"/>
      <c r="AF159" s="612" t="s">
        <v>1674</v>
      </c>
      <c r="AG159" s="612" t="s">
        <v>1674</v>
      </c>
      <c r="AH159" s="612" t="s">
        <v>1674</v>
      </c>
      <c r="AI159" s="612" t="s">
        <v>1674</v>
      </c>
      <c r="AJ159" s="612" t="s">
        <v>1674</v>
      </c>
      <c r="AK159" s="612" t="s">
        <v>1674</v>
      </c>
      <c r="AL159" s="612" t="s">
        <v>1674</v>
      </c>
      <c r="AM159" s="612" t="s">
        <v>1674</v>
      </c>
      <c r="AN159" s="612" t="s">
        <v>1674</v>
      </c>
      <c r="AP159">
        <f t="shared" si="4"/>
        <v>-16</v>
      </c>
      <c r="AQ159" s="552">
        <f t="shared" si="5"/>
        <v>499.56</v>
      </c>
    </row>
    <row r="160" spans="1:43" outlineLevel="1" x14ac:dyDescent="0.25">
      <c r="A160" s="612" t="s">
        <v>1674</v>
      </c>
      <c r="B160" s="786">
        <v>0</v>
      </c>
      <c r="C160" s="612" t="s">
        <v>1674</v>
      </c>
      <c r="D160" s="612" t="s">
        <v>5211</v>
      </c>
      <c r="E160" t="s">
        <v>4911</v>
      </c>
      <c r="F160" t="s">
        <v>4912</v>
      </c>
      <c r="G160" s="787">
        <v>94.72</v>
      </c>
      <c r="H160" s="787"/>
      <c r="I160" s="787">
        <v>94.72</v>
      </c>
      <c r="J160" t="s">
        <v>2701</v>
      </c>
      <c r="K160" s="611">
        <v>8400</v>
      </c>
      <c r="L160" t="s">
        <v>2552</v>
      </c>
      <c r="M160" s="614"/>
      <c r="N160" s="788">
        <v>17</v>
      </c>
      <c r="O160" s="612" t="s">
        <v>1674</v>
      </c>
      <c r="P160" s="612" t="s">
        <v>1674</v>
      </c>
      <c r="Q160" s="612" t="s">
        <v>5210</v>
      </c>
      <c r="R160" s="612" t="s">
        <v>2622</v>
      </c>
      <c r="S160" s="612" t="s">
        <v>1674</v>
      </c>
      <c r="T160" s="789">
        <v>19</v>
      </c>
      <c r="U160" s="612" t="s">
        <v>4900</v>
      </c>
      <c r="V160" s="611">
        <v>1204</v>
      </c>
      <c r="W160" s="614"/>
      <c r="Y160" s="612" t="s">
        <v>1674</v>
      </c>
      <c r="AA160" s="612" t="s">
        <v>1674</v>
      </c>
      <c r="AE160" s="790"/>
      <c r="AF160" s="612" t="s">
        <v>1674</v>
      </c>
      <c r="AG160" s="612" t="s">
        <v>1674</v>
      </c>
      <c r="AH160" s="612" t="s">
        <v>1674</v>
      </c>
      <c r="AI160" s="612" t="s">
        <v>1674</v>
      </c>
      <c r="AJ160" s="612" t="s">
        <v>1674</v>
      </c>
      <c r="AK160" s="612" t="s">
        <v>1674</v>
      </c>
      <c r="AL160" s="612" t="s">
        <v>1674</v>
      </c>
      <c r="AM160" s="612" t="s">
        <v>1674</v>
      </c>
      <c r="AN160" s="612" t="s">
        <v>1674</v>
      </c>
      <c r="AP160">
        <f t="shared" si="4"/>
        <v>-17</v>
      </c>
      <c r="AQ160" s="552">
        <f t="shared" si="5"/>
        <v>94.72</v>
      </c>
    </row>
    <row r="161" spans="1:43" outlineLevel="1" x14ac:dyDescent="0.25">
      <c r="A161" s="612" t="s">
        <v>1674</v>
      </c>
      <c r="B161" s="786">
        <v>0</v>
      </c>
      <c r="C161" s="612" t="s">
        <v>1674</v>
      </c>
      <c r="D161" s="612" t="s">
        <v>5212</v>
      </c>
      <c r="E161" t="s">
        <v>4911</v>
      </c>
      <c r="F161" t="s">
        <v>4912</v>
      </c>
      <c r="G161" s="787">
        <v>499.56</v>
      </c>
      <c r="H161" s="787"/>
      <c r="I161" s="787">
        <v>499.56</v>
      </c>
      <c r="J161" t="s">
        <v>2701</v>
      </c>
      <c r="K161" s="611">
        <v>8400</v>
      </c>
      <c r="L161" t="s">
        <v>2552</v>
      </c>
      <c r="M161" s="614"/>
      <c r="N161" s="788">
        <v>17</v>
      </c>
      <c r="O161" s="612" t="s">
        <v>1674</v>
      </c>
      <c r="P161" s="612" t="s">
        <v>1674</v>
      </c>
      <c r="Q161" s="612" t="s">
        <v>5210</v>
      </c>
      <c r="R161" s="612" t="s">
        <v>2622</v>
      </c>
      <c r="S161" s="612" t="s">
        <v>1674</v>
      </c>
      <c r="T161" s="789">
        <v>19</v>
      </c>
      <c r="U161" s="612" t="s">
        <v>4900</v>
      </c>
      <c r="V161" s="611">
        <v>1212</v>
      </c>
      <c r="W161" s="614"/>
      <c r="Y161" s="612" t="s">
        <v>1674</v>
      </c>
      <c r="AA161" s="612" t="s">
        <v>1674</v>
      </c>
      <c r="AE161" s="790"/>
      <c r="AF161" s="612" t="s">
        <v>1674</v>
      </c>
      <c r="AG161" s="612" t="s">
        <v>1674</v>
      </c>
      <c r="AH161" s="612" t="s">
        <v>1674</v>
      </c>
      <c r="AI161" s="612" t="s">
        <v>1674</v>
      </c>
      <c r="AJ161" s="612" t="s">
        <v>1674</v>
      </c>
      <c r="AK161" s="612" t="s">
        <v>1674</v>
      </c>
      <c r="AL161" s="612" t="s">
        <v>1674</v>
      </c>
      <c r="AM161" s="612" t="s">
        <v>1674</v>
      </c>
      <c r="AN161" s="612" t="s">
        <v>1674</v>
      </c>
      <c r="AP161">
        <f t="shared" si="4"/>
        <v>-17</v>
      </c>
      <c r="AQ161" s="552">
        <f t="shared" si="5"/>
        <v>499.56</v>
      </c>
    </row>
    <row r="162" spans="1:43" outlineLevel="1" x14ac:dyDescent="0.25">
      <c r="A162" s="612" t="s">
        <v>1674</v>
      </c>
      <c r="B162" s="786">
        <v>0</v>
      </c>
      <c r="C162" s="612" t="s">
        <v>1674</v>
      </c>
      <c r="D162" s="612" t="s">
        <v>5213</v>
      </c>
      <c r="E162" t="s">
        <v>4911</v>
      </c>
      <c r="F162" t="s">
        <v>4912</v>
      </c>
      <c r="G162" s="787">
        <v>594.29</v>
      </c>
      <c r="H162" s="787"/>
      <c r="I162" s="787">
        <v>594.29</v>
      </c>
      <c r="J162" t="s">
        <v>2701</v>
      </c>
      <c r="K162" s="611">
        <v>8400</v>
      </c>
      <c r="L162" t="s">
        <v>2552</v>
      </c>
      <c r="M162" s="614"/>
      <c r="N162" s="788">
        <v>17</v>
      </c>
      <c r="O162" s="612" t="s">
        <v>1674</v>
      </c>
      <c r="P162" s="612" t="s">
        <v>1674</v>
      </c>
      <c r="Q162" s="612" t="s">
        <v>5210</v>
      </c>
      <c r="R162" s="612" t="s">
        <v>2622</v>
      </c>
      <c r="S162" s="612" t="s">
        <v>1674</v>
      </c>
      <c r="T162" s="789">
        <v>19</v>
      </c>
      <c r="U162" s="612" t="s">
        <v>4900</v>
      </c>
      <c r="V162" s="611">
        <v>1216</v>
      </c>
      <c r="W162" s="614"/>
      <c r="Y162" s="612" t="s">
        <v>1674</v>
      </c>
      <c r="AA162" s="612" t="s">
        <v>1674</v>
      </c>
      <c r="AE162" s="790"/>
      <c r="AF162" s="612" t="s">
        <v>1674</v>
      </c>
      <c r="AG162" s="612" t="s">
        <v>1674</v>
      </c>
      <c r="AH162" s="612" t="s">
        <v>1674</v>
      </c>
      <c r="AI162" s="612" t="s">
        <v>1674</v>
      </c>
      <c r="AJ162" s="612" t="s">
        <v>1674</v>
      </c>
      <c r="AK162" s="612" t="s">
        <v>1674</v>
      </c>
      <c r="AL162" s="612" t="s">
        <v>1674</v>
      </c>
      <c r="AM162" s="612" t="s">
        <v>1674</v>
      </c>
      <c r="AN162" s="612" t="s">
        <v>1674</v>
      </c>
      <c r="AP162">
        <f t="shared" si="4"/>
        <v>-17</v>
      </c>
      <c r="AQ162" s="552">
        <f t="shared" si="5"/>
        <v>594.29</v>
      </c>
    </row>
    <row r="163" spans="1:43" outlineLevel="1" x14ac:dyDescent="0.25">
      <c r="A163" s="612" t="s">
        <v>1674</v>
      </c>
      <c r="B163" s="786">
        <v>0</v>
      </c>
      <c r="C163" s="612" t="s">
        <v>1674</v>
      </c>
      <c r="D163" s="612" t="s">
        <v>5214</v>
      </c>
      <c r="E163" t="s">
        <v>4911</v>
      </c>
      <c r="F163" t="s">
        <v>4912</v>
      </c>
      <c r="G163" s="787">
        <v>970.56</v>
      </c>
      <c r="H163" s="787"/>
      <c r="I163" s="787">
        <v>970.56</v>
      </c>
      <c r="J163" t="s">
        <v>2701</v>
      </c>
      <c r="K163" s="611">
        <v>8400</v>
      </c>
      <c r="L163" t="s">
        <v>2552</v>
      </c>
      <c r="M163" s="614"/>
      <c r="N163" s="788">
        <v>17</v>
      </c>
      <c r="O163" s="612" t="s">
        <v>1674</v>
      </c>
      <c r="P163" s="612" t="s">
        <v>1674</v>
      </c>
      <c r="Q163" s="612" t="s">
        <v>5210</v>
      </c>
      <c r="R163" s="612" t="s">
        <v>2622</v>
      </c>
      <c r="S163" s="612" t="s">
        <v>1674</v>
      </c>
      <c r="T163" s="789">
        <v>19</v>
      </c>
      <c r="U163" s="612" t="s">
        <v>4900</v>
      </c>
      <c r="V163" s="611">
        <v>1222</v>
      </c>
      <c r="W163" s="614"/>
      <c r="Y163" s="612" t="s">
        <v>1674</v>
      </c>
      <c r="AA163" s="612" t="s">
        <v>1674</v>
      </c>
      <c r="AE163" s="790"/>
      <c r="AF163" s="612" t="s">
        <v>1674</v>
      </c>
      <c r="AG163" s="612" t="s">
        <v>1674</v>
      </c>
      <c r="AH163" s="612" t="s">
        <v>1674</v>
      </c>
      <c r="AI163" s="612" t="s">
        <v>1674</v>
      </c>
      <c r="AJ163" s="612" t="s">
        <v>1674</v>
      </c>
      <c r="AK163" s="612" t="s">
        <v>1674</v>
      </c>
      <c r="AL163" s="612" t="s">
        <v>1674</v>
      </c>
      <c r="AM163" s="612" t="s">
        <v>1674</v>
      </c>
      <c r="AN163" s="612" t="s">
        <v>1674</v>
      </c>
      <c r="AP163">
        <f t="shared" si="4"/>
        <v>-17</v>
      </c>
      <c r="AQ163" s="552">
        <f t="shared" si="5"/>
        <v>970.56</v>
      </c>
    </row>
    <row r="164" spans="1:43" outlineLevel="1" x14ac:dyDescent="0.25">
      <c r="A164" s="612" t="s">
        <v>1674</v>
      </c>
      <c r="B164" s="786">
        <v>0</v>
      </c>
      <c r="C164" s="612" t="s">
        <v>1674</v>
      </c>
      <c r="D164" s="612" t="s">
        <v>5215</v>
      </c>
      <c r="E164" t="s">
        <v>4915</v>
      </c>
      <c r="F164" t="s">
        <v>4916</v>
      </c>
      <c r="G164" s="787">
        <v>16493.400000000001</v>
      </c>
      <c r="H164" s="787"/>
      <c r="I164" s="787">
        <v>16493.400000000001</v>
      </c>
      <c r="J164" t="s">
        <v>2701</v>
      </c>
      <c r="K164" s="611" t="s">
        <v>4945</v>
      </c>
      <c r="L164" t="s">
        <v>2552</v>
      </c>
      <c r="M164" s="614"/>
      <c r="N164" s="788">
        <v>18</v>
      </c>
      <c r="O164" s="612" t="s">
        <v>1674</v>
      </c>
      <c r="P164" s="612" t="s">
        <v>1674</v>
      </c>
      <c r="Q164" s="612" t="s">
        <v>2914</v>
      </c>
      <c r="R164" s="612" t="s">
        <v>2617</v>
      </c>
      <c r="S164" s="612" t="s">
        <v>1674</v>
      </c>
      <c r="T164" s="789">
        <v>19</v>
      </c>
      <c r="U164" s="612" t="s">
        <v>4900</v>
      </c>
      <c r="V164" s="611">
        <v>1379</v>
      </c>
      <c r="W164" s="614"/>
      <c r="Y164" s="612" t="s">
        <v>1674</v>
      </c>
      <c r="AA164" s="612" t="s">
        <v>1674</v>
      </c>
      <c r="AE164" s="790"/>
      <c r="AF164" s="612" t="s">
        <v>1674</v>
      </c>
      <c r="AG164" s="612" t="s">
        <v>1674</v>
      </c>
      <c r="AH164" s="612" t="s">
        <v>1674</v>
      </c>
      <c r="AI164" s="612" t="s">
        <v>1674</v>
      </c>
      <c r="AJ164" s="612" t="s">
        <v>1674</v>
      </c>
      <c r="AK164" s="612" t="s">
        <v>1674</v>
      </c>
      <c r="AL164" s="612" t="s">
        <v>1674</v>
      </c>
      <c r="AM164" s="612" t="s">
        <v>1674</v>
      </c>
      <c r="AN164" s="612" t="s">
        <v>1674</v>
      </c>
      <c r="AP164">
        <f t="shared" si="4"/>
        <v>-18</v>
      </c>
      <c r="AQ164" s="552">
        <f t="shared" si="5"/>
        <v>16493.400000000001</v>
      </c>
    </row>
    <row r="165" spans="1:43" outlineLevel="1" x14ac:dyDescent="0.25">
      <c r="A165" s="612" t="s">
        <v>1674</v>
      </c>
      <c r="B165" s="786">
        <v>0</v>
      </c>
      <c r="C165" s="612" t="s">
        <v>1674</v>
      </c>
      <c r="D165" s="612" t="s">
        <v>3275</v>
      </c>
      <c r="E165" t="s">
        <v>3269</v>
      </c>
      <c r="F165" t="s">
        <v>3270</v>
      </c>
      <c r="G165" s="787">
        <v>595</v>
      </c>
      <c r="H165" s="787"/>
      <c r="I165" s="787">
        <v>595</v>
      </c>
      <c r="J165" t="s">
        <v>2701</v>
      </c>
      <c r="K165" s="611">
        <v>8404</v>
      </c>
      <c r="L165" t="s">
        <v>806</v>
      </c>
      <c r="M165" s="614"/>
      <c r="N165" s="788">
        <v>-336</v>
      </c>
      <c r="O165" s="612" t="s">
        <v>1674</v>
      </c>
      <c r="P165" s="612" t="s">
        <v>1674</v>
      </c>
      <c r="Q165" s="612" t="s">
        <v>2914</v>
      </c>
      <c r="R165" s="612" t="s">
        <v>1674</v>
      </c>
      <c r="S165" s="612" t="s">
        <v>1674</v>
      </c>
      <c r="T165" s="789">
        <v>19</v>
      </c>
      <c r="U165" s="612" t="s">
        <v>2700</v>
      </c>
      <c r="V165" s="611">
        <v>375</v>
      </c>
      <c r="W165" s="614"/>
      <c r="Y165" s="612" t="s">
        <v>1674</v>
      </c>
      <c r="AA165" s="612" t="s">
        <v>1674</v>
      </c>
      <c r="AE165" s="790"/>
      <c r="AF165" s="612" t="s">
        <v>1674</v>
      </c>
      <c r="AG165" s="612" t="s">
        <v>1674</v>
      </c>
      <c r="AH165" s="612" t="s">
        <v>1674</v>
      </c>
      <c r="AI165" s="612" t="s">
        <v>1674</v>
      </c>
      <c r="AJ165" s="612" t="s">
        <v>1674</v>
      </c>
      <c r="AK165" s="612" t="s">
        <v>1674</v>
      </c>
      <c r="AL165" s="612" t="s">
        <v>1674</v>
      </c>
      <c r="AM165" s="612" t="s">
        <v>1674</v>
      </c>
      <c r="AN165" s="612" t="s">
        <v>1674</v>
      </c>
      <c r="AP165">
        <f t="shared" si="4"/>
        <v>336</v>
      </c>
      <c r="AQ165" s="552">
        <f t="shared" si="5"/>
        <v>595</v>
      </c>
    </row>
    <row r="166" spans="1:43" outlineLevel="1" x14ac:dyDescent="0.25">
      <c r="A166" s="612" t="s">
        <v>1674</v>
      </c>
      <c r="B166" s="786">
        <v>0</v>
      </c>
      <c r="C166" s="612" t="s">
        <v>1674</v>
      </c>
      <c r="D166" s="612" t="s">
        <v>3276</v>
      </c>
      <c r="E166" t="s">
        <v>3269</v>
      </c>
      <c r="F166" t="s">
        <v>3270</v>
      </c>
      <c r="G166" s="787">
        <v>595</v>
      </c>
      <c r="H166" s="787"/>
      <c r="I166" s="787">
        <v>595</v>
      </c>
      <c r="J166" t="s">
        <v>2701</v>
      </c>
      <c r="K166" s="611">
        <v>8404</v>
      </c>
      <c r="L166" t="s">
        <v>806</v>
      </c>
      <c r="M166" s="614"/>
      <c r="N166" s="788">
        <v>-336</v>
      </c>
      <c r="O166" s="612" t="s">
        <v>1674</v>
      </c>
      <c r="P166" s="612" t="s">
        <v>1674</v>
      </c>
      <c r="Q166" s="612" t="s">
        <v>2914</v>
      </c>
      <c r="R166" s="612" t="s">
        <v>1674</v>
      </c>
      <c r="S166" s="612" t="s">
        <v>1674</v>
      </c>
      <c r="T166" s="789">
        <v>19</v>
      </c>
      <c r="U166" s="612" t="s">
        <v>2700</v>
      </c>
      <c r="V166" s="611">
        <v>376</v>
      </c>
      <c r="W166" s="614"/>
      <c r="Y166" s="612" t="s">
        <v>1674</v>
      </c>
      <c r="AA166" s="612" t="s">
        <v>1674</v>
      </c>
      <c r="AE166" s="790"/>
      <c r="AF166" s="612" t="s">
        <v>1674</v>
      </c>
      <c r="AG166" s="612" t="s">
        <v>1674</v>
      </c>
      <c r="AH166" s="612" t="s">
        <v>1674</v>
      </c>
      <c r="AI166" s="612" t="s">
        <v>1674</v>
      </c>
      <c r="AJ166" s="612" t="s">
        <v>1674</v>
      </c>
      <c r="AK166" s="612" t="s">
        <v>1674</v>
      </c>
      <c r="AL166" s="612" t="s">
        <v>1674</v>
      </c>
      <c r="AM166" s="612" t="s">
        <v>1674</v>
      </c>
      <c r="AN166" s="612" t="s">
        <v>1674</v>
      </c>
      <c r="AP166">
        <f t="shared" si="4"/>
        <v>336</v>
      </c>
      <c r="AQ166" s="552">
        <f t="shared" si="5"/>
        <v>595</v>
      </c>
    </row>
    <row r="167" spans="1:43" outlineLevel="1" x14ac:dyDescent="0.25">
      <c r="A167" s="612" t="s">
        <v>1674</v>
      </c>
      <c r="B167" s="786">
        <v>0</v>
      </c>
      <c r="C167" s="612" t="s">
        <v>1674</v>
      </c>
      <c r="D167" s="612" t="s">
        <v>5216</v>
      </c>
      <c r="E167" t="s">
        <v>4979</v>
      </c>
      <c r="F167" t="s">
        <v>5081</v>
      </c>
      <c r="G167" s="787">
        <v>773.5</v>
      </c>
      <c r="H167" s="787"/>
      <c r="I167" s="787">
        <v>773.5</v>
      </c>
      <c r="J167" t="s">
        <v>2701</v>
      </c>
      <c r="K167" s="611">
        <v>8403</v>
      </c>
      <c r="L167" t="s">
        <v>806</v>
      </c>
      <c r="M167" s="614"/>
      <c r="N167" s="788">
        <v>14</v>
      </c>
      <c r="O167" s="612" t="s">
        <v>1674</v>
      </c>
      <c r="P167" s="612" t="s">
        <v>1674</v>
      </c>
      <c r="Q167" s="612" t="s">
        <v>3115</v>
      </c>
      <c r="R167" s="612" t="s">
        <v>1674</v>
      </c>
      <c r="S167" s="612" t="s">
        <v>1674</v>
      </c>
      <c r="T167" s="789">
        <v>19</v>
      </c>
      <c r="U167" s="612" t="s">
        <v>4900</v>
      </c>
      <c r="V167" s="611">
        <v>960</v>
      </c>
      <c r="W167" s="614"/>
      <c r="Y167" s="612" t="s">
        <v>1674</v>
      </c>
      <c r="AA167" s="612" t="s">
        <v>1674</v>
      </c>
      <c r="AE167" s="790"/>
      <c r="AF167" s="612" t="s">
        <v>1674</v>
      </c>
      <c r="AG167" s="612" t="s">
        <v>1674</v>
      </c>
      <c r="AH167" s="612" t="s">
        <v>1674</v>
      </c>
      <c r="AI167" s="612" t="s">
        <v>1674</v>
      </c>
      <c r="AJ167" s="612" t="s">
        <v>1674</v>
      </c>
      <c r="AK167" s="612" t="s">
        <v>1674</v>
      </c>
      <c r="AL167" s="612" t="s">
        <v>1674</v>
      </c>
      <c r="AM167" s="612" t="s">
        <v>1674</v>
      </c>
      <c r="AN167" s="612" t="s">
        <v>1674</v>
      </c>
      <c r="AP167">
        <f t="shared" si="4"/>
        <v>-14</v>
      </c>
      <c r="AQ167" s="552">
        <f t="shared" si="5"/>
        <v>773.5</v>
      </c>
    </row>
    <row r="168" spans="1:43" outlineLevel="1" x14ac:dyDescent="0.25">
      <c r="A168" s="612" t="s">
        <v>1674</v>
      </c>
      <c r="B168" s="786">
        <v>0</v>
      </c>
      <c r="C168" s="612" t="s">
        <v>1674</v>
      </c>
      <c r="D168" s="612" t="s">
        <v>5217</v>
      </c>
      <c r="E168" t="s">
        <v>4979</v>
      </c>
      <c r="F168" t="s">
        <v>5081</v>
      </c>
      <c r="G168" s="787">
        <v>773.5</v>
      </c>
      <c r="H168" s="787"/>
      <c r="I168" s="787">
        <v>773.5</v>
      </c>
      <c r="J168" t="s">
        <v>2701</v>
      </c>
      <c r="K168" s="611">
        <v>8403</v>
      </c>
      <c r="L168" t="s">
        <v>806</v>
      </c>
      <c r="M168" s="614"/>
      <c r="N168" s="788">
        <v>14</v>
      </c>
      <c r="O168" s="612" t="s">
        <v>1674</v>
      </c>
      <c r="P168" s="612" t="s">
        <v>1674</v>
      </c>
      <c r="Q168" s="612" t="s">
        <v>3115</v>
      </c>
      <c r="R168" s="612" t="s">
        <v>1674</v>
      </c>
      <c r="S168" s="612" t="s">
        <v>1674</v>
      </c>
      <c r="T168" s="789">
        <v>19</v>
      </c>
      <c r="U168" s="612" t="s">
        <v>4900</v>
      </c>
      <c r="V168" s="611">
        <v>961</v>
      </c>
      <c r="W168" s="614"/>
      <c r="Y168" s="612" t="s">
        <v>1674</v>
      </c>
      <c r="AA168" s="612" t="s">
        <v>1674</v>
      </c>
      <c r="AE168" s="790"/>
      <c r="AF168" s="612" t="s">
        <v>1674</v>
      </c>
      <c r="AG168" s="612" t="s">
        <v>1674</v>
      </c>
      <c r="AH168" s="612" t="s">
        <v>1674</v>
      </c>
      <c r="AI168" s="612" t="s">
        <v>1674</v>
      </c>
      <c r="AJ168" s="612" t="s">
        <v>1674</v>
      </c>
      <c r="AK168" s="612" t="s">
        <v>1674</v>
      </c>
      <c r="AL168" s="612" t="s">
        <v>1674</v>
      </c>
      <c r="AM168" s="612" t="s">
        <v>1674</v>
      </c>
      <c r="AN168" s="612" t="s">
        <v>1674</v>
      </c>
      <c r="AP168">
        <f t="shared" si="4"/>
        <v>-14</v>
      </c>
      <c r="AQ168" s="552">
        <f t="shared" si="5"/>
        <v>773.5</v>
      </c>
    </row>
    <row r="169" spans="1:43" outlineLevel="1" x14ac:dyDescent="0.25">
      <c r="A169" s="612" t="s">
        <v>1674</v>
      </c>
      <c r="B169" s="786">
        <v>0</v>
      </c>
      <c r="C169" s="612" t="s">
        <v>1674</v>
      </c>
      <c r="D169" s="612" t="s">
        <v>5218</v>
      </c>
      <c r="E169" t="s">
        <v>4911</v>
      </c>
      <c r="F169" t="s">
        <v>4912</v>
      </c>
      <c r="G169" s="787">
        <v>1254.3800000000001</v>
      </c>
      <c r="H169" s="787"/>
      <c r="I169" s="787">
        <v>1254.3800000000001</v>
      </c>
      <c r="J169" t="s">
        <v>2701</v>
      </c>
      <c r="K169" s="611" t="s">
        <v>4945</v>
      </c>
      <c r="L169" t="s">
        <v>2552</v>
      </c>
      <c r="M169" s="614"/>
      <c r="N169" s="788">
        <v>17</v>
      </c>
      <c r="O169" s="612" t="s">
        <v>1674</v>
      </c>
      <c r="P169" s="612" t="s">
        <v>1674</v>
      </c>
      <c r="Q169" s="612" t="s">
        <v>2914</v>
      </c>
      <c r="R169" s="612" t="s">
        <v>1674</v>
      </c>
      <c r="S169" s="612" t="s">
        <v>1674</v>
      </c>
      <c r="T169" s="789">
        <v>19</v>
      </c>
      <c r="U169" s="612" t="s">
        <v>4900</v>
      </c>
      <c r="V169" s="611">
        <v>1256</v>
      </c>
      <c r="W169" s="614"/>
      <c r="Y169" s="612" t="s">
        <v>1674</v>
      </c>
      <c r="AA169" s="612" t="s">
        <v>1674</v>
      </c>
      <c r="AE169" s="790"/>
      <c r="AF169" s="612" t="s">
        <v>1674</v>
      </c>
      <c r="AG169" s="612" t="s">
        <v>1674</v>
      </c>
      <c r="AH169" s="612" t="s">
        <v>1674</v>
      </c>
      <c r="AI169" s="612" t="s">
        <v>1674</v>
      </c>
      <c r="AJ169" s="612" t="s">
        <v>1674</v>
      </c>
      <c r="AK169" s="612" t="s">
        <v>1674</v>
      </c>
      <c r="AL169" s="612" t="s">
        <v>1674</v>
      </c>
      <c r="AM169" s="612" t="s">
        <v>1674</v>
      </c>
      <c r="AN169" s="612" t="s">
        <v>1674</v>
      </c>
      <c r="AP169">
        <f t="shared" si="4"/>
        <v>-17</v>
      </c>
      <c r="AQ169" s="552">
        <f t="shared" si="5"/>
        <v>1254.3800000000001</v>
      </c>
    </row>
    <row r="170" spans="1:43" outlineLevel="1" x14ac:dyDescent="0.25">
      <c r="A170" s="612" t="s">
        <v>1674</v>
      </c>
      <c r="B170" s="786">
        <v>0</v>
      </c>
      <c r="C170" s="612" t="s">
        <v>1674</v>
      </c>
      <c r="D170" s="612" t="s">
        <v>5219</v>
      </c>
      <c r="E170" t="s">
        <v>4931</v>
      </c>
      <c r="G170" s="787"/>
      <c r="H170" s="787">
        <v>644.15</v>
      </c>
      <c r="I170" s="787"/>
      <c r="J170" t="s">
        <v>806</v>
      </c>
      <c r="K170" s="611">
        <v>8403</v>
      </c>
      <c r="L170" t="s">
        <v>806</v>
      </c>
      <c r="M170" s="614"/>
      <c r="N170" s="788"/>
      <c r="O170" s="612" t="s">
        <v>1674</v>
      </c>
      <c r="P170" s="612" t="s">
        <v>1674</v>
      </c>
      <c r="Q170" s="612" t="s">
        <v>2914</v>
      </c>
      <c r="R170" s="612" t="s">
        <v>1674</v>
      </c>
      <c r="S170" s="612" t="s">
        <v>1674</v>
      </c>
      <c r="T170" s="789">
        <v>19</v>
      </c>
      <c r="U170" s="612" t="s">
        <v>4900</v>
      </c>
      <c r="V170" s="611">
        <v>1502</v>
      </c>
      <c r="W170" s="614"/>
      <c r="Y170" s="612" t="s">
        <v>1674</v>
      </c>
      <c r="AA170" s="612" t="s">
        <v>1674</v>
      </c>
      <c r="AE170" s="790"/>
      <c r="AF170" s="612" t="s">
        <v>1674</v>
      </c>
      <c r="AG170" s="612" t="s">
        <v>1674</v>
      </c>
      <c r="AH170" s="612" t="s">
        <v>1674</v>
      </c>
      <c r="AI170" s="612" t="s">
        <v>1674</v>
      </c>
      <c r="AJ170" s="612" t="s">
        <v>1674</v>
      </c>
      <c r="AK170" s="612" t="s">
        <v>1674</v>
      </c>
      <c r="AL170" s="612" t="s">
        <v>1674</v>
      </c>
      <c r="AM170" s="612" t="s">
        <v>1674</v>
      </c>
      <c r="AN170" s="612" t="s">
        <v>1674</v>
      </c>
      <c r="AP170">
        <f t="shared" si="4"/>
        <v>0</v>
      </c>
      <c r="AQ170" s="552">
        <f t="shared" si="5"/>
        <v>0</v>
      </c>
    </row>
    <row r="171" spans="1:43" outlineLevel="1" x14ac:dyDescent="0.25">
      <c r="A171" s="612" t="s">
        <v>1674</v>
      </c>
      <c r="B171" s="786">
        <v>0</v>
      </c>
      <c r="C171" s="612" t="s">
        <v>1674</v>
      </c>
      <c r="D171" s="612" t="s">
        <v>5219</v>
      </c>
      <c r="E171" t="s">
        <v>4931</v>
      </c>
      <c r="G171" s="787"/>
      <c r="H171" s="787">
        <v>610.23</v>
      </c>
      <c r="I171" s="787">
        <v>1254.3800000000001</v>
      </c>
      <c r="J171" t="s">
        <v>2584</v>
      </c>
      <c r="K171" s="611">
        <v>8401</v>
      </c>
      <c r="L171" t="s">
        <v>806</v>
      </c>
      <c r="M171" s="614"/>
      <c r="N171" s="788"/>
      <c r="O171" s="612" t="s">
        <v>1674</v>
      </c>
      <c r="P171" s="612" t="s">
        <v>1674</v>
      </c>
      <c r="Q171" s="612" t="s">
        <v>2914</v>
      </c>
      <c r="R171" s="612" t="s">
        <v>1674</v>
      </c>
      <c r="S171" s="612" t="s">
        <v>1674</v>
      </c>
      <c r="T171" s="789">
        <v>19</v>
      </c>
      <c r="U171" s="612" t="s">
        <v>4900</v>
      </c>
      <c r="V171" s="611">
        <v>1503</v>
      </c>
      <c r="W171" s="614"/>
      <c r="Y171" s="612" t="s">
        <v>1674</v>
      </c>
      <c r="AA171" s="612" t="s">
        <v>1674</v>
      </c>
      <c r="AE171" s="790"/>
      <c r="AF171" s="612" t="s">
        <v>1674</v>
      </c>
      <c r="AG171" s="612" t="s">
        <v>1674</v>
      </c>
      <c r="AH171" s="612" t="s">
        <v>1674</v>
      </c>
      <c r="AI171" s="612" t="s">
        <v>1674</v>
      </c>
      <c r="AJ171" s="612" t="s">
        <v>1674</v>
      </c>
      <c r="AK171" s="612" t="s">
        <v>1674</v>
      </c>
      <c r="AL171" s="612" t="s">
        <v>1674</v>
      </c>
      <c r="AM171" s="612" t="s">
        <v>1674</v>
      </c>
      <c r="AN171" s="612" t="s">
        <v>1674</v>
      </c>
      <c r="AP171">
        <f t="shared" si="4"/>
        <v>0</v>
      </c>
      <c r="AQ171" s="552">
        <f t="shared" si="5"/>
        <v>-1254.3800000000001</v>
      </c>
    </row>
    <row r="172" spans="1:43" outlineLevel="1" x14ac:dyDescent="0.25">
      <c r="A172" s="612" t="s">
        <v>1674</v>
      </c>
      <c r="B172" s="786">
        <v>11203</v>
      </c>
      <c r="C172" s="612" t="s">
        <v>2841</v>
      </c>
      <c r="D172" s="612" t="s">
        <v>3486</v>
      </c>
      <c r="E172" t="s">
        <v>3487</v>
      </c>
      <c r="F172" t="s">
        <v>3488</v>
      </c>
      <c r="G172" s="787">
        <v>1128.1199999999999</v>
      </c>
      <c r="H172" s="787"/>
      <c r="I172" s="787">
        <v>1128.1199999999999</v>
      </c>
      <c r="J172" t="s">
        <v>2701</v>
      </c>
      <c r="K172" s="611">
        <v>8400</v>
      </c>
      <c r="L172" t="s">
        <v>806</v>
      </c>
      <c r="M172" s="614"/>
      <c r="N172" s="788">
        <v>-192</v>
      </c>
      <c r="O172" s="612" t="s">
        <v>1674</v>
      </c>
      <c r="P172" s="612" t="s">
        <v>1674</v>
      </c>
      <c r="Q172" s="612" t="s">
        <v>2845</v>
      </c>
      <c r="R172" s="612" t="s">
        <v>1674</v>
      </c>
      <c r="S172" s="612" t="s">
        <v>1674</v>
      </c>
      <c r="T172" s="789">
        <v>19</v>
      </c>
      <c r="U172" s="612" t="s">
        <v>3415</v>
      </c>
      <c r="V172" s="611">
        <v>361</v>
      </c>
      <c r="W172" s="614"/>
      <c r="Y172" s="612" t="s">
        <v>1674</v>
      </c>
      <c r="AA172" s="612" t="s">
        <v>1674</v>
      </c>
      <c r="AE172" s="790"/>
      <c r="AF172" s="612" t="s">
        <v>1674</v>
      </c>
      <c r="AG172" s="612" t="s">
        <v>1674</v>
      </c>
      <c r="AH172" s="612" t="s">
        <v>1674</v>
      </c>
      <c r="AI172" s="612" t="s">
        <v>1674</v>
      </c>
      <c r="AJ172" s="612" t="s">
        <v>1674</v>
      </c>
      <c r="AK172" s="612" t="s">
        <v>1674</v>
      </c>
      <c r="AL172" s="612" t="s">
        <v>1674</v>
      </c>
      <c r="AM172" s="612" t="s">
        <v>2846</v>
      </c>
      <c r="AN172" s="612" t="s">
        <v>1674</v>
      </c>
      <c r="AP172">
        <f t="shared" si="4"/>
        <v>192</v>
      </c>
      <c r="AQ172" s="552">
        <f t="shared" si="5"/>
        <v>1128.1199999999999</v>
      </c>
    </row>
    <row r="173" spans="1:43" outlineLevel="1" x14ac:dyDescent="0.25">
      <c r="A173" s="612" t="s">
        <v>1674</v>
      </c>
      <c r="B173" s="786">
        <v>0</v>
      </c>
      <c r="C173" s="612" t="s">
        <v>1674</v>
      </c>
      <c r="D173" s="612" t="s">
        <v>3689</v>
      </c>
      <c r="E173" t="s">
        <v>3616</v>
      </c>
      <c r="F173" t="s">
        <v>3680</v>
      </c>
      <c r="G173" s="787">
        <v>178.5</v>
      </c>
      <c r="H173" s="787"/>
      <c r="I173" s="787">
        <v>178.5</v>
      </c>
      <c r="J173" t="s">
        <v>2701</v>
      </c>
      <c r="K173" s="611">
        <v>8400</v>
      </c>
      <c r="L173" t="s">
        <v>806</v>
      </c>
      <c r="M173" s="614"/>
      <c r="N173" s="788">
        <v>-87</v>
      </c>
      <c r="O173" s="612" t="s">
        <v>1674</v>
      </c>
      <c r="P173" s="612" t="s">
        <v>1674</v>
      </c>
      <c r="Q173" s="612" t="s">
        <v>2845</v>
      </c>
      <c r="R173" s="612" t="s">
        <v>1674</v>
      </c>
      <c r="S173" s="612" t="s">
        <v>1674</v>
      </c>
      <c r="T173" s="789">
        <v>19</v>
      </c>
      <c r="U173" s="612" t="s">
        <v>3328</v>
      </c>
      <c r="V173" s="611">
        <v>423</v>
      </c>
      <c r="W173" s="614"/>
      <c r="Y173" s="612" t="s">
        <v>1674</v>
      </c>
      <c r="AA173" s="612" t="s">
        <v>1674</v>
      </c>
      <c r="AE173" s="790"/>
      <c r="AF173" s="612" t="s">
        <v>1674</v>
      </c>
      <c r="AG173" s="612" t="s">
        <v>1674</v>
      </c>
      <c r="AH173" s="612" t="s">
        <v>1674</v>
      </c>
      <c r="AI173" s="612" t="s">
        <v>1674</v>
      </c>
      <c r="AJ173" s="612" t="s">
        <v>1674</v>
      </c>
      <c r="AK173" s="612" t="s">
        <v>1674</v>
      </c>
      <c r="AL173" s="612" t="s">
        <v>1674</v>
      </c>
      <c r="AM173" s="612" t="s">
        <v>1674</v>
      </c>
      <c r="AN173" s="612" t="s">
        <v>1674</v>
      </c>
      <c r="AP173">
        <f t="shared" si="4"/>
        <v>87</v>
      </c>
      <c r="AQ173" s="552">
        <f t="shared" si="5"/>
        <v>178.5</v>
      </c>
    </row>
    <row r="174" spans="1:43" outlineLevel="1" x14ac:dyDescent="0.25">
      <c r="A174" s="612" t="s">
        <v>1674</v>
      </c>
      <c r="B174" s="786">
        <v>11206</v>
      </c>
      <c r="C174" s="612" t="s">
        <v>3132</v>
      </c>
      <c r="D174" s="612" t="s">
        <v>5220</v>
      </c>
      <c r="E174" t="s">
        <v>4911</v>
      </c>
      <c r="F174" t="s">
        <v>4912</v>
      </c>
      <c r="G174" s="787">
        <v>2013</v>
      </c>
      <c r="H174" s="787"/>
      <c r="I174" s="787">
        <v>2013</v>
      </c>
      <c r="J174" t="s">
        <v>2701</v>
      </c>
      <c r="K174" s="611">
        <v>8400</v>
      </c>
      <c r="L174" t="s">
        <v>2552</v>
      </c>
      <c r="M174" s="614"/>
      <c r="N174" s="788">
        <v>17</v>
      </c>
      <c r="O174" s="612" t="s">
        <v>1674</v>
      </c>
      <c r="P174" s="612" t="s">
        <v>1674</v>
      </c>
      <c r="Q174" s="612" t="s">
        <v>3134</v>
      </c>
      <c r="R174" s="612" t="s">
        <v>2898</v>
      </c>
      <c r="S174" s="612" t="s">
        <v>1674</v>
      </c>
      <c r="T174" s="789">
        <v>19</v>
      </c>
      <c r="U174" s="612" t="s">
        <v>4900</v>
      </c>
      <c r="V174" s="611">
        <v>1246</v>
      </c>
      <c r="W174" s="614"/>
      <c r="Y174" s="612" t="s">
        <v>1674</v>
      </c>
      <c r="AA174" s="612" t="s">
        <v>1674</v>
      </c>
      <c r="AE174" s="790"/>
      <c r="AF174" s="612" t="s">
        <v>1674</v>
      </c>
      <c r="AG174" s="612" t="s">
        <v>1674</v>
      </c>
      <c r="AH174" s="612" t="s">
        <v>1674</v>
      </c>
      <c r="AI174" s="612" t="s">
        <v>1674</v>
      </c>
      <c r="AJ174" s="612" t="s">
        <v>1674</v>
      </c>
      <c r="AK174" s="612" t="s">
        <v>1674</v>
      </c>
      <c r="AL174" s="612" t="s">
        <v>1674</v>
      </c>
      <c r="AM174" s="612" t="s">
        <v>3135</v>
      </c>
      <c r="AN174" s="612" t="s">
        <v>1674</v>
      </c>
      <c r="AP174">
        <f t="shared" si="4"/>
        <v>-17</v>
      </c>
      <c r="AQ174" s="552">
        <f t="shared" si="5"/>
        <v>2013</v>
      </c>
    </row>
    <row r="175" spans="1:43" outlineLevel="1" x14ac:dyDescent="0.25">
      <c r="A175" s="612" t="s">
        <v>1674</v>
      </c>
      <c r="B175" s="786">
        <v>11211</v>
      </c>
      <c r="C175" s="612" t="s">
        <v>3329</v>
      </c>
      <c r="D175" s="612" t="s">
        <v>3330</v>
      </c>
      <c r="E175" t="s">
        <v>3331</v>
      </c>
      <c r="F175" t="s">
        <v>3332</v>
      </c>
      <c r="G175" s="787">
        <v>10852.8</v>
      </c>
      <c r="H175" s="787"/>
      <c r="I175" s="787"/>
      <c r="J175" t="s">
        <v>806</v>
      </c>
      <c r="K175" s="611" t="s">
        <v>4945</v>
      </c>
      <c r="L175" t="s">
        <v>2552</v>
      </c>
      <c r="M175" s="614"/>
      <c r="N175" s="788">
        <v>-329</v>
      </c>
      <c r="O175" s="612" t="s">
        <v>1674</v>
      </c>
      <c r="P175" s="612" t="s">
        <v>1674</v>
      </c>
      <c r="Q175" s="612" t="s">
        <v>3333</v>
      </c>
      <c r="R175" s="612" t="s">
        <v>2617</v>
      </c>
      <c r="S175" s="612" t="s">
        <v>1674</v>
      </c>
      <c r="T175" s="789">
        <v>19</v>
      </c>
      <c r="U175" s="612" t="s">
        <v>3303</v>
      </c>
      <c r="V175" s="611">
        <v>238</v>
      </c>
      <c r="W175" s="614"/>
      <c r="Y175" s="612" t="s">
        <v>1674</v>
      </c>
      <c r="AA175" s="612" t="s">
        <v>1674</v>
      </c>
      <c r="AE175" s="790"/>
      <c r="AF175" s="612" t="s">
        <v>1674</v>
      </c>
      <c r="AG175" s="612" t="s">
        <v>1674</v>
      </c>
      <c r="AH175" s="612" t="s">
        <v>1674</v>
      </c>
      <c r="AI175" s="612" t="s">
        <v>1674</v>
      </c>
      <c r="AJ175" s="612" t="s">
        <v>1674</v>
      </c>
      <c r="AK175" s="612" t="s">
        <v>1674</v>
      </c>
      <c r="AL175" s="612" t="s">
        <v>1674</v>
      </c>
      <c r="AM175" s="612" t="s">
        <v>3334</v>
      </c>
      <c r="AN175" s="612" t="s">
        <v>1674</v>
      </c>
      <c r="AP175">
        <f t="shared" si="4"/>
        <v>329</v>
      </c>
      <c r="AQ175" s="552">
        <f t="shared" si="5"/>
        <v>0</v>
      </c>
    </row>
    <row r="176" spans="1:43" outlineLevel="1" x14ac:dyDescent="0.25">
      <c r="A176" s="612" t="s">
        <v>1674</v>
      </c>
      <c r="B176" s="786">
        <v>0</v>
      </c>
      <c r="C176" s="612" t="s">
        <v>1674</v>
      </c>
      <c r="D176" s="612" t="s">
        <v>3330</v>
      </c>
      <c r="E176" t="s">
        <v>3335</v>
      </c>
      <c r="G176" s="787"/>
      <c r="H176" s="787">
        <v>10733.74</v>
      </c>
      <c r="I176" s="787">
        <v>119.06</v>
      </c>
      <c r="J176" t="s">
        <v>2701</v>
      </c>
      <c r="K176" s="611">
        <v>1200</v>
      </c>
      <c r="L176" t="s">
        <v>806</v>
      </c>
      <c r="M176" s="614"/>
      <c r="N176" s="788"/>
      <c r="O176" s="612" t="s">
        <v>1674</v>
      </c>
      <c r="P176" s="612" t="s">
        <v>1674</v>
      </c>
      <c r="Q176" s="612" t="s">
        <v>3336</v>
      </c>
      <c r="R176" s="612" t="s">
        <v>1674</v>
      </c>
      <c r="S176" s="612" t="s">
        <v>1674</v>
      </c>
      <c r="T176" s="789"/>
      <c r="U176" s="612" t="s">
        <v>3303</v>
      </c>
      <c r="V176" s="611">
        <v>337</v>
      </c>
      <c r="W176" s="614"/>
      <c r="Y176" s="612" t="s">
        <v>1674</v>
      </c>
      <c r="AA176" s="612" t="s">
        <v>1674</v>
      </c>
      <c r="AE176" s="790"/>
      <c r="AF176" s="612" t="s">
        <v>1674</v>
      </c>
      <c r="AG176" s="612" t="s">
        <v>1674</v>
      </c>
      <c r="AH176" s="612" t="s">
        <v>1674</v>
      </c>
      <c r="AI176" s="612" t="s">
        <v>1674</v>
      </c>
      <c r="AJ176" s="612" t="s">
        <v>1674</v>
      </c>
      <c r="AK176" s="612" t="s">
        <v>1674</v>
      </c>
      <c r="AL176" s="612" t="s">
        <v>1674</v>
      </c>
      <c r="AM176" s="612" t="s">
        <v>1674</v>
      </c>
      <c r="AN176" s="612" t="s">
        <v>1674</v>
      </c>
      <c r="AP176">
        <f t="shared" si="4"/>
        <v>0</v>
      </c>
      <c r="AQ176" s="552">
        <f t="shared" si="5"/>
        <v>119.06</v>
      </c>
    </row>
    <row r="177" spans="1:43" outlineLevel="1" x14ac:dyDescent="0.25">
      <c r="A177" s="612" t="s">
        <v>1674</v>
      </c>
      <c r="B177" s="786">
        <v>0</v>
      </c>
      <c r="C177" s="612" t="s">
        <v>1674</v>
      </c>
      <c r="D177" s="612" t="s">
        <v>3670</v>
      </c>
      <c r="E177" t="s">
        <v>3665</v>
      </c>
      <c r="F177" t="s">
        <v>3666</v>
      </c>
      <c r="G177" s="787">
        <v>773.5</v>
      </c>
      <c r="H177" s="787"/>
      <c r="I177" s="787">
        <v>773.5</v>
      </c>
      <c r="J177" t="s">
        <v>2701</v>
      </c>
      <c r="K177" s="611">
        <v>8403</v>
      </c>
      <c r="L177" t="s">
        <v>806</v>
      </c>
      <c r="M177" s="614"/>
      <c r="N177" s="788">
        <v>-90</v>
      </c>
      <c r="O177" s="612" t="s">
        <v>1674</v>
      </c>
      <c r="P177" s="612" t="s">
        <v>1674</v>
      </c>
      <c r="Q177" s="612" t="s">
        <v>3333</v>
      </c>
      <c r="R177" s="612" t="s">
        <v>1674</v>
      </c>
      <c r="S177" s="612" t="s">
        <v>1674</v>
      </c>
      <c r="T177" s="789">
        <v>19</v>
      </c>
      <c r="U177" s="612" t="s">
        <v>3328</v>
      </c>
      <c r="V177" s="611">
        <v>197</v>
      </c>
      <c r="W177" s="614"/>
      <c r="Y177" s="612" t="s">
        <v>1674</v>
      </c>
      <c r="AA177" s="612" t="s">
        <v>1674</v>
      </c>
      <c r="AE177" s="790"/>
      <c r="AF177" s="612" t="s">
        <v>1674</v>
      </c>
      <c r="AG177" s="612" t="s">
        <v>1674</v>
      </c>
      <c r="AH177" s="612" t="s">
        <v>1674</v>
      </c>
      <c r="AI177" s="612" t="s">
        <v>1674</v>
      </c>
      <c r="AJ177" s="612" t="s">
        <v>1674</v>
      </c>
      <c r="AK177" s="612" t="s">
        <v>1674</v>
      </c>
      <c r="AL177" s="612" t="s">
        <v>1674</v>
      </c>
      <c r="AM177" s="612" t="s">
        <v>1674</v>
      </c>
      <c r="AN177" s="612" t="s">
        <v>1674</v>
      </c>
      <c r="AP177">
        <f t="shared" si="4"/>
        <v>90</v>
      </c>
      <c r="AQ177" s="552">
        <f t="shared" si="5"/>
        <v>773.5</v>
      </c>
    </row>
    <row r="178" spans="1:43" outlineLevel="1" x14ac:dyDescent="0.25">
      <c r="A178" s="612" t="s">
        <v>1674</v>
      </c>
      <c r="B178" s="786">
        <v>11300</v>
      </c>
      <c r="C178" s="612" t="s">
        <v>3550</v>
      </c>
      <c r="D178" s="612" t="s">
        <v>5221</v>
      </c>
      <c r="E178" t="s">
        <v>4990</v>
      </c>
      <c r="F178" t="s">
        <v>4991</v>
      </c>
      <c r="G178" s="787">
        <v>732.33</v>
      </c>
      <c r="H178" s="787"/>
      <c r="I178" s="787">
        <v>732.33</v>
      </c>
      <c r="J178" t="s">
        <v>2701</v>
      </c>
      <c r="K178" s="611">
        <v>8400</v>
      </c>
      <c r="L178" t="s">
        <v>2552</v>
      </c>
      <c r="M178" s="614"/>
      <c r="N178" s="788">
        <v>7</v>
      </c>
      <c r="O178" s="612" t="s">
        <v>1674</v>
      </c>
      <c r="P178" s="612" t="s">
        <v>1674</v>
      </c>
      <c r="Q178" s="612" t="s">
        <v>3552</v>
      </c>
      <c r="R178" s="612" t="s">
        <v>2622</v>
      </c>
      <c r="S178" s="612" t="s">
        <v>1674</v>
      </c>
      <c r="T178" s="789">
        <v>19</v>
      </c>
      <c r="U178" s="612" t="s">
        <v>4900</v>
      </c>
      <c r="V178" s="611">
        <v>523</v>
      </c>
      <c r="W178" s="614"/>
      <c r="Y178" s="612" t="s">
        <v>1674</v>
      </c>
      <c r="AA178" s="612" t="s">
        <v>1674</v>
      </c>
      <c r="AE178" s="790"/>
      <c r="AF178" s="612" t="s">
        <v>1674</v>
      </c>
      <c r="AG178" s="612" t="s">
        <v>1674</v>
      </c>
      <c r="AH178" s="612" t="s">
        <v>1674</v>
      </c>
      <c r="AI178" s="612" t="s">
        <v>1674</v>
      </c>
      <c r="AJ178" s="612" t="s">
        <v>1674</v>
      </c>
      <c r="AK178" s="612" t="s">
        <v>1674</v>
      </c>
      <c r="AL178" s="612" t="s">
        <v>1674</v>
      </c>
      <c r="AM178" s="612" t="s">
        <v>3550</v>
      </c>
      <c r="AN178" s="612" t="s">
        <v>1674</v>
      </c>
      <c r="AP178">
        <f t="shared" si="4"/>
        <v>-7</v>
      </c>
      <c r="AQ178" s="552">
        <f t="shared" si="5"/>
        <v>732.33</v>
      </c>
    </row>
    <row r="179" spans="1:43" outlineLevel="1" x14ac:dyDescent="0.25">
      <c r="A179" s="612" t="s">
        <v>1674</v>
      </c>
      <c r="B179" s="786">
        <v>0</v>
      </c>
      <c r="C179" s="612" t="s">
        <v>1674</v>
      </c>
      <c r="D179" s="612" t="s">
        <v>5222</v>
      </c>
      <c r="E179" t="s">
        <v>5066</v>
      </c>
      <c r="F179" t="s">
        <v>5131</v>
      </c>
      <c r="G179" s="787">
        <v>436.97</v>
      </c>
      <c r="H179" s="787"/>
      <c r="I179" s="787">
        <v>436.97</v>
      </c>
      <c r="J179" t="s">
        <v>2701</v>
      </c>
      <c r="K179" s="611">
        <v>8400</v>
      </c>
      <c r="L179" t="s">
        <v>806</v>
      </c>
      <c r="M179" s="614"/>
      <c r="N179" s="788">
        <v>11</v>
      </c>
      <c r="O179" s="612" t="s">
        <v>1674</v>
      </c>
      <c r="P179" s="612" t="s">
        <v>1674</v>
      </c>
      <c r="Q179" s="612" t="s">
        <v>5223</v>
      </c>
      <c r="R179" s="612" t="s">
        <v>1674</v>
      </c>
      <c r="S179" s="612" t="s">
        <v>1674</v>
      </c>
      <c r="T179" s="789">
        <v>19</v>
      </c>
      <c r="U179" s="612" t="s">
        <v>4900</v>
      </c>
      <c r="V179" s="611">
        <v>834</v>
      </c>
      <c r="W179" s="614"/>
      <c r="Y179" s="612" t="s">
        <v>1674</v>
      </c>
      <c r="AA179" s="612" t="s">
        <v>1674</v>
      </c>
      <c r="AE179" s="790"/>
      <c r="AF179" s="612" t="s">
        <v>1674</v>
      </c>
      <c r="AG179" s="612" t="s">
        <v>1674</v>
      </c>
      <c r="AH179" s="612" t="s">
        <v>1674</v>
      </c>
      <c r="AI179" s="612" t="s">
        <v>1674</v>
      </c>
      <c r="AJ179" s="612" t="s">
        <v>1674</v>
      </c>
      <c r="AK179" s="612" t="s">
        <v>1674</v>
      </c>
      <c r="AL179" s="612" t="s">
        <v>1674</v>
      </c>
      <c r="AM179" s="612" t="s">
        <v>1674</v>
      </c>
      <c r="AN179" s="612" t="s">
        <v>1674</v>
      </c>
      <c r="AP179">
        <f t="shared" si="4"/>
        <v>-11</v>
      </c>
      <c r="AQ179" s="552">
        <f t="shared" si="5"/>
        <v>436.97</v>
      </c>
    </row>
    <row r="180" spans="1:43" outlineLevel="1" x14ac:dyDescent="0.25">
      <c r="A180" s="612" t="s">
        <v>1674</v>
      </c>
      <c r="B180" s="786">
        <v>0</v>
      </c>
      <c r="C180" s="612" t="s">
        <v>1674</v>
      </c>
      <c r="D180" s="612" t="s">
        <v>5224</v>
      </c>
      <c r="E180" t="s">
        <v>4915</v>
      </c>
      <c r="F180" t="s">
        <v>4916</v>
      </c>
      <c r="G180" s="787">
        <v>110.67</v>
      </c>
      <c r="H180" s="787"/>
      <c r="I180" s="787">
        <v>110.67</v>
      </c>
      <c r="J180" t="s">
        <v>2701</v>
      </c>
      <c r="K180" s="611">
        <v>8400</v>
      </c>
      <c r="L180" t="s">
        <v>2552</v>
      </c>
      <c r="M180" s="614"/>
      <c r="N180" s="788">
        <v>18</v>
      </c>
      <c r="O180" s="612" t="s">
        <v>1674</v>
      </c>
      <c r="P180" s="612" t="s">
        <v>1674</v>
      </c>
      <c r="Q180" s="612" t="s">
        <v>3853</v>
      </c>
      <c r="R180" s="612" t="s">
        <v>2622</v>
      </c>
      <c r="S180" s="612" t="s">
        <v>1674</v>
      </c>
      <c r="T180" s="789">
        <v>19</v>
      </c>
      <c r="U180" s="612" t="s">
        <v>4900</v>
      </c>
      <c r="V180" s="611">
        <v>1341</v>
      </c>
      <c r="W180" s="614"/>
      <c r="Y180" s="612" t="s">
        <v>1674</v>
      </c>
      <c r="AA180" s="612" t="s">
        <v>1674</v>
      </c>
      <c r="AE180" s="790"/>
      <c r="AF180" s="612" t="s">
        <v>1674</v>
      </c>
      <c r="AG180" s="612" t="s">
        <v>1674</v>
      </c>
      <c r="AH180" s="612" t="s">
        <v>1674</v>
      </c>
      <c r="AI180" s="612" t="s">
        <v>1674</v>
      </c>
      <c r="AJ180" s="612" t="s">
        <v>1674</v>
      </c>
      <c r="AK180" s="612" t="s">
        <v>1674</v>
      </c>
      <c r="AL180" s="612" t="s">
        <v>1674</v>
      </c>
      <c r="AM180" s="612" t="s">
        <v>1674</v>
      </c>
      <c r="AN180" s="612" t="s">
        <v>1674</v>
      </c>
      <c r="AP180">
        <f t="shared" si="4"/>
        <v>-18</v>
      </c>
      <c r="AQ180" s="552">
        <f t="shared" si="5"/>
        <v>110.67</v>
      </c>
    </row>
    <row r="181" spans="1:43" outlineLevel="1" x14ac:dyDescent="0.25">
      <c r="A181" s="612" t="s">
        <v>1674</v>
      </c>
      <c r="B181" s="786">
        <v>0</v>
      </c>
      <c r="C181" s="612" t="s">
        <v>1674</v>
      </c>
      <c r="D181" s="612" t="s">
        <v>5225</v>
      </c>
      <c r="E181" t="s">
        <v>4962</v>
      </c>
      <c r="G181" s="787"/>
      <c r="H181" s="787">
        <v>145.66</v>
      </c>
      <c r="I181" s="787">
        <v>145.66</v>
      </c>
      <c r="J181" t="s">
        <v>2584</v>
      </c>
      <c r="K181" s="611">
        <v>8400</v>
      </c>
      <c r="L181" t="s">
        <v>806</v>
      </c>
      <c r="M181" s="614"/>
      <c r="N181" s="788"/>
      <c r="O181" s="612" t="s">
        <v>1674</v>
      </c>
      <c r="P181" s="612" t="s">
        <v>1674</v>
      </c>
      <c r="Q181" s="612" t="s">
        <v>5223</v>
      </c>
      <c r="R181" s="612" t="s">
        <v>1674</v>
      </c>
      <c r="S181" s="612" t="s">
        <v>1674</v>
      </c>
      <c r="T181" s="789">
        <v>19</v>
      </c>
      <c r="U181" s="612" t="s">
        <v>4900</v>
      </c>
      <c r="V181" s="611">
        <v>1743</v>
      </c>
      <c r="W181" s="614"/>
      <c r="Y181" s="612" t="s">
        <v>1674</v>
      </c>
      <c r="AA181" s="612" t="s">
        <v>1674</v>
      </c>
      <c r="AE181" s="790"/>
      <c r="AF181" s="612" t="s">
        <v>1674</v>
      </c>
      <c r="AG181" s="612" t="s">
        <v>1674</v>
      </c>
      <c r="AH181" s="612" t="s">
        <v>1674</v>
      </c>
      <c r="AI181" s="612" t="s">
        <v>1674</v>
      </c>
      <c r="AJ181" s="612" t="s">
        <v>1674</v>
      </c>
      <c r="AK181" s="612" t="s">
        <v>1674</v>
      </c>
      <c r="AL181" s="612" t="s">
        <v>1674</v>
      </c>
      <c r="AM181" s="612" t="s">
        <v>1674</v>
      </c>
      <c r="AN181" s="612" t="s">
        <v>1674</v>
      </c>
      <c r="AP181">
        <f t="shared" si="4"/>
        <v>0</v>
      </c>
      <c r="AQ181" s="552">
        <f t="shared" si="5"/>
        <v>-145.66</v>
      </c>
    </row>
    <row r="182" spans="1:43" outlineLevel="1" x14ac:dyDescent="0.25">
      <c r="A182" s="612" t="s">
        <v>1674</v>
      </c>
      <c r="B182" s="786">
        <v>11313</v>
      </c>
      <c r="C182" s="612" t="s">
        <v>3173</v>
      </c>
      <c r="D182" s="612" t="s">
        <v>5226</v>
      </c>
      <c r="E182" t="s">
        <v>4962</v>
      </c>
      <c r="G182" s="787"/>
      <c r="H182" s="787">
        <v>1307.51</v>
      </c>
      <c r="I182" s="787">
        <v>1307.51</v>
      </c>
      <c r="J182" t="s">
        <v>2584</v>
      </c>
      <c r="K182" s="611">
        <v>8400</v>
      </c>
      <c r="L182" t="s">
        <v>806</v>
      </c>
      <c r="M182" s="614"/>
      <c r="N182" s="788"/>
      <c r="O182" s="612" t="s">
        <v>1674</v>
      </c>
      <c r="P182" s="612" t="s">
        <v>1674</v>
      </c>
      <c r="Q182" s="612" t="s">
        <v>3175</v>
      </c>
      <c r="R182" s="612" t="s">
        <v>1674</v>
      </c>
      <c r="S182" s="612" t="s">
        <v>1674</v>
      </c>
      <c r="T182" s="789">
        <v>19</v>
      </c>
      <c r="U182" s="612" t="s">
        <v>4900</v>
      </c>
      <c r="V182" s="611">
        <v>1742</v>
      </c>
      <c r="W182" s="614"/>
      <c r="Y182" s="612" t="s">
        <v>1674</v>
      </c>
      <c r="AA182" s="612" t="s">
        <v>1674</v>
      </c>
      <c r="AE182" s="790"/>
      <c r="AF182" s="612" t="s">
        <v>1674</v>
      </c>
      <c r="AG182" s="612" t="s">
        <v>1674</v>
      </c>
      <c r="AH182" s="612" t="s">
        <v>1674</v>
      </c>
      <c r="AI182" s="612" t="s">
        <v>1674</v>
      </c>
      <c r="AJ182" s="612" t="s">
        <v>1674</v>
      </c>
      <c r="AK182" s="612" t="s">
        <v>1674</v>
      </c>
      <c r="AL182" s="612" t="s">
        <v>1674</v>
      </c>
      <c r="AM182" s="612" t="s">
        <v>3176</v>
      </c>
      <c r="AN182" s="612" t="s">
        <v>1674</v>
      </c>
      <c r="AP182">
        <f t="shared" si="4"/>
        <v>0</v>
      </c>
      <c r="AQ182" s="552">
        <f t="shared" si="5"/>
        <v>-1307.51</v>
      </c>
    </row>
    <row r="183" spans="1:43" outlineLevel="1" x14ac:dyDescent="0.25">
      <c r="A183" s="612" t="s">
        <v>1674</v>
      </c>
      <c r="B183" s="786">
        <v>11314</v>
      </c>
      <c r="C183" s="612" t="s">
        <v>5227</v>
      </c>
      <c r="D183" s="612" t="s">
        <v>5228</v>
      </c>
      <c r="E183" t="s">
        <v>5078</v>
      </c>
      <c r="F183" t="s">
        <v>5079</v>
      </c>
      <c r="G183" s="787">
        <v>1038.28</v>
      </c>
      <c r="H183" s="787"/>
      <c r="I183" s="787">
        <v>1038.28</v>
      </c>
      <c r="J183" t="s">
        <v>2701</v>
      </c>
      <c r="K183" s="611">
        <v>8400</v>
      </c>
      <c r="L183" t="s">
        <v>806</v>
      </c>
      <c r="M183" s="614"/>
      <c r="N183" s="788">
        <v>4</v>
      </c>
      <c r="O183" s="612" t="s">
        <v>1674</v>
      </c>
      <c r="P183" s="612" t="s">
        <v>1674</v>
      </c>
      <c r="Q183" s="612" t="s">
        <v>5229</v>
      </c>
      <c r="R183" s="612" t="s">
        <v>1674</v>
      </c>
      <c r="S183" s="612" t="s">
        <v>1674</v>
      </c>
      <c r="T183" s="789">
        <v>19</v>
      </c>
      <c r="U183" s="612" t="s">
        <v>4900</v>
      </c>
      <c r="V183" s="611">
        <v>428</v>
      </c>
      <c r="W183" s="614"/>
      <c r="Y183" s="612" t="s">
        <v>1674</v>
      </c>
      <c r="AA183" s="612" t="s">
        <v>1674</v>
      </c>
      <c r="AE183" s="790"/>
      <c r="AF183" s="612" t="s">
        <v>1674</v>
      </c>
      <c r="AG183" s="612" t="s">
        <v>1674</v>
      </c>
      <c r="AH183" s="612" t="s">
        <v>1674</v>
      </c>
      <c r="AI183" s="612" t="s">
        <v>1674</v>
      </c>
      <c r="AJ183" s="612" t="s">
        <v>1674</v>
      </c>
      <c r="AK183" s="612" t="s">
        <v>1674</v>
      </c>
      <c r="AL183" s="612" t="s">
        <v>1674</v>
      </c>
      <c r="AM183" s="612" t="s">
        <v>5230</v>
      </c>
      <c r="AN183" s="612" t="s">
        <v>1674</v>
      </c>
      <c r="AP183">
        <f t="shared" si="4"/>
        <v>-4</v>
      </c>
      <c r="AQ183" s="552">
        <f t="shared" si="5"/>
        <v>1038.28</v>
      </c>
    </row>
    <row r="184" spans="1:43" outlineLevel="1" x14ac:dyDescent="0.25">
      <c r="A184" s="612" t="s">
        <v>1674</v>
      </c>
      <c r="B184" s="786">
        <v>11318</v>
      </c>
      <c r="C184" s="612" t="s">
        <v>5231</v>
      </c>
      <c r="D184" s="612" t="s">
        <v>5232</v>
      </c>
      <c r="E184" t="s">
        <v>5124</v>
      </c>
      <c r="F184" t="s">
        <v>5125</v>
      </c>
      <c r="G184" s="787">
        <v>4087.65</v>
      </c>
      <c r="H184" s="787"/>
      <c r="I184" s="787">
        <v>4087.65</v>
      </c>
      <c r="J184" t="s">
        <v>2701</v>
      </c>
      <c r="K184" s="611">
        <v>8400</v>
      </c>
      <c r="L184" t="s">
        <v>806</v>
      </c>
      <c r="M184" s="614"/>
      <c r="N184" s="788">
        <v>2</v>
      </c>
      <c r="O184" s="612" t="s">
        <v>1674</v>
      </c>
      <c r="P184" s="612" t="s">
        <v>1674</v>
      </c>
      <c r="Q184" s="612" t="s">
        <v>5233</v>
      </c>
      <c r="R184" s="612" t="s">
        <v>1674</v>
      </c>
      <c r="S184" s="612" t="s">
        <v>1674</v>
      </c>
      <c r="T184" s="789">
        <v>19</v>
      </c>
      <c r="U184" s="612" t="s">
        <v>4900</v>
      </c>
      <c r="V184" s="611">
        <v>225</v>
      </c>
      <c r="W184" s="614"/>
      <c r="Y184" s="612" t="s">
        <v>1674</v>
      </c>
      <c r="AA184" s="612" t="s">
        <v>1674</v>
      </c>
      <c r="AE184" s="790"/>
      <c r="AF184" s="612" t="s">
        <v>1674</v>
      </c>
      <c r="AG184" s="612" t="s">
        <v>1674</v>
      </c>
      <c r="AH184" s="612" t="s">
        <v>1674</v>
      </c>
      <c r="AI184" s="612" t="s">
        <v>1674</v>
      </c>
      <c r="AJ184" s="612" t="s">
        <v>1674</v>
      </c>
      <c r="AK184" s="612" t="s">
        <v>1674</v>
      </c>
      <c r="AL184" s="612" t="s">
        <v>1674</v>
      </c>
      <c r="AM184" s="612" t="s">
        <v>5234</v>
      </c>
      <c r="AN184" s="612" t="s">
        <v>1674</v>
      </c>
      <c r="AP184">
        <f t="shared" si="4"/>
        <v>-2</v>
      </c>
      <c r="AQ184" s="552">
        <f t="shared" si="5"/>
        <v>4087.65</v>
      </c>
    </row>
    <row r="185" spans="1:43" outlineLevel="1" x14ac:dyDescent="0.25">
      <c r="A185" s="612" t="s">
        <v>1674</v>
      </c>
      <c r="B185" s="786">
        <v>11321</v>
      </c>
      <c r="C185" s="612" t="s">
        <v>3145</v>
      </c>
      <c r="D185" s="612" t="s">
        <v>5235</v>
      </c>
      <c r="E185" t="s">
        <v>5066</v>
      </c>
      <c r="F185" t="s">
        <v>5131</v>
      </c>
      <c r="G185" s="787">
        <v>336.29</v>
      </c>
      <c r="H185" s="787"/>
      <c r="I185" s="787">
        <v>336.29</v>
      </c>
      <c r="J185" t="s">
        <v>2701</v>
      </c>
      <c r="K185" s="611">
        <v>8400</v>
      </c>
      <c r="L185" t="s">
        <v>2552</v>
      </c>
      <c r="M185" s="614"/>
      <c r="N185" s="788">
        <v>11</v>
      </c>
      <c r="O185" s="612" t="s">
        <v>1674</v>
      </c>
      <c r="P185" s="612" t="s">
        <v>1674</v>
      </c>
      <c r="Q185" s="612" t="s">
        <v>3147</v>
      </c>
      <c r="R185" s="612" t="s">
        <v>2622</v>
      </c>
      <c r="S185" s="612" t="s">
        <v>1674</v>
      </c>
      <c r="T185" s="789">
        <v>19</v>
      </c>
      <c r="U185" s="612" t="s">
        <v>4900</v>
      </c>
      <c r="V185" s="611">
        <v>830</v>
      </c>
      <c r="W185" s="614"/>
      <c r="Y185" s="612" t="s">
        <v>1674</v>
      </c>
      <c r="AA185" s="612" t="s">
        <v>1674</v>
      </c>
      <c r="AE185" s="790"/>
      <c r="AF185" s="612" t="s">
        <v>1674</v>
      </c>
      <c r="AG185" s="612" t="s">
        <v>1674</v>
      </c>
      <c r="AH185" s="612" t="s">
        <v>1674</v>
      </c>
      <c r="AI185" s="612" t="s">
        <v>1674</v>
      </c>
      <c r="AJ185" s="612" t="s">
        <v>1674</v>
      </c>
      <c r="AK185" s="612" t="s">
        <v>1674</v>
      </c>
      <c r="AL185" s="612" t="s">
        <v>1674</v>
      </c>
      <c r="AM185" s="612" t="s">
        <v>3148</v>
      </c>
      <c r="AN185" s="612" t="s">
        <v>1674</v>
      </c>
      <c r="AP185">
        <f t="shared" si="4"/>
        <v>-11</v>
      </c>
      <c r="AQ185" s="552">
        <f t="shared" si="5"/>
        <v>336.29</v>
      </c>
    </row>
    <row r="186" spans="1:43" outlineLevel="1" x14ac:dyDescent="0.25">
      <c r="A186" s="612" t="s">
        <v>1674</v>
      </c>
      <c r="B186" s="786">
        <v>11600</v>
      </c>
      <c r="C186" s="612" t="s">
        <v>2782</v>
      </c>
      <c r="D186" s="612" t="s">
        <v>3072</v>
      </c>
      <c r="E186" t="s">
        <v>2902</v>
      </c>
      <c r="F186" t="s">
        <v>3000</v>
      </c>
      <c r="G186" s="787">
        <v>6354.6</v>
      </c>
      <c r="H186" s="787"/>
      <c r="I186" s="787">
        <v>6354.6</v>
      </c>
      <c r="J186" t="s">
        <v>2701</v>
      </c>
      <c r="K186" s="611" t="s">
        <v>4945</v>
      </c>
      <c r="L186" t="s">
        <v>2552</v>
      </c>
      <c r="M186" s="614"/>
      <c r="N186" s="788">
        <v>-353</v>
      </c>
      <c r="O186" s="612" t="s">
        <v>1674</v>
      </c>
      <c r="P186" s="612" t="s">
        <v>1674</v>
      </c>
      <c r="Q186" s="612" t="s">
        <v>2786</v>
      </c>
      <c r="R186" s="612" t="s">
        <v>2617</v>
      </c>
      <c r="S186" s="612" t="s">
        <v>1674</v>
      </c>
      <c r="T186" s="789">
        <v>19</v>
      </c>
      <c r="U186" s="612" t="s">
        <v>2700</v>
      </c>
      <c r="V186" s="611">
        <v>196</v>
      </c>
      <c r="W186" s="614"/>
      <c r="Y186" s="612" t="s">
        <v>1674</v>
      </c>
      <c r="AA186" s="612" t="s">
        <v>1674</v>
      </c>
      <c r="AE186" s="790"/>
      <c r="AF186" s="612" t="s">
        <v>1674</v>
      </c>
      <c r="AG186" s="612" t="s">
        <v>1674</v>
      </c>
      <c r="AH186" s="612" t="s">
        <v>1674</v>
      </c>
      <c r="AI186" s="612" t="s">
        <v>1674</v>
      </c>
      <c r="AJ186" s="612" t="s">
        <v>1674</v>
      </c>
      <c r="AK186" s="612" t="s">
        <v>1674</v>
      </c>
      <c r="AL186" s="612" t="s">
        <v>1674</v>
      </c>
      <c r="AM186" s="612" t="s">
        <v>2782</v>
      </c>
      <c r="AN186" s="612" t="s">
        <v>1674</v>
      </c>
      <c r="AP186">
        <f t="shared" si="4"/>
        <v>353</v>
      </c>
      <c r="AQ186" s="552">
        <f t="shared" si="5"/>
        <v>6354.6</v>
      </c>
    </row>
    <row r="187" spans="1:43" outlineLevel="1" x14ac:dyDescent="0.25">
      <c r="A187" s="612" t="s">
        <v>1674</v>
      </c>
      <c r="B187" s="786">
        <v>0</v>
      </c>
      <c r="C187" s="612" t="s">
        <v>1674</v>
      </c>
      <c r="D187" s="612" t="s">
        <v>3359</v>
      </c>
      <c r="E187" t="s">
        <v>3360</v>
      </c>
      <c r="F187" t="s">
        <v>3361</v>
      </c>
      <c r="G187" s="787">
        <v>7854</v>
      </c>
      <c r="H187" s="787"/>
      <c r="I187" s="787">
        <v>7854</v>
      </c>
      <c r="J187" t="s">
        <v>2701</v>
      </c>
      <c r="K187" s="611" t="s">
        <v>4945</v>
      </c>
      <c r="L187" t="s">
        <v>2552</v>
      </c>
      <c r="M187" s="614"/>
      <c r="N187" s="788">
        <v>-287</v>
      </c>
      <c r="O187" s="612" t="s">
        <v>1674</v>
      </c>
      <c r="P187" s="612" t="s">
        <v>1674</v>
      </c>
      <c r="Q187" s="612" t="s">
        <v>2786</v>
      </c>
      <c r="R187" s="612" t="s">
        <v>2617</v>
      </c>
      <c r="S187" s="612" t="s">
        <v>1674</v>
      </c>
      <c r="T187" s="789">
        <v>19</v>
      </c>
      <c r="U187" s="612" t="s">
        <v>3306</v>
      </c>
      <c r="V187" s="611">
        <v>926</v>
      </c>
      <c r="W187" s="614"/>
      <c r="Y187" s="612" t="s">
        <v>1674</v>
      </c>
      <c r="AA187" s="612" t="s">
        <v>1674</v>
      </c>
      <c r="AE187" s="790"/>
      <c r="AF187" s="612" t="s">
        <v>1674</v>
      </c>
      <c r="AG187" s="612" t="s">
        <v>1674</v>
      </c>
      <c r="AH187" s="612" t="s">
        <v>1674</v>
      </c>
      <c r="AI187" s="612" t="s">
        <v>1674</v>
      </c>
      <c r="AJ187" s="612" t="s">
        <v>1674</v>
      </c>
      <c r="AK187" s="612" t="s">
        <v>1674</v>
      </c>
      <c r="AL187" s="612" t="s">
        <v>1674</v>
      </c>
      <c r="AM187" s="612" t="s">
        <v>1674</v>
      </c>
      <c r="AN187" s="612" t="s">
        <v>1674</v>
      </c>
      <c r="AP187">
        <f t="shared" si="4"/>
        <v>287</v>
      </c>
      <c r="AQ187" s="552">
        <f t="shared" si="5"/>
        <v>7854</v>
      </c>
    </row>
    <row r="188" spans="1:43" outlineLevel="1" x14ac:dyDescent="0.25">
      <c r="A188" s="612" t="s">
        <v>1674</v>
      </c>
      <c r="B188" s="786">
        <v>0</v>
      </c>
      <c r="C188" s="612" t="s">
        <v>1674</v>
      </c>
      <c r="D188" s="612" t="s">
        <v>3365</v>
      </c>
      <c r="E188" t="s">
        <v>3344</v>
      </c>
      <c r="F188" t="s">
        <v>3364</v>
      </c>
      <c r="G188" s="787">
        <v>7854</v>
      </c>
      <c r="H188" s="787"/>
      <c r="I188" s="787">
        <v>7854</v>
      </c>
      <c r="J188" t="s">
        <v>2701</v>
      </c>
      <c r="K188" s="611" t="s">
        <v>4945</v>
      </c>
      <c r="L188" t="s">
        <v>2552</v>
      </c>
      <c r="M188" s="614"/>
      <c r="N188" s="788">
        <v>-283</v>
      </c>
      <c r="O188" s="612" t="s">
        <v>1674</v>
      </c>
      <c r="P188" s="612" t="s">
        <v>1674</v>
      </c>
      <c r="Q188" s="612" t="s">
        <v>2786</v>
      </c>
      <c r="R188" s="612" t="s">
        <v>2617</v>
      </c>
      <c r="S188" s="612" t="s">
        <v>1674</v>
      </c>
      <c r="T188" s="789">
        <v>19</v>
      </c>
      <c r="U188" s="612" t="s">
        <v>3306</v>
      </c>
      <c r="V188" s="611">
        <v>1224</v>
      </c>
      <c r="W188" s="614"/>
      <c r="Y188" s="612" t="s">
        <v>1674</v>
      </c>
      <c r="AA188" s="612" t="s">
        <v>1674</v>
      </c>
      <c r="AE188" s="790"/>
      <c r="AF188" s="612" t="s">
        <v>1674</v>
      </c>
      <c r="AG188" s="612" t="s">
        <v>1674</v>
      </c>
      <c r="AH188" s="612" t="s">
        <v>1674</v>
      </c>
      <c r="AI188" s="612" t="s">
        <v>1674</v>
      </c>
      <c r="AJ188" s="612" t="s">
        <v>1674</v>
      </c>
      <c r="AK188" s="612" t="s">
        <v>1674</v>
      </c>
      <c r="AL188" s="612" t="s">
        <v>1674</v>
      </c>
      <c r="AM188" s="612" t="s">
        <v>1674</v>
      </c>
      <c r="AN188" s="612" t="s">
        <v>1674</v>
      </c>
      <c r="AP188">
        <f t="shared" si="4"/>
        <v>283</v>
      </c>
      <c r="AQ188" s="552">
        <f t="shared" si="5"/>
        <v>7854</v>
      </c>
    </row>
    <row r="189" spans="1:43" outlineLevel="1" x14ac:dyDescent="0.25">
      <c r="A189" s="612" t="s">
        <v>1674</v>
      </c>
      <c r="B189" s="786">
        <v>0</v>
      </c>
      <c r="C189" s="612" t="s">
        <v>1674</v>
      </c>
      <c r="D189" s="612" t="s">
        <v>3366</v>
      </c>
      <c r="E189" t="s">
        <v>3367</v>
      </c>
      <c r="F189" t="s">
        <v>3368</v>
      </c>
      <c r="G189" s="787">
        <v>2130.1</v>
      </c>
      <c r="H189" s="787"/>
      <c r="I189" s="787">
        <v>2130.1</v>
      </c>
      <c r="J189" t="s">
        <v>2701</v>
      </c>
      <c r="K189" s="611" t="s">
        <v>4945</v>
      </c>
      <c r="L189" t="s">
        <v>2552</v>
      </c>
      <c r="M189" s="614"/>
      <c r="N189" s="788">
        <v>-278</v>
      </c>
      <c r="O189" s="612" t="s">
        <v>1674</v>
      </c>
      <c r="P189" s="612" t="s">
        <v>1674</v>
      </c>
      <c r="Q189" s="612" t="s">
        <v>2786</v>
      </c>
      <c r="R189" s="612" t="s">
        <v>1674</v>
      </c>
      <c r="S189" s="612" t="s">
        <v>1674</v>
      </c>
      <c r="T189" s="789">
        <v>19</v>
      </c>
      <c r="U189" s="612" t="s">
        <v>3306</v>
      </c>
      <c r="V189" s="611">
        <v>1487</v>
      </c>
      <c r="W189" s="614"/>
      <c r="Y189" s="612" t="s">
        <v>1674</v>
      </c>
      <c r="AA189" s="612" t="s">
        <v>1674</v>
      </c>
      <c r="AE189" s="790"/>
      <c r="AF189" s="612" t="s">
        <v>1674</v>
      </c>
      <c r="AG189" s="612" t="s">
        <v>1674</v>
      </c>
      <c r="AH189" s="612" t="s">
        <v>1674</v>
      </c>
      <c r="AI189" s="612" t="s">
        <v>1674</v>
      </c>
      <c r="AJ189" s="612" t="s">
        <v>1674</v>
      </c>
      <c r="AK189" s="612" t="s">
        <v>1674</v>
      </c>
      <c r="AL189" s="612" t="s">
        <v>1674</v>
      </c>
      <c r="AM189" s="612" t="s">
        <v>1674</v>
      </c>
      <c r="AN189" s="612" t="s">
        <v>1674</v>
      </c>
      <c r="AP189">
        <f t="shared" si="4"/>
        <v>278</v>
      </c>
      <c r="AQ189" s="552">
        <f t="shared" si="5"/>
        <v>2130.1</v>
      </c>
    </row>
    <row r="190" spans="1:43" outlineLevel="1" x14ac:dyDescent="0.25">
      <c r="A190" s="612" t="s">
        <v>1674</v>
      </c>
      <c r="B190" s="786">
        <v>0</v>
      </c>
      <c r="C190" s="612" t="s">
        <v>1674</v>
      </c>
      <c r="D190" s="612" t="s">
        <v>3378</v>
      </c>
      <c r="E190" t="s">
        <v>3379</v>
      </c>
      <c r="F190" t="s">
        <v>3380</v>
      </c>
      <c r="G190" s="787">
        <v>4260.2</v>
      </c>
      <c r="H190" s="787"/>
      <c r="I190" s="787">
        <v>4260.2</v>
      </c>
      <c r="J190" t="s">
        <v>2701</v>
      </c>
      <c r="K190" s="611" t="s">
        <v>4945</v>
      </c>
      <c r="L190" t="s">
        <v>2552</v>
      </c>
      <c r="M190" s="614"/>
      <c r="N190" s="788">
        <v>-270</v>
      </c>
      <c r="O190" s="612" t="s">
        <v>1674</v>
      </c>
      <c r="P190" s="612" t="s">
        <v>1674</v>
      </c>
      <c r="Q190" s="612" t="s">
        <v>2786</v>
      </c>
      <c r="R190" s="612" t="s">
        <v>1674</v>
      </c>
      <c r="S190" s="612" t="s">
        <v>1674</v>
      </c>
      <c r="T190" s="789">
        <v>19</v>
      </c>
      <c r="U190" s="612" t="s">
        <v>3309</v>
      </c>
      <c r="V190" s="611">
        <v>357</v>
      </c>
      <c r="W190" s="614"/>
      <c r="Y190" s="612" t="s">
        <v>1674</v>
      </c>
      <c r="AA190" s="612" t="s">
        <v>1674</v>
      </c>
      <c r="AE190" s="790"/>
      <c r="AF190" s="612" t="s">
        <v>1674</v>
      </c>
      <c r="AG190" s="612" t="s">
        <v>1674</v>
      </c>
      <c r="AH190" s="612" t="s">
        <v>1674</v>
      </c>
      <c r="AI190" s="612" t="s">
        <v>1674</v>
      </c>
      <c r="AJ190" s="612" t="s">
        <v>1674</v>
      </c>
      <c r="AK190" s="612" t="s">
        <v>1674</v>
      </c>
      <c r="AL190" s="612" t="s">
        <v>1674</v>
      </c>
      <c r="AM190" s="612" t="s">
        <v>1674</v>
      </c>
      <c r="AN190" s="612" t="s">
        <v>1674</v>
      </c>
      <c r="AP190">
        <f t="shared" si="4"/>
        <v>270</v>
      </c>
      <c r="AQ190" s="552">
        <f t="shared" si="5"/>
        <v>4260.2</v>
      </c>
    </row>
    <row r="191" spans="1:43" outlineLevel="1" x14ac:dyDescent="0.25">
      <c r="A191" s="612" t="s">
        <v>1674</v>
      </c>
      <c r="B191" s="786">
        <v>0</v>
      </c>
      <c r="C191" s="612" t="s">
        <v>1674</v>
      </c>
      <c r="D191" s="612" t="s">
        <v>3432</v>
      </c>
      <c r="E191" t="s">
        <v>3387</v>
      </c>
      <c r="F191" t="s">
        <v>3433</v>
      </c>
      <c r="G191" s="787">
        <v>7639.8</v>
      </c>
      <c r="H191" s="787"/>
      <c r="I191" s="787">
        <v>7639.8</v>
      </c>
      <c r="J191" t="s">
        <v>2701</v>
      </c>
      <c r="K191" s="611" t="s">
        <v>4945</v>
      </c>
      <c r="L191" t="s">
        <v>2552</v>
      </c>
      <c r="M191" s="614"/>
      <c r="N191" s="788">
        <v>-234</v>
      </c>
      <c r="O191" s="612" t="s">
        <v>1674</v>
      </c>
      <c r="P191" s="612" t="s">
        <v>1674</v>
      </c>
      <c r="Q191" s="612" t="s">
        <v>2786</v>
      </c>
      <c r="R191" s="612" t="s">
        <v>2617</v>
      </c>
      <c r="S191" s="612" t="s">
        <v>1674</v>
      </c>
      <c r="T191" s="789">
        <v>19</v>
      </c>
      <c r="U191" s="612" t="s">
        <v>3312</v>
      </c>
      <c r="V191" s="611">
        <v>873</v>
      </c>
      <c r="W191" s="614"/>
      <c r="Y191" s="612" t="s">
        <v>1674</v>
      </c>
      <c r="AA191" s="612" t="s">
        <v>1674</v>
      </c>
      <c r="AE191" s="790"/>
      <c r="AF191" s="612" t="s">
        <v>1674</v>
      </c>
      <c r="AG191" s="612" t="s">
        <v>1674</v>
      </c>
      <c r="AH191" s="612" t="s">
        <v>1674</v>
      </c>
      <c r="AI191" s="612" t="s">
        <v>1674</v>
      </c>
      <c r="AJ191" s="612" t="s">
        <v>1674</v>
      </c>
      <c r="AK191" s="612" t="s">
        <v>1674</v>
      </c>
      <c r="AL191" s="612" t="s">
        <v>1674</v>
      </c>
      <c r="AM191" s="612" t="s">
        <v>1674</v>
      </c>
      <c r="AN191" s="612" t="s">
        <v>1674</v>
      </c>
      <c r="AP191">
        <f t="shared" si="4"/>
        <v>234</v>
      </c>
      <c r="AQ191" s="552">
        <f t="shared" si="5"/>
        <v>7639.8</v>
      </c>
    </row>
    <row r="192" spans="1:43" outlineLevel="1" x14ac:dyDescent="0.25">
      <c r="A192" s="612" t="s">
        <v>1674</v>
      </c>
      <c r="B192" s="786">
        <v>0</v>
      </c>
      <c r="C192" s="612" t="s">
        <v>1674</v>
      </c>
      <c r="D192" s="612" t="s">
        <v>3436</v>
      </c>
      <c r="E192" t="s">
        <v>3437</v>
      </c>
      <c r="F192" t="s">
        <v>3438</v>
      </c>
      <c r="G192" s="787">
        <v>6390.3</v>
      </c>
      <c r="H192" s="787"/>
      <c r="I192" s="787">
        <v>6390.3</v>
      </c>
      <c r="J192" t="s">
        <v>2701</v>
      </c>
      <c r="K192" s="611" t="s">
        <v>4945</v>
      </c>
      <c r="L192" t="s">
        <v>2552</v>
      </c>
      <c r="M192" s="614"/>
      <c r="N192" s="788">
        <v>-231</v>
      </c>
      <c r="O192" s="612" t="s">
        <v>1674</v>
      </c>
      <c r="P192" s="612" t="s">
        <v>1674</v>
      </c>
      <c r="Q192" s="612" t="s">
        <v>2786</v>
      </c>
      <c r="R192" s="612" t="s">
        <v>1674</v>
      </c>
      <c r="S192" s="612" t="s">
        <v>1674</v>
      </c>
      <c r="T192" s="789">
        <v>19</v>
      </c>
      <c r="U192" s="612" t="s">
        <v>3312</v>
      </c>
      <c r="V192" s="611">
        <v>960</v>
      </c>
      <c r="W192" s="614"/>
      <c r="Y192" s="612" t="s">
        <v>1674</v>
      </c>
      <c r="AA192" s="612" t="s">
        <v>1674</v>
      </c>
      <c r="AE192" s="790"/>
      <c r="AF192" s="612" t="s">
        <v>1674</v>
      </c>
      <c r="AG192" s="612" t="s">
        <v>1674</v>
      </c>
      <c r="AH192" s="612" t="s">
        <v>1674</v>
      </c>
      <c r="AI192" s="612" t="s">
        <v>1674</v>
      </c>
      <c r="AJ192" s="612" t="s">
        <v>1674</v>
      </c>
      <c r="AK192" s="612" t="s">
        <v>1674</v>
      </c>
      <c r="AL192" s="612" t="s">
        <v>1674</v>
      </c>
      <c r="AM192" s="612" t="s">
        <v>1674</v>
      </c>
      <c r="AN192" s="612" t="s">
        <v>1674</v>
      </c>
      <c r="AP192">
        <f t="shared" si="4"/>
        <v>231</v>
      </c>
      <c r="AQ192" s="552">
        <f t="shared" si="5"/>
        <v>6390.3</v>
      </c>
    </row>
    <row r="193" spans="1:43" outlineLevel="1" x14ac:dyDescent="0.25">
      <c r="A193" s="612" t="s">
        <v>1674</v>
      </c>
      <c r="B193" s="786">
        <v>0</v>
      </c>
      <c r="C193" s="612" t="s">
        <v>1674</v>
      </c>
      <c r="D193" s="612" t="s">
        <v>3476</v>
      </c>
      <c r="E193" t="s">
        <v>3477</v>
      </c>
      <c r="F193" t="s">
        <v>3478</v>
      </c>
      <c r="G193" s="787">
        <v>7639.8</v>
      </c>
      <c r="H193" s="787"/>
      <c r="I193" s="787">
        <v>7639.8</v>
      </c>
      <c r="J193" t="s">
        <v>2701</v>
      </c>
      <c r="K193" s="611" t="s">
        <v>4945</v>
      </c>
      <c r="L193" t="s">
        <v>2552</v>
      </c>
      <c r="M193" s="614"/>
      <c r="N193" s="788">
        <v>-194</v>
      </c>
      <c r="O193" s="612" t="s">
        <v>1674</v>
      </c>
      <c r="P193" s="612" t="s">
        <v>1674</v>
      </c>
      <c r="Q193" s="612" t="s">
        <v>3479</v>
      </c>
      <c r="R193" s="612" t="s">
        <v>2617</v>
      </c>
      <c r="S193" s="612" t="s">
        <v>1674</v>
      </c>
      <c r="T193" s="789">
        <v>19</v>
      </c>
      <c r="U193" s="612" t="s">
        <v>3415</v>
      </c>
      <c r="V193" s="611">
        <v>306</v>
      </c>
      <c r="W193" s="614"/>
      <c r="Y193" s="612" t="s">
        <v>1674</v>
      </c>
      <c r="AA193" s="612" t="s">
        <v>1674</v>
      </c>
      <c r="AE193" s="790"/>
      <c r="AF193" s="612" t="s">
        <v>1674</v>
      </c>
      <c r="AG193" s="612" t="s">
        <v>1674</v>
      </c>
      <c r="AH193" s="612" t="s">
        <v>1674</v>
      </c>
      <c r="AI193" s="612" t="s">
        <v>1674</v>
      </c>
      <c r="AJ193" s="612" t="s">
        <v>1674</v>
      </c>
      <c r="AK193" s="612" t="s">
        <v>1674</v>
      </c>
      <c r="AL193" s="612" t="s">
        <v>1674</v>
      </c>
      <c r="AM193" s="612" t="s">
        <v>1674</v>
      </c>
      <c r="AN193" s="612" t="s">
        <v>1674</v>
      </c>
      <c r="AP193">
        <f t="shared" si="4"/>
        <v>194</v>
      </c>
      <c r="AQ193" s="552">
        <f t="shared" si="5"/>
        <v>7639.8</v>
      </c>
    </row>
    <row r="194" spans="1:43" outlineLevel="1" x14ac:dyDescent="0.25">
      <c r="A194" s="612" t="s">
        <v>1674</v>
      </c>
      <c r="B194" s="786">
        <v>0</v>
      </c>
      <c r="C194" s="612" t="s">
        <v>1674</v>
      </c>
      <c r="D194" s="612" t="s">
        <v>3557</v>
      </c>
      <c r="E194" t="s">
        <v>3558</v>
      </c>
      <c r="F194" t="s">
        <v>3318</v>
      </c>
      <c r="G194" s="787">
        <v>3195.15</v>
      </c>
      <c r="H194" s="787"/>
      <c r="I194" s="787">
        <v>3195.15</v>
      </c>
      <c r="J194" t="s">
        <v>2701</v>
      </c>
      <c r="K194" s="611" t="s">
        <v>4945</v>
      </c>
      <c r="L194" t="s">
        <v>2552</v>
      </c>
      <c r="M194" s="614"/>
      <c r="N194" s="788">
        <v>-153</v>
      </c>
      <c r="O194" s="612" t="s">
        <v>1674</v>
      </c>
      <c r="P194" s="612" t="s">
        <v>1674</v>
      </c>
      <c r="Q194" s="612" t="s">
        <v>2786</v>
      </c>
      <c r="R194" s="612" t="s">
        <v>1674</v>
      </c>
      <c r="S194" s="612" t="s">
        <v>1674</v>
      </c>
      <c r="T194" s="789">
        <v>19</v>
      </c>
      <c r="U194" s="612" t="s">
        <v>3320</v>
      </c>
      <c r="V194" s="611">
        <v>94</v>
      </c>
      <c r="W194" s="614"/>
      <c r="Y194" s="612" t="s">
        <v>1674</v>
      </c>
      <c r="AA194" s="612" t="s">
        <v>1674</v>
      </c>
      <c r="AE194" s="790"/>
      <c r="AF194" s="612" t="s">
        <v>1674</v>
      </c>
      <c r="AG194" s="612" t="s">
        <v>1674</v>
      </c>
      <c r="AH194" s="612" t="s">
        <v>1674</v>
      </c>
      <c r="AI194" s="612" t="s">
        <v>1674</v>
      </c>
      <c r="AJ194" s="612" t="s">
        <v>1674</v>
      </c>
      <c r="AK194" s="612" t="s">
        <v>1674</v>
      </c>
      <c r="AL194" s="612" t="s">
        <v>1674</v>
      </c>
      <c r="AM194" s="612" t="s">
        <v>1674</v>
      </c>
      <c r="AN194" s="612" t="s">
        <v>1674</v>
      </c>
      <c r="AP194">
        <f t="shared" si="4"/>
        <v>153</v>
      </c>
      <c r="AQ194" s="552">
        <f t="shared" si="5"/>
        <v>3195.15</v>
      </c>
    </row>
    <row r="195" spans="1:43" outlineLevel="1" x14ac:dyDescent="0.25">
      <c r="A195" s="612" t="s">
        <v>1674</v>
      </c>
      <c r="B195" s="786">
        <v>0</v>
      </c>
      <c r="C195" s="612" t="s">
        <v>1674</v>
      </c>
      <c r="D195" s="612" t="s">
        <v>3577</v>
      </c>
      <c r="E195" t="s">
        <v>3576</v>
      </c>
      <c r="F195" t="s">
        <v>3578</v>
      </c>
      <c r="G195" s="787">
        <v>7639.8</v>
      </c>
      <c r="H195" s="787"/>
      <c r="I195" s="787">
        <v>7639.8</v>
      </c>
      <c r="J195" t="s">
        <v>2701</v>
      </c>
      <c r="K195" s="611" t="s">
        <v>4945</v>
      </c>
      <c r="L195" t="s">
        <v>2552</v>
      </c>
      <c r="M195" s="614"/>
      <c r="N195" s="788">
        <v>-139</v>
      </c>
      <c r="O195" s="612" t="s">
        <v>1674</v>
      </c>
      <c r="P195" s="612" t="s">
        <v>1674</v>
      </c>
      <c r="Q195" s="612" t="s">
        <v>2786</v>
      </c>
      <c r="R195" s="612" t="s">
        <v>2617</v>
      </c>
      <c r="S195" s="612" t="s">
        <v>1674</v>
      </c>
      <c r="T195" s="789">
        <v>19</v>
      </c>
      <c r="U195" s="612" t="s">
        <v>3320</v>
      </c>
      <c r="V195" s="611">
        <v>917</v>
      </c>
      <c r="W195" s="614"/>
      <c r="Y195" s="612" t="s">
        <v>1674</v>
      </c>
      <c r="AA195" s="612" t="s">
        <v>1674</v>
      </c>
      <c r="AE195" s="790"/>
      <c r="AF195" s="612" t="s">
        <v>1674</v>
      </c>
      <c r="AG195" s="612" t="s">
        <v>1674</v>
      </c>
      <c r="AH195" s="612" t="s">
        <v>1674</v>
      </c>
      <c r="AI195" s="612" t="s">
        <v>1674</v>
      </c>
      <c r="AJ195" s="612" t="s">
        <v>1674</v>
      </c>
      <c r="AK195" s="612" t="s">
        <v>1674</v>
      </c>
      <c r="AL195" s="612" t="s">
        <v>1674</v>
      </c>
      <c r="AM195" s="612" t="s">
        <v>1674</v>
      </c>
      <c r="AN195" s="612" t="s">
        <v>1674</v>
      </c>
      <c r="AP195">
        <f t="shared" ref="AP195:AP258" si="6">IF(F195="",0,$AO$2-F195)</f>
        <v>139</v>
      </c>
      <c r="AQ195" s="552">
        <f t="shared" si="5"/>
        <v>7639.8</v>
      </c>
    </row>
    <row r="196" spans="1:43" outlineLevel="1" x14ac:dyDescent="0.25">
      <c r="A196" s="612" t="s">
        <v>1674</v>
      </c>
      <c r="B196" s="786">
        <v>0</v>
      </c>
      <c r="C196" s="612" t="s">
        <v>1674</v>
      </c>
      <c r="D196" s="612" t="s">
        <v>3608</v>
      </c>
      <c r="E196" t="s">
        <v>3318</v>
      </c>
      <c r="F196" t="s">
        <v>3603</v>
      </c>
      <c r="G196" s="787">
        <v>6390.3</v>
      </c>
      <c r="H196" s="787"/>
      <c r="I196" s="787">
        <v>6390.3</v>
      </c>
      <c r="J196" t="s">
        <v>2701</v>
      </c>
      <c r="K196" s="611" t="s">
        <v>4945</v>
      </c>
      <c r="L196" t="s">
        <v>2552</v>
      </c>
      <c r="M196" s="614"/>
      <c r="N196" s="788">
        <v>-123</v>
      </c>
      <c r="O196" s="612" t="s">
        <v>1674</v>
      </c>
      <c r="P196" s="612" t="s">
        <v>1674</v>
      </c>
      <c r="Q196" s="612" t="s">
        <v>2786</v>
      </c>
      <c r="R196" s="612" t="s">
        <v>2617</v>
      </c>
      <c r="S196" s="612" t="s">
        <v>1674</v>
      </c>
      <c r="T196" s="789">
        <v>19</v>
      </c>
      <c r="U196" s="612" t="s">
        <v>3320</v>
      </c>
      <c r="V196" s="611">
        <v>1810</v>
      </c>
      <c r="W196" s="614"/>
      <c r="Y196" s="612" t="s">
        <v>1674</v>
      </c>
      <c r="AA196" s="612" t="s">
        <v>1674</v>
      </c>
      <c r="AE196" s="790"/>
      <c r="AF196" s="612" t="s">
        <v>1674</v>
      </c>
      <c r="AG196" s="612" t="s">
        <v>1674</v>
      </c>
      <c r="AH196" s="612" t="s">
        <v>1674</v>
      </c>
      <c r="AI196" s="612" t="s">
        <v>1674</v>
      </c>
      <c r="AJ196" s="612" t="s">
        <v>1674</v>
      </c>
      <c r="AK196" s="612" t="s">
        <v>1674</v>
      </c>
      <c r="AL196" s="612" t="s">
        <v>1674</v>
      </c>
      <c r="AM196" s="612" t="s">
        <v>1674</v>
      </c>
      <c r="AN196" s="612" t="s">
        <v>1674</v>
      </c>
      <c r="AP196">
        <f t="shared" si="6"/>
        <v>123</v>
      </c>
      <c r="AQ196" s="552">
        <f t="shared" ref="AQ196:AQ259" si="7">IF(J196="S",+I196,-I196)</f>
        <v>6390.3</v>
      </c>
    </row>
    <row r="197" spans="1:43" outlineLevel="1" x14ac:dyDescent="0.25">
      <c r="A197" s="612" t="s">
        <v>1674</v>
      </c>
      <c r="B197" s="786">
        <v>0</v>
      </c>
      <c r="C197" s="612" t="s">
        <v>1674</v>
      </c>
      <c r="D197" s="612" t="s">
        <v>3645</v>
      </c>
      <c r="E197" t="s">
        <v>3595</v>
      </c>
      <c r="F197" t="s">
        <v>3646</v>
      </c>
      <c r="G197" s="787">
        <v>11459.7</v>
      </c>
      <c r="H197" s="787"/>
      <c r="I197" s="787">
        <v>11459.7</v>
      </c>
      <c r="J197" t="s">
        <v>2701</v>
      </c>
      <c r="K197" s="611" t="s">
        <v>4945</v>
      </c>
      <c r="L197" t="s">
        <v>2552</v>
      </c>
      <c r="M197" s="614"/>
      <c r="N197" s="788">
        <v>-101</v>
      </c>
      <c r="O197" s="612" t="s">
        <v>1674</v>
      </c>
      <c r="P197" s="612" t="s">
        <v>1674</v>
      </c>
      <c r="Q197" s="612" t="s">
        <v>2786</v>
      </c>
      <c r="R197" s="612" t="s">
        <v>2617</v>
      </c>
      <c r="S197" s="612" t="s">
        <v>1674</v>
      </c>
      <c r="T197" s="789">
        <v>19</v>
      </c>
      <c r="U197" s="612" t="s">
        <v>3323</v>
      </c>
      <c r="V197" s="611">
        <v>1141</v>
      </c>
      <c r="W197" s="614"/>
      <c r="Y197" s="612" t="s">
        <v>1674</v>
      </c>
      <c r="AA197" s="612" t="s">
        <v>1674</v>
      </c>
      <c r="AE197" s="790"/>
      <c r="AF197" s="612" t="s">
        <v>1674</v>
      </c>
      <c r="AG197" s="612" t="s">
        <v>1674</v>
      </c>
      <c r="AH197" s="612" t="s">
        <v>1674</v>
      </c>
      <c r="AI197" s="612" t="s">
        <v>1674</v>
      </c>
      <c r="AJ197" s="612" t="s">
        <v>1674</v>
      </c>
      <c r="AK197" s="612" t="s">
        <v>1674</v>
      </c>
      <c r="AL197" s="612" t="s">
        <v>1674</v>
      </c>
      <c r="AM197" s="612" t="s">
        <v>1674</v>
      </c>
      <c r="AN197" s="612" t="s">
        <v>1674</v>
      </c>
      <c r="AP197">
        <f t="shared" si="6"/>
        <v>101</v>
      </c>
      <c r="AQ197" s="552">
        <f t="shared" si="7"/>
        <v>11459.7</v>
      </c>
    </row>
    <row r="198" spans="1:43" outlineLevel="1" x14ac:dyDescent="0.25">
      <c r="A198" s="612" t="s">
        <v>1674</v>
      </c>
      <c r="B198" s="786">
        <v>0</v>
      </c>
      <c r="C198" s="612" t="s">
        <v>1674</v>
      </c>
      <c r="D198" s="612" t="s">
        <v>3746</v>
      </c>
      <c r="E198" t="s">
        <v>3642</v>
      </c>
      <c r="F198" t="s">
        <v>3747</v>
      </c>
      <c r="G198" s="787">
        <v>15279.6</v>
      </c>
      <c r="H198" s="787"/>
      <c r="I198" s="787">
        <v>15279.6</v>
      </c>
      <c r="J198" t="s">
        <v>2701</v>
      </c>
      <c r="K198" s="611" t="s">
        <v>4945</v>
      </c>
      <c r="L198" t="s">
        <v>2552</v>
      </c>
      <c r="M198" s="614"/>
      <c r="N198" s="788">
        <v>-74</v>
      </c>
      <c r="O198" s="612" t="s">
        <v>1674</v>
      </c>
      <c r="P198" s="612" t="s">
        <v>1674</v>
      </c>
      <c r="Q198" s="612" t="s">
        <v>2786</v>
      </c>
      <c r="R198" s="612" t="s">
        <v>2617</v>
      </c>
      <c r="S198" s="612" t="s">
        <v>1674</v>
      </c>
      <c r="T198" s="789">
        <v>19</v>
      </c>
      <c r="U198" s="612" t="s">
        <v>3328</v>
      </c>
      <c r="V198" s="611">
        <v>1127</v>
      </c>
      <c r="W198" s="614"/>
      <c r="Y198" s="612" t="s">
        <v>1674</v>
      </c>
      <c r="AA198" s="612" t="s">
        <v>1674</v>
      </c>
      <c r="AE198" s="790"/>
      <c r="AF198" s="612" t="s">
        <v>1674</v>
      </c>
      <c r="AG198" s="612" t="s">
        <v>1674</v>
      </c>
      <c r="AH198" s="612" t="s">
        <v>1674</v>
      </c>
      <c r="AI198" s="612" t="s">
        <v>1674</v>
      </c>
      <c r="AJ198" s="612" t="s">
        <v>1674</v>
      </c>
      <c r="AK198" s="612" t="s">
        <v>1674</v>
      </c>
      <c r="AL198" s="612" t="s">
        <v>1674</v>
      </c>
      <c r="AM198" s="612" t="s">
        <v>1674</v>
      </c>
      <c r="AN198" s="612" t="s">
        <v>1674</v>
      </c>
      <c r="AP198">
        <f t="shared" si="6"/>
        <v>74</v>
      </c>
      <c r="AQ198" s="552">
        <f t="shared" si="7"/>
        <v>15279.6</v>
      </c>
    </row>
    <row r="199" spans="1:43" outlineLevel="1" x14ac:dyDescent="0.25">
      <c r="A199" s="612" t="s">
        <v>1674</v>
      </c>
      <c r="B199" s="786">
        <v>0</v>
      </c>
      <c r="C199" s="612" t="s">
        <v>1674</v>
      </c>
      <c r="D199" s="612" t="s">
        <v>3754</v>
      </c>
      <c r="E199" t="s">
        <v>3644</v>
      </c>
      <c r="F199" t="s">
        <v>3750</v>
      </c>
      <c r="G199" s="787">
        <v>4260.2</v>
      </c>
      <c r="H199" s="787"/>
      <c r="I199" s="787">
        <v>4260.2</v>
      </c>
      <c r="J199" t="s">
        <v>2701</v>
      </c>
      <c r="K199" s="611" t="s">
        <v>4945</v>
      </c>
      <c r="L199" t="s">
        <v>2552</v>
      </c>
      <c r="M199" s="614"/>
      <c r="N199" s="788">
        <v>-73</v>
      </c>
      <c r="O199" s="612" t="s">
        <v>1674</v>
      </c>
      <c r="P199" s="612" t="s">
        <v>1674</v>
      </c>
      <c r="Q199" s="612" t="s">
        <v>2786</v>
      </c>
      <c r="R199" s="612" t="s">
        <v>2617</v>
      </c>
      <c r="S199" s="612" t="s">
        <v>1674</v>
      </c>
      <c r="T199" s="789">
        <v>19</v>
      </c>
      <c r="U199" s="612" t="s">
        <v>3328</v>
      </c>
      <c r="V199" s="611">
        <v>1205</v>
      </c>
      <c r="W199" s="614"/>
      <c r="Y199" s="612" t="s">
        <v>1674</v>
      </c>
      <c r="AA199" s="612" t="s">
        <v>1674</v>
      </c>
      <c r="AE199" s="790"/>
      <c r="AF199" s="612" t="s">
        <v>1674</v>
      </c>
      <c r="AG199" s="612" t="s">
        <v>1674</v>
      </c>
      <c r="AH199" s="612" t="s">
        <v>1674</v>
      </c>
      <c r="AI199" s="612" t="s">
        <v>1674</v>
      </c>
      <c r="AJ199" s="612" t="s">
        <v>1674</v>
      </c>
      <c r="AK199" s="612" t="s">
        <v>1674</v>
      </c>
      <c r="AL199" s="612" t="s">
        <v>1674</v>
      </c>
      <c r="AM199" s="612" t="s">
        <v>1674</v>
      </c>
      <c r="AN199" s="612" t="s">
        <v>1674</v>
      </c>
      <c r="AP199">
        <f t="shared" si="6"/>
        <v>73</v>
      </c>
      <c r="AQ199" s="552">
        <f t="shared" si="7"/>
        <v>4260.2</v>
      </c>
    </row>
    <row r="200" spans="1:43" outlineLevel="1" x14ac:dyDescent="0.25">
      <c r="A200" s="612" t="s">
        <v>1674</v>
      </c>
      <c r="B200" s="786">
        <v>0</v>
      </c>
      <c r="C200" s="612" t="s">
        <v>1674</v>
      </c>
      <c r="D200" s="612" t="s">
        <v>3755</v>
      </c>
      <c r="E200" t="s">
        <v>3644</v>
      </c>
      <c r="F200" t="s">
        <v>3750</v>
      </c>
      <c r="G200" s="787">
        <v>11459.7</v>
      </c>
      <c r="H200" s="787"/>
      <c r="I200" s="787">
        <v>11459.7</v>
      </c>
      <c r="J200" t="s">
        <v>2701</v>
      </c>
      <c r="K200" s="611" t="s">
        <v>4945</v>
      </c>
      <c r="L200" t="s">
        <v>2552</v>
      </c>
      <c r="M200" s="614"/>
      <c r="N200" s="788">
        <v>-73</v>
      </c>
      <c r="O200" s="612" t="s">
        <v>1674</v>
      </c>
      <c r="P200" s="612" t="s">
        <v>1674</v>
      </c>
      <c r="Q200" s="612" t="s">
        <v>2786</v>
      </c>
      <c r="R200" s="612" t="s">
        <v>2617</v>
      </c>
      <c r="S200" s="612" t="s">
        <v>1674</v>
      </c>
      <c r="T200" s="789">
        <v>19</v>
      </c>
      <c r="U200" s="612" t="s">
        <v>3328</v>
      </c>
      <c r="V200" s="611">
        <v>1208</v>
      </c>
      <c r="W200" s="614"/>
      <c r="Y200" s="612" t="s">
        <v>1674</v>
      </c>
      <c r="AA200" s="612" t="s">
        <v>1674</v>
      </c>
      <c r="AE200" s="790"/>
      <c r="AF200" s="612" t="s">
        <v>1674</v>
      </c>
      <c r="AG200" s="612" t="s">
        <v>1674</v>
      </c>
      <c r="AH200" s="612" t="s">
        <v>1674</v>
      </c>
      <c r="AI200" s="612" t="s">
        <v>1674</v>
      </c>
      <c r="AJ200" s="612" t="s">
        <v>1674</v>
      </c>
      <c r="AK200" s="612" t="s">
        <v>1674</v>
      </c>
      <c r="AL200" s="612" t="s">
        <v>1674</v>
      </c>
      <c r="AM200" s="612" t="s">
        <v>1674</v>
      </c>
      <c r="AN200" s="612" t="s">
        <v>1674</v>
      </c>
      <c r="AP200">
        <f t="shared" si="6"/>
        <v>73</v>
      </c>
      <c r="AQ200" s="552">
        <f t="shared" si="7"/>
        <v>11459.7</v>
      </c>
    </row>
    <row r="201" spans="1:43" outlineLevel="1" x14ac:dyDescent="0.25">
      <c r="A201" s="612" t="s">
        <v>1674</v>
      </c>
      <c r="B201" s="786">
        <v>0</v>
      </c>
      <c r="C201" s="612" t="s">
        <v>1674</v>
      </c>
      <c r="D201" s="612" t="s">
        <v>5236</v>
      </c>
      <c r="E201" t="s">
        <v>5015</v>
      </c>
      <c r="F201" t="s">
        <v>5119</v>
      </c>
      <c r="G201" s="787">
        <v>275.66000000000003</v>
      </c>
      <c r="H201" s="787"/>
      <c r="I201" s="787">
        <v>275.66000000000003</v>
      </c>
      <c r="J201" t="s">
        <v>2701</v>
      </c>
      <c r="K201" s="611" t="s">
        <v>4945</v>
      </c>
      <c r="L201" t="s">
        <v>2552</v>
      </c>
      <c r="M201" s="614"/>
      <c r="N201" s="788">
        <v>-25</v>
      </c>
      <c r="O201" s="612" t="s">
        <v>1674</v>
      </c>
      <c r="P201" s="612" t="s">
        <v>1674</v>
      </c>
      <c r="Q201" s="612" t="s">
        <v>2786</v>
      </c>
      <c r="R201" s="612" t="s">
        <v>2617</v>
      </c>
      <c r="S201" s="612" t="s">
        <v>1674</v>
      </c>
      <c r="T201" s="789">
        <v>19</v>
      </c>
      <c r="U201" s="612" t="s">
        <v>5010</v>
      </c>
      <c r="V201" s="611">
        <v>324</v>
      </c>
      <c r="W201" s="614"/>
      <c r="Y201" s="612" t="s">
        <v>1674</v>
      </c>
      <c r="AA201" s="612" t="s">
        <v>1674</v>
      </c>
      <c r="AE201" s="790"/>
      <c r="AF201" s="612" t="s">
        <v>1674</v>
      </c>
      <c r="AG201" s="612" t="s">
        <v>1674</v>
      </c>
      <c r="AH201" s="612" t="s">
        <v>1674</v>
      </c>
      <c r="AI201" s="612" t="s">
        <v>1674</v>
      </c>
      <c r="AJ201" s="612" t="s">
        <v>1674</v>
      </c>
      <c r="AK201" s="612" t="s">
        <v>1674</v>
      </c>
      <c r="AL201" s="612" t="s">
        <v>1674</v>
      </c>
      <c r="AM201" s="612" t="s">
        <v>1674</v>
      </c>
      <c r="AN201" s="612" t="s">
        <v>1674</v>
      </c>
      <c r="AP201">
        <f t="shared" si="6"/>
        <v>25</v>
      </c>
      <c r="AQ201" s="552">
        <f t="shared" si="7"/>
        <v>275.66000000000003</v>
      </c>
    </row>
    <row r="202" spans="1:43" outlineLevel="1" x14ac:dyDescent="0.25">
      <c r="A202" s="612" t="s">
        <v>1674</v>
      </c>
      <c r="B202" s="786">
        <v>0</v>
      </c>
      <c r="C202" s="612" t="s">
        <v>1674</v>
      </c>
      <c r="D202" s="612" t="s">
        <v>5237</v>
      </c>
      <c r="E202" t="s">
        <v>5015</v>
      </c>
      <c r="F202" t="s">
        <v>5119</v>
      </c>
      <c r="G202" s="787">
        <v>11459.7</v>
      </c>
      <c r="H202" s="787"/>
      <c r="I202" s="787">
        <v>11459.7</v>
      </c>
      <c r="J202" t="s">
        <v>2701</v>
      </c>
      <c r="K202" s="611" t="s">
        <v>4945</v>
      </c>
      <c r="L202" t="s">
        <v>2552</v>
      </c>
      <c r="M202" s="614"/>
      <c r="N202" s="788">
        <v>-25</v>
      </c>
      <c r="O202" s="612" t="s">
        <v>1674</v>
      </c>
      <c r="P202" s="612" t="s">
        <v>1674</v>
      </c>
      <c r="Q202" s="612" t="s">
        <v>2786</v>
      </c>
      <c r="R202" s="612" t="s">
        <v>2617</v>
      </c>
      <c r="S202" s="612" t="s">
        <v>1674</v>
      </c>
      <c r="T202" s="789">
        <v>19</v>
      </c>
      <c r="U202" s="612" t="s">
        <v>5010</v>
      </c>
      <c r="V202" s="611">
        <v>349</v>
      </c>
      <c r="W202" s="614"/>
      <c r="Y202" s="612" t="s">
        <v>1674</v>
      </c>
      <c r="AA202" s="612" t="s">
        <v>1674</v>
      </c>
      <c r="AE202" s="790"/>
      <c r="AF202" s="612" t="s">
        <v>1674</v>
      </c>
      <c r="AG202" s="612" t="s">
        <v>1674</v>
      </c>
      <c r="AH202" s="612" t="s">
        <v>1674</v>
      </c>
      <c r="AI202" s="612" t="s">
        <v>1674</v>
      </c>
      <c r="AJ202" s="612" t="s">
        <v>1674</v>
      </c>
      <c r="AK202" s="612" t="s">
        <v>1674</v>
      </c>
      <c r="AL202" s="612" t="s">
        <v>1674</v>
      </c>
      <c r="AM202" s="612" t="s">
        <v>1674</v>
      </c>
      <c r="AN202" s="612" t="s">
        <v>1674</v>
      </c>
      <c r="AP202">
        <f t="shared" si="6"/>
        <v>25</v>
      </c>
      <c r="AQ202" s="552">
        <f t="shared" si="7"/>
        <v>11459.7</v>
      </c>
    </row>
    <row r="203" spans="1:43" outlineLevel="1" x14ac:dyDescent="0.25">
      <c r="A203" s="612" t="s">
        <v>1674</v>
      </c>
      <c r="B203" s="786">
        <v>0</v>
      </c>
      <c r="C203" s="612" t="s">
        <v>1674</v>
      </c>
      <c r="D203" s="612" t="s">
        <v>3381</v>
      </c>
      <c r="E203" t="s">
        <v>3379</v>
      </c>
      <c r="G203" s="787"/>
      <c r="H203" s="787">
        <v>26.85</v>
      </c>
      <c r="I203" s="787"/>
      <c r="J203" t="s">
        <v>806</v>
      </c>
      <c r="K203" s="611">
        <v>8400</v>
      </c>
      <c r="L203" t="s">
        <v>806</v>
      </c>
      <c r="M203" s="614"/>
      <c r="N203" s="788"/>
      <c r="O203" s="612" t="s">
        <v>1674</v>
      </c>
      <c r="P203" s="612" t="s">
        <v>1674</v>
      </c>
      <c r="Q203" s="612" t="s">
        <v>2786</v>
      </c>
      <c r="R203" s="612" t="s">
        <v>1674</v>
      </c>
      <c r="S203" s="612" t="s">
        <v>1674</v>
      </c>
      <c r="T203" s="789">
        <v>19</v>
      </c>
      <c r="U203" s="612" t="s">
        <v>3309</v>
      </c>
      <c r="V203" s="611">
        <v>382</v>
      </c>
      <c r="W203" s="614"/>
      <c r="Y203" s="612" t="s">
        <v>1674</v>
      </c>
      <c r="AA203" s="612" t="s">
        <v>1674</v>
      </c>
      <c r="AE203" s="790"/>
      <c r="AF203" s="612" t="s">
        <v>1674</v>
      </c>
      <c r="AG203" s="612" t="s">
        <v>1674</v>
      </c>
      <c r="AH203" s="612" t="s">
        <v>1674</v>
      </c>
      <c r="AI203" s="612" t="s">
        <v>1674</v>
      </c>
      <c r="AJ203" s="612" t="s">
        <v>1674</v>
      </c>
      <c r="AK203" s="612" t="s">
        <v>1674</v>
      </c>
      <c r="AL203" s="612" t="s">
        <v>1674</v>
      </c>
      <c r="AM203" s="612" t="s">
        <v>1674</v>
      </c>
      <c r="AN203" s="612" t="s">
        <v>1674</v>
      </c>
      <c r="AP203">
        <f t="shared" si="6"/>
        <v>0</v>
      </c>
      <c r="AQ203" s="552">
        <f t="shared" si="7"/>
        <v>0</v>
      </c>
    </row>
    <row r="204" spans="1:43" outlineLevel="1" x14ac:dyDescent="0.25">
      <c r="A204" s="612" t="s">
        <v>1674</v>
      </c>
      <c r="B204" s="786">
        <v>0</v>
      </c>
      <c r="C204" s="612" t="s">
        <v>1674</v>
      </c>
      <c r="D204" s="612" t="s">
        <v>3381</v>
      </c>
      <c r="E204" t="s">
        <v>3379</v>
      </c>
      <c r="G204" s="787"/>
      <c r="H204" s="787">
        <v>2.57</v>
      </c>
      <c r="I204" s="787"/>
      <c r="J204" t="s">
        <v>806</v>
      </c>
      <c r="K204" s="611">
        <v>8400</v>
      </c>
      <c r="L204" t="s">
        <v>806</v>
      </c>
      <c r="M204" s="614"/>
      <c r="N204" s="788"/>
      <c r="O204" s="612" t="s">
        <v>1674</v>
      </c>
      <c r="P204" s="612" t="s">
        <v>1674</v>
      </c>
      <c r="Q204" s="612" t="s">
        <v>2786</v>
      </c>
      <c r="R204" s="612" t="s">
        <v>2617</v>
      </c>
      <c r="S204" s="612" t="s">
        <v>1674</v>
      </c>
      <c r="T204" s="789">
        <v>19</v>
      </c>
      <c r="U204" s="612" t="s">
        <v>3309</v>
      </c>
      <c r="V204" s="611">
        <v>383</v>
      </c>
      <c r="W204" s="614"/>
      <c r="Y204" s="612" t="s">
        <v>1674</v>
      </c>
      <c r="AA204" s="612" t="s">
        <v>1674</v>
      </c>
      <c r="AE204" s="790"/>
      <c r="AF204" s="612" t="s">
        <v>1674</v>
      </c>
      <c r="AG204" s="612" t="s">
        <v>1674</v>
      </c>
      <c r="AH204" s="612" t="s">
        <v>1674</v>
      </c>
      <c r="AI204" s="612" t="s">
        <v>1674</v>
      </c>
      <c r="AJ204" s="612" t="s">
        <v>1674</v>
      </c>
      <c r="AK204" s="612" t="s">
        <v>1674</v>
      </c>
      <c r="AL204" s="612" t="s">
        <v>1674</v>
      </c>
      <c r="AM204" s="612" t="s">
        <v>1674</v>
      </c>
      <c r="AN204" s="612" t="s">
        <v>1674</v>
      </c>
      <c r="AP204">
        <f t="shared" si="6"/>
        <v>0</v>
      </c>
      <c r="AQ204" s="552">
        <f t="shared" si="7"/>
        <v>0</v>
      </c>
    </row>
    <row r="205" spans="1:43" outlineLevel="1" x14ac:dyDescent="0.25">
      <c r="A205" s="612" t="s">
        <v>1674</v>
      </c>
      <c r="B205" s="786">
        <v>0</v>
      </c>
      <c r="C205" s="612" t="s">
        <v>1674</v>
      </c>
      <c r="D205" s="612" t="s">
        <v>3381</v>
      </c>
      <c r="E205" t="s">
        <v>3379</v>
      </c>
      <c r="G205" s="787"/>
      <c r="H205" s="787">
        <v>398.98</v>
      </c>
      <c r="I205" s="787">
        <v>428.4</v>
      </c>
      <c r="J205" t="s">
        <v>2584</v>
      </c>
      <c r="K205" s="611">
        <v>8401</v>
      </c>
      <c r="L205" t="s">
        <v>806</v>
      </c>
      <c r="M205" s="614"/>
      <c r="N205" s="788"/>
      <c r="O205" s="612" t="s">
        <v>1674</v>
      </c>
      <c r="P205" s="612" t="s">
        <v>1674</v>
      </c>
      <c r="Q205" s="612" t="s">
        <v>2786</v>
      </c>
      <c r="R205" s="612" t="s">
        <v>1674</v>
      </c>
      <c r="S205" s="612" t="s">
        <v>1674</v>
      </c>
      <c r="T205" s="789">
        <v>19</v>
      </c>
      <c r="U205" s="612" t="s">
        <v>3309</v>
      </c>
      <c r="V205" s="611">
        <v>384</v>
      </c>
      <c r="W205" s="614"/>
      <c r="Y205" s="612" t="s">
        <v>1674</v>
      </c>
      <c r="AA205" s="612" t="s">
        <v>1674</v>
      </c>
      <c r="AE205" s="790"/>
      <c r="AF205" s="612" t="s">
        <v>1674</v>
      </c>
      <c r="AG205" s="612" t="s">
        <v>1674</v>
      </c>
      <c r="AH205" s="612" t="s">
        <v>1674</v>
      </c>
      <c r="AI205" s="612" t="s">
        <v>1674</v>
      </c>
      <c r="AJ205" s="612" t="s">
        <v>1674</v>
      </c>
      <c r="AK205" s="612" t="s">
        <v>1674</v>
      </c>
      <c r="AL205" s="612" t="s">
        <v>1674</v>
      </c>
      <c r="AM205" s="612" t="s">
        <v>1674</v>
      </c>
      <c r="AN205" s="612" t="s">
        <v>1674</v>
      </c>
      <c r="AP205">
        <f t="shared" si="6"/>
        <v>0</v>
      </c>
      <c r="AQ205" s="552">
        <f t="shared" si="7"/>
        <v>-428.4</v>
      </c>
    </row>
    <row r="206" spans="1:43" outlineLevel="1" x14ac:dyDescent="0.25">
      <c r="A206" s="612" t="s">
        <v>1674</v>
      </c>
      <c r="B206" s="786">
        <v>0</v>
      </c>
      <c r="C206" s="612" t="s">
        <v>1674</v>
      </c>
      <c r="D206" s="612" t="s">
        <v>3434</v>
      </c>
      <c r="E206" t="s">
        <v>3387</v>
      </c>
      <c r="F206" t="s">
        <v>3433</v>
      </c>
      <c r="G206" s="787">
        <v>595</v>
      </c>
      <c r="H206" s="787"/>
      <c r="I206" s="787">
        <v>595</v>
      </c>
      <c r="J206" t="s">
        <v>2701</v>
      </c>
      <c r="K206" s="611">
        <v>8404</v>
      </c>
      <c r="L206" t="s">
        <v>806</v>
      </c>
      <c r="M206" s="614"/>
      <c r="N206" s="788">
        <v>-234</v>
      </c>
      <c r="O206" s="612" t="s">
        <v>1674</v>
      </c>
      <c r="P206" s="612" t="s">
        <v>1674</v>
      </c>
      <c r="Q206" s="612" t="s">
        <v>2786</v>
      </c>
      <c r="R206" s="612" t="s">
        <v>1674</v>
      </c>
      <c r="S206" s="612" t="s">
        <v>1674</v>
      </c>
      <c r="T206" s="789">
        <v>19</v>
      </c>
      <c r="U206" s="612" t="s">
        <v>3312</v>
      </c>
      <c r="V206" s="611">
        <v>854</v>
      </c>
      <c r="W206" s="614"/>
      <c r="Y206" s="612" t="s">
        <v>1674</v>
      </c>
      <c r="AA206" s="612" t="s">
        <v>1674</v>
      </c>
      <c r="AE206" s="790"/>
      <c r="AF206" s="612" t="s">
        <v>1674</v>
      </c>
      <c r="AG206" s="612" t="s">
        <v>1674</v>
      </c>
      <c r="AH206" s="612" t="s">
        <v>1674</v>
      </c>
      <c r="AI206" s="612" t="s">
        <v>1674</v>
      </c>
      <c r="AJ206" s="612" t="s">
        <v>1674</v>
      </c>
      <c r="AK206" s="612" t="s">
        <v>1674</v>
      </c>
      <c r="AL206" s="612" t="s">
        <v>1674</v>
      </c>
      <c r="AM206" s="612" t="s">
        <v>1674</v>
      </c>
      <c r="AN206" s="612" t="s">
        <v>1674</v>
      </c>
      <c r="AP206">
        <f t="shared" si="6"/>
        <v>234</v>
      </c>
      <c r="AQ206" s="552">
        <f t="shared" si="7"/>
        <v>595</v>
      </c>
    </row>
    <row r="207" spans="1:43" outlineLevel="1" x14ac:dyDescent="0.25">
      <c r="A207" s="612" t="s">
        <v>1674</v>
      </c>
      <c r="B207" s="786">
        <v>0</v>
      </c>
      <c r="C207" s="612" t="s">
        <v>1674</v>
      </c>
      <c r="D207" s="612" t="s">
        <v>3435</v>
      </c>
      <c r="E207" t="s">
        <v>3387</v>
      </c>
      <c r="F207" t="s">
        <v>3433</v>
      </c>
      <c r="G207" s="787">
        <v>595</v>
      </c>
      <c r="H207" s="787"/>
      <c r="I207" s="787">
        <v>595</v>
      </c>
      <c r="J207" t="s">
        <v>2701</v>
      </c>
      <c r="K207" s="611">
        <v>8404</v>
      </c>
      <c r="L207" t="s">
        <v>806</v>
      </c>
      <c r="M207" s="614"/>
      <c r="N207" s="788">
        <v>-234</v>
      </c>
      <c r="O207" s="612" t="s">
        <v>1674</v>
      </c>
      <c r="P207" s="612" t="s">
        <v>1674</v>
      </c>
      <c r="Q207" s="612" t="s">
        <v>2786</v>
      </c>
      <c r="R207" s="612" t="s">
        <v>1674</v>
      </c>
      <c r="S207" s="612" t="s">
        <v>1674</v>
      </c>
      <c r="T207" s="789">
        <v>19</v>
      </c>
      <c r="U207" s="612" t="s">
        <v>3312</v>
      </c>
      <c r="V207" s="611">
        <v>855</v>
      </c>
      <c r="W207" s="614"/>
      <c r="Y207" s="612" t="s">
        <v>1674</v>
      </c>
      <c r="AA207" s="612" t="s">
        <v>1674</v>
      </c>
      <c r="AE207" s="790"/>
      <c r="AF207" s="612" t="s">
        <v>1674</v>
      </c>
      <c r="AG207" s="612" t="s">
        <v>1674</v>
      </c>
      <c r="AH207" s="612" t="s">
        <v>1674</v>
      </c>
      <c r="AI207" s="612" t="s">
        <v>1674</v>
      </c>
      <c r="AJ207" s="612" t="s">
        <v>1674</v>
      </c>
      <c r="AK207" s="612" t="s">
        <v>1674</v>
      </c>
      <c r="AL207" s="612" t="s">
        <v>1674</v>
      </c>
      <c r="AM207" s="612" t="s">
        <v>1674</v>
      </c>
      <c r="AN207" s="612" t="s">
        <v>1674</v>
      </c>
      <c r="AP207">
        <f t="shared" si="6"/>
        <v>234</v>
      </c>
      <c r="AQ207" s="552">
        <f t="shared" si="7"/>
        <v>595</v>
      </c>
    </row>
    <row r="208" spans="1:43" outlineLevel="1" x14ac:dyDescent="0.25">
      <c r="A208" s="612" t="s">
        <v>1674</v>
      </c>
      <c r="B208" s="786">
        <v>11701</v>
      </c>
      <c r="C208" s="612" t="s">
        <v>3225</v>
      </c>
      <c r="D208" s="612" t="s">
        <v>3385</v>
      </c>
      <c r="E208" t="s">
        <v>3386</v>
      </c>
      <c r="F208" t="s">
        <v>3387</v>
      </c>
      <c r="G208" s="787">
        <v>627.42999999999995</v>
      </c>
      <c r="H208" s="787"/>
      <c r="I208" s="787">
        <v>627.42999999999995</v>
      </c>
      <c r="J208" t="s">
        <v>2701</v>
      </c>
      <c r="K208" s="611">
        <v>8402</v>
      </c>
      <c r="L208" t="s">
        <v>806</v>
      </c>
      <c r="M208" s="614"/>
      <c r="N208" s="788">
        <v>-264</v>
      </c>
      <c r="O208" s="612" t="s">
        <v>1674</v>
      </c>
      <c r="P208" s="612" t="s">
        <v>1674</v>
      </c>
      <c r="Q208" s="612" t="s">
        <v>3225</v>
      </c>
      <c r="R208" s="612" t="s">
        <v>1674</v>
      </c>
      <c r="S208" s="612" t="s">
        <v>1674</v>
      </c>
      <c r="T208" s="789">
        <v>19</v>
      </c>
      <c r="U208" s="612" t="s">
        <v>3309</v>
      </c>
      <c r="V208" s="611">
        <v>697</v>
      </c>
      <c r="W208" s="614"/>
      <c r="Y208" s="612" t="s">
        <v>1674</v>
      </c>
      <c r="AA208" s="612" t="s">
        <v>1674</v>
      </c>
      <c r="AE208" s="790"/>
      <c r="AF208" s="612" t="s">
        <v>1674</v>
      </c>
      <c r="AG208" s="612" t="s">
        <v>1674</v>
      </c>
      <c r="AH208" s="612" t="s">
        <v>1674</v>
      </c>
      <c r="AI208" s="612" t="s">
        <v>1674</v>
      </c>
      <c r="AJ208" s="612" t="s">
        <v>1674</v>
      </c>
      <c r="AK208" s="612" t="s">
        <v>1674</v>
      </c>
      <c r="AL208" s="612" t="s">
        <v>1674</v>
      </c>
      <c r="AM208" s="612" t="s">
        <v>3225</v>
      </c>
      <c r="AN208" s="612" t="s">
        <v>1674</v>
      </c>
      <c r="AP208">
        <f t="shared" si="6"/>
        <v>264</v>
      </c>
      <c r="AQ208" s="552">
        <f t="shared" si="7"/>
        <v>627.42999999999995</v>
      </c>
    </row>
    <row r="209" spans="1:43" outlineLevel="1" x14ac:dyDescent="0.25">
      <c r="A209" s="612" t="s">
        <v>1674</v>
      </c>
      <c r="B209" s="786">
        <v>0</v>
      </c>
      <c r="C209" s="612" t="s">
        <v>1674</v>
      </c>
      <c r="D209" s="612" t="s">
        <v>3643</v>
      </c>
      <c r="E209" t="s">
        <v>3587</v>
      </c>
      <c r="F209" t="s">
        <v>3644</v>
      </c>
      <c r="G209" s="787">
        <v>818.01</v>
      </c>
      <c r="H209" s="787"/>
      <c r="I209" s="787">
        <v>818.01</v>
      </c>
      <c r="J209" t="s">
        <v>2701</v>
      </c>
      <c r="K209" s="611">
        <v>8402</v>
      </c>
      <c r="L209" t="s">
        <v>806</v>
      </c>
      <c r="M209" s="614"/>
      <c r="N209" s="788">
        <v>-103</v>
      </c>
      <c r="O209" s="612" t="s">
        <v>1674</v>
      </c>
      <c r="P209" s="612" t="s">
        <v>1674</v>
      </c>
      <c r="Q209" s="612" t="s">
        <v>3225</v>
      </c>
      <c r="R209" s="612" t="s">
        <v>1674</v>
      </c>
      <c r="S209" s="612" t="s">
        <v>1674</v>
      </c>
      <c r="T209" s="789">
        <v>19</v>
      </c>
      <c r="U209" s="612" t="s">
        <v>3323</v>
      </c>
      <c r="V209" s="611">
        <v>1011</v>
      </c>
      <c r="W209" s="614"/>
      <c r="Y209" s="612" t="s">
        <v>1674</v>
      </c>
      <c r="AA209" s="612" t="s">
        <v>1674</v>
      </c>
      <c r="AE209" s="790"/>
      <c r="AF209" s="612" t="s">
        <v>1674</v>
      </c>
      <c r="AG209" s="612" t="s">
        <v>1674</v>
      </c>
      <c r="AH209" s="612" t="s">
        <v>1674</v>
      </c>
      <c r="AI209" s="612" t="s">
        <v>1674</v>
      </c>
      <c r="AJ209" s="612" t="s">
        <v>1674</v>
      </c>
      <c r="AK209" s="612" t="s">
        <v>1674</v>
      </c>
      <c r="AL209" s="612" t="s">
        <v>1674</v>
      </c>
      <c r="AM209" s="612" t="s">
        <v>1674</v>
      </c>
      <c r="AN209" s="612" t="s">
        <v>1674</v>
      </c>
      <c r="AP209">
        <f t="shared" si="6"/>
        <v>103</v>
      </c>
      <c r="AQ209" s="552">
        <f t="shared" si="7"/>
        <v>818.01</v>
      </c>
    </row>
    <row r="210" spans="1:43" outlineLevel="1" x14ac:dyDescent="0.25">
      <c r="A210" s="612" t="s">
        <v>1674</v>
      </c>
      <c r="B210" s="786">
        <v>0</v>
      </c>
      <c r="C210" s="612" t="s">
        <v>1674</v>
      </c>
      <c r="D210" s="612" t="s">
        <v>5238</v>
      </c>
      <c r="E210" t="s">
        <v>4915</v>
      </c>
      <c r="F210" t="s">
        <v>4916</v>
      </c>
      <c r="G210" s="787">
        <v>1495.83</v>
      </c>
      <c r="H210" s="787"/>
      <c r="I210" s="787">
        <v>1495.83</v>
      </c>
      <c r="J210" t="s">
        <v>2701</v>
      </c>
      <c r="K210" s="611">
        <v>8402</v>
      </c>
      <c r="L210" t="s">
        <v>806</v>
      </c>
      <c r="M210" s="614"/>
      <c r="N210" s="788">
        <v>18</v>
      </c>
      <c r="O210" s="612" t="s">
        <v>1674</v>
      </c>
      <c r="P210" s="612" t="s">
        <v>1674</v>
      </c>
      <c r="Q210" s="612" t="s">
        <v>3225</v>
      </c>
      <c r="R210" s="612" t="s">
        <v>1674</v>
      </c>
      <c r="S210" s="612" t="s">
        <v>1674</v>
      </c>
      <c r="T210" s="789">
        <v>19</v>
      </c>
      <c r="U210" s="612" t="s">
        <v>4900</v>
      </c>
      <c r="V210" s="611">
        <v>1403</v>
      </c>
      <c r="W210" s="614"/>
      <c r="Y210" s="612" t="s">
        <v>1674</v>
      </c>
      <c r="AA210" s="612" t="s">
        <v>1674</v>
      </c>
      <c r="AE210" s="790"/>
      <c r="AF210" s="612" t="s">
        <v>1674</v>
      </c>
      <c r="AG210" s="612" t="s">
        <v>1674</v>
      </c>
      <c r="AH210" s="612" t="s">
        <v>1674</v>
      </c>
      <c r="AI210" s="612" t="s">
        <v>1674</v>
      </c>
      <c r="AJ210" s="612" t="s">
        <v>1674</v>
      </c>
      <c r="AK210" s="612" t="s">
        <v>1674</v>
      </c>
      <c r="AL210" s="612" t="s">
        <v>1674</v>
      </c>
      <c r="AM210" s="612" t="s">
        <v>1674</v>
      </c>
      <c r="AN210" s="612" t="s">
        <v>1674</v>
      </c>
      <c r="AP210">
        <f t="shared" si="6"/>
        <v>-18</v>
      </c>
      <c r="AQ210" s="552">
        <f t="shared" si="7"/>
        <v>1495.83</v>
      </c>
    </row>
    <row r="211" spans="1:43" outlineLevel="1" x14ac:dyDescent="0.25">
      <c r="A211" s="612" t="s">
        <v>1674</v>
      </c>
      <c r="B211" s="786">
        <v>0</v>
      </c>
      <c r="C211" s="612" t="s">
        <v>1674</v>
      </c>
      <c r="D211" s="612" t="s">
        <v>5239</v>
      </c>
      <c r="E211" t="s">
        <v>4915</v>
      </c>
      <c r="F211" t="s">
        <v>4916</v>
      </c>
      <c r="G211" s="787">
        <v>1495.83</v>
      </c>
      <c r="H211" s="787"/>
      <c r="I211" s="787">
        <v>1495.83</v>
      </c>
      <c r="J211" t="s">
        <v>2701</v>
      </c>
      <c r="K211" s="611">
        <v>8402</v>
      </c>
      <c r="L211" t="s">
        <v>806</v>
      </c>
      <c r="M211" s="614"/>
      <c r="N211" s="788">
        <v>18</v>
      </c>
      <c r="O211" s="612" t="s">
        <v>1674</v>
      </c>
      <c r="P211" s="612" t="s">
        <v>1674</v>
      </c>
      <c r="Q211" s="612" t="s">
        <v>3225</v>
      </c>
      <c r="R211" s="612" t="s">
        <v>1674</v>
      </c>
      <c r="S211" s="612" t="s">
        <v>1674</v>
      </c>
      <c r="T211" s="789">
        <v>19</v>
      </c>
      <c r="U211" s="612" t="s">
        <v>4900</v>
      </c>
      <c r="V211" s="611">
        <v>1404</v>
      </c>
      <c r="W211" s="614"/>
      <c r="Y211" s="612" t="s">
        <v>1674</v>
      </c>
      <c r="AA211" s="612" t="s">
        <v>1674</v>
      </c>
      <c r="AE211" s="790"/>
      <c r="AF211" s="612" t="s">
        <v>1674</v>
      </c>
      <c r="AG211" s="612" t="s">
        <v>1674</v>
      </c>
      <c r="AH211" s="612" t="s">
        <v>1674</v>
      </c>
      <c r="AI211" s="612" t="s">
        <v>1674</v>
      </c>
      <c r="AJ211" s="612" t="s">
        <v>1674</v>
      </c>
      <c r="AK211" s="612" t="s">
        <v>1674</v>
      </c>
      <c r="AL211" s="612" t="s">
        <v>1674</v>
      </c>
      <c r="AM211" s="612" t="s">
        <v>1674</v>
      </c>
      <c r="AN211" s="612" t="s">
        <v>1674</v>
      </c>
      <c r="AP211">
        <f t="shared" si="6"/>
        <v>-18</v>
      </c>
      <c r="AQ211" s="552">
        <f t="shared" si="7"/>
        <v>1495.83</v>
      </c>
    </row>
    <row r="212" spans="1:43" outlineLevel="1" x14ac:dyDescent="0.25">
      <c r="A212" s="612" t="s">
        <v>1674</v>
      </c>
      <c r="B212" s="786">
        <v>11800</v>
      </c>
      <c r="C212" s="612" t="s">
        <v>2581</v>
      </c>
      <c r="D212" s="612" t="s">
        <v>2756</v>
      </c>
      <c r="E212" t="s">
        <v>2757</v>
      </c>
      <c r="F212" t="s">
        <v>2680</v>
      </c>
      <c r="G212" s="787">
        <v>20230</v>
      </c>
      <c r="H212" s="787"/>
      <c r="I212" s="787"/>
      <c r="J212" t="s">
        <v>806</v>
      </c>
      <c r="K212" s="611">
        <v>8820</v>
      </c>
      <c r="L212" t="s">
        <v>2552</v>
      </c>
      <c r="M212" s="614"/>
      <c r="N212" s="788">
        <v>-551</v>
      </c>
      <c r="O212" s="612" t="s">
        <v>1674</v>
      </c>
      <c r="P212" s="612" t="s">
        <v>1674</v>
      </c>
      <c r="Q212" s="612" t="s">
        <v>2720</v>
      </c>
      <c r="R212" s="612" t="s">
        <v>2622</v>
      </c>
      <c r="S212" s="612" t="s">
        <v>1674</v>
      </c>
      <c r="T212" s="789">
        <v>19</v>
      </c>
      <c r="U212" s="612" t="s">
        <v>2679</v>
      </c>
      <c r="V212" s="611">
        <v>1674</v>
      </c>
      <c r="W212" s="614"/>
      <c r="Y212" s="612" t="s">
        <v>1674</v>
      </c>
      <c r="AA212" s="612" t="s">
        <v>1674</v>
      </c>
      <c r="AE212" s="790"/>
      <c r="AF212" s="612" t="s">
        <v>1674</v>
      </c>
      <c r="AG212" s="612" t="s">
        <v>1674</v>
      </c>
      <c r="AH212" s="612" t="s">
        <v>1674</v>
      </c>
      <c r="AI212" s="612" t="s">
        <v>1674</v>
      </c>
      <c r="AJ212" s="612" t="s">
        <v>1674</v>
      </c>
      <c r="AK212" s="612" t="s">
        <v>1674</v>
      </c>
      <c r="AL212" s="612" t="s">
        <v>1674</v>
      </c>
      <c r="AM212" s="612" t="s">
        <v>2581</v>
      </c>
      <c r="AN212" s="612" t="s">
        <v>1674</v>
      </c>
      <c r="AP212">
        <f t="shared" si="6"/>
        <v>551</v>
      </c>
      <c r="AQ212" s="552">
        <f t="shared" si="7"/>
        <v>0</v>
      </c>
    </row>
    <row r="213" spans="1:43" outlineLevel="1" x14ac:dyDescent="0.25">
      <c r="A213" s="612" t="s">
        <v>1674</v>
      </c>
      <c r="B213" s="786">
        <v>0</v>
      </c>
      <c r="C213" s="612" t="s">
        <v>1674</v>
      </c>
      <c r="D213" s="612" t="s">
        <v>2756</v>
      </c>
      <c r="E213" t="s">
        <v>2680</v>
      </c>
      <c r="G213" s="787"/>
      <c r="H213" s="787">
        <v>942.48</v>
      </c>
      <c r="I213" s="787"/>
      <c r="J213" t="s">
        <v>806</v>
      </c>
      <c r="K213" s="611">
        <v>1200</v>
      </c>
      <c r="L213" t="s">
        <v>806</v>
      </c>
      <c r="M213" s="614"/>
      <c r="N213" s="788"/>
      <c r="O213" s="612" t="s">
        <v>1674</v>
      </c>
      <c r="P213" s="612" t="s">
        <v>1674</v>
      </c>
      <c r="Q213" s="612" t="s">
        <v>2681</v>
      </c>
      <c r="R213" s="612" t="s">
        <v>1674</v>
      </c>
      <c r="S213" s="612" t="s">
        <v>1674</v>
      </c>
      <c r="T213" s="789"/>
      <c r="U213" s="612" t="s">
        <v>2682</v>
      </c>
      <c r="V213" s="611">
        <v>1587</v>
      </c>
      <c r="W213" s="614"/>
      <c r="Y213" s="612" t="s">
        <v>1674</v>
      </c>
      <c r="AA213" s="612" t="s">
        <v>1674</v>
      </c>
      <c r="AE213" s="790"/>
      <c r="AF213" s="612" t="s">
        <v>1674</v>
      </c>
      <c r="AG213" s="612" t="s">
        <v>1674</v>
      </c>
      <c r="AH213" s="612" t="s">
        <v>1674</v>
      </c>
      <c r="AI213" s="612" t="s">
        <v>1674</v>
      </c>
      <c r="AJ213" s="612" t="s">
        <v>1674</v>
      </c>
      <c r="AK213" s="612" t="s">
        <v>1674</v>
      </c>
      <c r="AL213" s="612" t="s">
        <v>1674</v>
      </c>
      <c r="AM213" s="612" t="s">
        <v>1674</v>
      </c>
      <c r="AN213" s="612" t="s">
        <v>1674</v>
      </c>
      <c r="AP213">
        <f t="shared" si="6"/>
        <v>0</v>
      </c>
      <c r="AQ213" s="552">
        <f t="shared" si="7"/>
        <v>0</v>
      </c>
    </row>
    <row r="214" spans="1:43" outlineLevel="1" x14ac:dyDescent="0.25">
      <c r="A214" s="612" t="s">
        <v>1674</v>
      </c>
      <c r="B214" s="786">
        <v>0</v>
      </c>
      <c r="C214" s="612" t="s">
        <v>1674</v>
      </c>
      <c r="D214" s="612" t="s">
        <v>2756</v>
      </c>
      <c r="E214" t="s">
        <v>2680</v>
      </c>
      <c r="G214" s="787"/>
      <c r="H214" s="787">
        <v>9.52</v>
      </c>
      <c r="I214" s="787"/>
      <c r="J214" t="s">
        <v>806</v>
      </c>
      <c r="K214" s="611">
        <v>8736</v>
      </c>
      <c r="L214" t="s">
        <v>806</v>
      </c>
      <c r="M214" s="614"/>
      <c r="N214" s="788"/>
      <c r="O214" s="612" t="s">
        <v>1674</v>
      </c>
      <c r="P214" s="612" t="s">
        <v>1674</v>
      </c>
      <c r="Q214" s="612" t="s">
        <v>2681</v>
      </c>
      <c r="R214" s="612" t="s">
        <v>1674</v>
      </c>
      <c r="S214" s="612" t="s">
        <v>1674</v>
      </c>
      <c r="T214" s="789">
        <v>19</v>
      </c>
      <c r="U214" s="612" t="s">
        <v>2682</v>
      </c>
      <c r="V214" s="611">
        <v>1587</v>
      </c>
      <c r="W214" s="614"/>
      <c r="Y214" s="612" t="s">
        <v>1674</v>
      </c>
      <c r="AA214" s="612" t="s">
        <v>1674</v>
      </c>
      <c r="AE214" s="790"/>
      <c r="AF214" s="612" t="s">
        <v>1674</v>
      </c>
      <c r="AG214" s="612" t="s">
        <v>1674</v>
      </c>
      <c r="AH214" s="612" t="s">
        <v>1674</v>
      </c>
      <c r="AI214" s="612" t="s">
        <v>1674</v>
      </c>
      <c r="AJ214" s="612" t="s">
        <v>1674</v>
      </c>
      <c r="AK214" s="612" t="s">
        <v>1674</v>
      </c>
      <c r="AL214" s="612" t="s">
        <v>1674</v>
      </c>
      <c r="AM214" s="612" t="s">
        <v>1674</v>
      </c>
      <c r="AN214" s="612" t="s">
        <v>1674</v>
      </c>
      <c r="AP214">
        <f t="shared" si="6"/>
        <v>0</v>
      </c>
      <c r="AQ214" s="552">
        <f t="shared" si="7"/>
        <v>0</v>
      </c>
    </row>
    <row r="215" spans="1:43" outlineLevel="1" x14ac:dyDescent="0.25">
      <c r="A215" s="612" t="s">
        <v>1674</v>
      </c>
      <c r="B215" s="786">
        <v>0</v>
      </c>
      <c r="C215" s="612" t="s">
        <v>1674</v>
      </c>
      <c r="D215" s="612" t="s">
        <v>2756</v>
      </c>
      <c r="E215" t="s">
        <v>2683</v>
      </c>
      <c r="G215" s="787"/>
      <c r="H215" s="787">
        <v>942.48</v>
      </c>
      <c r="I215" s="787"/>
      <c r="J215" t="s">
        <v>806</v>
      </c>
      <c r="K215" s="611">
        <v>1200</v>
      </c>
      <c r="L215" t="s">
        <v>806</v>
      </c>
      <c r="M215" s="614"/>
      <c r="N215" s="788"/>
      <c r="O215" s="612" t="s">
        <v>1674</v>
      </c>
      <c r="P215" s="612" t="s">
        <v>1674</v>
      </c>
      <c r="Q215" s="612" t="s">
        <v>2684</v>
      </c>
      <c r="R215" s="612" t="s">
        <v>1674</v>
      </c>
      <c r="S215" s="612" t="s">
        <v>1674</v>
      </c>
      <c r="T215" s="789"/>
      <c r="U215" s="612" t="s">
        <v>2685</v>
      </c>
      <c r="V215" s="611">
        <v>1749</v>
      </c>
      <c r="W215" s="614"/>
      <c r="Y215" s="612" t="s">
        <v>1674</v>
      </c>
      <c r="AA215" s="612" t="s">
        <v>1674</v>
      </c>
      <c r="AE215" s="790"/>
      <c r="AF215" s="612" t="s">
        <v>1674</v>
      </c>
      <c r="AG215" s="612" t="s">
        <v>1674</v>
      </c>
      <c r="AH215" s="612" t="s">
        <v>1674</v>
      </c>
      <c r="AI215" s="612" t="s">
        <v>1674</v>
      </c>
      <c r="AJ215" s="612" t="s">
        <v>1674</v>
      </c>
      <c r="AK215" s="612" t="s">
        <v>1674</v>
      </c>
      <c r="AL215" s="612" t="s">
        <v>1674</v>
      </c>
      <c r="AM215" s="612" t="s">
        <v>1674</v>
      </c>
      <c r="AN215" s="612" t="s">
        <v>1674</v>
      </c>
      <c r="AP215">
        <f t="shared" si="6"/>
        <v>0</v>
      </c>
      <c r="AQ215" s="552">
        <f t="shared" si="7"/>
        <v>0</v>
      </c>
    </row>
    <row r="216" spans="1:43" outlineLevel="1" x14ac:dyDescent="0.25">
      <c r="A216" s="612" t="s">
        <v>1674</v>
      </c>
      <c r="B216" s="786">
        <v>0</v>
      </c>
      <c r="C216" s="612" t="s">
        <v>1674</v>
      </c>
      <c r="D216" s="612" t="s">
        <v>2756</v>
      </c>
      <c r="E216" t="s">
        <v>2683</v>
      </c>
      <c r="G216" s="787"/>
      <c r="H216" s="787">
        <v>9.52</v>
      </c>
      <c r="I216" s="787"/>
      <c r="J216" t="s">
        <v>806</v>
      </c>
      <c r="K216" s="611">
        <v>8736</v>
      </c>
      <c r="L216" t="s">
        <v>806</v>
      </c>
      <c r="M216" s="614"/>
      <c r="N216" s="788"/>
      <c r="O216" s="612" t="s">
        <v>1674</v>
      </c>
      <c r="P216" s="612" t="s">
        <v>1674</v>
      </c>
      <c r="Q216" s="612" t="s">
        <v>2684</v>
      </c>
      <c r="R216" s="612" t="s">
        <v>1674</v>
      </c>
      <c r="S216" s="612" t="s">
        <v>1674</v>
      </c>
      <c r="T216" s="789">
        <v>19</v>
      </c>
      <c r="U216" s="612" t="s">
        <v>2685</v>
      </c>
      <c r="V216" s="611">
        <v>1749</v>
      </c>
      <c r="W216" s="614"/>
      <c r="Y216" s="612" t="s">
        <v>1674</v>
      </c>
      <c r="AA216" s="612" t="s">
        <v>1674</v>
      </c>
      <c r="AE216" s="790"/>
      <c r="AF216" s="612" t="s">
        <v>1674</v>
      </c>
      <c r="AG216" s="612" t="s">
        <v>1674</v>
      </c>
      <c r="AH216" s="612" t="s">
        <v>1674</v>
      </c>
      <c r="AI216" s="612" t="s">
        <v>1674</v>
      </c>
      <c r="AJ216" s="612" t="s">
        <v>1674</v>
      </c>
      <c r="AK216" s="612" t="s">
        <v>1674</v>
      </c>
      <c r="AL216" s="612" t="s">
        <v>1674</v>
      </c>
      <c r="AM216" s="612" t="s">
        <v>1674</v>
      </c>
      <c r="AN216" s="612" t="s">
        <v>1674</v>
      </c>
      <c r="AP216">
        <f t="shared" si="6"/>
        <v>0</v>
      </c>
      <c r="AQ216" s="552">
        <f t="shared" si="7"/>
        <v>0</v>
      </c>
    </row>
    <row r="217" spans="1:43" outlineLevel="1" x14ac:dyDescent="0.25">
      <c r="A217" s="612" t="s">
        <v>1674</v>
      </c>
      <c r="B217" s="786">
        <v>0</v>
      </c>
      <c r="C217" s="612" t="s">
        <v>1674</v>
      </c>
      <c r="D217" s="612" t="s">
        <v>2756</v>
      </c>
      <c r="E217" t="s">
        <v>2686</v>
      </c>
      <c r="G217" s="787"/>
      <c r="H217" s="787">
        <v>942.48</v>
      </c>
      <c r="I217" s="787"/>
      <c r="J217" t="s">
        <v>806</v>
      </c>
      <c r="K217" s="611">
        <v>1200</v>
      </c>
      <c r="L217" t="s">
        <v>806</v>
      </c>
      <c r="M217" s="614"/>
      <c r="N217" s="788"/>
      <c r="O217" s="612" t="s">
        <v>1674</v>
      </c>
      <c r="P217" s="612" t="s">
        <v>1674</v>
      </c>
      <c r="Q217" s="612" t="s">
        <v>2687</v>
      </c>
      <c r="R217" s="612" t="s">
        <v>1674</v>
      </c>
      <c r="S217" s="612" t="s">
        <v>1674</v>
      </c>
      <c r="T217" s="789"/>
      <c r="U217" s="612" t="s">
        <v>2688</v>
      </c>
      <c r="V217" s="611">
        <v>1498</v>
      </c>
      <c r="W217" s="614"/>
      <c r="Y217" s="612" t="s">
        <v>1674</v>
      </c>
      <c r="AA217" s="612" t="s">
        <v>1674</v>
      </c>
      <c r="AE217" s="790"/>
      <c r="AF217" s="612" t="s">
        <v>1674</v>
      </c>
      <c r="AG217" s="612" t="s">
        <v>1674</v>
      </c>
      <c r="AH217" s="612" t="s">
        <v>1674</v>
      </c>
      <c r="AI217" s="612" t="s">
        <v>1674</v>
      </c>
      <c r="AJ217" s="612" t="s">
        <v>1674</v>
      </c>
      <c r="AK217" s="612" t="s">
        <v>1674</v>
      </c>
      <c r="AL217" s="612" t="s">
        <v>1674</v>
      </c>
      <c r="AM217" s="612" t="s">
        <v>1674</v>
      </c>
      <c r="AN217" s="612" t="s">
        <v>1674</v>
      </c>
      <c r="AP217">
        <f t="shared" si="6"/>
        <v>0</v>
      </c>
      <c r="AQ217" s="552">
        <f t="shared" si="7"/>
        <v>0</v>
      </c>
    </row>
    <row r="218" spans="1:43" outlineLevel="1" x14ac:dyDescent="0.25">
      <c r="A218" s="612" t="s">
        <v>1674</v>
      </c>
      <c r="B218" s="786">
        <v>0</v>
      </c>
      <c r="C218" s="612" t="s">
        <v>1674</v>
      </c>
      <c r="D218" s="612" t="s">
        <v>2756</v>
      </c>
      <c r="E218" t="s">
        <v>2686</v>
      </c>
      <c r="G218" s="787"/>
      <c r="H218" s="787">
        <v>9.52</v>
      </c>
      <c r="I218" s="787"/>
      <c r="J218" t="s">
        <v>806</v>
      </c>
      <c r="K218" s="611">
        <v>8736</v>
      </c>
      <c r="L218" t="s">
        <v>806</v>
      </c>
      <c r="M218" s="614"/>
      <c r="N218" s="788"/>
      <c r="O218" s="612" t="s">
        <v>1674</v>
      </c>
      <c r="P218" s="612" t="s">
        <v>1674</v>
      </c>
      <c r="Q218" s="612" t="s">
        <v>2687</v>
      </c>
      <c r="R218" s="612" t="s">
        <v>1674</v>
      </c>
      <c r="S218" s="612" t="s">
        <v>1674</v>
      </c>
      <c r="T218" s="789">
        <v>19</v>
      </c>
      <c r="U218" s="612" t="s">
        <v>2688</v>
      </c>
      <c r="V218" s="611">
        <v>1498</v>
      </c>
      <c r="W218" s="614"/>
      <c r="Y218" s="612" t="s">
        <v>1674</v>
      </c>
      <c r="AA218" s="612" t="s">
        <v>1674</v>
      </c>
      <c r="AE218" s="790"/>
      <c r="AF218" s="612" t="s">
        <v>1674</v>
      </c>
      <c r="AG218" s="612" t="s">
        <v>1674</v>
      </c>
      <c r="AH218" s="612" t="s">
        <v>1674</v>
      </c>
      <c r="AI218" s="612" t="s">
        <v>1674</v>
      </c>
      <c r="AJ218" s="612" t="s">
        <v>1674</v>
      </c>
      <c r="AK218" s="612" t="s">
        <v>1674</v>
      </c>
      <c r="AL218" s="612" t="s">
        <v>1674</v>
      </c>
      <c r="AM218" s="612" t="s">
        <v>1674</v>
      </c>
      <c r="AN218" s="612" t="s">
        <v>1674</v>
      </c>
      <c r="AP218">
        <f t="shared" si="6"/>
        <v>0</v>
      </c>
      <c r="AQ218" s="552">
        <f t="shared" si="7"/>
        <v>0</v>
      </c>
    </row>
    <row r="219" spans="1:43" outlineLevel="1" x14ac:dyDescent="0.25">
      <c r="A219" s="612" t="s">
        <v>1674</v>
      </c>
      <c r="B219" s="786">
        <v>0</v>
      </c>
      <c r="C219" s="612" t="s">
        <v>1674</v>
      </c>
      <c r="D219" s="612" t="s">
        <v>2756</v>
      </c>
      <c r="E219" t="s">
        <v>2689</v>
      </c>
      <c r="G219" s="787"/>
      <c r="H219" s="787">
        <v>942.48</v>
      </c>
      <c r="I219" s="787"/>
      <c r="J219" t="s">
        <v>806</v>
      </c>
      <c r="K219" s="611">
        <v>1200</v>
      </c>
      <c r="L219" t="s">
        <v>806</v>
      </c>
      <c r="M219" s="614"/>
      <c r="N219" s="788"/>
      <c r="O219" s="612" t="s">
        <v>1674</v>
      </c>
      <c r="P219" s="612" t="s">
        <v>1674</v>
      </c>
      <c r="Q219" s="612" t="s">
        <v>2690</v>
      </c>
      <c r="R219" s="612" t="s">
        <v>1674</v>
      </c>
      <c r="S219" s="612" t="s">
        <v>1674</v>
      </c>
      <c r="T219" s="789"/>
      <c r="U219" s="612" t="s">
        <v>2691</v>
      </c>
      <c r="V219" s="611">
        <v>1724</v>
      </c>
      <c r="W219" s="614"/>
      <c r="Y219" s="612" t="s">
        <v>1674</v>
      </c>
      <c r="AA219" s="612" t="s">
        <v>1674</v>
      </c>
      <c r="AE219" s="790"/>
      <c r="AF219" s="612" t="s">
        <v>1674</v>
      </c>
      <c r="AG219" s="612" t="s">
        <v>1674</v>
      </c>
      <c r="AH219" s="612" t="s">
        <v>1674</v>
      </c>
      <c r="AI219" s="612" t="s">
        <v>1674</v>
      </c>
      <c r="AJ219" s="612" t="s">
        <v>1674</v>
      </c>
      <c r="AK219" s="612" t="s">
        <v>1674</v>
      </c>
      <c r="AL219" s="612" t="s">
        <v>1674</v>
      </c>
      <c r="AM219" s="612" t="s">
        <v>1674</v>
      </c>
      <c r="AN219" s="612" t="s">
        <v>1674</v>
      </c>
      <c r="AP219">
        <f t="shared" si="6"/>
        <v>0</v>
      </c>
      <c r="AQ219" s="552">
        <f t="shared" si="7"/>
        <v>0</v>
      </c>
    </row>
    <row r="220" spans="1:43" outlineLevel="1" x14ac:dyDescent="0.25">
      <c r="A220" s="612" t="s">
        <v>1674</v>
      </c>
      <c r="B220" s="786">
        <v>0</v>
      </c>
      <c r="C220" s="612" t="s">
        <v>1674</v>
      </c>
      <c r="D220" s="612" t="s">
        <v>2756</v>
      </c>
      <c r="E220" t="s">
        <v>2689</v>
      </c>
      <c r="G220" s="787"/>
      <c r="H220" s="787">
        <v>9.52</v>
      </c>
      <c r="I220" s="787"/>
      <c r="J220" t="s">
        <v>806</v>
      </c>
      <c r="K220" s="611">
        <v>8736</v>
      </c>
      <c r="L220" t="s">
        <v>806</v>
      </c>
      <c r="M220" s="614"/>
      <c r="N220" s="788"/>
      <c r="O220" s="612" t="s">
        <v>1674</v>
      </c>
      <c r="P220" s="612" t="s">
        <v>1674</v>
      </c>
      <c r="Q220" s="612" t="s">
        <v>2690</v>
      </c>
      <c r="R220" s="612" t="s">
        <v>1674</v>
      </c>
      <c r="S220" s="612" t="s">
        <v>1674</v>
      </c>
      <c r="T220" s="789">
        <v>19</v>
      </c>
      <c r="U220" s="612" t="s">
        <v>2691</v>
      </c>
      <c r="V220" s="611">
        <v>1725</v>
      </c>
      <c r="W220" s="614"/>
      <c r="Y220" s="612" t="s">
        <v>1674</v>
      </c>
      <c r="AA220" s="612" t="s">
        <v>1674</v>
      </c>
      <c r="AE220" s="790"/>
      <c r="AF220" s="612" t="s">
        <v>1674</v>
      </c>
      <c r="AG220" s="612" t="s">
        <v>1674</v>
      </c>
      <c r="AH220" s="612" t="s">
        <v>1674</v>
      </c>
      <c r="AI220" s="612" t="s">
        <v>1674</v>
      </c>
      <c r="AJ220" s="612" t="s">
        <v>1674</v>
      </c>
      <c r="AK220" s="612" t="s">
        <v>1674</v>
      </c>
      <c r="AL220" s="612" t="s">
        <v>1674</v>
      </c>
      <c r="AM220" s="612" t="s">
        <v>1674</v>
      </c>
      <c r="AN220" s="612" t="s">
        <v>1674</v>
      </c>
      <c r="AP220">
        <f t="shared" si="6"/>
        <v>0</v>
      </c>
      <c r="AQ220" s="552">
        <f t="shared" si="7"/>
        <v>0</v>
      </c>
    </row>
    <row r="221" spans="1:43" outlineLevel="1" x14ac:dyDescent="0.25">
      <c r="A221" s="612" t="s">
        <v>1674</v>
      </c>
      <c r="B221" s="786">
        <v>0</v>
      </c>
      <c r="C221" s="612" t="s">
        <v>1674</v>
      </c>
      <c r="D221" s="612" t="s">
        <v>2756</v>
      </c>
      <c r="E221" t="s">
        <v>2692</v>
      </c>
      <c r="G221" s="787"/>
      <c r="H221" s="787">
        <v>942.48</v>
      </c>
      <c r="I221" s="787"/>
      <c r="J221" t="s">
        <v>806</v>
      </c>
      <c r="K221" s="611">
        <v>1200</v>
      </c>
      <c r="L221" t="s">
        <v>806</v>
      </c>
      <c r="M221" s="614"/>
      <c r="N221" s="788"/>
      <c r="O221" s="612" t="s">
        <v>1674</v>
      </c>
      <c r="P221" s="612" t="s">
        <v>1674</v>
      </c>
      <c r="Q221" s="612" t="s">
        <v>2693</v>
      </c>
      <c r="R221" s="612" t="s">
        <v>1674</v>
      </c>
      <c r="S221" s="612" t="s">
        <v>1674</v>
      </c>
      <c r="T221" s="789"/>
      <c r="U221" s="612" t="s">
        <v>2694</v>
      </c>
      <c r="V221" s="611">
        <v>1846</v>
      </c>
      <c r="W221" s="614"/>
      <c r="Y221" s="612" t="s">
        <v>1674</v>
      </c>
      <c r="AA221" s="612" t="s">
        <v>1674</v>
      </c>
      <c r="AE221" s="790"/>
      <c r="AF221" s="612" t="s">
        <v>1674</v>
      </c>
      <c r="AG221" s="612" t="s">
        <v>1674</v>
      </c>
      <c r="AH221" s="612" t="s">
        <v>1674</v>
      </c>
      <c r="AI221" s="612" t="s">
        <v>1674</v>
      </c>
      <c r="AJ221" s="612" t="s">
        <v>1674</v>
      </c>
      <c r="AK221" s="612" t="s">
        <v>1674</v>
      </c>
      <c r="AL221" s="612" t="s">
        <v>1674</v>
      </c>
      <c r="AM221" s="612" t="s">
        <v>1674</v>
      </c>
      <c r="AN221" s="612" t="s">
        <v>1674</v>
      </c>
      <c r="AP221">
        <f t="shared" si="6"/>
        <v>0</v>
      </c>
      <c r="AQ221" s="552">
        <f t="shared" si="7"/>
        <v>0</v>
      </c>
    </row>
    <row r="222" spans="1:43" outlineLevel="1" x14ac:dyDescent="0.25">
      <c r="A222" s="612" t="s">
        <v>1674</v>
      </c>
      <c r="B222" s="786">
        <v>0</v>
      </c>
      <c r="C222" s="612" t="s">
        <v>1674</v>
      </c>
      <c r="D222" s="612" t="s">
        <v>2756</v>
      </c>
      <c r="E222" t="s">
        <v>2692</v>
      </c>
      <c r="G222" s="787"/>
      <c r="H222" s="787">
        <v>9.52</v>
      </c>
      <c r="I222" s="787"/>
      <c r="J222" t="s">
        <v>806</v>
      </c>
      <c r="K222" s="611">
        <v>8736</v>
      </c>
      <c r="L222" t="s">
        <v>806</v>
      </c>
      <c r="M222" s="614"/>
      <c r="N222" s="788"/>
      <c r="O222" s="612" t="s">
        <v>1674</v>
      </c>
      <c r="P222" s="612" t="s">
        <v>1674</v>
      </c>
      <c r="Q222" s="612" t="s">
        <v>2693</v>
      </c>
      <c r="R222" s="612" t="s">
        <v>1674</v>
      </c>
      <c r="S222" s="612" t="s">
        <v>1674</v>
      </c>
      <c r="T222" s="789">
        <v>19</v>
      </c>
      <c r="U222" s="612" t="s">
        <v>2694</v>
      </c>
      <c r="V222" s="611">
        <v>1847</v>
      </c>
      <c r="W222" s="614"/>
      <c r="Y222" s="612" t="s">
        <v>1674</v>
      </c>
      <c r="AA222" s="612" t="s">
        <v>1674</v>
      </c>
      <c r="AE222" s="790"/>
      <c r="AF222" s="612" t="s">
        <v>1674</v>
      </c>
      <c r="AG222" s="612" t="s">
        <v>1674</v>
      </c>
      <c r="AH222" s="612" t="s">
        <v>1674</v>
      </c>
      <c r="AI222" s="612" t="s">
        <v>1674</v>
      </c>
      <c r="AJ222" s="612" t="s">
        <v>1674</v>
      </c>
      <c r="AK222" s="612" t="s">
        <v>1674</v>
      </c>
      <c r="AL222" s="612" t="s">
        <v>1674</v>
      </c>
      <c r="AM222" s="612" t="s">
        <v>1674</v>
      </c>
      <c r="AN222" s="612" t="s">
        <v>1674</v>
      </c>
      <c r="AP222">
        <f t="shared" si="6"/>
        <v>0</v>
      </c>
      <c r="AQ222" s="552">
        <f t="shared" si="7"/>
        <v>0</v>
      </c>
    </row>
    <row r="223" spans="1:43" outlineLevel="1" x14ac:dyDescent="0.25">
      <c r="A223" s="612" t="s">
        <v>1674</v>
      </c>
      <c r="B223" s="786">
        <v>0</v>
      </c>
      <c r="C223" s="612" t="s">
        <v>1674</v>
      </c>
      <c r="D223" s="612" t="s">
        <v>2756</v>
      </c>
      <c r="E223" t="s">
        <v>2695</v>
      </c>
      <c r="G223" s="787"/>
      <c r="H223" s="787">
        <v>942.48</v>
      </c>
      <c r="I223" s="787"/>
      <c r="J223" t="s">
        <v>806</v>
      </c>
      <c r="K223" s="611">
        <v>1200</v>
      </c>
      <c r="L223" t="s">
        <v>806</v>
      </c>
      <c r="M223" s="614"/>
      <c r="N223" s="788"/>
      <c r="O223" s="612" t="s">
        <v>1674</v>
      </c>
      <c r="P223" s="612" t="s">
        <v>1674</v>
      </c>
      <c r="Q223" s="612" t="s">
        <v>2696</v>
      </c>
      <c r="R223" s="612" t="s">
        <v>1674</v>
      </c>
      <c r="S223" s="612" t="s">
        <v>1674</v>
      </c>
      <c r="T223" s="789"/>
      <c r="U223" s="612" t="s">
        <v>2697</v>
      </c>
      <c r="V223" s="611">
        <v>1649</v>
      </c>
      <c r="W223" s="614"/>
      <c r="Y223" s="612" t="s">
        <v>1674</v>
      </c>
      <c r="AA223" s="612" t="s">
        <v>1674</v>
      </c>
      <c r="AE223" s="790"/>
      <c r="AF223" s="612" t="s">
        <v>1674</v>
      </c>
      <c r="AG223" s="612" t="s">
        <v>1674</v>
      </c>
      <c r="AH223" s="612" t="s">
        <v>1674</v>
      </c>
      <c r="AI223" s="612" t="s">
        <v>1674</v>
      </c>
      <c r="AJ223" s="612" t="s">
        <v>1674</v>
      </c>
      <c r="AK223" s="612" t="s">
        <v>1674</v>
      </c>
      <c r="AL223" s="612" t="s">
        <v>1674</v>
      </c>
      <c r="AM223" s="612" t="s">
        <v>1674</v>
      </c>
      <c r="AN223" s="612" t="s">
        <v>1674</v>
      </c>
      <c r="AP223">
        <f t="shared" si="6"/>
        <v>0</v>
      </c>
      <c r="AQ223" s="552">
        <f t="shared" si="7"/>
        <v>0</v>
      </c>
    </row>
    <row r="224" spans="1:43" outlineLevel="1" x14ac:dyDescent="0.25">
      <c r="A224" s="612" t="s">
        <v>1674</v>
      </c>
      <c r="B224" s="786">
        <v>0</v>
      </c>
      <c r="C224" s="612" t="s">
        <v>1674</v>
      </c>
      <c r="D224" s="612" t="s">
        <v>2756</v>
      </c>
      <c r="E224" t="s">
        <v>2695</v>
      </c>
      <c r="G224" s="787"/>
      <c r="H224" s="787">
        <v>9.52</v>
      </c>
      <c r="I224" s="787"/>
      <c r="J224" t="s">
        <v>806</v>
      </c>
      <c r="K224" s="611">
        <v>8736</v>
      </c>
      <c r="L224" t="s">
        <v>806</v>
      </c>
      <c r="M224" s="614"/>
      <c r="N224" s="788"/>
      <c r="O224" s="612" t="s">
        <v>1674</v>
      </c>
      <c r="P224" s="612" t="s">
        <v>1674</v>
      </c>
      <c r="Q224" s="612" t="s">
        <v>2696</v>
      </c>
      <c r="R224" s="612" t="s">
        <v>1674</v>
      </c>
      <c r="S224" s="612" t="s">
        <v>1674</v>
      </c>
      <c r="T224" s="789">
        <v>19</v>
      </c>
      <c r="U224" s="612" t="s">
        <v>2697</v>
      </c>
      <c r="V224" s="611">
        <v>1650</v>
      </c>
      <c r="W224" s="614"/>
      <c r="Y224" s="612" t="s">
        <v>1674</v>
      </c>
      <c r="AA224" s="612" t="s">
        <v>1674</v>
      </c>
      <c r="AE224" s="790"/>
      <c r="AF224" s="612" t="s">
        <v>1674</v>
      </c>
      <c r="AG224" s="612" t="s">
        <v>1674</v>
      </c>
      <c r="AH224" s="612" t="s">
        <v>1674</v>
      </c>
      <c r="AI224" s="612" t="s">
        <v>1674</v>
      </c>
      <c r="AJ224" s="612" t="s">
        <v>1674</v>
      </c>
      <c r="AK224" s="612" t="s">
        <v>1674</v>
      </c>
      <c r="AL224" s="612" t="s">
        <v>1674</v>
      </c>
      <c r="AM224" s="612" t="s">
        <v>1674</v>
      </c>
      <c r="AN224" s="612" t="s">
        <v>1674</v>
      </c>
      <c r="AP224">
        <f t="shared" si="6"/>
        <v>0</v>
      </c>
      <c r="AQ224" s="552">
        <f t="shared" si="7"/>
        <v>0</v>
      </c>
    </row>
    <row r="225" spans="1:43" outlineLevel="1" x14ac:dyDescent="0.25">
      <c r="A225" s="612" t="s">
        <v>1674</v>
      </c>
      <c r="B225" s="786">
        <v>0</v>
      </c>
      <c r="C225" s="612" t="s">
        <v>1674</v>
      </c>
      <c r="D225" s="612" t="s">
        <v>2756</v>
      </c>
      <c r="E225" t="s">
        <v>2698</v>
      </c>
      <c r="G225" s="787"/>
      <c r="H225" s="787">
        <v>942.48</v>
      </c>
      <c r="I225" s="787"/>
      <c r="J225" t="s">
        <v>806</v>
      </c>
      <c r="K225" s="611">
        <v>1200</v>
      </c>
      <c r="L225" t="s">
        <v>806</v>
      </c>
      <c r="M225" s="614"/>
      <c r="N225" s="788"/>
      <c r="O225" s="612" t="s">
        <v>1674</v>
      </c>
      <c r="P225" s="612" t="s">
        <v>1674</v>
      </c>
      <c r="Q225" s="612" t="s">
        <v>2699</v>
      </c>
      <c r="R225" s="612" t="s">
        <v>1674</v>
      </c>
      <c r="S225" s="612" t="s">
        <v>1674</v>
      </c>
      <c r="T225" s="789"/>
      <c r="U225" s="612" t="s">
        <v>2700</v>
      </c>
      <c r="V225" s="611">
        <v>1602</v>
      </c>
      <c r="W225" s="614"/>
      <c r="Y225" s="612" t="s">
        <v>1674</v>
      </c>
      <c r="AA225" s="612" t="s">
        <v>1674</v>
      </c>
      <c r="AE225" s="790"/>
      <c r="AF225" s="612" t="s">
        <v>1674</v>
      </c>
      <c r="AG225" s="612" t="s">
        <v>1674</v>
      </c>
      <c r="AH225" s="612" t="s">
        <v>1674</v>
      </c>
      <c r="AI225" s="612" t="s">
        <v>1674</v>
      </c>
      <c r="AJ225" s="612" t="s">
        <v>1674</v>
      </c>
      <c r="AK225" s="612" t="s">
        <v>1674</v>
      </c>
      <c r="AL225" s="612" t="s">
        <v>1674</v>
      </c>
      <c r="AM225" s="612" t="s">
        <v>1674</v>
      </c>
      <c r="AN225" s="612" t="s">
        <v>1674</v>
      </c>
      <c r="AP225">
        <f t="shared" si="6"/>
        <v>0</v>
      </c>
      <c r="AQ225" s="552">
        <f t="shared" si="7"/>
        <v>0</v>
      </c>
    </row>
    <row r="226" spans="1:43" outlineLevel="1" x14ac:dyDescent="0.25">
      <c r="A226" s="612" t="s">
        <v>1674</v>
      </c>
      <c r="B226" s="786">
        <v>0</v>
      </c>
      <c r="C226" s="612" t="s">
        <v>1674</v>
      </c>
      <c r="D226" s="612" t="s">
        <v>2756</v>
      </c>
      <c r="E226" t="s">
        <v>2698</v>
      </c>
      <c r="G226" s="787"/>
      <c r="H226" s="787">
        <v>9.52</v>
      </c>
      <c r="I226" s="787"/>
      <c r="J226" t="s">
        <v>806</v>
      </c>
      <c r="K226" s="611">
        <v>8736</v>
      </c>
      <c r="L226" t="s">
        <v>806</v>
      </c>
      <c r="M226" s="614"/>
      <c r="N226" s="788"/>
      <c r="O226" s="612" t="s">
        <v>1674</v>
      </c>
      <c r="P226" s="612" t="s">
        <v>1674</v>
      </c>
      <c r="Q226" s="612" t="s">
        <v>2699</v>
      </c>
      <c r="R226" s="612" t="s">
        <v>1674</v>
      </c>
      <c r="S226" s="612" t="s">
        <v>1674</v>
      </c>
      <c r="T226" s="789">
        <v>19</v>
      </c>
      <c r="U226" s="612" t="s">
        <v>2700</v>
      </c>
      <c r="V226" s="611">
        <v>1603</v>
      </c>
      <c r="W226" s="614"/>
      <c r="Y226" s="612" t="s">
        <v>1674</v>
      </c>
      <c r="AA226" s="612" t="s">
        <v>1674</v>
      </c>
      <c r="AE226" s="790"/>
      <c r="AF226" s="612" t="s">
        <v>1674</v>
      </c>
      <c r="AG226" s="612" t="s">
        <v>1674</v>
      </c>
      <c r="AH226" s="612" t="s">
        <v>1674</v>
      </c>
      <c r="AI226" s="612" t="s">
        <v>1674</v>
      </c>
      <c r="AJ226" s="612" t="s">
        <v>1674</v>
      </c>
      <c r="AK226" s="612" t="s">
        <v>1674</v>
      </c>
      <c r="AL226" s="612" t="s">
        <v>1674</v>
      </c>
      <c r="AM226" s="612" t="s">
        <v>1674</v>
      </c>
      <c r="AN226" s="612" t="s">
        <v>1674</v>
      </c>
      <c r="AP226">
        <f t="shared" si="6"/>
        <v>0</v>
      </c>
      <c r="AQ226" s="552">
        <f t="shared" si="7"/>
        <v>0</v>
      </c>
    </row>
    <row r="227" spans="1:43" outlineLevel="1" x14ac:dyDescent="0.25">
      <c r="A227" s="612" t="s">
        <v>1674</v>
      </c>
      <c r="B227" s="786">
        <v>0</v>
      </c>
      <c r="C227" s="612" t="s">
        <v>1674</v>
      </c>
      <c r="D227" s="612" t="s">
        <v>2756</v>
      </c>
      <c r="E227" t="s">
        <v>3296</v>
      </c>
      <c r="G227" s="787"/>
      <c r="H227" s="787">
        <v>942.48</v>
      </c>
      <c r="I227" s="787"/>
      <c r="J227" t="s">
        <v>806</v>
      </c>
      <c r="K227" s="611">
        <v>1200</v>
      </c>
      <c r="L227" t="s">
        <v>806</v>
      </c>
      <c r="M227" s="614"/>
      <c r="N227" s="788"/>
      <c r="O227" s="612" t="s">
        <v>1674</v>
      </c>
      <c r="P227" s="612" t="s">
        <v>1674</v>
      </c>
      <c r="Q227" s="612" t="s">
        <v>3302</v>
      </c>
      <c r="R227" s="612" t="s">
        <v>1674</v>
      </c>
      <c r="S227" s="612" t="s">
        <v>1674</v>
      </c>
      <c r="T227" s="789"/>
      <c r="U227" s="612" t="s">
        <v>3303</v>
      </c>
      <c r="V227" s="611">
        <v>1681</v>
      </c>
      <c r="W227" s="614"/>
      <c r="Y227" s="612" t="s">
        <v>1674</v>
      </c>
      <c r="AA227" s="612" t="s">
        <v>1674</v>
      </c>
      <c r="AE227" s="790"/>
      <c r="AF227" s="612" t="s">
        <v>1674</v>
      </c>
      <c r="AG227" s="612" t="s">
        <v>1674</v>
      </c>
      <c r="AH227" s="612" t="s">
        <v>1674</v>
      </c>
      <c r="AI227" s="612" t="s">
        <v>1674</v>
      </c>
      <c r="AJ227" s="612" t="s">
        <v>1674</v>
      </c>
      <c r="AK227" s="612" t="s">
        <v>1674</v>
      </c>
      <c r="AL227" s="612" t="s">
        <v>1674</v>
      </c>
      <c r="AM227" s="612" t="s">
        <v>1674</v>
      </c>
      <c r="AN227" s="612" t="s">
        <v>1674</v>
      </c>
      <c r="AP227">
        <f t="shared" si="6"/>
        <v>0</v>
      </c>
      <c r="AQ227" s="552">
        <f t="shared" si="7"/>
        <v>0</v>
      </c>
    </row>
    <row r="228" spans="1:43" outlineLevel="1" x14ac:dyDescent="0.25">
      <c r="A228" s="612" t="s">
        <v>1674</v>
      </c>
      <c r="B228" s="786">
        <v>0</v>
      </c>
      <c r="C228" s="612" t="s">
        <v>1674</v>
      </c>
      <c r="D228" s="612" t="s">
        <v>2756</v>
      </c>
      <c r="E228" t="s">
        <v>3296</v>
      </c>
      <c r="G228" s="787"/>
      <c r="H228" s="787">
        <v>9.52</v>
      </c>
      <c r="I228" s="787"/>
      <c r="J228" t="s">
        <v>806</v>
      </c>
      <c r="K228" s="611">
        <v>8736</v>
      </c>
      <c r="L228" t="s">
        <v>806</v>
      </c>
      <c r="M228" s="614"/>
      <c r="N228" s="788"/>
      <c r="O228" s="612" t="s">
        <v>1674</v>
      </c>
      <c r="P228" s="612" t="s">
        <v>1674</v>
      </c>
      <c r="Q228" s="612" t="s">
        <v>3302</v>
      </c>
      <c r="R228" s="612" t="s">
        <v>1674</v>
      </c>
      <c r="S228" s="612" t="s">
        <v>1674</v>
      </c>
      <c r="T228" s="789">
        <v>19</v>
      </c>
      <c r="U228" s="612" t="s">
        <v>3303</v>
      </c>
      <c r="V228" s="611">
        <v>1682</v>
      </c>
      <c r="W228" s="614"/>
      <c r="Y228" s="612" t="s">
        <v>1674</v>
      </c>
      <c r="AA228" s="612" t="s">
        <v>1674</v>
      </c>
      <c r="AE228" s="790"/>
      <c r="AF228" s="612" t="s">
        <v>1674</v>
      </c>
      <c r="AG228" s="612" t="s">
        <v>1674</v>
      </c>
      <c r="AH228" s="612" t="s">
        <v>1674</v>
      </c>
      <c r="AI228" s="612" t="s">
        <v>1674</v>
      </c>
      <c r="AJ228" s="612" t="s">
        <v>1674</v>
      </c>
      <c r="AK228" s="612" t="s">
        <v>1674</v>
      </c>
      <c r="AL228" s="612" t="s">
        <v>1674</v>
      </c>
      <c r="AM228" s="612" t="s">
        <v>1674</v>
      </c>
      <c r="AN228" s="612" t="s">
        <v>1674</v>
      </c>
      <c r="AP228">
        <f t="shared" si="6"/>
        <v>0</v>
      </c>
      <c r="AQ228" s="552">
        <f t="shared" si="7"/>
        <v>0</v>
      </c>
    </row>
    <row r="229" spans="1:43" outlineLevel="1" x14ac:dyDescent="0.25">
      <c r="A229" s="612" t="s">
        <v>1674</v>
      </c>
      <c r="B229" s="786">
        <v>0</v>
      </c>
      <c r="C229" s="612" t="s">
        <v>1674</v>
      </c>
      <c r="D229" s="612" t="s">
        <v>2756</v>
      </c>
      <c r="E229" t="s">
        <v>3304</v>
      </c>
      <c r="G229" s="787"/>
      <c r="H229" s="787">
        <v>942.48</v>
      </c>
      <c r="I229" s="787"/>
      <c r="J229" t="s">
        <v>806</v>
      </c>
      <c r="K229" s="611">
        <v>1200</v>
      </c>
      <c r="L229" t="s">
        <v>806</v>
      </c>
      <c r="M229" s="614"/>
      <c r="N229" s="788"/>
      <c r="O229" s="612" t="s">
        <v>1674</v>
      </c>
      <c r="P229" s="612" t="s">
        <v>1674</v>
      </c>
      <c r="Q229" s="612" t="s">
        <v>3305</v>
      </c>
      <c r="R229" s="612" t="s">
        <v>1674</v>
      </c>
      <c r="S229" s="612" t="s">
        <v>1674</v>
      </c>
      <c r="T229" s="789"/>
      <c r="U229" s="612" t="s">
        <v>3306</v>
      </c>
      <c r="V229" s="611">
        <v>1613</v>
      </c>
      <c r="W229" s="614"/>
      <c r="Y229" s="612" t="s">
        <v>1674</v>
      </c>
      <c r="AA229" s="612" t="s">
        <v>1674</v>
      </c>
      <c r="AE229" s="790"/>
      <c r="AF229" s="612" t="s">
        <v>1674</v>
      </c>
      <c r="AG229" s="612" t="s">
        <v>1674</v>
      </c>
      <c r="AH229" s="612" t="s">
        <v>1674</v>
      </c>
      <c r="AI229" s="612" t="s">
        <v>1674</v>
      </c>
      <c r="AJ229" s="612" t="s">
        <v>1674</v>
      </c>
      <c r="AK229" s="612" t="s">
        <v>1674</v>
      </c>
      <c r="AL229" s="612" t="s">
        <v>1674</v>
      </c>
      <c r="AM229" s="612" t="s">
        <v>1674</v>
      </c>
      <c r="AN229" s="612" t="s">
        <v>1674</v>
      </c>
      <c r="AP229">
        <f t="shared" si="6"/>
        <v>0</v>
      </c>
      <c r="AQ229" s="552">
        <f t="shared" si="7"/>
        <v>0</v>
      </c>
    </row>
    <row r="230" spans="1:43" outlineLevel="1" x14ac:dyDescent="0.25">
      <c r="A230" s="612" t="s">
        <v>1674</v>
      </c>
      <c r="B230" s="786">
        <v>0</v>
      </c>
      <c r="C230" s="612" t="s">
        <v>1674</v>
      </c>
      <c r="D230" s="612" t="s">
        <v>2756</v>
      </c>
      <c r="E230" t="s">
        <v>3304</v>
      </c>
      <c r="G230" s="787"/>
      <c r="H230" s="787">
        <v>9.52</v>
      </c>
      <c r="I230" s="787"/>
      <c r="J230" t="s">
        <v>806</v>
      </c>
      <c r="K230" s="611">
        <v>8736</v>
      </c>
      <c r="L230" t="s">
        <v>806</v>
      </c>
      <c r="M230" s="614"/>
      <c r="N230" s="788"/>
      <c r="O230" s="612" t="s">
        <v>1674</v>
      </c>
      <c r="P230" s="612" t="s">
        <v>1674</v>
      </c>
      <c r="Q230" s="612" t="s">
        <v>3305</v>
      </c>
      <c r="R230" s="612" t="s">
        <v>1674</v>
      </c>
      <c r="S230" s="612" t="s">
        <v>1674</v>
      </c>
      <c r="T230" s="789">
        <v>19</v>
      </c>
      <c r="U230" s="612" t="s">
        <v>3306</v>
      </c>
      <c r="V230" s="611">
        <v>1614</v>
      </c>
      <c r="W230" s="614"/>
      <c r="Y230" s="612" t="s">
        <v>1674</v>
      </c>
      <c r="AA230" s="612" t="s">
        <v>1674</v>
      </c>
      <c r="AE230" s="790"/>
      <c r="AF230" s="612" t="s">
        <v>1674</v>
      </c>
      <c r="AG230" s="612" t="s">
        <v>1674</v>
      </c>
      <c r="AH230" s="612" t="s">
        <v>1674</v>
      </c>
      <c r="AI230" s="612" t="s">
        <v>1674</v>
      </c>
      <c r="AJ230" s="612" t="s">
        <v>1674</v>
      </c>
      <c r="AK230" s="612" t="s">
        <v>1674</v>
      </c>
      <c r="AL230" s="612" t="s">
        <v>1674</v>
      </c>
      <c r="AM230" s="612" t="s">
        <v>1674</v>
      </c>
      <c r="AN230" s="612" t="s">
        <v>1674</v>
      </c>
      <c r="AP230">
        <f t="shared" si="6"/>
        <v>0</v>
      </c>
      <c r="AQ230" s="552">
        <f t="shared" si="7"/>
        <v>0</v>
      </c>
    </row>
    <row r="231" spans="1:43" outlineLevel="1" x14ac:dyDescent="0.25">
      <c r="A231" s="612" t="s">
        <v>1674</v>
      </c>
      <c r="B231" s="786">
        <v>0</v>
      </c>
      <c r="C231" s="612" t="s">
        <v>1674</v>
      </c>
      <c r="D231" s="612" t="s">
        <v>2756</v>
      </c>
      <c r="E231" t="s">
        <v>3307</v>
      </c>
      <c r="G231" s="787"/>
      <c r="H231" s="787">
        <v>942.48</v>
      </c>
      <c r="I231" s="787"/>
      <c r="J231" t="s">
        <v>806</v>
      </c>
      <c r="K231" s="611">
        <v>1200</v>
      </c>
      <c r="L231" t="s">
        <v>806</v>
      </c>
      <c r="M231" s="614"/>
      <c r="N231" s="788"/>
      <c r="O231" s="612" t="s">
        <v>1674</v>
      </c>
      <c r="P231" s="612" t="s">
        <v>1674</v>
      </c>
      <c r="Q231" s="612" t="s">
        <v>3308</v>
      </c>
      <c r="R231" s="612" t="s">
        <v>1674</v>
      </c>
      <c r="S231" s="612" t="s">
        <v>1674</v>
      </c>
      <c r="T231" s="789"/>
      <c r="U231" s="612" t="s">
        <v>3309</v>
      </c>
      <c r="V231" s="611">
        <v>1696</v>
      </c>
      <c r="W231" s="614"/>
      <c r="Y231" s="612" t="s">
        <v>1674</v>
      </c>
      <c r="AA231" s="612" t="s">
        <v>1674</v>
      </c>
      <c r="AE231" s="790"/>
      <c r="AF231" s="612" t="s">
        <v>1674</v>
      </c>
      <c r="AG231" s="612" t="s">
        <v>1674</v>
      </c>
      <c r="AH231" s="612" t="s">
        <v>1674</v>
      </c>
      <c r="AI231" s="612" t="s">
        <v>1674</v>
      </c>
      <c r="AJ231" s="612" t="s">
        <v>1674</v>
      </c>
      <c r="AK231" s="612" t="s">
        <v>1674</v>
      </c>
      <c r="AL231" s="612" t="s">
        <v>1674</v>
      </c>
      <c r="AM231" s="612" t="s">
        <v>1674</v>
      </c>
      <c r="AN231" s="612" t="s">
        <v>1674</v>
      </c>
      <c r="AP231">
        <f t="shared" si="6"/>
        <v>0</v>
      </c>
      <c r="AQ231" s="552">
        <f t="shared" si="7"/>
        <v>0</v>
      </c>
    </row>
    <row r="232" spans="1:43" outlineLevel="1" x14ac:dyDescent="0.25">
      <c r="A232" s="612" t="s">
        <v>1674</v>
      </c>
      <c r="B232" s="786">
        <v>0</v>
      </c>
      <c r="C232" s="612" t="s">
        <v>1674</v>
      </c>
      <c r="D232" s="612" t="s">
        <v>2756</v>
      </c>
      <c r="E232" t="s">
        <v>3307</v>
      </c>
      <c r="G232" s="787"/>
      <c r="H232" s="787">
        <v>9.52</v>
      </c>
      <c r="I232" s="787"/>
      <c r="J232" t="s">
        <v>806</v>
      </c>
      <c r="K232" s="611">
        <v>8736</v>
      </c>
      <c r="L232" t="s">
        <v>806</v>
      </c>
      <c r="M232" s="614"/>
      <c r="N232" s="788"/>
      <c r="O232" s="612" t="s">
        <v>1674</v>
      </c>
      <c r="P232" s="612" t="s">
        <v>1674</v>
      </c>
      <c r="Q232" s="612" t="s">
        <v>3308</v>
      </c>
      <c r="R232" s="612" t="s">
        <v>1674</v>
      </c>
      <c r="S232" s="612" t="s">
        <v>1674</v>
      </c>
      <c r="T232" s="789">
        <v>19</v>
      </c>
      <c r="U232" s="612" t="s">
        <v>3309</v>
      </c>
      <c r="V232" s="611">
        <v>1697</v>
      </c>
      <c r="W232" s="614"/>
      <c r="Y232" s="612" t="s">
        <v>1674</v>
      </c>
      <c r="AA232" s="612" t="s">
        <v>1674</v>
      </c>
      <c r="AE232" s="790"/>
      <c r="AF232" s="612" t="s">
        <v>1674</v>
      </c>
      <c r="AG232" s="612" t="s">
        <v>1674</v>
      </c>
      <c r="AH232" s="612" t="s">
        <v>1674</v>
      </c>
      <c r="AI232" s="612" t="s">
        <v>1674</v>
      </c>
      <c r="AJ232" s="612" t="s">
        <v>1674</v>
      </c>
      <c r="AK232" s="612" t="s">
        <v>1674</v>
      </c>
      <c r="AL232" s="612" t="s">
        <v>1674</v>
      </c>
      <c r="AM232" s="612" t="s">
        <v>1674</v>
      </c>
      <c r="AN232" s="612" t="s">
        <v>1674</v>
      </c>
      <c r="AP232">
        <f t="shared" si="6"/>
        <v>0</v>
      </c>
      <c r="AQ232" s="552">
        <f t="shared" si="7"/>
        <v>0</v>
      </c>
    </row>
    <row r="233" spans="1:43" outlineLevel="1" x14ac:dyDescent="0.25">
      <c r="A233" s="612" t="s">
        <v>1674</v>
      </c>
      <c r="B233" s="786">
        <v>0</v>
      </c>
      <c r="C233" s="612" t="s">
        <v>1674</v>
      </c>
      <c r="D233" s="612" t="s">
        <v>2756</v>
      </c>
      <c r="E233" t="s">
        <v>3310</v>
      </c>
      <c r="G233" s="787"/>
      <c r="H233" s="787">
        <v>952</v>
      </c>
      <c r="I233" s="787"/>
      <c r="J233" t="s">
        <v>806</v>
      </c>
      <c r="K233" s="611">
        <v>1200</v>
      </c>
      <c r="L233" t="s">
        <v>806</v>
      </c>
      <c r="M233" s="614"/>
      <c r="N233" s="788"/>
      <c r="O233" s="612" t="s">
        <v>1674</v>
      </c>
      <c r="P233" s="612" t="s">
        <v>1674</v>
      </c>
      <c r="Q233" s="612" t="s">
        <v>3311</v>
      </c>
      <c r="R233" s="612" t="s">
        <v>1674</v>
      </c>
      <c r="S233" s="612" t="s">
        <v>1674</v>
      </c>
      <c r="T233" s="789"/>
      <c r="U233" s="612" t="s">
        <v>3312</v>
      </c>
      <c r="V233" s="611">
        <v>1874</v>
      </c>
      <c r="W233" s="614"/>
      <c r="Y233" s="612" t="s">
        <v>1674</v>
      </c>
      <c r="AA233" s="612" t="s">
        <v>1674</v>
      </c>
      <c r="AE233" s="790"/>
      <c r="AF233" s="612" t="s">
        <v>1674</v>
      </c>
      <c r="AG233" s="612" t="s">
        <v>1674</v>
      </c>
      <c r="AH233" s="612" t="s">
        <v>1674</v>
      </c>
      <c r="AI233" s="612" t="s">
        <v>1674</v>
      </c>
      <c r="AJ233" s="612" t="s">
        <v>1674</v>
      </c>
      <c r="AK233" s="612" t="s">
        <v>1674</v>
      </c>
      <c r="AL233" s="612" t="s">
        <v>1674</v>
      </c>
      <c r="AM233" s="612" t="s">
        <v>1674</v>
      </c>
      <c r="AN233" s="612" t="s">
        <v>1674</v>
      </c>
      <c r="AP233">
        <f t="shared" si="6"/>
        <v>0</v>
      </c>
      <c r="AQ233" s="552">
        <f t="shared" si="7"/>
        <v>0</v>
      </c>
    </row>
    <row r="234" spans="1:43" outlineLevel="1" x14ac:dyDescent="0.25">
      <c r="A234" s="612" t="s">
        <v>1674</v>
      </c>
      <c r="B234" s="786">
        <v>0</v>
      </c>
      <c r="C234" s="612" t="s">
        <v>1674</v>
      </c>
      <c r="D234" s="612" t="s">
        <v>2756</v>
      </c>
      <c r="E234" t="s">
        <v>3313</v>
      </c>
      <c r="G234" s="787"/>
      <c r="H234" s="787">
        <v>942.48</v>
      </c>
      <c r="I234" s="787"/>
      <c r="J234" t="s">
        <v>806</v>
      </c>
      <c r="K234" s="611">
        <v>1200</v>
      </c>
      <c r="L234" t="s">
        <v>806</v>
      </c>
      <c r="M234" s="614"/>
      <c r="N234" s="788"/>
      <c r="O234" s="612" t="s">
        <v>1674</v>
      </c>
      <c r="P234" s="612" t="s">
        <v>1674</v>
      </c>
      <c r="Q234" s="612" t="s">
        <v>3314</v>
      </c>
      <c r="R234" s="612" t="s">
        <v>1674</v>
      </c>
      <c r="S234" s="612" t="s">
        <v>1674</v>
      </c>
      <c r="T234" s="789"/>
      <c r="U234" s="612" t="s">
        <v>3315</v>
      </c>
      <c r="V234" s="611">
        <v>68</v>
      </c>
      <c r="W234" s="614"/>
      <c r="Y234" s="612" t="s">
        <v>1674</v>
      </c>
      <c r="AA234" s="612" t="s">
        <v>1674</v>
      </c>
      <c r="AE234" s="790"/>
      <c r="AF234" s="612" t="s">
        <v>1674</v>
      </c>
      <c r="AG234" s="612" t="s">
        <v>1674</v>
      </c>
      <c r="AH234" s="612" t="s">
        <v>1674</v>
      </c>
      <c r="AI234" s="612" t="s">
        <v>1674</v>
      </c>
      <c r="AJ234" s="612" t="s">
        <v>1674</v>
      </c>
      <c r="AK234" s="612" t="s">
        <v>1674</v>
      </c>
      <c r="AL234" s="612" t="s">
        <v>1674</v>
      </c>
      <c r="AM234" s="612" t="s">
        <v>1674</v>
      </c>
      <c r="AN234" s="612" t="s">
        <v>1674</v>
      </c>
      <c r="AP234">
        <f t="shared" si="6"/>
        <v>0</v>
      </c>
      <c r="AQ234" s="552">
        <f t="shared" si="7"/>
        <v>0</v>
      </c>
    </row>
    <row r="235" spans="1:43" outlineLevel="1" x14ac:dyDescent="0.25">
      <c r="A235" s="612" t="s">
        <v>1674</v>
      </c>
      <c r="B235" s="786">
        <v>0</v>
      </c>
      <c r="C235" s="612" t="s">
        <v>1674</v>
      </c>
      <c r="D235" s="612" t="s">
        <v>2756</v>
      </c>
      <c r="E235" t="s">
        <v>3313</v>
      </c>
      <c r="G235" s="787"/>
      <c r="H235" s="787">
        <v>9.52</v>
      </c>
      <c r="I235" s="787"/>
      <c r="J235" t="s">
        <v>806</v>
      </c>
      <c r="K235" s="611">
        <v>8736</v>
      </c>
      <c r="L235" t="s">
        <v>806</v>
      </c>
      <c r="M235" s="614"/>
      <c r="N235" s="788"/>
      <c r="O235" s="612" t="s">
        <v>1674</v>
      </c>
      <c r="P235" s="612" t="s">
        <v>1674</v>
      </c>
      <c r="Q235" s="612" t="s">
        <v>3314</v>
      </c>
      <c r="R235" s="612" t="s">
        <v>1674</v>
      </c>
      <c r="S235" s="612" t="s">
        <v>1674</v>
      </c>
      <c r="T235" s="789">
        <v>19</v>
      </c>
      <c r="U235" s="612" t="s">
        <v>3315</v>
      </c>
      <c r="V235" s="611">
        <v>69</v>
      </c>
      <c r="W235" s="614"/>
      <c r="Y235" s="612" t="s">
        <v>1674</v>
      </c>
      <c r="AA235" s="612" t="s">
        <v>1674</v>
      </c>
      <c r="AE235" s="790"/>
      <c r="AF235" s="612" t="s">
        <v>1674</v>
      </c>
      <c r="AG235" s="612" t="s">
        <v>1674</v>
      </c>
      <c r="AH235" s="612" t="s">
        <v>1674</v>
      </c>
      <c r="AI235" s="612" t="s">
        <v>1674</v>
      </c>
      <c r="AJ235" s="612" t="s">
        <v>1674</v>
      </c>
      <c r="AK235" s="612" t="s">
        <v>1674</v>
      </c>
      <c r="AL235" s="612" t="s">
        <v>1674</v>
      </c>
      <c r="AM235" s="612" t="s">
        <v>1674</v>
      </c>
      <c r="AN235" s="612" t="s">
        <v>1674</v>
      </c>
      <c r="AP235">
        <f t="shared" si="6"/>
        <v>0</v>
      </c>
      <c r="AQ235" s="552">
        <f t="shared" si="7"/>
        <v>0</v>
      </c>
    </row>
    <row r="236" spans="1:43" outlineLevel="1" x14ac:dyDescent="0.25">
      <c r="A236" s="612" t="s">
        <v>1674</v>
      </c>
      <c r="B236" s="786">
        <v>0</v>
      </c>
      <c r="C236" s="612" t="s">
        <v>1674</v>
      </c>
      <c r="D236" s="612" t="s">
        <v>2756</v>
      </c>
      <c r="E236" t="s">
        <v>3316</v>
      </c>
      <c r="G236" s="787"/>
      <c r="H236" s="787">
        <v>952</v>
      </c>
      <c r="I236" s="787"/>
      <c r="J236" t="s">
        <v>806</v>
      </c>
      <c r="K236" s="611">
        <v>1200</v>
      </c>
      <c r="L236" t="s">
        <v>806</v>
      </c>
      <c r="M236" s="614"/>
      <c r="N236" s="788"/>
      <c r="O236" s="612" t="s">
        <v>1674</v>
      </c>
      <c r="P236" s="612" t="s">
        <v>1674</v>
      </c>
      <c r="Q236" s="612" t="s">
        <v>3317</v>
      </c>
      <c r="R236" s="612" t="s">
        <v>1674</v>
      </c>
      <c r="S236" s="612" t="s">
        <v>1674</v>
      </c>
      <c r="T236" s="789"/>
      <c r="U236" s="612" t="s">
        <v>3315</v>
      </c>
      <c r="V236" s="611">
        <v>1660</v>
      </c>
      <c r="W236" s="614"/>
      <c r="Y236" s="612" t="s">
        <v>1674</v>
      </c>
      <c r="AA236" s="612" t="s">
        <v>1674</v>
      </c>
      <c r="AE236" s="790"/>
      <c r="AF236" s="612" t="s">
        <v>1674</v>
      </c>
      <c r="AG236" s="612" t="s">
        <v>1674</v>
      </c>
      <c r="AH236" s="612" t="s">
        <v>1674</v>
      </c>
      <c r="AI236" s="612" t="s">
        <v>1674</v>
      </c>
      <c r="AJ236" s="612" t="s">
        <v>1674</v>
      </c>
      <c r="AK236" s="612" t="s">
        <v>1674</v>
      </c>
      <c r="AL236" s="612" t="s">
        <v>1674</v>
      </c>
      <c r="AM236" s="612" t="s">
        <v>1674</v>
      </c>
      <c r="AN236" s="612" t="s">
        <v>1674</v>
      </c>
      <c r="AP236">
        <f t="shared" si="6"/>
        <v>0</v>
      </c>
      <c r="AQ236" s="552">
        <f t="shared" si="7"/>
        <v>0</v>
      </c>
    </row>
    <row r="237" spans="1:43" outlineLevel="1" x14ac:dyDescent="0.25">
      <c r="A237" s="612" t="s">
        <v>1674</v>
      </c>
      <c r="B237" s="786">
        <v>0</v>
      </c>
      <c r="C237" s="612" t="s">
        <v>1674</v>
      </c>
      <c r="D237" s="612" t="s">
        <v>2756</v>
      </c>
      <c r="E237" t="s">
        <v>3318</v>
      </c>
      <c r="G237" s="787"/>
      <c r="H237" s="787">
        <v>952</v>
      </c>
      <c r="I237" s="787"/>
      <c r="J237" t="s">
        <v>806</v>
      </c>
      <c r="K237" s="611">
        <v>1200</v>
      </c>
      <c r="L237" t="s">
        <v>806</v>
      </c>
      <c r="M237" s="614"/>
      <c r="N237" s="788"/>
      <c r="O237" s="612" t="s">
        <v>1674</v>
      </c>
      <c r="P237" s="612" t="s">
        <v>1674</v>
      </c>
      <c r="Q237" s="612" t="s">
        <v>3319</v>
      </c>
      <c r="R237" s="612" t="s">
        <v>1674</v>
      </c>
      <c r="S237" s="612" t="s">
        <v>1674</v>
      </c>
      <c r="T237" s="789"/>
      <c r="U237" s="612" t="s">
        <v>3320</v>
      </c>
      <c r="V237" s="611">
        <v>1733</v>
      </c>
      <c r="W237" s="614"/>
      <c r="Y237" s="612" t="s">
        <v>1674</v>
      </c>
      <c r="AA237" s="612" t="s">
        <v>1674</v>
      </c>
      <c r="AE237" s="790"/>
      <c r="AF237" s="612" t="s">
        <v>1674</v>
      </c>
      <c r="AG237" s="612" t="s">
        <v>1674</v>
      </c>
      <c r="AH237" s="612" t="s">
        <v>1674</v>
      </c>
      <c r="AI237" s="612" t="s">
        <v>1674</v>
      </c>
      <c r="AJ237" s="612" t="s">
        <v>1674</v>
      </c>
      <c r="AK237" s="612" t="s">
        <v>1674</v>
      </c>
      <c r="AL237" s="612" t="s">
        <v>1674</v>
      </c>
      <c r="AM237" s="612" t="s">
        <v>1674</v>
      </c>
      <c r="AN237" s="612" t="s">
        <v>1674</v>
      </c>
      <c r="AP237">
        <f t="shared" si="6"/>
        <v>0</v>
      </c>
      <c r="AQ237" s="552">
        <f t="shared" si="7"/>
        <v>0</v>
      </c>
    </row>
    <row r="238" spans="1:43" outlineLevel="1" x14ac:dyDescent="0.25">
      <c r="A238" s="612" t="s">
        <v>1674</v>
      </c>
      <c r="B238" s="786">
        <v>0</v>
      </c>
      <c r="C238" s="612" t="s">
        <v>1674</v>
      </c>
      <c r="D238" s="612" t="s">
        <v>2756</v>
      </c>
      <c r="E238" t="s">
        <v>3321</v>
      </c>
      <c r="G238" s="787"/>
      <c r="H238" s="787">
        <v>847.28</v>
      </c>
      <c r="I238" s="787"/>
      <c r="J238" t="s">
        <v>806</v>
      </c>
      <c r="K238" s="611">
        <v>1200</v>
      </c>
      <c r="L238" t="s">
        <v>806</v>
      </c>
      <c r="M238" s="614"/>
      <c r="N238" s="788"/>
      <c r="O238" s="612" t="s">
        <v>1674</v>
      </c>
      <c r="P238" s="612" t="s">
        <v>1674</v>
      </c>
      <c r="Q238" s="612" t="s">
        <v>3322</v>
      </c>
      <c r="R238" s="612" t="s">
        <v>1674</v>
      </c>
      <c r="S238" s="612" t="s">
        <v>1674</v>
      </c>
      <c r="T238" s="789"/>
      <c r="U238" s="612" t="s">
        <v>3323</v>
      </c>
      <c r="V238" s="611">
        <v>1478</v>
      </c>
      <c r="W238" s="614"/>
      <c r="Y238" s="612" t="s">
        <v>1674</v>
      </c>
      <c r="AA238" s="612" t="s">
        <v>1674</v>
      </c>
      <c r="AE238" s="790"/>
      <c r="AF238" s="612" t="s">
        <v>1674</v>
      </c>
      <c r="AG238" s="612" t="s">
        <v>1674</v>
      </c>
      <c r="AH238" s="612" t="s">
        <v>1674</v>
      </c>
      <c r="AI238" s="612" t="s">
        <v>1674</v>
      </c>
      <c r="AJ238" s="612" t="s">
        <v>1674</v>
      </c>
      <c r="AK238" s="612" t="s">
        <v>1674</v>
      </c>
      <c r="AL238" s="612" t="s">
        <v>1674</v>
      </c>
      <c r="AM238" s="612" t="s">
        <v>1674</v>
      </c>
      <c r="AN238" s="612" t="s">
        <v>1674</v>
      </c>
      <c r="AP238">
        <f t="shared" si="6"/>
        <v>0</v>
      </c>
      <c r="AQ238" s="552">
        <f t="shared" si="7"/>
        <v>0</v>
      </c>
    </row>
    <row r="239" spans="1:43" outlineLevel="1" x14ac:dyDescent="0.25">
      <c r="A239" s="612" t="s">
        <v>1674</v>
      </c>
      <c r="B239" s="786">
        <v>0</v>
      </c>
      <c r="C239" s="612" t="s">
        <v>1674</v>
      </c>
      <c r="D239" s="612" t="s">
        <v>2756</v>
      </c>
      <c r="E239" t="s">
        <v>3321</v>
      </c>
      <c r="G239" s="787"/>
      <c r="H239" s="787">
        <v>104.72</v>
      </c>
      <c r="I239" s="787"/>
      <c r="J239" t="s">
        <v>806</v>
      </c>
      <c r="K239" s="611">
        <v>8736</v>
      </c>
      <c r="L239" t="s">
        <v>806</v>
      </c>
      <c r="M239" s="614"/>
      <c r="N239" s="788"/>
      <c r="O239" s="612" t="s">
        <v>1674</v>
      </c>
      <c r="P239" s="612" t="s">
        <v>1674</v>
      </c>
      <c r="Q239" s="612" t="s">
        <v>3322</v>
      </c>
      <c r="R239" s="612" t="s">
        <v>1674</v>
      </c>
      <c r="S239" s="612" t="s">
        <v>1674</v>
      </c>
      <c r="T239" s="789">
        <v>19</v>
      </c>
      <c r="U239" s="612" t="s">
        <v>3323</v>
      </c>
      <c r="V239" s="611">
        <v>1479</v>
      </c>
      <c r="W239" s="614"/>
      <c r="Y239" s="612" t="s">
        <v>1674</v>
      </c>
      <c r="AA239" s="612" t="s">
        <v>1674</v>
      </c>
      <c r="AE239" s="790"/>
      <c r="AF239" s="612" t="s">
        <v>1674</v>
      </c>
      <c r="AG239" s="612" t="s">
        <v>1674</v>
      </c>
      <c r="AH239" s="612" t="s">
        <v>1674</v>
      </c>
      <c r="AI239" s="612" t="s">
        <v>1674</v>
      </c>
      <c r="AJ239" s="612" t="s">
        <v>1674</v>
      </c>
      <c r="AK239" s="612" t="s">
        <v>1674</v>
      </c>
      <c r="AL239" s="612" t="s">
        <v>1674</v>
      </c>
      <c r="AM239" s="612" t="s">
        <v>1674</v>
      </c>
      <c r="AN239" s="612" t="s">
        <v>1674</v>
      </c>
      <c r="AP239">
        <f t="shared" si="6"/>
        <v>0</v>
      </c>
      <c r="AQ239" s="552">
        <f t="shared" si="7"/>
        <v>0</v>
      </c>
    </row>
    <row r="240" spans="1:43" outlineLevel="1" x14ac:dyDescent="0.25">
      <c r="A240" s="612" t="s">
        <v>1674</v>
      </c>
      <c r="B240" s="786">
        <v>0</v>
      </c>
      <c r="C240" s="612" t="s">
        <v>1674</v>
      </c>
      <c r="D240" s="612" t="s">
        <v>2756</v>
      </c>
      <c r="E240" t="s">
        <v>5005</v>
      </c>
      <c r="G240" s="787"/>
      <c r="H240" s="787">
        <v>952</v>
      </c>
      <c r="I240" s="787"/>
      <c r="J240" t="s">
        <v>806</v>
      </c>
      <c r="K240" s="611">
        <v>1200</v>
      </c>
      <c r="L240" t="s">
        <v>806</v>
      </c>
      <c r="M240" s="614"/>
      <c r="N240" s="788"/>
      <c r="O240" s="612" t="s">
        <v>1674</v>
      </c>
      <c r="P240" s="612" t="s">
        <v>1674</v>
      </c>
      <c r="Q240" s="612" t="s">
        <v>5240</v>
      </c>
      <c r="R240" s="612" t="s">
        <v>1674</v>
      </c>
      <c r="S240" s="612" t="s">
        <v>1674</v>
      </c>
      <c r="T240" s="789"/>
      <c r="U240" s="612" t="s">
        <v>5002</v>
      </c>
      <c r="V240" s="611">
        <v>1311</v>
      </c>
      <c r="W240" s="614"/>
      <c r="Y240" s="612" t="s">
        <v>1674</v>
      </c>
      <c r="AA240" s="612" t="s">
        <v>1674</v>
      </c>
      <c r="AE240" s="790"/>
      <c r="AF240" s="612" t="s">
        <v>1674</v>
      </c>
      <c r="AG240" s="612" t="s">
        <v>1674</v>
      </c>
      <c r="AH240" s="612" t="s">
        <v>1674</v>
      </c>
      <c r="AI240" s="612" t="s">
        <v>1674</v>
      </c>
      <c r="AJ240" s="612" t="s">
        <v>1674</v>
      </c>
      <c r="AK240" s="612" t="s">
        <v>1674</v>
      </c>
      <c r="AL240" s="612" t="s">
        <v>1674</v>
      </c>
      <c r="AM240" s="612" t="s">
        <v>1674</v>
      </c>
      <c r="AN240" s="612" t="s">
        <v>1674</v>
      </c>
      <c r="AP240">
        <f t="shared" si="6"/>
        <v>0</v>
      </c>
      <c r="AQ240" s="552">
        <f t="shared" si="7"/>
        <v>0</v>
      </c>
    </row>
    <row r="241" spans="1:43" outlineLevel="1" x14ac:dyDescent="0.25">
      <c r="A241" s="612" t="s">
        <v>1674</v>
      </c>
      <c r="B241" s="786">
        <v>0</v>
      </c>
      <c r="C241" s="612" t="s">
        <v>1674</v>
      </c>
      <c r="D241" s="612" t="s">
        <v>2756</v>
      </c>
      <c r="E241" t="s">
        <v>5007</v>
      </c>
      <c r="G241" s="787"/>
      <c r="H241" s="787">
        <v>871.08</v>
      </c>
      <c r="I241" s="787"/>
      <c r="J241" t="s">
        <v>806</v>
      </c>
      <c r="K241" s="611">
        <v>1200</v>
      </c>
      <c r="L241" t="s">
        <v>806</v>
      </c>
      <c r="M241" s="614"/>
      <c r="N241" s="788"/>
      <c r="O241" s="612" t="s">
        <v>1674</v>
      </c>
      <c r="P241" s="612" t="s">
        <v>1674</v>
      </c>
      <c r="Q241" s="612" t="s">
        <v>5241</v>
      </c>
      <c r="R241" s="612" t="s">
        <v>1674</v>
      </c>
      <c r="S241" s="612" t="s">
        <v>1674</v>
      </c>
      <c r="T241" s="789"/>
      <c r="U241" s="612" t="s">
        <v>5002</v>
      </c>
      <c r="V241" s="611">
        <v>1664</v>
      </c>
      <c r="W241" s="614"/>
      <c r="Y241" s="612" t="s">
        <v>1674</v>
      </c>
      <c r="AA241" s="612" t="s">
        <v>1674</v>
      </c>
      <c r="AE241" s="790"/>
      <c r="AF241" s="612" t="s">
        <v>1674</v>
      </c>
      <c r="AG241" s="612" t="s">
        <v>1674</v>
      </c>
      <c r="AH241" s="612" t="s">
        <v>1674</v>
      </c>
      <c r="AI241" s="612" t="s">
        <v>1674</v>
      </c>
      <c r="AJ241" s="612" t="s">
        <v>1674</v>
      </c>
      <c r="AK241" s="612" t="s">
        <v>1674</v>
      </c>
      <c r="AL241" s="612" t="s">
        <v>1674</v>
      </c>
      <c r="AM241" s="612" t="s">
        <v>1674</v>
      </c>
      <c r="AN241" s="612" t="s">
        <v>1674</v>
      </c>
      <c r="AP241">
        <f t="shared" si="6"/>
        <v>0</v>
      </c>
      <c r="AQ241" s="552">
        <f t="shared" si="7"/>
        <v>0</v>
      </c>
    </row>
    <row r="242" spans="1:43" outlineLevel="1" x14ac:dyDescent="0.25">
      <c r="A242" s="612" t="s">
        <v>1674</v>
      </c>
      <c r="B242" s="786">
        <v>0</v>
      </c>
      <c r="C242" s="612" t="s">
        <v>1674</v>
      </c>
      <c r="D242" s="612" t="s">
        <v>2756</v>
      </c>
      <c r="E242" t="s">
        <v>5007</v>
      </c>
      <c r="G242" s="787"/>
      <c r="H242" s="787">
        <v>80.92</v>
      </c>
      <c r="I242" s="787"/>
      <c r="J242" t="s">
        <v>806</v>
      </c>
      <c r="K242" s="611">
        <v>8736</v>
      </c>
      <c r="L242" t="s">
        <v>806</v>
      </c>
      <c r="M242" s="614"/>
      <c r="N242" s="788"/>
      <c r="O242" s="612" t="s">
        <v>1674</v>
      </c>
      <c r="P242" s="612" t="s">
        <v>1674</v>
      </c>
      <c r="Q242" s="612" t="s">
        <v>5241</v>
      </c>
      <c r="R242" s="612" t="s">
        <v>1674</v>
      </c>
      <c r="S242" s="612" t="s">
        <v>1674</v>
      </c>
      <c r="T242" s="789">
        <v>19</v>
      </c>
      <c r="U242" s="612" t="s">
        <v>5002</v>
      </c>
      <c r="V242" s="611">
        <v>1665</v>
      </c>
      <c r="W242" s="614"/>
      <c r="Y242" s="612" t="s">
        <v>1674</v>
      </c>
      <c r="AA242" s="612" t="s">
        <v>1674</v>
      </c>
      <c r="AE242" s="790"/>
      <c r="AF242" s="612" t="s">
        <v>1674</v>
      </c>
      <c r="AG242" s="612" t="s">
        <v>1674</v>
      </c>
      <c r="AH242" s="612" t="s">
        <v>1674</v>
      </c>
      <c r="AI242" s="612" t="s">
        <v>1674</v>
      </c>
      <c r="AJ242" s="612" t="s">
        <v>1674</v>
      </c>
      <c r="AK242" s="612" t="s">
        <v>1674</v>
      </c>
      <c r="AL242" s="612" t="s">
        <v>1674</v>
      </c>
      <c r="AM242" s="612" t="s">
        <v>1674</v>
      </c>
      <c r="AN242" s="612" t="s">
        <v>1674</v>
      </c>
      <c r="AP242">
        <f t="shared" si="6"/>
        <v>0</v>
      </c>
      <c r="AQ242" s="552">
        <f t="shared" si="7"/>
        <v>0</v>
      </c>
    </row>
    <row r="243" spans="1:43" outlineLevel="1" x14ac:dyDescent="0.25">
      <c r="A243" s="612" t="s">
        <v>1674</v>
      </c>
      <c r="B243" s="786">
        <v>0</v>
      </c>
      <c r="C243" s="612" t="s">
        <v>1674</v>
      </c>
      <c r="D243" s="612" t="s">
        <v>2756</v>
      </c>
      <c r="E243" t="s">
        <v>5078</v>
      </c>
      <c r="G243" s="787"/>
      <c r="H243" s="787">
        <v>952</v>
      </c>
      <c r="I243" s="787"/>
      <c r="J243" t="s">
        <v>806</v>
      </c>
      <c r="K243" s="611">
        <v>1200</v>
      </c>
      <c r="L243" t="s">
        <v>806</v>
      </c>
      <c r="M243" s="614"/>
      <c r="N243" s="788"/>
      <c r="O243" s="612" t="s">
        <v>1674</v>
      </c>
      <c r="P243" s="612" t="s">
        <v>1674</v>
      </c>
      <c r="Q243" s="612" t="s">
        <v>5242</v>
      </c>
      <c r="R243" s="612" t="s">
        <v>1674</v>
      </c>
      <c r="S243" s="612" t="s">
        <v>1674</v>
      </c>
      <c r="T243" s="789"/>
      <c r="U243" s="612" t="s">
        <v>4900</v>
      </c>
      <c r="V243" s="611">
        <v>358</v>
      </c>
      <c r="W243" s="614"/>
      <c r="Y243" s="612" t="s">
        <v>1674</v>
      </c>
      <c r="AA243" s="612" t="s">
        <v>1674</v>
      </c>
      <c r="AE243" s="790"/>
      <c r="AF243" s="612" t="s">
        <v>1674</v>
      </c>
      <c r="AG243" s="612" t="s">
        <v>1674</v>
      </c>
      <c r="AH243" s="612" t="s">
        <v>1674</v>
      </c>
      <c r="AI243" s="612" t="s">
        <v>1674</v>
      </c>
      <c r="AJ243" s="612" t="s">
        <v>1674</v>
      </c>
      <c r="AK243" s="612" t="s">
        <v>1674</v>
      </c>
      <c r="AL243" s="612" t="s">
        <v>1674</v>
      </c>
      <c r="AM243" s="612" t="s">
        <v>1674</v>
      </c>
      <c r="AN243" s="612" t="s">
        <v>1674</v>
      </c>
      <c r="AP243">
        <f t="shared" si="6"/>
        <v>0</v>
      </c>
      <c r="AQ243" s="552">
        <f t="shared" si="7"/>
        <v>0</v>
      </c>
    </row>
    <row r="244" spans="1:43" outlineLevel="1" x14ac:dyDescent="0.25">
      <c r="A244" s="612" t="s">
        <v>1674</v>
      </c>
      <c r="B244" s="786">
        <v>0</v>
      </c>
      <c r="C244" s="612" t="s">
        <v>1674</v>
      </c>
      <c r="D244" s="612" t="s">
        <v>2756</v>
      </c>
      <c r="E244" t="s">
        <v>4937</v>
      </c>
      <c r="G244" s="787"/>
      <c r="H244" s="787">
        <v>890.12</v>
      </c>
      <c r="I244" s="787"/>
      <c r="J244" t="s">
        <v>806</v>
      </c>
      <c r="K244" s="611">
        <v>1200</v>
      </c>
      <c r="L244" t="s">
        <v>806</v>
      </c>
      <c r="M244" s="614"/>
      <c r="N244" s="788"/>
      <c r="O244" s="612" t="s">
        <v>1674</v>
      </c>
      <c r="P244" s="612" t="s">
        <v>1674</v>
      </c>
      <c r="Q244" s="612" t="s">
        <v>5243</v>
      </c>
      <c r="R244" s="612" t="s">
        <v>1674</v>
      </c>
      <c r="S244" s="612" t="s">
        <v>1674</v>
      </c>
      <c r="T244" s="789"/>
      <c r="U244" s="612" t="s">
        <v>4900</v>
      </c>
      <c r="V244" s="611">
        <v>1702</v>
      </c>
      <c r="W244" s="614"/>
      <c r="Y244" s="612" t="s">
        <v>1674</v>
      </c>
      <c r="AA244" s="612" t="s">
        <v>1674</v>
      </c>
      <c r="AE244" s="790"/>
      <c r="AF244" s="612" t="s">
        <v>1674</v>
      </c>
      <c r="AG244" s="612" t="s">
        <v>1674</v>
      </c>
      <c r="AH244" s="612" t="s">
        <v>1674</v>
      </c>
      <c r="AI244" s="612" t="s">
        <v>1674</v>
      </c>
      <c r="AJ244" s="612" t="s">
        <v>1674</v>
      </c>
      <c r="AK244" s="612" t="s">
        <v>1674</v>
      </c>
      <c r="AL244" s="612" t="s">
        <v>1674</v>
      </c>
      <c r="AM244" s="612" t="s">
        <v>1674</v>
      </c>
      <c r="AN244" s="612" t="s">
        <v>1674</v>
      </c>
      <c r="AP244">
        <f t="shared" si="6"/>
        <v>0</v>
      </c>
      <c r="AQ244" s="552">
        <f t="shared" si="7"/>
        <v>0</v>
      </c>
    </row>
    <row r="245" spans="1:43" outlineLevel="1" x14ac:dyDescent="0.25">
      <c r="A245" s="612" t="s">
        <v>1674</v>
      </c>
      <c r="B245" s="786">
        <v>0</v>
      </c>
      <c r="C245" s="612" t="s">
        <v>1674</v>
      </c>
      <c r="D245" s="612" t="s">
        <v>2756</v>
      </c>
      <c r="E245" t="s">
        <v>4937</v>
      </c>
      <c r="G245" s="787"/>
      <c r="H245" s="787">
        <v>61.88</v>
      </c>
      <c r="I245" s="787">
        <v>2142</v>
      </c>
      <c r="J245" t="s">
        <v>2701</v>
      </c>
      <c r="K245" s="611">
        <v>8736</v>
      </c>
      <c r="L245" t="s">
        <v>806</v>
      </c>
      <c r="M245" s="614"/>
      <c r="N245" s="788"/>
      <c r="O245" s="612" t="s">
        <v>1674</v>
      </c>
      <c r="P245" s="612" t="s">
        <v>1674</v>
      </c>
      <c r="Q245" s="612" t="s">
        <v>5243</v>
      </c>
      <c r="R245" s="612" t="s">
        <v>1674</v>
      </c>
      <c r="S245" s="612" t="s">
        <v>1674</v>
      </c>
      <c r="T245" s="789">
        <v>19</v>
      </c>
      <c r="U245" s="612" t="s">
        <v>4900</v>
      </c>
      <c r="V245" s="611">
        <v>1703</v>
      </c>
      <c r="W245" s="614"/>
      <c r="Y245" s="612" t="s">
        <v>1674</v>
      </c>
      <c r="AA245" s="612" t="s">
        <v>1674</v>
      </c>
      <c r="AE245" s="790"/>
      <c r="AF245" s="612" t="s">
        <v>1674</v>
      </c>
      <c r="AG245" s="612" t="s">
        <v>1674</v>
      </c>
      <c r="AH245" s="612" t="s">
        <v>1674</v>
      </c>
      <c r="AI245" s="612" t="s">
        <v>1674</v>
      </c>
      <c r="AJ245" s="612" t="s">
        <v>1674</v>
      </c>
      <c r="AK245" s="612" t="s">
        <v>1674</v>
      </c>
      <c r="AL245" s="612" t="s">
        <v>1674</v>
      </c>
      <c r="AM245" s="612" t="s">
        <v>1674</v>
      </c>
      <c r="AN245" s="612" t="s">
        <v>1674</v>
      </c>
      <c r="AP245">
        <f t="shared" si="6"/>
        <v>0</v>
      </c>
      <c r="AQ245" s="552">
        <f t="shared" si="7"/>
        <v>2142</v>
      </c>
    </row>
    <row r="246" spans="1:43" outlineLevel="1" x14ac:dyDescent="0.25">
      <c r="A246" s="612" t="s">
        <v>2722</v>
      </c>
      <c r="B246" s="786">
        <v>0</v>
      </c>
      <c r="C246" s="612" t="s">
        <v>1674</v>
      </c>
      <c r="D246" s="612" t="s">
        <v>2773</v>
      </c>
      <c r="E246" t="s">
        <v>2771</v>
      </c>
      <c r="F246" t="s">
        <v>2772</v>
      </c>
      <c r="G246" s="787">
        <v>18326</v>
      </c>
      <c r="H246" s="787"/>
      <c r="I246" s="787"/>
      <c r="J246" t="s">
        <v>806</v>
      </c>
      <c r="K246" s="611">
        <v>8820</v>
      </c>
      <c r="L246" t="s">
        <v>2552</v>
      </c>
      <c r="M246" s="614"/>
      <c r="N246" s="788">
        <v>-489</v>
      </c>
      <c r="O246" s="612" t="s">
        <v>1674</v>
      </c>
      <c r="P246" s="612" t="s">
        <v>1674</v>
      </c>
      <c r="Q246" s="612" t="s">
        <v>2720</v>
      </c>
      <c r="R246" s="612" t="s">
        <v>2622</v>
      </c>
      <c r="S246" s="612" t="s">
        <v>1674</v>
      </c>
      <c r="T246" s="789">
        <v>19</v>
      </c>
      <c r="U246" s="612" t="s">
        <v>2685</v>
      </c>
      <c r="V246" s="611">
        <v>1618</v>
      </c>
      <c r="W246" s="614"/>
      <c r="Y246" s="612" t="s">
        <v>1674</v>
      </c>
      <c r="AA246" s="612" t="s">
        <v>1674</v>
      </c>
      <c r="AE246" s="790"/>
      <c r="AF246" s="612" t="s">
        <v>1674</v>
      </c>
      <c r="AG246" s="612" t="s">
        <v>1674</v>
      </c>
      <c r="AH246" s="612" t="s">
        <v>1674</v>
      </c>
      <c r="AI246" s="612" t="s">
        <v>1674</v>
      </c>
      <c r="AJ246" s="612" t="s">
        <v>1674</v>
      </c>
      <c r="AK246" s="612" t="s">
        <v>1674</v>
      </c>
      <c r="AL246" s="612" t="s">
        <v>1674</v>
      </c>
      <c r="AM246" s="612" t="s">
        <v>1674</v>
      </c>
      <c r="AN246" s="612" t="s">
        <v>1674</v>
      </c>
      <c r="AP246">
        <f t="shared" si="6"/>
        <v>489</v>
      </c>
      <c r="AQ246" s="552">
        <f t="shared" si="7"/>
        <v>0</v>
      </c>
    </row>
    <row r="247" spans="1:43" outlineLevel="1" x14ac:dyDescent="0.25">
      <c r="A247" s="612" t="s">
        <v>1674</v>
      </c>
      <c r="B247" s="786">
        <v>0</v>
      </c>
      <c r="C247" s="612" t="s">
        <v>1674</v>
      </c>
      <c r="D247" s="612" t="s">
        <v>2773</v>
      </c>
      <c r="E247" t="s">
        <v>2683</v>
      </c>
      <c r="G247" s="787"/>
      <c r="H247" s="787">
        <v>942.48</v>
      </c>
      <c r="I247" s="787"/>
      <c r="J247" t="s">
        <v>806</v>
      </c>
      <c r="K247" s="611">
        <v>1200</v>
      </c>
      <c r="L247" t="s">
        <v>806</v>
      </c>
      <c r="M247" s="614"/>
      <c r="N247" s="788"/>
      <c r="O247" s="612" t="s">
        <v>1674</v>
      </c>
      <c r="P247" s="612" t="s">
        <v>1674</v>
      </c>
      <c r="Q247" s="612" t="s">
        <v>2684</v>
      </c>
      <c r="R247" s="612" t="s">
        <v>1674</v>
      </c>
      <c r="S247" s="612" t="s">
        <v>1674</v>
      </c>
      <c r="T247" s="789"/>
      <c r="U247" s="612" t="s">
        <v>2685</v>
      </c>
      <c r="V247" s="611">
        <v>1751</v>
      </c>
      <c r="W247" s="614"/>
      <c r="Y247" s="612" t="s">
        <v>1674</v>
      </c>
      <c r="AA247" s="612" t="s">
        <v>1674</v>
      </c>
      <c r="AE247" s="790"/>
      <c r="AF247" s="612" t="s">
        <v>1674</v>
      </c>
      <c r="AG247" s="612" t="s">
        <v>1674</v>
      </c>
      <c r="AH247" s="612" t="s">
        <v>1674</v>
      </c>
      <c r="AI247" s="612" t="s">
        <v>1674</v>
      </c>
      <c r="AJ247" s="612" t="s">
        <v>1674</v>
      </c>
      <c r="AK247" s="612" t="s">
        <v>1674</v>
      </c>
      <c r="AL247" s="612" t="s">
        <v>1674</v>
      </c>
      <c r="AM247" s="612" t="s">
        <v>1674</v>
      </c>
      <c r="AN247" s="612" t="s">
        <v>1674</v>
      </c>
      <c r="AP247">
        <f t="shared" si="6"/>
        <v>0</v>
      </c>
      <c r="AQ247" s="552">
        <f t="shared" si="7"/>
        <v>0</v>
      </c>
    </row>
    <row r="248" spans="1:43" outlineLevel="1" x14ac:dyDescent="0.25">
      <c r="A248" s="612" t="s">
        <v>1674</v>
      </c>
      <c r="B248" s="786">
        <v>0</v>
      </c>
      <c r="C248" s="612" t="s">
        <v>1674</v>
      </c>
      <c r="D248" s="612" t="s">
        <v>2773</v>
      </c>
      <c r="E248" t="s">
        <v>2683</v>
      </c>
      <c r="G248" s="787"/>
      <c r="H248" s="787">
        <v>9.52</v>
      </c>
      <c r="I248" s="787"/>
      <c r="J248" t="s">
        <v>806</v>
      </c>
      <c r="K248" s="611">
        <v>8736</v>
      </c>
      <c r="L248" t="s">
        <v>806</v>
      </c>
      <c r="M248" s="614"/>
      <c r="N248" s="788"/>
      <c r="O248" s="612" t="s">
        <v>1674</v>
      </c>
      <c r="P248" s="612" t="s">
        <v>1674</v>
      </c>
      <c r="Q248" s="612" t="s">
        <v>2684</v>
      </c>
      <c r="R248" s="612" t="s">
        <v>1674</v>
      </c>
      <c r="S248" s="612" t="s">
        <v>1674</v>
      </c>
      <c r="T248" s="789">
        <v>19</v>
      </c>
      <c r="U248" s="612" t="s">
        <v>2685</v>
      </c>
      <c r="V248" s="611">
        <v>1751</v>
      </c>
      <c r="W248" s="614"/>
      <c r="Y248" s="612" t="s">
        <v>1674</v>
      </c>
      <c r="AA248" s="612" t="s">
        <v>1674</v>
      </c>
      <c r="AE248" s="790"/>
      <c r="AF248" s="612" t="s">
        <v>1674</v>
      </c>
      <c r="AG248" s="612" t="s">
        <v>1674</v>
      </c>
      <c r="AH248" s="612" t="s">
        <v>1674</v>
      </c>
      <c r="AI248" s="612" t="s">
        <v>1674</v>
      </c>
      <c r="AJ248" s="612" t="s">
        <v>1674</v>
      </c>
      <c r="AK248" s="612" t="s">
        <v>1674</v>
      </c>
      <c r="AL248" s="612" t="s">
        <v>1674</v>
      </c>
      <c r="AM248" s="612" t="s">
        <v>1674</v>
      </c>
      <c r="AN248" s="612" t="s">
        <v>1674</v>
      </c>
      <c r="AP248">
        <f t="shared" si="6"/>
        <v>0</v>
      </c>
      <c r="AQ248" s="552">
        <f t="shared" si="7"/>
        <v>0</v>
      </c>
    </row>
    <row r="249" spans="1:43" outlineLevel="1" x14ac:dyDescent="0.25">
      <c r="A249" s="612" t="s">
        <v>1674</v>
      </c>
      <c r="B249" s="786">
        <v>0</v>
      </c>
      <c r="C249" s="612" t="s">
        <v>1674</v>
      </c>
      <c r="D249" s="612" t="s">
        <v>2773</v>
      </c>
      <c r="E249" t="s">
        <v>2686</v>
      </c>
      <c r="G249" s="787"/>
      <c r="H249" s="787">
        <v>942.48</v>
      </c>
      <c r="I249" s="787"/>
      <c r="J249" t="s">
        <v>806</v>
      </c>
      <c r="K249" s="611">
        <v>1200</v>
      </c>
      <c r="L249" t="s">
        <v>806</v>
      </c>
      <c r="M249" s="614"/>
      <c r="N249" s="788"/>
      <c r="O249" s="612" t="s">
        <v>1674</v>
      </c>
      <c r="P249" s="612" t="s">
        <v>1674</v>
      </c>
      <c r="Q249" s="612" t="s">
        <v>2687</v>
      </c>
      <c r="R249" s="612" t="s">
        <v>1674</v>
      </c>
      <c r="S249" s="612" t="s">
        <v>1674</v>
      </c>
      <c r="T249" s="789"/>
      <c r="U249" s="612" t="s">
        <v>2688</v>
      </c>
      <c r="V249" s="611">
        <v>1489</v>
      </c>
      <c r="W249" s="614"/>
      <c r="Y249" s="612" t="s">
        <v>1674</v>
      </c>
      <c r="AA249" s="612" t="s">
        <v>1674</v>
      </c>
      <c r="AE249" s="790"/>
      <c r="AF249" s="612" t="s">
        <v>1674</v>
      </c>
      <c r="AG249" s="612" t="s">
        <v>1674</v>
      </c>
      <c r="AH249" s="612" t="s">
        <v>1674</v>
      </c>
      <c r="AI249" s="612" t="s">
        <v>1674</v>
      </c>
      <c r="AJ249" s="612" t="s">
        <v>1674</v>
      </c>
      <c r="AK249" s="612" t="s">
        <v>1674</v>
      </c>
      <c r="AL249" s="612" t="s">
        <v>1674</v>
      </c>
      <c r="AM249" s="612" t="s">
        <v>1674</v>
      </c>
      <c r="AN249" s="612" t="s">
        <v>1674</v>
      </c>
      <c r="AP249">
        <f t="shared" si="6"/>
        <v>0</v>
      </c>
      <c r="AQ249" s="552">
        <f t="shared" si="7"/>
        <v>0</v>
      </c>
    </row>
    <row r="250" spans="1:43" outlineLevel="1" x14ac:dyDescent="0.25">
      <c r="A250" s="612" t="s">
        <v>1674</v>
      </c>
      <c r="B250" s="786">
        <v>0</v>
      </c>
      <c r="C250" s="612" t="s">
        <v>1674</v>
      </c>
      <c r="D250" s="612" t="s">
        <v>2773</v>
      </c>
      <c r="E250" t="s">
        <v>2686</v>
      </c>
      <c r="G250" s="787"/>
      <c r="H250" s="787">
        <v>9.52</v>
      </c>
      <c r="I250" s="787"/>
      <c r="J250" t="s">
        <v>806</v>
      </c>
      <c r="K250" s="611">
        <v>8736</v>
      </c>
      <c r="L250" t="s">
        <v>806</v>
      </c>
      <c r="M250" s="614"/>
      <c r="N250" s="788"/>
      <c r="O250" s="612" t="s">
        <v>1674</v>
      </c>
      <c r="P250" s="612" t="s">
        <v>1674</v>
      </c>
      <c r="Q250" s="612" t="s">
        <v>2687</v>
      </c>
      <c r="R250" s="612" t="s">
        <v>1674</v>
      </c>
      <c r="S250" s="612" t="s">
        <v>1674</v>
      </c>
      <c r="T250" s="789">
        <v>19</v>
      </c>
      <c r="U250" s="612" t="s">
        <v>2688</v>
      </c>
      <c r="V250" s="611">
        <v>1489</v>
      </c>
      <c r="W250" s="614"/>
      <c r="Y250" s="612" t="s">
        <v>1674</v>
      </c>
      <c r="AA250" s="612" t="s">
        <v>1674</v>
      </c>
      <c r="AE250" s="790"/>
      <c r="AF250" s="612" t="s">
        <v>1674</v>
      </c>
      <c r="AG250" s="612" t="s">
        <v>1674</v>
      </c>
      <c r="AH250" s="612" t="s">
        <v>1674</v>
      </c>
      <c r="AI250" s="612" t="s">
        <v>1674</v>
      </c>
      <c r="AJ250" s="612" t="s">
        <v>1674</v>
      </c>
      <c r="AK250" s="612" t="s">
        <v>1674</v>
      </c>
      <c r="AL250" s="612" t="s">
        <v>1674</v>
      </c>
      <c r="AM250" s="612" t="s">
        <v>1674</v>
      </c>
      <c r="AN250" s="612" t="s">
        <v>1674</v>
      </c>
      <c r="AP250">
        <f t="shared" si="6"/>
        <v>0</v>
      </c>
      <c r="AQ250" s="552">
        <f t="shared" si="7"/>
        <v>0</v>
      </c>
    </row>
    <row r="251" spans="1:43" outlineLevel="1" x14ac:dyDescent="0.25">
      <c r="A251" s="612" t="s">
        <v>1674</v>
      </c>
      <c r="B251" s="786">
        <v>0</v>
      </c>
      <c r="C251" s="612" t="s">
        <v>1674</v>
      </c>
      <c r="D251" s="612" t="s">
        <v>2773</v>
      </c>
      <c r="E251" t="s">
        <v>2689</v>
      </c>
      <c r="G251" s="787"/>
      <c r="H251" s="787">
        <v>942.48</v>
      </c>
      <c r="I251" s="787"/>
      <c r="J251" t="s">
        <v>806</v>
      </c>
      <c r="K251" s="611">
        <v>1200</v>
      </c>
      <c r="L251" t="s">
        <v>806</v>
      </c>
      <c r="M251" s="614"/>
      <c r="N251" s="788"/>
      <c r="O251" s="612" t="s">
        <v>1674</v>
      </c>
      <c r="P251" s="612" t="s">
        <v>1674</v>
      </c>
      <c r="Q251" s="612" t="s">
        <v>2690</v>
      </c>
      <c r="R251" s="612" t="s">
        <v>1674</v>
      </c>
      <c r="S251" s="612" t="s">
        <v>1674</v>
      </c>
      <c r="T251" s="789"/>
      <c r="U251" s="612" t="s">
        <v>2691</v>
      </c>
      <c r="V251" s="611">
        <v>1700</v>
      </c>
      <c r="W251" s="614"/>
      <c r="Y251" s="612" t="s">
        <v>1674</v>
      </c>
      <c r="AA251" s="612" t="s">
        <v>1674</v>
      </c>
      <c r="AE251" s="790"/>
      <c r="AF251" s="612" t="s">
        <v>1674</v>
      </c>
      <c r="AG251" s="612" t="s">
        <v>1674</v>
      </c>
      <c r="AH251" s="612" t="s">
        <v>1674</v>
      </c>
      <c r="AI251" s="612" t="s">
        <v>1674</v>
      </c>
      <c r="AJ251" s="612" t="s">
        <v>1674</v>
      </c>
      <c r="AK251" s="612" t="s">
        <v>1674</v>
      </c>
      <c r="AL251" s="612" t="s">
        <v>1674</v>
      </c>
      <c r="AM251" s="612" t="s">
        <v>1674</v>
      </c>
      <c r="AN251" s="612" t="s">
        <v>1674</v>
      </c>
      <c r="AP251">
        <f t="shared" si="6"/>
        <v>0</v>
      </c>
      <c r="AQ251" s="552">
        <f t="shared" si="7"/>
        <v>0</v>
      </c>
    </row>
    <row r="252" spans="1:43" outlineLevel="1" x14ac:dyDescent="0.25">
      <c r="A252" s="612" t="s">
        <v>1674</v>
      </c>
      <c r="B252" s="786">
        <v>0</v>
      </c>
      <c r="C252" s="612" t="s">
        <v>1674</v>
      </c>
      <c r="D252" s="612" t="s">
        <v>2773</v>
      </c>
      <c r="E252" t="s">
        <v>2689</v>
      </c>
      <c r="G252" s="787"/>
      <c r="H252" s="787">
        <v>9.52</v>
      </c>
      <c r="I252" s="787"/>
      <c r="J252" t="s">
        <v>806</v>
      </c>
      <c r="K252" s="611">
        <v>8736</v>
      </c>
      <c r="L252" t="s">
        <v>806</v>
      </c>
      <c r="M252" s="614"/>
      <c r="N252" s="788"/>
      <c r="O252" s="612" t="s">
        <v>1674</v>
      </c>
      <c r="P252" s="612" t="s">
        <v>1674</v>
      </c>
      <c r="Q252" s="612" t="s">
        <v>2690</v>
      </c>
      <c r="R252" s="612" t="s">
        <v>1674</v>
      </c>
      <c r="S252" s="612" t="s">
        <v>1674</v>
      </c>
      <c r="T252" s="789">
        <v>19</v>
      </c>
      <c r="U252" s="612" t="s">
        <v>2691</v>
      </c>
      <c r="V252" s="611">
        <v>1701</v>
      </c>
      <c r="W252" s="614"/>
      <c r="Y252" s="612" t="s">
        <v>1674</v>
      </c>
      <c r="AA252" s="612" t="s">
        <v>1674</v>
      </c>
      <c r="AE252" s="790"/>
      <c r="AF252" s="612" t="s">
        <v>1674</v>
      </c>
      <c r="AG252" s="612" t="s">
        <v>1674</v>
      </c>
      <c r="AH252" s="612" t="s">
        <v>1674</v>
      </c>
      <c r="AI252" s="612" t="s">
        <v>1674</v>
      </c>
      <c r="AJ252" s="612" t="s">
        <v>1674</v>
      </c>
      <c r="AK252" s="612" t="s">
        <v>1674</v>
      </c>
      <c r="AL252" s="612" t="s">
        <v>1674</v>
      </c>
      <c r="AM252" s="612" t="s">
        <v>1674</v>
      </c>
      <c r="AN252" s="612" t="s">
        <v>1674</v>
      </c>
      <c r="AP252">
        <f t="shared" si="6"/>
        <v>0</v>
      </c>
      <c r="AQ252" s="552">
        <f t="shared" si="7"/>
        <v>0</v>
      </c>
    </row>
    <row r="253" spans="1:43" outlineLevel="1" x14ac:dyDescent="0.25">
      <c r="A253" s="612" t="s">
        <v>1674</v>
      </c>
      <c r="B253" s="786">
        <v>0</v>
      </c>
      <c r="C253" s="612" t="s">
        <v>1674</v>
      </c>
      <c r="D253" s="612" t="s">
        <v>2773</v>
      </c>
      <c r="E253" t="s">
        <v>2692</v>
      </c>
      <c r="G253" s="787"/>
      <c r="H253" s="787">
        <v>942.48</v>
      </c>
      <c r="I253" s="787"/>
      <c r="J253" t="s">
        <v>806</v>
      </c>
      <c r="K253" s="611">
        <v>1200</v>
      </c>
      <c r="L253" t="s">
        <v>806</v>
      </c>
      <c r="M253" s="614"/>
      <c r="N253" s="788"/>
      <c r="O253" s="612" t="s">
        <v>1674</v>
      </c>
      <c r="P253" s="612" t="s">
        <v>1674</v>
      </c>
      <c r="Q253" s="612" t="s">
        <v>2693</v>
      </c>
      <c r="R253" s="612" t="s">
        <v>1674</v>
      </c>
      <c r="S253" s="612" t="s">
        <v>1674</v>
      </c>
      <c r="T253" s="789"/>
      <c r="U253" s="612" t="s">
        <v>2694</v>
      </c>
      <c r="V253" s="611">
        <v>1833</v>
      </c>
      <c r="W253" s="614"/>
      <c r="Y253" s="612" t="s">
        <v>1674</v>
      </c>
      <c r="AA253" s="612" t="s">
        <v>1674</v>
      </c>
      <c r="AE253" s="790"/>
      <c r="AF253" s="612" t="s">
        <v>1674</v>
      </c>
      <c r="AG253" s="612" t="s">
        <v>1674</v>
      </c>
      <c r="AH253" s="612" t="s">
        <v>1674</v>
      </c>
      <c r="AI253" s="612" t="s">
        <v>1674</v>
      </c>
      <c r="AJ253" s="612" t="s">
        <v>1674</v>
      </c>
      <c r="AK253" s="612" t="s">
        <v>1674</v>
      </c>
      <c r="AL253" s="612" t="s">
        <v>1674</v>
      </c>
      <c r="AM253" s="612" t="s">
        <v>1674</v>
      </c>
      <c r="AN253" s="612" t="s">
        <v>1674</v>
      </c>
      <c r="AP253">
        <f t="shared" si="6"/>
        <v>0</v>
      </c>
      <c r="AQ253" s="552">
        <f t="shared" si="7"/>
        <v>0</v>
      </c>
    </row>
    <row r="254" spans="1:43" outlineLevel="1" x14ac:dyDescent="0.25">
      <c r="A254" s="612" t="s">
        <v>1674</v>
      </c>
      <c r="B254" s="786">
        <v>0</v>
      </c>
      <c r="C254" s="612" t="s">
        <v>1674</v>
      </c>
      <c r="D254" s="612" t="s">
        <v>2773</v>
      </c>
      <c r="E254" t="s">
        <v>2692</v>
      </c>
      <c r="G254" s="787"/>
      <c r="H254" s="787">
        <v>9.52</v>
      </c>
      <c r="I254" s="787"/>
      <c r="J254" t="s">
        <v>806</v>
      </c>
      <c r="K254" s="611">
        <v>8736</v>
      </c>
      <c r="L254" t="s">
        <v>806</v>
      </c>
      <c r="M254" s="614"/>
      <c r="N254" s="788"/>
      <c r="O254" s="612" t="s">
        <v>1674</v>
      </c>
      <c r="P254" s="612" t="s">
        <v>1674</v>
      </c>
      <c r="Q254" s="612" t="s">
        <v>2693</v>
      </c>
      <c r="R254" s="612" t="s">
        <v>1674</v>
      </c>
      <c r="S254" s="612" t="s">
        <v>1674</v>
      </c>
      <c r="T254" s="789">
        <v>19</v>
      </c>
      <c r="U254" s="612" t="s">
        <v>2694</v>
      </c>
      <c r="V254" s="611">
        <v>1834</v>
      </c>
      <c r="W254" s="614"/>
      <c r="Y254" s="612" t="s">
        <v>1674</v>
      </c>
      <c r="AA254" s="612" t="s">
        <v>1674</v>
      </c>
      <c r="AE254" s="790"/>
      <c r="AF254" s="612" t="s">
        <v>1674</v>
      </c>
      <c r="AG254" s="612" t="s">
        <v>1674</v>
      </c>
      <c r="AH254" s="612" t="s">
        <v>1674</v>
      </c>
      <c r="AI254" s="612" t="s">
        <v>1674</v>
      </c>
      <c r="AJ254" s="612" t="s">
        <v>1674</v>
      </c>
      <c r="AK254" s="612" t="s">
        <v>1674</v>
      </c>
      <c r="AL254" s="612" t="s">
        <v>1674</v>
      </c>
      <c r="AM254" s="612" t="s">
        <v>1674</v>
      </c>
      <c r="AN254" s="612" t="s">
        <v>1674</v>
      </c>
      <c r="AP254">
        <f t="shared" si="6"/>
        <v>0</v>
      </c>
      <c r="AQ254" s="552">
        <f t="shared" si="7"/>
        <v>0</v>
      </c>
    </row>
    <row r="255" spans="1:43" outlineLevel="1" x14ac:dyDescent="0.25">
      <c r="A255" s="612" t="s">
        <v>1674</v>
      </c>
      <c r="B255" s="786">
        <v>0</v>
      </c>
      <c r="C255" s="612" t="s">
        <v>1674</v>
      </c>
      <c r="D255" s="612" t="s">
        <v>2773</v>
      </c>
      <c r="E255" t="s">
        <v>2695</v>
      </c>
      <c r="G255" s="787"/>
      <c r="H255" s="787">
        <v>942.48</v>
      </c>
      <c r="I255" s="787"/>
      <c r="J255" t="s">
        <v>806</v>
      </c>
      <c r="K255" s="611">
        <v>1200</v>
      </c>
      <c r="L255" t="s">
        <v>806</v>
      </c>
      <c r="M255" s="614"/>
      <c r="N255" s="788"/>
      <c r="O255" s="612" t="s">
        <v>1674</v>
      </c>
      <c r="P255" s="612" t="s">
        <v>1674</v>
      </c>
      <c r="Q255" s="612" t="s">
        <v>2696</v>
      </c>
      <c r="R255" s="612" t="s">
        <v>1674</v>
      </c>
      <c r="S255" s="612" t="s">
        <v>1674</v>
      </c>
      <c r="T255" s="789"/>
      <c r="U255" s="612" t="s">
        <v>2697</v>
      </c>
      <c r="V255" s="611">
        <v>1616</v>
      </c>
      <c r="W255" s="614"/>
      <c r="Y255" s="612" t="s">
        <v>1674</v>
      </c>
      <c r="AA255" s="612" t="s">
        <v>1674</v>
      </c>
      <c r="AE255" s="790"/>
      <c r="AF255" s="612" t="s">
        <v>1674</v>
      </c>
      <c r="AG255" s="612" t="s">
        <v>1674</v>
      </c>
      <c r="AH255" s="612" t="s">
        <v>1674</v>
      </c>
      <c r="AI255" s="612" t="s">
        <v>1674</v>
      </c>
      <c r="AJ255" s="612" t="s">
        <v>1674</v>
      </c>
      <c r="AK255" s="612" t="s">
        <v>1674</v>
      </c>
      <c r="AL255" s="612" t="s">
        <v>1674</v>
      </c>
      <c r="AM255" s="612" t="s">
        <v>1674</v>
      </c>
      <c r="AN255" s="612" t="s">
        <v>1674</v>
      </c>
      <c r="AP255">
        <f t="shared" si="6"/>
        <v>0</v>
      </c>
      <c r="AQ255" s="552">
        <f t="shared" si="7"/>
        <v>0</v>
      </c>
    </row>
    <row r="256" spans="1:43" outlineLevel="1" x14ac:dyDescent="0.25">
      <c r="A256" s="612" t="s">
        <v>1674</v>
      </c>
      <c r="B256" s="786">
        <v>0</v>
      </c>
      <c r="C256" s="612" t="s">
        <v>1674</v>
      </c>
      <c r="D256" s="612" t="s">
        <v>2773</v>
      </c>
      <c r="E256" t="s">
        <v>2695</v>
      </c>
      <c r="G256" s="787"/>
      <c r="H256" s="787">
        <v>9.52</v>
      </c>
      <c r="I256" s="787"/>
      <c r="J256" t="s">
        <v>806</v>
      </c>
      <c r="K256" s="611">
        <v>8736</v>
      </c>
      <c r="L256" t="s">
        <v>806</v>
      </c>
      <c r="M256" s="614"/>
      <c r="N256" s="788"/>
      <c r="O256" s="612" t="s">
        <v>1674</v>
      </c>
      <c r="P256" s="612" t="s">
        <v>1674</v>
      </c>
      <c r="Q256" s="612" t="s">
        <v>2696</v>
      </c>
      <c r="R256" s="612" t="s">
        <v>1674</v>
      </c>
      <c r="S256" s="612" t="s">
        <v>1674</v>
      </c>
      <c r="T256" s="789">
        <v>19</v>
      </c>
      <c r="U256" s="612" t="s">
        <v>2697</v>
      </c>
      <c r="V256" s="611">
        <v>1617</v>
      </c>
      <c r="W256" s="614"/>
      <c r="Y256" s="612" t="s">
        <v>1674</v>
      </c>
      <c r="AA256" s="612" t="s">
        <v>1674</v>
      </c>
      <c r="AE256" s="790"/>
      <c r="AF256" s="612" t="s">
        <v>1674</v>
      </c>
      <c r="AG256" s="612" t="s">
        <v>1674</v>
      </c>
      <c r="AH256" s="612" t="s">
        <v>1674</v>
      </c>
      <c r="AI256" s="612" t="s">
        <v>1674</v>
      </c>
      <c r="AJ256" s="612" t="s">
        <v>1674</v>
      </c>
      <c r="AK256" s="612" t="s">
        <v>1674</v>
      </c>
      <c r="AL256" s="612" t="s">
        <v>1674</v>
      </c>
      <c r="AM256" s="612" t="s">
        <v>1674</v>
      </c>
      <c r="AN256" s="612" t="s">
        <v>1674</v>
      </c>
      <c r="AP256">
        <f t="shared" si="6"/>
        <v>0</v>
      </c>
      <c r="AQ256" s="552">
        <f t="shared" si="7"/>
        <v>0</v>
      </c>
    </row>
    <row r="257" spans="1:43" outlineLevel="1" x14ac:dyDescent="0.25">
      <c r="A257" s="612" t="s">
        <v>1674</v>
      </c>
      <c r="B257" s="786">
        <v>0</v>
      </c>
      <c r="C257" s="612" t="s">
        <v>1674</v>
      </c>
      <c r="D257" s="612" t="s">
        <v>2773</v>
      </c>
      <c r="E257" t="s">
        <v>2698</v>
      </c>
      <c r="G257" s="787"/>
      <c r="H257" s="787">
        <v>942.48</v>
      </c>
      <c r="I257" s="787"/>
      <c r="J257" t="s">
        <v>806</v>
      </c>
      <c r="K257" s="611">
        <v>1200</v>
      </c>
      <c r="L257" t="s">
        <v>806</v>
      </c>
      <c r="M257" s="614"/>
      <c r="N257" s="788"/>
      <c r="O257" s="612" t="s">
        <v>1674</v>
      </c>
      <c r="P257" s="612" t="s">
        <v>1674</v>
      </c>
      <c r="Q257" s="612" t="s">
        <v>2699</v>
      </c>
      <c r="R257" s="612" t="s">
        <v>1674</v>
      </c>
      <c r="S257" s="612" t="s">
        <v>1674</v>
      </c>
      <c r="T257" s="789"/>
      <c r="U257" s="612" t="s">
        <v>2700</v>
      </c>
      <c r="V257" s="611">
        <v>1604</v>
      </c>
      <c r="W257" s="614"/>
      <c r="Y257" s="612" t="s">
        <v>1674</v>
      </c>
      <c r="AA257" s="612" t="s">
        <v>1674</v>
      </c>
      <c r="AE257" s="790"/>
      <c r="AF257" s="612" t="s">
        <v>1674</v>
      </c>
      <c r="AG257" s="612" t="s">
        <v>1674</v>
      </c>
      <c r="AH257" s="612" t="s">
        <v>1674</v>
      </c>
      <c r="AI257" s="612" t="s">
        <v>1674</v>
      </c>
      <c r="AJ257" s="612" t="s">
        <v>1674</v>
      </c>
      <c r="AK257" s="612" t="s">
        <v>1674</v>
      </c>
      <c r="AL257" s="612" t="s">
        <v>1674</v>
      </c>
      <c r="AM257" s="612" t="s">
        <v>1674</v>
      </c>
      <c r="AN257" s="612" t="s">
        <v>1674</v>
      </c>
      <c r="AP257">
        <f t="shared" si="6"/>
        <v>0</v>
      </c>
      <c r="AQ257" s="552">
        <f t="shared" si="7"/>
        <v>0</v>
      </c>
    </row>
    <row r="258" spans="1:43" outlineLevel="1" x14ac:dyDescent="0.25">
      <c r="A258" s="612" t="s">
        <v>1674</v>
      </c>
      <c r="B258" s="786">
        <v>0</v>
      </c>
      <c r="C258" s="612" t="s">
        <v>1674</v>
      </c>
      <c r="D258" s="612" t="s">
        <v>2773</v>
      </c>
      <c r="E258" t="s">
        <v>2698</v>
      </c>
      <c r="G258" s="787"/>
      <c r="H258" s="787">
        <v>9.52</v>
      </c>
      <c r="I258" s="787"/>
      <c r="J258" t="s">
        <v>806</v>
      </c>
      <c r="K258" s="611">
        <v>8736</v>
      </c>
      <c r="L258" t="s">
        <v>806</v>
      </c>
      <c r="M258" s="614"/>
      <c r="N258" s="788"/>
      <c r="O258" s="612" t="s">
        <v>1674</v>
      </c>
      <c r="P258" s="612" t="s">
        <v>1674</v>
      </c>
      <c r="Q258" s="612" t="s">
        <v>2699</v>
      </c>
      <c r="R258" s="612" t="s">
        <v>1674</v>
      </c>
      <c r="S258" s="612" t="s">
        <v>1674</v>
      </c>
      <c r="T258" s="789">
        <v>19</v>
      </c>
      <c r="U258" s="612" t="s">
        <v>2700</v>
      </c>
      <c r="V258" s="611">
        <v>1605</v>
      </c>
      <c r="W258" s="614"/>
      <c r="Y258" s="612" t="s">
        <v>1674</v>
      </c>
      <c r="AA258" s="612" t="s">
        <v>1674</v>
      </c>
      <c r="AE258" s="790"/>
      <c r="AF258" s="612" t="s">
        <v>1674</v>
      </c>
      <c r="AG258" s="612" t="s">
        <v>1674</v>
      </c>
      <c r="AH258" s="612" t="s">
        <v>1674</v>
      </c>
      <c r="AI258" s="612" t="s">
        <v>1674</v>
      </c>
      <c r="AJ258" s="612" t="s">
        <v>1674</v>
      </c>
      <c r="AK258" s="612" t="s">
        <v>1674</v>
      </c>
      <c r="AL258" s="612" t="s">
        <v>1674</v>
      </c>
      <c r="AM258" s="612" t="s">
        <v>1674</v>
      </c>
      <c r="AN258" s="612" t="s">
        <v>1674</v>
      </c>
      <c r="AP258">
        <f t="shared" si="6"/>
        <v>0</v>
      </c>
      <c r="AQ258" s="552">
        <f t="shared" si="7"/>
        <v>0</v>
      </c>
    </row>
    <row r="259" spans="1:43" outlineLevel="1" x14ac:dyDescent="0.25">
      <c r="A259" s="612" t="s">
        <v>1674</v>
      </c>
      <c r="B259" s="786">
        <v>0</v>
      </c>
      <c r="C259" s="612" t="s">
        <v>1674</v>
      </c>
      <c r="D259" s="612" t="s">
        <v>2773</v>
      </c>
      <c r="E259" t="s">
        <v>3296</v>
      </c>
      <c r="G259" s="787"/>
      <c r="H259" s="787">
        <v>942.48</v>
      </c>
      <c r="I259" s="787"/>
      <c r="J259" t="s">
        <v>806</v>
      </c>
      <c r="K259" s="611">
        <v>1200</v>
      </c>
      <c r="L259" t="s">
        <v>806</v>
      </c>
      <c r="M259" s="614"/>
      <c r="N259" s="788"/>
      <c r="O259" s="612" t="s">
        <v>1674</v>
      </c>
      <c r="P259" s="612" t="s">
        <v>1674</v>
      </c>
      <c r="Q259" s="612" t="s">
        <v>3302</v>
      </c>
      <c r="R259" s="612" t="s">
        <v>1674</v>
      </c>
      <c r="S259" s="612" t="s">
        <v>1674</v>
      </c>
      <c r="T259" s="789"/>
      <c r="U259" s="612" t="s">
        <v>3303</v>
      </c>
      <c r="V259" s="611">
        <v>1673</v>
      </c>
      <c r="W259" s="614"/>
      <c r="Y259" s="612" t="s">
        <v>1674</v>
      </c>
      <c r="AA259" s="612" t="s">
        <v>1674</v>
      </c>
      <c r="AE259" s="790"/>
      <c r="AF259" s="612" t="s">
        <v>1674</v>
      </c>
      <c r="AG259" s="612" t="s">
        <v>1674</v>
      </c>
      <c r="AH259" s="612" t="s">
        <v>1674</v>
      </c>
      <c r="AI259" s="612" t="s">
        <v>1674</v>
      </c>
      <c r="AJ259" s="612" t="s">
        <v>1674</v>
      </c>
      <c r="AK259" s="612" t="s">
        <v>1674</v>
      </c>
      <c r="AL259" s="612" t="s">
        <v>1674</v>
      </c>
      <c r="AM259" s="612" t="s">
        <v>1674</v>
      </c>
      <c r="AN259" s="612" t="s">
        <v>1674</v>
      </c>
      <c r="AP259">
        <f t="shared" ref="AP259:AP322" si="8">IF(F259="",0,$AO$2-F259)</f>
        <v>0</v>
      </c>
      <c r="AQ259" s="552">
        <f t="shared" si="7"/>
        <v>0</v>
      </c>
    </row>
    <row r="260" spans="1:43" outlineLevel="1" x14ac:dyDescent="0.25">
      <c r="A260" s="612" t="s">
        <v>1674</v>
      </c>
      <c r="B260" s="786">
        <v>0</v>
      </c>
      <c r="C260" s="612" t="s">
        <v>1674</v>
      </c>
      <c r="D260" s="612" t="s">
        <v>2773</v>
      </c>
      <c r="E260" t="s">
        <v>3296</v>
      </c>
      <c r="G260" s="787"/>
      <c r="H260" s="787">
        <v>9.52</v>
      </c>
      <c r="I260" s="787"/>
      <c r="J260" t="s">
        <v>806</v>
      </c>
      <c r="K260" s="611">
        <v>8736</v>
      </c>
      <c r="L260" t="s">
        <v>806</v>
      </c>
      <c r="M260" s="614"/>
      <c r="N260" s="788"/>
      <c r="O260" s="612" t="s">
        <v>1674</v>
      </c>
      <c r="P260" s="612" t="s">
        <v>1674</v>
      </c>
      <c r="Q260" s="612" t="s">
        <v>3302</v>
      </c>
      <c r="R260" s="612" t="s">
        <v>1674</v>
      </c>
      <c r="S260" s="612" t="s">
        <v>1674</v>
      </c>
      <c r="T260" s="789">
        <v>19</v>
      </c>
      <c r="U260" s="612" t="s">
        <v>3303</v>
      </c>
      <c r="V260" s="611">
        <v>1674</v>
      </c>
      <c r="W260" s="614"/>
      <c r="Y260" s="612" t="s">
        <v>1674</v>
      </c>
      <c r="AA260" s="612" t="s">
        <v>1674</v>
      </c>
      <c r="AE260" s="790"/>
      <c r="AF260" s="612" t="s">
        <v>1674</v>
      </c>
      <c r="AG260" s="612" t="s">
        <v>1674</v>
      </c>
      <c r="AH260" s="612" t="s">
        <v>1674</v>
      </c>
      <c r="AI260" s="612" t="s">
        <v>1674</v>
      </c>
      <c r="AJ260" s="612" t="s">
        <v>1674</v>
      </c>
      <c r="AK260" s="612" t="s">
        <v>1674</v>
      </c>
      <c r="AL260" s="612" t="s">
        <v>1674</v>
      </c>
      <c r="AM260" s="612" t="s">
        <v>1674</v>
      </c>
      <c r="AN260" s="612" t="s">
        <v>1674</v>
      </c>
      <c r="AP260">
        <f t="shared" si="8"/>
        <v>0</v>
      </c>
      <c r="AQ260" s="552">
        <f t="shared" ref="AQ260:AQ323" si="9">IF(J260="S",+I260,-I260)</f>
        <v>0</v>
      </c>
    </row>
    <row r="261" spans="1:43" outlineLevel="1" x14ac:dyDescent="0.25">
      <c r="A261" s="612" t="s">
        <v>1674</v>
      </c>
      <c r="B261" s="786">
        <v>0</v>
      </c>
      <c r="C261" s="612" t="s">
        <v>1674</v>
      </c>
      <c r="D261" s="612" t="s">
        <v>2773</v>
      </c>
      <c r="E261" t="s">
        <v>3304</v>
      </c>
      <c r="G261" s="787"/>
      <c r="H261" s="787">
        <v>942.48</v>
      </c>
      <c r="I261" s="787"/>
      <c r="J261" t="s">
        <v>806</v>
      </c>
      <c r="K261" s="611">
        <v>1200</v>
      </c>
      <c r="L261" t="s">
        <v>806</v>
      </c>
      <c r="M261" s="614"/>
      <c r="N261" s="788"/>
      <c r="O261" s="612" t="s">
        <v>1674</v>
      </c>
      <c r="P261" s="612" t="s">
        <v>1674</v>
      </c>
      <c r="Q261" s="612" t="s">
        <v>3305</v>
      </c>
      <c r="R261" s="612" t="s">
        <v>1674</v>
      </c>
      <c r="S261" s="612" t="s">
        <v>1674</v>
      </c>
      <c r="T261" s="789"/>
      <c r="U261" s="612" t="s">
        <v>3306</v>
      </c>
      <c r="V261" s="611">
        <v>1617</v>
      </c>
      <c r="W261" s="614"/>
      <c r="Y261" s="612" t="s">
        <v>1674</v>
      </c>
      <c r="AA261" s="612" t="s">
        <v>1674</v>
      </c>
      <c r="AE261" s="790"/>
      <c r="AF261" s="612" t="s">
        <v>1674</v>
      </c>
      <c r="AG261" s="612" t="s">
        <v>1674</v>
      </c>
      <c r="AH261" s="612" t="s">
        <v>1674</v>
      </c>
      <c r="AI261" s="612" t="s">
        <v>1674</v>
      </c>
      <c r="AJ261" s="612" t="s">
        <v>1674</v>
      </c>
      <c r="AK261" s="612" t="s">
        <v>1674</v>
      </c>
      <c r="AL261" s="612" t="s">
        <v>1674</v>
      </c>
      <c r="AM261" s="612" t="s">
        <v>1674</v>
      </c>
      <c r="AN261" s="612" t="s">
        <v>1674</v>
      </c>
      <c r="AP261">
        <f t="shared" si="8"/>
        <v>0</v>
      </c>
      <c r="AQ261" s="552">
        <f t="shared" si="9"/>
        <v>0</v>
      </c>
    </row>
    <row r="262" spans="1:43" outlineLevel="1" x14ac:dyDescent="0.25">
      <c r="A262" s="612" t="s">
        <v>1674</v>
      </c>
      <c r="B262" s="786">
        <v>0</v>
      </c>
      <c r="C262" s="612" t="s">
        <v>1674</v>
      </c>
      <c r="D262" s="612" t="s">
        <v>2773</v>
      </c>
      <c r="E262" t="s">
        <v>3304</v>
      </c>
      <c r="G262" s="787"/>
      <c r="H262" s="787">
        <v>9.52</v>
      </c>
      <c r="I262" s="787"/>
      <c r="J262" t="s">
        <v>806</v>
      </c>
      <c r="K262" s="611">
        <v>8736</v>
      </c>
      <c r="L262" t="s">
        <v>806</v>
      </c>
      <c r="M262" s="614"/>
      <c r="N262" s="788"/>
      <c r="O262" s="612" t="s">
        <v>1674</v>
      </c>
      <c r="P262" s="612" t="s">
        <v>1674</v>
      </c>
      <c r="Q262" s="612" t="s">
        <v>3305</v>
      </c>
      <c r="R262" s="612" t="s">
        <v>1674</v>
      </c>
      <c r="S262" s="612" t="s">
        <v>1674</v>
      </c>
      <c r="T262" s="789">
        <v>19</v>
      </c>
      <c r="U262" s="612" t="s">
        <v>3306</v>
      </c>
      <c r="V262" s="611">
        <v>1618</v>
      </c>
      <c r="W262" s="614"/>
      <c r="Y262" s="612" t="s">
        <v>1674</v>
      </c>
      <c r="AA262" s="612" t="s">
        <v>1674</v>
      </c>
      <c r="AE262" s="790"/>
      <c r="AF262" s="612" t="s">
        <v>1674</v>
      </c>
      <c r="AG262" s="612" t="s">
        <v>1674</v>
      </c>
      <c r="AH262" s="612" t="s">
        <v>1674</v>
      </c>
      <c r="AI262" s="612" t="s">
        <v>1674</v>
      </c>
      <c r="AJ262" s="612" t="s">
        <v>1674</v>
      </c>
      <c r="AK262" s="612" t="s">
        <v>1674</v>
      </c>
      <c r="AL262" s="612" t="s">
        <v>1674</v>
      </c>
      <c r="AM262" s="612" t="s">
        <v>1674</v>
      </c>
      <c r="AN262" s="612" t="s">
        <v>1674</v>
      </c>
      <c r="AP262">
        <f t="shared" si="8"/>
        <v>0</v>
      </c>
      <c r="AQ262" s="552">
        <f t="shared" si="9"/>
        <v>0</v>
      </c>
    </row>
    <row r="263" spans="1:43" outlineLevel="1" x14ac:dyDescent="0.25">
      <c r="A263" s="612" t="s">
        <v>1674</v>
      </c>
      <c r="B263" s="786">
        <v>0</v>
      </c>
      <c r="C263" s="612" t="s">
        <v>1674</v>
      </c>
      <c r="D263" s="612" t="s">
        <v>2773</v>
      </c>
      <c r="E263" t="s">
        <v>3307</v>
      </c>
      <c r="G263" s="787"/>
      <c r="H263" s="787">
        <v>942.48</v>
      </c>
      <c r="I263" s="787"/>
      <c r="J263" t="s">
        <v>806</v>
      </c>
      <c r="K263" s="611">
        <v>1200</v>
      </c>
      <c r="L263" t="s">
        <v>806</v>
      </c>
      <c r="M263" s="614"/>
      <c r="N263" s="788"/>
      <c r="O263" s="612" t="s">
        <v>1674</v>
      </c>
      <c r="P263" s="612" t="s">
        <v>1674</v>
      </c>
      <c r="Q263" s="612" t="s">
        <v>3308</v>
      </c>
      <c r="R263" s="612" t="s">
        <v>1674</v>
      </c>
      <c r="S263" s="612" t="s">
        <v>1674</v>
      </c>
      <c r="T263" s="789"/>
      <c r="U263" s="612" t="s">
        <v>3309</v>
      </c>
      <c r="V263" s="611">
        <v>1679</v>
      </c>
      <c r="W263" s="614"/>
      <c r="Y263" s="612" t="s">
        <v>1674</v>
      </c>
      <c r="AA263" s="612" t="s">
        <v>1674</v>
      </c>
      <c r="AE263" s="790"/>
      <c r="AF263" s="612" t="s">
        <v>1674</v>
      </c>
      <c r="AG263" s="612" t="s">
        <v>1674</v>
      </c>
      <c r="AH263" s="612" t="s">
        <v>1674</v>
      </c>
      <c r="AI263" s="612" t="s">
        <v>1674</v>
      </c>
      <c r="AJ263" s="612" t="s">
        <v>1674</v>
      </c>
      <c r="AK263" s="612" t="s">
        <v>1674</v>
      </c>
      <c r="AL263" s="612" t="s">
        <v>1674</v>
      </c>
      <c r="AM263" s="612" t="s">
        <v>1674</v>
      </c>
      <c r="AN263" s="612" t="s">
        <v>1674</v>
      </c>
      <c r="AP263">
        <f t="shared" si="8"/>
        <v>0</v>
      </c>
      <c r="AQ263" s="552">
        <f t="shared" si="9"/>
        <v>0</v>
      </c>
    </row>
    <row r="264" spans="1:43" outlineLevel="1" x14ac:dyDescent="0.25">
      <c r="A264" s="612" t="s">
        <v>1674</v>
      </c>
      <c r="B264" s="786">
        <v>0</v>
      </c>
      <c r="C264" s="612" t="s">
        <v>1674</v>
      </c>
      <c r="D264" s="612" t="s">
        <v>2773</v>
      </c>
      <c r="E264" t="s">
        <v>3307</v>
      </c>
      <c r="G264" s="787"/>
      <c r="H264" s="787">
        <v>9.52</v>
      </c>
      <c r="I264" s="787"/>
      <c r="J264" t="s">
        <v>806</v>
      </c>
      <c r="K264" s="611">
        <v>8736</v>
      </c>
      <c r="L264" t="s">
        <v>806</v>
      </c>
      <c r="M264" s="614"/>
      <c r="N264" s="788"/>
      <c r="O264" s="612" t="s">
        <v>1674</v>
      </c>
      <c r="P264" s="612" t="s">
        <v>1674</v>
      </c>
      <c r="Q264" s="612" t="s">
        <v>3308</v>
      </c>
      <c r="R264" s="612" t="s">
        <v>1674</v>
      </c>
      <c r="S264" s="612" t="s">
        <v>1674</v>
      </c>
      <c r="T264" s="789">
        <v>19</v>
      </c>
      <c r="U264" s="612" t="s">
        <v>3309</v>
      </c>
      <c r="V264" s="611">
        <v>1680</v>
      </c>
      <c r="W264" s="614"/>
      <c r="Y264" s="612" t="s">
        <v>1674</v>
      </c>
      <c r="AA264" s="612" t="s">
        <v>1674</v>
      </c>
      <c r="AE264" s="790"/>
      <c r="AF264" s="612" t="s">
        <v>1674</v>
      </c>
      <c r="AG264" s="612" t="s">
        <v>1674</v>
      </c>
      <c r="AH264" s="612" t="s">
        <v>1674</v>
      </c>
      <c r="AI264" s="612" t="s">
        <v>1674</v>
      </c>
      <c r="AJ264" s="612" t="s">
        <v>1674</v>
      </c>
      <c r="AK264" s="612" t="s">
        <v>1674</v>
      </c>
      <c r="AL264" s="612" t="s">
        <v>1674</v>
      </c>
      <c r="AM264" s="612" t="s">
        <v>1674</v>
      </c>
      <c r="AN264" s="612" t="s">
        <v>1674</v>
      </c>
      <c r="AP264">
        <f t="shared" si="8"/>
        <v>0</v>
      </c>
      <c r="AQ264" s="552">
        <f t="shared" si="9"/>
        <v>0</v>
      </c>
    </row>
    <row r="265" spans="1:43" outlineLevel="1" x14ac:dyDescent="0.25">
      <c r="A265" s="612" t="s">
        <v>1674</v>
      </c>
      <c r="B265" s="786">
        <v>0</v>
      </c>
      <c r="C265" s="612" t="s">
        <v>1674</v>
      </c>
      <c r="D265" s="612" t="s">
        <v>2773</v>
      </c>
      <c r="E265" t="s">
        <v>3310</v>
      </c>
      <c r="G265" s="787"/>
      <c r="H265" s="787">
        <v>952</v>
      </c>
      <c r="I265" s="787"/>
      <c r="J265" t="s">
        <v>806</v>
      </c>
      <c r="K265" s="611">
        <v>1200</v>
      </c>
      <c r="L265" t="s">
        <v>806</v>
      </c>
      <c r="M265" s="614"/>
      <c r="N265" s="788"/>
      <c r="O265" s="612" t="s">
        <v>1674</v>
      </c>
      <c r="P265" s="612" t="s">
        <v>1674</v>
      </c>
      <c r="Q265" s="612" t="s">
        <v>3311</v>
      </c>
      <c r="R265" s="612" t="s">
        <v>1674</v>
      </c>
      <c r="S265" s="612" t="s">
        <v>1674</v>
      </c>
      <c r="T265" s="789"/>
      <c r="U265" s="612" t="s">
        <v>3312</v>
      </c>
      <c r="V265" s="611">
        <v>1870</v>
      </c>
      <c r="W265" s="614"/>
      <c r="Y265" s="612" t="s">
        <v>1674</v>
      </c>
      <c r="AA265" s="612" t="s">
        <v>1674</v>
      </c>
      <c r="AE265" s="790"/>
      <c r="AF265" s="612" t="s">
        <v>1674</v>
      </c>
      <c r="AG265" s="612" t="s">
        <v>1674</v>
      </c>
      <c r="AH265" s="612" t="s">
        <v>1674</v>
      </c>
      <c r="AI265" s="612" t="s">
        <v>1674</v>
      </c>
      <c r="AJ265" s="612" t="s">
        <v>1674</v>
      </c>
      <c r="AK265" s="612" t="s">
        <v>1674</v>
      </c>
      <c r="AL265" s="612" t="s">
        <v>1674</v>
      </c>
      <c r="AM265" s="612" t="s">
        <v>1674</v>
      </c>
      <c r="AN265" s="612" t="s">
        <v>1674</v>
      </c>
      <c r="AP265">
        <f t="shared" si="8"/>
        <v>0</v>
      </c>
      <c r="AQ265" s="552">
        <f t="shared" si="9"/>
        <v>0</v>
      </c>
    </row>
    <row r="266" spans="1:43" outlineLevel="1" x14ac:dyDescent="0.25">
      <c r="A266" s="612" t="s">
        <v>1674</v>
      </c>
      <c r="B266" s="786">
        <v>0</v>
      </c>
      <c r="C266" s="612" t="s">
        <v>1674</v>
      </c>
      <c r="D266" s="612" t="s">
        <v>2773</v>
      </c>
      <c r="E266" t="s">
        <v>3313</v>
      </c>
      <c r="G266" s="787"/>
      <c r="H266" s="787">
        <v>942.48</v>
      </c>
      <c r="I266" s="787"/>
      <c r="J266" t="s">
        <v>806</v>
      </c>
      <c r="K266" s="611">
        <v>1200</v>
      </c>
      <c r="L266" t="s">
        <v>806</v>
      </c>
      <c r="M266" s="614"/>
      <c r="N266" s="788"/>
      <c r="O266" s="612" t="s">
        <v>1674</v>
      </c>
      <c r="P266" s="612" t="s">
        <v>1674</v>
      </c>
      <c r="Q266" s="612" t="s">
        <v>3314</v>
      </c>
      <c r="R266" s="612" t="s">
        <v>1674</v>
      </c>
      <c r="S266" s="612" t="s">
        <v>1674</v>
      </c>
      <c r="T266" s="789"/>
      <c r="U266" s="612" t="s">
        <v>3315</v>
      </c>
      <c r="V266" s="611">
        <v>70</v>
      </c>
      <c r="W266" s="614"/>
      <c r="Y266" s="612" t="s">
        <v>1674</v>
      </c>
      <c r="AA266" s="612" t="s">
        <v>1674</v>
      </c>
      <c r="AE266" s="790"/>
      <c r="AF266" s="612" t="s">
        <v>1674</v>
      </c>
      <c r="AG266" s="612" t="s">
        <v>1674</v>
      </c>
      <c r="AH266" s="612" t="s">
        <v>1674</v>
      </c>
      <c r="AI266" s="612" t="s">
        <v>1674</v>
      </c>
      <c r="AJ266" s="612" t="s">
        <v>1674</v>
      </c>
      <c r="AK266" s="612" t="s">
        <v>1674</v>
      </c>
      <c r="AL266" s="612" t="s">
        <v>1674</v>
      </c>
      <c r="AM266" s="612" t="s">
        <v>1674</v>
      </c>
      <c r="AN266" s="612" t="s">
        <v>1674</v>
      </c>
      <c r="AP266">
        <f t="shared" si="8"/>
        <v>0</v>
      </c>
      <c r="AQ266" s="552">
        <f t="shared" si="9"/>
        <v>0</v>
      </c>
    </row>
    <row r="267" spans="1:43" outlineLevel="1" x14ac:dyDescent="0.25">
      <c r="A267" s="612" t="s">
        <v>1674</v>
      </c>
      <c r="B267" s="786">
        <v>0</v>
      </c>
      <c r="C267" s="612" t="s">
        <v>1674</v>
      </c>
      <c r="D267" s="612" t="s">
        <v>2773</v>
      </c>
      <c r="E267" t="s">
        <v>3313</v>
      </c>
      <c r="G267" s="787"/>
      <c r="H267" s="787">
        <v>9.52</v>
      </c>
      <c r="I267" s="787"/>
      <c r="J267" t="s">
        <v>806</v>
      </c>
      <c r="K267" s="611">
        <v>8736</v>
      </c>
      <c r="L267" t="s">
        <v>806</v>
      </c>
      <c r="M267" s="614"/>
      <c r="N267" s="788"/>
      <c r="O267" s="612" t="s">
        <v>1674</v>
      </c>
      <c r="P267" s="612" t="s">
        <v>1674</v>
      </c>
      <c r="Q267" s="612" t="s">
        <v>3314</v>
      </c>
      <c r="R267" s="612" t="s">
        <v>1674</v>
      </c>
      <c r="S267" s="612" t="s">
        <v>1674</v>
      </c>
      <c r="T267" s="789">
        <v>19</v>
      </c>
      <c r="U267" s="612" t="s">
        <v>3315</v>
      </c>
      <c r="V267" s="611">
        <v>71</v>
      </c>
      <c r="W267" s="614"/>
      <c r="Y267" s="612" t="s">
        <v>1674</v>
      </c>
      <c r="AA267" s="612" t="s">
        <v>1674</v>
      </c>
      <c r="AE267" s="790"/>
      <c r="AF267" s="612" t="s">
        <v>1674</v>
      </c>
      <c r="AG267" s="612" t="s">
        <v>1674</v>
      </c>
      <c r="AH267" s="612" t="s">
        <v>1674</v>
      </c>
      <c r="AI267" s="612" t="s">
        <v>1674</v>
      </c>
      <c r="AJ267" s="612" t="s">
        <v>1674</v>
      </c>
      <c r="AK267" s="612" t="s">
        <v>1674</v>
      </c>
      <c r="AL267" s="612" t="s">
        <v>1674</v>
      </c>
      <c r="AM267" s="612" t="s">
        <v>1674</v>
      </c>
      <c r="AN267" s="612" t="s">
        <v>1674</v>
      </c>
      <c r="AP267">
        <f t="shared" si="8"/>
        <v>0</v>
      </c>
      <c r="AQ267" s="552">
        <f t="shared" si="9"/>
        <v>0</v>
      </c>
    </row>
    <row r="268" spans="1:43" outlineLevel="1" x14ac:dyDescent="0.25">
      <c r="A268" s="612" t="s">
        <v>1674</v>
      </c>
      <c r="B268" s="786">
        <v>0</v>
      </c>
      <c r="C268" s="612" t="s">
        <v>1674</v>
      </c>
      <c r="D268" s="612" t="s">
        <v>2773</v>
      </c>
      <c r="E268" t="s">
        <v>3316</v>
      </c>
      <c r="G268" s="787"/>
      <c r="H268" s="787">
        <v>952</v>
      </c>
      <c r="I268" s="787"/>
      <c r="J268" t="s">
        <v>806</v>
      </c>
      <c r="K268" s="611">
        <v>1200</v>
      </c>
      <c r="L268" t="s">
        <v>806</v>
      </c>
      <c r="M268" s="614"/>
      <c r="N268" s="788"/>
      <c r="O268" s="612" t="s">
        <v>1674</v>
      </c>
      <c r="P268" s="612" t="s">
        <v>1674</v>
      </c>
      <c r="Q268" s="612" t="s">
        <v>3317</v>
      </c>
      <c r="R268" s="612" t="s">
        <v>1674</v>
      </c>
      <c r="S268" s="612" t="s">
        <v>1674</v>
      </c>
      <c r="T268" s="789"/>
      <c r="U268" s="612" t="s">
        <v>3315</v>
      </c>
      <c r="V268" s="611">
        <v>1661</v>
      </c>
      <c r="W268" s="614"/>
      <c r="Y268" s="612" t="s">
        <v>1674</v>
      </c>
      <c r="AA268" s="612" t="s">
        <v>1674</v>
      </c>
      <c r="AE268" s="790"/>
      <c r="AF268" s="612" t="s">
        <v>1674</v>
      </c>
      <c r="AG268" s="612" t="s">
        <v>1674</v>
      </c>
      <c r="AH268" s="612" t="s">
        <v>1674</v>
      </c>
      <c r="AI268" s="612" t="s">
        <v>1674</v>
      </c>
      <c r="AJ268" s="612" t="s">
        <v>1674</v>
      </c>
      <c r="AK268" s="612" t="s">
        <v>1674</v>
      </c>
      <c r="AL268" s="612" t="s">
        <v>1674</v>
      </c>
      <c r="AM268" s="612" t="s">
        <v>1674</v>
      </c>
      <c r="AN268" s="612" t="s">
        <v>1674</v>
      </c>
      <c r="AP268">
        <f t="shared" si="8"/>
        <v>0</v>
      </c>
      <c r="AQ268" s="552">
        <f t="shared" si="9"/>
        <v>0</v>
      </c>
    </row>
    <row r="269" spans="1:43" outlineLevel="1" x14ac:dyDescent="0.25">
      <c r="A269" s="612" t="s">
        <v>1674</v>
      </c>
      <c r="B269" s="786">
        <v>0</v>
      </c>
      <c r="C269" s="612" t="s">
        <v>1674</v>
      </c>
      <c r="D269" s="612" t="s">
        <v>2773</v>
      </c>
      <c r="E269" t="s">
        <v>3318</v>
      </c>
      <c r="G269" s="787"/>
      <c r="H269" s="787">
        <v>952</v>
      </c>
      <c r="I269" s="787"/>
      <c r="J269" t="s">
        <v>806</v>
      </c>
      <c r="K269" s="611">
        <v>1200</v>
      </c>
      <c r="L269" t="s">
        <v>806</v>
      </c>
      <c r="M269" s="614"/>
      <c r="N269" s="788"/>
      <c r="O269" s="612" t="s">
        <v>1674</v>
      </c>
      <c r="P269" s="612" t="s">
        <v>1674</v>
      </c>
      <c r="Q269" s="612" t="s">
        <v>3319</v>
      </c>
      <c r="R269" s="612" t="s">
        <v>1674</v>
      </c>
      <c r="S269" s="612" t="s">
        <v>1674</v>
      </c>
      <c r="T269" s="789"/>
      <c r="U269" s="612" t="s">
        <v>3320</v>
      </c>
      <c r="V269" s="611">
        <v>1755</v>
      </c>
      <c r="W269" s="614"/>
      <c r="Y269" s="612" t="s">
        <v>1674</v>
      </c>
      <c r="AA269" s="612" t="s">
        <v>1674</v>
      </c>
      <c r="AE269" s="790"/>
      <c r="AF269" s="612" t="s">
        <v>1674</v>
      </c>
      <c r="AG269" s="612" t="s">
        <v>1674</v>
      </c>
      <c r="AH269" s="612" t="s">
        <v>1674</v>
      </c>
      <c r="AI269" s="612" t="s">
        <v>1674</v>
      </c>
      <c r="AJ269" s="612" t="s">
        <v>1674</v>
      </c>
      <c r="AK269" s="612" t="s">
        <v>1674</v>
      </c>
      <c r="AL269" s="612" t="s">
        <v>1674</v>
      </c>
      <c r="AM269" s="612" t="s">
        <v>1674</v>
      </c>
      <c r="AN269" s="612" t="s">
        <v>1674</v>
      </c>
      <c r="AP269">
        <f t="shared" si="8"/>
        <v>0</v>
      </c>
      <c r="AQ269" s="552">
        <f t="shared" si="9"/>
        <v>0</v>
      </c>
    </row>
    <row r="270" spans="1:43" outlineLevel="1" x14ac:dyDescent="0.25">
      <c r="A270" s="612" t="s">
        <v>1674</v>
      </c>
      <c r="B270" s="786">
        <v>0</v>
      </c>
      <c r="C270" s="612" t="s">
        <v>1674</v>
      </c>
      <c r="D270" s="612" t="s">
        <v>2773</v>
      </c>
      <c r="E270" t="s">
        <v>3321</v>
      </c>
      <c r="G270" s="787"/>
      <c r="H270" s="787">
        <v>952</v>
      </c>
      <c r="I270" s="787"/>
      <c r="J270" t="s">
        <v>806</v>
      </c>
      <c r="K270" s="611">
        <v>1200</v>
      </c>
      <c r="L270" t="s">
        <v>806</v>
      </c>
      <c r="M270" s="614"/>
      <c r="N270" s="788"/>
      <c r="O270" s="612" t="s">
        <v>1674</v>
      </c>
      <c r="P270" s="612" t="s">
        <v>1674</v>
      </c>
      <c r="Q270" s="612" t="s">
        <v>3322</v>
      </c>
      <c r="R270" s="612" t="s">
        <v>1674</v>
      </c>
      <c r="S270" s="612" t="s">
        <v>1674</v>
      </c>
      <c r="T270" s="789"/>
      <c r="U270" s="612" t="s">
        <v>3323</v>
      </c>
      <c r="V270" s="611">
        <v>1474</v>
      </c>
      <c r="W270" s="614"/>
      <c r="Y270" s="612" t="s">
        <v>1674</v>
      </c>
      <c r="AA270" s="612" t="s">
        <v>1674</v>
      </c>
      <c r="AE270" s="790"/>
      <c r="AF270" s="612" t="s">
        <v>1674</v>
      </c>
      <c r="AG270" s="612" t="s">
        <v>1674</v>
      </c>
      <c r="AH270" s="612" t="s">
        <v>1674</v>
      </c>
      <c r="AI270" s="612" t="s">
        <v>1674</v>
      </c>
      <c r="AJ270" s="612" t="s">
        <v>1674</v>
      </c>
      <c r="AK270" s="612" t="s">
        <v>1674</v>
      </c>
      <c r="AL270" s="612" t="s">
        <v>1674</v>
      </c>
      <c r="AM270" s="612" t="s">
        <v>1674</v>
      </c>
      <c r="AN270" s="612" t="s">
        <v>1674</v>
      </c>
      <c r="AP270">
        <f t="shared" si="8"/>
        <v>0</v>
      </c>
      <c r="AQ270" s="552">
        <f t="shared" si="9"/>
        <v>0</v>
      </c>
    </row>
    <row r="271" spans="1:43" outlineLevel="1" x14ac:dyDescent="0.25">
      <c r="A271" s="612" t="s">
        <v>1674</v>
      </c>
      <c r="B271" s="786">
        <v>0</v>
      </c>
      <c r="C271" s="612" t="s">
        <v>1674</v>
      </c>
      <c r="D271" s="612" t="s">
        <v>2773</v>
      </c>
      <c r="E271" t="s">
        <v>5005</v>
      </c>
      <c r="G271" s="787"/>
      <c r="H271" s="787">
        <v>952</v>
      </c>
      <c r="I271" s="787"/>
      <c r="J271" t="s">
        <v>806</v>
      </c>
      <c r="K271" s="611">
        <v>1200</v>
      </c>
      <c r="L271" t="s">
        <v>806</v>
      </c>
      <c r="M271" s="614"/>
      <c r="N271" s="788"/>
      <c r="O271" s="612" t="s">
        <v>1674</v>
      </c>
      <c r="P271" s="612" t="s">
        <v>1674</v>
      </c>
      <c r="Q271" s="612" t="s">
        <v>5240</v>
      </c>
      <c r="R271" s="612" t="s">
        <v>1674</v>
      </c>
      <c r="S271" s="612" t="s">
        <v>1674</v>
      </c>
      <c r="T271" s="789"/>
      <c r="U271" s="612" t="s">
        <v>5002</v>
      </c>
      <c r="V271" s="611">
        <v>1312</v>
      </c>
      <c r="W271" s="614"/>
      <c r="Y271" s="612" t="s">
        <v>1674</v>
      </c>
      <c r="AA271" s="612" t="s">
        <v>1674</v>
      </c>
      <c r="AE271" s="790"/>
      <c r="AF271" s="612" t="s">
        <v>1674</v>
      </c>
      <c r="AG271" s="612" t="s">
        <v>1674</v>
      </c>
      <c r="AH271" s="612" t="s">
        <v>1674</v>
      </c>
      <c r="AI271" s="612" t="s">
        <v>1674</v>
      </c>
      <c r="AJ271" s="612" t="s">
        <v>1674</v>
      </c>
      <c r="AK271" s="612" t="s">
        <v>1674</v>
      </c>
      <c r="AL271" s="612" t="s">
        <v>1674</v>
      </c>
      <c r="AM271" s="612" t="s">
        <v>1674</v>
      </c>
      <c r="AN271" s="612" t="s">
        <v>1674</v>
      </c>
      <c r="AP271">
        <f t="shared" si="8"/>
        <v>0</v>
      </c>
      <c r="AQ271" s="552">
        <f t="shared" si="9"/>
        <v>0</v>
      </c>
    </row>
    <row r="272" spans="1:43" outlineLevel="1" x14ac:dyDescent="0.25">
      <c r="A272" s="612" t="s">
        <v>1674</v>
      </c>
      <c r="B272" s="786">
        <v>0</v>
      </c>
      <c r="C272" s="612" t="s">
        <v>1674</v>
      </c>
      <c r="D272" s="612" t="s">
        <v>2773</v>
      </c>
      <c r="E272" t="s">
        <v>5007</v>
      </c>
      <c r="G272" s="787"/>
      <c r="H272" s="787">
        <v>952</v>
      </c>
      <c r="I272" s="787"/>
      <c r="J272" t="s">
        <v>806</v>
      </c>
      <c r="K272" s="611">
        <v>1200</v>
      </c>
      <c r="L272" t="s">
        <v>806</v>
      </c>
      <c r="M272" s="614"/>
      <c r="N272" s="788"/>
      <c r="O272" s="612" t="s">
        <v>1674</v>
      </c>
      <c r="P272" s="612" t="s">
        <v>1674</v>
      </c>
      <c r="Q272" s="612" t="s">
        <v>5241</v>
      </c>
      <c r="R272" s="612" t="s">
        <v>1674</v>
      </c>
      <c r="S272" s="612" t="s">
        <v>1674</v>
      </c>
      <c r="T272" s="789"/>
      <c r="U272" s="612" t="s">
        <v>5002</v>
      </c>
      <c r="V272" s="611">
        <v>1666</v>
      </c>
      <c r="W272" s="614"/>
      <c r="Y272" s="612" t="s">
        <v>1674</v>
      </c>
      <c r="AA272" s="612" t="s">
        <v>1674</v>
      </c>
      <c r="AE272" s="790"/>
      <c r="AF272" s="612" t="s">
        <v>1674</v>
      </c>
      <c r="AG272" s="612" t="s">
        <v>1674</v>
      </c>
      <c r="AH272" s="612" t="s">
        <v>1674</v>
      </c>
      <c r="AI272" s="612" t="s">
        <v>1674</v>
      </c>
      <c r="AJ272" s="612" t="s">
        <v>1674</v>
      </c>
      <c r="AK272" s="612" t="s">
        <v>1674</v>
      </c>
      <c r="AL272" s="612" t="s">
        <v>1674</v>
      </c>
      <c r="AM272" s="612" t="s">
        <v>1674</v>
      </c>
      <c r="AN272" s="612" t="s">
        <v>1674</v>
      </c>
      <c r="AP272">
        <f t="shared" si="8"/>
        <v>0</v>
      </c>
      <c r="AQ272" s="552">
        <f t="shared" si="9"/>
        <v>0</v>
      </c>
    </row>
    <row r="273" spans="1:43" outlineLevel="1" x14ac:dyDescent="0.25">
      <c r="A273" s="612" t="s">
        <v>1674</v>
      </c>
      <c r="B273" s="786">
        <v>0</v>
      </c>
      <c r="C273" s="612" t="s">
        <v>1674</v>
      </c>
      <c r="D273" s="612" t="s">
        <v>2773</v>
      </c>
      <c r="E273" t="s">
        <v>5078</v>
      </c>
      <c r="G273" s="787"/>
      <c r="H273" s="787">
        <v>952</v>
      </c>
      <c r="I273" s="787"/>
      <c r="J273" t="s">
        <v>806</v>
      </c>
      <c r="K273" s="611">
        <v>1200</v>
      </c>
      <c r="L273" t="s">
        <v>806</v>
      </c>
      <c r="M273" s="614"/>
      <c r="N273" s="788"/>
      <c r="O273" s="612" t="s">
        <v>1674</v>
      </c>
      <c r="P273" s="612" t="s">
        <v>1674</v>
      </c>
      <c r="Q273" s="612" t="s">
        <v>5242</v>
      </c>
      <c r="R273" s="612" t="s">
        <v>1674</v>
      </c>
      <c r="S273" s="612" t="s">
        <v>1674</v>
      </c>
      <c r="T273" s="789"/>
      <c r="U273" s="612" t="s">
        <v>4900</v>
      </c>
      <c r="V273" s="611">
        <v>372</v>
      </c>
      <c r="W273" s="614"/>
      <c r="Y273" s="612" t="s">
        <v>1674</v>
      </c>
      <c r="AA273" s="612" t="s">
        <v>1674</v>
      </c>
      <c r="AE273" s="790"/>
      <c r="AF273" s="612" t="s">
        <v>1674</v>
      </c>
      <c r="AG273" s="612" t="s">
        <v>1674</v>
      </c>
      <c r="AH273" s="612" t="s">
        <v>1674</v>
      </c>
      <c r="AI273" s="612" t="s">
        <v>1674</v>
      </c>
      <c r="AJ273" s="612" t="s">
        <v>1674</v>
      </c>
      <c r="AK273" s="612" t="s">
        <v>1674</v>
      </c>
      <c r="AL273" s="612" t="s">
        <v>1674</v>
      </c>
      <c r="AM273" s="612" t="s">
        <v>1674</v>
      </c>
      <c r="AN273" s="612" t="s">
        <v>1674</v>
      </c>
      <c r="AP273">
        <f t="shared" si="8"/>
        <v>0</v>
      </c>
      <c r="AQ273" s="552">
        <f t="shared" si="9"/>
        <v>0</v>
      </c>
    </row>
    <row r="274" spans="1:43" outlineLevel="1" x14ac:dyDescent="0.25">
      <c r="A274" s="612" t="s">
        <v>1674</v>
      </c>
      <c r="B274" s="786">
        <v>0</v>
      </c>
      <c r="C274" s="612" t="s">
        <v>1674</v>
      </c>
      <c r="D274" s="612" t="s">
        <v>2773</v>
      </c>
      <c r="E274" t="s">
        <v>4937</v>
      </c>
      <c r="G274" s="787"/>
      <c r="H274" s="787">
        <v>952</v>
      </c>
      <c r="I274" s="787">
        <v>1190</v>
      </c>
      <c r="J274" t="s">
        <v>2701</v>
      </c>
      <c r="K274" s="611">
        <v>1200</v>
      </c>
      <c r="L274" t="s">
        <v>806</v>
      </c>
      <c r="M274" s="614"/>
      <c r="N274" s="788"/>
      <c r="O274" s="612" t="s">
        <v>1674</v>
      </c>
      <c r="P274" s="612" t="s">
        <v>1674</v>
      </c>
      <c r="Q274" s="612" t="s">
        <v>5243</v>
      </c>
      <c r="R274" s="612" t="s">
        <v>1674</v>
      </c>
      <c r="S274" s="612" t="s">
        <v>1674</v>
      </c>
      <c r="T274" s="789"/>
      <c r="U274" s="612" t="s">
        <v>4900</v>
      </c>
      <c r="V274" s="611">
        <v>1698</v>
      </c>
      <c r="W274" s="614"/>
      <c r="Y274" s="612" t="s">
        <v>1674</v>
      </c>
      <c r="AA274" s="612" t="s">
        <v>1674</v>
      </c>
      <c r="AE274" s="790"/>
      <c r="AF274" s="612" t="s">
        <v>1674</v>
      </c>
      <c r="AG274" s="612" t="s">
        <v>1674</v>
      </c>
      <c r="AH274" s="612" t="s">
        <v>1674</v>
      </c>
      <c r="AI274" s="612" t="s">
        <v>1674</v>
      </c>
      <c r="AJ274" s="612" t="s">
        <v>1674</v>
      </c>
      <c r="AK274" s="612" t="s">
        <v>1674</v>
      </c>
      <c r="AL274" s="612" t="s">
        <v>1674</v>
      </c>
      <c r="AM274" s="612" t="s">
        <v>1674</v>
      </c>
      <c r="AN274" s="612" t="s">
        <v>1674</v>
      </c>
      <c r="AP274">
        <f t="shared" si="8"/>
        <v>0</v>
      </c>
      <c r="AQ274" s="552">
        <f t="shared" si="9"/>
        <v>1190</v>
      </c>
    </row>
    <row r="275" spans="1:43" outlineLevel="1" x14ac:dyDescent="0.25">
      <c r="A275" s="612" t="s">
        <v>2722</v>
      </c>
      <c r="B275" s="786">
        <v>0</v>
      </c>
      <c r="C275" s="612" t="s">
        <v>1674</v>
      </c>
      <c r="D275" s="612" t="s">
        <v>2777</v>
      </c>
      <c r="E275" t="s">
        <v>2778</v>
      </c>
      <c r="F275" t="s">
        <v>2779</v>
      </c>
      <c r="G275" s="787">
        <v>20230</v>
      </c>
      <c r="H275" s="787"/>
      <c r="I275" s="787"/>
      <c r="J275" t="s">
        <v>806</v>
      </c>
      <c r="K275" s="611">
        <v>8820</v>
      </c>
      <c r="L275" t="s">
        <v>2552</v>
      </c>
      <c r="M275" s="614"/>
      <c r="N275" s="788">
        <v>-476</v>
      </c>
      <c r="O275" s="612" t="s">
        <v>1674</v>
      </c>
      <c r="P275" s="612" t="s">
        <v>1674</v>
      </c>
      <c r="Q275" s="612" t="s">
        <v>2720</v>
      </c>
      <c r="R275" s="612" t="s">
        <v>2622</v>
      </c>
      <c r="S275" s="612" t="s">
        <v>1674</v>
      </c>
      <c r="T275" s="789">
        <v>19</v>
      </c>
      <c r="U275" s="612" t="s">
        <v>2688</v>
      </c>
      <c r="V275" s="611">
        <v>649</v>
      </c>
      <c r="W275" s="614"/>
      <c r="Y275" s="612" t="s">
        <v>1674</v>
      </c>
      <c r="AA275" s="612" t="s">
        <v>1674</v>
      </c>
      <c r="AE275" s="790"/>
      <c r="AF275" s="612" t="s">
        <v>1674</v>
      </c>
      <c r="AG275" s="612" t="s">
        <v>1674</v>
      </c>
      <c r="AH275" s="612" t="s">
        <v>1674</v>
      </c>
      <c r="AI275" s="612" t="s">
        <v>1674</v>
      </c>
      <c r="AJ275" s="612" t="s">
        <v>1674</v>
      </c>
      <c r="AK275" s="612" t="s">
        <v>1674</v>
      </c>
      <c r="AL275" s="612" t="s">
        <v>1674</v>
      </c>
      <c r="AM275" s="612" t="s">
        <v>1674</v>
      </c>
      <c r="AN275" s="612" t="s">
        <v>1674</v>
      </c>
      <c r="AP275">
        <f t="shared" si="8"/>
        <v>476</v>
      </c>
      <c r="AQ275" s="552">
        <f t="shared" si="9"/>
        <v>0</v>
      </c>
    </row>
    <row r="276" spans="1:43" outlineLevel="1" x14ac:dyDescent="0.25">
      <c r="A276" s="612" t="s">
        <v>1674</v>
      </c>
      <c r="B276" s="786">
        <v>0</v>
      </c>
      <c r="C276" s="612" t="s">
        <v>1674</v>
      </c>
      <c r="D276" s="612" t="s">
        <v>2777</v>
      </c>
      <c r="E276" t="s">
        <v>2686</v>
      </c>
      <c r="G276" s="787"/>
      <c r="H276" s="787">
        <v>942.48</v>
      </c>
      <c r="I276" s="787"/>
      <c r="J276" t="s">
        <v>806</v>
      </c>
      <c r="K276" s="611">
        <v>1200</v>
      </c>
      <c r="L276" t="s">
        <v>806</v>
      </c>
      <c r="M276" s="614"/>
      <c r="N276" s="788"/>
      <c r="O276" s="612" t="s">
        <v>1674</v>
      </c>
      <c r="P276" s="612" t="s">
        <v>1674</v>
      </c>
      <c r="Q276" s="612" t="s">
        <v>2687</v>
      </c>
      <c r="R276" s="612" t="s">
        <v>1674</v>
      </c>
      <c r="S276" s="612" t="s">
        <v>1674</v>
      </c>
      <c r="T276" s="789"/>
      <c r="U276" s="612" t="s">
        <v>2688</v>
      </c>
      <c r="V276" s="611">
        <v>1505</v>
      </c>
      <c r="W276" s="614"/>
      <c r="Y276" s="612" t="s">
        <v>1674</v>
      </c>
      <c r="AA276" s="612" t="s">
        <v>1674</v>
      </c>
      <c r="AE276" s="790"/>
      <c r="AF276" s="612" t="s">
        <v>1674</v>
      </c>
      <c r="AG276" s="612" t="s">
        <v>1674</v>
      </c>
      <c r="AH276" s="612" t="s">
        <v>1674</v>
      </c>
      <c r="AI276" s="612" t="s">
        <v>1674</v>
      </c>
      <c r="AJ276" s="612" t="s">
        <v>1674</v>
      </c>
      <c r="AK276" s="612" t="s">
        <v>1674</v>
      </c>
      <c r="AL276" s="612" t="s">
        <v>1674</v>
      </c>
      <c r="AM276" s="612" t="s">
        <v>1674</v>
      </c>
      <c r="AN276" s="612" t="s">
        <v>1674</v>
      </c>
      <c r="AP276">
        <f t="shared" si="8"/>
        <v>0</v>
      </c>
      <c r="AQ276" s="552">
        <f t="shared" si="9"/>
        <v>0</v>
      </c>
    </row>
    <row r="277" spans="1:43" outlineLevel="1" x14ac:dyDescent="0.25">
      <c r="A277" s="612" t="s">
        <v>1674</v>
      </c>
      <c r="B277" s="786">
        <v>0</v>
      </c>
      <c r="C277" s="612" t="s">
        <v>1674</v>
      </c>
      <c r="D277" s="612" t="s">
        <v>2777</v>
      </c>
      <c r="E277" t="s">
        <v>2686</v>
      </c>
      <c r="G277" s="787"/>
      <c r="H277" s="787">
        <v>9.52</v>
      </c>
      <c r="I277" s="787"/>
      <c r="J277" t="s">
        <v>806</v>
      </c>
      <c r="K277" s="611">
        <v>8736</v>
      </c>
      <c r="L277" t="s">
        <v>806</v>
      </c>
      <c r="M277" s="614"/>
      <c r="N277" s="788"/>
      <c r="O277" s="612" t="s">
        <v>1674</v>
      </c>
      <c r="P277" s="612" t="s">
        <v>1674</v>
      </c>
      <c r="Q277" s="612" t="s">
        <v>2687</v>
      </c>
      <c r="R277" s="612" t="s">
        <v>1674</v>
      </c>
      <c r="S277" s="612" t="s">
        <v>1674</v>
      </c>
      <c r="T277" s="789">
        <v>19</v>
      </c>
      <c r="U277" s="612" t="s">
        <v>2688</v>
      </c>
      <c r="V277" s="611">
        <v>1505</v>
      </c>
      <c r="W277" s="614"/>
      <c r="Y277" s="612" t="s">
        <v>1674</v>
      </c>
      <c r="AA277" s="612" t="s">
        <v>1674</v>
      </c>
      <c r="AE277" s="790"/>
      <c r="AF277" s="612" t="s">
        <v>1674</v>
      </c>
      <c r="AG277" s="612" t="s">
        <v>1674</v>
      </c>
      <c r="AH277" s="612" t="s">
        <v>1674</v>
      </c>
      <c r="AI277" s="612" t="s">
        <v>1674</v>
      </c>
      <c r="AJ277" s="612" t="s">
        <v>1674</v>
      </c>
      <c r="AK277" s="612" t="s">
        <v>1674</v>
      </c>
      <c r="AL277" s="612" t="s">
        <v>1674</v>
      </c>
      <c r="AM277" s="612" t="s">
        <v>1674</v>
      </c>
      <c r="AN277" s="612" t="s">
        <v>1674</v>
      </c>
      <c r="AP277">
        <f t="shared" si="8"/>
        <v>0</v>
      </c>
      <c r="AQ277" s="552">
        <f t="shared" si="9"/>
        <v>0</v>
      </c>
    </row>
    <row r="278" spans="1:43" outlineLevel="1" x14ac:dyDescent="0.25">
      <c r="A278" s="612" t="s">
        <v>1674</v>
      </c>
      <c r="B278" s="786">
        <v>0</v>
      </c>
      <c r="C278" s="612" t="s">
        <v>1674</v>
      </c>
      <c r="D278" s="612" t="s">
        <v>2777</v>
      </c>
      <c r="E278" t="s">
        <v>2689</v>
      </c>
      <c r="G278" s="787"/>
      <c r="H278" s="787">
        <v>942.48</v>
      </c>
      <c r="I278" s="787"/>
      <c r="J278" t="s">
        <v>806</v>
      </c>
      <c r="K278" s="611">
        <v>1200</v>
      </c>
      <c r="L278" t="s">
        <v>806</v>
      </c>
      <c r="M278" s="614"/>
      <c r="N278" s="788"/>
      <c r="O278" s="612" t="s">
        <v>1674</v>
      </c>
      <c r="P278" s="612" t="s">
        <v>1674</v>
      </c>
      <c r="Q278" s="612" t="s">
        <v>2690</v>
      </c>
      <c r="R278" s="612" t="s">
        <v>1674</v>
      </c>
      <c r="S278" s="612" t="s">
        <v>1674</v>
      </c>
      <c r="T278" s="789"/>
      <c r="U278" s="612" t="s">
        <v>2691</v>
      </c>
      <c r="V278" s="611">
        <v>1687</v>
      </c>
      <c r="W278" s="614"/>
      <c r="Y278" s="612" t="s">
        <v>1674</v>
      </c>
      <c r="AA278" s="612" t="s">
        <v>1674</v>
      </c>
      <c r="AE278" s="790"/>
      <c r="AF278" s="612" t="s">
        <v>1674</v>
      </c>
      <c r="AG278" s="612" t="s">
        <v>1674</v>
      </c>
      <c r="AH278" s="612" t="s">
        <v>1674</v>
      </c>
      <c r="AI278" s="612" t="s">
        <v>1674</v>
      </c>
      <c r="AJ278" s="612" t="s">
        <v>1674</v>
      </c>
      <c r="AK278" s="612" t="s">
        <v>1674</v>
      </c>
      <c r="AL278" s="612" t="s">
        <v>1674</v>
      </c>
      <c r="AM278" s="612" t="s">
        <v>1674</v>
      </c>
      <c r="AN278" s="612" t="s">
        <v>1674</v>
      </c>
      <c r="AP278">
        <f t="shared" si="8"/>
        <v>0</v>
      </c>
      <c r="AQ278" s="552">
        <f t="shared" si="9"/>
        <v>0</v>
      </c>
    </row>
    <row r="279" spans="1:43" outlineLevel="1" x14ac:dyDescent="0.25">
      <c r="A279" s="612" t="s">
        <v>1674</v>
      </c>
      <c r="B279" s="786">
        <v>0</v>
      </c>
      <c r="C279" s="612" t="s">
        <v>1674</v>
      </c>
      <c r="D279" s="612" t="s">
        <v>2777</v>
      </c>
      <c r="E279" t="s">
        <v>2689</v>
      </c>
      <c r="G279" s="787"/>
      <c r="H279" s="787">
        <v>9.52</v>
      </c>
      <c r="I279" s="787"/>
      <c r="J279" t="s">
        <v>806</v>
      </c>
      <c r="K279" s="611">
        <v>8736</v>
      </c>
      <c r="L279" t="s">
        <v>806</v>
      </c>
      <c r="M279" s="614"/>
      <c r="N279" s="788"/>
      <c r="O279" s="612" t="s">
        <v>1674</v>
      </c>
      <c r="P279" s="612" t="s">
        <v>1674</v>
      </c>
      <c r="Q279" s="612" t="s">
        <v>2690</v>
      </c>
      <c r="R279" s="612" t="s">
        <v>1674</v>
      </c>
      <c r="S279" s="612" t="s">
        <v>1674</v>
      </c>
      <c r="T279" s="789">
        <v>19</v>
      </c>
      <c r="U279" s="612" t="s">
        <v>2691</v>
      </c>
      <c r="V279" s="611">
        <v>1688</v>
      </c>
      <c r="W279" s="614"/>
      <c r="Y279" s="612" t="s">
        <v>1674</v>
      </c>
      <c r="AA279" s="612" t="s">
        <v>1674</v>
      </c>
      <c r="AE279" s="790"/>
      <c r="AF279" s="612" t="s">
        <v>1674</v>
      </c>
      <c r="AG279" s="612" t="s">
        <v>1674</v>
      </c>
      <c r="AH279" s="612" t="s">
        <v>1674</v>
      </c>
      <c r="AI279" s="612" t="s">
        <v>1674</v>
      </c>
      <c r="AJ279" s="612" t="s">
        <v>1674</v>
      </c>
      <c r="AK279" s="612" t="s">
        <v>1674</v>
      </c>
      <c r="AL279" s="612" t="s">
        <v>1674</v>
      </c>
      <c r="AM279" s="612" t="s">
        <v>1674</v>
      </c>
      <c r="AN279" s="612" t="s">
        <v>1674</v>
      </c>
      <c r="AP279">
        <f t="shared" si="8"/>
        <v>0</v>
      </c>
      <c r="AQ279" s="552">
        <f t="shared" si="9"/>
        <v>0</v>
      </c>
    </row>
    <row r="280" spans="1:43" outlineLevel="1" x14ac:dyDescent="0.25">
      <c r="A280" s="612" t="s">
        <v>1674</v>
      </c>
      <c r="B280" s="786">
        <v>0</v>
      </c>
      <c r="C280" s="612" t="s">
        <v>1674</v>
      </c>
      <c r="D280" s="612" t="s">
        <v>2777</v>
      </c>
      <c r="E280" t="s">
        <v>2692</v>
      </c>
      <c r="G280" s="787"/>
      <c r="H280" s="787">
        <v>942.48</v>
      </c>
      <c r="I280" s="787"/>
      <c r="J280" t="s">
        <v>806</v>
      </c>
      <c r="K280" s="611">
        <v>1200</v>
      </c>
      <c r="L280" t="s">
        <v>806</v>
      </c>
      <c r="M280" s="614"/>
      <c r="N280" s="788"/>
      <c r="O280" s="612" t="s">
        <v>1674</v>
      </c>
      <c r="P280" s="612" t="s">
        <v>1674</v>
      </c>
      <c r="Q280" s="612" t="s">
        <v>2693</v>
      </c>
      <c r="R280" s="612" t="s">
        <v>1674</v>
      </c>
      <c r="S280" s="612" t="s">
        <v>1674</v>
      </c>
      <c r="T280" s="789"/>
      <c r="U280" s="612" t="s">
        <v>2694</v>
      </c>
      <c r="V280" s="611">
        <v>1844</v>
      </c>
      <c r="W280" s="614"/>
      <c r="Y280" s="612" t="s">
        <v>1674</v>
      </c>
      <c r="AA280" s="612" t="s">
        <v>1674</v>
      </c>
      <c r="AE280" s="790"/>
      <c r="AF280" s="612" t="s">
        <v>1674</v>
      </c>
      <c r="AG280" s="612" t="s">
        <v>1674</v>
      </c>
      <c r="AH280" s="612" t="s">
        <v>1674</v>
      </c>
      <c r="AI280" s="612" t="s">
        <v>1674</v>
      </c>
      <c r="AJ280" s="612" t="s">
        <v>1674</v>
      </c>
      <c r="AK280" s="612" t="s">
        <v>1674</v>
      </c>
      <c r="AL280" s="612" t="s">
        <v>1674</v>
      </c>
      <c r="AM280" s="612" t="s">
        <v>1674</v>
      </c>
      <c r="AN280" s="612" t="s">
        <v>1674</v>
      </c>
      <c r="AP280">
        <f t="shared" si="8"/>
        <v>0</v>
      </c>
      <c r="AQ280" s="552">
        <f t="shared" si="9"/>
        <v>0</v>
      </c>
    </row>
    <row r="281" spans="1:43" outlineLevel="1" x14ac:dyDescent="0.25">
      <c r="A281" s="612" t="s">
        <v>1674</v>
      </c>
      <c r="B281" s="786">
        <v>0</v>
      </c>
      <c r="C281" s="612" t="s">
        <v>1674</v>
      </c>
      <c r="D281" s="612" t="s">
        <v>2777</v>
      </c>
      <c r="E281" t="s">
        <v>2692</v>
      </c>
      <c r="G281" s="787"/>
      <c r="H281" s="787">
        <v>9.52</v>
      </c>
      <c r="I281" s="787"/>
      <c r="J281" t="s">
        <v>806</v>
      </c>
      <c r="K281" s="611">
        <v>8736</v>
      </c>
      <c r="L281" t="s">
        <v>806</v>
      </c>
      <c r="M281" s="614"/>
      <c r="N281" s="788"/>
      <c r="O281" s="612" t="s">
        <v>1674</v>
      </c>
      <c r="P281" s="612" t="s">
        <v>1674</v>
      </c>
      <c r="Q281" s="612" t="s">
        <v>2693</v>
      </c>
      <c r="R281" s="612" t="s">
        <v>1674</v>
      </c>
      <c r="S281" s="612" t="s">
        <v>1674</v>
      </c>
      <c r="T281" s="789">
        <v>19</v>
      </c>
      <c r="U281" s="612" t="s">
        <v>2694</v>
      </c>
      <c r="V281" s="611">
        <v>1845</v>
      </c>
      <c r="W281" s="614"/>
      <c r="Y281" s="612" t="s">
        <v>1674</v>
      </c>
      <c r="AA281" s="612" t="s">
        <v>1674</v>
      </c>
      <c r="AE281" s="790"/>
      <c r="AF281" s="612" t="s">
        <v>1674</v>
      </c>
      <c r="AG281" s="612" t="s">
        <v>1674</v>
      </c>
      <c r="AH281" s="612" t="s">
        <v>1674</v>
      </c>
      <c r="AI281" s="612" t="s">
        <v>1674</v>
      </c>
      <c r="AJ281" s="612" t="s">
        <v>1674</v>
      </c>
      <c r="AK281" s="612" t="s">
        <v>1674</v>
      </c>
      <c r="AL281" s="612" t="s">
        <v>1674</v>
      </c>
      <c r="AM281" s="612" t="s">
        <v>1674</v>
      </c>
      <c r="AN281" s="612" t="s">
        <v>1674</v>
      </c>
      <c r="AP281">
        <f t="shared" si="8"/>
        <v>0</v>
      </c>
      <c r="AQ281" s="552">
        <f t="shared" si="9"/>
        <v>0</v>
      </c>
    </row>
    <row r="282" spans="1:43" outlineLevel="1" x14ac:dyDescent="0.25">
      <c r="A282" s="612" t="s">
        <v>1674</v>
      </c>
      <c r="B282" s="786">
        <v>0</v>
      </c>
      <c r="C282" s="612" t="s">
        <v>1674</v>
      </c>
      <c r="D282" s="612" t="s">
        <v>2777</v>
      </c>
      <c r="E282" t="s">
        <v>2695</v>
      </c>
      <c r="G282" s="787"/>
      <c r="H282" s="787">
        <v>942.48</v>
      </c>
      <c r="I282" s="787"/>
      <c r="J282" t="s">
        <v>806</v>
      </c>
      <c r="K282" s="611">
        <v>1200</v>
      </c>
      <c r="L282" t="s">
        <v>806</v>
      </c>
      <c r="M282" s="614"/>
      <c r="N282" s="788"/>
      <c r="O282" s="612" t="s">
        <v>1674</v>
      </c>
      <c r="P282" s="612" t="s">
        <v>1674</v>
      </c>
      <c r="Q282" s="612" t="s">
        <v>2696</v>
      </c>
      <c r="R282" s="612" t="s">
        <v>1674</v>
      </c>
      <c r="S282" s="612" t="s">
        <v>1674</v>
      </c>
      <c r="T282" s="789"/>
      <c r="U282" s="612" t="s">
        <v>2697</v>
      </c>
      <c r="V282" s="611">
        <v>1666</v>
      </c>
      <c r="W282" s="614"/>
      <c r="Y282" s="612" t="s">
        <v>1674</v>
      </c>
      <c r="AA282" s="612" t="s">
        <v>1674</v>
      </c>
      <c r="AE282" s="790"/>
      <c r="AF282" s="612" t="s">
        <v>1674</v>
      </c>
      <c r="AG282" s="612" t="s">
        <v>1674</v>
      </c>
      <c r="AH282" s="612" t="s">
        <v>1674</v>
      </c>
      <c r="AI282" s="612" t="s">
        <v>1674</v>
      </c>
      <c r="AJ282" s="612" t="s">
        <v>1674</v>
      </c>
      <c r="AK282" s="612" t="s">
        <v>1674</v>
      </c>
      <c r="AL282" s="612" t="s">
        <v>1674</v>
      </c>
      <c r="AM282" s="612" t="s">
        <v>1674</v>
      </c>
      <c r="AN282" s="612" t="s">
        <v>1674</v>
      </c>
      <c r="AP282">
        <f t="shared" si="8"/>
        <v>0</v>
      </c>
      <c r="AQ282" s="552">
        <f t="shared" si="9"/>
        <v>0</v>
      </c>
    </row>
    <row r="283" spans="1:43" outlineLevel="1" x14ac:dyDescent="0.25">
      <c r="A283" s="612" t="s">
        <v>1674</v>
      </c>
      <c r="B283" s="786">
        <v>0</v>
      </c>
      <c r="C283" s="612" t="s">
        <v>1674</v>
      </c>
      <c r="D283" s="612" t="s">
        <v>2777</v>
      </c>
      <c r="E283" t="s">
        <v>2695</v>
      </c>
      <c r="G283" s="787"/>
      <c r="H283" s="787">
        <v>9.52</v>
      </c>
      <c r="I283" s="787"/>
      <c r="J283" t="s">
        <v>806</v>
      </c>
      <c r="K283" s="611">
        <v>8736</v>
      </c>
      <c r="L283" t="s">
        <v>806</v>
      </c>
      <c r="M283" s="614"/>
      <c r="N283" s="788"/>
      <c r="O283" s="612" t="s">
        <v>1674</v>
      </c>
      <c r="P283" s="612" t="s">
        <v>1674</v>
      </c>
      <c r="Q283" s="612" t="s">
        <v>2696</v>
      </c>
      <c r="R283" s="612" t="s">
        <v>1674</v>
      </c>
      <c r="S283" s="612" t="s">
        <v>1674</v>
      </c>
      <c r="T283" s="789">
        <v>19</v>
      </c>
      <c r="U283" s="612" t="s">
        <v>2697</v>
      </c>
      <c r="V283" s="611">
        <v>1667</v>
      </c>
      <c r="W283" s="614"/>
      <c r="Y283" s="612" t="s">
        <v>1674</v>
      </c>
      <c r="AA283" s="612" t="s">
        <v>1674</v>
      </c>
      <c r="AE283" s="790"/>
      <c r="AF283" s="612" t="s">
        <v>1674</v>
      </c>
      <c r="AG283" s="612" t="s">
        <v>1674</v>
      </c>
      <c r="AH283" s="612" t="s">
        <v>1674</v>
      </c>
      <c r="AI283" s="612" t="s">
        <v>1674</v>
      </c>
      <c r="AJ283" s="612" t="s">
        <v>1674</v>
      </c>
      <c r="AK283" s="612" t="s">
        <v>1674</v>
      </c>
      <c r="AL283" s="612" t="s">
        <v>1674</v>
      </c>
      <c r="AM283" s="612" t="s">
        <v>1674</v>
      </c>
      <c r="AN283" s="612" t="s">
        <v>1674</v>
      </c>
      <c r="AP283">
        <f t="shared" si="8"/>
        <v>0</v>
      </c>
      <c r="AQ283" s="552">
        <f t="shared" si="9"/>
        <v>0</v>
      </c>
    </row>
    <row r="284" spans="1:43" outlineLevel="1" x14ac:dyDescent="0.25">
      <c r="A284" s="612" t="s">
        <v>1674</v>
      </c>
      <c r="B284" s="786">
        <v>0</v>
      </c>
      <c r="C284" s="612" t="s">
        <v>1674</v>
      </c>
      <c r="D284" s="612" t="s">
        <v>2777</v>
      </c>
      <c r="E284" t="s">
        <v>2698</v>
      </c>
      <c r="G284" s="787"/>
      <c r="H284" s="787">
        <v>942.48</v>
      </c>
      <c r="I284" s="787"/>
      <c r="J284" t="s">
        <v>806</v>
      </c>
      <c r="K284" s="611">
        <v>1200</v>
      </c>
      <c r="L284" t="s">
        <v>806</v>
      </c>
      <c r="M284" s="614"/>
      <c r="N284" s="788"/>
      <c r="O284" s="612" t="s">
        <v>1674</v>
      </c>
      <c r="P284" s="612" t="s">
        <v>1674</v>
      </c>
      <c r="Q284" s="612" t="s">
        <v>2699</v>
      </c>
      <c r="R284" s="612" t="s">
        <v>1674</v>
      </c>
      <c r="S284" s="612" t="s">
        <v>1674</v>
      </c>
      <c r="T284" s="789"/>
      <c r="U284" s="612" t="s">
        <v>2700</v>
      </c>
      <c r="V284" s="611">
        <v>1608</v>
      </c>
      <c r="W284" s="614"/>
      <c r="Y284" s="612" t="s">
        <v>1674</v>
      </c>
      <c r="AA284" s="612" t="s">
        <v>1674</v>
      </c>
      <c r="AE284" s="790"/>
      <c r="AF284" s="612" t="s">
        <v>1674</v>
      </c>
      <c r="AG284" s="612" t="s">
        <v>1674</v>
      </c>
      <c r="AH284" s="612" t="s">
        <v>1674</v>
      </c>
      <c r="AI284" s="612" t="s">
        <v>1674</v>
      </c>
      <c r="AJ284" s="612" t="s">
        <v>1674</v>
      </c>
      <c r="AK284" s="612" t="s">
        <v>1674</v>
      </c>
      <c r="AL284" s="612" t="s">
        <v>1674</v>
      </c>
      <c r="AM284" s="612" t="s">
        <v>1674</v>
      </c>
      <c r="AN284" s="612" t="s">
        <v>1674</v>
      </c>
      <c r="AP284">
        <f t="shared" si="8"/>
        <v>0</v>
      </c>
      <c r="AQ284" s="552">
        <f t="shared" si="9"/>
        <v>0</v>
      </c>
    </row>
    <row r="285" spans="1:43" outlineLevel="1" x14ac:dyDescent="0.25">
      <c r="A285" s="612" t="s">
        <v>1674</v>
      </c>
      <c r="B285" s="786">
        <v>0</v>
      </c>
      <c r="C285" s="612" t="s">
        <v>1674</v>
      </c>
      <c r="D285" s="612" t="s">
        <v>2777</v>
      </c>
      <c r="E285" t="s">
        <v>2698</v>
      </c>
      <c r="G285" s="787"/>
      <c r="H285" s="787">
        <v>9.52</v>
      </c>
      <c r="I285" s="787"/>
      <c r="J285" t="s">
        <v>806</v>
      </c>
      <c r="K285" s="611">
        <v>8736</v>
      </c>
      <c r="L285" t="s">
        <v>806</v>
      </c>
      <c r="M285" s="614"/>
      <c r="N285" s="788"/>
      <c r="O285" s="612" t="s">
        <v>1674</v>
      </c>
      <c r="P285" s="612" t="s">
        <v>1674</v>
      </c>
      <c r="Q285" s="612" t="s">
        <v>2699</v>
      </c>
      <c r="R285" s="612" t="s">
        <v>1674</v>
      </c>
      <c r="S285" s="612" t="s">
        <v>1674</v>
      </c>
      <c r="T285" s="789">
        <v>19</v>
      </c>
      <c r="U285" s="612" t="s">
        <v>2700</v>
      </c>
      <c r="V285" s="611">
        <v>1609</v>
      </c>
      <c r="W285" s="614"/>
      <c r="Y285" s="612" t="s">
        <v>1674</v>
      </c>
      <c r="AA285" s="612" t="s">
        <v>1674</v>
      </c>
      <c r="AE285" s="790"/>
      <c r="AF285" s="612" t="s">
        <v>1674</v>
      </c>
      <c r="AG285" s="612" t="s">
        <v>1674</v>
      </c>
      <c r="AH285" s="612" t="s">
        <v>1674</v>
      </c>
      <c r="AI285" s="612" t="s">
        <v>1674</v>
      </c>
      <c r="AJ285" s="612" t="s">
        <v>1674</v>
      </c>
      <c r="AK285" s="612" t="s">
        <v>1674</v>
      </c>
      <c r="AL285" s="612" t="s">
        <v>1674</v>
      </c>
      <c r="AM285" s="612" t="s">
        <v>1674</v>
      </c>
      <c r="AN285" s="612" t="s">
        <v>1674</v>
      </c>
      <c r="AP285">
        <f t="shared" si="8"/>
        <v>0</v>
      </c>
      <c r="AQ285" s="552">
        <f t="shared" si="9"/>
        <v>0</v>
      </c>
    </row>
    <row r="286" spans="1:43" outlineLevel="1" x14ac:dyDescent="0.25">
      <c r="A286" s="612" t="s">
        <v>1674</v>
      </c>
      <c r="B286" s="786">
        <v>0</v>
      </c>
      <c r="C286" s="612" t="s">
        <v>1674</v>
      </c>
      <c r="D286" s="612" t="s">
        <v>2777</v>
      </c>
      <c r="E286" t="s">
        <v>3296</v>
      </c>
      <c r="G286" s="787"/>
      <c r="H286" s="787">
        <v>942.48</v>
      </c>
      <c r="I286" s="787"/>
      <c r="J286" t="s">
        <v>806</v>
      </c>
      <c r="K286" s="611">
        <v>1200</v>
      </c>
      <c r="L286" t="s">
        <v>806</v>
      </c>
      <c r="M286" s="614"/>
      <c r="N286" s="788"/>
      <c r="O286" s="612" t="s">
        <v>1674</v>
      </c>
      <c r="P286" s="612" t="s">
        <v>1674</v>
      </c>
      <c r="Q286" s="612" t="s">
        <v>3302</v>
      </c>
      <c r="R286" s="612" t="s">
        <v>1674</v>
      </c>
      <c r="S286" s="612" t="s">
        <v>1674</v>
      </c>
      <c r="T286" s="789"/>
      <c r="U286" s="612" t="s">
        <v>3303</v>
      </c>
      <c r="V286" s="611">
        <v>1679</v>
      </c>
      <c r="W286" s="614"/>
      <c r="Y286" s="612" t="s">
        <v>1674</v>
      </c>
      <c r="AA286" s="612" t="s">
        <v>1674</v>
      </c>
      <c r="AE286" s="790"/>
      <c r="AF286" s="612" t="s">
        <v>1674</v>
      </c>
      <c r="AG286" s="612" t="s">
        <v>1674</v>
      </c>
      <c r="AH286" s="612" t="s">
        <v>1674</v>
      </c>
      <c r="AI286" s="612" t="s">
        <v>1674</v>
      </c>
      <c r="AJ286" s="612" t="s">
        <v>1674</v>
      </c>
      <c r="AK286" s="612" t="s">
        <v>1674</v>
      </c>
      <c r="AL286" s="612" t="s">
        <v>1674</v>
      </c>
      <c r="AM286" s="612" t="s">
        <v>1674</v>
      </c>
      <c r="AN286" s="612" t="s">
        <v>1674</v>
      </c>
      <c r="AP286">
        <f t="shared" si="8"/>
        <v>0</v>
      </c>
      <c r="AQ286" s="552">
        <f t="shared" si="9"/>
        <v>0</v>
      </c>
    </row>
    <row r="287" spans="1:43" outlineLevel="1" x14ac:dyDescent="0.25">
      <c r="A287" s="612" t="s">
        <v>1674</v>
      </c>
      <c r="B287" s="786">
        <v>0</v>
      </c>
      <c r="C287" s="612" t="s">
        <v>1674</v>
      </c>
      <c r="D287" s="612" t="s">
        <v>2777</v>
      </c>
      <c r="E287" t="s">
        <v>3296</v>
      </c>
      <c r="G287" s="787"/>
      <c r="H287" s="787">
        <v>9.52</v>
      </c>
      <c r="I287" s="787"/>
      <c r="J287" t="s">
        <v>806</v>
      </c>
      <c r="K287" s="611">
        <v>8736</v>
      </c>
      <c r="L287" t="s">
        <v>806</v>
      </c>
      <c r="M287" s="614"/>
      <c r="N287" s="788"/>
      <c r="O287" s="612" t="s">
        <v>1674</v>
      </c>
      <c r="P287" s="612" t="s">
        <v>1674</v>
      </c>
      <c r="Q287" s="612" t="s">
        <v>3302</v>
      </c>
      <c r="R287" s="612" t="s">
        <v>1674</v>
      </c>
      <c r="S287" s="612" t="s">
        <v>1674</v>
      </c>
      <c r="T287" s="789">
        <v>19</v>
      </c>
      <c r="U287" s="612" t="s">
        <v>3303</v>
      </c>
      <c r="V287" s="611">
        <v>1680</v>
      </c>
      <c r="W287" s="614"/>
      <c r="Y287" s="612" t="s">
        <v>1674</v>
      </c>
      <c r="AA287" s="612" t="s">
        <v>1674</v>
      </c>
      <c r="AE287" s="790"/>
      <c r="AF287" s="612" t="s">
        <v>1674</v>
      </c>
      <c r="AG287" s="612" t="s">
        <v>1674</v>
      </c>
      <c r="AH287" s="612" t="s">
        <v>1674</v>
      </c>
      <c r="AI287" s="612" t="s">
        <v>1674</v>
      </c>
      <c r="AJ287" s="612" t="s">
        <v>1674</v>
      </c>
      <c r="AK287" s="612" t="s">
        <v>1674</v>
      </c>
      <c r="AL287" s="612" t="s">
        <v>1674</v>
      </c>
      <c r="AM287" s="612" t="s">
        <v>1674</v>
      </c>
      <c r="AN287" s="612" t="s">
        <v>1674</v>
      </c>
      <c r="AP287">
        <f t="shared" si="8"/>
        <v>0</v>
      </c>
      <c r="AQ287" s="552">
        <f t="shared" si="9"/>
        <v>0</v>
      </c>
    </row>
    <row r="288" spans="1:43" outlineLevel="1" x14ac:dyDescent="0.25">
      <c r="A288" s="612" t="s">
        <v>1674</v>
      </c>
      <c r="B288" s="786">
        <v>0</v>
      </c>
      <c r="C288" s="612" t="s">
        <v>1674</v>
      </c>
      <c r="D288" s="612" t="s">
        <v>2777</v>
      </c>
      <c r="E288" t="s">
        <v>3304</v>
      </c>
      <c r="G288" s="787"/>
      <c r="H288" s="787">
        <v>942.48</v>
      </c>
      <c r="I288" s="787"/>
      <c r="J288" t="s">
        <v>806</v>
      </c>
      <c r="K288" s="611">
        <v>1200</v>
      </c>
      <c r="L288" t="s">
        <v>806</v>
      </c>
      <c r="M288" s="614"/>
      <c r="N288" s="788"/>
      <c r="O288" s="612" t="s">
        <v>1674</v>
      </c>
      <c r="P288" s="612" t="s">
        <v>1674</v>
      </c>
      <c r="Q288" s="612" t="s">
        <v>3305</v>
      </c>
      <c r="R288" s="612" t="s">
        <v>1674</v>
      </c>
      <c r="S288" s="612" t="s">
        <v>1674</v>
      </c>
      <c r="T288" s="789"/>
      <c r="U288" s="612" t="s">
        <v>3306</v>
      </c>
      <c r="V288" s="611">
        <v>1619</v>
      </c>
      <c r="W288" s="614"/>
      <c r="Y288" s="612" t="s">
        <v>1674</v>
      </c>
      <c r="AA288" s="612" t="s">
        <v>1674</v>
      </c>
      <c r="AE288" s="790"/>
      <c r="AF288" s="612" t="s">
        <v>1674</v>
      </c>
      <c r="AG288" s="612" t="s">
        <v>1674</v>
      </c>
      <c r="AH288" s="612" t="s">
        <v>1674</v>
      </c>
      <c r="AI288" s="612" t="s">
        <v>1674</v>
      </c>
      <c r="AJ288" s="612" t="s">
        <v>1674</v>
      </c>
      <c r="AK288" s="612" t="s">
        <v>1674</v>
      </c>
      <c r="AL288" s="612" t="s">
        <v>1674</v>
      </c>
      <c r="AM288" s="612" t="s">
        <v>1674</v>
      </c>
      <c r="AN288" s="612" t="s">
        <v>1674</v>
      </c>
      <c r="AP288">
        <f t="shared" si="8"/>
        <v>0</v>
      </c>
      <c r="AQ288" s="552">
        <f t="shared" si="9"/>
        <v>0</v>
      </c>
    </row>
    <row r="289" spans="1:43" outlineLevel="1" x14ac:dyDescent="0.25">
      <c r="A289" s="612" t="s">
        <v>1674</v>
      </c>
      <c r="B289" s="786">
        <v>0</v>
      </c>
      <c r="C289" s="612" t="s">
        <v>1674</v>
      </c>
      <c r="D289" s="612" t="s">
        <v>2777</v>
      </c>
      <c r="E289" t="s">
        <v>3304</v>
      </c>
      <c r="G289" s="787"/>
      <c r="H289" s="787">
        <v>9.52</v>
      </c>
      <c r="I289" s="787"/>
      <c r="J289" t="s">
        <v>806</v>
      </c>
      <c r="K289" s="611">
        <v>8736</v>
      </c>
      <c r="L289" t="s">
        <v>806</v>
      </c>
      <c r="M289" s="614"/>
      <c r="N289" s="788"/>
      <c r="O289" s="612" t="s">
        <v>1674</v>
      </c>
      <c r="P289" s="612" t="s">
        <v>1674</v>
      </c>
      <c r="Q289" s="612" t="s">
        <v>3305</v>
      </c>
      <c r="R289" s="612" t="s">
        <v>1674</v>
      </c>
      <c r="S289" s="612" t="s">
        <v>1674</v>
      </c>
      <c r="T289" s="789">
        <v>19</v>
      </c>
      <c r="U289" s="612" t="s">
        <v>3306</v>
      </c>
      <c r="V289" s="611">
        <v>1620</v>
      </c>
      <c r="W289" s="614"/>
      <c r="Y289" s="612" t="s">
        <v>1674</v>
      </c>
      <c r="AA289" s="612" t="s">
        <v>1674</v>
      </c>
      <c r="AE289" s="790"/>
      <c r="AF289" s="612" t="s">
        <v>1674</v>
      </c>
      <c r="AG289" s="612" t="s">
        <v>1674</v>
      </c>
      <c r="AH289" s="612" t="s">
        <v>1674</v>
      </c>
      <c r="AI289" s="612" t="s">
        <v>1674</v>
      </c>
      <c r="AJ289" s="612" t="s">
        <v>1674</v>
      </c>
      <c r="AK289" s="612" t="s">
        <v>1674</v>
      </c>
      <c r="AL289" s="612" t="s">
        <v>1674</v>
      </c>
      <c r="AM289" s="612" t="s">
        <v>1674</v>
      </c>
      <c r="AN289" s="612" t="s">
        <v>1674</v>
      </c>
      <c r="AP289">
        <f t="shared" si="8"/>
        <v>0</v>
      </c>
      <c r="AQ289" s="552">
        <f t="shared" si="9"/>
        <v>0</v>
      </c>
    </row>
    <row r="290" spans="1:43" outlineLevel="1" x14ac:dyDescent="0.25">
      <c r="A290" s="612" t="s">
        <v>1674</v>
      </c>
      <c r="B290" s="786">
        <v>0</v>
      </c>
      <c r="C290" s="612" t="s">
        <v>1674</v>
      </c>
      <c r="D290" s="612" t="s">
        <v>2777</v>
      </c>
      <c r="E290" t="s">
        <v>3307</v>
      </c>
      <c r="G290" s="787"/>
      <c r="H290" s="787">
        <v>942.48</v>
      </c>
      <c r="I290" s="787"/>
      <c r="J290" t="s">
        <v>806</v>
      </c>
      <c r="K290" s="611">
        <v>1200</v>
      </c>
      <c r="L290" t="s">
        <v>806</v>
      </c>
      <c r="M290" s="614"/>
      <c r="N290" s="788"/>
      <c r="O290" s="612" t="s">
        <v>1674</v>
      </c>
      <c r="P290" s="612" t="s">
        <v>1674</v>
      </c>
      <c r="Q290" s="612" t="s">
        <v>3308</v>
      </c>
      <c r="R290" s="612" t="s">
        <v>1674</v>
      </c>
      <c r="S290" s="612" t="s">
        <v>1674</v>
      </c>
      <c r="T290" s="789"/>
      <c r="U290" s="612" t="s">
        <v>3309</v>
      </c>
      <c r="V290" s="611">
        <v>1709</v>
      </c>
      <c r="W290" s="614"/>
      <c r="Y290" s="612" t="s">
        <v>1674</v>
      </c>
      <c r="AA290" s="612" t="s">
        <v>1674</v>
      </c>
      <c r="AE290" s="790"/>
      <c r="AF290" s="612" t="s">
        <v>1674</v>
      </c>
      <c r="AG290" s="612" t="s">
        <v>1674</v>
      </c>
      <c r="AH290" s="612" t="s">
        <v>1674</v>
      </c>
      <c r="AI290" s="612" t="s">
        <v>1674</v>
      </c>
      <c r="AJ290" s="612" t="s">
        <v>1674</v>
      </c>
      <c r="AK290" s="612" t="s">
        <v>1674</v>
      </c>
      <c r="AL290" s="612" t="s">
        <v>1674</v>
      </c>
      <c r="AM290" s="612" t="s">
        <v>1674</v>
      </c>
      <c r="AN290" s="612" t="s">
        <v>1674</v>
      </c>
      <c r="AP290">
        <f t="shared" si="8"/>
        <v>0</v>
      </c>
      <c r="AQ290" s="552">
        <f t="shared" si="9"/>
        <v>0</v>
      </c>
    </row>
    <row r="291" spans="1:43" outlineLevel="1" x14ac:dyDescent="0.25">
      <c r="A291" s="612" t="s">
        <v>1674</v>
      </c>
      <c r="B291" s="786">
        <v>0</v>
      </c>
      <c r="C291" s="612" t="s">
        <v>1674</v>
      </c>
      <c r="D291" s="612" t="s">
        <v>2777</v>
      </c>
      <c r="E291" t="s">
        <v>3307</v>
      </c>
      <c r="G291" s="787"/>
      <c r="H291" s="787">
        <v>9.52</v>
      </c>
      <c r="I291" s="787"/>
      <c r="J291" t="s">
        <v>806</v>
      </c>
      <c r="K291" s="611">
        <v>8736</v>
      </c>
      <c r="L291" t="s">
        <v>806</v>
      </c>
      <c r="M291" s="614"/>
      <c r="N291" s="788"/>
      <c r="O291" s="612" t="s">
        <v>1674</v>
      </c>
      <c r="P291" s="612" t="s">
        <v>1674</v>
      </c>
      <c r="Q291" s="612" t="s">
        <v>3308</v>
      </c>
      <c r="R291" s="612" t="s">
        <v>1674</v>
      </c>
      <c r="S291" s="612" t="s">
        <v>1674</v>
      </c>
      <c r="T291" s="789">
        <v>19</v>
      </c>
      <c r="U291" s="612" t="s">
        <v>3309</v>
      </c>
      <c r="V291" s="611">
        <v>1710</v>
      </c>
      <c r="W291" s="614"/>
      <c r="Y291" s="612" t="s">
        <v>1674</v>
      </c>
      <c r="AA291" s="612" t="s">
        <v>1674</v>
      </c>
      <c r="AE291" s="790"/>
      <c r="AF291" s="612" t="s">
        <v>1674</v>
      </c>
      <c r="AG291" s="612" t="s">
        <v>1674</v>
      </c>
      <c r="AH291" s="612" t="s">
        <v>1674</v>
      </c>
      <c r="AI291" s="612" t="s">
        <v>1674</v>
      </c>
      <c r="AJ291" s="612" t="s">
        <v>1674</v>
      </c>
      <c r="AK291" s="612" t="s">
        <v>1674</v>
      </c>
      <c r="AL291" s="612" t="s">
        <v>1674</v>
      </c>
      <c r="AM291" s="612" t="s">
        <v>1674</v>
      </c>
      <c r="AN291" s="612" t="s">
        <v>1674</v>
      </c>
      <c r="AP291">
        <f t="shared" si="8"/>
        <v>0</v>
      </c>
      <c r="AQ291" s="552">
        <f t="shared" si="9"/>
        <v>0</v>
      </c>
    </row>
    <row r="292" spans="1:43" outlineLevel="1" x14ac:dyDescent="0.25">
      <c r="A292" s="612" t="s">
        <v>1674</v>
      </c>
      <c r="B292" s="786">
        <v>0</v>
      </c>
      <c r="C292" s="612" t="s">
        <v>1674</v>
      </c>
      <c r="D292" s="612" t="s">
        <v>2777</v>
      </c>
      <c r="E292" t="s">
        <v>3310</v>
      </c>
      <c r="G292" s="787"/>
      <c r="H292" s="787">
        <v>952</v>
      </c>
      <c r="I292" s="787"/>
      <c r="J292" t="s">
        <v>806</v>
      </c>
      <c r="K292" s="611">
        <v>1200</v>
      </c>
      <c r="L292" t="s">
        <v>806</v>
      </c>
      <c r="M292" s="614"/>
      <c r="N292" s="788"/>
      <c r="O292" s="612" t="s">
        <v>1674</v>
      </c>
      <c r="P292" s="612" t="s">
        <v>1674</v>
      </c>
      <c r="Q292" s="612" t="s">
        <v>3311</v>
      </c>
      <c r="R292" s="612" t="s">
        <v>1674</v>
      </c>
      <c r="S292" s="612" t="s">
        <v>1674</v>
      </c>
      <c r="T292" s="789"/>
      <c r="U292" s="612" t="s">
        <v>3312</v>
      </c>
      <c r="V292" s="611">
        <v>1873</v>
      </c>
      <c r="W292" s="614"/>
      <c r="Y292" s="612" t="s">
        <v>1674</v>
      </c>
      <c r="AA292" s="612" t="s">
        <v>1674</v>
      </c>
      <c r="AE292" s="790"/>
      <c r="AF292" s="612" t="s">
        <v>1674</v>
      </c>
      <c r="AG292" s="612" t="s">
        <v>1674</v>
      </c>
      <c r="AH292" s="612" t="s">
        <v>1674</v>
      </c>
      <c r="AI292" s="612" t="s">
        <v>1674</v>
      </c>
      <c r="AJ292" s="612" t="s">
        <v>1674</v>
      </c>
      <c r="AK292" s="612" t="s">
        <v>1674</v>
      </c>
      <c r="AL292" s="612" t="s">
        <v>1674</v>
      </c>
      <c r="AM292" s="612" t="s">
        <v>1674</v>
      </c>
      <c r="AN292" s="612" t="s">
        <v>1674</v>
      </c>
      <c r="AP292">
        <f t="shared" si="8"/>
        <v>0</v>
      </c>
      <c r="AQ292" s="552">
        <f t="shared" si="9"/>
        <v>0</v>
      </c>
    </row>
    <row r="293" spans="1:43" outlineLevel="1" x14ac:dyDescent="0.25">
      <c r="A293" s="612" t="s">
        <v>1674</v>
      </c>
      <c r="B293" s="786">
        <v>0</v>
      </c>
      <c r="C293" s="612" t="s">
        <v>1674</v>
      </c>
      <c r="D293" s="612" t="s">
        <v>2777</v>
      </c>
      <c r="E293" t="s">
        <v>3313</v>
      </c>
      <c r="G293" s="787"/>
      <c r="H293" s="787">
        <v>942.48</v>
      </c>
      <c r="I293" s="787"/>
      <c r="J293" t="s">
        <v>806</v>
      </c>
      <c r="K293" s="611">
        <v>1200</v>
      </c>
      <c r="L293" t="s">
        <v>806</v>
      </c>
      <c r="M293" s="614"/>
      <c r="N293" s="788"/>
      <c r="O293" s="612" t="s">
        <v>1674</v>
      </c>
      <c r="P293" s="612" t="s">
        <v>1674</v>
      </c>
      <c r="Q293" s="612" t="s">
        <v>3314</v>
      </c>
      <c r="R293" s="612" t="s">
        <v>1674</v>
      </c>
      <c r="S293" s="612" t="s">
        <v>1674</v>
      </c>
      <c r="T293" s="789"/>
      <c r="U293" s="612" t="s">
        <v>3315</v>
      </c>
      <c r="V293" s="611">
        <v>74</v>
      </c>
      <c r="W293" s="614"/>
      <c r="Y293" s="612" t="s">
        <v>1674</v>
      </c>
      <c r="AA293" s="612" t="s">
        <v>1674</v>
      </c>
      <c r="AE293" s="790"/>
      <c r="AF293" s="612" t="s">
        <v>1674</v>
      </c>
      <c r="AG293" s="612" t="s">
        <v>1674</v>
      </c>
      <c r="AH293" s="612" t="s">
        <v>1674</v>
      </c>
      <c r="AI293" s="612" t="s">
        <v>1674</v>
      </c>
      <c r="AJ293" s="612" t="s">
        <v>1674</v>
      </c>
      <c r="AK293" s="612" t="s">
        <v>1674</v>
      </c>
      <c r="AL293" s="612" t="s">
        <v>1674</v>
      </c>
      <c r="AM293" s="612" t="s">
        <v>1674</v>
      </c>
      <c r="AN293" s="612" t="s">
        <v>1674</v>
      </c>
      <c r="AP293">
        <f t="shared" si="8"/>
        <v>0</v>
      </c>
      <c r="AQ293" s="552">
        <f t="shared" si="9"/>
        <v>0</v>
      </c>
    </row>
    <row r="294" spans="1:43" outlineLevel="1" x14ac:dyDescent="0.25">
      <c r="A294" s="612" t="s">
        <v>1674</v>
      </c>
      <c r="B294" s="786">
        <v>0</v>
      </c>
      <c r="C294" s="612" t="s">
        <v>1674</v>
      </c>
      <c r="D294" s="612" t="s">
        <v>2777</v>
      </c>
      <c r="E294" t="s">
        <v>3313</v>
      </c>
      <c r="G294" s="787"/>
      <c r="H294" s="787">
        <v>9.52</v>
      </c>
      <c r="I294" s="787"/>
      <c r="J294" t="s">
        <v>806</v>
      </c>
      <c r="K294" s="611">
        <v>8736</v>
      </c>
      <c r="L294" t="s">
        <v>806</v>
      </c>
      <c r="M294" s="614"/>
      <c r="N294" s="788"/>
      <c r="O294" s="612" t="s">
        <v>1674</v>
      </c>
      <c r="P294" s="612" t="s">
        <v>1674</v>
      </c>
      <c r="Q294" s="612" t="s">
        <v>3314</v>
      </c>
      <c r="R294" s="612" t="s">
        <v>1674</v>
      </c>
      <c r="S294" s="612" t="s">
        <v>1674</v>
      </c>
      <c r="T294" s="789">
        <v>19</v>
      </c>
      <c r="U294" s="612" t="s">
        <v>3315</v>
      </c>
      <c r="V294" s="611">
        <v>88</v>
      </c>
      <c r="W294" s="614"/>
      <c r="Y294" s="612" t="s">
        <v>1674</v>
      </c>
      <c r="AA294" s="612" t="s">
        <v>1674</v>
      </c>
      <c r="AE294" s="790"/>
      <c r="AF294" s="612" t="s">
        <v>1674</v>
      </c>
      <c r="AG294" s="612" t="s">
        <v>1674</v>
      </c>
      <c r="AH294" s="612" t="s">
        <v>1674</v>
      </c>
      <c r="AI294" s="612" t="s">
        <v>1674</v>
      </c>
      <c r="AJ294" s="612" t="s">
        <v>1674</v>
      </c>
      <c r="AK294" s="612" t="s">
        <v>1674</v>
      </c>
      <c r="AL294" s="612" t="s">
        <v>1674</v>
      </c>
      <c r="AM294" s="612" t="s">
        <v>1674</v>
      </c>
      <c r="AN294" s="612" t="s">
        <v>1674</v>
      </c>
      <c r="AP294">
        <f t="shared" si="8"/>
        <v>0</v>
      </c>
      <c r="AQ294" s="552">
        <f t="shared" si="9"/>
        <v>0</v>
      </c>
    </row>
    <row r="295" spans="1:43" outlineLevel="1" x14ac:dyDescent="0.25">
      <c r="A295" s="612" t="s">
        <v>1674</v>
      </c>
      <c r="B295" s="786">
        <v>0</v>
      </c>
      <c r="C295" s="612" t="s">
        <v>1674</v>
      </c>
      <c r="D295" s="612" t="s">
        <v>2777</v>
      </c>
      <c r="E295" t="s">
        <v>3316</v>
      </c>
      <c r="G295" s="787"/>
      <c r="H295" s="787">
        <v>952</v>
      </c>
      <c r="I295" s="787"/>
      <c r="J295" t="s">
        <v>806</v>
      </c>
      <c r="K295" s="611">
        <v>1200</v>
      </c>
      <c r="L295" t="s">
        <v>806</v>
      </c>
      <c r="M295" s="614"/>
      <c r="N295" s="788"/>
      <c r="O295" s="612" t="s">
        <v>1674</v>
      </c>
      <c r="P295" s="612" t="s">
        <v>1674</v>
      </c>
      <c r="Q295" s="612" t="s">
        <v>3317</v>
      </c>
      <c r="R295" s="612" t="s">
        <v>1674</v>
      </c>
      <c r="S295" s="612" t="s">
        <v>1674</v>
      </c>
      <c r="T295" s="789"/>
      <c r="U295" s="612" t="s">
        <v>3315</v>
      </c>
      <c r="V295" s="611">
        <v>1663</v>
      </c>
      <c r="W295" s="614"/>
      <c r="Y295" s="612" t="s">
        <v>1674</v>
      </c>
      <c r="AA295" s="612" t="s">
        <v>1674</v>
      </c>
      <c r="AE295" s="790"/>
      <c r="AF295" s="612" t="s">
        <v>1674</v>
      </c>
      <c r="AG295" s="612" t="s">
        <v>1674</v>
      </c>
      <c r="AH295" s="612" t="s">
        <v>1674</v>
      </c>
      <c r="AI295" s="612" t="s">
        <v>1674</v>
      </c>
      <c r="AJ295" s="612" t="s">
        <v>1674</v>
      </c>
      <c r="AK295" s="612" t="s">
        <v>1674</v>
      </c>
      <c r="AL295" s="612" t="s">
        <v>1674</v>
      </c>
      <c r="AM295" s="612" t="s">
        <v>1674</v>
      </c>
      <c r="AN295" s="612" t="s">
        <v>1674</v>
      </c>
      <c r="AP295">
        <f t="shared" si="8"/>
        <v>0</v>
      </c>
      <c r="AQ295" s="552">
        <f t="shared" si="9"/>
        <v>0</v>
      </c>
    </row>
    <row r="296" spans="1:43" outlineLevel="1" x14ac:dyDescent="0.25">
      <c r="A296" s="612" t="s">
        <v>1674</v>
      </c>
      <c r="B296" s="786">
        <v>0</v>
      </c>
      <c r="C296" s="612" t="s">
        <v>1674</v>
      </c>
      <c r="D296" s="612" t="s">
        <v>2777</v>
      </c>
      <c r="E296" t="s">
        <v>3318</v>
      </c>
      <c r="G296" s="787"/>
      <c r="H296" s="787">
        <v>952</v>
      </c>
      <c r="I296" s="787"/>
      <c r="J296" t="s">
        <v>806</v>
      </c>
      <c r="K296" s="611">
        <v>1200</v>
      </c>
      <c r="L296" t="s">
        <v>806</v>
      </c>
      <c r="M296" s="614"/>
      <c r="N296" s="788"/>
      <c r="O296" s="612" t="s">
        <v>1674</v>
      </c>
      <c r="P296" s="612" t="s">
        <v>1674</v>
      </c>
      <c r="Q296" s="612" t="s">
        <v>3319</v>
      </c>
      <c r="R296" s="612" t="s">
        <v>1674</v>
      </c>
      <c r="S296" s="612" t="s">
        <v>1674</v>
      </c>
      <c r="T296" s="789"/>
      <c r="U296" s="612" t="s">
        <v>3320</v>
      </c>
      <c r="V296" s="611">
        <v>1746</v>
      </c>
      <c r="W296" s="614"/>
      <c r="Y296" s="612" t="s">
        <v>1674</v>
      </c>
      <c r="AA296" s="612" t="s">
        <v>1674</v>
      </c>
      <c r="AE296" s="790"/>
      <c r="AF296" s="612" t="s">
        <v>1674</v>
      </c>
      <c r="AG296" s="612" t="s">
        <v>1674</v>
      </c>
      <c r="AH296" s="612" t="s">
        <v>1674</v>
      </c>
      <c r="AI296" s="612" t="s">
        <v>1674</v>
      </c>
      <c r="AJ296" s="612" t="s">
        <v>1674</v>
      </c>
      <c r="AK296" s="612" t="s">
        <v>1674</v>
      </c>
      <c r="AL296" s="612" t="s">
        <v>1674</v>
      </c>
      <c r="AM296" s="612" t="s">
        <v>1674</v>
      </c>
      <c r="AN296" s="612" t="s">
        <v>1674</v>
      </c>
      <c r="AP296">
        <f t="shared" si="8"/>
        <v>0</v>
      </c>
      <c r="AQ296" s="552">
        <f t="shared" si="9"/>
        <v>0</v>
      </c>
    </row>
    <row r="297" spans="1:43" outlineLevel="1" x14ac:dyDescent="0.25">
      <c r="A297" s="612" t="s">
        <v>1674</v>
      </c>
      <c r="B297" s="786">
        <v>0</v>
      </c>
      <c r="C297" s="612" t="s">
        <v>1674</v>
      </c>
      <c r="D297" s="612" t="s">
        <v>2777</v>
      </c>
      <c r="E297" t="s">
        <v>3321</v>
      </c>
      <c r="G297" s="787"/>
      <c r="H297" s="787">
        <v>952</v>
      </c>
      <c r="I297" s="787"/>
      <c r="J297" t="s">
        <v>806</v>
      </c>
      <c r="K297" s="611">
        <v>1200</v>
      </c>
      <c r="L297" t="s">
        <v>806</v>
      </c>
      <c r="M297" s="614"/>
      <c r="N297" s="788"/>
      <c r="O297" s="612" t="s">
        <v>1674</v>
      </c>
      <c r="P297" s="612" t="s">
        <v>1674</v>
      </c>
      <c r="Q297" s="612" t="s">
        <v>3322</v>
      </c>
      <c r="R297" s="612" t="s">
        <v>1674</v>
      </c>
      <c r="S297" s="612" t="s">
        <v>1674</v>
      </c>
      <c r="T297" s="789"/>
      <c r="U297" s="612" t="s">
        <v>3323</v>
      </c>
      <c r="V297" s="611">
        <v>1477</v>
      </c>
      <c r="W297" s="614"/>
      <c r="Y297" s="612" t="s">
        <v>1674</v>
      </c>
      <c r="AA297" s="612" t="s">
        <v>1674</v>
      </c>
      <c r="AE297" s="790"/>
      <c r="AF297" s="612" t="s">
        <v>1674</v>
      </c>
      <c r="AG297" s="612" t="s">
        <v>1674</v>
      </c>
      <c r="AH297" s="612" t="s">
        <v>1674</v>
      </c>
      <c r="AI297" s="612" t="s">
        <v>1674</v>
      </c>
      <c r="AJ297" s="612" t="s">
        <v>1674</v>
      </c>
      <c r="AK297" s="612" t="s">
        <v>1674</v>
      </c>
      <c r="AL297" s="612" t="s">
        <v>1674</v>
      </c>
      <c r="AM297" s="612" t="s">
        <v>1674</v>
      </c>
      <c r="AN297" s="612" t="s">
        <v>1674</v>
      </c>
      <c r="AP297">
        <f t="shared" si="8"/>
        <v>0</v>
      </c>
      <c r="AQ297" s="552">
        <f t="shared" si="9"/>
        <v>0</v>
      </c>
    </row>
    <row r="298" spans="1:43" outlineLevel="1" x14ac:dyDescent="0.25">
      <c r="A298" s="612" t="s">
        <v>1674</v>
      </c>
      <c r="B298" s="786">
        <v>0</v>
      </c>
      <c r="C298" s="612" t="s">
        <v>1674</v>
      </c>
      <c r="D298" s="612" t="s">
        <v>2777</v>
      </c>
      <c r="E298" t="s">
        <v>5005</v>
      </c>
      <c r="G298" s="787"/>
      <c r="H298" s="787">
        <v>952</v>
      </c>
      <c r="I298" s="787"/>
      <c r="J298" t="s">
        <v>806</v>
      </c>
      <c r="K298" s="611">
        <v>1200</v>
      </c>
      <c r="L298" t="s">
        <v>806</v>
      </c>
      <c r="M298" s="614"/>
      <c r="N298" s="788"/>
      <c r="O298" s="612" t="s">
        <v>1674</v>
      </c>
      <c r="P298" s="612" t="s">
        <v>1674</v>
      </c>
      <c r="Q298" s="612" t="s">
        <v>5240</v>
      </c>
      <c r="R298" s="612" t="s">
        <v>1674</v>
      </c>
      <c r="S298" s="612" t="s">
        <v>1674</v>
      </c>
      <c r="T298" s="789"/>
      <c r="U298" s="612" t="s">
        <v>5002</v>
      </c>
      <c r="V298" s="611">
        <v>1314</v>
      </c>
      <c r="W298" s="614"/>
      <c r="Y298" s="612" t="s">
        <v>1674</v>
      </c>
      <c r="AA298" s="612" t="s">
        <v>1674</v>
      </c>
      <c r="AE298" s="790"/>
      <c r="AF298" s="612" t="s">
        <v>1674</v>
      </c>
      <c r="AG298" s="612" t="s">
        <v>1674</v>
      </c>
      <c r="AH298" s="612" t="s">
        <v>1674</v>
      </c>
      <c r="AI298" s="612" t="s">
        <v>1674</v>
      </c>
      <c r="AJ298" s="612" t="s">
        <v>1674</v>
      </c>
      <c r="AK298" s="612" t="s">
        <v>1674</v>
      </c>
      <c r="AL298" s="612" t="s">
        <v>1674</v>
      </c>
      <c r="AM298" s="612" t="s">
        <v>1674</v>
      </c>
      <c r="AN298" s="612" t="s">
        <v>1674</v>
      </c>
      <c r="AP298">
        <f t="shared" si="8"/>
        <v>0</v>
      </c>
      <c r="AQ298" s="552">
        <f t="shared" si="9"/>
        <v>0</v>
      </c>
    </row>
    <row r="299" spans="1:43" outlineLevel="1" x14ac:dyDescent="0.25">
      <c r="A299" s="612" t="s">
        <v>1674</v>
      </c>
      <c r="B299" s="786">
        <v>0</v>
      </c>
      <c r="C299" s="612" t="s">
        <v>1674</v>
      </c>
      <c r="D299" s="612" t="s">
        <v>2777</v>
      </c>
      <c r="E299" t="s">
        <v>5007</v>
      </c>
      <c r="G299" s="787"/>
      <c r="H299" s="787">
        <v>952</v>
      </c>
      <c r="I299" s="787"/>
      <c r="J299" t="s">
        <v>806</v>
      </c>
      <c r="K299" s="611">
        <v>1200</v>
      </c>
      <c r="L299" t="s">
        <v>806</v>
      </c>
      <c r="M299" s="614"/>
      <c r="N299" s="788"/>
      <c r="O299" s="612" t="s">
        <v>1674</v>
      </c>
      <c r="P299" s="612" t="s">
        <v>1674</v>
      </c>
      <c r="Q299" s="612" t="s">
        <v>5241</v>
      </c>
      <c r="R299" s="612" t="s">
        <v>1674</v>
      </c>
      <c r="S299" s="612" t="s">
        <v>1674</v>
      </c>
      <c r="T299" s="789"/>
      <c r="U299" s="612" t="s">
        <v>5002</v>
      </c>
      <c r="V299" s="611">
        <v>1668</v>
      </c>
      <c r="W299" s="614"/>
      <c r="Y299" s="612" t="s">
        <v>1674</v>
      </c>
      <c r="AA299" s="612" t="s">
        <v>1674</v>
      </c>
      <c r="AE299" s="790"/>
      <c r="AF299" s="612" t="s">
        <v>1674</v>
      </c>
      <c r="AG299" s="612" t="s">
        <v>1674</v>
      </c>
      <c r="AH299" s="612" t="s">
        <v>1674</v>
      </c>
      <c r="AI299" s="612" t="s">
        <v>1674</v>
      </c>
      <c r="AJ299" s="612" t="s">
        <v>1674</v>
      </c>
      <c r="AK299" s="612" t="s">
        <v>1674</v>
      </c>
      <c r="AL299" s="612" t="s">
        <v>1674</v>
      </c>
      <c r="AM299" s="612" t="s">
        <v>1674</v>
      </c>
      <c r="AN299" s="612" t="s">
        <v>1674</v>
      </c>
      <c r="AP299">
        <f t="shared" si="8"/>
        <v>0</v>
      </c>
      <c r="AQ299" s="552">
        <f t="shared" si="9"/>
        <v>0</v>
      </c>
    </row>
    <row r="300" spans="1:43" outlineLevel="1" x14ac:dyDescent="0.25">
      <c r="A300" s="612" t="s">
        <v>1674</v>
      </c>
      <c r="B300" s="786">
        <v>0</v>
      </c>
      <c r="C300" s="612" t="s">
        <v>1674</v>
      </c>
      <c r="D300" s="612" t="s">
        <v>2777</v>
      </c>
      <c r="E300" t="s">
        <v>5078</v>
      </c>
      <c r="G300" s="787"/>
      <c r="H300" s="787">
        <v>952</v>
      </c>
      <c r="I300" s="787"/>
      <c r="J300" t="s">
        <v>806</v>
      </c>
      <c r="K300" s="611">
        <v>1200</v>
      </c>
      <c r="L300" t="s">
        <v>806</v>
      </c>
      <c r="M300" s="614"/>
      <c r="N300" s="788"/>
      <c r="O300" s="612" t="s">
        <v>1674</v>
      </c>
      <c r="P300" s="612" t="s">
        <v>1674</v>
      </c>
      <c r="Q300" s="612" t="s">
        <v>5242</v>
      </c>
      <c r="R300" s="612" t="s">
        <v>1674</v>
      </c>
      <c r="S300" s="612" t="s">
        <v>1674</v>
      </c>
      <c r="T300" s="789"/>
      <c r="U300" s="612" t="s">
        <v>4900</v>
      </c>
      <c r="V300" s="611">
        <v>363</v>
      </c>
      <c r="W300" s="614"/>
      <c r="Y300" s="612" t="s">
        <v>1674</v>
      </c>
      <c r="AA300" s="612" t="s">
        <v>1674</v>
      </c>
      <c r="AE300" s="790"/>
      <c r="AF300" s="612" t="s">
        <v>1674</v>
      </c>
      <c r="AG300" s="612" t="s">
        <v>1674</v>
      </c>
      <c r="AH300" s="612" t="s">
        <v>1674</v>
      </c>
      <c r="AI300" s="612" t="s">
        <v>1674</v>
      </c>
      <c r="AJ300" s="612" t="s">
        <v>1674</v>
      </c>
      <c r="AK300" s="612" t="s">
        <v>1674</v>
      </c>
      <c r="AL300" s="612" t="s">
        <v>1674</v>
      </c>
      <c r="AM300" s="612" t="s">
        <v>1674</v>
      </c>
      <c r="AN300" s="612" t="s">
        <v>1674</v>
      </c>
      <c r="AP300">
        <f t="shared" si="8"/>
        <v>0</v>
      </c>
      <c r="AQ300" s="552">
        <f t="shared" si="9"/>
        <v>0</v>
      </c>
    </row>
    <row r="301" spans="1:43" outlineLevel="1" x14ac:dyDescent="0.25">
      <c r="A301" s="612" t="s">
        <v>1674</v>
      </c>
      <c r="B301" s="786">
        <v>0</v>
      </c>
      <c r="C301" s="612" t="s">
        <v>1674</v>
      </c>
      <c r="D301" s="612" t="s">
        <v>2777</v>
      </c>
      <c r="E301" t="s">
        <v>4937</v>
      </c>
      <c r="G301" s="787"/>
      <c r="H301" s="787">
        <v>952</v>
      </c>
      <c r="I301" s="787">
        <v>4046</v>
      </c>
      <c r="J301" t="s">
        <v>2701</v>
      </c>
      <c r="K301" s="611">
        <v>1200</v>
      </c>
      <c r="L301" t="s">
        <v>806</v>
      </c>
      <c r="M301" s="614"/>
      <c r="N301" s="788"/>
      <c r="O301" s="612" t="s">
        <v>1674</v>
      </c>
      <c r="P301" s="612" t="s">
        <v>1674</v>
      </c>
      <c r="Q301" s="612" t="s">
        <v>5243</v>
      </c>
      <c r="R301" s="612" t="s">
        <v>1674</v>
      </c>
      <c r="S301" s="612" t="s">
        <v>1674</v>
      </c>
      <c r="T301" s="789"/>
      <c r="U301" s="612" t="s">
        <v>4900</v>
      </c>
      <c r="V301" s="611">
        <v>1701</v>
      </c>
      <c r="W301" s="614"/>
      <c r="Y301" s="612" t="s">
        <v>1674</v>
      </c>
      <c r="AA301" s="612" t="s">
        <v>1674</v>
      </c>
      <c r="AE301" s="790"/>
      <c r="AF301" s="612" t="s">
        <v>1674</v>
      </c>
      <c r="AG301" s="612" t="s">
        <v>1674</v>
      </c>
      <c r="AH301" s="612" t="s">
        <v>1674</v>
      </c>
      <c r="AI301" s="612" t="s">
        <v>1674</v>
      </c>
      <c r="AJ301" s="612" t="s">
        <v>1674</v>
      </c>
      <c r="AK301" s="612" t="s">
        <v>1674</v>
      </c>
      <c r="AL301" s="612" t="s">
        <v>1674</v>
      </c>
      <c r="AM301" s="612" t="s">
        <v>1674</v>
      </c>
      <c r="AN301" s="612" t="s">
        <v>1674</v>
      </c>
      <c r="AP301">
        <f t="shared" si="8"/>
        <v>0</v>
      </c>
      <c r="AQ301" s="552">
        <f t="shared" si="9"/>
        <v>4046</v>
      </c>
    </row>
    <row r="302" spans="1:43" outlineLevel="1" x14ac:dyDescent="0.25">
      <c r="A302" s="612" t="s">
        <v>2722</v>
      </c>
      <c r="B302" s="786">
        <v>0</v>
      </c>
      <c r="C302" s="612" t="s">
        <v>1674</v>
      </c>
      <c r="D302" s="612" t="s">
        <v>3345</v>
      </c>
      <c r="E302" t="s">
        <v>3346</v>
      </c>
      <c r="F302" t="s">
        <v>3347</v>
      </c>
      <c r="G302" s="787">
        <v>20230</v>
      </c>
      <c r="H302" s="787"/>
      <c r="I302" s="787"/>
      <c r="J302" t="s">
        <v>806</v>
      </c>
      <c r="K302" s="611" t="s">
        <v>4945</v>
      </c>
      <c r="L302" t="s">
        <v>2552</v>
      </c>
      <c r="M302" s="614"/>
      <c r="N302" s="788">
        <v>-304</v>
      </c>
      <c r="O302" s="612" t="s">
        <v>1674</v>
      </c>
      <c r="P302" s="612" t="s">
        <v>1674</v>
      </c>
      <c r="Q302" s="612" t="s">
        <v>3348</v>
      </c>
      <c r="R302" s="612" t="s">
        <v>2622</v>
      </c>
      <c r="S302" s="612" t="s">
        <v>1674</v>
      </c>
      <c r="T302" s="789">
        <v>19</v>
      </c>
      <c r="U302" s="612" t="s">
        <v>3303</v>
      </c>
      <c r="V302" s="611">
        <v>1801</v>
      </c>
      <c r="W302" s="614"/>
      <c r="Y302" s="612" t="s">
        <v>1674</v>
      </c>
      <c r="AA302" s="612" t="s">
        <v>1674</v>
      </c>
      <c r="AE302" s="790"/>
      <c r="AF302" s="612" t="s">
        <v>1674</v>
      </c>
      <c r="AG302" s="612" t="s">
        <v>1674</v>
      </c>
      <c r="AH302" s="612" t="s">
        <v>1674</v>
      </c>
      <c r="AI302" s="612" t="s">
        <v>1674</v>
      </c>
      <c r="AJ302" s="612" t="s">
        <v>1674</v>
      </c>
      <c r="AK302" s="612" t="s">
        <v>1674</v>
      </c>
      <c r="AL302" s="612" t="s">
        <v>1674</v>
      </c>
      <c r="AM302" s="612" t="s">
        <v>1674</v>
      </c>
      <c r="AN302" s="612" t="s">
        <v>1674</v>
      </c>
      <c r="AP302">
        <f t="shared" si="8"/>
        <v>304</v>
      </c>
      <c r="AQ302" s="552">
        <f t="shared" si="9"/>
        <v>0</v>
      </c>
    </row>
    <row r="303" spans="1:43" outlineLevel="1" x14ac:dyDescent="0.25">
      <c r="A303" s="612" t="s">
        <v>1674</v>
      </c>
      <c r="B303" s="786">
        <v>0</v>
      </c>
      <c r="C303" s="612" t="s">
        <v>1674</v>
      </c>
      <c r="D303" s="612" t="s">
        <v>3345</v>
      </c>
      <c r="E303" t="s">
        <v>3304</v>
      </c>
      <c r="G303" s="787"/>
      <c r="H303" s="787">
        <v>942.48</v>
      </c>
      <c r="I303" s="787"/>
      <c r="J303" t="s">
        <v>806</v>
      </c>
      <c r="K303" s="611">
        <v>1200</v>
      </c>
      <c r="L303" t="s">
        <v>806</v>
      </c>
      <c r="M303" s="614"/>
      <c r="N303" s="788"/>
      <c r="O303" s="612" t="s">
        <v>1674</v>
      </c>
      <c r="P303" s="612" t="s">
        <v>1674</v>
      </c>
      <c r="Q303" s="612" t="s">
        <v>3305</v>
      </c>
      <c r="R303" s="612" t="s">
        <v>1674</v>
      </c>
      <c r="S303" s="612" t="s">
        <v>1674</v>
      </c>
      <c r="T303" s="789"/>
      <c r="U303" s="612" t="s">
        <v>3306</v>
      </c>
      <c r="V303" s="611">
        <v>1621</v>
      </c>
      <c r="W303" s="614"/>
      <c r="Y303" s="612" t="s">
        <v>1674</v>
      </c>
      <c r="AA303" s="612" t="s">
        <v>1674</v>
      </c>
      <c r="AE303" s="790"/>
      <c r="AF303" s="612" t="s">
        <v>1674</v>
      </c>
      <c r="AG303" s="612" t="s">
        <v>1674</v>
      </c>
      <c r="AH303" s="612" t="s">
        <v>1674</v>
      </c>
      <c r="AI303" s="612" t="s">
        <v>1674</v>
      </c>
      <c r="AJ303" s="612" t="s">
        <v>1674</v>
      </c>
      <c r="AK303" s="612" t="s">
        <v>1674</v>
      </c>
      <c r="AL303" s="612" t="s">
        <v>1674</v>
      </c>
      <c r="AM303" s="612" t="s">
        <v>1674</v>
      </c>
      <c r="AN303" s="612" t="s">
        <v>1674</v>
      </c>
      <c r="AP303">
        <f t="shared" si="8"/>
        <v>0</v>
      </c>
      <c r="AQ303" s="552">
        <f t="shared" si="9"/>
        <v>0</v>
      </c>
    </row>
    <row r="304" spans="1:43" outlineLevel="1" x14ac:dyDescent="0.25">
      <c r="A304" s="612" t="s">
        <v>1674</v>
      </c>
      <c r="B304" s="786">
        <v>0</v>
      </c>
      <c r="C304" s="612" t="s">
        <v>1674</v>
      </c>
      <c r="D304" s="612" t="s">
        <v>3345</v>
      </c>
      <c r="E304" t="s">
        <v>3304</v>
      </c>
      <c r="G304" s="787"/>
      <c r="H304" s="787">
        <v>9.52</v>
      </c>
      <c r="I304" s="787"/>
      <c r="J304" t="s">
        <v>806</v>
      </c>
      <c r="K304" s="611">
        <v>8736</v>
      </c>
      <c r="L304" t="s">
        <v>806</v>
      </c>
      <c r="M304" s="614"/>
      <c r="N304" s="788"/>
      <c r="O304" s="612" t="s">
        <v>1674</v>
      </c>
      <c r="P304" s="612" t="s">
        <v>1674</v>
      </c>
      <c r="Q304" s="612" t="s">
        <v>3305</v>
      </c>
      <c r="R304" s="612" t="s">
        <v>1674</v>
      </c>
      <c r="S304" s="612" t="s">
        <v>1674</v>
      </c>
      <c r="T304" s="789">
        <v>19</v>
      </c>
      <c r="U304" s="612" t="s">
        <v>3306</v>
      </c>
      <c r="V304" s="611">
        <v>1622</v>
      </c>
      <c r="W304" s="614"/>
      <c r="Y304" s="612" t="s">
        <v>1674</v>
      </c>
      <c r="AA304" s="612" t="s">
        <v>1674</v>
      </c>
      <c r="AE304" s="790"/>
      <c r="AF304" s="612" t="s">
        <v>1674</v>
      </c>
      <c r="AG304" s="612" t="s">
        <v>1674</v>
      </c>
      <c r="AH304" s="612" t="s">
        <v>1674</v>
      </c>
      <c r="AI304" s="612" t="s">
        <v>1674</v>
      </c>
      <c r="AJ304" s="612" t="s">
        <v>1674</v>
      </c>
      <c r="AK304" s="612" t="s">
        <v>1674</v>
      </c>
      <c r="AL304" s="612" t="s">
        <v>1674</v>
      </c>
      <c r="AM304" s="612" t="s">
        <v>1674</v>
      </c>
      <c r="AN304" s="612" t="s">
        <v>1674</v>
      </c>
      <c r="AP304">
        <f t="shared" si="8"/>
        <v>0</v>
      </c>
      <c r="AQ304" s="552">
        <f t="shared" si="9"/>
        <v>0</v>
      </c>
    </row>
    <row r="305" spans="1:43" outlineLevel="1" x14ac:dyDescent="0.25">
      <c r="A305" s="612" t="s">
        <v>1674</v>
      </c>
      <c r="B305" s="786">
        <v>0</v>
      </c>
      <c r="C305" s="612" t="s">
        <v>1674</v>
      </c>
      <c r="D305" s="612" t="s">
        <v>3345</v>
      </c>
      <c r="E305" t="s">
        <v>3307</v>
      </c>
      <c r="G305" s="787"/>
      <c r="H305" s="787">
        <v>942.48</v>
      </c>
      <c r="I305" s="787"/>
      <c r="J305" t="s">
        <v>806</v>
      </c>
      <c r="K305" s="611">
        <v>1200</v>
      </c>
      <c r="L305" t="s">
        <v>806</v>
      </c>
      <c r="M305" s="614"/>
      <c r="N305" s="788"/>
      <c r="O305" s="612" t="s">
        <v>1674</v>
      </c>
      <c r="P305" s="612" t="s">
        <v>1674</v>
      </c>
      <c r="Q305" s="612" t="s">
        <v>3308</v>
      </c>
      <c r="R305" s="612" t="s">
        <v>1674</v>
      </c>
      <c r="S305" s="612" t="s">
        <v>1674</v>
      </c>
      <c r="T305" s="789"/>
      <c r="U305" s="612" t="s">
        <v>3309</v>
      </c>
      <c r="V305" s="611">
        <v>1683</v>
      </c>
      <c r="W305" s="614"/>
      <c r="Y305" s="612" t="s">
        <v>1674</v>
      </c>
      <c r="AA305" s="612" t="s">
        <v>1674</v>
      </c>
      <c r="AE305" s="790"/>
      <c r="AF305" s="612" t="s">
        <v>1674</v>
      </c>
      <c r="AG305" s="612" t="s">
        <v>1674</v>
      </c>
      <c r="AH305" s="612" t="s">
        <v>1674</v>
      </c>
      <c r="AI305" s="612" t="s">
        <v>1674</v>
      </c>
      <c r="AJ305" s="612" t="s">
        <v>1674</v>
      </c>
      <c r="AK305" s="612" t="s">
        <v>1674</v>
      </c>
      <c r="AL305" s="612" t="s">
        <v>1674</v>
      </c>
      <c r="AM305" s="612" t="s">
        <v>1674</v>
      </c>
      <c r="AN305" s="612" t="s">
        <v>1674</v>
      </c>
      <c r="AP305">
        <f t="shared" si="8"/>
        <v>0</v>
      </c>
      <c r="AQ305" s="552">
        <f t="shared" si="9"/>
        <v>0</v>
      </c>
    </row>
    <row r="306" spans="1:43" outlineLevel="1" x14ac:dyDescent="0.25">
      <c r="A306" s="612" t="s">
        <v>1674</v>
      </c>
      <c r="B306" s="786">
        <v>0</v>
      </c>
      <c r="C306" s="612" t="s">
        <v>1674</v>
      </c>
      <c r="D306" s="612" t="s">
        <v>3345</v>
      </c>
      <c r="E306" t="s">
        <v>3307</v>
      </c>
      <c r="G306" s="787"/>
      <c r="H306" s="787">
        <v>9.52</v>
      </c>
      <c r="I306" s="787"/>
      <c r="J306" t="s">
        <v>806</v>
      </c>
      <c r="K306" s="611">
        <v>8736</v>
      </c>
      <c r="L306" t="s">
        <v>806</v>
      </c>
      <c r="M306" s="614"/>
      <c r="N306" s="788"/>
      <c r="O306" s="612" t="s">
        <v>1674</v>
      </c>
      <c r="P306" s="612" t="s">
        <v>1674</v>
      </c>
      <c r="Q306" s="612" t="s">
        <v>3308</v>
      </c>
      <c r="R306" s="612" t="s">
        <v>1674</v>
      </c>
      <c r="S306" s="612" t="s">
        <v>1674</v>
      </c>
      <c r="T306" s="789">
        <v>19</v>
      </c>
      <c r="U306" s="612" t="s">
        <v>3309</v>
      </c>
      <c r="V306" s="611">
        <v>1684</v>
      </c>
      <c r="W306" s="614"/>
      <c r="Y306" s="612" t="s">
        <v>1674</v>
      </c>
      <c r="AA306" s="612" t="s">
        <v>1674</v>
      </c>
      <c r="AE306" s="790"/>
      <c r="AF306" s="612" t="s">
        <v>1674</v>
      </c>
      <c r="AG306" s="612" t="s">
        <v>1674</v>
      </c>
      <c r="AH306" s="612" t="s">
        <v>1674</v>
      </c>
      <c r="AI306" s="612" t="s">
        <v>1674</v>
      </c>
      <c r="AJ306" s="612" t="s">
        <v>1674</v>
      </c>
      <c r="AK306" s="612" t="s">
        <v>1674</v>
      </c>
      <c r="AL306" s="612" t="s">
        <v>1674</v>
      </c>
      <c r="AM306" s="612" t="s">
        <v>1674</v>
      </c>
      <c r="AN306" s="612" t="s">
        <v>1674</v>
      </c>
      <c r="AP306">
        <f t="shared" si="8"/>
        <v>0</v>
      </c>
      <c r="AQ306" s="552">
        <f t="shared" si="9"/>
        <v>0</v>
      </c>
    </row>
    <row r="307" spans="1:43" outlineLevel="1" x14ac:dyDescent="0.25">
      <c r="A307" s="612" t="s">
        <v>1674</v>
      </c>
      <c r="B307" s="786">
        <v>0</v>
      </c>
      <c r="C307" s="612" t="s">
        <v>1674</v>
      </c>
      <c r="D307" s="612" t="s">
        <v>3345</v>
      </c>
      <c r="E307" t="s">
        <v>3310</v>
      </c>
      <c r="G307" s="787"/>
      <c r="H307" s="787">
        <v>952</v>
      </c>
      <c r="I307" s="787"/>
      <c r="J307" t="s">
        <v>806</v>
      </c>
      <c r="K307" s="611">
        <v>1200</v>
      </c>
      <c r="L307" t="s">
        <v>806</v>
      </c>
      <c r="M307" s="614"/>
      <c r="N307" s="788"/>
      <c r="O307" s="612" t="s">
        <v>1674</v>
      </c>
      <c r="P307" s="612" t="s">
        <v>1674</v>
      </c>
      <c r="Q307" s="612" t="s">
        <v>3311</v>
      </c>
      <c r="R307" s="612" t="s">
        <v>1674</v>
      </c>
      <c r="S307" s="612" t="s">
        <v>1674</v>
      </c>
      <c r="T307" s="789"/>
      <c r="U307" s="612" t="s">
        <v>3312</v>
      </c>
      <c r="V307" s="611">
        <v>1872</v>
      </c>
      <c r="W307" s="614"/>
      <c r="Y307" s="612" t="s">
        <v>1674</v>
      </c>
      <c r="AA307" s="612" t="s">
        <v>1674</v>
      </c>
      <c r="AE307" s="790"/>
      <c r="AF307" s="612" t="s">
        <v>1674</v>
      </c>
      <c r="AG307" s="612" t="s">
        <v>1674</v>
      </c>
      <c r="AH307" s="612" t="s">
        <v>1674</v>
      </c>
      <c r="AI307" s="612" t="s">
        <v>1674</v>
      </c>
      <c r="AJ307" s="612" t="s">
        <v>1674</v>
      </c>
      <c r="AK307" s="612" t="s">
        <v>1674</v>
      </c>
      <c r="AL307" s="612" t="s">
        <v>1674</v>
      </c>
      <c r="AM307" s="612" t="s">
        <v>1674</v>
      </c>
      <c r="AN307" s="612" t="s">
        <v>1674</v>
      </c>
      <c r="AP307">
        <f t="shared" si="8"/>
        <v>0</v>
      </c>
      <c r="AQ307" s="552">
        <f t="shared" si="9"/>
        <v>0</v>
      </c>
    </row>
    <row r="308" spans="1:43" outlineLevel="1" x14ac:dyDescent="0.25">
      <c r="A308" s="612" t="s">
        <v>1674</v>
      </c>
      <c r="B308" s="786">
        <v>0</v>
      </c>
      <c r="C308" s="612" t="s">
        <v>1674</v>
      </c>
      <c r="D308" s="612" t="s">
        <v>3345</v>
      </c>
      <c r="E308" t="s">
        <v>3313</v>
      </c>
      <c r="G308" s="787"/>
      <c r="H308" s="787">
        <v>942.48</v>
      </c>
      <c r="I308" s="787"/>
      <c r="J308" t="s">
        <v>806</v>
      </c>
      <c r="K308" s="611">
        <v>1200</v>
      </c>
      <c r="L308" t="s">
        <v>806</v>
      </c>
      <c r="M308" s="614"/>
      <c r="N308" s="788"/>
      <c r="O308" s="612" t="s">
        <v>1674</v>
      </c>
      <c r="P308" s="612" t="s">
        <v>1674</v>
      </c>
      <c r="Q308" s="612" t="s">
        <v>3314</v>
      </c>
      <c r="R308" s="612" t="s">
        <v>1674</v>
      </c>
      <c r="S308" s="612" t="s">
        <v>1674</v>
      </c>
      <c r="T308" s="789"/>
      <c r="U308" s="612" t="s">
        <v>3315</v>
      </c>
      <c r="V308" s="611">
        <v>89</v>
      </c>
      <c r="W308" s="614"/>
      <c r="Y308" s="612" t="s">
        <v>1674</v>
      </c>
      <c r="AA308" s="612" t="s">
        <v>1674</v>
      </c>
      <c r="AE308" s="790"/>
      <c r="AF308" s="612" t="s">
        <v>1674</v>
      </c>
      <c r="AG308" s="612" t="s">
        <v>1674</v>
      </c>
      <c r="AH308" s="612" t="s">
        <v>1674</v>
      </c>
      <c r="AI308" s="612" t="s">
        <v>1674</v>
      </c>
      <c r="AJ308" s="612" t="s">
        <v>1674</v>
      </c>
      <c r="AK308" s="612" t="s">
        <v>1674</v>
      </c>
      <c r="AL308" s="612" t="s">
        <v>1674</v>
      </c>
      <c r="AM308" s="612" t="s">
        <v>1674</v>
      </c>
      <c r="AN308" s="612" t="s">
        <v>1674</v>
      </c>
      <c r="AP308">
        <f t="shared" si="8"/>
        <v>0</v>
      </c>
      <c r="AQ308" s="552">
        <f t="shared" si="9"/>
        <v>0</v>
      </c>
    </row>
    <row r="309" spans="1:43" outlineLevel="1" x14ac:dyDescent="0.25">
      <c r="A309" s="612" t="s">
        <v>1674</v>
      </c>
      <c r="B309" s="786">
        <v>0</v>
      </c>
      <c r="C309" s="612" t="s">
        <v>1674</v>
      </c>
      <c r="D309" s="612" t="s">
        <v>3345</v>
      </c>
      <c r="E309" t="s">
        <v>3313</v>
      </c>
      <c r="G309" s="787"/>
      <c r="H309" s="787">
        <v>9.52</v>
      </c>
      <c r="I309" s="787"/>
      <c r="J309" t="s">
        <v>806</v>
      </c>
      <c r="K309" s="611">
        <v>8736</v>
      </c>
      <c r="L309" t="s">
        <v>806</v>
      </c>
      <c r="M309" s="614"/>
      <c r="N309" s="788"/>
      <c r="O309" s="612" t="s">
        <v>1674</v>
      </c>
      <c r="P309" s="612" t="s">
        <v>1674</v>
      </c>
      <c r="Q309" s="612" t="s">
        <v>3314</v>
      </c>
      <c r="R309" s="612" t="s">
        <v>1674</v>
      </c>
      <c r="S309" s="612" t="s">
        <v>1674</v>
      </c>
      <c r="T309" s="789">
        <v>19</v>
      </c>
      <c r="U309" s="612" t="s">
        <v>3315</v>
      </c>
      <c r="V309" s="611">
        <v>90</v>
      </c>
      <c r="W309" s="614"/>
      <c r="Y309" s="612" t="s">
        <v>1674</v>
      </c>
      <c r="AA309" s="612" t="s">
        <v>1674</v>
      </c>
      <c r="AE309" s="790"/>
      <c r="AF309" s="612" t="s">
        <v>1674</v>
      </c>
      <c r="AG309" s="612" t="s">
        <v>1674</v>
      </c>
      <c r="AH309" s="612" t="s">
        <v>1674</v>
      </c>
      <c r="AI309" s="612" t="s">
        <v>1674</v>
      </c>
      <c r="AJ309" s="612" t="s">
        <v>1674</v>
      </c>
      <c r="AK309" s="612" t="s">
        <v>1674</v>
      </c>
      <c r="AL309" s="612" t="s">
        <v>1674</v>
      </c>
      <c r="AM309" s="612" t="s">
        <v>1674</v>
      </c>
      <c r="AN309" s="612" t="s">
        <v>1674</v>
      </c>
      <c r="AP309">
        <f t="shared" si="8"/>
        <v>0</v>
      </c>
      <c r="AQ309" s="552">
        <f t="shared" si="9"/>
        <v>0</v>
      </c>
    </row>
    <row r="310" spans="1:43" outlineLevel="1" x14ac:dyDescent="0.25">
      <c r="A310" s="612" t="s">
        <v>1674</v>
      </c>
      <c r="B310" s="786">
        <v>0</v>
      </c>
      <c r="C310" s="612" t="s">
        <v>1674</v>
      </c>
      <c r="D310" s="612" t="s">
        <v>3345</v>
      </c>
      <c r="E310" t="s">
        <v>3316</v>
      </c>
      <c r="G310" s="787"/>
      <c r="H310" s="787">
        <v>952</v>
      </c>
      <c r="I310" s="787"/>
      <c r="J310" t="s">
        <v>806</v>
      </c>
      <c r="K310" s="611">
        <v>1200</v>
      </c>
      <c r="L310" t="s">
        <v>806</v>
      </c>
      <c r="M310" s="614"/>
      <c r="N310" s="788"/>
      <c r="O310" s="612" t="s">
        <v>1674</v>
      </c>
      <c r="P310" s="612" t="s">
        <v>1674</v>
      </c>
      <c r="Q310" s="612" t="s">
        <v>3317</v>
      </c>
      <c r="R310" s="612" t="s">
        <v>1674</v>
      </c>
      <c r="S310" s="612" t="s">
        <v>1674</v>
      </c>
      <c r="T310" s="789"/>
      <c r="U310" s="612" t="s">
        <v>3315</v>
      </c>
      <c r="V310" s="611">
        <v>1664</v>
      </c>
      <c r="W310" s="614"/>
      <c r="Y310" s="612" t="s">
        <v>1674</v>
      </c>
      <c r="AA310" s="612" t="s">
        <v>1674</v>
      </c>
      <c r="AE310" s="790"/>
      <c r="AF310" s="612" t="s">
        <v>1674</v>
      </c>
      <c r="AG310" s="612" t="s">
        <v>1674</v>
      </c>
      <c r="AH310" s="612" t="s">
        <v>1674</v>
      </c>
      <c r="AI310" s="612" t="s">
        <v>1674</v>
      </c>
      <c r="AJ310" s="612" t="s">
        <v>1674</v>
      </c>
      <c r="AK310" s="612" t="s">
        <v>1674</v>
      </c>
      <c r="AL310" s="612" t="s">
        <v>1674</v>
      </c>
      <c r="AM310" s="612" t="s">
        <v>1674</v>
      </c>
      <c r="AN310" s="612" t="s">
        <v>1674</v>
      </c>
      <c r="AP310">
        <f t="shared" si="8"/>
        <v>0</v>
      </c>
      <c r="AQ310" s="552">
        <f t="shared" si="9"/>
        <v>0</v>
      </c>
    </row>
    <row r="311" spans="1:43" outlineLevel="1" x14ac:dyDescent="0.25">
      <c r="A311" s="612" t="s">
        <v>1674</v>
      </c>
      <c r="B311" s="786">
        <v>0</v>
      </c>
      <c r="C311" s="612" t="s">
        <v>1674</v>
      </c>
      <c r="D311" s="612" t="s">
        <v>3345</v>
      </c>
      <c r="E311" t="s">
        <v>3318</v>
      </c>
      <c r="G311" s="787"/>
      <c r="H311" s="787">
        <v>952</v>
      </c>
      <c r="I311" s="787"/>
      <c r="J311" t="s">
        <v>806</v>
      </c>
      <c r="K311" s="611">
        <v>1200</v>
      </c>
      <c r="L311" t="s">
        <v>806</v>
      </c>
      <c r="M311" s="614"/>
      <c r="N311" s="788"/>
      <c r="O311" s="612" t="s">
        <v>1674</v>
      </c>
      <c r="P311" s="612" t="s">
        <v>1674</v>
      </c>
      <c r="Q311" s="612" t="s">
        <v>3319</v>
      </c>
      <c r="R311" s="612" t="s">
        <v>1674</v>
      </c>
      <c r="S311" s="612" t="s">
        <v>1674</v>
      </c>
      <c r="T311" s="789"/>
      <c r="U311" s="612" t="s">
        <v>3320</v>
      </c>
      <c r="V311" s="611">
        <v>1756</v>
      </c>
      <c r="W311" s="614"/>
      <c r="Y311" s="612" t="s">
        <v>1674</v>
      </c>
      <c r="AA311" s="612" t="s">
        <v>1674</v>
      </c>
      <c r="AE311" s="790"/>
      <c r="AF311" s="612" t="s">
        <v>1674</v>
      </c>
      <c r="AG311" s="612" t="s">
        <v>1674</v>
      </c>
      <c r="AH311" s="612" t="s">
        <v>1674</v>
      </c>
      <c r="AI311" s="612" t="s">
        <v>1674</v>
      </c>
      <c r="AJ311" s="612" t="s">
        <v>1674</v>
      </c>
      <c r="AK311" s="612" t="s">
        <v>1674</v>
      </c>
      <c r="AL311" s="612" t="s">
        <v>1674</v>
      </c>
      <c r="AM311" s="612" t="s">
        <v>1674</v>
      </c>
      <c r="AN311" s="612" t="s">
        <v>1674</v>
      </c>
      <c r="AP311">
        <f t="shared" si="8"/>
        <v>0</v>
      </c>
      <c r="AQ311" s="552">
        <f t="shared" si="9"/>
        <v>0</v>
      </c>
    </row>
    <row r="312" spans="1:43" outlineLevel="1" x14ac:dyDescent="0.25">
      <c r="A312" s="612" t="s">
        <v>1674</v>
      </c>
      <c r="B312" s="786">
        <v>0</v>
      </c>
      <c r="C312" s="612" t="s">
        <v>1674</v>
      </c>
      <c r="D312" s="612" t="s">
        <v>3345</v>
      </c>
      <c r="E312" t="s">
        <v>3321</v>
      </c>
      <c r="G312" s="787"/>
      <c r="H312" s="787">
        <v>952</v>
      </c>
      <c r="I312" s="787"/>
      <c r="J312" t="s">
        <v>806</v>
      </c>
      <c r="K312" s="611">
        <v>1200</v>
      </c>
      <c r="L312" t="s">
        <v>806</v>
      </c>
      <c r="M312" s="614"/>
      <c r="N312" s="788"/>
      <c r="O312" s="612" t="s">
        <v>1674</v>
      </c>
      <c r="P312" s="612" t="s">
        <v>1674</v>
      </c>
      <c r="Q312" s="612" t="s">
        <v>3322</v>
      </c>
      <c r="R312" s="612" t="s">
        <v>1674</v>
      </c>
      <c r="S312" s="612" t="s">
        <v>1674</v>
      </c>
      <c r="T312" s="789"/>
      <c r="U312" s="612" t="s">
        <v>3323</v>
      </c>
      <c r="V312" s="611">
        <v>1476</v>
      </c>
      <c r="W312" s="614"/>
      <c r="Y312" s="612" t="s">
        <v>1674</v>
      </c>
      <c r="AA312" s="612" t="s">
        <v>1674</v>
      </c>
      <c r="AE312" s="790"/>
      <c r="AF312" s="612" t="s">
        <v>1674</v>
      </c>
      <c r="AG312" s="612" t="s">
        <v>1674</v>
      </c>
      <c r="AH312" s="612" t="s">
        <v>1674</v>
      </c>
      <c r="AI312" s="612" t="s">
        <v>1674</v>
      </c>
      <c r="AJ312" s="612" t="s">
        <v>1674</v>
      </c>
      <c r="AK312" s="612" t="s">
        <v>1674</v>
      </c>
      <c r="AL312" s="612" t="s">
        <v>1674</v>
      </c>
      <c r="AM312" s="612" t="s">
        <v>1674</v>
      </c>
      <c r="AN312" s="612" t="s">
        <v>1674</v>
      </c>
      <c r="AP312">
        <f t="shared" si="8"/>
        <v>0</v>
      </c>
      <c r="AQ312" s="552">
        <f t="shared" si="9"/>
        <v>0</v>
      </c>
    </row>
    <row r="313" spans="1:43" outlineLevel="1" x14ac:dyDescent="0.25">
      <c r="A313" s="612" t="s">
        <v>1674</v>
      </c>
      <c r="B313" s="786">
        <v>0</v>
      </c>
      <c r="C313" s="612" t="s">
        <v>1674</v>
      </c>
      <c r="D313" s="612" t="s">
        <v>3345</v>
      </c>
      <c r="E313" t="s">
        <v>5005</v>
      </c>
      <c r="G313" s="787"/>
      <c r="H313" s="787">
        <v>952</v>
      </c>
      <c r="I313" s="787"/>
      <c r="J313" t="s">
        <v>806</v>
      </c>
      <c r="K313" s="611">
        <v>1200</v>
      </c>
      <c r="L313" t="s">
        <v>806</v>
      </c>
      <c r="M313" s="614"/>
      <c r="N313" s="788"/>
      <c r="O313" s="612" t="s">
        <v>1674</v>
      </c>
      <c r="P313" s="612" t="s">
        <v>1674</v>
      </c>
      <c r="Q313" s="612" t="s">
        <v>5240</v>
      </c>
      <c r="R313" s="612" t="s">
        <v>1674</v>
      </c>
      <c r="S313" s="612" t="s">
        <v>1674</v>
      </c>
      <c r="T313" s="789"/>
      <c r="U313" s="612" t="s">
        <v>5002</v>
      </c>
      <c r="V313" s="611">
        <v>1315</v>
      </c>
      <c r="W313" s="614"/>
      <c r="Y313" s="612" t="s">
        <v>1674</v>
      </c>
      <c r="AA313" s="612" t="s">
        <v>1674</v>
      </c>
      <c r="AE313" s="790"/>
      <c r="AF313" s="612" t="s">
        <v>1674</v>
      </c>
      <c r="AG313" s="612" t="s">
        <v>1674</v>
      </c>
      <c r="AH313" s="612" t="s">
        <v>1674</v>
      </c>
      <c r="AI313" s="612" t="s">
        <v>1674</v>
      </c>
      <c r="AJ313" s="612" t="s">
        <v>1674</v>
      </c>
      <c r="AK313" s="612" t="s">
        <v>1674</v>
      </c>
      <c r="AL313" s="612" t="s">
        <v>1674</v>
      </c>
      <c r="AM313" s="612" t="s">
        <v>1674</v>
      </c>
      <c r="AN313" s="612" t="s">
        <v>1674</v>
      </c>
      <c r="AP313">
        <f t="shared" si="8"/>
        <v>0</v>
      </c>
      <c r="AQ313" s="552">
        <f t="shared" si="9"/>
        <v>0</v>
      </c>
    </row>
    <row r="314" spans="1:43" outlineLevel="1" x14ac:dyDescent="0.25">
      <c r="A314" s="612" t="s">
        <v>1674</v>
      </c>
      <c r="B314" s="786">
        <v>0</v>
      </c>
      <c r="C314" s="612" t="s">
        <v>1674</v>
      </c>
      <c r="D314" s="612" t="s">
        <v>3345</v>
      </c>
      <c r="E314" t="s">
        <v>5007</v>
      </c>
      <c r="G314" s="787"/>
      <c r="H314" s="787">
        <v>952</v>
      </c>
      <c r="I314" s="787"/>
      <c r="J314" t="s">
        <v>806</v>
      </c>
      <c r="K314" s="611">
        <v>1200</v>
      </c>
      <c r="L314" t="s">
        <v>806</v>
      </c>
      <c r="M314" s="614"/>
      <c r="N314" s="788"/>
      <c r="O314" s="612" t="s">
        <v>1674</v>
      </c>
      <c r="P314" s="612" t="s">
        <v>1674</v>
      </c>
      <c r="Q314" s="612" t="s">
        <v>5241</v>
      </c>
      <c r="R314" s="612" t="s">
        <v>1674</v>
      </c>
      <c r="S314" s="612" t="s">
        <v>1674</v>
      </c>
      <c r="T314" s="789"/>
      <c r="U314" s="612" t="s">
        <v>5002</v>
      </c>
      <c r="V314" s="611">
        <v>1671</v>
      </c>
      <c r="W314" s="614"/>
      <c r="Y314" s="612" t="s">
        <v>1674</v>
      </c>
      <c r="AA314" s="612" t="s">
        <v>1674</v>
      </c>
      <c r="AE314" s="790"/>
      <c r="AF314" s="612" t="s">
        <v>1674</v>
      </c>
      <c r="AG314" s="612" t="s">
        <v>1674</v>
      </c>
      <c r="AH314" s="612" t="s">
        <v>1674</v>
      </c>
      <c r="AI314" s="612" t="s">
        <v>1674</v>
      </c>
      <c r="AJ314" s="612" t="s">
        <v>1674</v>
      </c>
      <c r="AK314" s="612" t="s">
        <v>1674</v>
      </c>
      <c r="AL314" s="612" t="s">
        <v>1674</v>
      </c>
      <c r="AM314" s="612" t="s">
        <v>1674</v>
      </c>
      <c r="AN314" s="612" t="s">
        <v>1674</v>
      </c>
      <c r="AP314">
        <f t="shared" si="8"/>
        <v>0</v>
      </c>
      <c r="AQ314" s="552">
        <f t="shared" si="9"/>
        <v>0</v>
      </c>
    </row>
    <row r="315" spans="1:43" outlineLevel="1" x14ac:dyDescent="0.25">
      <c r="A315" s="612" t="s">
        <v>1674</v>
      </c>
      <c r="B315" s="786">
        <v>0</v>
      </c>
      <c r="C315" s="612" t="s">
        <v>1674</v>
      </c>
      <c r="D315" s="612" t="s">
        <v>3345</v>
      </c>
      <c r="E315" t="s">
        <v>5078</v>
      </c>
      <c r="G315" s="787"/>
      <c r="H315" s="787">
        <v>952</v>
      </c>
      <c r="I315" s="787"/>
      <c r="J315" t="s">
        <v>806</v>
      </c>
      <c r="K315" s="611">
        <v>1200</v>
      </c>
      <c r="L315" t="s">
        <v>806</v>
      </c>
      <c r="M315" s="614"/>
      <c r="N315" s="788"/>
      <c r="O315" s="612" t="s">
        <v>1674</v>
      </c>
      <c r="P315" s="612" t="s">
        <v>1674</v>
      </c>
      <c r="Q315" s="612" t="s">
        <v>5242</v>
      </c>
      <c r="R315" s="612" t="s">
        <v>1674</v>
      </c>
      <c r="S315" s="612" t="s">
        <v>1674</v>
      </c>
      <c r="T315" s="789"/>
      <c r="U315" s="612" t="s">
        <v>4900</v>
      </c>
      <c r="V315" s="611">
        <v>362</v>
      </c>
      <c r="W315" s="614"/>
      <c r="Y315" s="612" t="s">
        <v>1674</v>
      </c>
      <c r="AA315" s="612" t="s">
        <v>1674</v>
      </c>
      <c r="AE315" s="790"/>
      <c r="AF315" s="612" t="s">
        <v>1674</v>
      </c>
      <c r="AG315" s="612" t="s">
        <v>1674</v>
      </c>
      <c r="AH315" s="612" t="s">
        <v>1674</v>
      </c>
      <c r="AI315" s="612" t="s">
        <v>1674</v>
      </c>
      <c r="AJ315" s="612" t="s">
        <v>1674</v>
      </c>
      <c r="AK315" s="612" t="s">
        <v>1674</v>
      </c>
      <c r="AL315" s="612" t="s">
        <v>1674</v>
      </c>
      <c r="AM315" s="612" t="s">
        <v>1674</v>
      </c>
      <c r="AN315" s="612" t="s">
        <v>1674</v>
      </c>
      <c r="AP315">
        <f t="shared" si="8"/>
        <v>0</v>
      </c>
      <c r="AQ315" s="552">
        <f t="shared" si="9"/>
        <v>0</v>
      </c>
    </row>
    <row r="316" spans="1:43" outlineLevel="1" x14ac:dyDescent="0.25">
      <c r="A316" s="612" t="s">
        <v>1674</v>
      </c>
      <c r="B316" s="786">
        <v>0</v>
      </c>
      <c r="C316" s="612" t="s">
        <v>1674</v>
      </c>
      <c r="D316" s="612" t="s">
        <v>3345</v>
      </c>
      <c r="E316" t="s">
        <v>4937</v>
      </c>
      <c r="G316" s="787"/>
      <c r="H316" s="787">
        <v>952</v>
      </c>
      <c r="I316" s="787">
        <v>9758</v>
      </c>
      <c r="J316" t="s">
        <v>2701</v>
      </c>
      <c r="K316" s="611">
        <v>1200</v>
      </c>
      <c r="L316" t="s">
        <v>806</v>
      </c>
      <c r="M316" s="614"/>
      <c r="N316" s="788"/>
      <c r="O316" s="612" t="s">
        <v>1674</v>
      </c>
      <c r="P316" s="612" t="s">
        <v>1674</v>
      </c>
      <c r="Q316" s="612" t="s">
        <v>5243</v>
      </c>
      <c r="R316" s="612" t="s">
        <v>1674</v>
      </c>
      <c r="S316" s="612" t="s">
        <v>1674</v>
      </c>
      <c r="T316" s="789"/>
      <c r="U316" s="612" t="s">
        <v>4900</v>
      </c>
      <c r="V316" s="611">
        <v>1700</v>
      </c>
      <c r="W316" s="614"/>
      <c r="Y316" s="612" t="s">
        <v>1674</v>
      </c>
      <c r="AA316" s="612" t="s">
        <v>1674</v>
      </c>
      <c r="AE316" s="790"/>
      <c r="AF316" s="612" t="s">
        <v>1674</v>
      </c>
      <c r="AG316" s="612" t="s">
        <v>1674</v>
      </c>
      <c r="AH316" s="612" t="s">
        <v>1674</v>
      </c>
      <c r="AI316" s="612" t="s">
        <v>1674</v>
      </c>
      <c r="AJ316" s="612" t="s">
        <v>1674</v>
      </c>
      <c r="AK316" s="612" t="s">
        <v>1674</v>
      </c>
      <c r="AL316" s="612" t="s">
        <v>1674</v>
      </c>
      <c r="AM316" s="612" t="s">
        <v>1674</v>
      </c>
      <c r="AN316" s="612" t="s">
        <v>1674</v>
      </c>
      <c r="AP316">
        <f t="shared" si="8"/>
        <v>0</v>
      </c>
      <c r="AQ316" s="552">
        <f t="shared" si="9"/>
        <v>9758</v>
      </c>
    </row>
    <row r="317" spans="1:43" outlineLevel="1" x14ac:dyDescent="0.25">
      <c r="A317" s="612" t="s">
        <v>2722</v>
      </c>
      <c r="B317" s="786">
        <v>0</v>
      </c>
      <c r="C317" s="612" t="s">
        <v>1674</v>
      </c>
      <c r="D317" s="612" t="s">
        <v>3395</v>
      </c>
      <c r="E317" t="s">
        <v>3396</v>
      </c>
      <c r="F317" t="s">
        <v>3397</v>
      </c>
      <c r="G317" s="787">
        <v>20230</v>
      </c>
      <c r="H317" s="787"/>
      <c r="I317" s="787"/>
      <c r="J317" t="s">
        <v>806</v>
      </c>
      <c r="K317" s="611" t="s">
        <v>4945</v>
      </c>
      <c r="L317" t="s">
        <v>2552</v>
      </c>
      <c r="M317" s="614"/>
      <c r="N317" s="788">
        <v>-255</v>
      </c>
      <c r="O317" s="612" t="s">
        <v>1674</v>
      </c>
      <c r="P317" s="612" t="s">
        <v>1674</v>
      </c>
      <c r="Q317" s="612" t="s">
        <v>3398</v>
      </c>
      <c r="R317" s="612" t="s">
        <v>1674</v>
      </c>
      <c r="S317" s="612" t="s">
        <v>1674</v>
      </c>
      <c r="T317" s="789">
        <v>19</v>
      </c>
      <c r="U317" s="612" t="s">
        <v>3309</v>
      </c>
      <c r="V317" s="611">
        <v>1282</v>
      </c>
      <c r="W317" s="614"/>
      <c r="Y317" s="612" t="s">
        <v>1674</v>
      </c>
      <c r="AA317" s="612" t="s">
        <v>1674</v>
      </c>
      <c r="AE317" s="790"/>
      <c r="AF317" s="612" t="s">
        <v>1674</v>
      </c>
      <c r="AG317" s="612" t="s">
        <v>1674</v>
      </c>
      <c r="AH317" s="612" t="s">
        <v>1674</v>
      </c>
      <c r="AI317" s="612" t="s">
        <v>1674</v>
      </c>
      <c r="AJ317" s="612" t="s">
        <v>1674</v>
      </c>
      <c r="AK317" s="612" t="s">
        <v>1674</v>
      </c>
      <c r="AL317" s="612" t="s">
        <v>1674</v>
      </c>
      <c r="AM317" s="612" t="s">
        <v>1674</v>
      </c>
      <c r="AN317" s="612" t="s">
        <v>1674</v>
      </c>
      <c r="AP317">
        <f t="shared" si="8"/>
        <v>255</v>
      </c>
      <c r="AQ317" s="552">
        <f t="shared" si="9"/>
        <v>0</v>
      </c>
    </row>
    <row r="318" spans="1:43" outlineLevel="1" x14ac:dyDescent="0.25">
      <c r="A318" s="612" t="s">
        <v>1674</v>
      </c>
      <c r="B318" s="786">
        <v>0</v>
      </c>
      <c r="C318" s="612" t="s">
        <v>1674</v>
      </c>
      <c r="D318" s="612" t="s">
        <v>3395</v>
      </c>
      <c r="E318" t="s">
        <v>3310</v>
      </c>
      <c r="G318" s="787"/>
      <c r="H318" s="787">
        <v>952</v>
      </c>
      <c r="I318" s="787"/>
      <c r="J318" t="s">
        <v>806</v>
      </c>
      <c r="K318" s="611">
        <v>1200</v>
      </c>
      <c r="L318" t="s">
        <v>806</v>
      </c>
      <c r="M318" s="614"/>
      <c r="N318" s="788"/>
      <c r="O318" s="612" t="s">
        <v>1674</v>
      </c>
      <c r="P318" s="612" t="s">
        <v>1674</v>
      </c>
      <c r="Q318" s="612" t="s">
        <v>3311</v>
      </c>
      <c r="R318" s="612" t="s">
        <v>1674</v>
      </c>
      <c r="S318" s="612" t="s">
        <v>1674</v>
      </c>
      <c r="T318" s="789"/>
      <c r="U318" s="612" t="s">
        <v>3312</v>
      </c>
      <c r="V318" s="611">
        <v>1862</v>
      </c>
      <c r="W318" s="614"/>
      <c r="Y318" s="612" t="s">
        <v>1674</v>
      </c>
      <c r="AA318" s="612" t="s">
        <v>1674</v>
      </c>
      <c r="AE318" s="790"/>
      <c r="AF318" s="612" t="s">
        <v>1674</v>
      </c>
      <c r="AG318" s="612" t="s">
        <v>1674</v>
      </c>
      <c r="AH318" s="612" t="s">
        <v>1674</v>
      </c>
      <c r="AI318" s="612" t="s">
        <v>1674</v>
      </c>
      <c r="AJ318" s="612" t="s">
        <v>1674</v>
      </c>
      <c r="AK318" s="612" t="s">
        <v>1674</v>
      </c>
      <c r="AL318" s="612" t="s">
        <v>1674</v>
      </c>
      <c r="AM318" s="612" t="s">
        <v>1674</v>
      </c>
      <c r="AN318" s="612" t="s">
        <v>1674</v>
      </c>
      <c r="AP318">
        <f t="shared" si="8"/>
        <v>0</v>
      </c>
      <c r="AQ318" s="552">
        <f t="shared" si="9"/>
        <v>0</v>
      </c>
    </row>
    <row r="319" spans="1:43" outlineLevel="1" x14ac:dyDescent="0.25">
      <c r="A319" s="612" t="s">
        <v>1674</v>
      </c>
      <c r="B319" s="786">
        <v>0</v>
      </c>
      <c r="C319" s="612" t="s">
        <v>1674</v>
      </c>
      <c r="D319" s="612" t="s">
        <v>3395</v>
      </c>
      <c r="E319" t="s">
        <v>3313</v>
      </c>
      <c r="G319" s="787"/>
      <c r="H319" s="787">
        <v>942.48</v>
      </c>
      <c r="I319" s="787"/>
      <c r="J319" t="s">
        <v>806</v>
      </c>
      <c r="K319" s="611">
        <v>1200</v>
      </c>
      <c r="L319" t="s">
        <v>806</v>
      </c>
      <c r="M319" s="614"/>
      <c r="N319" s="788"/>
      <c r="O319" s="612" t="s">
        <v>1674</v>
      </c>
      <c r="P319" s="612" t="s">
        <v>1674</v>
      </c>
      <c r="Q319" s="612" t="s">
        <v>3314</v>
      </c>
      <c r="R319" s="612" t="s">
        <v>1674</v>
      </c>
      <c r="S319" s="612" t="s">
        <v>1674</v>
      </c>
      <c r="T319" s="789"/>
      <c r="U319" s="612" t="s">
        <v>3315</v>
      </c>
      <c r="V319" s="611">
        <v>91</v>
      </c>
      <c r="W319" s="614"/>
      <c r="Y319" s="612" t="s">
        <v>1674</v>
      </c>
      <c r="AA319" s="612" t="s">
        <v>1674</v>
      </c>
      <c r="AE319" s="790"/>
      <c r="AF319" s="612" t="s">
        <v>1674</v>
      </c>
      <c r="AG319" s="612" t="s">
        <v>1674</v>
      </c>
      <c r="AH319" s="612" t="s">
        <v>1674</v>
      </c>
      <c r="AI319" s="612" t="s">
        <v>1674</v>
      </c>
      <c r="AJ319" s="612" t="s">
        <v>1674</v>
      </c>
      <c r="AK319" s="612" t="s">
        <v>1674</v>
      </c>
      <c r="AL319" s="612" t="s">
        <v>1674</v>
      </c>
      <c r="AM319" s="612" t="s">
        <v>1674</v>
      </c>
      <c r="AN319" s="612" t="s">
        <v>1674</v>
      </c>
      <c r="AP319">
        <f t="shared" si="8"/>
        <v>0</v>
      </c>
      <c r="AQ319" s="552">
        <f t="shared" si="9"/>
        <v>0</v>
      </c>
    </row>
    <row r="320" spans="1:43" outlineLevel="1" x14ac:dyDescent="0.25">
      <c r="A320" s="612" t="s">
        <v>1674</v>
      </c>
      <c r="B320" s="786">
        <v>0</v>
      </c>
      <c r="C320" s="612" t="s">
        <v>1674</v>
      </c>
      <c r="D320" s="612" t="s">
        <v>3395</v>
      </c>
      <c r="E320" t="s">
        <v>3313</v>
      </c>
      <c r="G320" s="787"/>
      <c r="H320" s="787">
        <v>9.52</v>
      </c>
      <c r="I320" s="787"/>
      <c r="J320" t="s">
        <v>806</v>
      </c>
      <c r="K320" s="611">
        <v>8736</v>
      </c>
      <c r="L320" t="s">
        <v>806</v>
      </c>
      <c r="M320" s="614"/>
      <c r="N320" s="788"/>
      <c r="O320" s="612" t="s">
        <v>1674</v>
      </c>
      <c r="P320" s="612" t="s">
        <v>1674</v>
      </c>
      <c r="Q320" s="612" t="s">
        <v>3314</v>
      </c>
      <c r="R320" s="612" t="s">
        <v>1674</v>
      </c>
      <c r="S320" s="612" t="s">
        <v>1674</v>
      </c>
      <c r="T320" s="789">
        <v>19</v>
      </c>
      <c r="U320" s="612" t="s">
        <v>3315</v>
      </c>
      <c r="V320" s="611">
        <v>92</v>
      </c>
      <c r="W320" s="614"/>
      <c r="Y320" s="612" t="s">
        <v>1674</v>
      </c>
      <c r="AA320" s="612" t="s">
        <v>1674</v>
      </c>
      <c r="AE320" s="790"/>
      <c r="AF320" s="612" t="s">
        <v>1674</v>
      </c>
      <c r="AG320" s="612" t="s">
        <v>1674</v>
      </c>
      <c r="AH320" s="612" t="s">
        <v>1674</v>
      </c>
      <c r="AI320" s="612" t="s">
        <v>1674</v>
      </c>
      <c r="AJ320" s="612" t="s">
        <v>1674</v>
      </c>
      <c r="AK320" s="612" t="s">
        <v>1674</v>
      </c>
      <c r="AL320" s="612" t="s">
        <v>1674</v>
      </c>
      <c r="AM320" s="612" t="s">
        <v>1674</v>
      </c>
      <c r="AN320" s="612" t="s">
        <v>1674</v>
      </c>
      <c r="AP320">
        <f t="shared" si="8"/>
        <v>0</v>
      </c>
      <c r="AQ320" s="552">
        <f t="shared" si="9"/>
        <v>0</v>
      </c>
    </row>
    <row r="321" spans="1:43" outlineLevel="1" x14ac:dyDescent="0.25">
      <c r="A321" s="612" t="s">
        <v>1674</v>
      </c>
      <c r="B321" s="786">
        <v>0</v>
      </c>
      <c r="C321" s="612" t="s">
        <v>1674</v>
      </c>
      <c r="D321" s="612" t="s">
        <v>3395</v>
      </c>
      <c r="E321" t="s">
        <v>3316</v>
      </c>
      <c r="G321" s="787"/>
      <c r="H321" s="787">
        <v>952</v>
      </c>
      <c r="I321" s="787"/>
      <c r="J321" t="s">
        <v>806</v>
      </c>
      <c r="K321" s="611">
        <v>1200</v>
      </c>
      <c r="L321" t="s">
        <v>806</v>
      </c>
      <c r="M321" s="614"/>
      <c r="N321" s="788"/>
      <c r="O321" s="612" t="s">
        <v>1674</v>
      </c>
      <c r="P321" s="612" t="s">
        <v>1674</v>
      </c>
      <c r="Q321" s="612" t="s">
        <v>3317</v>
      </c>
      <c r="R321" s="612" t="s">
        <v>1674</v>
      </c>
      <c r="S321" s="612" t="s">
        <v>1674</v>
      </c>
      <c r="T321" s="789"/>
      <c r="U321" s="612" t="s">
        <v>3315</v>
      </c>
      <c r="V321" s="611">
        <v>1665</v>
      </c>
      <c r="W321" s="614"/>
      <c r="Y321" s="612" t="s">
        <v>1674</v>
      </c>
      <c r="AA321" s="612" t="s">
        <v>1674</v>
      </c>
      <c r="AE321" s="790"/>
      <c r="AF321" s="612" t="s">
        <v>1674</v>
      </c>
      <c r="AG321" s="612" t="s">
        <v>1674</v>
      </c>
      <c r="AH321" s="612" t="s">
        <v>1674</v>
      </c>
      <c r="AI321" s="612" t="s">
        <v>1674</v>
      </c>
      <c r="AJ321" s="612" t="s">
        <v>1674</v>
      </c>
      <c r="AK321" s="612" t="s">
        <v>1674</v>
      </c>
      <c r="AL321" s="612" t="s">
        <v>1674</v>
      </c>
      <c r="AM321" s="612" t="s">
        <v>1674</v>
      </c>
      <c r="AN321" s="612" t="s">
        <v>1674</v>
      </c>
      <c r="AP321">
        <f t="shared" si="8"/>
        <v>0</v>
      </c>
      <c r="AQ321" s="552">
        <f t="shared" si="9"/>
        <v>0</v>
      </c>
    </row>
    <row r="322" spans="1:43" outlineLevel="1" x14ac:dyDescent="0.25">
      <c r="A322" s="612" t="s">
        <v>1674</v>
      </c>
      <c r="B322" s="786">
        <v>0</v>
      </c>
      <c r="C322" s="612" t="s">
        <v>1674</v>
      </c>
      <c r="D322" s="612" t="s">
        <v>3395</v>
      </c>
      <c r="E322" t="s">
        <v>3318</v>
      </c>
      <c r="G322" s="787"/>
      <c r="H322" s="787">
        <v>952</v>
      </c>
      <c r="I322" s="787"/>
      <c r="J322" t="s">
        <v>806</v>
      </c>
      <c r="K322" s="611">
        <v>1200</v>
      </c>
      <c r="L322" t="s">
        <v>806</v>
      </c>
      <c r="M322" s="614"/>
      <c r="N322" s="788"/>
      <c r="O322" s="612" t="s">
        <v>1674</v>
      </c>
      <c r="P322" s="612" t="s">
        <v>1674</v>
      </c>
      <c r="Q322" s="612" t="s">
        <v>3319</v>
      </c>
      <c r="R322" s="612" t="s">
        <v>1674</v>
      </c>
      <c r="S322" s="612" t="s">
        <v>1674</v>
      </c>
      <c r="T322" s="789"/>
      <c r="U322" s="612" t="s">
        <v>3320</v>
      </c>
      <c r="V322" s="611">
        <v>1750</v>
      </c>
      <c r="W322" s="614"/>
      <c r="Y322" s="612" t="s">
        <v>1674</v>
      </c>
      <c r="AA322" s="612" t="s">
        <v>1674</v>
      </c>
      <c r="AE322" s="790"/>
      <c r="AF322" s="612" t="s">
        <v>1674</v>
      </c>
      <c r="AG322" s="612" t="s">
        <v>1674</v>
      </c>
      <c r="AH322" s="612" t="s">
        <v>1674</v>
      </c>
      <c r="AI322" s="612" t="s">
        <v>1674</v>
      </c>
      <c r="AJ322" s="612" t="s">
        <v>1674</v>
      </c>
      <c r="AK322" s="612" t="s">
        <v>1674</v>
      </c>
      <c r="AL322" s="612" t="s">
        <v>1674</v>
      </c>
      <c r="AM322" s="612" t="s">
        <v>1674</v>
      </c>
      <c r="AN322" s="612" t="s">
        <v>1674</v>
      </c>
      <c r="AP322">
        <f t="shared" si="8"/>
        <v>0</v>
      </c>
      <c r="AQ322" s="552">
        <f t="shared" si="9"/>
        <v>0</v>
      </c>
    </row>
    <row r="323" spans="1:43" outlineLevel="1" x14ac:dyDescent="0.25">
      <c r="A323" s="612" t="s">
        <v>1674</v>
      </c>
      <c r="B323" s="786">
        <v>0</v>
      </c>
      <c r="C323" s="612" t="s">
        <v>1674</v>
      </c>
      <c r="D323" s="612" t="s">
        <v>3395</v>
      </c>
      <c r="E323" t="s">
        <v>3321</v>
      </c>
      <c r="G323" s="787"/>
      <c r="H323" s="787">
        <v>952</v>
      </c>
      <c r="I323" s="787"/>
      <c r="J323" t="s">
        <v>806</v>
      </c>
      <c r="K323" s="611">
        <v>1200</v>
      </c>
      <c r="L323" t="s">
        <v>806</v>
      </c>
      <c r="M323" s="614"/>
      <c r="N323" s="788"/>
      <c r="O323" s="612" t="s">
        <v>1674</v>
      </c>
      <c r="P323" s="612" t="s">
        <v>1674</v>
      </c>
      <c r="Q323" s="612" t="s">
        <v>3322</v>
      </c>
      <c r="R323" s="612" t="s">
        <v>1674</v>
      </c>
      <c r="S323" s="612" t="s">
        <v>1674</v>
      </c>
      <c r="T323" s="789"/>
      <c r="U323" s="612" t="s">
        <v>3323</v>
      </c>
      <c r="V323" s="611">
        <v>1470</v>
      </c>
      <c r="W323" s="614"/>
      <c r="Y323" s="612" t="s">
        <v>1674</v>
      </c>
      <c r="AA323" s="612" t="s">
        <v>1674</v>
      </c>
      <c r="AE323" s="790"/>
      <c r="AF323" s="612" t="s">
        <v>1674</v>
      </c>
      <c r="AG323" s="612" t="s">
        <v>1674</v>
      </c>
      <c r="AH323" s="612" t="s">
        <v>1674</v>
      </c>
      <c r="AI323" s="612" t="s">
        <v>1674</v>
      </c>
      <c r="AJ323" s="612" t="s">
        <v>1674</v>
      </c>
      <c r="AK323" s="612" t="s">
        <v>1674</v>
      </c>
      <c r="AL323" s="612" t="s">
        <v>1674</v>
      </c>
      <c r="AM323" s="612" t="s">
        <v>1674</v>
      </c>
      <c r="AN323" s="612" t="s">
        <v>1674</v>
      </c>
      <c r="AP323">
        <f t="shared" ref="AP323:AP386" si="10">IF(F323="",0,$AO$2-F323)</f>
        <v>0</v>
      </c>
      <c r="AQ323" s="552">
        <f t="shared" si="9"/>
        <v>0</v>
      </c>
    </row>
    <row r="324" spans="1:43" outlineLevel="1" x14ac:dyDescent="0.25">
      <c r="A324" s="612" t="s">
        <v>1674</v>
      </c>
      <c r="B324" s="786">
        <v>0</v>
      </c>
      <c r="C324" s="612" t="s">
        <v>1674</v>
      </c>
      <c r="D324" s="612" t="s">
        <v>3395</v>
      </c>
      <c r="E324" t="s">
        <v>5005</v>
      </c>
      <c r="G324" s="787"/>
      <c r="H324" s="787">
        <v>952</v>
      </c>
      <c r="I324" s="787"/>
      <c r="J324" t="s">
        <v>806</v>
      </c>
      <c r="K324" s="611">
        <v>1200</v>
      </c>
      <c r="L324" t="s">
        <v>806</v>
      </c>
      <c r="M324" s="614"/>
      <c r="N324" s="788"/>
      <c r="O324" s="612" t="s">
        <v>1674</v>
      </c>
      <c r="P324" s="612" t="s">
        <v>1674</v>
      </c>
      <c r="Q324" s="612" t="s">
        <v>5240</v>
      </c>
      <c r="R324" s="612" t="s">
        <v>1674</v>
      </c>
      <c r="S324" s="612" t="s">
        <v>1674</v>
      </c>
      <c r="T324" s="789"/>
      <c r="U324" s="612" t="s">
        <v>5002</v>
      </c>
      <c r="V324" s="611">
        <v>1316</v>
      </c>
      <c r="W324" s="614"/>
      <c r="Y324" s="612" t="s">
        <v>1674</v>
      </c>
      <c r="AA324" s="612" t="s">
        <v>1674</v>
      </c>
      <c r="AE324" s="790"/>
      <c r="AF324" s="612" t="s">
        <v>1674</v>
      </c>
      <c r="AG324" s="612" t="s">
        <v>1674</v>
      </c>
      <c r="AH324" s="612" t="s">
        <v>1674</v>
      </c>
      <c r="AI324" s="612" t="s">
        <v>1674</v>
      </c>
      <c r="AJ324" s="612" t="s">
        <v>1674</v>
      </c>
      <c r="AK324" s="612" t="s">
        <v>1674</v>
      </c>
      <c r="AL324" s="612" t="s">
        <v>1674</v>
      </c>
      <c r="AM324" s="612" t="s">
        <v>1674</v>
      </c>
      <c r="AN324" s="612" t="s">
        <v>1674</v>
      </c>
      <c r="AP324">
        <f t="shared" si="10"/>
        <v>0</v>
      </c>
      <c r="AQ324" s="552">
        <f t="shared" ref="AQ324:AQ387" si="11">IF(J324="S",+I324,-I324)</f>
        <v>0</v>
      </c>
    </row>
    <row r="325" spans="1:43" outlineLevel="1" x14ac:dyDescent="0.25">
      <c r="A325" s="612" t="s">
        <v>1674</v>
      </c>
      <c r="B325" s="786">
        <v>0</v>
      </c>
      <c r="C325" s="612" t="s">
        <v>1674</v>
      </c>
      <c r="D325" s="612" t="s">
        <v>3395</v>
      </c>
      <c r="E325" t="s">
        <v>5007</v>
      </c>
      <c r="G325" s="787"/>
      <c r="H325" s="787">
        <v>952</v>
      </c>
      <c r="I325" s="787"/>
      <c r="J325" t="s">
        <v>806</v>
      </c>
      <c r="K325" s="611">
        <v>1200</v>
      </c>
      <c r="L325" t="s">
        <v>806</v>
      </c>
      <c r="M325" s="614"/>
      <c r="N325" s="788"/>
      <c r="O325" s="612" t="s">
        <v>1674</v>
      </c>
      <c r="P325" s="612" t="s">
        <v>1674</v>
      </c>
      <c r="Q325" s="612" t="s">
        <v>5241</v>
      </c>
      <c r="R325" s="612" t="s">
        <v>1674</v>
      </c>
      <c r="S325" s="612" t="s">
        <v>1674</v>
      </c>
      <c r="T325" s="789"/>
      <c r="U325" s="612" t="s">
        <v>5002</v>
      </c>
      <c r="V325" s="611">
        <v>1672</v>
      </c>
      <c r="W325" s="614"/>
      <c r="Y325" s="612" t="s">
        <v>1674</v>
      </c>
      <c r="AA325" s="612" t="s">
        <v>1674</v>
      </c>
      <c r="AE325" s="790"/>
      <c r="AF325" s="612" t="s">
        <v>1674</v>
      </c>
      <c r="AG325" s="612" t="s">
        <v>1674</v>
      </c>
      <c r="AH325" s="612" t="s">
        <v>1674</v>
      </c>
      <c r="AI325" s="612" t="s">
        <v>1674</v>
      </c>
      <c r="AJ325" s="612" t="s">
        <v>1674</v>
      </c>
      <c r="AK325" s="612" t="s">
        <v>1674</v>
      </c>
      <c r="AL325" s="612" t="s">
        <v>1674</v>
      </c>
      <c r="AM325" s="612" t="s">
        <v>1674</v>
      </c>
      <c r="AN325" s="612" t="s">
        <v>1674</v>
      </c>
      <c r="AP325">
        <f t="shared" si="10"/>
        <v>0</v>
      </c>
      <c r="AQ325" s="552">
        <f t="shared" si="11"/>
        <v>0</v>
      </c>
    </row>
    <row r="326" spans="1:43" outlineLevel="1" x14ac:dyDescent="0.25">
      <c r="A326" s="612" t="s">
        <v>1674</v>
      </c>
      <c r="B326" s="786">
        <v>0</v>
      </c>
      <c r="C326" s="612" t="s">
        <v>1674</v>
      </c>
      <c r="D326" s="612" t="s">
        <v>3395</v>
      </c>
      <c r="E326" t="s">
        <v>5078</v>
      </c>
      <c r="G326" s="787"/>
      <c r="H326" s="787">
        <v>952</v>
      </c>
      <c r="I326" s="787"/>
      <c r="J326" t="s">
        <v>806</v>
      </c>
      <c r="K326" s="611">
        <v>1200</v>
      </c>
      <c r="L326" t="s">
        <v>806</v>
      </c>
      <c r="M326" s="614"/>
      <c r="N326" s="788"/>
      <c r="O326" s="612" t="s">
        <v>1674</v>
      </c>
      <c r="P326" s="612" t="s">
        <v>1674</v>
      </c>
      <c r="Q326" s="612" t="s">
        <v>5242</v>
      </c>
      <c r="R326" s="612" t="s">
        <v>1674</v>
      </c>
      <c r="S326" s="612" t="s">
        <v>1674</v>
      </c>
      <c r="T326" s="789"/>
      <c r="U326" s="612" t="s">
        <v>4900</v>
      </c>
      <c r="V326" s="611">
        <v>321</v>
      </c>
      <c r="W326" s="614"/>
      <c r="Y326" s="612" t="s">
        <v>1674</v>
      </c>
      <c r="AA326" s="612" t="s">
        <v>1674</v>
      </c>
      <c r="AE326" s="790"/>
      <c r="AF326" s="612" t="s">
        <v>1674</v>
      </c>
      <c r="AG326" s="612" t="s">
        <v>1674</v>
      </c>
      <c r="AH326" s="612" t="s">
        <v>1674</v>
      </c>
      <c r="AI326" s="612" t="s">
        <v>1674</v>
      </c>
      <c r="AJ326" s="612" t="s">
        <v>1674</v>
      </c>
      <c r="AK326" s="612" t="s">
        <v>1674</v>
      </c>
      <c r="AL326" s="612" t="s">
        <v>1674</v>
      </c>
      <c r="AM326" s="612" t="s">
        <v>1674</v>
      </c>
      <c r="AN326" s="612" t="s">
        <v>1674</v>
      </c>
      <c r="AP326">
        <f t="shared" si="10"/>
        <v>0</v>
      </c>
      <c r="AQ326" s="552">
        <f t="shared" si="11"/>
        <v>0</v>
      </c>
    </row>
    <row r="327" spans="1:43" outlineLevel="1" x14ac:dyDescent="0.25">
      <c r="A327" s="612" t="s">
        <v>1674</v>
      </c>
      <c r="B327" s="786">
        <v>0</v>
      </c>
      <c r="C327" s="612" t="s">
        <v>1674</v>
      </c>
      <c r="D327" s="612" t="s">
        <v>3395</v>
      </c>
      <c r="E327" t="s">
        <v>4937</v>
      </c>
      <c r="G327" s="787"/>
      <c r="H327" s="787">
        <v>952</v>
      </c>
      <c r="I327" s="787">
        <v>11662</v>
      </c>
      <c r="J327" t="s">
        <v>2701</v>
      </c>
      <c r="K327" s="611">
        <v>1200</v>
      </c>
      <c r="L327" t="s">
        <v>806</v>
      </c>
      <c r="M327" s="614"/>
      <c r="N327" s="788"/>
      <c r="O327" s="612" t="s">
        <v>1674</v>
      </c>
      <c r="P327" s="612" t="s">
        <v>1674</v>
      </c>
      <c r="Q327" s="612" t="s">
        <v>5243</v>
      </c>
      <c r="R327" s="612" t="s">
        <v>1674</v>
      </c>
      <c r="S327" s="612" t="s">
        <v>1674</v>
      </c>
      <c r="T327" s="789"/>
      <c r="U327" s="612" t="s">
        <v>4900</v>
      </c>
      <c r="V327" s="611">
        <v>1696</v>
      </c>
      <c r="W327" s="614"/>
      <c r="Y327" s="612" t="s">
        <v>1674</v>
      </c>
      <c r="AA327" s="612" t="s">
        <v>1674</v>
      </c>
      <c r="AE327" s="790"/>
      <c r="AF327" s="612" t="s">
        <v>1674</v>
      </c>
      <c r="AG327" s="612" t="s">
        <v>1674</v>
      </c>
      <c r="AH327" s="612" t="s">
        <v>1674</v>
      </c>
      <c r="AI327" s="612" t="s">
        <v>1674</v>
      </c>
      <c r="AJ327" s="612" t="s">
        <v>1674</v>
      </c>
      <c r="AK327" s="612" t="s">
        <v>1674</v>
      </c>
      <c r="AL327" s="612" t="s">
        <v>1674</v>
      </c>
      <c r="AM327" s="612" t="s">
        <v>1674</v>
      </c>
      <c r="AN327" s="612" t="s">
        <v>1674</v>
      </c>
      <c r="AP327">
        <f t="shared" si="10"/>
        <v>0</v>
      </c>
      <c r="AQ327" s="552">
        <f t="shared" si="11"/>
        <v>11662</v>
      </c>
    </row>
    <row r="328" spans="1:43" outlineLevel="1" x14ac:dyDescent="0.25">
      <c r="A328" s="612" t="s">
        <v>2722</v>
      </c>
      <c r="B328" s="786">
        <v>0</v>
      </c>
      <c r="C328" s="612" t="s">
        <v>1674</v>
      </c>
      <c r="D328" s="612" t="s">
        <v>3402</v>
      </c>
      <c r="E328" t="s">
        <v>3396</v>
      </c>
      <c r="F328" t="s">
        <v>3397</v>
      </c>
      <c r="G328" s="787">
        <v>20230</v>
      </c>
      <c r="H328" s="787"/>
      <c r="I328" s="787"/>
      <c r="J328" t="s">
        <v>806</v>
      </c>
      <c r="K328" s="611" t="s">
        <v>4945</v>
      </c>
      <c r="L328" t="s">
        <v>2552</v>
      </c>
      <c r="M328" s="614"/>
      <c r="N328" s="788">
        <v>-255</v>
      </c>
      <c r="O328" s="612" t="s">
        <v>1674</v>
      </c>
      <c r="P328" s="612" t="s">
        <v>1674</v>
      </c>
      <c r="Q328" s="612" t="s">
        <v>3403</v>
      </c>
      <c r="R328" s="612" t="s">
        <v>1674</v>
      </c>
      <c r="S328" s="612" t="s">
        <v>1674</v>
      </c>
      <c r="T328" s="789">
        <v>19</v>
      </c>
      <c r="U328" s="612" t="s">
        <v>3309</v>
      </c>
      <c r="V328" s="611">
        <v>1284</v>
      </c>
      <c r="W328" s="614"/>
      <c r="Y328" s="612" t="s">
        <v>1674</v>
      </c>
      <c r="AA328" s="612" t="s">
        <v>1674</v>
      </c>
      <c r="AE328" s="790"/>
      <c r="AF328" s="612" t="s">
        <v>1674</v>
      </c>
      <c r="AG328" s="612" t="s">
        <v>1674</v>
      </c>
      <c r="AH328" s="612" t="s">
        <v>1674</v>
      </c>
      <c r="AI328" s="612" t="s">
        <v>1674</v>
      </c>
      <c r="AJ328" s="612" t="s">
        <v>1674</v>
      </c>
      <c r="AK328" s="612" t="s">
        <v>1674</v>
      </c>
      <c r="AL328" s="612" t="s">
        <v>1674</v>
      </c>
      <c r="AM328" s="612" t="s">
        <v>1674</v>
      </c>
      <c r="AN328" s="612" t="s">
        <v>1674</v>
      </c>
      <c r="AP328">
        <f t="shared" si="10"/>
        <v>255</v>
      </c>
      <c r="AQ328" s="552">
        <f t="shared" si="11"/>
        <v>0</v>
      </c>
    </row>
    <row r="329" spans="1:43" outlineLevel="1" x14ac:dyDescent="0.25">
      <c r="A329" s="612" t="s">
        <v>1674</v>
      </c>
      <c r="B329" s="786">
        <v>0</v>
      </c>
      <c r="C329" s="612" t="s">
        <v>1674</v>
      </c>
      <c r="D329" s="612" t="s">
        <v>3402</v>
      </c>
      <c r="E329" t="s">
        <v>3310</v>
      </c>
      <c r="G329" s="787"/>
      <c r="H329" s="787">
        <v>952</v>
      </c>
      <c r="I329" s="787"/>
      <c r="J329" t="s">
        <v>806</v>
      </c>
      <c r="K329" s="611">
        <v>1200</v>
      </c>
      <c r="L329" t="s">
        <v>806</v>
      </c>
      <c r="M329" s="614"/>
      <c r="N329" s="788"/>
      <c r="O329" s="612" t="s">
        <v>1674</v>
      </c>
      <c r="P329" s="612" t="s">
        <v>1674</v>
      </c>
      <c r="Q329" s="612" t="s">
        <v>3311</v>
      </c>
      <c r="R329" s="612" t="s">
        <v>1674</v>
      </c>
      <c r="S329" s="612" t="s">
        <v>1674</v>
      </c>
      <c r="T329" s="789"/>
      <c r="U329" s="612" t="s">
        <v>3312</v>
      </c>
      <c r="V329" s="611">
        <v>1863</v>
      </c>
      <c r="W329" s="614"/>
      <c r="Y329" s="612" t="s">
        <v>1674</v>
      </c>
      <c r="AA329" s="612" t="s">
        <v>1674</v>
      </c>
      <c r="AE329" s="790"/>
      <c r="AF329" s="612" t="s">
        <v>1674</v>
      </c>
      <c r="AG329" s="612" t="s">
        <v>1674</v>
      </c>
      <c r="AH329" s="612" t="s">
        <v>1674</v>
      </c>
      <c r="AI329" s="612" t="s">
        <v>1674</v>
      </c>
      <c r="AJ329" s="612" t="s">
        <v>1674</v>
      </c>
      <c r="AK329" s="612" t="s">
        <v>1674</v>
      </c>
      <c r="AL329" s="612" t="s">
        <v>1674</v>
      </c>
      <c r="AM329" s="612" t="s">
        <v>1674</v>
      </c>
      <c r="AN329" s="612" t="s">
        <v>1674</v>
      </c>
      <c r="AP329">
        <f t="shared" si="10"/>
        <v>0</v>
      </c>
      <c r="AQ329" s="552">
        <f t="shared" si="11"/>
        <v>0</v>
      </c>
    </row>
    <row r="330" spans="1:43" outlineLevel="1" x14ac:dyDescent="0.25">
      <c r="A330" s="612" t="s">
        <v>1674</v>
      </c>
      <c r="B330" s="786">
        <v>0</v>
      </c>
      <c r="C330" s="612" t="s">
        <v>1674</v>
      </c>
      <c r="D330" s="612" t="s">
        <v>3402</v>
      </c>
      <c r="E330" t="s">
        <v>3313</v>
      </c>
      <c r="G330" s="787"/>
      <c r="H330" s="787">
        <v>942.48</v>
      </c>
      <c r="I330" s="787"/>
      <c r="J330" t="s">
        <v>806</v>
      </c>
      <c r="K330" s="611">
        <v>1200</v>
      </c>
      <c r="L330" t="s">
        <v>806</v>
      </c>
      <c r="M330" s="614"/>
      <c r="N330" s="788"/>
      <c r="O330" s="612" t="s">
        <v>1674</v>
      </c>
      <c r="P330" s="612" t="s">
        <v>1674</v>
      </c>
      <c r="Q330" s="612" t="s">
        <v>3314</v>
      </c>
      <c r="R330" s="612" t="s">
        <v>1674</v>
      </c>
      <c r="S330" s="612" t="s">
        <v>1674</v>
      </c>
      <c r="T330" s="789"/>
      <c r="U330" s="612" t="s">
        <v>3315</v>
      </c>
      <c r="V330" s="611">
        <v>93</v>
      </c>
      <c r="W330" s="614"/>
      <c r="Y330" s="612" t="s">
        <v>1674</v>
      </c>
      <c r="AA330" s="612" t="s">
        <v>1674</v>
      </c>
      <c r="AE330" s="790"/>
      <c r="AF330" s="612" t="s">
        <v>1674</v>
      </c>
      <c r="AG330" s="612" t="s">
        <v>1674</v>
      </c>
      <c r="AH330" s="612" t="s">
        <v>1674</v>
      </c>
      <c r="AI330" s="612" t="s">
        <v>1674</v>
      </c>
      <c r="AJ330" s="612" t="s">
        <v>1674</v>
      </c>
      <c r="AK330" s="612" t="s">
        <v>1674</v>
      </c>
      <c r="AL330" s="612" t="s">
        <v>1674</v>
      </c>
      <c r="AM330" s="612" t="s">
        <v>1674</v>
      </c>
      <c r="AN330" s="612" t="s">
        <v>1674</v>
      </c>
      <c r="AP330">
        <f t="shared" si="10"/>
        <v>0</v>
      </c>
      <c r="AQ330" s="552">
        <f t="shared" si="11"/>
        <v>0</v>
      </c>
    </row>
    <row r="331" spans="1:43" outlineLevel="1" x14ac:dyDescent="0.25">
      <c r="A331" s="612" t="s">
        <v>1674</v>
      </c>
      <c r="B331" s="786">
        <v>0</v>
      </c>
      <c r="C331" s="612" t="s">
        <v>1674</v>
      </c>
      <c r="D331" s="612" t="s">
        <v>3402</v>
      </c>
      <c r="E331" t="s">
        <v>3313</v>
      </c>
      <c r="G331" s="787"/>
      <c r="H331" s="787">
        <v>9.52</v>
      </c>
      <c r="I331" s="787"/>
      <c r="J331" t="s">
        <v>806</v>
      </c>
      <c r="K331" s="611">
        <v>8736</v>
      </c>
      <c r="L331" t="s">
        <v>806</v>
      </c>
      <c r="M331" s="614"/>
      <c r="N331" s="788"/>
      <c r="O331" s="612" t="s">
        <v>1674</v>
      </c>
      <c r="P331" s="612" t="s">
        <v>1674</v>
      </c>
      <c r="Q331" s="612" t="s">
        <v>3314</v>
      </c>
      <c r="R331" s="612" t="s">
        <v>1674</v>
      </c>
      <c r="S331" s="612" t="s">
        <v>1674</v>
      </c>
      <c r="T331" s="789">
        <v>19</v>
      </c>
      <c r="U331" s="612" t="s">
        <v>3315</v>
      </c>
      <c r="V331" s="611">
        <v>94</v>
      </c>
      <c r="W331" s="614"/>
      <c r="Y331" s="612" t="s">
        <v>1674</v>
      </c>
      <c r="AA331" s="612" t="s">
        <v>1674</v>
      </c>
      <c r="AE331" s="790"/>
      <c r="AF331" s="612" t="s">
        <v>1674</v>
      </c>
      <c r="AG331" s="612" t="s">
        <v>1674</v>
      </c>
      <c r="AH331" s="612" t="s">
        <v>1674</v>
      </c>
      <c r="AI331" s="612" t="s">
        <v>1674</v>
      </c>
      <c r="AJ331" s="612" t="s">
        <v>1674</v>
      </c>
      <c r="AK331" s="612" t="s">
        <v>1674</v>
      </c>
      <c r="AL331" s="612" t="s">
        <v>1674</v>
      </c>
      <c r="AM331" s="612" t="s">
        <v>1674</v>
      </c>
      <c r="AN331" s="612" t="s">
        <v>1674</v>
      </c>
      <c r="AP331">
        <f t="shared" si="10"/>
        <v>0</v>
      </c>
      <c r="AQ331" s="552">
        <f t="shared" si="11"/>
        <v>0</v>
      </c>
    </row>
    <row r="332" spans="1:43" outlineLevel="1" x14ac:dyDescent="0.25">
      <c r="A332" s="612" t="s">
        <v>1674</v>
      </c>
      <c r="B332" s="786">
        <v>0</v>
      </c>
      <c r="C332" s="612" t="s">
        <v>1674</v>
      </c>
      <c r="D332" s="612" t="s">
        <v>3402</v>
      </c>
      <c r="E332" t="s">
        <v>3316</v>
      </c>
      <c r="G332" s="787"/>
      <c r="H332" s="787">
        <v>952</v>
      </c>
      <c r="I332" s="787"/>
      <c r="J332" t="s">
        <v>806</v>
      </c>
      <c r="K332" s="611">
        <v>1200</v>
      </c>
      <c r="L332" t="s">
        <v>806</v>
      </c>
      <c r="M332" s="614"/>
      <c r="N332" s="788"/>
      <c r="O332" s="612" t="s">
        <v>1674</v>
      </c>
      <c r="P332" s="612" t="s">
        <v>1674</v>
      </c>
      <c r="Q332" s="612" t="s">
        <v>3317</v>
      </c>
      <c r="R332" s="612" t="s">
        <v>1674</v>
      </c>
      <c r="S332" s="612" t="s">
        <v>1674</v>
      </c>
      <c r="T332" s="789"/>
      <c r="U332" s="612" t="s">
        <v>3315</v>
      </c>
      <c r="V332" s="611">
        <v>1666</v>
      </c>
      <c r="W332" s="614"/>
      <c r="Y332" s="612" t="s">
        <v>1674</v>
      </c>
      <c r="AA332" s="612" t="s">
        <v>1674</v>
      </c>
      <c r="AE332" s="790"/>
      <c r="AF332" s="612" t="s">
        <v>1674</v>
      </c>
      <c r="AG332" s="612" t="s">
        <v>1674</v>
      </c>
      <c r="AH332" s="612" t="s">
        <v>1674</v>
      </c>
      <c r="AI332" s="612" t="s">
        <v>1674</v>
      </c>
      <c r="AJ332" s="612" t="s">
        <v>1674</v>
      </c>
      <c r="AK332" s="612" t="s">
        <v>1674</v>
      </c>
      <c r="AL332" s="612" t="s">
        <v>1674</v>
      </c>
      <c r="AM332" s="612" t="s">
        <v>1674</v>
      </c>
      <c r="AN332" s="612" t="s">
        <v>1674</v>
      </c>
      <c r="AP332">
        <f t="shared" si="10"/>
        <v>0</v>
      </c>
      <c r="AQ332" s="552">
        <f t="shared" si="11"/>
        <v>0</v>
      </c>
    </row>
    <row r="333" spans="1:43" outlineLevel="1" x14ac:dyDescent="0.25">
      <c r="A333" s="612" t="s">
        <v>1674</v>
      </c>
      <c r="B333" s="786">
        <v>0</v>
      </c>
      <c r="C333" s="612" t="s">
        <v>1674</v>
      </c>
      <c r="D333" s="612" t="s">
        <v>3402</v>
      </c>
      <c r="E333" t="s">
        <v>3318</v>
      </c>
      <c r="G333" s="787"/>
      <c r="H333" s="787">
        <v>952</v>
      </c>
      <c r="I333" s="787"/>
      <c r="J333" t="s">
        <v>806</v>
      </c>
      <c r="K333" s="611">
        <v>1200</v>
      </c>
      <c r="L333" t="s">
        <v>806</v>
      </c>
      <c r="M333" s="614"/>
      <c r="N333" s="788"/>
      <c r="O333" s="612" t="s">
        <v>1674</v>
      </c>
      <c r="P333" s="612" t="s">
        <v>1674</v>
      </c>
      <c r="Q333" s="612" t="s">
        <v>3319</v>
      </c>
      <c r="R333" s="612" t="s">
        <v>1674</v>
      </c>
      <c r="S333" s="612" t="s">
        <v>1674</v>
      </c>
      <c r="T333" s="789"/>
      <c r="U333" s="612" t="s">
        <v>3320</v>
      </c>
      <c r="V333" s="611">
        <v>1747</v>
      </c>
      <c r="W333" s="614"/>
      <c r="Y333" s="612" t="s">
        <v>1674</v>
      </c>
      <c r="AA333" s="612" t="s">
        <v>1674</v>
      </c>
      <c r="AE333" s="790"/>
      <c r="AF333" s="612" t="s">
        <v>1674</v>
      </c>
      <c r="AG333" s="612" t="s">
        <v>1674</v>
      </c>
      <c r="AH333" s="612" t="s">
        <v>1674</v>
      </c>
      <c r="AI333" s="612" t="s">
        <v>1674</v>
      </c>
      <c r="AJ333" s="612" t="s">
        <v>1674</v>
      </c>
      <c r="AK333" s="612" t="s">
        <v>1674</v>
      </c>
      <c r="AL333" s="612" t="s">
        <v>1674</v>
      </c>
      <c r="AM333" s="612" t="s">
        <v>1674</v>
      </c>
      <c r="AN333" s="612" t="s">
        <v>1674</v>
      </c>
      <c r="AP333">
        <f t="shared" si="10"/>
        <v>0</v>
      </c>
      <c r="AQ333" s="552">
        <f t="shared" si="11"/>
        <v>0</v>
      </c>
    </row>
    <row r="334" spans="1:43" outlineLevel="1" x14ac:dyDescent="0.25">
      <c r="A334" s="612" t="s">
        <v>1674</v>
      </c>
      <c r="B334" s="786">
        <v>0</v>
      </c>
      <c r="C334" s="612" t="s">
        <v>1674</v>
      </c>
      <c r="D334" s="612" t="s">
        <v>3402</v>
      </c>
      <c r="E334" t="s">
        <v>3321</v>
      </c>
      <c r="G334" s="787"/>
      <c r="H334" s="787">
        <v>952</v>
      </c>
      <c r="I334" s="787"/>
      <c r="J334" t="s">
        <v>806</v>
      </c>
      <c r="K334" s="611">
        <v>1200</v>
      </c>
      <c r="L334" t="s">
        <v>806</v>
      </c>
      <c r="M334" s="614"/>
      <c r="N334" s="788"/>
      <c r="O334" s="612" t="s">
        <v>1674</v>
      </c>
      <c r="P334" s="612" t="s">
        <v>1674</v>
      </c>
      <c r="Q334" s="612" t="s">
        <v>3322</v>
      </c>
      <c r="R334" s="612" t="s">
        <v>1674</v>
      </c>
      <c r="S334" s="612" t="s">
        <v>1674</v>
      </c>
      <c r="T334" s="789"/>
      <c r="U334" s="612" t="s">
        <v>3323</v>
      </c>
      <c r="V334" s="611">
        <v>1471</v>
      </c>
      <c r="W334" s="614"/>
      <c r="Y334" s="612" t="s">
        <v>1674</v>
      </c>
      <c r="AA334" s="612" t="s">
        <v>1674</v>
      </c>
      <c r="AE334" s="790"/>
      <c r="AF334" s="612" t="s">
        <v>1674</v>
      </c>
      <c r="AG334" s="612" t="s">
        <v>1674</v>
      </c>
      <c r="AH334" s="612" t="s">
        <v>1674</v>
      </c>
      <c r="AI334" s="612" t="s">
        <v>1674</v>
      </c>
      <c r="AJ334" s="612" t="s">
        <v>1674</v>
      </c>
      <c r="AK334" s="612" t="s">
        <v>1674</v>
      </c>
      <c r="AL334" s="612" t="s">
        <v>1674</v>
      </c>
      <c r="AM334" s="612" t="s">
        <v>1674</v>
      </c>
      <c r="AN334" s="612" t="s">
        <v>1674</v>
      </c>
      <c r="AP334">
        <f t="shared" si="10"/>
        <v>0</v>
      </c>
      <c r="AQ334" s="552">
        <f t="shared" si="11"/>
        <v>0</v>
      </c>
    </row>
    <row r="335" spans="1:43" outlineLevel="1" x14ac:dyDescent="0.25">
      <c r="A335" s="612" t="s">
        <v>1674</v>
      </c>
      <c r="B335" s="786">
        <v>0</v>
      </c>
      <c r="C335" s="612" t="s">
        <v>1674</v>
      </c>
      <c r="D335" s="612" t="s">
        <v>3402</v>
      </c>
      <c r="E335" t="s">
        <v>5005</v>
      </c>
      <c r="G335" s="787"/>
      <c r="H335" s="787">
        <v>952</v>
      </c>
      <c r="I335" s="787"/>
      <c r="J335" t="s">
        <v>806</v>
      </c>
      <c r="K335" s="611">
        <v>1200</v>
      </c>
      <c r="L335" t="s">
        <v>806</v>
      </c>
      <c r="M335" s="614"/>
      <c r="N335" s="788"/>
      <c r="O335" s="612" t="s">
        <v>1674</v>
      </c>
      <c r="P335" s="612" t="s">
        <v>1674</v>
      </c>
      <c r="Q335" s="612" t="s">
        <v>5240</v>
      </c>
      <c r="R335" s="612" t="s">
        <v>1674</v>
      </c>
      <c r="S335" s="612" t="s">
        <v>1674</v>
      </c>
      <c r="T335" s="789"/>
      <c r="U335" s="612" t="s">
        <v>5002</v>
      </c>
      <c r="V335" s="611">
        <v>1317</v>
      </c>
      <c r="W335" s="614"/>
      <c r="Y335" s="612" t="s">
        <v>1674</v>
      </c>
      <c r="AA335" s="612" t="s">
        <v>1674</v>
      </c>
      <c r="AE335" s="790"/>
      <c r="AF335" s="612" t="s">
        <v>1674</v>
      </c>
      <c r="AG335" s="612" t="s">
        <v>1674</v>
      </c>
      <c r="AH335" s="612" t="s">
        <v>1674</v>
      </c>
      <c r="AI335" s="612" t="s">
        <v>1674</v>
      </c>
      <c r="AJ335" s="612" t="s">
        <v>1674</v>
      </c>
      <c r="AK335" s="612" t="s">
        <v>1674</v>
      </c>
      <c r="AL335" s="612" t="s">
        <v>1674</v>
      </c>
      <c r="AM335" s="612" t="s">
        <v>1674</v>
      </c>
      <c r="AN335" s="612" t="s">
        <v>1674</v>
      </c>
      <c r="AP335">
        <f t="shared" si="10"/>
        <v>0</v>
      </c>
      <c r="AQ335" s="552">
        <f t="shared" si="11"/>
        <v>0</v>
      </c>
    </row>
    <row r="336" spans="1:43" outlineLevel="1" x14ac:dyDescent="0.25">
      <c r="A336" s="612" t="s">
        <v>1674</v>
      </c>
      <c r="B336" s="786">
        <v>0</v>
      </c>
      <c r="C336" s="612" t="s">
        <v>1674</v>
      </c>
      <c r="D336" s="612" t="s">
        <v>3402</v>
      </c>
      <c r="E336" t="s">
        <v>5007</v>
      </c>
      <c r="G336" s="787"/>
      <c r="H336" s="787">
        <v>952</v>
      </c>
      <c r="I336" s="787"/>
      <c r="J336" t="s">
        <v>806</v>
      </c>
      <c r="K336" s="611">
        <v>1200</v>
      </c>
      <c r="L336" t="s">
        <v>806</v>
      </c>
      <c r="M336" s="614"/>
      <c r="N336" s="788"/>
      <c r="O336" s="612" t="s">
        <v>1674</v>
      </c>
      <c r="P336" s="612" t="s">
        <v>1674</v>
      </c>
      <c r="Q336" s="612" t="s">
        <v>5241</v>
      </c>
      <c r="R336" s="612" t="s">
        <v>1674</v>
      </c>
      <c r="S336" s="612" t="s">
        <v>1674</v>
      </c>
      <c r="T336" s="789"/>
      <c r="U336" s="612" t="s">
        <v>5002</v>
      </c>
      <c r="V336" s="611">
        <v>1673</v>
      </c>
      <c r="W336" s="614"/>
      <c r="Y336" s="612" t="s">
        <v>1674</v>
      </c>
      <c r="AA336" s="612" t="s">
        <v>1674</v>
      </c>
      <c r="AE336" s="790"/>
      <c r="AF336" s="612" t="s">
        <v>1674</v>
      </c>
      <c r="AG336" s="612" t="s">
        <v>1674</v>
      </c>
      <c r="AH336" s="612" t="s">
        <v>1674</v>
      </c>
      <c r="AI336" s="612" t="s">
        <v>1674</v>
      </c>
      <c r="AJ336" s="612" t="s">
        <v>1674</v>
      </c>
      <c r="AK336" s="612" t="s">
        <v>1674</v>
      </c>
      <c r="AL336" s="612" t="s">
        <v>1674</v>
      </c>
      <c r="AM336" s="612" t="s">
        <v>1674</v>
      </c>
      <c r="AN336" s="612" t="s">
        <v>1674</v>
      </c>
      <c r="AP336">
        <f t="shared" si="10"/>
        <v>0</v>
      </c>
      <c r="AQ336" s="552">
        <f t="shared" si="11"/>
        <v>0</v>
      </c>
    </row>
    <row r="337" spans="1:43" outlineLevel="1" x14ac:dyDescent="0.25">
      <c r="A337" s="612" t="s">
        <v>1674</v>
      </c>
      <c r="B337" s="786">
        <v>0</v>
      </c>
      <c r="C337" s="612" t="s">
        <v>1674</v>
      </c>
      <c r="D337" s="612" t="s">
        <v>3402</v>
      </c>
      <c r="E337" t="s">
        <v>5078</v>
      </c>
      <c r="G337" s="787"/>
      <c r="H337" s="787">
        <v>875.84</v>
      </c>
      <c r="I337" s="787"/>
      <c r="J337" t="s">
        <v>806</v>
      </c>
      <c r="K337" s="611">
        <v>1200</v>
      </c>
      <c r="L337" t="s">
        <v>806</v>
      </c>
      <c r="M337" s="614"/>
      <c r="N337" s="788"/>
      <c r="O337" s="612" t="s">
        <v>1674</v>
      </c>
      <c r="P337" s="612" t="s">
        <v>1674</v>
      </c>
      <c r="Q337" s="612" t="s">
        <v>5242</v>
      </c>
      <c r="R337" s="612" t="s">
        <v>1674</v>
      </c>
      <c r="S337" s="612" t="s">
        <v>1674</v>
      </c>
      <c r="T337" s="789"/>
      <c r="U337" s="612" t="s">
        <v>4900</v>
      </c>
      <c r="V337" s="611">
        <v>370</v>
      </c>
      <c r="W337" s="614"/>
      <c r="Y337" s="612" t="s">
        <v>1674</v>
      </c>
      <c r="AA337" s="612" t="s">
        <v>1674</v>
      </c>
      <c r="AE337" s="790"/>
      <c r="AF337" s="612" t="s">
        <v>1674</v>
      </c>
      <c r="AG337" s="612" t="s">
        <v>1674</v>
      </c>
      <c r="AH337" s="612" t="s">
        <v>1674</v>
      </c>
      <c r="AI337" s="612" t="s">
        <v>1674</v>
      </c>
      <c r="AJ337" s="612" t="s">
        <v>1674</v>
      </c>
      <c r="AK337" s="612" t="s">
        <v>1674</v>
      </c>
      <c r="AL337" s="612" t="s">
        <v>1674</v>
      </c>
      <c r="AM337" s="612" t="s">
        <v>1674</v>
      </c>
      <c r="AN337" s="612" t="s">
        <v>1674</v>
      </c>
      <c r="AP337">
        <f t="shared" si="10"/>
        <v>0</v>
      </c>
      <c r="AQ337" s="552">
        <f t="shared" si="11"/>
        <v>0</v>
      </c>
    </row>
    <row r="338" spans="1:43" outlineLevel="1" x14ac:dyDescent="0.25">
      <c r="A338" s="612" t="s">
        <v>1674</v>
      </c>
      <c r="B338" s="786">
        <v>0</v>
      </c>
      <c r="C338" s="612" t="s">
        <v>1674</v>
      </c>
      <c r="D338" s="612" t="s">
        <v>3402</v>
      </c>
      <c r="E338" t="s">
        <v>5078</v>
      </c>
      <c r="G338" s="787"/>
      <c r="H338" s="787">
        <v>76.16</v>
      </c>
      <c r="I338" s="787"/>
      <c r="J338" t="s">
        <v>806</v>
      </c>
      <c r="K338" s="611">
        <v>8736</v>
      </c>
      <c r="L338" t="s">
        <v>806</v>
      </c>
      <c r="M338" s="614"/>
      <c r="N338" s="788"/>
      <c r="O338" s="612" t="s">
        <v>1674</v>
      </c>
      <c r="P338" s="612" t="s">
        <v>1674</v>
      </c>
      <c r="Q338" s="612" t="s">
        <v>5242</v>
      </c>
      <c r="R338" s="612" t="s">
        <v>1674</v>
      </c>
      <c r="S338" s="612" t="s">
        <v>1674</v>
      </c>
      <c r="T338" s="789">
        <v>19</v>
      </c>
      <c r="U338" s="612" t="s">
        <v>4900</v>
      </c>
      <c r="V338" s="611">
        <v>371</v>
      </c>
      <c r="W338" s="614"/>
      <c r="Y338" s="612" t="s">
        <v>1674</v>
      </c>
      <c r="AA338" s="612" t="s">
        <v>1674</v>
      </c>
      <c r="AE338" s="790"/>
      <c r="AF338" s="612" t="s">
        <v>1674</v>
      </c>
      <c r="AG338" s="612" t="s">
        <v>1674</v>
      </c>
      <c r="AH338" s="612" t="s">
        <v>1674</v>
      </c>
      <c r="AI338" s="612" t="s">
        <v>1674</v>
      </c>
      <c r="AJ338" s="612" t="s">
        <v>1674</v>
      </c>
      <c r="AK338" s="612" t="s">
        <v>1674</v>
      </c>
      <c r="AL338" s="612" t="s">
        <v>1674</v>
      </c>
      <c r="AM338" s="612" t="s">
        <v>1674</v>
      </c>
      <c r="AN338" s="612" t="s">
        <v>1674</v>
      </c>
      <c r="AP338">
        <f t="shared" si="10"/>
        <v>0</v>
      </c>
      <c r="AQ338" s="552">
        <f t="shared" si="11"/>
        <v>0</v>
      </c>
    </row>
    <row r="339" spans="1:43" outlineLevel="1" x14ac:dyDescent="0.25">
      <c r="A339" s="612" t="s">
        <v>1674</v>
      </c>
      <c r="B339" s="786">
        <v>0</v>
      </c>
      <c r="C339" s="612" t="s">
        <v>1674</v>
      </c>
      <c r="D339" s="612" t="s">
        <v>3402</v>
      </c>
      <c r="E339" t="s">
        <v>4937</v>
      </c>
      <c r="G339" s="787"/>
      <c r="H339" s="787">
        <v>952</v>
      </c>
      <c r="I339" s="787">
        <v>11662</v>
      </c>
      <c r="J339" t="s">
        <v>2701</v>
      </c>
      <c r="K339" s="611">
        <v>1200</v>
      </c>
      <c r="L339" t="s">
        <v>806</v>
      </c>
      <c r="M339" s="614"/>
      <c r="N339" s="788"/>
      <c r="O339" s="612" t="s">
        <v>1674</v>
      </c>
      <c r="P339" s="612" t="s">
        <v>1674</v>
      </c>
      <c r="Q339" s="612" t="s">
        <v>5243</v>
      </c>
      <c r="R339" s="612" t="s">
        <v>1674</v>
      </c>
      <c r="S339" s="612" t="s">
        <v>1674</v>
      </c>
      <c r="T339" s="789"/>
      <c r="U339" s="612" t="s">
        <v>4900</v>
      </c>
      <c r="V339" s="611">
        <v>1697</v>
      </c>
      <c r="W339" s="614"/>
      <c r="Y339" s="612" t="s">
        <v>1674</v>
      </c>
      <c r="AA339" s="612" t="s">
        <v>1674</v>
      </c>
      <c r="AE339" s="790"/>
      <c r="AF339" s="612" t="s">
        <v>1674</v>
      </c>
      <c r="AG339" s="612" t="s">
        <v>1674</v>
      </c>
      <c r="AH339" s="612" t="s">
        <v>1674</v>
      </c>
      <c r="AI339" s="612" t="s">
        <v>1674</v>
      </c>
      <c r="AJ339" s="612" t="s">
        <v>1674</v>
      </c>
      <c r="AK339" s="612" t="s">
        <v>1674</v>
      </c>
      <c r="AL339" s="612" t="s">
        <v>1674</v>
      </c>
      <c r="AM339" s="612" t="s">
        <v>1674</v>
      </c>
      <c r="AN339" s="612" t="s">
        <v>1674</v>
      </c>
      <c r="AP339">
        <f t="shared" si="10"/>
        <v>0</v>
      </c>
      <c r="AQ339" s="552">
        <f t="shared" si="11"/>
        <v>11662</v>
      </c>
    </row>
    <row r="340" spans="1:43" outlineLevel="1" x14ac:dyDescent="0.25">
      <c r="A340" s="612" t="s">
        <v>1674</v>
      </c>
      <c r="B340" s="786">
        <v>0</v>
      </c>
      <c r="C340" s="612" t="s">
        <v>1674</v>
      </c>
      <c r="D340" s="612" t="s">
        <v>5244</v>
      </c>
      <c r="E340" t="s">
        <v>4915</v>
      </c>
      <c r="F340" t="s">
        <v>4916</v>
      </c>
      <c r="G340" s="787">
        <v>310.58999999999997</v>
      </c>
      <c r="H340" s="787"/>
      <c r="I340" s="787">
        <v>310.58999999999997</v>
      </c>
      <c r="J340" t="s">
        <v>2701</v>
      </c>
      <c r="K340" s="611">
        <v>8400</v>
      </c>
      <c r="L340" t="s">
        <v>2552</v>
      </c>
      <c r="M340" s="614"/>
      <c r="N340" s="788">
        <v>18</v>
      </c>
      <c r="O340" s="612" t="s">
        <v>1674</v>
      </c>
      <c r="P340" s="612" t="s">
        <v>1674</v>
      </c>
      <c r="Q340" s="612" t="s">
        <v>2585</v>
      </c>
      <c r="R340" s="612" t="s">
        <v>2622</v>
      </c>
      <c r="S340" s="612" t="s">
        <v>1674</v>
      </c>
      <c r="T340" s="789">
        <v>19</v>
      </c>
      <c r="U340" s="612" t="s">
        <v>4900</v>
      </c>
      <c r="V340" s="611">
        <v>1343</v>
      </c>
      <c r="W340" s="614"/>
      <c r="Y340" s="612" t="s">
        <v>1674</v>
      </c>
      <c r="AA340" s="612" t="s">
        <v>1674</v>
      </c>
      <c r="AE340" s="790"/>
      <c r="AF340" s="612" t="s">
        <v>1674</v>
      </c>
      <c r="AG340" s="612" t="s">
        <v>1674</v>
      </c>
      <c r="AH340" s="612" t="s">
        <v>1674</v>
      </c>
      <c r="AI340" s="612" t="s">
        <v>1674</v>
      </c>
      <c r="AJ340" s="612" t="s">
        <v>1674</v>
      </c>
      <c r="AK340" s="612" t="s">
        <v>1674</v>
      </c>
      <c r="AL340" s="612" t="s">
        <v>1674</v>
      </c>
      <c r="AM340" s="612" t="s">
        <v>1674</v>
      </c>
      <c r="AN340" s="612" t="s">
        <v>1674</v>
      </c>
      <c r="AP340">
        <f t="shared" si="10"/>
        <v>-18</v>
      </c>
      <c r="AQ340" s="552">
        <f t="shared" si="11"/>
        <v>310.58999999999997</v>
      </c>
    </row>
    <row r="341" spans="1:43" outlineLevel="1" x14ac:dyDescent="0.25">
      <c r="A341" s="612" t="s">
        <v>1674</v>
      </c>
      <c r="B341" s="786">
        <v>0</v>
      </c>
      <c r="C341" s="612" t="s">
        <v>1674</v>
      </c>
      <c r="D341" s="612" t="s">
        <v>2633</v>
      </c>
      <c r="E341" t="s">
        <v>2634</v>
      </c>
      <c r="G341" s="787"/>
      <c r="H341" s="787">
        <v>1856.4</v>
      </c>
      <c r="I341" s="787">
        <v>1856.4</v>
      </c>
      <c r="J341" t="s">
        <v>2584</v>
      </c>
      <c r="K341" s="611">
        <v>8400</v>
      </c>
      <c r="L341" t="s">
        <v>806</v>
      </c>
      <c r="M341" s="614"/>
      <c r="N341" s="788"/>
      <c r="O341" s="612" t="s">
        <v>1674</v>
      </c>
      <c r="P341" s="612" t="s">
        <v>1674</v>
      </c>
      <c r="Q341" s="612" t="s">
        <v>2615</v>
      </c>
      <c r="R341" s="612" t="s">
        <v>1674</v>
      </c>
      <c r="S341" s="612" t="s">
        <v>1674</v>
      </c>
      <c r="T341" s="789">
        <v>19</v>
      </c>
      <c r="U341" s="612" t="s">
        <v>2635</v>
      </c>
      <c r="V341" s="611">
        <v>328</v>
      </c>
      <c r="W341" s="614"/>
      <c r="Y341" s="612" t="s">
        <v>1674</v>
      </c>
      <c r="AA341" s="612" t="s">
        <v>1674</v>
      </c>
      <c r="AE341" s="790"/>
      <c r="AF341" s="612" t="s">
        <v>1674</v>
      </c>
      <c r="AG341" s="612" t="s">
        <v>1674</v>
      </c>
      <c r="AH341" s="612" t="s">
        <v>1674</v>
      </c>
      <c r="AI341" s="612" t="s">
        <v>1674</v>
      </c>
      <c r="AJ341" s="612" t="s">
        <v>1674</v>
      </c>
      <c r="AK341" s="612" t="s">
        <v>1674</v>
      </c>
      <c r="AL341" s="612" t="s">
        <v>1674</v>
      </c>
      <c r="AM341" s="612" t="s">
        <v>1674</v>
      </c>
      <c r="AN341" s="612" t="s">
        <v>1674</v>
      </c>
      <c r="AP341">
        <f t="shared" si="10"/>
        <v>0</v>
      </c>
      <c r="AQ341" s="552">
        <f t="shared" si="11"/>
        <v>-1856.4</v>
      </c>
    </row>
    <row r="342" spans="1:43" outlineLevel="1" x14ac:dyDescent="0.25">
      <c r="A342" s="612" t="s">
        <v>1674</v>
      </c>
      <c r="B342" s="786">
        <v>11805</v>
      </c>
      <c r="C342" s="612" t="s">
        <v>5245</v>
      </c>
      <c r="D342" s="612" t="s">
        <v>5246</v>
      </c>
      <c r="E342" t="s">
        <v>4911</v>
      </c>
      <c r="F342" t="s">
        <v>4912</v>
      </c>
      <c r="G342" s="787">
        <v>141.02000000000001</v>
      </c>
      <c r="H342" s="787"/>
      <c r="I342" s="787">
        <v>141.02000000000001</v>
      </c>
      <c r="J342" t="s">
        <v>2701</v>
      </c>
      <c r="K342" s="611">
        <v>8400</v>
      </c>
      <c r="L342" t="s">
        <v>806</v>
      </c>
      <c r="M342" s="614"/>
      <c r="N342" s="788">
        <v>17</v>
      </c>
      <c r="O342" s="612" t="s">
        <v>1674</v>
      </c>
      <c r="P342" s="612" t="s">
        <v>1674</v>
      </c>
      <c r="Q342" s="612" t="s">
        <v>5247</v>
      </c>
      <c r="R342" s="612" t="s">
        <v>1674</v>
      </c>
      <c r="S342" s="612" t="s">
        <v>1674</v>
      </c>
      <c r="T342" s="789">
        <v>19</v>
      </c>
      <c r="U342" s="612" t="s">
        <v>4900</v>
      </c>
      <c r="V342" s="611">
        <v>1206</v>
      </c>
      <c r="W342" s="614"/>
      <c r="Y342" s="612" t="s">
        <v>1674</v>
      </c>
      <c r="AA342" s="612" t="s">
        <v>1674</v>
      </c>
      <c r="AE342" s="790"/>
      <c r="AF342" s="612" t="s">
        <v>5248</v>
      </c>
      <c r="AG342" s="612" t="s">
        <v>5249</v>
      </c>
      <c r="AH342" s="612" t="s">
        <v>5250</v>
      </c>
      <c r="AI342" s="612" t="s">
        <v>1674</v>
      </c>
      <c r="AJ342" s="612" t="s">
        <v>5251</v>
      </c>
      <c r="AK342" s="612" t="s">
        <v>1674</v>
      </c>
      <c r="AL342" s="612" t="s">
        <v>1674</v>
      </c>
      <c r="AM342" s="612" t="s">
        <v>5252</v>
      </c>
      <c r="AN342" s="612" t="s">
        <v>5253</v>
      </c>
      <c r="AP342">
        <f t="shared" si="10"/>
        <v>-17</v>
      </c>
      <c r="AQ342" s="552">
        <f t="shared" si="11"/>
        <v>141.02000000000001</v>
      </c>
    </row>
    <row r="343" spans="1:43" outlineLevel="1" x14ac:dyDescent="0.25">
      <c r="A343" s="612" t="s">
        <v>1674</v>
      </c>
      <c r="B343" s="786">
        <v>11811</v>
      </c>
      <c r="C343" s="612" t="s">
        <v>2820</v>
      </c>
      <c r="D343" s="612" t="s">
        <v>2821</v>
      </c>
      <c r="E343" t="s">
        <v>2822</v>
      </c>
      <c r="F343" t="s">
        <v>2823</v>
      </c>
      <c r="G343" s="787">
        <v>654.74</v>
      </c>
      <c r="H343" s="787"/>
      <c r="I343" s="787">
        <v>654.74</v>
      </c>
      <c r="J343" t="s">
        <v>2701</v>
      </c>
      <c r="K343" s="611">
        <v>8400</v>
      </c>
      <c r="L343" t="s">
        <v>2552</v>
      </c>
      <c r="M343" s="614"/>
      <c r="N343" s="788">
        <v>-416</v>
      </c>
      <c r="O343" s="612" t="s">
        <v>1674</v>
      </c>
      <c r="P343" s="612" t="s">
        <v>1674</v>
      </c>
      <c r="Q343" s="612" t="s">
        <v>2824</v>
      </c>
      <c r="R343" s="612" t="s">
        <v>2622</v>
      </c>
      <c r="S343" s="612" t="s">
        <v>1674</v>
      </c>
      <c r="T343" s="789">
        <v>19</v>
      </c>
      <c r="U343" s="612" t="s">
        <v>2694</v>
      </c>
      <c r="V343" s="611">
        <v>179</v>
      </c>
      <c r="W343" s="614"/>
      <c r="Y343" s="612" t="s">
        <v>1674</v>
      </c>
      <c r="AA343" s="612" t="s">
        <v>1674</v>
      </c>
      <c r="AE343" s="790"/>
      <c r="AF343" s="612" t="s">
        <v>1674</v>
      </c>
      <c r="AG343" s="612" t="s">
        <v>1674</v>
      </c>
      <c r="AH343" s="612" t="s">
        <v>1674</v>
      </c>
      <c r="AI343" s="612" t="s">
        <v>1674</v>
      </c>
      <c r="AJ343" s="612" t="s">
        <v>1674</v>
      </c>
      <c r="AK343" s="612" t="s">
        <v>1674</v>
      </c>
      <c r="AL343" s="612" t="s">
        <v>1674</v>
      </c>
      <c r="AM343" s="612" t="s">
        <v>2825</v>
      </c>
      <c r="AN343" s="612" t="s">
        <v>1674</v>
      </c>
      <c r="AP343">
        <f t="shared" si="10"/>
        <v>416</v>
      </c>
      <c r="AQ343" s="552">
        <f t="shared" si="11"/>
        <v>654.74</v>
      </c>
    </row>
    <row r="344" spans="1:43" outlineLevel="1" x14ac:dyDescent="0.25">
      <c r="A344" s="612" t="s">
        <v>1674</v>
      </c>
      <c r="B344" s="786">
        <v>0</v>
      </c>
      <c r="C344" s="612" t="s">
        <v>1674</v>
      </c>
      <c r="D344" s="612" t="s">
        <v>3004</v>
      </c>
      <c r="E344" t="s">
        <v>2851</v>
      </c>
      <c r="F344" t="s">
        <v>3002</v>
      </c>
      <c r="G344" s="787">
        <v>118.29</v>
      </c>
      <c r="H344" s="787"/>
      <c r="I344" s="787">
        <v>118.29</v>
      </c>
      <c r="J344" t="s">
        <v>2701</v>
      </c>
      <c r="K344" s="611">
        <v>8400</v>
      </c>
      <c r="L344" t="s">
        <v>2552</v>
      </c>
      <c r="M344" s="614"/>
      <c r="N344" s="788">
        <v>-362</v>
      </c>
      <c r="O344" s="612" t="s">
        <v>1674</v>
      </c>
      <c r="P344" s="612" t="s">
        <v>1674</v>
      </c>
      <c r="Q344" s="612" t="s">
        <v>2824</v>
      </c>
      <c r="R344" s="612" t="s">
        <v>2622</v>
      </c>
      <c r="S344" s="612" t="s">
        <v>1674</v>
      </c>
      <c r="T344" s="789">
        <v>19</v>
      </c>
      <c r="U344" s="612" t="s">
        <v>2700</v>
      </c>
      <c r="V344" s="611">
        <v>56</v>
      </c>
      <c r="W344" s="614"/>
      <c r="Y344" s="612" t="s">
        <v>1674</v>
      </c>
      <c r="AA344" s="612" t="s">
        <v>1674</v>
      </c>
      <c r="AE344" s="790"/>
      <c r="AF344" s="612" t="s">
        <v>1674</v>
      </c>
      <c r="AG344" s="612" t="s">
        <v>1674</v>
      </c>
      <c r="AH344" s="612" t="s">
        <v>1674</v>
      </c>
      <c r="AI344" s="612" t="s">
        <v>1674</v>
      </c>
      <c r="AJ344" s="612" t="s">
        <v>1674</v>
      </c>
      <c r="AK344" s="612" t="s">
        <v>1674</v>
      </c>
      <c r="AL344" s="612" t="s">
        <v>1674</v>
      </c>
      <c r="AM344" s="612" t="s">
        <v>1674</v>
      </c>
      <c r="AN344" s="612" t="s">
        <v>1674</v>
      </c>
      <c r="AP344">
        <f t="shared" si="10"/>
        <v>362</v>
      </c>
      <c r="AQ344" s="552">
        <f t="shared" si="11"/>
        <v>118.29</v>
      </c>
    </row>
    <row r="345" spans="1:43" outlineLevel="1" x14ac:dyDescent="0.25">
      <c r="A345" s="612" t="s">
        <v>1674</v>
      </c>
      <c r="B345" s="786">
        <v>11813</v>
      </c>
      <c r="C345" s="612" t="s">
        <v>2814</v>
      </c>
      <c r="D345" s="612" t="s">
        <v>2876</v>
      </c>
      <c r="E345" t="s">
        <v>2866</v>
      </c>
      <c r="F345" t="s">
        <v>2867</v>
      </c>
      <c r="G345" s="787">
        <v>761.6</v>
      </c>
      <c r="H345" s="787"/>
      <c r="I345" s="787"/>
      <c r="J345" t="s">
        <v>806</v>
      </c>
      <c r="K345" s="611">
        <v>8400</v>
      </c>
      <c r="L345" t="s">
        <v>806</v>
      </c>
      <c r="M345" s="614"/>
      <c r="N345" s="788">
        <v>-388</v>
      </c>
      <c r="O345" s="612" t="s">
        <v>1674</v>
      </c>
      <c r="P345" s="612" t="s">
        <v>1674</v>
      </c>
      <c r="Q345" s="612" t="s">
        <v>2818</v>
      </c>
      <c r="R345" s="612" t="s">
        <v>2622</v>
      </c>
      <c r="S345" s="612" t="s">
        <v>1674</v>
      </c>
      <c r="T345" s="789">
        <v>19</v>
      </c>
      <c r="U345" s="612" t="s">
        <v>2697</v>
      </c>
      <c r="V345" s="611">
        <v>533</v>
      </c>
      <c r="W345" s="614"/>
      <c r="Y345" s="612" t="s">
        <v>1674</v>
      </c>
      <c r="AA345" s="612" t="s">
        <v>1674</v>
      </c>
      <c r="AE345" s="790"/>
      <c r="AF345" s="612" t="s">
        <v>1674</v>
      </c>
      <c r="AG345" s="612" t="s">
        <v>1674</v>
      </c>
      <c r="AH345" s="612" t="s">
        <v>1674</v>
      </c>
      <c r="AI345" s="612" t="s">
        <v>1674</v>
      </c>
      <c r="AJ345" s="612" t="s">
        <v>1674</v>
      </c>
      <c r="AK345" s="612" t="s">
        <v>1674</v>
      </c>
      <c r="AL345" s="612" t="s">
        <v>1674</v>
      </c>
      <c r="AM345" s="612" t="s">
        <v>2819</v>
      </c>
      <c r="AN345" s="612" t="s">
        <v>1674</v>
      </c>
      <c r="AP345">
        <f t="shared" si="10"/>
        <v>388</v>
      </c>
      <c r="AQ345" s="552">
        <f t="shared" si="11"/>
        <v>0</v>
      </c>
    </row>
    <row r="346" spans="1:43" outlineLevel="1" x14ac:dyDescent="0.25">
      <c r="A346" s="612" t="s">
        <v>1674</v>
      </c>
      <c r="B346" s="786">
        <v>0</v>
      </c>
      <c r="C346" s="612" t="s">
        <v>1674</v>
      </c>
      <c r="D346" s="612" t="s">
        <v>2876</v>
      </c>
      <c r="E346" t="s">
        <v>2838</v>
      </c>
      <c r="G346" s="787"/>
      <c r="H346" s="787">
        <v>706.36</v>
      </c>
      <c r="I346" s="787">
        <v>55.24</v>
      </c>
      <c r="J346" t="s">
        <v>2701</v>
      </c>
      <c r="K346" s="611">
        <v>1200</v>
      </c>
      <c r="L346" t="s">
        <v>806</v>
      </c>
      <c r="M346" s="614"/>
      <c r="N346" s="788"/>
      <c r="O346" s="612" t="s">
        <v>1674</v>
      </c>
      <c r="P346" s="612" t="s">
        <v>1674</v>
      </c>
      <c r="Q346" s="612" t="s">
        <v>2877</v>
      </c>
      <c r="R346" s="612" t="s">
        <v>1674</v>
      </c>
      <c r="S346" s="612" t="s">
        <v>1674</v>
      </c>
      <c r="T346" s="789"/>
      <c r="U346" s="612" t="s">
        <v>2697</v>
      </c>
      <c r="V346" s="611">
        <v>1106</v>
      </c>
      <c r="W346" s="614"/>
      <c r="Y346" s="612" t="s">
        <v>1674</v>
      </c>
      <c r="AA346" s="612" t="s">
        <v>1674</v>
      </c>
      <c r="AE346" s="790"/>
      <c r="AF346" s="612" t="s">
        <v>1674</v>
      </c>
      <c r="AG346" s="612" t="s">
        <v>1674</v>
      </c>
      <c r="AH346" s="612" t="s">
        <v>1674</v>
      </c>
      <c r="AI346" s="612" t="s">
        <v>1674</v>
      </c>
      <c r="AJ346" s="612" t="s">
        <v>1674</v>
      </c>
      <c r="AK346" s="612" t="s">
        <v>1674</v>
      </c>
      <c r="AL346" s="612" t="s">
        <v>1674</v>
      </c>
      <c r="AM346" s="612" t="s">
        <v>1674</v>
      </c>
      <c r="AN346" s="612" t="s">
        <v>1674</v>
      </c>
      <c r="AP346">
        <f t="shared" si="10"/>
        <v>0</v>
      </c>
      <c r="AQ346" s="552">
        <f t="shared" si="11"/>
        <v>55.24</v>
      </c>
    </row>
    <row r="347" spans="1:43" outlineLevel="1" x14ac:dyDescent="0.25">
      <c r="A347" s="612" t="s">
        <v>1674</v>
      </c>
      <c r="B347" s="786">
        <v>0</v>
      </c>
      <c r="C347" s="612" t="s">
        <v>1674</v>
      </c>
      <c r="D347" s="612" t="s">
        <v>2929</v>
      </c>
      <c r="E347" t="s">
        <v>2844</v>
      </c>
      <c r="F347" t="s">
        <v>2930</v>
      </c>
      <c r="G347" s="787">
        <v>761.6</v>
      </c>
      <c r="H347" s="787"/>
      <c r="I347" s="787">
        <v>761.6</v>
      </c>
      <c r="J347" t="s">
        <v>2701</v>
      </c>
      <c r="K347" s="611">
        <v>8400</v>
      </c>
      <c r="L347" t="s">
        <v>806</v>
      </c>
      <c r="M347" s="614"/>
      <c r="N347" s="788">
        <v>-375</v>
      </c>
      <c r="O347" s="612" t="s">
        <v>1674</v>
      </c>
      <c r="P347" s="612" t="s">
        <v>1674</v>
      </c>
      <c r="Q347" s="612" t="s">
        <v>2818</v>
      </c>
      <c r="R347" s="612" t="s">
        <v>2622</v>
      </c>
      <c r="S347" s="612" t="s">
        <v>1674</v>
      </c>
      <c r="T347" s="789">
        <v>19</v>
      </c>
      <c r="U347" s="612" t="s">
        <v>2697</v>
      </c>
      <c r="V347" s="611">
        <v>1237</v>
      </c>
      <c r="W347" s="614"/>
      <c r="Y347" s="612" t="s">
        <v>1674</v>
      </c>
      <c r="AA347" s="612" t="s">
        <v>1674</v>
      </c>
      <c r="AE347" s="790"/>
      <c r="AF347" s="612" t="s">
        <v>1674</v>
      </c>
      <c r="AG347" s="612" t="s">
        <v>1674</v>
      </c>
      <c r="AH347" s="612" t="s">
        <v>1674</v>
      </c>
      <c r="AI347" s="612" t="s">
        <v>1674</v>
      </c>
      <c r="AJ347" s="612" t="s">
        <v>1674</v>
      </c>
      <c r="AK347" s="612" t="s">
        <v>1674</v>
      </c>
      <c r="AL347" s="612" t="s">
        <v>1674</v>
      </c>
      <c r="AM347" s="612" t="s">
        <v>1674</v>
      </c>
      <c r="AN347" s="612" t="s">
        <v>1674</v>
      </c>
      <c r="AP347">
        <f t="shared" si="10"/>
        <v>375</v>
      </c>
      <c r="AQ347" s="552">
        <f t="shared" si="11"/>
        <v>761.6</v>
      </c>
    </row>
    <row r="348" spans="1:43" outlineLevel="1" x14ac:dyDescent="0.25">
      <c r="A348" s="612" t="s">
        <v>1674</v>
      </c>
      <c r="B348" s="786">
        <v>0</v>
      </c>
      <c r="C348" s="612" t="s">
        <v>1674</v>
      </c>
      <c r="D348" s="612" t="s">
        <v>3337</v>
      </c>
      <c r="E348" t="s">
        <v>3338</v>
      </c>
      <c r="F348" t="s">
        <v>3339</v>
      </c>
      <c r="G348" s="787">
        <v>1142.4000000000001</v>
      </c>
      <c r="H348" s="787"/>
      <c r="I348" s="787">
        <v>1142.4000000000001</v>
      </c>
      <c r="J348" t="s">
        <v>2701</v>
      </c>
      <c r="K348" s="611">
        <v>8400</v>
      </c>
      <c r="L348" t="s">
        <v>2552</v>
      </c>
      <c r="M348" s="614"/>
      <c r="N348" s="788">
        <v>-321</v>
      </c>
      <c r="O348" s="612" t="s">
        <v>1674</v>
      </c>
      <c r="P348" s="612" t="s">
        <v>1674</v>
      </c>
      <c r="Q348" s="612" t="s">
        <v>2818</v>
      </c>
      <c r="R348" s="612" t="s">
        <v>2622</v>
      </c>
      <c r="S348" s="612" t="s">
        <v>1674</v>
      </c>
      <c r="T348" s="789">
        <v>19</v>
      </c>
      <c r="U348" s="612" t="s">
        <v>3303</v>
      </c>
      <c r="V348" s="611">
        <v>699</v>
      </c>
      <c r="W348" s="614"/>
      <c r="Y348" s="612" t="s">
        <v>1674</v>
      </c>
      <c r="AA348" s="612" t="s">
        <v>1674</v>
      </c>
      <c r="AE348" s="790"/>
      <c r="AF348" s="612" t="s">
        <v>1674</v>
      </c>
      <c r="AG348" s="612" t="s">
        <v>1674</v>
      </c>
      <c r="AH348" s="612" t="s">
        <v>1674</v>
      </c>
      <c r="AI348" s="612" t="s">
        <v>1674</v>
      </c>
      <c r="AJ348" s="612" t="s">
        <v>1674</v>
      </c>
      <c r="AK348" s="612" t="s">
        <v>1674</v>
      </c>
      <c r="AL348" s="612" t="s">
        <v>1674</v>
      </c>
      <c r="AM348" s="612" t="s">
        <v>1674</v>
      </c>
      <c r="AN348" s="612" t="s">
        <v>1674</v>
      </c>
      <c r="AP348">
        <f t="shared" si="10"/>
        <v>321</v>
      </c>
      <c r="AQ348" s="552">
        <f t="shared" si="11"/>
        <v>1142.4000000000001</v>
      </c>
    </row>
    <row r="349" spans="1:43" outlineLevel="1" x14ac:dyDescent="0.25">
      <c r="A349" s="612" t="s">
        <v>1674</v>
      </c>
      <c r="B349" s="786">
        <v>0</v>
      </c>
      <c r="C349" s="612" t="s">
        <v>1674</v>
      </c>
      <c r="D349" s="612" t="s">
        <v>3416</v>
      </c>
      <c r="E349" t="s">
        <v>3368</v>
      </c>
      <c r="F349" t="s">
        <v>3417</v>
      </c>
      <c r="G349" s="787">
        <v>380.8</v>
      </c>
      <c r="H349" s="787"/>
      <c r="I349" s="787">
        <v>380.8</v>
      </c>
      <c r="J349" t="s">
        <v>2701</v>
      </c>
      <c r="K349" s="611">
        <v>8400</v>
      </c>
      <c r="L349" t="s">
        <v>806</v>
      </c>
      <c r="M349" s="614"/>
      <c r="N349" s="788">
        <v>-248</v>
      </c>
      <c r="O349" s="612" t="s">
        <v>1674</v>
      </c>
      <c r="P349" s="612" t="s">
        <v>1674</v>
      </c>
      <c r="Q349" s="612" t="s">
        <v>2818</v>
      </c>
      <c r="R349" s="612" t="s">
        <v>2622</v>
      </c>
      <c r="S349" s="612" t="s">
        <v>1674</v>
      </c>
      <c r="T349" s="789">
        <v>19</v>
      </c>
      <c r="U349" s="612" t="s">
        <v>3309</v>
      </c>
      <c r="V349" s="611">
        <v>1624</v>
      </c>
      <c r="W349" s="614"/>
      <c r="Y349" s="612" t="s">
        <v>1674</v>
      </c>
      <c r="AA349" s="612" t="s">
        <v>1674</v>
      </c>
      <c r="AE349" s="790"/>
      <c r="AF349" s="612" t="s">
        <v>1674</v>
      </c>
      <c r="AG349" s="612" t="s">
        <v>1674</v>
      </c>
      <c r="AH349" s="612" t="s">
        <v>1674</v>
      </c>
      <c r="AI349" s="612" t="s">
        <v>1674</v>
      </c>
      <c r="AJ349" s="612" t="s">
        <v>1674</v>
      </c>
      <c r="AK349" s="612" t="s">
        <v>1674</v>
      </c>
      <c r="AL349" s="612" t="s">
        <v>1674</v>
      </c>
      <c r="AM349" s="612" t="s">
        <v>1674</v>
      </c>
      <c r="AN349" s="612" t="s">
        <v>1674</v>
      </c>
      <c r="AP349">
        <f t="shared" si="10"/>
        <v>248</v>
      </c>
      <c r="AQ349" s="552">
        <f t="shared" si="11"/>
        <v>380.8</v>
      </c>
    </row>
    <row r="350" spans="1:43" outlineLevel="1" x14ac:dyDescent="0.25">
      <c r="A350" s="612" t="s">
        <v>1674</v>
      </c>
      <c r="B350" s="786">
        <v>0</v>
      </c>
      <c r="C350" s="612" t="s">
        <v>1674</v>
      </c>
      <c r="D350" s="612" t="s">
        <v>3555</v>
      </c>
      <c r="E350" t="s">
        <v>3316</v>
      </c>
      <c r="F350" t="s">
        <v>3556</v>
      </c>
      <c r="G350" s="787">
        <v>1142.4000000000001</v>
      </c>
      <c r="H350" s="787"/>
      <c r="I350" s="787">
        <v>1142.4000000000001</v>
      </c>
      <c r="J350" t="s">
        <v>2701</v>
      </c>
      <c r="K350" s="611">
        <v>8400</v>
      </c>
      <c r="L350" t="s">
        <v>2552</v>
      </c>
      <c r="M350" s="614"/>
      <c r="N350" s="788">
        <v>-154</v>
      </c>
      <c r="O350" s="612" t="s">
        <v>1674</v>
      </c>
      <c r="P350" s="612" t="s">
        <v>1674</v>
      </c>
      <c r="Q350" s="612" t="s">
        <v>2818</v>
      </c>
      <c r="R350" s="612" t="s">
        <v>2622</v>
      </c>
      <c r="S350" s="612" t="s">
        <v>1674</v>
      </c>
      <c r="T350" s="789">
        <v>19</v>
      </c>
      <c r="U350" s="612" t="s">
        <v>3315</v>
      </c>
      <c r="V350" s="611">
        <v>1710</v>
      </c>
      <c r="W350" s="614"/>
      <c r="Y350" s="612" t="s">
        <v>1674</v>
      </c>
      <c r="AA350" s="612" t="s">
        <v>1674</v>
      </c>
      <c r="AE350" s="790"/>
      <c r="AF350" s="612" t="s">
        <v>1674</v>
      </c>
      <c r="AG350" s="612" t="s">
        <v>1674</v>
      </c>
      <c r="AH350" s="612" t="s">
        <v>1674</v>
      </c>
      <c r="AI350" s="612" t="s">
        <v>1674</v>
      </c>
      <c r="AJ350" s="612" t="s">
        <v>1674</v>
      </c>
      <c r="AK350" s="612" t="s">
        <v>1674</v>
      </c>
      <c r="AL350" s="612" t="s">
        <v>1674</v>
      </c>
      <c r="AM350" s="612" t="s">
        <v>1674</v>
      </c>
      <c r="AN350" s="612" t="s">
        <v>1674</v>
      </c>
      <c r="AP350">
        <f t="shared" si="10"/>
        <v>154</v>
      </c>
      <c r="AQ350" s="552">
        <f t="shared" si="11"/>
        <v>1142.4000000000001</v>
      </c>
    </row>
    <row r="351" spans="1:43" outlineLevel="1" x14ac:dyDescent="0.25">
      <c r="A351" s="612" t="s">
        <v>1674</v>
      </c>
      <c r="B351" s="786">
        <v>0</v>
      </c>
      <c r="C351" s="612" t="s">
        <v>1674</v>
      </c>
      <c r="D351" s="612" t="s">
        <v>3691</v>
      </c>
      <c r="E351" t="s">
        <v>3616</v>
      </c>
      <c r="F351" t="s">
        <v>3680</v>
      </c>
      <c r="G351" s="787">
        <v>1142.4000000000001</v>
      </c>
      <c r="H351" s="787"/>
      <c r="I351" s="787">
        <v>1142.4000000000001</v>
      </c>
      <c r="J351" t="s">
        <v>2701</v>
      </c>
      <c r="K351" s="611">
        <v>8400</v>
      </c>
      <c r="L351" t="s">
        <v>2552</v>
      </c>
      <c r="M351" s="614"/>
      <c r="N351" s="788">
        <v>-87</v>
      </c>
      <c r="O351" s="612" t="s">
        <v>1674</v>
      </c>
      <c r="P351" s="612" t="s">
        <v>1674</v>
      </c>
      <c r="Q351" s="612" t="s">
        <v>2818</v>
      </c>
      <c r="R351" s="612" t="s">
        <v>2622</v>
      </c>
      <c r="S351" s="612" t="s">
        <v>1674</v>
      </c>
      <c r="T351" s="789">
        <v>19</v>
      </c>
      <c r="U351" s="612" t="s">
        <v>3328</v>
      </c>
      <c r="V351" s="611">
        <v>435</v>
      </c>
      <c r="W351" s="614"/>
      <c r="Y351" s="612" t="s">
        <v>1674</v>
      </c>
      <c r="AA351" s="612" t="s">
        <v>1674</v>
      </c>
      <c r="AE351" s="790"/>
      <c r="AF351" s="612" t="s">
        <v>1674</v>
      </c>
      <c r="AG351" s="612" t="s">
        <v>1674</v>
      </c>
      <c r="AH351" s="612" t="s">
        <v>1674</v>
      </c>
      <c r="AI351" s="612" t="s">
        <v>1674</v>
      </c>
      <c r="AJ351" s="612" t="s">
        <v>1674</v>
      </c>
      <c r="AK351" s="612" t="s">
        <v>1674</v>
      </c>
      <c r="AL351" s="612" t="s">
        <v>1674</v>
      </c>
      <c r="AM351" s="612" t="s">
        <v>1674</v>
      </c>
      <c r="AN351" s="612" t="s">
        <v>1674</v>
      </c>
      <c r="AP351">
        <f t="shared" si="10"/>
        <v>87</v>
      </c>
      <c r="AQ351" s="552">
        <f t="shared" si="11"/>
        <v>1142.4000000000001</v>
      </c>
    </row>
    <row r="352" spans="1:43" outlineLevel="1" x14ac:dyDescent="0.25">
      <c r="A352" s="612" t="s">
        <v>1674</v>
      </c>
      <c r="B352" s="786">
        <v>0</v>
      </c>
      <c r="C352" s="612" t="s">
        <v>1674</v>
      </c>
      <c r="D352" s="612" t="s">
        <v>5254</v>
      </c>
      <c r="E352" t="s">
        <v>5255</v>
      </c>
      <c r="F352" t="s">
        <v>5256</v>
      </c>
      <c r="G352" s="787">
        <v>1142.4000000000001</v>
      </c>
      <c r="H352" s="787"/>
      <c r="I352" s="787"/>
      <c r="J352" t="s">
        <v>806</v>
      </c>
      <c r="K352" s="611">
        <v>8400</v>
      </c>
      <c r="L352" t="s">
        <v>2552</v>
      </c>
      <c r="M352" s="614"/>
      <c r="N352" s="788">
        <v>-48</v>
      </c>
      <c r="O352" s="612" t="s">
        <v>1674</v>
      </c>
      <c r="P352" s="612" t="s">
        <v>1674</v>
      </c>
      <c r="Q352" s="612" t="s">
        <v>2818</v>
      </c>
      <c r="R352" s="612" t="s">
        <v>2622</v>
      </c>
      <c r="S352" s="612" t="s">
        <v>1674</v>
      </c>
      <c r="T352" s="789">
        <v>19</v>
      </c>
      <c r="U352" s="612" t="s">
        <v>5002</v>
      </c>
      <c r="V352" s="611">
        <v>745</v>
      </c>
      <c r="W352" s="614"/>
      <c r="Y352" s="612" t="s">
        <v>1674</v>
      </c>
      <c r="AA352" s="612" t="s">
        <v>1674</v>
      </c>
      <c r="AE352" s="790"/>
      <c r="AF352" s="612" t="s">
        <v>1674</v>
      </c>
      <c r="AG352" s="612" t="s">
        <v>1674</v>
      </c>
      <c r="AH352" s="612" t="s">
        <v>1674</v>
      </c>
      <c r="AI352" s="612" t="s">
        <v>1674</v>
      </c>
      <c r="AJ352" s="612" t="s">
        <v>1674</v>
      </c>
      <c r="AK352" s="612" t="s">
        <v>1674</v>
      </c>
      <c r="AL352" s="612" t="s">
        <v>1674</v>
      </c>
      <c r="AM352" s="612" t="s">
        <v>1674</v>
      </c>
      <c r="AN352" s="612" t="s">
        <v>1674</v>
      </c>
      <c r="AP352">
        <f t="shared" si="10"/>
        <v>48</v>
      </c>
      <c r="AQ352" s="552">
        <f t="shared" si="11"/>
        <v>0</v>
      </c>
    </row>
    <row r="353" spans="1:43" outlineLevel="1" x14ac:dyDescent="0.25">
      <c r="A353" s="612" t="s">
        <v>1674</v>
      </c>
      <c r="B353" s="786">
        <v>0</v>
      </c>
      <c r="C353" s="612" t="s">
        <v>1674</v>
      </c>
      <c r="D353" s="612" t="s">
        <v>5254</v>
      </c>
      <c r="E353" t="s">
        <v>4283</v>
      </c>
      <c r="G353" s="787"/>
      <c r="H353" s="787">
        <v>1093.9100000000001</v>
      </c>
      <c r="I353" s="787"/>
      <c r="J353" t="s">
        <v>806</v>
      </c>
      <c r="K353" s="611">
        <v>1200</v>
      </c>
      <c r="L353" t="s">
        <v>806</v>
      </c>
      <c r="M353" s="614"/>
      <c r="N353" s="788"/>
      <c r="O353" s="612" t="s">
        <v>1674</v>
      </c>
      <c r="P353" s="612" t="s">
        <v>1674</v>
      </c>
      <c r="Q353" s="612" t="s">
        <v>5257</v>
      </c>
      <c r="R353" s="612" t="s">
        <v>1674</v>
      </c>
      <c r="S353" s="612" t="s">
        <v>1674</v>
      </c>
      <c r="T353" s="789"/>
      <c r="U353" s="612" t="s">
        <v>5010</v>
      </c>
      <c r="V353" s="611">
        <v>397</v>
      </c>
      <c r="W353" s="614"/>
      <c r="Y353" s="612" t="s">
        <v>1674</v>
      </c>
      <c r="AA353" s="612" t="s">
        <v>1674</v>
      </c>
      <c r="AE353" s="790"/>
      <c r="AF353" s="612" t="s">
        <v>1674</v>
      </c>
      <c r="AG353" s="612" t="s">
        <v>1674</v>
      </c>
      <c r="AH353" s="612" t="s">
        <v>1674</v>
      </c>
      <c r="AI353" s="612" t="s">
        <v>1674</v>
      </c>
      <c r="AJ353" s="612" t="s">
        <v>1674</v>
      </c>
      <c r="AK353" s="612" t="s">
        <v>1674</v>
      </c>
      <c r="AL353" s="612" t="s">
        <v>1674</v>
      </c>
      <c r="AM353" s="612" t="s">
        <v>1674</v>
      </c>
      <c r="AN353" s="612" t="s">
        <v>1674</v>
      </c>
      <c r="AP353">
        <f t="shared" si="10"/>
        <v>0</v>
      </c>
      <c r="AQ353" s="552">
        <f t="shared" si="11"/>
        <v>0</v>
      </c>
    </row>
    <row r="354" spans="1:43" outlineLevel="1" x14ac:dyDescent="0.25">
      <c r="A354" s="612" t="s">
        <v>1674</v>
      </c>
      <c r="B354" s="786">
        <v>0</v>
      </c>
      <c r="C354" s="612" t="s">
        <v>1674</v>
      </c>
      <c r="D354" s="612" t="s">
        <v>5254</v>
      </c>
      <c r="E354" t="s">
        <v>4283</v>
      </c>
      <c r="G354" s="787"/>
      <c r="H354" s="787">
        <v>22.85</v>
      </c>
      <c r="I354" s="787">
        <v>25.64</v>
      </c>
      <c r="J354" t="s">
        <v>2701</v>
      </c>
      <c r="K354" s="611">
        <v>8736</v>
      </c>
      <c r="L354" t="s">
        <v>806</v>
      </c>
      <c r="M354" s="614"/>
      <c r="N354" s="788"/>
      <c r="O354" s="612" t="s">
        <v>1674</v>
      </c>
      <c r="P354" s="612" t="s">
        <v>1674</v>
      </c>
      <c r="Q354" s="612" t="s">
        <v>5257</v>
      </c>
      <c r="R354" s="612" t="s">
        <v>1674</v>
      </c>
      <c r="S354" s="612" t="s">
        <v>1674</v>
      </c>
      <c r="T354" s="789">
        <v>19</v>
      </c>
      <c r="U354" s="612" t="s">
        <v>5010</v>
      </c>
      <c r="V354" s="611">
        <v>398</v>
      </c>
      <c r="W354" s="614"/>
      <c r="Y354" s="612" t="s">
        <v>1674</v>
      </c>
      <c r="AA354" s="612" t="s">
        <v>1674</v>
      </c>
      <c r="AE354" s="790"/>
      <c r="AF354" s="612" t="s">
        <v>1674</v>
      </c>
      <c r="AG354" s="612" t="s">
        <v>1674</v>
      </c>
      <c r="AH354" s="612" t="s">
        <v>1674</v>
      </c>
      <c r="AI354" s="612" t="s">
        <v>1674</v>
      </c>
      <c r="AJ354" s="612" t="s">
        <v>1674</v>
      </c>
      <c r="AK354" s="612" t="s">
        <v>1674</v>
      </c>
      <c r="AL354" s="612" t="s">
        <v>1674</v>
      </c>
      <c r="AM354" s="612" t="s">
        <v>1674</v>
      </c>
      <c r="AN354" s="612" t="s">
        <v>1674</v>
      </c>
      <c r="AP354">
        <f t="shared" si="10"/>
        <v>0</v>
      </c>
      <c r="AQ354" s="552">
        <f t="shared" si="11"/>
        <v>25.64</v>
      </c>
    </row>
    <row r="355" spans="1:43" outlineLevel="1" x14ac:dyDescent="0.25">
      <c r="A355" s="612" t="s">
        <v>1674</v>
      </c>
      <c r="B355" s="786">
        <v>0</v>
      </c>
      <c r="C355" s="612" t="s">
        <v>1674</v>
      </c>
      <c r="D355" s="612" t="s">
        <v>5258</v>
      </c>
      <c r="E355" t="s">
        <v>4905</v>
      </c>
      <c r="F355" t="s">
        <v>4906</v>
      </c>
      <c r="G355" s="787">
        <v>1142.4000000000001</v>
      </c>
      <c r="H355" s="787"/>
      <c r="I355" s="787">
        <v>1142.4000000000001</v>
      </c>
      <c r="J355" t="s">
        <v>2701</v>
      </c>
      <c r="K355" s="611">
        <v>8400</v>
      </c>
      <c r="L355" t="s">
        <v>2552</v>
      </c>
      <c r="M355" s="614"/>
      <c r="N355" s="788">
        <v>3</v>
      </c>
      <c r="O355" s="612" t="s">
        <v>1674</v>
      </c>
      <c r="P355" s="612" t="s">
        <v>1674</v>
      </c>
      <c r="Q355" s="612" t="s">
        <v>2818</v>
      </c>
      <c r="R355" s="612" t="s">
        <v>2622</v>
      </c>
      <c r="S355" s="612" t="s">
        <v>1674</v>
      </c>
      <c r="T355" s="789">
        <v>19</v>
      </c>
      <c r="U355" s="612" t="s">
        <v>4900</v>
      </c>
      <c r="V355" s="611">
        <v>302</v>
      </c>
      <c r="W355" s="614"/>
      <c r="Y355" s="612" t="s">
        <v>1674</v>
      </c>
      <c r="AA355" s="612" t="s">
        <v>1674</v>
      </c>
      <c r="AE355" s="790"/>
      <c r="AF355" s="612" t="s">
        <v>1674</v>
      </c>
      <c r="AG355" s="612" t="s">
        <v>1674</v>
      </c>
      <c r="AH355" s="612" t="s">
        <v>1674</v>
      </c>
      <c r="AI355" s="612" t="s">
        <v>1674</v>
      </c>
      <c r="AJ355" s="612" t="s">
        <v>1674</v>
      </c>
      <c r="AK355" s="612" t="s">
        <v>1674</v>
      </c>
      <c r="AL355" s="612" t="s">
        <v>1674</v>
      </c>
      <c r="AM355" s="612" t="s">
        <v>1674</v>
      </c>
      <c r="AN355" s="612" t="s">
        <v>1674</v>
      </c>
      <c r="AP355">
        <f t="shared" si="10"/>
        <v>-3</v>
      </c>
      <c r="AQ355" s="552">
        <f t="shared" si="11"/>
        <v>1142.4000000000001</v>
      </c>
    </row>
    <row r="356" spans="1:43" outlineLevel="1" x14ac:dyDescent="0.25">
      <c r="A356" s="612" t="s">
        <v>1674</v>
      </c>
      <c r="B356" s="786">
        <v>0</v>
      </c>
      <c r="C356" s="612" t="s">
        <v>1674</v>
      </c>
      <c r="D356" s="612" t="s">
        <v>5259</v>
      </c>
      <c r="E356" t="s">
        <v>5078</v>
      </c>
      <c r="F356" t="s">
        <v>5079</v>
      </c>
      <c r="G356" s="787">
        <v>2459.02</v>
      </c>
      <c r="H356" s="787"/>
      <c r="I356" s="787"/>
      <c r="J356" t="s">
        <v>806</v>
      </c>
      <c r="K356" s="611">
        <v>8400</v>
      </c>
      <c r="L356" t="s">
        <v>806</v>
      </c>
      <c r="M356" s="614"/>
      <c r="N356" s="788">
        <v>4</v>
      </c>
      <c r="O356" s="612" t="s">
        <v>1674</v>
      </c>
      <c r="P356" s="612" t="s">
        <v>1674</v>
      </c>
      <c r="Q356" s="612" t="s">
        <v>2818</v>
      </c>
      <c r="R356" s="612" t="s">
        <v>1674</v>
      </c>
      <c r="S356" s="612" t="s">
        <v>1674</v>
      </c>
      <c r="T356" s="789">
        <v>19</v>
      </c>
      <c r="U356" s="612" t="s">
        <v>4900</v>
      </c>
      <c r="V356" s="611">
        <v>430</v>
      </c>
      <c r="W356" s="614"/>
      <c r="Y356" s="612" t="s">
        <v>1674</v>
      </c>
      <c r="AA356" s="612" t="s">
        <v>1674</v>
      </c>
      <c r="AE356" s="790"/>
      <c r="AF356" s="612" t="s">
        <v>1674</v>
      </c>
      <c r="AG356" s="612" t="s">
        <v>1674</v>
      </c>
      <c r="AH356" s="612" t="s">
        <v>1674</v>
      </c>
      <c r="AI356" s="612" t="s">
        <v>1674</v>
      </c>
      <c r="AJ356" s="612" t="s">
        <v>1674</v>
      </c>
      <c r="AK356" s="612" t="s">
        <v>1674</v>
      </c>
      <c r="AL356" s="612" t="s">
        <v>1674</v>
      </c>
      <c r="AM356" s="612" t="s">
        <v>1674</v>
      </c>
      <c r="AN356" s="612" t="s">
        <v>1674</v>
      </c>
      <c r="AP356">
        <f t="shared" si="10"/>
        <v>-4</v>
      </c>
      <c r="AQ356" s="552">
        <f t="shared" si="11"/>
        <v>0</v>
      </c>
    </row>
    <row r="357" spans="1:43" outlineLevel="1" x14ac:dyDescent="0.25">
      <c r="A357" s="612" t="s">
        <v>1674</v>
      </c>
      <c r="B357" s="786">
        <v>0</v>
      </c>
      <c r="C357" s="612" t="s">
        <v>1674</v>
      </c>
      <c r="D357" s="612" t="s">
        <v>5259</v>
      </c>
      <c r="E357" t="s">
        <v>5022</v>
      </c>
      <c r="G357" s="787"/>
      <c r="H357" s="787">
        <v>2336.17</v>
      </c>
      <c r="I357" s="787"/>
      <c r="J357" t="s">
        <v>806</v>
      </c>
      <c r="K357" s="611">
        <v>1200</v>
      </c>
      <c r="L357" t="s">
        <v>806</v>
      </c>
      <c r="M357" s="614"/>
      <c r="N357" s="788"/>
      <c r="O357" s="612" t="s">
        <v>1674</v>
      </c>
      <c r="P357" s="612" t="s">
        <v>1674</v>
      </c>
      <c r="Q357" s="612" t="s">
        <v>5260</v>
      </c>
      <c r="R357" s="612" t="s">
        <v>1674</v>
      </c>
      <c r="S357" s="612" t="s">
        <v>1674</v>
      </c>
      <c r="T357" s="789"/>
      <c r="U357" s="612" t="s">
        <v>4900</v>
      </c>
      <c r="V357" s="611">
        <v>1060</v>
      </c>
      <c r="W357" s="614"/>
      <c r="Y357" s="612" t="s">
        <v>1674</v>
      </c>
      <c r="AA357" s="612" t="s">
        <v>1674</v>
      </c>
      <c r="AE357" s="790"/>
      <c r="AF357" s="612" t="s">
        <v>1674</v>
      </c>
      <c r="AG357" s="612" t="s">
        <v>1674</v>
      </c>
      <c r="AH357" s="612" t="s">
        <v>1674</v>
      </c>
      <c r="AI357" s="612" t="s">
        <v>1674</v>
      </c>
      <c r="AJ357" s="612" t="s">
        <v>1674</v>
      </c>
      <c r="AK357" s="612" t="s">
        <v>1674</v>
      </c>
      <c r="AL357" s="612" t="s">
        <v>1674</v>
      </c>
      <c r="AM357" s="612" t="s">
        <v>1674</v>
      </c>
      <c r="AN357" s="612" t="s">
        <v>1674</v>
      </c>
      <c r="AP357">
        <f t="shared" si="10"/>
        <v>0</v>
      </c>
      <c r="AQ357" s="552">
        <f t="shared" si="11"/>
        <v>0</v>
      </c>
    </row>
    <row r="358" spans="1:43" outlineLevel="1" x14ac:dyDescent="0.25">
      <c r="A358" s="612" t="s">
        <v>1674</v>
      </c>
      <c r="B358" s="786">
        <v>0</v>
      </c>
      <c r="C358" s="612" t="s">
        <v>1674</v>
      </c>
      <c r="D358" s="612" t="s">
        <v>5259</v>
      </c>
      <c r="E358" t="s">
        <v>5022</v>
      </c>
      <c r="G358" s="787"/>
      <c r="H358" s="787">
        <v>49.18</v>
      </c>
      <c r="I358" s="787">
        <v>73.67</v>
      </c>
      <c r="J358" t="s">
        <v>2701</v>
      </c>
      <c r="K358" s="611">
        <v>8736</v>
      </c>
      <c r="L358" t="s">
        <v>806</v>
      </c>
      <c r="M358" s="614"/>
      <c r="N358" s="788"/>
      <c r="O358" s="612" t="s">
        <v>1674</v>
      </c>
      <c r="P358" s="612" t="s">
        <v>1674</v>
      </c>
      <c r="Q358" s="612" t="s">
        <v>5260</v>
      </c>
      <c r="R358" s="612" t="s">
        <v>1674</v>
      </c>
      <c r="S358" s="612" t="s">
        <v>1674</v>
      </c>
      <c r="T358" s="789">
        <v>19</v>
      </c>
      <c r="U358" s="612" t="s">
        <v>4900</v>
      </c>
      <c r="V358" s="611">
        <v>1061</v>
      </c>
      <c r="W358" s="614"/>
      <c r="Y358" s="612" t="s">
        <v>1674</v>
      </c>
      <c r="AA358" s="612" t="s">
        <v>1674</v>
      </c>
      <c r="AE358" s="790"/>
      <c r="AF358" s="612" t="s">
        <v>1674</v>
      </c>
      <c r="AG358" s="612" t="s">
        <v>1674</v>
      </c>
      <c r="AH358" s="612" t="s">
        <v>1674</v>
      </c>
      <c r="AI358" s="612" t="s">
        <v>1674</v>
      </c>
      <c r="AJ358" s="612" t="s">
        <v>1674</v>
      </c>
      <c r="AK358" s="612" t="s">
        <v>1674</v>
      </c>
      <c r="AL358" s="612" t="s">
        <v>1674</v>
      </c>
      <c r="AM358" s="612" t="s">
        <v>1674</v>
      </c>
      <c r="AN358" s="612" t="s">
        <v>1674</v>
      </c>
      <c r="AP358">
        <f t="shared" si="10"/>
        <v>0</v>
      </c>
      <c r="AQ358" s="552">
        <f t="shared" si="11"/>
        <v>73.67</v>
      </c>
    </row>
    <row r="359" spans="1:43" outlineLevel="1" x14ac:dyDescent="0.25">
      <c r="A359" s="612" t="s">
        <v>1674</v>
      </c>
      <c r="B359" s="786">
        <v>11900</v>
      </c>
      <c r="C359" s="612" t="s">
        <v>2854</v>
      </c>
      <c r="D359" s="612" t="s">
        <v>5261</v>
      </c>
      <c r="E359" t="s">
        <v>4911</v>
      </c>
      <c r="F359" t="s">
        <v>4912</v>
      </c>
      <c r="G359" s="787">
        <v>524.79</v>
      </c>
      <c r="H359" s="787"/>
      <c r="I359" s="787">
        <v>524.79</v>
      </c>
      <c r="J359" t="s">
        <v>2701</v>
      </c>
      <c r="K359" s="611">
        <v>8400</v>
      </c>
      <c r="L359" t="s">
        <v>806</v>
      </c>
      <c r="M359" s="614"/>
      <c r="N359" s="788">
        <v>17</v>
      </c>
      <c r="O359" s="612" t="s">
        <v>1674</v>
      </c>
      <c r="P359" s="612" t="s">
        <v>1674</v>
      </c>
      <c r="Q359" s="612" t="s">
        <v>2857</v>
      </c>
      <c r="R359" s="612" t="s">
        <v>1674</v>
      </c>
      <c r="S359" s="612" t="s">
        <v>1674</v>
      </c>
      <c r="T359" s="789">
        <v>19</v>
      </c>
      <c r="U359" s="612" t="s">
        <v>4900</v>
      </c>
      <c r="V359" s="611">
        <v>1215</v>
      </c>
      <c r="W359" s="614"/>
      <c r="Y359" s="612" t="s">
        <v>1674</v>
      </c>
      <c r="AA359" s="612" t="s">
        <v>1674</v>
      </c>
      <c r="AE359" s="790"/>
      <c r="AF359" s="612" t="s">
        <v>1674</v>
      </c>
      <c r="AG359" s="612" t="s">
        <v>1674</v>
      </c>
      <c r="AH359" s="612" t="s">
        <v>1674</v>
      </c>
      <c r="AI359" s="612" t="s">
        <v>1674</v>
      </c>
      <c r="AJ359" s="612" t="s">
        <v>1674</v>
      </c>
      <c r="AK359" s="612" t="s">
        <v>1674</v>
      </c>
      <c r="AL359" s="612" t="s">
        <v>1674</v>
      </c>
      <c r="AM359" s="612" t="s">
        <v>2854</v>
      </c>
      <c r="AN359" s="612" t="s">
        <v>1674</v>
      </c>
      <c r="AP359">
        <f t="shared" si="10"/>
        <v>-17</v>
      </c>
      <c r="AQ359" s="552">
        <f t="shared" si="11"/>
        <v>524.79</v>
      </c>
    </row>
    <row r="360" spans="1:43" outlineLevel="1" x14ac:dyDescent="0.25">
      <c r="A360" s="612" t="s">
        <v>1674</v>
      </c>
      <c r="B360" s="786">
        <v>0</v>
      </c>
      <c r="C360" s="612" t="s">
        <v>1674</v>
      </c>
      <c r="D360" s="612" t="s">
        <v>2906</v>
      </c>
      <c r="E360" t="s">
        <v>2832</v>
      </c>
      <c r="G360" s="787"/>
      <c r="H360" s="787">
        <v>16.239999999999998</v>
      </c>
      <c r="I360" s="787"/>
      <c r="J360" t="s">
        <v>806</v>
      </c>
      <c r="K360" s="611">
        <v>8400</v>
      </c>
      <c r="L360" t="s">
        <v>806</v>
      </c>
      <c r="M360" s="614"/>
      <c r="N360" s="788"/>
      <c r="O360" s="612" t="s">
        <v>1674</v>
      </c>
      <c r="P360" s="612" t="s">
        <v>1674</v>
      </c>
      <c r="Q360" s="612" t="s">
        <v>2907</v>
      </c>
      <c r="R360" s="612" t="s">
        <v>1674</v>
      </c>
      <c r="S360" s="612" t="s">
        <v>1674</v>
      </c>
      <c r="T360" s="789">
        <v>19</v>
      </c>
      <c r="U360" s="612" t="s">
        <v>2697</v>
      </c>
      <c r="V360" s="611">
        <v>707</v>
      </c>
      <c r="W360" s="614"/>
      <c r="Y360" s="612" t="s">
        <v>1674</v>
      </c>
      <c r="AA360" s="612" t="s">
        <v>1674</v>
      </c>
      <c r="AE360" s="790"/>
      <c r="AF360" s="612" t="s">
        <v>1674</v>
      </c>
      <c r="AG360" s="612" t="s">
        <v>1674</v>
      </c>
      <c r="AH360" s="612" t="s">
        <v>1674</v>
      </c>
      <c r="AI360" s="612" t="s">
        <v>1674</v>
      </c>
      <c r="AJ360" s="612" t="s">
        <v>1674</v>
      </c>
      <c r="AK360" s="612" t="s">
        <v>1674</v>
      </c>
      <c r="AL360" s="612" t="s">
        <v>1674</v>
      </c>
      <c r="AM360" s="612" t="s">
        <v>1674</v>
      </c>
      <c r="AN360" s="612" t="s">
        <v>1674</v>
      </c>
      <c r="AP360">
        <f t="shared" si="10"/>
        <v>0</v>
      </c>
      <c r="AQ360" s="552">
        <f t="shared" si="11"/>
        <v>0</v>
      </c>
    </row>
    <row r="361" spans="1:43" outlineLevel="1" x14ac:dyDescent="0.25">
      <c r="A361" s="612" t="s">
        <v>1674</v>
      </c>
      <c r="B361" s="786">
        <v>0</v>
      </c>
      <c r="C361" s="612" t="s">
        <v>1674</v>
      </c>
      <c r="D361" s="612" t="s">
        <v>2906</v>
      </c>
      <c r="E361" t="s">
        <v>2832</v>
      </c>
      <c r="G361" s="787"/>
      <c r="H361" s="787">
        <v>0.79</v>
      </c>
      <c r="I361" s="787"/>
      <c r="J361" t="s">
        <v>806</v>
      </c>
      <c r="K361" s="611">
        <v>8400</v>
      </c>
      <c r="L361" t="s">
        <v>806</v>
      </c>
      <c r="M361" s="614"/>
      <c r="N361" s="788"/>
      <c r="O361" s="612" t="s">
        <v>1674</v>
      </c>
      <c r="P361" s="612" t="s">
        <v>1674</v>
      </c>
      <c r="Q361" s="612" t="s">
        <v>2907</v>
      </c>
      <c r="R361" s="612" t="s">
        <v>2617</v>
      </c>
      <c r="S361" s="612" t="s">
        <v>1674</v>
      </c>
      <c r="T361" s="789">
        <v>19</v>
      </c>
      <c r="U361" s="612" t="s">
        <v>2697</v>
      </c>
      <c r="V361" s="611">
        <v>708</v>
      </c>
      <c r="W361" s="614"/>
      <c r="Y361" s="612" t="s">
        <v>1674</v>
      </c>
      <c r="AA361" s="612" t="s">
        <v>1674</v>
      </c>
      <c r="AE361" s="790"/>
      <c r="AF361" s="612" t="s">
        <v>1674</v>
      </c>
      <c r="AG361" s="612" t="s">
        <v>1674</v>
      </c>
      <c r="AH361" s="612" t="s">
        <v>1674</v>
      </c>
      <c r="AI361" s="612" t="s">
        <v>1674</v>
      </c>
      <c r="AJ361" s="612" t="s">
        <v>1674</v>
      </c>
      <c r="AK361" s="612" t="s">
        <v>1674</v>
      </c>
      <c r="AL361" s="612" t="s">
        <v>1674</v>
      </c>
      <c r="AM361" s="612" t="s">
        <v>1674</v>
      </c>
      <c r="AN361" s="612" t="s">
        <v>1674</v>
      </c>
      <c r="AP361">
        <f t="shared" si="10"/>
        <v>0</v>
      </c>
      <c r="AQ361" s="552">
        <f t="shared" si="11"/>
        <v>0</v>
      </c>
    </row>
    <row r="362" spans="1:43" outlineLevel="1" x14ac:dyDescent="0.25">
      <c r="A362" s="612" t="s">
        <v>1674</v>
      </c>
      <c r="B362" s="786">
        <v>0</v>
      </c>
      <c r="C362" s="612" t="s">
        <v>1674</v>
      </c>
      <c r="D362" s="612" t="s">
        <v>2906</v>
      </c>
      <c r="E362" t="s">
        <v>2832</v>
      </c>
      <c r="G362" s="787"/>
      <c r="H362" s="787">
        <v>244.77</v>
      </c>
      <c r="I362" s="787">
        <v>261.8</v>
      </c>
      <c r="J362" t="s">
        <v>2584</v>
      </c>
      <c r="K362" s="611">
        <v>8401</v>
      </c>
      <c r="L362" t="s">
        <v>806</v>
      </c>
      <c r="M362" s="614"/>
      <c r="N362" s="788"/>
      <c r="O362" s="612" t="s">
        <v>1674</v>
      </c>
      <c r="P362" s="612" t="s">
        <v>1674</v>
      </c>
      <c r="Q362" s="612" t="s">
        <v>2907</v>
      </c>
      <c r="R362" s="612" t="s">
        <v>1674</v>
      </c>
      <c r="S362" s="612" t="s">
        <v>1674</v>
      </c>
      <c r="T362" s="789">
        <v>19</v>
      </c>
      <c r="U362" s="612" t="s">
        <v>2697</v>
      </c>
      <c r="V362" s="611">
        <v>709</v>
      </c>
      <c r="W362" s="614"/>
      <c r="Y362" s="612" t="s">
        <v>1674</v>
      </c>
      <c r="AA362" s="612" t="s">
        <v>1674</v>
      </c>
      <c r="AE362" s="790"/>
      <c r="AF362" s="612" t="s">
        <v>1674</v>
      </c>
      <c r="AG362" s="612" t="s">
        <v>1674</v>
      </c>
      <c r="AH362" s="612" t="s">
        <v>1674</v>
      </c>
      <c r="AI362" s="612" t="s">
        <v>1674</v>
      </c>
      <c r="AJ362" s="612" t="s">
        <v>1674</v>
      </c>
      <c r="AK362" s="612" t="s">
        <v>1674</v>
      </c>
      <c r="AL362" s="612" t="s">
        <v>1674</v>
      </c>
      <c r="AM362" s="612" t="s">
        <v>1674</v>
      </c>
      <c r="AN362" s="612" t="s">
        <v>1674</v>
      </c>
      <c r="AP362">
        <f t="shared" si="10"/>
        <v>0</v>
      </c>
      <c r="AQ362" s="552">
        <f t="shared" si="11"/>
        <v>-261.8</v>
      </c>
    </row>
    <row r="363" spans="1:43" outlineLevel="1" x14ac:dyDescent="0.25">
      <c r="A363" s="612" t="s">
        <v>1674</v>
      </c>
      <c r="B363" s="786">
        <v>11908</v>
      </c>
      <c r="C363" s="612" t="s">
        <v>5262</v>
      </c>
      <c r="D363" s="612" t="s">
        <v>5263</v>
      </c>
      <c r="E363" t="s">
        <v>5022</v>
      </c>
      <c r="F363" t="s">
        <v>5023</v>
      </c>
      <c r="G363" s="787">
        <v>576.20000000000005</v>
      </c>
      <c r="H363" s="787"/>
      <c r="I363" s="787">
        <v>576.20000000000005</v>
      </c>
      <c r="J363" t="s">
        <v>2701</v>
      </c>
      <c r="K363" s="611">
        <v>8400</v>
      </c>
      <c r="L363" t="s">
        <v>806</v>
      </c>
      <c r="M363" s="614"/>
      <c r="N363" s="788">
        <v>16</v>
      </c>
      <c r="O363" s="612" t="s">
        <v>1674</v>
      </c>
      <c r="P363" s="612" t="s">
        <v>1674</v>
      </c>
      <c r="Q363" s="612" t="s">
        <v>5264</v>
      </c>
      <c r="R363" s="612" t="s">
        <v>1674</v>
      </c>
      <c r="S363" s="612" t="s">
        <v>1674</v>
      </c>
      <c r="T363" s="789">
        <v>19</v>
      </c>
      <c r="U363" s="612" t="s">
        <v>4900</v>
      </c>
      <c r="V363" s="611">
        <v>1104</v>
      </c>
      <c r="W363" s="614"/>
      <c r="Y363" s="612" t="s">
        <v>1674</v>
      </c>
      <c r="AA363" s="612" t="s">
        <v>1674</v>
      </c>
      <c r="AE363" s="790"/>
      <c r="AF363" s="612" t="s">
        <v>5265</v>
      </c>
      <c r="AG363" s="612" t="s">
        <v>5266</v>
      </c>
      <c r="AH363" s="612" t="s">
        <v>5267</v>
      </c>
      <c r="AI363" s="612" t="s">
        <v>1674</v>
      </c>
      <c r="AJ363" s="612" t="s">
        <v>5268</v>
      </c>
      <c r="AK363" s="612" t="s">
        <v>1674</v>
      </c>
      <c r="AL363" s="612" t="s">
        <v>1674</v>
      </c>
      <c r="AM363" s="612" t="s">
        <v>5269</v>
      </c>
      <c r="AN363" s="612" t="s">
        <v>5270</v>
      </c>
      <c r="AP363">
        <f t="shared" si="10"/>
        <v>-16</v>
      </c>
      <c r="AQ363" s="552">
        <f t="shared" si="11"/>
        <v>576.20000000000005</v>
      </c>
    </row>
    <row r="364" spans="1:43" outlineLevel="1" x14ac:dyDescent="0.25">
      <c r="A364" s="612" t="s">
        <v>1674</v>
      </c>
      <c r="B364" s="786">
        <v>12101</v>
      </c>
      <c r="C364" s="612" t="s">
        <v>5271</v>
      </c>
      <c r="D364" s="612" t="s">
        <v>5272</v>
      </c>
      <c r="E364" t="s">
        <v>4911</v>
      </c>
      <c r="F364" t="s">
        <v>4912</v>
      </c>
      <c r="G364" s="787">
        <v>344.15</v>
      </c>
      <c r="H364" s="787"/>
      <c r="I364" s="787">
        <v>344.15</v>
      </c>
      <c r="J364" t="s">
        <v>2701</v>
      </c>
      <c r="K364" s="611">
        <v>8400</v>
      </c>
      <c r="L364" t="s">
        <v>806</v>
      </c>
      <c r="M364" s="614"/>
      <c r="N364" s="788">
        <v>17</v>
      </c>
      <c r="O364" s="612" t="s">
        <v>1674</v>
      </c>
      <c r="P364" s="612" t="s">
        <v>1674</v>
      </c>
      <c r="Q364" s="612" t="s">
        <v>5273</v>
      </c>
      <c r="R364" s="612" t="s">
        <v>1674</v>
      </c>
      <c r="S364" s="612" t="s">
        <v>1674</v>
      </c>
      <c r="T364" s="789">
        <v>19</v>
      </c>
      <c r="U364" s="612" t="s">
        <v>4900</v>
      </c>
      <c r="V364" s="611">
        <v>1209</v>
      </c>
      <c r="W364" s="614"/>
      <c r="Y364" s="612" t="s">
        <v>1674</v>
      </c>
      <c r="AA364" s="612" t="s">
        <v>1674</v>
      </c>
      <c r="AE364" s="790"/>
      <c r="AF364" s="612" t="s">
        <v>1674</v>
      </c>
      <c r="AG364" s="612" t="s">
        <v>1674</v>
      </c>
      <c r="AH364" s="612" t="s">
        <v>1674</v>
      </c>
      <c r="AI364" s="612" t="s">
        <v>1674</v>
      </c>
      <c r="AJ364" s="612" t="s">
        <v>1674</v>
      </c>
      <c r="AK364" s="612" t="s">
        <v>1674</v>
      </c>
      <c r="AL364" s="612" t="s">
        <v>1674</v>
      </c>
      <c r="AM364" s="612" t="s">
        <v>5274</v>
      </c>
      <c r="AN364" s="612" t="s">
        <v>1674</v>
      </c>
      <c r="AP364">
        <f t="shared" si="10"/>
        <v>-17</v>
      </c>
      <c r="AQ364" s="552">
        <f t="shared" si="11"/>
        <v>344.15</v>
      </c>
    </row>
    <row r="365" spans="1:43" outlineLevel="1" x14ac:dyDescent="0.25">
      <c r="A365" s="612" t="s">
        <v>1674</v>
      </c>
      <c r="B365" s="786">
        <v>12200</v>
      </c>
      <c r="C365" s="612" t="s">
        <v>3260</v>
      </c>
      <c r="D365" s="612" t="s">
        <v>5275</v>
      </c>
      <c r="E365" t="s">
        <v>4911</v>
      </c>
      <c r="F365" t="s">
        <v>4912</v>
      </c>
      <c r="G365" s="787">
        <v>506.94</v>
      </c>
      <c r="H365" s="787"/>
      <c r="I365" s="787">
        <v>506.94</v>
      </c>
      <c r="J365" t="s">
        <v>2701</v>
      </c>
      <c r="K365" s="611">
        <v>8400</v>
      </c>
      <c r="L365" t="s">
        <v>806</v>
      </c>
      <c r="M365" s="614"/>
      <c r="N365" s="788">
        <v>17</v>
      </c>
      <c r="O365" s="612" t="s">
        <v>1674</v>
      </c>
      <c r="P365" s="612" t="s">
        <v>1674</v>
      </c>
      <c r="Q365" s="612" t="s">
        <v>5276</v>
      </c>
      <c r="R365" s="612" t="s">
        <v>1674</v>
      </c>
      <c r="S365" s="612" t="s">
        <v>1674</v>
      </c>
      <c r="T365" s="789">
        <v>19</v>
      </c>
      <c r="U365" s="612" t="s">
        <v>4900</v>
      </c>
      <c r="V365" s="611">
        <v>1214</v>
      </c>
      <c r="W365" s="614"/>
      <c r="Y365" s="612" t="s">
        <v>1674</v>
      </c>
      <c r="AA365" s="612" t="s">
        <v>1674</v>
      </c>
      <c r="AE365" s="790"/>
      <c r="AF365" s="612" t="s">
        <v>1674</v>
      </c>
      <c r="AG365" s="612" t="s">
        <v>1674</v>
      </c>
      <c r="AH365" s="612" t="s">
        <v>1674</v>
      </c>
      <c r="AI365" s="612" t="s">
        <v>1674</v>
      </c>
      <c r="AJ365" s="612" t="s">
        <v>1674</v>
      </c>
      <c r="AK365" s="612" t="s">
        <v>1674</v>
      </c>
      <c r="AL365" s="612" t="s">
        <v>1674</v>
      </c>
      <c r="AM365" s="612" t="s">
        <v>3260</v>
      </c>
      <c r="AN365" s="612" t="s">
        <v>1674</v>
      </c>
      <c r="AP365">
        <f t="shared" si="10"/>
        <v>-17</v>
      </c>
      <c r="AQ365" s="552">
        <f t="shared" si="11"/>
        <v>506.94</v>
      </c>
    </row>
    <row r="366" spans="1:43" outlineLevel="1" x14ac:dyDescent="0.25">
      <c r="A366" s="612" t="s">
        <v>1674</v>
      </c>
      <c r="B366" s="786">
        <v>12401</v>
      </c>
      <c r="C366" s="612" t="s">
        <v>2958</v>
      </c>
      <c r="D366" s="612" t="s">
        <v>5277</v>
      </c>
      <c r="E366" t="s">
        <v>5124</v>
      </c>
      <c r="F366" t="s">
        <v>5125</v>
      </c>
      <c r="G366" s="787">
        <v>258.94</v>
      </c>
      <c r="H366" s="787"/>
      <c r="I366" s="787">
        <v>258.94</v>
      </c>
      <c r="J366" t="s">
        <v>2701</v>
      </c>
      <c r="K366" s="611">
        <v>8400</v>
      </c>
      <c r="L366" t="s">
        <v>2552</v>
      </c>
      <c r="M366" s="614"/>
      <c r="N366" s="788">
        <v>2</v>
      </c>
      <c r="O366" s="612" t="s">
        <v>1674</v>
      </c>
      <c r="P366" s="612" t="s">
        <v>1674</v>
      </c>
      <c r="Q366" s="612" t="s">
        <v>2960</v>
      </c>
      <c r="R366" s="612" t="s">
        <v>2622</v>
      </c>
      <c r="S366" s="612" t="s">
        <v>1674</v>
      </c>
      <c r="T366" s="789">
        <v>19</v>
      </c>
      <c r="U366" s="612" t="s">
        <v>4900</v>
      </c>
      <c r="V366" s="611">
        <v>217</v>
      </c>
      <c r="W366" s="614"/>
      <c r="Y366" s="612" t="s">
        <v>1674</v>
      </c>
      <c r="AA366" s="612" t="s">
        <v>1674</v>
      </c>
      <c r="AE366" s="790"/>
      <c r="AF366" s="612" t="s">
        <v>1674</v>
      </c>
      <c r="AG366" s="612" t="s">
        <v>1674</v>
      </c>
      <c r="AH366" s="612" t="s">
        <v>1674</v>
      </c>
      <c r="AI366" s="612" t="s">
        <v>1674</v>
      </c>
      <c r="AJ366" s="612" t="s">
        <v>1674</v>
      </c>
      <c r="AK366" s="612" t="s">
        <v>1674</v>
      </c>
      <c r="AL366" s="612" t="s">
        <v>1674</v>
      </c>
      <c r="AM366" s="612" t="s">
        <v>2961</v>
      </c>
      <c r="AN366" s="612" t="s">
        <v>1674</v>
      </c>
      <c r="AP366">
        <f t="shared" si="10"/>
        <v>-2</v>
      </c>
      <c r="AQ366" s="552">
        <f t="shared" si="11"/>
        <v>258.94</v>
      </c>
    </row>
    <row r="367" spans="1:43" outlineLevel="1" x14ac:dyDescent="0.25">
      <c r="A367" s="612" t="s">
        <v>1674</v>
      </c>
      <c r="B367" s="786">
        <v>0</v>
      </c>
      <c r="C367" s="612" t="s">
        <v>1674</v>
      </c>
      <c r="D367" s="612" t="s">
        <v>5278</v>
      </c>
      <c r="E367" t="s">
        <v>4911</v>
      </c>
      <c r="F367" t="s">
        <v>4912</v>
      </c>
      <c r="G367" s="787">
        <v>1208.0899999999999</v>
      </c>
      <c r="H367" s="787"/>
      <c r="I367" s="787">
        <v>1208.0899999999999</v>
      </c>
      <c r="J367" t="s">
        <v>2701</v>
      </c>
      <c r="K367" s="611">
        <v>8400</v>
      </c>
      <c r="L367" t="s">
        <v>2552</v>
      </c>
      <c r="M367" s="614"/>
      <c r="N367" s="788">
        <v>17</v>
      </c>
      <c r="O367" s="612" t="s">
        <v>1674</v>
      </c>
      <c r="P367" s="612" t="s">
        <v>1674</v>
      </c>
      <c r="Q367" s="612" t="s">
        <v>2960</v>
      </c>
      <c r="R367" s="612" t="s">
        <v>2622</v>
      </c>
      <c r="S367" s="612" t="s">
        <v>1674</v>
      </c>
      <c r="T367" s="789">
        <v>19</v>
      </c>
      <c r="U367" s="612" t="s">
        <v>4900</v>
      </c>
      <c r="V367" s="611">
        <v>1227</v>
      </c>
      <c r="W367" s="614"/>
      <c r="Y367" s="612" t="s">
        <v>1674</v>
      </c>
      <c r="AA367" s="612" t="s">
        <v>1674</v>
      </c>
      <c r="AE367" s="790"/>
      <c r="AF367" s="612" t="s">
        <v>1674</v>
      </c>
      <c r="AG367" s="612" t="s">
        <v>1674</v>
      </c>
      <c r="AH367" s="612" t="s">
        <v>1674</v>
      </c>
      <c r="AI367" s="612" t="s">
        <v>1674</v>
      </c>
      <c r="AJ367" s="612" t="s">
        <v>1674</v>
      </c>
      <c r="AK367" s="612" t="s">
        <v>1674</v>
      </c>
      <c r="AL367" s="612" t="s">
        <v>1674</v>
      </c>
      <c r="AM367" s="612" t="s">
        <v>1674</v>
      </c>
      <c r="AN367" s="612" t="s">
        <v>1674</v>
      </c>
      <c r="AP367">
        <f t="shared" si="10"/>
        <v>-17</v>
      </c>
      <c r="AQ367" s="552">
        <f t="shared" si="11"/>
        <v>1208.0899999999999</v>
      </c>
    </row>
    <row r="368" spans="1:43" outlineLevel="1" x14ac:dyDescent="0.25">
      <c r="A368" s="612" t="s">
        <v>1674</v>
      </c>
      <c r="B368" s="786">
        <v>12500</v>
      </c>
      <c r="C368" s="612" t="s">
        <v>3757</v>
      </c>
      <c r="D368" s="612" t="s">
        <v>5279</v>
      </c>
      <c r="E368" t="s">
        <v>4915</v>
      </c>
      <c r="F368" t="s">
        <v>4916</v>
      </c>
      <c r="G368" s="787">
        <v>593.22</v>
      </c>
      <c r="H368" s="787"/>
      <c r="I368" s="787">
        <v>593.22</v>
      </c>
      <c r="J368" t="s">
        <v>2701</v>
      </c>
      <c r="K368" s="611">
        <v>8402</v>
      </c>
      <c r="L368" t="s">
        <v>806</v>
      </c>
      <c r="M368" s="614"/>
      <c r="N368" s="788">
        <v>18</v>
      </c>
      <c r="O368" s="612" t="s">
        <v>1674</v>
      </c>
      <c r="P368" s="612" t="s">
        <v>1674</v>
      </c>
      <c r="Q368" s="612" t="s">
        <v>3759</v>
      </c>
      <c r="R368" s="612" t="s">
        <v>1674</v>
      </c>
      <c r="S368" s="612" t="s">
        <v>1674</v>
      </c>
      <c r="T368" s="789">
        <v>19</v>
      </c>
      <c r="U368" s="612" t="s">
        <v>4900</v>
      </c>
      <c r="V368" s="611">
        <v>1391</v>
      </c>
      <c r="W368" s="614"/>
      <c r="Y368" s="612" t="s">
        <v>1674</v>
      </c>
      <c r="AA368" s="612" t="s">
        <v>1674</v>
      </c>
      <c r="AE368" s="790"/>
      <c r="AF368" s="612" t="s">
        <v>1674</v>
      </c>
      <c r="AG368" s="612" t="s">
        <v>1674</v>
      </c>
      <c r="AH368" s="612" t="s">
        <v>1674</v>
      </c>
      <c r="AI368" s="612" t="s">
        <v>1674</v>
      </c>
      <c r="AJ368" s="612" t="s">
        <v>1674</v>
      </c>
      <c r="AK368" s="612" t="s">
        <v>1674</v>
      </c>
      <c r="AL368" s="612" t="s">
        <v>1674</v>
      </c>
      <c r="AM368" s="612" t="s">
        <v>3757</v>
      </c>
      <c r="AN368" s="612" t="s">
        <v>1674</v>
      </c>
      <c r="AP368">
        <f t="shared" si="10"/>
        <v>-18</v>
      </c>
      <c r="AQ368" s="552">
        <f t="shared" si="11"/>
        <v>593.22</v>
      </c>
    </row>
    <row r="369" spans="1:43" outlineLevel="1" x14ac:dyDescent="0.25">
      <c r="A369" s="612" t="s">
        <v>1674</v>
      </c>
      <c r="B369" s="786">
        <v>0</v>
      </c>
      <c r="C369" s="612" t="s">
        <v>1674</v>
      </c>
      <c r="D369" s="612" t="s">
        <v>5280</v>
      </c>
      <c r="E369" t="s">
        <v>4915</v>
      </c>
      <c r="F369" t="s">
        <v>4916</v>
      </c>
      <c r="G369" s="787">
        <v>619.99</v>
      </c>
      <c r="H369" s="787"/>
      <c r="I369" s="787">
        <v>619.99</v>
      </c>
      <c r="J369" t="s">
        <v>2701</v>
      </c>
      <c r="K369" s="611">
        <v>8402</v>
      </c>
      <c r="L369" t="s">
        <v>806</v>
      </c>
      <c r="M369" s="614"/>
      <c r="N369" s="788">
        <v>18</v>
      </c>
      <c r="O369" s="612" t="s">
        <v>1674</v>
      </c>
      <c r="P369" s="612" t="s">
        <v>1674</v>
      </c>
      <c r="Q369" s="612" t="s">
        <v>3759</v>
      </c>
      <c r="R369" s="612" t="s">
        <v>1674</v>
      </c>
      <c r="S369" s="612" t="s">
        <v>1674</v>
      </c>
      <c r="T369" s="789">
        <v>19</v>
      </c>
      <c r="U369" s="612" t="s">
        <v>4900</v>
      </c>
      <c r="V369" s="611">
        <v>1392</v>
      </c>
      <c r="W369" s="614"/>
      <c r="Y369" s="612" t="s">
        <v>1674</v>
      </c>
      <c r="AA369" s="612" t="s">
        <v>1674</v>
      </c>
      <c r="AE369" s="790"/>
      <c r="AF369" s="612" t="s">
        <v>1674</v>
      </c>
      <c r="AG369" s="612" t="s">
        <v>1674</v>
      </c>
      <c r="AH369" s="612" t="s">
        <v>1674</v>
      </c>
      <c r="AI369" s="612" t="s">
        <v>1674</v>
      </c>
      <c r="AJ369" s="612" t="s">
        <v>1674</v>
      </c>
      <c r="AK369" s="612" t="s">
        <v>1674</v>
      </c>
      <c r="AL369" s="612" t="s">
        <v>1674</v>
      </c>
      <c r="AM369" s="612" t="s">
        <v>1674</v>
      </c>
      <c r="AN369" s="612" t="s">
        <v>1674</v>
      </c>
      <c r="AP369">
        <f t="shared" si="10"/>
        <v>-18</v>
      </c>
      <c r="AQ369" s="552">
        <f t="shared" si="11"/>
        <v>619.99</v>
      </c>
    </row>
    <row r="370" spans="1:43" outlineLevel="1" x14ac:dyDescent="0.25">
      <c r="A370" s="612" t="s">
        <v>1674</v>
      </c>
      <c r="B370" s="786">
        <v>12516</v>
      </c>
      <c r="C370" s="612" t="s">
        <v>3428</v>
      </c>
      <c r="D370" s="612" t="s">
        <v>5281</v>
      </c>
      <c r="E370" t="s">
        <v>5282</v>
      </c>
      <c r="F370" t="s">
        <v>5283</v>
      </c>
      <c r="G370" s="787">
        <v>15422.4</v>
      </c>
      <c r="H370" s="787"/>
      <c r="I370" s="787">
        <v>15422.4</v>
      </c>
      <c r="J370" t="s">
        <v>2701</v>
      </c>
      <c r="K370" s="611" t="s">
        <v>4945</v>
      </c>
      <c r="L370" t="s">
        <v>2552</v>
      </c>
      <c r="M370" s="614"/>
      <c r="N370" s="788">
        <v>-6</v>
      </c>
      <c r="O370" s="612" t="s">
        <v>1674</v>
      </c>
      <c r="P370" s="612" t="s">
        <v>1674</v>
      </c>
      <c r="Q370" s="612" t="s">
        <v>3430</v>
      </c>
      <c r="R370" s="612" t="s">
        <v>2617</v>
      </c>
      <c r="S370" s="612" t="s">
        <v>1674</v>
      </c>
      <c r="T370" s="789">
        <v>19</v>
      </c>
      <c r="U370" s="612" t="s">
        <v>5010</v>
      </c>
      <c r="V370" s="611">
        <v>1460</v>
      </c>
      <c r="W370" s="614"/>
      <c r="Y370" s="612" t="s">
        <v>1674</v>
      </c>
      <c r="AA370" s="612" t="s">
        <v>1674</v>
      </c>
      <c r="AE370" s="790"/>
      <c r="AF370" s="612" t="s">
        <v>1674</v>
      </c>
      <c r="AG370" s="612" t="s">
        <v>1674</v>
      </c>
      <c r="AH370" s="612" t="s">
        <v>1674</v>
      </c>
      <c r="AI370" s="612" t="s">
        <v>1674</v>
      </c>
      <c r="AJ370" s="612" t="s">
        <v>1674</v>
      </c>
      <c r="AK370" s="612" t="s">
        <v>1674</v>
      </c>
      <c r="AL370" s="612" t="s">
        <v>1674</v>
      </c>
      <c r="AM370" s="612" t="s">
        <v>3431</v>
      </c>
      <c r="AN370" s="612" t="s">
        <v>1674</v>
      </c>
      <c r="AP370">
        <f t="shared" si="10"/>
        <v>6</v>
      </c>
      <c r="AQ370" s="552">
        <f t="shared" si="11"/>
        <v>15422.4</v>
      </c>
    </row>
    <row r="371" spans="1:43" outlineLevel="1" x14ac:dyDescent="0.25">
      <c r="A371" s="612" t="s">
        <v>1674</v>
      </c>
      <c r="B371" s="786">
        <v>20201</v>
      </c>
      <c r="C371" s="612" t="s">
        <v>5284</v>
      </c>
      <c r="D371" s="612" t="s">
        <v>5285</v>
      </c>
      <c r="E371" t="s">
        <v>4915</v>
      </c>
      <c r="F371" t="s">
        <v>4916</v>
      </c>
      <c r="G371" s="787">
        <v>613</v>
      </c>
      <c r="H371" s="787"/>
      <c r="I371" s="787">
        <v>613</v>
      </c>
      <c r="J371" t="s">
        <v>2701</v>
      </c>
      <c r="K371" s="611">
        <v>8125</v>
      </c>
      <c r="L371" t="s">
        <v>2552</v>
      </c>
      <c r="M371" s="614"/>
      <c r="N371" s="788">
        <v>18</v>
      </c>
      <c r="O371" s="612" t="s">
        <v>1674</v>
      </c>
      <c r="P371" s="612" t="s">
        <v>1674</v>
      </c>
      <c r="Q371" s="612" t="s">
        <v>5286</v>
      </c>
      <c r="R371" s="612" t="s">
        <v>2617</v>
      </c>
      <c r="S371" s="612" t="s">
        <v>1674</v>
      </c>
      <c r="T371" s="789"/>
      <c r="U371" s="612" t="s">
        <v>4900</v>
      </c>
      <c r="V371" s="611">
        <v>1385</v>
      </c>
      <c r="W371" s="614"/>
      <c r="Y371" s="612" t="s">
        <v>1674</v>
      </c>
      <c r="AA371" s="612" t="s">
        <v>1674</v>
      </c>
      <c r="AE371" s="790"/>
      <c r="AF371" s="612" t="s">
        <v>1674</v>
      </c>
      <c r="AG371" s="612" t="s">
        <v>1674</v>
      </c>
      <c r="AH371" s="612" t="s">
        <v>1674</v>
      </c>
      <c r="AI371" s="612" t="s">
        <v>1674</v>
      </c>
      <c r="AJ371" s="612" t="s">
        <v>1674</v>
      </c>
      <c r="AK371" s="612" t="s">
        <v>1674</v>
      </c>
      <c r="AL371" s="612" t="s">
        <v>1674</v>
      </c>
      <c r="AM371" s="612" t="s">
        <v>5287</v>
      </c>
      <c r="AN371" s="612" t="s">
        <v>1674</v>
      </c>
      <c r="AP371">
        <f t="shared" si="10"/>
        <v>-18</v>
      </c>
      <c r="AQ371" s="552">
        <f t="shared" si="11"/>
        <v>613</v>
      </c>
    </row>
    <row r="372" spans="1:43" outlineLevel="1" x14ac:dyDescent="0.25">
      <c r="A372" s="612" t="s">
        <v>1674</v>
      </c>
      <c r="B372" s="786">
        <v>20206</v>
      </c>
      <c r="C372" s="612" t="s">
        <v>2793</v>
      </c>
      <c r="D372" s="612" t="s">
        <v>2794</v>
      </c>
      <c r="E372" t="s">
        <v>2795</v>
      </c>
      <c r="G372" s="787">
        <v>-1340</v>
      </c>
      <c r="H372" s="787"/>
      <c r="I372" s="787"/>
      <c r="J372" t="s">
        <v>806</v>
      </c>
      <c r="K372" s="611">
        <v>8336</v>
      </c>
      <c r="L372" t="s">
        <v>806</v>
      </c>
      <c r="M372" s="614"/>
      <c r="N372" s="788"/>
      <c r="O372" s="612" t="s">
        <v>1674</v>
      </c>
      <c r="P372" s="612" t="s">
        <v>1674</v>
      </c>
      <c r="Q372" s="612" t="s">
        <v>2796</v>
      </c>
      <c r="R372" s="612" t="s">
        <v>1674</v>
      </c>
      <c r="S372" s="612" t="s">
        <v>1674</v>
      </c>
      <c r="T372" s="789"/>
      <c r="U372" s="612" t="s">
        <v>2797</v>
      </c>
      <c r="V372" s="611">
        <v>49</v>
      </c>
      <c r="W372" s="614"/>
      <c r="Y372" s="612" t="s">
        <v>1674</v>
      </c>
      <c r="AA372" s="612" t="s">
        <v>1674</v>
      </c>
      <c r="AE372" s="790"/>
      <c r="AF372" s="612" t="s">
        <v>1674</v>
      </c>
      <c r="AG372" s="612" t="s">
        <v>1674</v>
      </c>
      <c r="AH372" s="612" t="s">
        <v>1674</v>
      </c>
      <c r="AI372" s="612" t="s">
        <v>1674</v>
      </c>
      <c r="AJ372" s="612" t="s">
        <v>1674</v>
      </c>
      <c r="AK372" s="612" t="s">
        <v>1674</v>
      </c>
      <c r="AL372" s="612" t="s">
        <v>1674</v>
      </c>
      <c r="AM372" s="612" t="s">
        <v>2798</v>
      </c>
      <c r="AN372" s="612" t="s">
        <v>1674</v>
      </c>
      <c r="AP372">
        <f t="shared" si="10"/>
        <v>0</v>
      </c>
      <c r="AQ372" s="552">
        <f t="shared" si="11"/>
        <v>0</v>
      </c>
    </row>
    <row r="373" spans="1:43" outlineLevel="1" x14ac:dyDescent="0.25">
      <c r="A373" s="612" t="s">
        <v>1674</v>
      </c>
      <c r="B373" s="786">
        <v>0</v>
      </c>
      <c r="C373" s="612" t="s">
        <v>1674</v>
      </c>
      <c r="D373" s="612" t="s">
        <v>2794</v>
      </c>
      <c r="E373" t="s">
        <v>2799</v>
      </c>
      <c r="G373" s="787">
        <v>-610</v>
      </c>
      <c r="H373" s="787"/>
      <c r="I373" s="787"/>
      <c r="J373" t="s">
        <v>806</v>
      </c>
      <c r="K373" s="611">
        <v>8125</v>
      </c>
      <c r="L373" t="s">
        <v>806</v>
      </c>
      <c r="M373" s="614"/>
      <c r="N373" s="788"/>
      <c r="O373" s="612" t="s">
        <v>1674</v>
      </c>
      <c r="P373" s="612" t="s">
        <v>1674</v>
      </c>
      <c r="Q373" s="612" t="s">
        <v>2796</v>
      </c>
      <c r="R373" s="612" t="s">
        <v>1674</v>
      </c>
      <c r="S373" s="612" t="s">
        <v>1674</v>
      </c>
      <c r="T373" s="789"/>
      <c r="U373" s="612" t="s">
        <v>2797</v>
      </c>
      <c r="V373" s="611">
        <v>47</v>
      </c>
      <c r="W373" s="614"/>
      <c r="Y373" s="612" t="s">
        <v>1674</v>
      </c>
      <c r="AA373" s="612" t="s">
        <v>1674</v>
      </c>
      <c r="AE373" s="790"/>
      <c r="AF373" s="612" t="s">
        <v>1674</v>
      </c>
      <c r="AG373" s="612" t="s">
        <v>1674</v>
      </c>
      <c r="AH373" s="612" t="s">
        <v>1674</v>
      </c>
      <c r="AI373" s="612" t="s">
        <v>1674</v>
      </c>
      <c r="AJ373" s="612" t="s">
        <v>1674</v>
      </c>
      <c r="AK373" s="612" t="s">
        <v>1674</v>
      </c>
      <c r="AL373" s="612" t="s">
        <v>1674</v>
      </c>
      <c r="AM373" s="612" t="s">
        <v>1674</v>
      </c>
      <c r="AN373" s="612" t="s">
        <v>1674</v>
      </c>
      <c r="AP373">
        <f t="shared" si="10"/>
        <v>0</v>
      </c>
      <c r="AQ373" s="552">
        <f t="shared" si="11"/>
        <v>0</v>
      </c>
    </row>
    <row r="374" spans="1:43" outlineLevel="1" x14ac:dyDescent="0.25">
      <c r="A374" s="612" t="s">
        <v>1674</v>
      </c>
      <c r="B374" s="786">
        <v>0</v>
      </c>
      <c r="C374" s="612" t="s">
        <v>1674</v>
      </c>
      <c r="D374" s="612" t="s">
        <v>2794</v>
      </c>
      <c r="E374" t="s">
        <v>2800</v>
      </c>
      <c r="G374" s="787">
        <v>-300</v>
      </c>
      <c r="H374" s="787"/>
      <c r="I374" s="787">
        <v>2250</v>
      </c>
      <c r="J374" t="s">
        <v>2584</v>
      </c>
      <c r="K374" s="611">
        <v>8336</v>
      </c>
      <c r="L374" t="s">
        <v>806</v>
      </c>
      <c r="M374" s="614"/>
      <c r="N374" s="788"/>
      <c r="O374" s="612" t="s">
        <v>1674</v>
      </c>
      <c r="P374" s="612" t="s">
        <v>1674</v>
      </c>
      <c r="Q374" s="612" t="s">
        <v>2801</v>
      </c>
      <c r="R374" s="612" t="s">
        <v>1674</v>
      </c>
      <c r="S374" s="612" t="s">
        <v>1674</v>
      </c>
      <c r="T374" s="789"/>
      <c r="U374" s="612" t="s">
        <v>2797</v>
      </c>
      <c r="V374" s="611">
        <v>51</v>
      </c>
      <c r="W374" s="614"/>
      <c r="Y374" s="612" t="s">
        <v>1674</v>
      </c>
      <c r="AA374" s="612" t="s">
        <v>1674</v>
      </c>
      <c r="AE374" s="790"/>
      <c r="AF374" s="612" t="s">
        <v>1674</v>
      </c>
      <c r="AG374" s="612" t="s">
        <v>1674</v>
      </c>
      <c r="AH374" s="612" t="s">
        <v>1674</v>
      </c>
      <c r="AI374" s="612" t="s">
        <v>1674</v>
      </c>
      <c r="AJ374" s="612" t="s">
        <v>1674</v>
      </c>
      <c r="AK374" s="612" t="s">
        <v>1674</v>
      </c>
      <c r="AL374" s="612" t="s">
        <v>1674</v>
      </c>
      <c r="AM374" s="612" t="s">
        <v>1674</v>
      </c>
      <c r="AN374" s="612" t="s">
        <v>1674</v>
      </c>
      <c r="AP374">
        <f t="shared" si="10"/>
        <v>0</v>
      </c>
      <c r="AQ374" s="552">
        <f t="shared" si="11"/>
        <v>-2250</v>
      </c>
    </row>
    <row r="375" spans="1:43" outlineLevel="1" x14ac:dyDescent="0.25">
      <c r="A375" s="612" t="s">
        <v>1674</v>
      </c>
      <c r="B375" s="786">
        <v>20301</v>
      </c>
      <c r="C375" s="612" t="s">
        <v>2981</v>
      </c>
      <c r="D375" s="612" t="s">
        <v>3611</v>
      </c>
      <c r="E375" t="s">
        <v>3612</v>
      </c>
      <c r="F375" t="s">
        <v>3613</v>
      </c>
      <c r="G375" s="787">
        <v>1480</v>
      </c>
      <c r="H375" s="787"/>
      <c r="I375" s="787">
        <v>1480</v>
      </c>
      <c r="J375" t="s">
        <v>2701</v>
      </c>
      <c r="K375" s="611">
        <v>8125</v>
      </c>
      <c r="L375" t="s">
        <v>2552</v>
      </c>
      <c r="M375" s="614"/>
      <c r="N375" s="788">
        <v>-118</v>
      </c>
      <c r="O375" s="612" t="s">
        <v>1674</v>
      </c>
      <c r="P375" s="612" t="s">
        <v>1674</v>
      </c>
      <c r="Q375" s="612" t="s">
        <v>2983</v>
      </c>
      <c r="R375" s="612" t="s">
        <v>2984</v>
      </c>
      <c r="S375" s="612" t="s">
        <v>1674</v>
      </c>
      <c r="T375" s="789"/>
      <c r="U375" s="612" t="s">
        <v>3323</v>
      </c>
      <c r="V375" s="611">
        <v>274</v>
      </c>
      <c r="W375" s="614"/>
      <c r="Y375" s="612" t="s">
        <v>1674</v>
      </c>
      <c r="AA375" s="612" t="s">
        <v>1674</v>
      </c>
      <c r="AE375" s="790"/>
      <c r="AF375" s="612" t="s">
        <v>1674</v>
      </c>
      <c r="AG375" s="612" t="s">
        <v>1674</v>
      </c>
      <c r="AH375" s="612" t="s">
        <v>1674</v>
      </c>
      <c r="AI375" s="612" t="s">
        <v>1674</v>
      </c>
      <c r="AJ375" s="612" t="s">
        <v>1674</v>
      </c>
      <c r="AK375" s="612" t="s">
        <v>1674</v>
      </c>
      <c r="AL375" s="612" t="s">
        <v>1674</v>
      </c>
      <c r="AM375" s="612" t="s">
        <v>2985</v>
      </c>
      <c r="AN375" s="612" t="s">
        <v>1674</v>
      </c>
      <c r="AP375">
        <f t="shared" si="10"/>
        <v>118</v>
      </c>
      <c r="AQ375" s="552">
        <f t="shared" si="11"/>
        <v>1480</v>
      </c>
    </row>
    <row r="376" spans="1:43" outlineLevel="1" x14ac:dyDescent="0.25">
      <c r="A376" s="612" t="s">
        <v>1674</v>
      </c>
      <c r="B376" s="786">
        <v>0</v>
      </c>
      <c r="C376" s="612" t="s">
        <v>1674</v>
      </c>
      <c r="D376" s="612" t="s">
        <v>3655</v>
      </c>
      <c r="E376" t="s">
        <v>3656</v>
      </c>
      <c r="F376" t="s">
        <v>3657</v>
      </c>
      <c r="G376" s="787">
        <v>6405.5</v>
      </c>
      <c r="H376" s="787"/>
      <c r="I376" s="787">
        <v>6405.5</v>
      </c>
      <c r="J376" t="s">
        <v>2701</v>
      </c>
      <c r="K376" s="611">
        <v>8125</v>
      </c>
      <c r="L376" t="s">
        <v>806</v>
      </c>
      <c r="M376" s="614"/>
      <c r="N376" s="788">
        <v>-96</v>
      </c>
      <c r="O376" s="612" t="s">
        <v>1674</v>
      </c>
      <c r="P376" s="612" t="s">
        <v>1674</v>
      </c>
      <c r="Q376" s="612" t="s">
        <v>2983</v>
      </c>
      <c r="R376" s="612" t="s">
        <v>1674</v>
      </c>
      <c r="S376" s="612" t="s">
        <v>1674</v>
      </c>
      <c r="T376" s="789"/>
      <c r="U376" s="612" t="s">
        <v>3323</v>
      </c>
      <c r="V376" s="611">
        <v>1351</v>
      </c>
      <c r="W376" s="614"/>
      <c r="Y376" s="612" t="s">
        <v>1674</v>
      </c>
      <c r="AA376" s="612" t="s">
        <v>1674</v>
      </c>
      <c r="AE376" s="790"/>
      <c r="AF376" s="612" t="s">
        <v>1674</v>
      </c>
      <c r="AG376" s="612" t="s">
        <v>1674</v>
      </c>
      <c r="AH376" s="612" t="s">
        <v>1674</v>
      </c>
      <c r="AI376" s="612" t="s">
        <v>1674</v>
      </c>
      <c r="AJ376" s="612" t="s">
        <v>1674</v>
      </c>
      <c r="AK376" s="612" t="s">
        <v>1674</v>
      </c>
      <c r="AL376" s="612" t="s">
        <v>1674</v>
      </c>
      <c r="AM376" s="612" t="s">
        <v>1674</v>
      </c>
      <c r="AN376" s="612" t="s">
        <v>1674</v>
      </c>
      <c r="AP376">
        <f t="shared" si="10"/>
        <v>96</v>
      </c>
      <c r="AQ376" s="552">
        <f t="shared" si="11"/>
        <v>6405.5</v>
      </c>
    </row>
    <row r="377" spans="1:43" outlineLevel="1" x14ac:dyDescent="0.25">
      <c r="A377" s="612" t="s">
        <v>1674</v>
      </c>
      <c r="B377" s="786">
        <v>0</v>
      </c>
      <c r="C377" s="612" t="s">
        <v>1674</v>
      </c>
      <c r="D377" s="612" t="s">
        <v>3732</v>
      </c>
      <c r="E377" t="s">
        <v>3726</v>
      </c>
      <c r="F377" t="s">
        <v>3727</v>
      </c>
      <c r="G377" s="787">
        <v>5809</v>
      </c>
      <c r="H377" s="787"/>
      <c r="I377" s="787">
        <v>5809</v>
      </c>
      <c r="J377" t="s">
        <v>2701</v>
      </c>
      <c r="K377" s="611">
        <v>8125</v>
      </c>
      <c r="L377" t="s">
        <v>2552</v>
      </c>
      <c r="M377" s="614"/>
      <c r="N377" s="788">
        <v>-77</v>
      </c>
      <c r="O377" s="612" t="s">
        <v>1674</v>
      </c>
      <c r="P377" s="612" t="s">
        <v>1674</v>
      </c>
      <c r="Q377" s="612" t="s">
        <v>2983</v>
      </c>
      <c r="R377" s="612" t="s">
        <v>2984</v>
      </c>
      <c r="S377" s="612" t="s">
        <v>1674</v>
      </c>
      <c r="T377" s="789"/>
      <c r="U377" s="612" t="s">
        <v>3328</v>
      </c>
      <c r="V377" s="611">
        <v>902</v>
      </c>
      <c r="W377" s="614"/>
      <c r="Y377" s="612" t="s">
        <v>1674</v>
      </c>
      <c r="AA377" s="612" t="s">
        <v>1674</v>
      </c>
      <c r="AE377" s="790"/>
      <c r="AF377" s="612" t="s">
        <v>1674</v>
      </c>
      <c r="AG377" s="612" t="s">
        <v>1674</v>
      </c>
      <c r="AH377" s="612" t="s">
        <v>1674</v>
      </c>
      <c r="AI377" s="612" t="s">
        <v>1674</v>
      </c>
      <c r="AJ377" s="612" t="s">
        <v>1674</v>
      </c>
      <c r="AK377" s="612" t="s">
        <v>1674</v>
      </c>
      <c r="AL377" s="612" t="s">
        <v>1674</v>
      </c>
      <c r="AM377" s="612" t="s">
        <v>1674</v>
      </c>
      <c r="AN377" s="612" t="s">
        <v>1674</v>
      </c>
      <c r="AP377">
        <f t="shared" si="10"/>
        <v>77</v>
      </c>
      <c r="AQ377" s="552">
        <f t="shared" si="11"/>
        <v>5809</v>
      </c>
    </row>
    <row r="378" spans="1:43" outlineLevel="1" x14ac:dyDescent="0.25">
      <c r="A378" s="612" t="s">
        <v>1674</v>
      </c>
      <c r="B378" s="786">
        <v>0</v>
      </c>
      <c r="C378" s="612" t="s">
        <v>1674</v>
      </c>
      <c r="D378" s="612" t="s">
        <v>5288</v>
      </c>
      <c r="E378" t="s">
        <v>5157</v>
      </c>
      <c r="F378" t="s">
        <v>5015</v>
      </c>
      <c r="G378" s="787">
        <v>2551</v>
      </c>
      <c r="H378" s="787"/>
      <c r="I378" s="787">
        <v>2551</v>
      </c>
      <c r="J378" t="s">
        <v>2701</v>
      </c>
      <c r="K378" s="611">
        <v>8125</v>
      </c>
      <c r="L378" t="s">
        <v>806</v>
      </c>
      <c r="M378" s="614"/>
      <c r="N378" s="788">
        <v>-55</v>
      </c>
      <c r="O378" s="612" t="s">
        <v>1674</v>
      </c>
      <c r="P378" s="612" t="s">
        <v>1674</v>
      </c>
      <c r="Q378" s="612" t="s">
        <v>2983</v>
      </c>
      <c r="R378" s="612" t="s">
        <v>1674</v>
      </c>
      <c r="S378" s="612" t="s">
        <v>1674</v>
      </c>
      <c r="T378" s="789"/>
      <c r="U378" s="612" t="s">
        <v>5002</v>
      </c>
      <c r="V378" s="611">
        <v>359</v>
      </c>
      <c r="W378" s="614"/>
      <c r="Y378" s="612" t="s">
        <v>1674</v>
      </c>
      <c r="AA378" s="612" t="s">
        <v>1674</v>
      </c>
      <c r="AE378" s="790"/>
      <c r="AF378" s="612" t="s">
        <v>1674</v>
      </c>
      <c r="AG378" s="612" t="s">
        <v>1674</v>
      </c>
      <c r="AH378" s="612" t="s">
        <v>1674</v>
      </c>
      <c r="AI378" s="612" t="s">
        <v>1674</v>
      </c>
      <c r="AJ378" s="612" t="s">
        <v>1674</v>
      </c>
      <c r="AK378" s="612" t="s">
        <v>1674</v>
      </c>
      <c r="AL378" s="612" t="s">
        <v>1674</v>
      </c>
      <c r="AM378" s="612" t="s">
        <v>1674</v>
      </c>
      <c r="AN378" s="612" t="s">
        <v>1674</v>
      </c>
      <c r="AP378">
        <f t="shared" si="10"/>
        <v>55</v>
      </c>
      <c r="AQ378" s="552">
        <f t="shared" si="11"/>
        <v>2551</v>
      </c>
    </row>
    <row r="379" spans="1:43" outlineLevel="1" x14ac:dyDescent="0.25">
      <c r="A379" s="612" t="s">
        <v>1674</v>
      </c>
      <c r="B379" s="786">
        <v>0</v>
      </c>
      <c r="C379" s="612" t="s">
        <v>1674</v>
      </c>
      <c r="D379" s="612" t="s">
        <v>5289</v>
      </c>
      <c r="E379" t="s">
        <v>5290</v>
      </c>
      <c r="F379" t="s">
        <v>4911</v>
      </c>
      <c r="G379" s="787">
        <v>1495</v>
      </c>
      <c r="H379" s="787"/>
      <c r="I379" s="787">
        <v>1495</v>
      </c>
      <c r="J379" t="s">
        <v>2701</v>
      </c>
      <c r="K379" s="611">
        <v>8125</v>
      </c>
      <c r="L379" t="s">
        <v>2552</v>
      </c>
      <c r="M379" s="614"/>
      <c r="N379" s="788">
        <v>-13</v>
      </c>
      <c r="O379" s="612" t="s">
        <v>1674</v>
      </c>
      <c r="P379" s="612" t="s">
        <v>1674</v>
      </c>
      <c r="Q379" s="612" t="s">
        <v>2983</v>
      </c>
      <c r="R379" s="612" t="s">
        <v>2984</v>
      </c>
      <c r="S379" s="612" t="s">
        <v>1674</v>
      </c>
      <c r="T379" s="789"/>
      <c r="U379" s="612" t="s">
        <v>5010</v>
      </c>
      <c r="V379" s="611">
        <v>1054</v>
      </c>
      <c r="W379" s="614"/>
      <c r="Y379" s="612" t="s">
        <v>1674</v>
      </c>
      <c r="AA379" s="612" t="s">
        <v>1674</v>
      </c>
      <c r="AE379" s="790"/>
      <c r="AF379" s="612" t="s">
        <v>1674</v>
      </c>
      <c r="AG379" s="612" t="s">
        <v>1674</v>
      </c>
      <c r="AH379" s="612" t="s">
        <v>1674</v>
      </c>
      <c r="AI379" s="612" t="s">
        <v>1674</v>
      </c>
      <c r="AJ379" s="612" t="s">
        <v>1674</v>
      </c>
      <c r="AK379" s="612" t="s">
        <v>1674</v>
      </c>
      <c r="AL379" s="612" t="s">
        <v>1674</v>
      </c>
      <c r="AM379" s="612" t="s">
        <v>1674</v>
      </c>
      <c r="AN379" s="612" t="s">
        <v>1674</v>
      </c>
      <c r="AP379">
        <f t="shared" si="10"/>
        <v>13</v>
      </c>
      <c r="AQ379" s="552">
        <f t="shared" si="11"/>
        <v>1495</v>
      </c>
    </row>
    <row r="380" spans="1:43" outlineLevel="1" x14ac:dyDescent="0.25">
      <c r="A380" s="612" t="s">
        <v>1674</v>
      </c>
      <c r="B380" s="786">
        <v>0</v>
      </c>
      <c r="C380" s="612" t="s">
        <v>1674</v>
      </c>
      <c r="D380" s="612" t="s">
        <v>3461</v>
      </c>
      <c r="E380" t="s">
        <v>3438</v>
      </c>
      <c r="G380" s="787"/>
      <c r="H380" s="787">
        <v>93.5</v>
      </c>
      <c r="I380" s="787">
        <v>93.5</v>
      </c>
      <c r="J380" t="s">
        <v>2584</v>
      </c>
      <c r="K380" s="611">
        <v>8125</v>
      </c>
      <c r="L380" t="s">
        <v>806</v>
      </c>
      <c r="M380" s="614"/>
      <c r="N380" s="788"/>
      <c r="O380" s="612" t="s">
        <v>1674</v>
      </c>
      <c r="P380" s="612" t="s">
        <v>1674</v>
      </c>
      <c r="Q380" s="612" t="s">
        <v>2983</v>
      </c>
      <c r="R380" s="612" t="s">
        <v>2984</v>
      </c>
      <c r="S380" s="612" t="s">
        <v>1674</v>
      </c>
      <c r="T380" s="789"/>
      <c r="U380" s="612" t="s">
        <v>3415</v>
      </c>
      <c r="V380" s="611">
        <v>189</v>
      </c>
      <c r="W380" s="614"/>
      <c r="Y380" s="612" t="s">
        <v>1674</v>
      </c>
      <c r="AA380" s="612" t="s">
        <v>1674</v>
      </c>
      <c r="AE380" s="790"/>
      <c r="AF380" s="612" t="s">
        <v>1674</v>
      </c>
      <c r="AG380" s="612" t="s">
        <v>1674</v>
      </c>
      <c r="AH380" s="612" t="s">
        <v>1674</v>
      </c>
      <c r="AI380" s="612" t="s">
        <v>1674</v>
      </c>
      <c r="AJ380" s="612" t="s">
        <v>1674</v>
      </c>
      <c r="AK380" s="612" t="s">
        <v>1674</v>
      </c>
      <c r="AL380" s="612" t="s">
        <v>1674</v>
      </c>
      <c r="AM380" s="612" t="s">
        <v>1674</v>
      </c>
      <c r="AN380" s="612" t="s">
        <v>1674</v>
      </c>
      <c r="AP380">
        <f t="shared" si="10"/>
        <v>0</v>
      </c>
      <c r="AQ380" s="552">
        <f t="shared" si="11"/>
        <v>-93.5</v>
      </c>
    </row>
    <row r="381" spans="1:43" outlineLevel="1" x14ac:dyDescent="0.25">
      <c r="A381" s="612" t="s">
        <v>1674</v>
      </c>
      <c r="B381" s="786">
        <v>20401</v>
      </c>
      <c r="C381" s="612" t="s">
        <v>3289</v>
      </c>
      <c r="D381" s="612" t="s">
        <v>5291</v>
      </c>
      <c r="E381" t="s">
        <v>5005</v>
      </c>
      <c r="F381" t="s">
        <v>5051</v>
      </c>
      <c r="G381" s="787">
        <v>49087</v>
      </c>
      <c r="H381" s="787"/>
      <c r="I381" s="787">
        <v>49087</v>
      </c>
      <c r="J381" t="s">
        <v>2701</v>
      </c>
      <c r="K381" s="611">
        <v>8125</v>
      </c>
      <c r="L381" t="s">
        <v>806</v>
      </c>
      <c r="M381" s="614"/>
      <c r="N381" s="788">
        <v>-35</v>
      </c>
      <c r="O381" s="612" t="s">
        <v>1674</v>
      </c>
      <c r="P381" s="612" t="s">
        <v>1674</v>
      </c>
      <c r="Q381" s="612" t="s">
        <v>3291</v>
      </c>
      <c r="R381" s="612" t="s">
        <v>1674</v>
      </c>
      <c r="S381" s="612" t="s">
        <v>1674</v>
      </c>
      <c r="T381" s="789"/>
      <c r="U381" s="612" t="s">
        <v>5002</v>
      </c>
      <c r="V381" s="611">
        <v>1381</v>
      </c>
      <c r="W381" s="614"/>
      <c r="Y381" s="612" t="s">
        <v>1674</v>
      </c>
      <c r="AA381" s="612" t="s">
        <v>1674</v>
      </c>
      <c r="AE381" s="790"/>
      <c r="AF381" s="612" t="s">
        <v>1674</v>
      </c>
      <c r="AG381" s="612" t="s">
        <v>1674</v>
      </c>
      <c r="AH381" s="612" t="s">
        <v>1674</v>
      </c>
      <c r="AI381" s="612" t="s">
        <v>1674</v>
      </c>
      <c r="AJ381" s="612" t="s">
        <v>1674</v>
      </c>
      <c r="AK381" s="612" t="s">
        <v>1674</v>
      </c>
      <c r="AL381" s="612" t="s">
        <v>1674</v>
      </c>
      <c r="AM381" s="612" t="s">
        <v>3292</v>
      </c>
      <c r="AN381" s="612" t="s">
        <v>1674</v>
      </c>
      <c r="AP381">
        <f t="shared" si="10"/>
        <v>35</v>
      </c>
      <c r="AQ381" s="552">
        <f t="shared" si="11"/>
        <v>49087</v>
      </c>
    </row>
    <row r="382" spans="1:43" outlineLevel="1" x14ac:dyDescent="0.25">
      <c r="A382" s="612" t="s">
        <v>1674</v>
      </c>
      <c r="B382" s="786">
        <v>0</v>
      </c>
      <c r="C382" s="612" t="s">
        <v>1674</v>
      </c>
      <c r="D382" s="612" t="s">
        <v>5292</v>
      </c>
      <c r="E382" t="s">
        <v>5069</v>
      </c>
      <c r="F382" t="s">
        <v>5070</v>
      </c>
      <c r="G382" s="787">
        <v>49087</v>
      </c>
      <c r="H382" s="787"/>
      <c r="I382" s="787">
        <v>49087</v>
      </c>
      <c r="J382" t="s">
        <v>2701</v>
      </c>
      <c r="K382" s="611">
        <v>8125</v>
      </c>
      <c r="L382" t="s">
        <v>806</v>
      </c>
      <c r="M382" s="614"/>
      <c r="N382" s="788">
        <v>-11</v>
      </c>
      <c r="O382" s="612" t="s">
        <v>1674</v>
      </c>
      <c r="P382" s="612" t="s">
        <v>1674</v>
      </c>
      <c r="Q382" s="612" t="s">
        <v>3291</v>
      </c>
      <c r="R382" s="612" t="s">
        <v>1674</v>
      </c>
      <c r="S382" s="612" t="s">
        <v>1674</v>
      </c>
      <c r="T382" s="789"/>
      <c r="U382" s="612" t="s">
        <v>5010</v>
      </c>
      <c r="V382" s="611">
        <v>1255</v>
      </c>
      <c r="W382" s="614"/>
      <c r="Y382" s="612" t="s">
        <v>1674</v>
      </c>
      <c r="AA382" s="612" t="s">
        <v>1674</v>
      </c>
      <c r="AE382" s="790"/>
      <c r="AF382" s="612" t="s">
        <v>1674</v>
      </c>
      <c r="AG382" s="612" t="s">
        <v>1674</v>
      </c>
      <c r="AH382" s="612" t="s">
        <v>1674</v>
      </c>
      <c r="AI382" s="612" t="s">
        <v>1674</v>
      </c>
      <c r="AJ382" s="612" t="s">
        <v>1674</v>
      </c>
      <c r="AK382" s="612" t="s">
        <v>1674</v>
      </c>
      <c r="AL382" s="612" t="s">
        <v>1674</v>
      </c>
      <c r="AM382" s="612" t="s">
        <v>1674</v>
      </c>
      <c r="AN382" s="612" t="s">
        <v>1674</v>
      </c>
      <c r="AP382">
        <f t="shared" si="10"/>
        <v>11</v>
      </c>
      <c r="AQ382" s="552">
        <f t="shared" si="11"/>
        <v>49087</v>
      </c>
    </row>
    <row r="383" spans="1:43" outlineLevel="1" x14ac:dyDescent="0.25">
      <c r="A383" s="612" t="s">
        <v>1674</v>
      </c>
      <c r="B383" s="786">
        <v>0</v>
      </c>
      <c r="C383" s="612" t="s">
        <v>1674</v>
      </c>
      <c r="D383" s="612" t="s">
        <v>5293</v>
      </c>
      <c r="E383" t="s">
        <v>5294</v>
      </c>
      <c r="G383" s="787"/>
      <c r="H383" s="787">
        <v>49087</v>
      </c>
      <c r="I383" s="787">
        <v>49087</v>
      </c>
      <c r="J383" t="s">
        <v>2584</v>
      </c>
      <c r="K383" s="611">
        <v>8125</v>
      </c>
      <c r="L383" t="s">
        <v>806</v>
      </c>
      <c r="M383" s="614"/>
      <c r="N383" s="788"/>
      <c r="O383" s="612" t="s">
        <v>1674</v>
      </c>
      <c r="P383" s="612" t="s">
        <v>1674</v>
      </c>
      <c r="Q383" s="612" t="s">
        <v>3291</v>
      </c>
      <c r="R383" s="612" t="s">
        <v>1674</v>
      </c>
      <c r="S383" s="612" t="s">
        <v>1674</v>
      </c>
      <c r="T383" s="789"/>
      <c r="U383" s="612" t="s">
        <v>5010</v>
      </c>
      <c r="V383" s="611">
        <v>976</v>
      </c>
      <c r="W383" s="614"/>
      <c r="Y383" s="612" t="s">
        <v>1674</v>
      </c>
      <c r="AA383" s="612" t="s">
        <v>1674</v>
      </c>
      <c r="AE383" s="790"/>
      <c r="AF383" s="612" t="s">
        <v>1674</v>
      </c>
      <c r="AG383" s="612" t="s">
        <v>1674</v>
      </c>
      <c r="AH383" s="612" t="s">
        <v>1674</v>
      </c>
      <c r="AI383" s="612" t="s">
        <v>1674</v>
      </c>
      <c r="AJ383" s="612" t="s">
        <v>1674</v>
      </c>
      <c r="AK383" s="612" t="s">
        <v>1674</v>
      </c>
      <c r="AL383" s="612" t="s">
        <v>1674</v>
      </c>
      <c r="AM383" s="612" t="s">
        <v>1674</v>
      </c>
      <c r="AN383" s="612" t="s">
        <v>1674</v>
      </c>
      <c r="AP383">
        <f t="shared" si="10"/>
        <v>0</v>
      </c>
      <c r="AQ383" s="552">
        <f t="shared" si="11"/>
        <v>-49087</v>
      </c>
    </row>
    <row r="384" spans="1:43" outlineLevel="1" x14ac:dyDescent="0.25">
      <c r="A384" s="612" t="s">
        <v>1674</v>
      </c>
      <c r="B384" s="786">
        <v>0</v>
      </c>
      <c r="C384" s="612" t="s">
        <v>1674</v>
      </c>
      <c r="D384" s="612" t="s">
        <v>5295</v>
      </c>
      <c r="E384" t="s">
        <v>5036</v>
      </c>
      <c r="G384" s="787"/>
      <c r="H384" s="787">
        <v>315</v>
      </c>
      <c r="I384" s="787">
        <v>315</v>
      </c>
      <c r="J384" t="s">
        <v>2584</v>
      </c>
      <c r="K384" s="611">
        <v>8125</v>
      </c>
      <c r="L384" t="s">
        <v>806</v>
      </c>
      <c r="M384" s="614"/>
      <c r="N384" s="788"/>
      <c r="O384" s="612" t="s">
        <v>1674</v>
      </c>
      <c r="P384" s="612" t="s">
        <v>1674</v>
      </c>
      <c r="Q384" s="612" t="s">
        <v>3291</v>
      </c>
      <c r="R384" s="612" t="s">
        <v>1674</v>
      </c>
      <c r="S384" s="612" t="s">
        <v>1674</v>
      </c>
      <c r="T384" s="789"/>
      <c r="U384" s="612" t="s">
        <v>5010</v>
      </c>
      <c r="V384" s="611">
        <v>1139</v>
      </c>
      <c r="W384" s="614"/>
      <c r="Y384" s="612" t="s">
        <v>1674</v>
      </c>
      <c r="AA384" s="612" t="s">
        <v>1674</v>
      </c>
      <c r="AE384" s="790"/>
      <c r="AF384" s="612" t="s">
        <v>1674</v>
      </c>
      <c r="AG384" s="612" t="s">
        <v>1674</v>
      </c>
      <c r="AH384" s="612" t="s">
        <v>1674</v>
      </c>
      <c r="AI384" s="612" t="s">
        <v>1674</v>
      </c>
      <c r="AJ384" s="612" t="s">
        <v>1674</v>
      </c>
      <c r="AK384" s="612" t="s">
        <v>1674</v>
      </c>
      <c r="AL384" s="612" t="s">
        <v>1674</v>
      </c>
      <c r="AM384" s="612" t="s">
        <v>1674</v>
      </c>
      <c r="AN384" s="612" t="s">
        <v>1674</v>
      </c>
      <c r="AP384">
        <f t="shared" si="10"/>
        <v>0</v>
      </c>
      <c r="AQ384" s="552">
        <f t="shared" si="11"/>
        <v>-315</v>
      </c>
    </row>
    <row r="385" spans="1:43" outlineLevel="1" x14ac:dyDescent="0.25">
      <c r="A385" s="612" t="s">
        <v>1674</v>
      </c>
      <c r="B385" s="786">
        <v>0</v>
      </c>
      <c r="C385" s="612" t="s">
        <v>1674</v>
      </c>
      <c r="D385" s="612" t="s">
        <v>5296</v>
      </c>
      <c r="E385" t="s">
        <v>4897</v>
      </c>
      <c r="G385" s="787"/>
      <c r="H385" s="787">
        <v>105</v>
      </c>
      <c r="I385" s="787">
        <v>105</v>
      </c>
      <c r="J385" t="s">
        <v>2584</v>
      </c>
      <c r="K385" s="611">
        <v>8125</v>
      </c>
      <c r="L385" t="s">
        <v>806</v>
      </c>
      <c r="M385" s="614"/>
      <c r="N385" s="788"/>
      <c r="O385" s="612" t="s">
        <v>1674</v>
      </c>
      <c r="P385" s="612" t="s">
        <v>1674</v>
      </c>
      <c r="Q385" s="612" t="s">
        <v>3291</v>
      </c>
      <c r="R385" s="612" t="s">
        <v>1674</v>
      </c>
      <c r="S385" s="612" t="s">
        <v>1674</v>
      </c>
      <c r="T385" s="789"/>
      <c r="U385" s="612" t="s">
        <v>4900</v>
      </c>
      <c r="V385" s="611">
        <v>996</v>
      </c>
      <c r="W385" s="614"/>
      <c r="Y385" s="612" t="s">
        <v>1674</v>
      </c>
      <c r="AA385" s="612" t="s">
        <v>1674</v>
      </c>
      <c r="AE385" s="790"/>
      <c r="AF385" s="612" t="s">
        <v>1674</v>
      </c>
      <c r="AG385" s="612" t="s">
        <v>1674</v>
      </c>
      <c r="AH385" s="612" t="s">
        <v>1674</v>
      </c>
      <c r="AI385" s="612" t="s">
        <v>1674</v>
      </c>
      <c r="AJ385" s="612" t="s">
        <v>1674</v>
      </c>
      <c r="AK385" s="612" t="s">
        <v>1674</v>
      </c>
      <c r="AL385" s="612" t="s">
        <v>1674</v>
      </c>
      <c r="AM385" s="612" t="s">
        <v>1674</v>
      </c>
      <c r="AN385" s="612" t="s">
        <v>1674</v>
      </c>
      <c r="AP385">
        <f t="shared" si="10"/>
        <v>0</v>
      </c>
      <c r="AQ385" s="552">
        <f t="shared" si="11"/>
        <v>-105</v>
      </c>
    </row>
    <row r="386" spans="1:43" outlineLevel="1" x14ac:dyDescent="0.25">
      <c r="A386" s="612" t="s">
        <v>1674</v>
      </c>
      <c r="B386" s="786">
        <v>20703</v>
      </c>
      <c r="C386" s="612" t="s">
        <v>3703</v>
      </c>
      <c r="D386" s="612" t="s">
        <v>5297</v>
      </c>
      <c r="E386" t="s">
        <v>4905</v>
      </c>
      <c r="F386" t="s">
        <v>4906</v>
      </c>
      <c r="G386" s="787">
        <v>110</v>
      </c>
      <c r="H386" s="787"/>
      <c r="I386" s="787">
        <v>110</v>
      </c>
      <c r="J386" t="s">
        <v>2701</v>
      </c>
      <c r="K386" s="611">
        <v>8125</v>
      </c>
      <c r="L386" t="s">
        <v>806</v>
      </c>
      <c r="M386" s="614"/>
      <c r="N386" s="788">
        <v>3</v>
      </c>
      <c r="O386" s="612" t="s">
        <v>1674</v>
      </c>
      <c r="P386" s="612" t="s">
        <v>1674</v>
      </c>
      <c r="Q386" s="612" t="s">
        <v>3706</v>
      </c>
      <c r="R386" s="612" t="s">
        <v>1674</v>
      </c>
      <c r="S386" s="612" t="s">
        <v>1674</v>
      </c>
      <c r="T386" s="789"/>
      <c r="U386" s="612" t="s">
        <v>4900</v>
      </c>
      <c r="V386" s="611">
        <v>289</v>
      </c>
      <c r="W386" s="614"/>
      <c r="Y386" s="612" t="s">
        <v>1674</v>
      </c>
      <c r="AA386" s="612" t="s">
        <v>1674</v>
      </c>
      <c r="AE386" s="790"/>
      <c r="AF386" s="612" t="s">
        <v>1674</v>
      </c>
      <c r="AG386" s="612" t="s">
        <v>1674</v>
      </c>
      <c r="AH386" s="612" t="s">
        <v>1674</v>
      </c>
      <c r="AI386" s="612" t="s">
        <v>1674</v>
      </c>
      <c r="AJ386" s="612" t="s">
        <v>1674</v>
      </c>
      <c r="AK386" s="612" t="s">
        <v>1674</v>
      </c>
      <c r="AL386" s="612" t="s">
        <v>1674</v>
      </c>
      <c r="AM386" s="612" t="s">
        <v>3707</v>
      </c>
      <c r="AN386" s="612" t="s">
        <v>1674</v>
      </c>
      <c r="AP386">
        <f t="shared" si="10"/>
        <v>-3</v>
      </c>
      <c r="AQ386" s="552">
        <f t="shared" si="11"/>
        <v>110</v>
      </c>
    </row>
    <row r="387" spans="1:43" outlineLevel="1" x14ac:dyDescent="0.25">
      <c r="A387" s="612" t="s">
        <v>1674</v>
      </c>
      <c r="B387" s="786">
        <v>21103</v>
      </c>
      <c r="C387" s="612" t="s">
        <v>5298</v>
      </c>
      <c r="D387" s="612" t="s">
        <v>5299</v>
      </c>
      <c r="E387" t="s">
        <v>5069</v>
      </c>
      <c r="F387" t="s">
        <v>5070</v>
      </c>
      <c r="G387" s="787">
        <v>51.75</v>
      </c>
      <c r="H387" s="787"/>
      <c r="I387" s="787">
        <v>51.75</v>
      </c>
      <c r="J387" t="s">
        <v>2701</v>
      </c>
      <c r="K387" s="611">
        <v>8125</v>
      </c>
      <c r="L387" t="s">
        <v>806</v>
      </c>
      <c r="M387" s="614"/>
      <c r="N387" s="788">
        <v>-11</v>
      </c>
      <c r="O387" s="612" t="s">
        <v>1674</v>
      </c>
      <c r="P387" s="612" t="s">
        <v>1674</v>
      </c>
      <c r="Q387" s="612" t="s">
        <v>5300</v>
      </c>
      <c r="R387" s="612" t="s">
        <v>3205</v>
      </c>
      <c r="S387" s="612" t="s">
        <v>1674</v>
      </c>
      <c r="T387" s="789"/>
      <c r="U387" s="612" t="s">
        <v>5010</v>
      </c>
      <c r="V387" s="611">
        <v>1226</v>
      </c>
      <c r="W387" s="614"/>
      <c r="Y387" s="612" t="s">
        <v>1674</v>
      </c>
      <c r="AA387" s="612" t="s">
        <v>1674</v>
      </c>
      <c r="AE387" s="790"/>
      <c r="AF387" s="612" t="s">
        <v>1674</v>
      </c>
      <c r="AG387" s="612" t="s">
        <v>1674</v>
      </c>
      <c r="AH387" s="612" t="s">
        <v>1674</v>
      </c>
      <c r="AI387" s="612" t="s">
        <v>1674</v>
      </c>
      <c r="AJ387" s="612" t="s">
        <v>1674</v>
      </c>
      <c r="AK387" s="612" t="s">
        <v>1674</v>
      </c>
      <c r="AL387" s="612" t="s">
        <v>1674</v>
      </c>
      <c r="AM387" s="612" t="s">
        <v>5301</v>
      </c>
      <c r="AN387" s="612" t="s">
        <v>1674</v>
      </c>
      <c r="AP387">
        <f t="shared" ref="AP387:AP450" si="12">IF(F387="",0,$AO$2-F387)</f>
        <v>11</v>
      </c>
      <c r="AQ387" s="552">
        <f t="shared" si="11"/>
        <v>51.75</v>
      </c>
    </row>
    <row r="388" spans="1:43" outlineLevel="1" x14ac:dyDescent="0.25">
      <c r="A388" s="612" t="s">
        <v>1674</v>
      </c>
      <c r="B388" s="786">
        <v>0</v>
      </c>
      <c r="C388" s="612" t="s">
        <v>1674</v>
      </c>
      <c r="D388" s="612" t="s">
        <v>5302</v>
      </c>
      <c r="E388" t="s">
        <v>5069</v>
      </c>
      <c r="F388" t="s">
        <v>5070</v>
      </c>
      <c r="G388" s="787">
        <v>790</v>
      </c>
      <c r="H388" s="787"/>
      <c r="I388" s="787">
        <v>790</v>
      </c>
      <c r="J388" t="s">
        <v>2701</v>
      </c>
      <c r="K388" s="611">
        <v>8125</v>
      </c>
      <c r="L388" t="s">
        <v>2552</v>
      </c>
      <c r="M388" s="614"/>
      <c r="N388" s="788">
        <v>-11</v>
      </c>
      <c r="O388" s="612" t="s">
        <v>1674</v>
      </c>
      <c r="P388" s="612" t="s">
        <v>1674</v>
      </c>
      <c r="Q388" s="612" t="s">
        <v>5300</v>
      </c>
      <c r="R388" s="612" t="s">
        <v>2617</v>
      </c>
      <c r="S388" s="612" t="s">
        <v>1674</v>
      </c>
      <c r="T388" s="789"/>
      <c r="U388" s="612" t="s">
        <v>5010</v>
      </c>
      <c r="V388" s="611">
        <v>1235</v>
      </c>
      <c r="W388" s="614"/>
      <c r="Y388" s="612" t="s">
        <v>1674</v>
      </c>
      <c r="AA388" s="612" t="s">
        <v>1674</v>
      </c>
      <c r="AE388" s="790"/>
      <c r="AF388" s="612" t="s">
        <v>1674</v>
      </c>
      <c r="AG388" s="612" t="s">
        <v>1674</v>
      </c>
      <c r="AH388" s="612" t="s">
        <v>1674</v>
      </c>
      <c r="AI388" s="612" t="s">
        <v>1674</v>
      </c>
      <c r="AJ388" s="612" t="s">
        <v>1674</v>
      </c>
      <c r="AK388" s="612" t="s">
        <v>1674</v>
      </c>
      <c r="AL388" s="612" t="s">
        <v>1674</v>
      </c>
      <c r="AM388" s="612" t="s">
        <v>1674</v>
      </c>
      <c r="AN388" s="612" t="s">
        <v>1674</v>
      </c>
      <c r="AP388">
        <f t="shared" si="12"/>
        <v>11</v>
      </c>
      <c r="AQ388" s="552">
        <f t="shared" ref="AQ388:AQ451" si="13">IF(J388="S",+I388,-I388)</f>
        <v>790</v>
      </c>
    </row>
    <row r="389" spans="1:43" outlineLevel="1" x14ac:dyDescent="0.25">
      <c r="A389" s="612" t="s">
        <v>1674</v>
      </c>
      <c r="B389" s="786">
        <v>21205</v>
      </c>
      <c r="C389" s="612" t="s">
        <v>3508</v>
      </c>
      <c r="D389" s="612" t="s">
        <v>3509</v>
      </c>
      <c r="E389" t="s">
        <v>3457</v>
      </c>
      <c r="F389" t="s">
        <v>3507</v>
      </c>
      <c r="G389" s="787">
        <v>2470</v>
      </c>
      <c r="H389" s="787"/>
      <c r="I389" s="787">
        <v>2470</v>
      </c>
      <c r="J389" t="s">
        <v>2701</v>
      </c>
      <c r="K389" s="611">
        <v>8125</v>
      </c>
      <c r="L389" t="s">
        <v>2552</v>
      </c>
      <c r="M389" s="614"/>
      <c r="N389" s="788">
        <v>-179</v>
      </c>
      <c r="O389" s="612" t="s">
        <v>1674</v>
      </c>
      <c r="P389" s="612" t="s">
        <v>1674</v>
      </c>
      <c r="Q389" s="612" t="s">
        <v>3510</v>
      </c>
      <c r="R389" s="612" t="s">
        <v>2617</v>
      </c>
      <c r="S389" s="612" t="s">
        <v>1674</v>
      </c>
      <c r="T389" s="789"/>
      <c r="U389" s="612" t="s">
        <v>3315</v>
      </c>
      <c r="V389" s="611">
        <v>343</v>
      </c>
      <c r="W389" s="614"/>
      <c r="Y389" s="612" t="s">
        <v>1674</v>
      </c>
      <c r="AA389" s="612" t="s">
        <v>1674</v>
      </c>
      <c r="AE389" s="790"/>
      <c r="AF389" s="612" t="s">
        <v>1674</v>
      </c>
      <c r="AG389" s="612" t="s">
        <v>1674</v>
      </c>
      <c r="AH389" s="612" t="s">
        <v>1674</v>
      </c>
      <c r="AI389" s="612" t="s">
        <v>1674</v>
      </c>
      <c r="AJ389" s="612" t="s">
        <v>1674</v>
      </c>
      <c r="AK389" s="612" t="s">
        <v>1674</v>
      </c>
      <c r="AL389" s="612" t="s">
        <v>1674</v>
      </c>
      <c r="AM389" s="612" t="s">
        <v>3511</v>
      </c>
      <c r="AN389" s="612" t="s">
        <v>1674</v>
      </c>
      <c r="AP389">
        <f t="shared" si="12"/>
        <v>179</v>
      </c>
      <c r="AQ389" s="552">
        <f t="shared" si="13"/>
        <v>2470</v>
      </c>
    </row>
    <row r="390" spans="1:43" outlineLevel="1" x14ac:dyDescent="0.25">
      <c r="A390" s="612" t="s">
        <v>1674</v>
      </c>
      <c r="B390" s="786">
        <v>0</v>
      </c>
      <c r="C390" s="612" t="s">
        <v>1674</v>
      </c>
      <c r="D390" s="612" t="s">
        <v>5303</v>
      </c>
      <c r="E390" t="s">
        <v>5117</v>
      </c>
      <c r="F390" t="s">
        <v>5304</v>
      </c>
      <c r="G390" s="787">
        <v>2470</v>
      </c>
      <c r="H390" s="787"/>
      <c r="I390" s="787">
        <v>2470</v>
      </c>
      <c r="J390" t="s">
        <v>2701</v>
      </c>
      <c r="K390" s="611">
        <v>8125</v>
      </c>
      <c r="L390" t="s">
        <v>2552</v>
      </c>
      <c r="M390" s="614"/>
      <c r="N390" s="788">
        <v>-4</v>
      </c>
      <c r="O390" s="612" t="s">
        <v>1674</v>
      </c>
      <c r="P390" s="612" t="s">
        <v>1674</v>
      </c>
      <c r="Q390" s="612" t="s">
        <v>3510</v>
      </c>
      <c r="R390" s="612" t="s">
        <v>2617</v>
      </c>
      <c r="S390" s="612" t="s">
        <v>1674</v>
      </c>
      <c r="T390" s="789"/>
      <c r="U390" s="612" t="s">
        <v>5010</v>
      </c>
      <c r="V390" s="611">
        <v>1709</v>
      </c>
      <c r="W390" s="614"/>
      <c r="Y390" s="612" t="s">
        <v>1674</v>
      </c>
      <c r="AA390" s="612" t="s">
        <v>1674</v>
      </c>
      <c r="AE390" s="790"/>
      <c r="AF390" s="612" t="s">
        <v>1674</v>
      </c>
      <c r="AG390" s="612" t="s">
        <v>1674</v>
      </c>
      <c r="AH390" s="612" t="s">
        <v>1674</v>
      </c>
      <c r="AI390" s="612" t="s">
        <v>1674</v>
      </c>
      <c r="AJ390" s="612" t="s">
        <v>1674</v>
      </c>
      <c r="AK390" s="612" t="s">
        <v>1674</v>
      </c>
      <c r="AL390" s="612" t="s">
        <v>1674</v>
      </c>
      <c r="AM390" s="612" t="s">
        <v>1674</v>
      </c>
      <c r="AN390" s="612" t="s">
        <v>1674</v>
      </c>
      <c r="AP390">
        <f t="shared" si="12"/>
        <v>4</v>
      </c>
      <c r="AQ390" s="552">
        <f t="shared" si="13"/>
        <v>2470</v>
      </c>
    </row>
    <row r="391" spans="1:43" outlineLevel="1" x14ac:dyDescent="0.25">
      <c r="A391" s="612" t="s">
        <v>1674</v>
      </c>
      <c r="B391" s="786">
        <v>21606</v>
      </c>
      <c r="C391" s="612" t="s">
        <v>3051</v>
      </c>
      <c r="D391" s="612" t="s">
        <v>3631</v>
      </c>
      <c r="E391" t="s">
        <v>3632</v>
      </c>
      <c r="F391" t="s">
        <v>3633</v>
      </c>
      <c r="G391" s="787">
        <v>1908.75</v>
      </c>
      <c r="H391" s="787"/>
      <c r="I391" s="787">
        <v>1908.75</v>
      </c>
      <c r="J391" t="s">
        <v>2701</v>
      </c>
      <c r="K391" s="611">
        <v>8125</v>
      </c>
      <c r="L391" t="s">
        <v>806</v>
      </c>
      <c r="M391" s="614"/>
      <c r="N391" s="788">
        <v>-108</v>
      </c>
      <c r="O391" s="612" t="s">
        <v>1674</v>
      </c>
      <c r="P391" s="612" t="s">
        <v>1674</v>
      </c>
      <c r="Q391" s="612" t="s">
        <v>3053</v>
      </c>
      <c r="R391" s="612" t="s">
        <v>1674</v>
      </c>
      <c r="S391" s="612" t="s">
        <v>1674</v>
      </c>
      <c r="T391" s="789"/>
      <c r="U391" s="612" t="s">
        <v>3323</v>
      </c>
      <c r="V391" s="611">
        <v>805</v>
      </c>
      <c r="W391" s="614"/>
      <c r="Y391" s="612" t="s">
        <v>1674</v>
      </c>
      <c r="AA391" s="612" t="s">
        <v>1674</v>
      </c>
      <c r="AE391" s="790"/>
      <c r="AF391" s="612" t="s">
        <v>1674</v>
      </c>
      <c r="AG391" s="612" t="s">
        <v>1674</v>
      </c>
      <c r="AH391" s="612" t="s">
        <v>1674</v>
      </c>
      <c r="AI391" s="612" t="s">
        <v>1674</v>
      </c>
      <c r="AJ391" s="612" t="s">
        <v>1674</v>
      </c>
      <c r="AK391" s="612" t="s">
        <v>1674</v>
      </c>
      <c r="AL391" s="612" t="s">
        <v>1674</v>
      </c>
      <c r="AM391" s="612" t="s">
        <v>3054</v>
      </c>
      <c r="AN391" s="612" t="s">
        <v>1674</v>
      </c>
      <c r="AP391">
        <f t="shared" si="12"/>
        <v>108</v>
      </c>
      <c r="AQ391" s="552">
        <f t="shared" si="13"/>
        <v>1908.75</v>
      </c>
    </row>
    <row r="392" spans="1:43" outlineLevel="1" x14ac:dyDescent="0.25">
      <c r="A392" s="612" t="s">
        <v>1674</v>
      </c>
      <c r="B392" s="786">
        <v>0</v>
      </c>
      <c r="C392" s="612" t="s">
        <v>1674</v>
      </c>
      <c r="D392" s="612" t="s">
        <v>3634</v>
      </c>
      <c r="E392" t="s">
        <v>3632</v>
      </c>
      <c r="F392" t="s">
        <v>3633</v>
      </c>
      <c r="G392" s="787">
        <v>763.5</v>
      </c>
      <c r="H392" s="787"/>
      <c r="I392" s="787">
        <v>763.5</v>
      </c>
      <c r="J392" t="s">
        <v>2701</v>
      </c>
      <c r="K392" s="611">
        <v>8125</v>
      </c>
      <c r="L392" t="s">
        <v>806</v>
      </c>
      <c r="M392" s="614"/>
      <c r="N392" s="788">
        <v>-108</v>
      </c>
      <c r="O392" s="612" t="s">
        <v>1674</v>
      </c>
      <c r="P392" s="612" t="s">
        <v>1674</v>
      </c>
      <c r="Q392" s="612" t="s">
        <v>3053</v>
      </c>
      <c r="R392" s="612" t="s">
        <v>1674</v>
      </c>
      <c r="S392" s="612" t="s">
        <v>1674</v>
      </c>
      <c r="T392" s="789"/>
      <c r="U392" s="612" t="s">
        <v>3323</v>
      </c>
      <c r="V392" s="611">
        <v>817</v>
      </c>
      <c r="W392" s="614"/>
      <c r="Y392" s="612" t="s">
        <v>1674</v>
      </c>
      <c r="AA392" s="612" t="s">
        <v>1674</v>
      </c>
      <c r="AE392" s="790"/>
      <c r="AF392" s="612" t="s">
        <v>1674</v>
      </c>
      <c r="AG392" s="612" t="s">
        <v>1674</v>
      </c>
      <c r="AH392" s="612" t="s">
        <v>1674</v>
      </c>
      <c r="AI392" s="612" t="s">
        <v>1674</v>
      </c>
      <c r="AJ392" s="612" t="s">
        <v>1674</v>
      </c>
      <c r="AK392" s="612" t="s">
        <v>1674</v>
      </c>
      <c r="AL392" s="612" t="s">
        <v>1674</v>
      </c>
      <c r="AM392" s="612" t="s">
        <v>1674</v>
      </c>
      <c r="AN392" s="612" t="s">
        <v>1674</v>
      </c>
      <c r="AP392">
        <f t="shared" si="12"/>
        <v>108</v>
      </c>
      <c r="AQ392" s="552">
        <f t="shared" si="13"/>
        <v>763.5</v>
      </c>
    </row>
    <row r="393" spans="1:43" outlineLevel="1" x14ac:dyDescent="0.25">
      <c r="A393" s="612" t="s">
        <v>1674</v>
      </c>
      <c r="B393" s="786">
        <v>0</v>
      </c>
      <c r="C393" s="612" t="s">
        <v>1674</v>
      </c>
      <c r="D393" s="612" t="s">
        <v>3635</v>
      </c>
      <c r="E393" t="s">
        <v>3632</v>
      </c>
      <c r="F393" t="s">
        <v>3633</v>
      </c>
      <c r="G393" s="787">
        <v>2100</v>
      </c>
      <c r="H393" s="787"/>
      <c r="I393" s="787">
        <v>2100</v>
      </c>
      <c r="J393" t="s">
        <v>2701</v>
      </c>
      <c r="K393" s="611">
        <v>8125</v>
      </c>
      <c r="L393" t="s">
        <v>2552</v>
      </c>
      <c r="M393" s="614"/>
      <c r="N393" s="788">
        <v>-108</v>
      </c>
      <c r="O393" s="612" t="s">
        <v>1674</v>
      </c>
      <c r="P393" s="612" t="s">
        <v>1674</v>
      </c>
      <c r="Q393" s="612" t="s">
        <v>3053</v>
      </c>
      <c r="R393" s="612" t="s">
        <v>2617</v>
      </c>
      <c r="S393" s="612" t="s">
        <v>1674</v>
      </c>
      <c r="T393" s="789"/>
      <c r="U393" s="612" t="s">
        <v>3323</v>
      </c>
      <c r="V393" s="611">
        <v>818</v>
      </c>
      <c r="W393" s="614"/>
      <c r="Y393" s="612" t="s">
        <v>1674</v>
      </c>
      <c r="AA393" s="612" t="s">
        <v>1674</v>
      </c>
      <c r="AE393" s="790"/>
      <c r="AF393" s="612" t="s">
        <v>1674</v>
      </c>
      <c r="AG393" s="612" t="s">
        <v>1674</v>
      </c>
      <c r="AH393" s="612" t="s">
        <v>1674</v>
      </c>
      <c r="AI393" s="612" t="s">
        <v>1674</v>
      </c>
      <c r="AJ393" s="612" t="s">
        <v>1674</v>
      </c>
      <c r="AK393" s="612" t="s">
        <v>1674</v>
      </c>
      <c r="AL393" s="612" t="s">
        <v>1674</v>
      </c>
      <c r="AM393" s="612" t="s">
        <v>1674</v>
      </c>
      <c r="AN393" s="612" t="s">
        <v>1674</v>
      </c>
      <c r="AP393">
        <f t="shared" si="12"/>
        <v>108</v>
      </c>
      <c r="AQ393" s="552">
        <f t="shared" si="13"/>
        <v>2100</v>
      </c>
    </row>
    <row r="394" spans="1:43" outlineLevel="1" x14ac:dyDescent="0.25">
      <c r="A394" s="612" t="s">
        <v>1674</v>
      </c>
      <c r="B394" s="786">
        <v>0</v>
      </c>
      <c r="C394" s="612" t="s">
        <v>1674</v>
      </c>
      <c r="D394" s="612" t="s">
        <v>3663</v>
      </c>
      <c r="E394" t="s">
        <v>3326</v>
      </c>
      <c r="F394" t="s">
        <v>3662</v>
      </c>
      <c r="G394" s="787">
        <v>2100</v>
      </c>
      <c r="H394" s="787"/>
      <c r="I394" s="787">
        <v>2100</v>
      </c>
      <c r="J394" t="s">
        <v>2701</v>
      </c>
      <c r="K394" s="611">
        <v>8125</v>
      </c>
      <c r="L394" t="s">
        <v>2552</v>
      </c>
      <c r="M394" s="614"/>
      <c r="N394" s="788">
        <v>-91</v>
      </c>
      <c r="O394" s="612" t="s">
        <v>1674</v>
      </c>
      <c r="P394" s="612" t="s">
        <v>1674</v>
      </c>
      <c r="Q394" s="612" t="s">
        <v>3053</v>
      </c>
      <c r="R394" s="612" t="s">
        <v>2617</v>
      </c>
      <c r="S394" s="612" t="s">
        <v>1674</v>
      </c>
      <c r="T394" s="789"/>
      <c r="U394" s="612" t="s">
        <v>3328</v>
      </c>
      <c r="V394" s="611">
        <v>145</v>
      </c>
      <c r="W394" s="614"/>
      <c r="Y394" s="612" t="s">
        <v>1674</v>
      </c>
      <c r="AA394" s="612" t="s">
        <v>1674</v>
      </c>
      <c r="AE394" s="790"/>
      <c r="AF394" s="612" t="s">
        <v>1674</v>
      </c>
      <c r="AG394" s="612" t="s">
        <v>1674</v>
      </c>
      <c r="AH394" s="612" t="s">
        <v>1674</v>
      </c>
      <c r="AI394" s="612" t="s">
        <v>1674</v>
      </c>
      <c r="AJ394" s="612" t="s">
        <v>1674</v>
      </c>
      <c r="AK394" s="612" t="s">
        <v>1674</v>
      </c>
      <c r="AL394" s="612" t="s">
        <v>1674</v>
      </c>
      <c r="AM394" s="612" t="s">
        <v>1674</v>
      </c>
      <c r="AN394" s="612" t="s">
        <v>1674</v>
      </c>
      <c r="AP394">
        <f t="shared" si="12"/>
        <v>91</v>
      </c>
      <c r="AQ394" s="552">
        <f t="shared" si="13"/>
        <v>2100</v>
      </c>
    </row>
    <row r="395" spans="1:43" outlineLevel="1" x14ac:dyDescent="0.25">
      <c r="A395" s="612" t="s">
        <v>1674</v>
      </c>
      <c r="B395" s="786">
        <v>0</v>
      </c>
      <c r="C395" s="612" t="s">
        <v>1674</v>
      </c>
      <c r="D395" s="612" t="s">
        <v>3701</v>
      </c>
      <c r="E395" t="s">
        <v>3698</v>
      </c>
      <c r="F395" t="s">
        <v>3699</v>
      </c>
      <c r="G395" s="787">
        <v>154.30000000000001</v>
      </c>
      <c r="H395" s="787"/>
      <c r="I395" s="787">
        <v>154.30000000000001</v>
      </c>
      <c r="J395" t="s">
        <v>2701</v>
      </c>
      <c r="K395" s="611">
        <v>8125</v>
      </c>
      <c r="L395" t="s">
        <v>806</v>
      </c>
      <c r="M395" s="614"/>
      <c r="N395" s="788">
        <v>-83</v>
      </c>
      <c r="O395" s="612" t="s">
        <v>1674</v>
      </c>
      <c r="P395" s="612" t="s">
        <v>1674</v>
      </c>
      <c r="Q395" s="612" t="s">
        <v>3053</v>
      </c>
      <c r="R395" s="612" t="s">
        <v>1674</v>
      </c>
      <c r="S395" s="612" t="s">
        <v>1674</v>
      </c>
      <c r="T395" s="789"/>
      <c r="U395" s="612" t="s">
        <v>3328</v>
      </c>
      <c r="V395" s="611">
        <v>561</v>
      </c>
      <c r="W395" s="614"/>
      <c r="Y395" s="612" t="s">
        <v>1674</v>
      </c>
      <c r="AA395" s="612" t="s">
        <v>1674</v>
      </c>
      <c r="AE395" s="790"/>
      <c r="AF395" s="612" t="s">
        <v>1674</v>
      </c>
      <c r="AG395" s="612" t="s">
        <v>1674</v>
      </c>
      <c r="AH395" s="612" t="s">
        <v>1674</v>
      </c>
      <c r="AI395" s="612" t="s">
        <v>1674</v>
      </c>
      <c r="AJ395" s="612" t="s">
        <v>1674</v>
      </c>
      <c r="AK395" s="612" t="s">
        <v>1674</v>
      </c>
      <c r="AL395" s="612" t="s">
        <v>1674</v>
      </c>
      <c r="AM395" s="612" t="s">
        <v>1674</v>
      </c>
      <c r="AN395" s="612" t="s">
        <v>1674</v>
      </c>
      <c r="AP395">
        <f t="shared" si="12"/>
        <v>83</v>
      </c>
      <c r="AQ395" s="552">
        <f t="shared" si="13"/>
        <v>154.30000000000001</v>
      </c>
    </row>
    <row r="396" spans="1:43" outlineLevel="1" x14ac:dyDescent="0.25">
      <c r="A396" s="612" t="s">
        <v>1674</v>
      </c>
      <c r="B396" s="786">
        <v>0</v>
      </c>
      <c r="C396" s="612" t="s">
        <v>1674</v>
      </c>
      <c r="D396" s="612" t="s">
        <v>3733</v>
      </c>
      <c r="E396" t="s">
        <v>3726</v>
      </c>
      <c r="F396" t="s">
        <v>3727</v>
      </c>
      <c r="G396" s="787">
        <v>3000</v>
      </c>
      <c r="H396" s="787"/>
      <c r="I396" s="787">
        <v>3000</v>
      </c>
      <c r="J396" t="s">
        <v>2701</v>
      </c>
      <c r="K396" s="611">
        <v>8125</v>
      </c>
      <c r="L396" t="s">
        <v>2552</v>
      </c>
      <c r="M396" s="614"/>
      <c r="N396" s="788">
        <v>-77</v>
      </c>
      <c r="O396" s="612" t="s">
        <v>1674</v>
      </c>
      <c r="P396" s="612" t="s">
        <v>1674</v>
      </c>
      <c r="Q396" s="612" t="s">
        <v>3053</v>
      </c>
      <c r="R396" s="612" t="s">
        <v>2617</v>
      </c>
      <c r="S396" s="612" t="s">
        <v>1674</v>
      </c>
      <c r="T396" s="789"/>
      <c r="U396" s="612" t="s">
        <v>3328</v>
      </c>
      <c r="V396" s="611">
        <v>897</v>
      </c>
      <c r="W396" s="614"/>
      <c r="Y396" s="612" t="s">
        <v>1674</v>
      </c>
      <c r="AA396" s="612" t="s">
        <v>1674</v>
      </c>
      <c r="AE396" s="790"/>
      <c r="AF396" s="612" t="s">
        <v>1674</v>
      </c>
      <c r="AG396" s="612" t="s">
        <v>1674</v>
      </c>
      <c r="AH396" s="612" t="s">
        <v>1674</v>
      </c>
      <c r="AI396" s="612" t="s">
        <v>1674</v>
      </c>
      <c r="AJ396" s="612" t="s">
        <v>1674</v>
      </c>
      <c r="AK396" s="612" t="s">
        <v>1674</v>
      </c>
      <c r="AL396" s="612" t="s">
        <v>1674</v>
      </c>
      <c r="AM396" s="612" t="s">
        <v>1674</v>
      </c>
      <c r="AN396" s="612" t="s">
        <v>1674</v>
      </c>
      <c r="AP396">
        <f t="shared" si="12"/>
        <v>77</v>
      </c>
      <c r="AQ396" s="552">
        <f t="shared" si="13"/>
        <v>3000</v>
      </c>
    </row>
    <row r="397" spans="1:43" outlineLevel="1" x14ac:dyDescent="0.25">
      <c r="A397" s="612" t="s">
        <v>1674</v>
      </c>
      <c r="B397" s="786">
        <v>0</v>
      </c>
      <c r="C397" s="612" t="s">
        <v>1674</v>
      </c>
      <c r="D397" s="612" t="s">
        <v>3819</v>
      </c>
      <c r="E397" t="s">
        <v>3649</v>
      </c>
      <c r="F397" t="s">
        <v>3804</v>
      </c>
      <c r="G397" s="787">
        <v>888.5</v>
      </c>
      <c r="H397" s="787"/>
      <c r="I397" s="787">
        <v>888.5</v>
      </c>
      <c r="J397" t="s">
        <v>2701</v>
      </c>
      <c r="K397" s="611">
        <v>8125</v>
      </c>
      <c r="L397" t="s">
        <v>806</v>
      </c>
      <c r="M397" s="614"/>
      <c r="N397" s="788">
        <v>-68</v>
      </c>
      <c r="O397" s="612" t="s">
        <v>1674</v>
      </c>
      <c r="P397" s="612" t="s">
        <v>1674</v>
      </c>
      <c r="Q397" s="612" t="s">
        <v>3053</v>
      </c>
      <c r="R397" s="612" t="s">
        <v>1674</v>
      </c>
      <c r="S397" s="612" t="s">
        <v>1674</v>
      </c>
      <c r="T397" s="789"/>
      <c r="U397" s="612" t="s">
        <v>3328</v>
      </c>
      <c r="V397" s="611">
        <v>1395</v>
      </c>
      <c r="W397" s="614"/>
      <c r="Y397" s="612" t="s">
        <v>1674</v>
      </c>
      <c r="AA397" s="612" t="s">
        <v>1674</v>
      </c>
      <c r="AE397" s="790"/>
      <c r="AF397" s="612" t="s">
        <v>1674</v>
      </c>
      <c r="AG397" s="612" t="s">
        <v>1674</v>
      </c>
      <c r="AH397" s="612" t="s">
        <v>1674</v>
      </c>
      <c r="AI397" s="612" t="s">
        <v>1674</v>
      </c>
      <c r="AJ397" s="612" t="s">
        <v>1674</v>
      </c>
      <c r="AK397" s="612" t="s">
        <v>1674</v>
      </c>
      <c r="AL397" s="612" t="s">
        <v>1674</v>
      </c>
      <c r="AM397" s="612" t="s">
        <v>1674</v>
      </c>
      <c r="AN397" s="612" t="s">
        <v>1674</v>
      </c>
      <c r="AP397">
        <f t="shared" si="12"/>
        <v>68</v>
      </c>
      <c r="AQ397" s="552">
        <f t="shared" si="13"/>
        <v>888.5</v>
      </c>
    </row>
    <row r="398" spans="1:43" outlineLevel="1" x14ac:dyDescent="0.25">
      <c r="A398" s="612" t="s">
        <v>1674</v>
      </c>
      <c r="B398" s="786">
        <v>0</v>
      </c>
      <c r="C398" s="612" t="s">
        <v>1674</v>
      </c>
      <c r="D398" s="612" t="s">
        <v>3820</v>
      </c>
      <c r="E398" t="s">
        <v>3649</v>
      </c>
      <c r="F398" t="s">
        <v>3804</v>
      </c>
      <c r="G398" s="787">
        <v>3000</v>
      </c>
      <c r="H398" s="787"/>
      <c r="I398" s="787">
        <v>3000</v>
      </c>
      <c r="J398" t="s">
        <v>2701</v>
      </c>
      <c r="K398" s="611">
        <v>8125</v>
      </c>
      <c r="L398" t="s">
        <v>2552</v>
      </c>
      <c r="M398" s="614"/>
      <c r="N398" s="788">
        <v>-68</v>
      </c>
      <c r="O398" s="612" t="s">
        <v>1674</v>
      </c>
      <c r="P398" s="612" t="s">
        <v>1674</v>
      </c>
      <c r="Q398" s="612" t="s">
        <v>3053</v>
      </c>
      <c r="R398" s="612" t="s">
        <v>2617</v>
      </c>
      <c r="S398" s="612" t="s">
        <v>1674</v>
      </c>
      <c r="T398" s="789"/>
      <c r="U398" s="612" t="s">
        <v>3328</v>
      </c>
      <c r="V398" s="611">
        <v>1399</v>
      </c>
      <c r="W398" s="614"/>
      <c r="Y398" s="612" t="s">
        <v>1674</v>
      </c>
      <c r="AA398" s="612" t="s">
        <v>1674</v>
      </c>
      <c r="AE398" s="790"/>
      <c r="AF398" s="612" t="s">
        <v>1674</v>
      </c>
      <c r="AG398" s="612" t="s">
        <v>1674</v>
      </c>
      <c r="AH398" s="612" t="s">
        <v>1674</v>
      </c>
      <c r="AI398" s="612" t="s">
        <v>1674</v>
      </c>
      <c r="AJ398" s="612" t="s">
        <v>1674</v>
      </c>
      <c r="AK398" s="612" t="s">
        <v>1674</v>
      </c>
      <c r="AL398" s="612" t="s">
        <v>1674</v>
      </c>
      <c r="AM398" s="612" t="s">
        <v>1674</v>
      </c>
      <c r="AN398" s="612" t="s">
        <v>1674</v>
      </c>
      <c r="AP398">
        <f t="shared" si="12"/>
        <v>68</v>
      </c>
      <c r="AQ398" s="552">
        <f t="shared" si="13"/>
        <v>3000</v>
      </c>
    </row>
    <row r="399" spans="1:43" outlineLevel="1" x14ac:dyDescent="0.25">
      <c r="A399" s="612" t="s">
        <v>1674</v>
      </c>
      <c r="B399" s="786">
        <v>0</v>
      </c>
      <c r="C399" s="612" t="s">
        <v>1674</v>
      </c>
      <c r="D399" s="612" t="s">
        <v>5305</v>
      </c>
      <c r="E399" t="s">
        <v>3666</v>
      </c>
      <c r="F399" t="s">
        <v>5306</v>
      </c>
      <c r="G399" s="787">
        <v>1066.2</v>
      </c>
      <c r="H399" s="787"/>
      <c r="I399" s="787">
        <v>1066.2</v>
      </c>
      <c r="J399" t="s">
        <v>2701</v>
      </c>
      <c r="K399" s="611">
        <v>8125</v>
      </c>
      <c r="L399" t="s">
        <v>806</v>
      </c>
      <c r="M399" s="614"/>
      <c r="N399" s="788">
        <v>-60</v>
      </c>
      <c r="O399" s="612" t="s">
        <v>1674</v>
      </c>
      <c r="P399" s="612" t="s">
        <v>1674</v>
      </c>
      <c r="Q399" s="612" t="s">
        <v>3053</v>
      </c>
      <c r="R399" s="612" t="s">
        <v>1674</v>
      </c>
      <c r="S399" s="612" t="s">
        <v>1674</v>
      </c>
      <c r="T399" s="789"/>
      <c r="U399" s="612" t="s">
        <v>5002</v>
      </c>
      <c r="V399" s="611">
        <v>181</v>
      </c>
      <c r="W399" s="614"/>
      <c r="Y399" s="612" t="s">
        <v>1674</v>
      </c>
      <c r="AA399" s="612" t="s">
        <v>1674</v>
      </c>
      <c r="AE399" s="790"/>
      <c r="AF399" s="612" t="s">
        <v>1674</v>
      </c>
      <c r="AG399" s="612" t="s">
        <v>1674</v>
      </c>
      <c r="AH399" s="612" t="s">
        <v>1674</v>
      </c>
      <c r="AI399" s="612" t="s">
        <v>1674</v>
      </c>
      <c r="AJ399" s="612" t="s">
        <v>1674</v>
      </c>
      <c r="AK399" s="612" t="s">
        <v>1674</v>
      </c>
      <c r="AL399" s="612" t="s">
        <v>1674</v>
      </c>
      <c r="AM399" s="612" t="s">
        <v>1674</v>
      </c>
      <c r="AN399" s="612" t="s">
        <v>1674</v>
      </c>
      <c r="AP399">
        <f t="shared" si="12"/>
        <v>60</v>
      </c>
      <c r="AQ399" s="552">
        <f t="shared" si="13"/>
        <v>1066.2</v>
      </c>
    </row>
    <row r="400" spans="1:43" outlineLevel="1" x14ac:dyDescent="0.25">
      <c r="A400" s="612" t="s">
        <v>1674</v>
      </c>
      <c r="B400" s="786">
        <v>0</v>
      </c>
      <c r="C400" s="612" t="s">
        <v>1674</v>
      </c>
      <c r="D400" s="612" t="s">
        <v>5307</v>
      </c>
      <c r="E400" t="s">
        <v>3699</v>
      </c>
      <c r="F400" t="s">
        <v>4295</v>
      </c>
      <c r="G400" s="787">
        <v>812.15</v>
      </c>
      <c r="H400" s="787"/>
      <c r="I400" s="787">
        <v>812.15</v>
      </c>
      <c r="J400" t="s">
        <v>2701</v>
      </c>
      <c r="K400" s="611">
        <v>8125</v>
      </c>
      <c r="L400" t="s">
        <v>806</v>
      </c>
      <c r="M400" s="614"/>
      <c r="N400" s="788">
        <v>-53</v>
      </c>
      <c r="O400" s="612" t="s">
        <v>1674</v>
      </c>
      <c r="P400" s="612" t="s">
        <v>1674</v>
      </c>
      <c r="Q400" s="612" t="s">
        <v>3053</v>
      </c>
      <c r="R400" s="612" t="s">
        <v>1674</v>
      </c>
      <c r="S400" s="612" t="s">
        <v>1674</v>
      </c>
      <c r="T400" s="789"/>
      <c r="U400" s="612" t="s">
        <v>5002</v>
      </c>
      <c r="V400" s="611">
        <v>552</v>
      </c>
      <c r="W400" s="614"/>
      <c r="Y400" s="612" t="s">
        <v>1674</v>
      </c>
      <c r="AA400" s="612" t="s">
        <v>1674</v>
      </c>
      <c r="AE400" s="790"/>
      <c r="AF400" s="612" t="s">
        <v>1674</v>
      </c>
      <c r="AG400" s="612" t="s">
        <v>1674</v>
      </c>
      <c r="AH400" s="612" t="s">
        <v>1674</v>
      </c>
      <c r="AI400" s="612" t="s">
        <v>1674</v>
      </c>
      <c r="AJ400" s="612" t="s">
        <v>1674</v>
      </c>
      <c r="AK400" s="612" t="s">
        <v>1674</v>
      </c>
      <c r="AL400" s="612" t="s">
        <v>1674</v>
      </c>
      <c r="AM400" s="612" t="s">
        <v>1674</v>
      </c>
      <c r="AN400" s="612" t="s">
        <v>1674</v>
      </c>
      <c r="AP400">
        <f t="shared" si="12"/>
        <v>53</v>
      </c>
      <c r="AQ400" s="552">
        <f t="shared" si="13"/>
        <v>812.15</v>
      </c>
    </row>
    <row r="401" spans="1:43" outlineLevel="1" x14ac:dyDescent="0.25">
      <c r="A401" s="612" t="s">
        <v>1674</v>
      </c>
      <c r="B401" s="786">
        <v>0</v>
      </c>
      <c r="C401" s="612" t="s">
        <v>1674</v>
      </c>
      <c r="D401" s="612" t="s">
        <v>5308</v>
      </c>
      <c r="E401" t="s">
        <v>3699</v>
      </c>
      <c r="F401" t="s">
        <v>4295</v>
      </c>
      <c r="G401" s="787">
        <v>2100</v>
      </c>
      <c r="H401" s="787"/>
      <c r="I401" s="787">
        <v>2100</v>
      </c>
      <c r="J401" t="s">
        <v>2701</v>
      </c>
      <c r="K401" s="611">
        <v>8125</v>
      </c>
      <c r="L401" t="s">
        <v>2552</v>
      </c>
      <c r="M401" s="614"/>
      <c r="N401" s="788">
        <v>-53</v>
      </c>
      <c r="O401" s="612" t="s">
        <v>1674</v>
      </c>
      <c r="P401" s="612" t="s">
        <v>1674</v>
      </c>
      <c r="Q401" s="612" t="s">
        <v>3053</v>
      </c>
      <c r="R401" s="612" t="s">
        <v>2617</v>
      </c>
      <c r="S401" s="612" t="s">
        <v>1674</v>
      </c>
      <c r="T401" s="789"/>
      <c r="U401" s="612" t="s">
        <v>5002</v>
      </c>
      <c r="V401" s="611">
        <v>554</v>
      </c>
      <c r="W401" s="614"/>
      <c r="Y401" s="612" t="s">
        <v>1674</v>
      </c>
      <c r="AA401" s="612" t="s">
        <v>1674</v>
      </c>
      <c r="AE401" s="790"/>
      <c r="AF401" s="612" t="s">
        <v>1674</v>
      </c>
      <c r="AG401" s="612" t="s">
        <v>1674</v>
      </c>
      <c r="AH401" s="612" t="s">
        <v>1674</v>
      </c>
      <c r="AI401" s="612" t="s">
        <v>1674</v>
      </c>
      <c r="AJ401" s="612" t="s">
        <v>1674</v>
      </c>
      <c r="AK401" s="612" t="s">
        <v>1674</v>
      </c>
      <c r="AL401" s="612" t="s">
        <v>1674</v>
      </c>
      <c r="AM401" s="612" t="s">
        <v>1674</v>
      </c>
      <c r="AN401" s="612" t="s">
        <v>1674</v>
      </c>
      <c r="AP401">
        <f t="shared" si="12"/>
        <v>53</v>
      </c>
      <c r="AQ401" s="552">
        <f t="shared" si="13"/>
        <v>2100</v>
      </c>
    </row>
    <row r="402" spans="1:43" outlineLevel="1" x14ac:dyDescent="0.25">
      <c r="A402" s="612" t="s">
        <v>1674</v>
      </c>
      <c r="B402" s="786">
        <v>0</v>
      </c>
      <c r="C402" s="612" t="s">
        <v>1674</v>
      </c>
      <c r="D402" s="612" t="s">
        <v>5309</v>
      </c>
      <c r="E402" t="s">
        <v>5310</v>
      </c>
      <c r="F402" t="s">
        <v>5069</v>
      </c>
      <c r="G402" s="787">
        <v>2100</v>
      </c>
      <c r="H402" s="787"/>
      <c r="I402" s="787">
        <v>2100</v>
      </c>
      <c r="J402" t="s">
        <v>2701</v>
      </c>
      <c r="K402" s="611">
        <v>8125</v>
      </c>
      <c r="L402" t="s">
        <v>2552</v>
      </c>
      <c r="M402" s="614"/>
      <c r="N402" s="788">
        <v>-41</v>
      </c>
      <c r="O402" s="612" t="s">
        <v>1674</v>
      </c>
      <c r="P402" s="612" t="s">
        <v>1674</v>
      </c>
      <c r="Q402" s="612" t="s">
        <v>3053</v>
      </c>
      <c r="R402" s="612" t="s">
        <v>2617</v>
      </c>
      <c r="S402" s="612" t="s">
        <v>1674</v>
      </c>
      <c r="T402" s="789"/>
      <c r="U402" s="612" t="s">
        <v>5002</v>
      </c>
      <c r="V402" s="611">
        <v>1066</v>
      </c>
      <c r="W402" s="614"/>
      <c r="Y402" s="612" t="s">
        <v>1674</v>
      </c>
      <c r="AA402" s="612" t="s">
        <v>1674</v>
      </c>
      <c r="AE402" s="790"/>
      <c r="AF402" s="612" t="s">
        <v>1674</v>
      </c>
      <c r="AG402" s="612" t="s">
        <v>1674</v>
      </c>
      <c r="AH402" s="612" t="s">
        <v>1674</v>
      </c>
      <c r="AI402" s="612" t="s">
        <v>1674</v>
      </c>
      <c r="AJ402" s="612" t="s">
        <v>1674</v>
      </c>
      <c r="AK402" s="612" t="s">
        <v>1674</v>
      </c>
      <c r="AL402" s="612" t="s">
        <v>1674</v>
      </c>
      <c r="AM402" s="612" t="s">
        <v>1674</v>
      </c>
      <c r="AN402" s="612" t="s">
        <v>1674</v>
      </c>
      <c r="AP402">
        <f t="shared" si="12"/>
        <v>41</v>
      </c>
      <c r="AQ402" s="552">
        <f t="shared" si="13"/>
        <v>2100</v>
      </c>
    </row>
    <row r="403" spans="1:43" outlineLevel="1" x14ac:dyDescent="0.25">
      <c r="A403" s="612" t="s">
        <v>1674</v>
      </c>
      <c r="B403" s="786">
        <v>0</v>
      </c>
      <c r="C403" s="612" t="s">
        <v>1674</v>
      </c>
      <c r="D403" s="612" t="s">
        <v>5311</v>
      </c>
      <c r="E403" t="s">
        <v>3784</v>
      </c>
      <c r="F403" t="s">
        <v>5061</v>
      </c>
      <c r="G403" s="787">
        <v>2100</v>
      </c>
      <c r="H403" s="787"/>
      <c r="I403" s="787">
        <v>2100</v>
      </c>
      <c r="J403" t="s">
        <v>2701</v>
      </c>
      <c r="K403" s="611">
        <v>8125</v>
      </c>
      <c r="L403" t="s">
        <v>2552</v>
      </c>
      <c r="M403" s="614"/>
      <c r="N403" s="788">
        <v>-39</v>
      </c>
      <c r="O403" s="612" t="s">
        <v>1674</v>
      </c>
      <c r="P403" s="612" t="s">
        <v>1674</v>
      </c>
      <c r="Q403" s="612" t="s">
        <v>3053</v>
      </c>
      <c r="R403" s="612" t="s">
        <v>2617</v>
      </c>
      <c r="S403" s="612" t="s">
        <v>1674</v>
      </c>
      <c r="T403" s="789"/>
      <c r="U403" s="612" t="s">
        <v>5002</v>
      </c>
      <c r="V403" s="611">
        <v>1219</v>
      </c>
      <c r="W403" s="614"/>
      <c r="Y403" s="612" t="s">
        <v>1674</v>
      </c>
      <c r="AA403" s="612" t="s">
        <v>1674</v>
      </c>
      <c r="AE403" s="790"/>
      <c r="AF403" s="612" t="s">
        <v>1674</v>
      </c>
      <c r="AG403" s="612" t="s">
        <v>1674</v>
      </c>
      <c r="AH403" s="612" t="s">
        <v>1674</v>
      </c>
      <c r="AI403" s="612" t="s">
        <v>1674</v>
      </c>
      <c r="AJ403" s="612" t="s">
        <v>1674</v>
      </c>
      <c r="AK403" s="612" t="s">
        <v>1674</v>
      </c>
      <c r="AL403" s="612" t="s">
        <v>1674</v>
      </c>
      <c r="AM403" s="612" t="s">
        <v>1674</v>
      </c>
      <c r="AN403" s="612" t="s">
        <v>1674</v>
      </c>
      <c r="AP403">
        <f t="shared" si="12"/>
        <v>39</v>
      </c>
      <c r="AQ403" s="552">
        <f t="shared" si="13"/>
        <v>2100</v>
      </c>
    </row>
    <row r="404" spans="1:43" outlineLevel="1" x14ac:dyDescent="0.25">
      <c r="A404" s="612" t="s">
        <v>1674</v>
      </c>
      <c r="B404" s="786">
        <v>0</v>
      </c>
      <c r="C404" s="612" t="s">
        <v>1674</v>
      </c>
      <c r="D404" s="612" t="s">
        <v>5312</v>
      </c>
      <c r="E404" t="s">
        <v>4375</v>
      </c>
      <c r="F404" t="s">
        <v>5313</v>
      </c>
      <c r="G404" s="787">
        <v>3000</v>
      </c>
      <c r="H404" s="787"/>
      <c r="I404" s="787">
        <v>3000</v>
      </c>
      <c r="J404" t="s">
        <v>2701</v>
      </c>
      <c r="K404" s="611">
        <v>8125</v>
      </c>
      <c r="L404" t="s">
        <v>2552</v>
      </c>
      <c r="M404" s="614"/>
      <c r="N404" s="788">
        <v>-10</v>
      </c>
      <c r="O404" s="612" t="s">
        <v>1674</v>
      </c>
      <c r="P404" s="612" t="s">
        <v>1674</v>
      </c>
      <c r="Q404" s="612" t="s">
        <v>3053</v>
      </c>
      <c r="R404" s="612" t="s">
        <v>2617</v>
      </c>
      <c r="S404" s="612" t="s">
        <v>1674</v>
      </c>
      <c r="T404" s="789"/>
      <c r="U404" s="612" t="s">
        <v>5010</v>
      </c>
      <c r="V404" s="611">
        <v>1327</v>
      </c>
      <c r="W404" s="614"/>
      <c r="Y404" s="612" t="s">
        <v>1674</v>
      </c>
      <c r="AA404" s="612" t="s">
        <v>1674</v>
      </c>
      <c r="AE404" s="790"/>
      <c r="AF404" s="612" t="s">
        <v>1674</v>
      </c>
      <c r="AG404" s="612" t="s">
        <v>1674</v>
      </c>
      <c r="AH404" s="612" t="s">
        <v>1674</v>
      </c>
      <c r="AI404" s="612" t="s">
        <v>1674</v>
      </c>
      <c r="AJ404" s="612" t="s">
        <v>1674</v>
      </c>
      <c r="AK404" s="612" t="s">
        <v>1674</v>
      </c>
      <c r="AL404" s="612" t="s">
        <v>1674</v>
      </c>
      <c r="AM404" s="612" t="s">
        <v>1674</v>
      </c>
      <c r="AN404" s="612" t="s">
        <v>1674</v>
      </c>
      <c r="AP404">
        <f t="shared" si="12"/>
        <v>10</v>
      </c>
      <c r="AQ404" s="552">
        <f t="shared" si="13"/>
        <v>3000</v>
      </c>
    </row>
    <row r="405" spans="1:43" outlineLevel="1" x14ac:dyDescent="0.25">
      <c r="A405" s="612" t="s">
        <v>1674</v>
      </c>
      <c r="B405" s="786">
        <v>0</v>
      </c>
      <c r="C405" s="612" t="s">
        <v>1674</v>
      </c>
      <c r="D405" s="612" t="s">
        <v>5314</v>
      </c>
      <c r="E405" t="s">
        <v>4915</v>
      </c>
      <c r="F405" t="s">
        <v>4916</v>
      </c>
      <c r="G405" s="787">
        <v>331.2</v>
      </c>
      <c r="H405" s="787"/>
      <c r="I405" s="787">
        <v>331.2</v>
      </c>
      <c r="J405" t="s">
        <v>2701</v>
      </c>
      <c r="K405" s="611">
        <v>8125</v>
      </c>
      <c r="L405" t="s">
        <v>806</v>
      </c>
      <c r="M405" s="614"/>
      <c r="N405" s="788">
        <v>18</v>
      </c>
      <c r="O405" s="612" t="s">
        <v>1674</v>
      </c>
      <c r="P405" s="612" t="s">
        <v>1674</v>
      </c>
      <c r="Q405" s="612" t="s">
        <v>3053</v>
      </c>
      <c r="R405" s="612" t="s">
        <v>1674</v>
      </c>
      <c r="S405" s="612" t="s">
        <v>1674</v>
      </c>
      <c r="T405" s="789"/>
      <c r="U405" s="612" t="s">
        <v>4900</v>
      </c>
      <c r="V405" s="611">
        <v>1345</v>
      </c>
      <c r="W405" s="614"/>
      <c r="Y405" s="612" t="s">
        <v>1674</v>
      </c>
      <c r="AA405" s="612" t="s">
        <v>1674</v>
      </c>
      <c r="AE405" s="790"/>
      <c r="AF405" s="612" t="s">
        <v>1674</v>
      </c>
      <c r="AG405" s="612" t="s">
        <v>1674</v>
      </c>
      <c r="AH405" s="612" t="s">
        <v>1674</v>
      </c>
      <c r="AI405" s="612" t="s">
        <v>1674</v>
      </c>
      <c r="AJ405" s="612" t="s">
        <v>1674</v>
      </c>
      <c r="AK405" s="612" t="s">
        <v>1674</v>
      </c>
      <c r="AL405" s="612" t="s">
        <v>1674</v>
      </c>
      <c r="AM405" s="612" t="s">
        <v>1674</v>
      </c>
      <c r="AN405" s="612" t="s">
        <v>1674</v>
      </c>
      <c r="AP405">
        <f t="shared" si="12"/>
        <v>-18</v>
      </c>
      <c r="AQ405" s="552">
        <f t="shared" si="13"/>
        <v>331.2</v>
      </c>
    </row>
    <row r="406" spans="1:43" outlineLevel="1" x14ac:dyDescent="0.25">
      <c r="A406" s="612" t="s">
        <v>1674</v>
      </c>
      <c r="B406" s="786">
        <v>0</v>
      </c>
      <c r="C406" s="612" t="s">
        <v>1674</v>
      </c>
      <c r="D406" s="612" t="s">
        <v>5315</v>
      </c>
      <c r="E406" t="s">
        <v>4915</v>
      </c>
      <c r="F406" t="s">
        <v>4916</v>
      </c>
      <c r="G406" s="787">
        <v>2100</v>
      </c>
      <c r="H406" s="787"/>
      <c r="I406" s="787">
        <v>2100</v>
      </c>
      <c r="J406" t="s">
        <v>2701</v>
      </c>
      <c r="K406" s="611">
        <v>8125</v>
      </c>
      <c r="L406" t="s">
        <v>2552</v>
      </c>
      <c r="M406" s="614"/>
      <c r="N406" s="788">
        <v>18</v>
      </c>
      <c r="O406" s="612" t="s">
        <v>1674</v>
      </c>
      <c r="P406" s="612" t="s">
        <v>1674</v>
      </c>
      <c r="Q406" s="612" t="s">
        <v>3053</v>
      </c>
      <c r="R406" s="612" t="s">
        <v>2617</v>
      </c>
      <c r="S406" s="612" t="s">
        <v>1674</v>
      </c>
      <c r="T406" s="789"/>
      <c r="U406" s="612" t="s">
        <v>4900</v>
      </c>
      <c r="V406" s="611">
        <v>1352</v>
      </c>
      <c r="W406" s="614"/>
      <c r="Y406" s="612" t="s">
        <v>1674</v>
      </c>
      <c r="AA406" s="612" t="s">
        <v>1674</v>
      </c>
      <c r="AE406" s="790"/>
      <c r="AF406" s="612" t="s">
        <v>1674</v>
      </c>
      <c r="AG406" s="612" t="s">
        <v>1674</v>
      </c>
      <c r="AH406" s="612" t="s">
        <v>1674</v>
      </c>
      <c r="AI406" s="612" t="s">
        <v>1674</v>
      </c>
      <c r="AJ406" s="612" t="s">
        <v>1674</v>
      </c>
      <c r="AK406" s="612" t="s">
        <v>1674</v>
      </c>
      <c r="AL406" s="612" t="s">
        <v>1674</v>
      </c>
      <c r="AM406" s="612" t="s">
        <v>1674</v>
      </c>
      <c r="AN406" s="612" t="s">
        <v>1674</v>
      </c>
      <c r="AP406">
        <f t="shared" si="12"/>
        <v>-18</v>
      </c>
      <c r="AQ406" s="552">
        <f t="shared" si="13"/>
        <v>2100</v>
      </c>
    </row>
    <row r="407" spans="1:43" outlineLevel="1" x14ac:dyDescent="0.25">
      <c r="A407" s="612" t="s">
        <v>1674</v>
      </c>
      <c r="B407" s="786">
        <v>0</v>
      </c>
      <c r="C407" s="612" t="s">
        <v>1674</v>
      </c>
      <c r="D407" s="612" t="s">
        <v>5316</v>
      </c>
      <c r="E407" t="s">
        <v>5022</v>
      </c>
      <c r="F407" t="s">
        <v>5023</v>
      </c>
      <c r="G407" s="787">
        <v>650</v>
      </c>
      <c r="H407" s="787"/>
      <c r="I407" s="787">
        <v>650</v>
      </c>
      <c r="J407" t="s">
        <v>2701</v>
      </c>
      <c r="K407" s="611">
        <v>8339</v>
      </c>
      <c r="L407" t="s">
        <v>806</v>
      </c>
      <c r="M407" s="614"/>
      <c r="N407" s="788">
        <v>16</v>
      </c>
      <c r="O407" s="612" t="s">
        <v>1674</v>
      </c>
      <c r="P407" s="612" t="s">
        <v>1674</v>
      </c>
      <c r="Q407" s="612" t="s">
        <v>3053</v>
      </c>
      <c r="R407" s="612" t="s">
        <v>1674</v>
      </c>
      <c r="S407" s="612" t="s">
        <v>1674</v>
      </c>
      <c r="T407" s="789"/>
      <c r="U407" s="612" t="s">
        <v>4900</v>
      </c>
      <c r="V407" s="611">
        <v>1134</v>
      </c>
      <c r="W407" s="614"/>
      <c r="Y407" s="612" t="s">
        <v>1674</v>
      </c>
      <c r="AA407" s="612" t="s">
        <v>1674</v>
      </c>
      <c r="AE407" s="790"/>
      <c r="AF407" s="612" t="s">
        <v>1674</v>
      </c>
      <c r="AG407" s="612" t="s">
        <v>1674</v>
      </c>
      <c r="AH407" s="612" t="s">
        <v>1674</v>
      </c>
      <c r="AI407" s="612" t="s">
        <v>1674</v>
      </c>
      <c r="AJ407" s="612" t="s">
        <v>1674</v>
      </c>
      <c r="AK407" s="612" t="s">
        <v>1674</v>
      </c>
      <c r="AL407" s="612" t="s">
        <v>1674</v>
      </c>
      <c r="AM407" s="612" t="s">
        <v>1674</v>
      </c>
      <c r="AN407" s="612" t="s">
        <v>1674</v>
      </c>
      <c r="AP407">
        <f t="shared" si="12"/>
        <v>-16</v>
      </c>
      <c r="AQ407" s="552">
        <f t="shared" si="13"/>
        <v>650</v>
      </c>
    </row>
    <row r="408" spans="1:43" outlineLevel="1" x14ac:dyDescent="0.25">
      <c r="A408" s="612" t="s">
        <v>1674</v>
      </c>
      <c r="B408" s="786">
        <v>0</v>
      </c>
      <c r="C408" s="612" t="s">
        <v>1674</v>
      </c>
      <c r="D408" s="612" t="s">
        <v>5317</v>
      </c>
      <c r="E408" t="s">
        <v>5022</v>
      </c>
      <c r="F408" t="s">
        <v>5023</v>
      </c>
      <c r="G408" s="787">
        <v>650</v>
      </c>
      <c r="H408" s="787"/>
      <c r="I408" s="787">
        <v>650</v>
      </c>
      <c r="J408" t="s">
        <v>2701</v>
      </c>
      <c r="K408" s="611">
        <v>8339</v>
      </c>
      <c r="L408" t="s">
        <v>806</v>
      </c>
      <c r="M408" s="614"/>
      <c r="N408" s="788">
        <v>16</v>
      </c>
      <c r="O408" s="612" t="s">
        <v>1674</v>
      </c>
      <c r="P408" s="612" t="s">
        <v>1674</v>
      </c>
      <c r="Q408" s="612" t="s">
        <v>3053</v>
      </c>
      <c r="R408" s="612" t="s">
        <v>1674</v>
      </c>
      <c r="S408" s="612" t="s">
        <v>1674</v>
      </c>
      <c r="T408" s="789"/>
      <c r="U408" s="612" t="s">
        <v>4900</v>
      </c>
      <c r="V408" s="611">
        <v>1135</v>
      </c>
      <c r="W408" s="614"/>
      <c r="Y408" s="612" t="s">
        <v>1674</v>
      </c>
      <c r="AA408" s="612" t="s">
        <v>1674</v>
      </c>
      <c r="AE408" s="790"/>
      <c r="AF408" s="612" t="s">
        <v>1674</v>
      </c>
      <c r="AG408" s="612" t="s">
        <v>1674</v>
      </c>
      <c r="AH408" s="612" t="s">
        <v>1674</v>
      </c>
      <c r="AI408" s="612" t="s">
        <v>1674</v>
      </c>
      <c r="AJ408" s="612" t="s">
        <v>1674</v>
      </c>
      <c r="AK408" s="612" t="s">
        <v>1674</v>
      </c>
      <c r="AL408" s="612" t="s">
        <v>1674</v>
      </c>
      <c r="AM408" s="612" t="s">
        <v>1674</v>
      </c>
      <c r="AN408" s="612" t="s">
        <v>1674</v>
      </c>
      <c r="AP408">
        <f t="shared" si="12"/>
        <v>-16</v>
      </c>
      <c r="AQ408" s="552">
        <f t="shared" si="13"/>
        <v>650</v>
      </c>
    </row>
    <row r="409" spans="1:43" outlineLevel="1" x14ac:dyDescent="0.25">
      <c r="A409" s="612" t="s">
        <v>1674</v>
      </c>
      <c r="B409" s="786">
        <v>0</v>
      </c>
      <c r="C409" s="612" t="s">
        <v>1674</v>
      </c>
      <c r="D409" s="612" t="s">
        <v>5318</v>
      </c>
      <c r="E409" t="s">
        <v>4911</v>
      </c>
      <c r="F409" t="s">
        <v>4912</v>
      </c>
      <c r="G409" s="787">
        <v>650</v>
      </c>
      <c r="H409" s="787"/>
      <c r="I409" s="787">
        <v>650</v>
      </c>
      <c r="J409" t="s">
        <v>2701</v>
      </c>
      <c r="K409" s="611">
        <v>8339</v>
      </c>
      <c r="L409" t="s">
        <v>806</v>
      </c>
      <c r="M409" s="614"/>
      <c r="N409" s="788">
        <v>17</v>
      </c>
      <c r="O409" s="612" t="s">
        <v>1674</v>
      </c>
      <c r="P409" s="612" t="s">
        <v>1674</v>
      </c>
      <c r="Q409" s="612" t="s">
        <v>3053</v>
      </c>
      <c r="R409" s="612" t="s">
        <v>1674</v>
      </c>
      <c r="S409" s="612" t="s">
        <v>1674</v>
      </c>
      <c r="T409" s="789"/>
      <c r="U409" s="612" t="s">
        <v>4900</v>
      </c>
      <c r="V409" s="611">
        <v>1252</v>
      </c>
      <c r="W409" s="614"/>
      <c r="Y409" s="612" t="s">
        <v>1674</v>
      </c>
      <c r="AA409" s="612" t="s">
        <v>1674</v>
      </c>
      <c r="AE409" s="790"/>
      <c r="AF409" s="612" t="s">
        <v>1674</v>
      </c>
      <c r="AG409" s="612" t="s">
        <v>1674</v>
      </c>
      <c r="AH409" s="612" t="s">
        <v>1674</v>
      </c>
      <c r="AI409" s="612" t="s">
        <v>1674</v>
      </c>
      <c r="AJ409" s="612" t="s">
        <v>1674</v>
      </c>
      <c r="AK409" s="612" t="s">
        <v>1674</v>
      </c>
      <c r="AL409" s="612" t="s">
        <v>1674</v>
      </c>
      <c r="AM409" s="612" t="s">
        <v>1674</v>
      </c>
      <c r="AN409" s="612" t="s">
        <v>1674</v>
      </c>
      <c r="AP409">
        <f t="shared" si="12"/>
        <v>-17</v>
      </c>
      <c r="AQ409" s="552">
        <f t="shared" si="13"/>
        <v>650</v>
      </c>
    </row>
    <row r="410" spans="1:43" outlineLevel="1" x14ac:dyDescent="0.25">
      <c r="A410" s="612" t="s">
        <v>1674</v>
      </c>
      <c r="B410" s="786">
        <v>21607</v>
      </c>
      <c r="C410" s="612" t="s">
        <v>5319</v>
      </c>
      <c r="D410" s="612" t="s">
        <v>5320</v>
      </c>
      <c r="E410" t="s">
        <v>5282</v>
      </c>
      <c r="F410" t="s">
        <v>5283</v>
      </c>
      <c r="G410" s="787">
        <v>15576</v>
      </c>
      <c r="H410" s="787"/>
      <c r="I410" s="787">
        <v>15576</v>
      </c>
      <c r="J410" t="s">
        <v>2701</v>
      </c>
      <c r="K410" s="611">
        <v>8125</v>
      </c>
      <c r="L410" t="s">
        <v>2552</v>
      </c>
      <c r="M410" s="614"/>
      <c r="N410" s="788">
        <v>-6</v>
      </c>
      <c r="O410" s="612" t="s">
        <v>1674</v>
      </c>
      <c r="P410" s="612" t="s">
        <v>1674</v>
      </c>
      <c r="Q410" s="612" t="s">
        <v>5321</v>
      </c>
      <c r="R410" s="612" t="s">
        <v>2617</v>
      </c>
      <c r="S410" s="612" t="s">
        <v>1674</v>
      </c>
      <c r="T410" s="789"/>
      <c r="U410" s="612" t="s">
        <v>5010</v>
      </c>
      <c r="V410" s="611">
        <v>1463</v>
      </c>
      <c r="W410" s="614"/>
      <c r="Y410" s="612" t="s">
        <v>1674</v>
      </c>
      <c r="AA410" s="612" t="s">
        <v>1674</v>
      </c>
      <c r="AE410" s="790"/>
      <c r="AF410" s="612" t="s">
        <v>1674</v>
      </c>
      <c r="AG410" s="612" t="s">
        <v>1674</v>
      </c>
      <c r="AH410" s="612" t="s">
        <v>1674</v>
      </c>
      <c r="AI410" s="612" t="s">
        <v>1674</v>
      </c>
      <c r="AJ410" s="612" t="s">
        <v>1674</v>
      </c>
      <c r="AK410" s="612" t="s">
        <v>1674</v>
      </c>
      <c r="AL410" s="612" t="s">
        <v>1674</v>
      </c>
      <c r="AM410" s="612" t="s">
        <v>5322</v>
      </c>
      <c r="AN410" s="612" t="s">
        <v>1674</v>
      </c>
      <c r="AP410">
        <f t="shared" si="12"/>
        <v>6</v>
      </c>
      <c r="AQ410" s="552">
        <f t="shared" si="13"/>
        <v>15576</v>
      </c>
    </row>
    <row r="411" spans="1:43" outlineLevel="1" x14ac:dyDescent="0.25">
      <c r="A411" s="612" t="s">
        <v>1674</v>
      </c>
      <c r="B411" s="786">
        <v>0</v>
      </c>
      <c r="C411" s="612" t="s">
        <v>1674</v>
      </c>
      <c r="D411" s="612" t="s">
        <v>5323</v>
      </c>
      <c r="E411" t="s">
        <v>5066</v>
      </c>
      <c r="F411" t="s">
        <v>5131</v>
      </c>
      <c r="G411" s="787">
        <v>500</v>
      </c>
      <c r="H411" s="787"/>
      <c r="I411" s="787">
        <v>500</v>
      </c>
      <c r="J411" t="s">
        <v>2701</v>
      </c>
      <c r="K411" s="611">
        <v>8336</v>
      </c>
      <c r="L411" t="s">
        <v>806</v>
      </c>
      <c r="M411" s="614"/>
      <c r="N411" s="788">
        <v>11</v>
      </c>
      <c r="O411" s="612" t="s">
        <v>1674</v>
      </c>
      <c r="P411" s="612" t="s">
        <v>1674</v>
      </c>
      <c r="Q411" s="612" t="s">
        <v>5321</v>
      </c>
      <c r="R411" s="612" t="s">
        <v>1674</v>
      </c>
      <c r="S411" s="612" t="s">
        <v>1674</v>
      </c>
      <c r="T411" s="789"/>
      <c r="U411" s="612" t="s">
        <v>4900</v>
      </c>
      <c r="V411" s="611">
        <v>854</v>
      </c>
      <c r="W411" s="614"/>
      <c r="Y411" s="612" t="s">
        <v>1674</v>
      </c>
      <c r="AA411" s="612" t="s">
        <v>1674</v>
      </c>
      <c r="AE411" s="790"/>
      <c r="AF411" s="612" t="s">
        <v>1674</v>
      </c>
      <c r="AG411" s="612" t="s">
        <v>1674</v>
      </c>
      <c r="AH411" s="612" t="s">
        <v>1674</v>
      </c>
      <c r="AI411" s="612" t="s">
        <v>1674</v>
      </c>
      <c r="AJ411" s="612" t="s">
        <v>1674</v>
      </c>
      <c r="AK411" s="612" t="s">
        <v>1674</v>
      </c>
      <c r="AL411" s="612" t="s">
        <v>1674</v>
      </c>
      <c r="AM411" s="612" t="s">
        <v>1674</v>
      </c>
      <c r="AN411" s="612" t="s">
        <v>1674</v>
      </c>
      <c r="AP411">
        <f t="shared" si="12"/>
        <v>-11</v>
      </c>
      <c r="AQ411" s="552">
        <f t="shared" si="13"/>
        <v>500</v>
      </c>
    </row>
    <row r="412" spans="1:43" outlineLevel="1" x14ac:dyDescent="0.25">
      <c r="A412" s="612" t="s">
        <v>1674</v>
      </c>
      <c r="B412" s="786">
        <v>0</v>
      </c>
      <c r="C412" s="612" t="s">
        <v>1674</v>
      </c>
      <c r="D412" s="612" t="s">
        <v>5324</v>
      </c>
      <c r="E412" t="s">
        <v>5066</v>
      </c>
      <c r="F412" t="s">
        <v>5131</v>
      </c>
      <c r="G412" s="787">
        <v>500</v>
      </c>
      <c r="H412" s="787"/>
      <c r="I412" s="787">
        <v>500</v>
      </c>
      <c r="J412" t="s">
        <v>2701</v>
      </c>
      <c r="K412" s="611">
        <v>8336</v>
      </c>
      <c r="L412" t="s">
        <v>806</v>
      </c>
      <c r="M412" s="614"/>
      <c r="N412" s="788">
        <v>11</v>
      </c>
      <c r="O412" s="612" t="s">
        <v>1674</v>
      </c>
      <c r="P412" s="612" t="s">
        <v>1674</v>
      </c>
      <c r="Q412" s="612" t="s">
        <v>5321</v>
      </c>
      <c r="R412" s="612" t="s">
        <v>1674</v>
      </c>
      <c r="S412" s="612" t="s">
        <v>1674</v>
      </c>
      <c r="T412" s="789"/>
      <c r="U412" s="612" t="s">
        <v>4900</v>
      </c>
      <c r="V412" s="611">
        <v>855</v>
      </c>
      <c r="W412" s="614"/>
      <c r="Y412" s="612" t="s">
        <v>1674</v>
      </c>
      <c r="AA412" s="612" t="s">
        <v>1674</v>
      </c>
      <c r="AE412" s="790"/>
      <c r="AF412" s="612" t="s">
        <v>1674</v>
      </c>
      <c r="AG412" s="612" t="s">
        <v>1674</v>
      </c>
      <c r="AH412" s="612" t="s">
        <v>1674</v>
      </c>
      <c r="AI412" s="612" t="s">
        <v>1674</v>
      </c>
      <c r="AJ412" s="612" t="s">
        <v>1674</v>
      </c>
      <c r="AK412" s="612" t="s">
        <v>1674</v>
      </c>
      <c r="AL412" s="612" t="s">
        <v>1674</v>
      </c>
      <c r="AM412" s="612" t="s">
        <v>1674</v>
      </c>
      <c r="AN412" s="612" t="s">
        <v>1674</v>
      </c>
      <c r="AP412">
        <f t="shared" si="12"/>
        <v>-11</v>
      </c>
      <c r="AQ412" s="552">
        <f t="shared" si="13"/>
        <v>500</v>
      </c>
    </row>
    <row r="413" spans="1:43" outlineLevel="1" x14ac:dyDescent="0.25">
      <c r="A413" s="612" t="s">
        <v>1674</v>
      </c>
      <c r="B413" s="786">
        <v>21907</v>
      </c>
      <c r="C413" s="612" t="s">
        <v>5325</v>
      </c>
      <c r="D413" s="612" t="s">
        <v>5326</v>
      </c>
      <c r="E413" t="s">
        <v>5124</v>
      </c>
      <c r="F413" t="s">
        <v>5125</v>
      </c>
      <c r="G413" s="787">
        <v>7788</v>
      </c>
      <c r="H413" s="787"/>
      <c r="I413" s="787">
        <v>7788</v>
      </c>
      <c r="J413" t="s">
        <v>2701</v>
      </c>
      <c r="K413" s="611">
        <v>8125</v>
      </c>
      <c r="L413" t="s">
        <v>2552</v>
      </c>
      <c r="M413" s="614"/>
      <c r="N413" s="788">
        <v>2</v>
      </c>
      <c r="O413" s="612" t="s">
        <v>1674</v>
      </c>
      <c r="P413" s="612" t="s">
        <v>1674</v>
      </c>
      <c r="Q413" s="612" t="s">
        <v>5327</v>
      </c>
      <c r="R413" s="612" t="s">
        <v>2617</v>
      </c>
      <c r="S413" s="612" t="s">
        <v>1674</v>
      </c>
      <c r="T413" s="789"/>
      <c r="U413" s="612" t="s">
        <v>4900</v>
      </c>
      <c r="V413" s="611">
        <v>241</v>
      </c>
      <c r="W413" s="614"/>
      <c r="Y413" s="612" t="s">
        <v>1674</v>
      </c>
      <c r="AA413" s="612" t="s">
        <v>1674</v>
      </c>
      <c r="AE413" s="790"/>
      <c r="AF413" s="612" t="s">
        <v>1674</v>
      </c>
      <c r="AG413" s="612" t="s">
        <v>1674</v>
      </c>
      <c r="AH413" s="612" t="s">
        <v>1674</v>
      </c>
      <c r="AI413" s="612" t="s">
        <v>1674</v>
      </c>
      <c r="AJ413" s="612" t="s">
        <v>1674</v>
      </c>
      <c r="AK413" s="612" t="s">
        <v>1674</v>
      </c>
      <c r="AL413" s="612" t="s">
        <v>1674</v>
      </c>
      <c r="AM413" s="612" t="s">
        <v>5328</v>
      </c>
      <c r="AN413" s="612" t="s">
        <v>1674</v>
      </c>
      <c r="AP413">
        <f t="shared" si="12"/>
        <v>-2</v>
      </c>
      <c r="AQ413" s="552">
        <f t="shared" si="13"/>
        <v>7788</v>
      </c>
    </row>
    <row r="414" spans="1:43" outlineLevel="1" x14ac:dyDescent="0.25">
      <c r="A414" s="612" t="s">
        <v>1674</v>
      </c>
      <c r="B414" s="786">
        <v>0</v>
      </c>
      <c r="C414" s="612" t="s">
        <v>1674</v>
      </c>
      <c r="D414" s="612" t="s">
        <v>5329</v>
      </c>
      <c r="E414" t="s">
        <v>5078</v>
      </c>
      <c r="F414" t="s">
        <v>5079</v>
      </c>
      <c r="G414" s="787">
        <v>500</v>
      </c>
      <c r="H414" s="787"/>
      <c r="I414" s="787">
        <v>500</v>
      </c>
      <c r="J414" t="s">
        <v>2701</v>
      </c>
      <c r="K414" s="611">
        <v>8336</v>
      </c>
      <c r="L414" t="s">
        <v>806</v>
      </c>
      <c r="M414" s="614"/>
      <c r="N414" s="788">
        <v>4</v>
      </c>
      <c r="O414" s="612" t="s">
        <v>1674</v>
      </c>
      <c r="P414" s="612" t="s">
        <v>1674</v>
      </c>
      <c r="Q414" s="612" t="s">
        <v>5327</v>
      </c>
      <c r="R414" s="612" t="s">
        <v>1674</v>
      </c>
      <c r="S414" s="612" t="s">
        <v>1674</v>
      </c>
      <c r="T414" s="789"/>
      <c r="U414" s="612" t="s">
        <v>4900</v>
      </c>
      <c r="V414" s="611">
        <v>445</v>
      </c>
      <c r="W414" s="614"/>
      <c r="Y414" s="612" t="s">
        <v>1674</v>
      </c>
      <c r="AA414" s="612" t="s">
        <v>1674</v>
      </c>
      <c r="AE414" s="790"/>
      <c r="AF414" s="612" t="s">
        <v>1674</v>
      </c>
      <c r="AG414" s="612" t="s">
        <v>1674</v>
      </c>
      <c r="AH414" s="612" t="s">
        <v>1674</v>
      </c>
      <c r="AI414" s="612" t="s">
        <v>1674</v>
      </c>
      <c r="AJ414" s="612" t="s">
        <v>1674</v>
      </c>
      <c r="AK414" s="612" t="s">
        <v>1674</v>
      </c>
      <c r="AL414" s="612" t="s">
        <v>1674</v>
      </c>
      <c r="AM414" s="612" t="s">
        <v>1674</v>
      </c>
      <c r="AN414" s="612" t="s">
        <v>1674</v>
      </c>
      <c r="AP414">
        <f t="shared" si="12"/>
        <v>-4</v>
      </c>
      <c r="AQ414" s="552">
        <f t="shared" si="13"/>
        <v>500</v>
      </c>
    </row>
    <row r="415" spans="1:43" outlineLevel="1" x14ac:dyDescent="0.25">
      <c r="A415" s="612" t="s">
        <v>2722</v>
      </c>
      <c r="B415" s="786">
        <v>22101</v>
      </c>
      <c r="C415" s="612" t="s">
        <v>3407</v>
      </c>
      <c r="D415" s="612" t="s">
        <v>3408</v>
      </c>
      <c r="E415" t="s">
        <v>3409</v>
      </c>
      <c r="F415" t="s">
        <v>3410</v>
      </c>
      <c r="G415" s="787">
        <v>1050.5</v>
      </c>
      <c r="H415" s="787"/>
      <c r="I415" s="787"/>
      <c r="J415" t="s">
        <v>806</v>
      </c>
      <c r="K415" s="611">
        <v>8140</v>
      </c>
      <c r="L415" t="s">
        <v>806</v>
      </c>
      <c r="M415" s="614"/>
      <c r="N415" s="788">
        <v>-250</v>
      </c>
      <c r="O415" s="612" t="s">
        <v>1674</v>
      </c>
      <c r="P415" s="612" t="s">
        <v>1674</v>
      </c>
      <c r="Q415" s="612" t="s">
        <v>3411</v>
      </c>
      <c r="R415" s="612" t="s">
        <v>1674</v>
      </c>
      <c r="S415" s="612" t="s">
        <v>1674</v>
      </c>
      <c r="T415" s="789"/>
      <c r="U415" s="612" t="s">
        <v>3309</v>
      </c>
      <c r="V415" s="611">
        <v>1452</v>
      </c>
      <c r="W415" s="614"/>
      <c r="Y415" s="612" t="s">
        <v>1674</v>
      </c>
      <c r="AA415" s="612" t="s">
        <v>1674</v>
      </c>
      <c r="AE415" s="790"/>
      <c r="AF415" s="612" t="s">
        <v>1674</v>
      </c>
      <c r="AG415" s="612" t="s">
        <v>1674</v>
      </c>
      <c r="AH415" s="612" t="s">
        <v>1674</v>
      </c>
      <c r="AI415" s="612" t="s">
        <v>1674</v>
      </c>
      <c r="AJ415" s="612" t="s">
        <v>1674</v>
      </c>
      <c r="AK415" s="612" t="s">
        <v>1674</v>
      </c>
      <c r="AL415" s="612" t="s">
        <v>1674</v>
      </c>
      <c r="AM415" s="612" t="s">
        <v>3412</v>
      </c>
      <c r="AN415" s="612" t="s">
        <v>1674</v>
      </c>
      <c r="AP415">
        <f t="shared" si="12"/>
        <v>250</v>
      </c>
      <c r="AQ415" s="552">
        <f t="shared" si="13"/>
        <v>0</v>
      </c>
    </row>
    <row r="416" spans="1:43" outlineLevel="1" x14ac:dyDescent="0.25">
      <c r="A416" s="612" t="s">
        <v>1674</v>
      </c>
      <c r="B416" s="786">
        <v>0</v>
      </c>
      <c r="C416" s="612" t="s">
        <v>1674</v>
      </c>
      <c r="D416" s="612" t="s">
        <v>3408</v>
      </c>
      <c r="E416" t="s">
        <v>3413</v>
      </c>
      <c r="G416" s="787"/>
      <c r="H416" s="787">
        <v>1030.5</v>
      </c>
      <c r="I416" s="787">
        <v>20</v>
      </c>
      <c r="J416" t="s">
        <v>2701</v>
      </c>
      <c r="K416" s="611">
        <v>1200</v>
      </c>
      <c r="L416" t="s">
        <v>806</v>
      </c>
      <c r="M416" s="614"/>
      <c r="N416" s="788"/>
      <c r="O416" s="612" t="s">
        <v>1674</v>
      </c>
      <c r="P416" s="612" t="s">
        <v>1674</v>
      </c>
      <c r="Q416" s="612" t="s">
        <v>3414</v>
      </c>
      <c r="R416" s="612" t="s">
        <v>1674</v>
      </c>
      <c r="S416" s="612" t="s">
        <v>1674</v>
      </c>
      <c r="T416" s="789"/>
      <c r="U416" s="612" t="s">
        <v>3415</v>
      </c>
      <c r="V416" s="611">
        <v>1065</v>
      </c>
      <c r="W416" s="614"/>
      <c r="Y416" s="612" t="s">
        <v>1674</v>
      </c>
      <c r="AA416" s="612" t="s">
        <v>1674</v>
      </c>
      <c r="AE416" s="790"/>
      <c r="AF416" s="612" t="s">
        <v>1674</v>
      </c>
      <c r="AG416" s="612" t="s">
        <v>1674</v>
      </c>
      <c r="AH416" s="612" t="s">
        <v>1674</v>
      </c>
      <c r="AI416" s="612" t="s">
        <v>1674</v>
      </c>
      <c r="AJ416" s="612" t="s">
        <v>1674</v>
      </c>
      <c r="AK416" s="612" t="s">
        <v>1674</v>
      </c>
      <c r="AL416" s="612" t="s">
        <v>1674</v>
      </c>
      <c r="AM416" s="612" t="s">
        <v>1674</v>
      </c>
      <c r="AN416" s="612" t="s">
        <v>1674</v>
      </c>
      <c r="AP416">
        <f t="shared" si="12"/>
        <v>0</v>
      </c>
      <c r="AQ416" s="552">
        <f t="shared" si="13"/>
        <v>20</v>
      </c>
    </row>
    <row r="417" spans="1:43" outlineLevel="1" x14ac:dyDescent="0.25">
      <c r="A417" s="612" t="s">
        <v>1674</v>
      </c>
      <c r="B417" s="786">
        <v>22204</v>
      </c>
      <c r="C417" s="612" t="s">
        <v>3007</v>
      </c>
      <c r="D417" s="612" t="s">
        <v>5330</v>
      </c>
      <c r="E417" t="s">
        <v>4968</v>
      </c>
      <c r="F417" t="s">
        <v>4969</v>
      </c>
      <c r="G417" s="787">
        <v>3994.4</v>
      </c>
      <c r="H417" s="787"/>
      <c r="I417" s="787">
        <v>3994.4</v>
      </c>
      <c r="J417" t="s">
        <v>2701</v>
      </c>
      <c r="K417" s="611">
        <v>8125</v>
      </c>
      <c r="L417" t="s">
        <v>2552</v>
      </c>
      <c r="M417" s="614"/>
      <c r="N417" s="788">
        <v>1</v>
      </c>
      <c r="O417" s="612" t="s">
        <v>1674</v>
      </c>
      <c r="P417" s="612" t="s">
        <v>1674</v>
      </c>
      <c r="Q417" s="612" t="s">
        <v>3009</v>
      </c>
      <c r="R417" s="612" t="s">
        <v>2898</v>
      </c>
      <c r="S417" s="612" t="s">
        <v>1674</v>
      </c>
      <c r="T417" s="789"/>
      <c r="U417" s="612" t="s">
        <v>4900</v>
      </c>
      <c r="V417" s="611">
        <v>165</v>
      </c>
      <c r="W417" s="614"/>
      <c r="Y417" s="612" t="s">
        <v>1674</v>
      </c>
      <c r="AA417" s="612" t="s">
        <v>1674</v>
      </c>
      <c r="AE417" s="790"/>
      <c r="AF417" s="612" t="s">
        <v>1674</v>
      </c>
      <c r="AG417" s="612" t="s">
        <v>1674</v>
      </c>
      <c r="AH417" s="612" t="s">
        <v>1674</v>
      </c>
      <c r="AI417" s="612" t="s">
        <v>1674</v>
      </c>
      <c r="AJ417" s="612" t="s">
        <v>1674</v>
      </c>
      <c r="AK417" s="612" t="s">
        <v>1674</v>
      </c>
      <c r="AL417" s="612" t="s">
        <v>1674</v>
      </c>
      <c r="AM417" s="612" t="s">
        <v>3010</v>
      </c>
      <c r="AN417" s="612" t="s">
        <v>1674</v>
      </c>
      <c r="AP417">
        <f t="shared" si="12"/>
        <v>-1</v>
      </c>
      <c r="AQ417" s="552">
        <f t="shared" si="13"/>
        <v>3994.4</v>
      </c>
    </row>
    <row r="418" spans="1:43" outlineLevel="1" x14ac:dyDescent="0.25">
      <c r="A418" s="612" t="s">
        <v>1674</v>
      </c>
      <c r="B418" s="786">
        <v>22506</v>
      </c>
      <c r="C418" s="612" t="s">
        <v>2859</v>
      </c>
      <c r="D418" s="612" t="s">
        <v>2860</v>
      </c>
      <c r="E418" t="s">
        <v>2817</v>
      </c>
      <c r="G418" s="787"/>
      <c r="H418" s="787">
        <v>1410</v>
      </c>
      <c r="I418" s="787">
        <v>1410</v>
      </c>
      <c r="J418" t="s">
        <v>2584</v>
      </c>
      <c r="K418" s="611">
        <v>1360</v>
      </c>
      <c r="L418" t="s">
        <v>806</v>
      </c>
      <c r="M418" s="614"/>
      <c r="N418" s="788"/>
      <c r="O418" s="612" t="s">
        <v>1674</v>
      </c>
      <c r="P418" s="612" t="s">
        <v>1674</v>
      </c>
      <c r="Q418" s="612" t="s">
        <v>2861</v>
      </c>
      <c r="R418" s="612" t="s">
        <v>1674</v>
      </c>
      <c r="S418" s="612" t="s">
        <v>1674</v>
      </c>
      <c r="T418" s="789"/>
      <c r="U418" s="612" t="s">
        <v>2862</v>
      </c>
      <c r="V418" s="611">
        <v>50</v>
      </c>
      <c r="W418" s="614"/>
      <c r="Y418" s="612" t="s">
        <v>1674</v>
      </c>
      <c r="AA418" s="612" t="s">
        <v>1674</v>
      </c>
      <c r="AE418" s="790"/>
      <c r="AF418" s="612" t="s">
        <v>1674</v>
      </c>
      <c r="AG418" s="612" t="s">
        <v>1674</v>
      </c>
      <c r="AH418" s="612" t="s">
        <v>1674</v>
      </c>
      <c r="AI418" s="612" t="s">
        <v>1674</v>
      </c>
      <c r="AJ418" s="612" t="s">
        <v>1674</v>
      </c>
      <c r="AK418" s="612" t="s">
        <v>1674</v>
      </c>
      <c r="AL418" s="612" t="s">
        <v>1674</v>
      </c>
      <c r="AM418" s="612" t="s">
        <v>2863</v>
      </c>
      <c r="AN418" s="612" t="s">
        <v>1674</v>
      </c>
      <c r="AP418">
        <f t="shared" si="12"/>
        <v>0</v>
      </c>
      <c r="AQ418" s="552">
        <f t="shared" si="13"/>
        <v>-1410</v>
      </c>
    </row>
    <row r="419" spans="1:43" outlineLevel="1" x14ac:dyDescent="0.25">
      <c r="A419" s="612" t="s">
        <v>1674</v>
      </c>
      <c r="B419" s="786">
        <v>0</v>
      </c>
      <c r="C419" s="612" t="s">
        <v>1674</v>
      </c>
      <c r="D419" s="612" t="s">
        <v>5331</v>
      </c>
      <c r="E419" t="s">
        <v>4911</v>
      </c>
      <c r="F419" t="s">
        <v>4912</v>
      </c>
      <c r="G419" s="787">
        <v>5125.5</v>
      </c>
      <c r="H419" s="787"/>
      <c r="I419" s="787">
        <v>5125.5</v>
      </c>
      <c r="J419" t="s">
        <v>2701</v>
      </c>
      <c r="K419" s="611">
        <v>8125</v>
      </c>
      <c r="L419" t="s">
        <v>806</v>
      </c>
      <c r="M419" s="614"/>
      <c r="N419" s="788">
        <v>17</v>
      </c>
      <c r="O419" s="612" t="s">
        <v>1674</v>
      </c>
      <c r="P419" s="612" t="s">
        <v>1674</v>
      </c>
      <c r="Q419" s="612" t="s">
        <v>3013</v>
      </c>
      <c r="R419" s="612" t="s">
        <v>1674</v>
      </c>
      <c r="S419" s="612" t="s">
        <v>1674</v>
      </c>
      <c r="T419" s="789"/>
      <c r="U419" s="612" t="s">
        <v>4900</v>
      </c>
      <c r="V419" s="611">
        <v>1240</v>
      </c>
      <c r="W419" s="614"/>
      <c r="Y419" s="612" t="s">
        <v>1674</v>
      </c>
      <c r="AA419" s="612" t="s">
        <v>1674</v>
      </c>
      <c r="AE419" s="790"/>
      <c r="AF419" s="612" t="s">
        <v>1674</v>
      </c>
      <c r="AG419" s="612" t="s">
        <v>1674</v>
      </c>
      <c r="AH419" s="612" t="s">
        <v>1674</v>
      </c>
      <c r="AI419" s="612" t="s">
        <v>1674</v>
      </c>
      <c r="AJ419" s="612" t="s">
        <v>1674</v>
      </c>
      <c r="AK419" s="612" t="s">
        <v>1674</v>
      </c>
      <c r="AL419" s="612" t="s">
        <v>1674</v>
      </c>
      <c r="AM419" s="612" t="s">
        <v>1674</v>
      </c>
      <c r="AN419" s="612" t="s">
        <v>1674</v>
      </c>
      <c r="AP419">
        <f t="shared" si="12"/>
        <v>-17</v>
      </c>
      <c r="AQ419" s="552">
        <f t="shared" si="13"/>
        <v>5125.5</v>
      </c>
    </row>
    <row r="420" spans="1:43" outlineLevel="1" x14ac:dyDescent="0.25">
      <c r="A420" s="612" t="s">
        <v>1674</v>
      </c>
      <c r="B420" s="786">
        <v>22508</v>
      </c>
      <c r="C420" s="612" t="s">
        <v>2601</v>
      </c>
      <c r="D420" s="612" t="s">
        <v>3421</v>
      </c>
      <c r="E420" t="s">
        <v>5332</v>
      </c>
      <c r="G420" s="787"/>
      <c r="H420" s="787">
        <v>354.86</v>
      </c>
      <c r="I420" s="787">
        <v>354.86</v>
      </c>
      <c r="J420" t="s">
        <v>2584</v>
      </c>
      <c r="K420" s="611">
        <v>1100</v>
      </c>
      <c r="L420" t="s">
        <v>806</v>
      </c>
      <c r="M420" s="614"/>
      <c r="N420" s="788"/>
      <c r="O420" s="612" t="s">
        <v>1674</v>
      </c>
      <c r="P420" s="612" t="s">
        <v>1674</v>
      </c>
      <c r="Q420" s="612" t="s">
        <v>5333</v>
      </c>
      <c r="R420" s="612" t="s">
        <v>1674</v>
      </c>
      <c r="S420" s="612" t="s">
        <v>1674</v>
      </c>
      <c r="T420" s="789"/>
      <c r="U420" s="612" t="s">
        <v>4894</v>
      </c>
      <c r="V420" s="611">
        <v>43</v>
      </c>
      <c r="W420" s="614"/>
      <c r="Y420" s="612" t="s">
        <v>1674</v>
      </c>
      <c r="AA420" s="612" t="s">
        <v>1674</v>
      </c>
      <c r="AE420" s="790"/>
      <c r="AF420" s="612" t="s">
        <v>1674</v>
      </c>
      <c r="AG420" s="612" t="s">
        <v>1674</v>
      </c>
      <c r="AH420" s="612" t="s">
        <v>1674</v>
      </c>
      <c r="AI420" s="612" t="s">
        <v>1674</v>
      </c>
      <c r="AJ420" s="612" t="s">
        <v>1674</v>
      </c>
      <c r="AK420" s="612" t="s">
        <v>1674</v>
      </c>
      <c r="AL420" s="612" t="s">
        <v>1674</v>
      </c>
      <c r="AM420" s="612" t="s">
        <v>2606</v>
      </c>
      <c r="AN420" s="612" t="s">
        <v>1674</v>
      </c>
      <c r="AP420">
        <f t="shared" si="12"/>
        <v>0</v>
      </c>
      <c r="AQ420" s="552">
        <f t="shared" si="13"/>
        <v>-354.86</v>
      </c>
    </row>
    <row r="421" spans="1:43" outlineLevel="1" x14ac:dyDescent="0.25">
      <c r="A421" s="612" t="s">
        <v>1674</v>
      </c>
      <c r="B421" s="786">
        <v>0</v>
      </c>
      <c r="C421" s="612" t="s">
        <v>1674</v>
      </c>
      <c r="D421" s="612" t="s">
        <v>5334</v>
      </c>
      <c r="E421" t="s">
        <v>3736</v>
      </c>
      <c r="F421" t="s">
        <v>5159</v>
      </c>
      <c r="G421" s="787">
        <v>236.57</v>
      </c>
      <c r="H421" s="787"/>
      <c r="I421" s="787">
        <v>236.57</v>
      </c>
      <c r="J421" t="s">
        <v>2701</v>
      </c>
      <c r="K421" s="611">
        <v>8400</v>
      </c>
      <c r="L421" t="s">
        <v>2552</v>
      </c>
      <c r="M421" s="614"/>
      <c r="N421" s="788">
        <v>-46</v>
      </c>
      <c r="O421" s="612" t="s">
        <v>1674</v>
      </c>
      <c r="P421" s="612" t="s">
        <v>1674</v>
      </c>
      <c r="Q421" s="612" t="s">
        <v>3422</v>
      </c>
      <c r="R421" s="612" t="s">
        <v>2622</v>
      </c>
      <c r="S421" s="612" t="s">
        <v>1674</v>
      </c>
      <c r="T421" s="789">
        <v>19</v>
      </c>
      <c r="U421" s="612" t="s">
        <v>5002</v>
      </c>
      <c r="V421" s="611">
        <v>913</v>
      </c>
      <c r="W421" s="614"/>
      <c r="Y421" s="612" t="s">
        <v>1674</v>
      </c>
      <c r="AA421" s="612" t="s">
        <v>1674</v>
      </c>
      <c r="AE421" s="790"/>
      <c r="AF421" s="612" t="s">
        <v>1674</v>
      </c>
      <c r="AG421" s="612" t="s">
        <v>1674</v>
      </c>
      <c r="AH421" s="612" t="s">
        <v>1674</v>
      </c>
      <c r="AI421" s="612" t="s">
        <v>1674</v>
      </c>
      <c r="AJ421" s="612" t="s">
        <v>1674</v>
      </c>
      <c r="AK421" s="612" t="s">
        <v>1674</v>
      </c>
      <c r="AL421" s="612" t="s">
        <v>1674</v>
      </c>
      <c r="AM421" s="612" t="s">
        <v>1674</v>
      </c>
      <c r="AN421" s="612" t="s">
        <v>1674</v>
      </c>
      <c r="AP421">
        <f t="shared" si="12"/>
        <v>46</v>
      </c>
      <c r="AQ421" s="552">
        <f t="shared" si="13"/>
        <v>236.57</v>
      </c>
    </row>
    <row r="422" spans="1:43" outlineLevel="1" x14ac:dyDescent="0.25">
      <c r="A422" s="612" t="s">
        <v>1674</v>
      </c>
      <c r="B422" s="786">
        <v>22513</v>
      </c>
      <c r="C422" s="612" t="s">
        <v>5335</v>
      </c>
      <c r="D422" s="612" t="s">
        <v>5336</v>
      </c>
      <c r="E422" t="s">
        <v>3705</v>
      </c>
      <c r="F422" t="s">
        <v>5059</v>
      </c>
      <c r="G422" s="787">
        <v>7788</v>
      </c>
      <c r="H422" s="787"/>
      <c r="I422" s="787">
        <v>7788</v>
      </c>
      <c r="J422" t="s">
        <v>2701</v>
      </c>
      <c r="K422" s="611">
        <v>8125</v>
      </c>
      <c r="L422" t="s">
        <v>2552</v>
      </c>
      <c r="M422" s="614"/>
      <c r="N422" s="788">
        <v>-52</v>
      </c>
      <c r="O422" s="612" t="s">
        <v>1674</v>
      </c>
      <c r="P422" s="612" t="s">
        <v>1674</v>
      </c>
      <c r="Q422" s="612" t="s">
        <v>5337</v>
      </c>
      <c r="R422" s="612" t="s">
        <v>2617</v>
      </c>
      <c r="S422" s="612" t="s">
        <v>1674</v>
      </c>
      <c r="T422" s="789"/>
      <c r="U422" s="612" t="s">
        <v>5002</v>
      </c>
      <c r="V422" s="611">
        <v>618</v>
      </c>
      <c r="W422" s="614"/>
      <c r="Y422" s="612" t="s">
        <v>1674</v>
      </c>
      <c r="AA422" s="612" t="s">
        <v>1674</v>
      </c>
      <c r="AE422" s="790"/>
      <c r="AF422" s="612" t="s">
        <v>1674</v>
      </c>
      <c r="AG422" s="612" t="s">
        <v>1674</v>
      </c>
      <c r="AH422" s="612" t="s">
        <v>1674</v>
      </c>
      <c r="AI422" s="612" t="s">
        <v>1674</v>
      </c>
      <c r="AJ422" s="612" t="s">
        <v>1674</v>
      </c>
      <c r="AK422" s="612" t="s">
        <v>1674</v>
      </c>
      <c r="AL422" s="612" t="s">
        <v>1674</v>
      </c>
      <c r="AM422" s="612" t="s">
        <v>5338</v>
      </c>
      <c r="AN422" s="612" t="s">
        <v>1674</v>
      </c>
      <c r="AP422">
        <f t="shared" si="12"/>
        <v>52</v>
      </c>
      <c r="AQ422" s="552">
        <f t="shared" si="13"/>
        <v>7788</v>
      </c>
    </row>
    <row r="423" spans="1:43" outlineLevel="1" x14ac:dyDescent="0.25">
      <c r="A423" s="612" t="s">
        <v>1674</v>
      </c>
      <c r="B423" s="786">
        <v>22801</v>
      </c>
      <c r="C423" s="612" t="s">
        <v>2607</v>
      </c>
      <c r="D423" s="612" t="s">
        <v>2721</v>
      </c>
      <c r="E423" t="s">
        <v>2712</v>
      </c>
      <c r="G423" s="787"/>
      <c r="H423" s="787">
        <v>123.75</v>
      </c>
      <c r="I423" s="787">
        <v>123.75</v>
      </c>
      <c r="J423" t="s">
        <v>2584</v>
      </c>
      <c r="K423" s="611">
        <v>8125</v>
      </c>
      <c r="L423" t="s">
        <v>806</v>
      </c>
      <c r="M423" s="614"/>
      <c r="N423" s="788"/>
      <c r="O423" s="612" t="s">
        <v>1674</v>
      </c>
      <c r="P423" s="612" t="s">
        <v>1674</v>
      </c>
      <c r="Q423" s="612" t="s">
        <v>2610</v>
      </c>
      <c r="R423" s="612" t="s">
        <v>1674</v>
      </c>
      <c r="S423" s="612" t="s">
        <v>1674</v>
      </c>
      <c r="T423" s="789"/>
      <c r="U423" s="612" t="s">
        <v>2667</v>
      </c>
      <c r="V423" s="611">
        <v>243</v>
      </c>
      <c r="W423" s="614"/>
      <c r="Y423" s="612" t="s">
        <v>1674</v>
      </c>
      <c r="AA423" s="612" t="s">
        <v>1674</v>
      </c>
      <c r="AE423" s="790"/>
      <c r="AF423" s="612" t="s">
        <v>1674</v>
      </c>
      <c r="AG423" s="612" t="s">
        <v>1674</v>
      </c>
      <c r="AH423" s="612" t="s">
        <v>1674</v>
      </c>
      <c r="AI423" s="612" t="s">
        <v>1674</v>
      </c>
      <c r="AJ423" s="612" t="s">
        <v>1674</v>
      </c>
      <c r="AK423" s="612" t="s">
        <v>1674</v>
      </c>
      <c r="AL423" s="612" t="s">
        <v>1674</v>
      </c>
      <c r="AM423" s="612" t="s">
        <v>2612</v>
      </c>
      <c r="AN423" s="612" t="s">
        <v>1674</v>
      </c>
      <c r="AP423">
        <f t="shared" si="12"/>
        <v>0</v>
      </c>
      <c r="AQ423" s="552">
        <f t="shared" si="13"/>
        <v>-123.75</v>
      </c>
    </row>
    <row r="424" spans="1:43" outlineLevel="1" x14ac:dyDescent="0.25">
      <c r="A424" s="612" t="s">
        <v>1674</v>
      </c>
      <c r="B424" s="786">
        <v>30701</v>
      </c>
      <c r="C424" s="612" t="s">
        <v>2787</v>
      </c>
      <c r="D424" s="612" t="s">
        <v>3658</v>
      </c>
      <c r="E424" t="s">
        <v>3656</v>
      </c>
      <c r="F424" t="s">
        <v>3657</v>
      </c>
      <c r="G424" s="787">
        <v>210240</v>
      </c>
      <c r="H424" s="787"/>
      <c r="I424" s="787">
        <v>210240</v>
      </c>
      <c r="J424" t="s">
        <v>2701</v>
      </c>
      <c r="K424" s="611">
        <v>8120</v>
      </c>
      <c r="L424" t="s">
        <v>806</v>
      </c>
      <c r="M424" s="614"/>
      <c r="N424" s="788">
        <v>-96</v>
      </c>
      <c r="O424" s="612" t="s">
        <v>1674</v>
      </c>
      <c r="P424" s="612" t="s">
        <v>1674</v>
      </c>
      <c r="Q424" s="612" t="s">
        <v>2791</v>
      </c>
      <c r="R424" s="612" t="s">
        <v>1674</v>
      </c>
      <c r="S424" s="612" t="s">
        <v>1674</v>
      </c>
      <c r="T424" s="789"/>
      <c r="U424" s="612" t="s">
        <v>3323</v>
      </c>
      <c r="V424" s="611">
        <v>1347</v>
      </c>
      <c r="W424" s="614"/>
      <c r="Y424" s="612" t="s">
        <v>1674</v>
      </c>
      <c r="AA424" s="612" t="s">
        <v>1674</v>
      </c>
      <c r="AE424" s="790"/>
      <c r="AF424" s="612" t="s">
        <v>1674</v>
      </c>
      <c r="AG424" s="612" t="s">
        <v>1674</v>
      </c>
      <c r="AH424" s="612" t="s">
        <v>1674</v>
      </c>
      <c r="AI424" s="612" t="s">
        <v>1674</v>
      </c>
      <c r="AJ424" s="612" t="s">
        <v>1674</v>
      </c>
      <c r="AK424" s="612" t="s">
        <v>1674</v>
      </c>
      <c r="AL424" s="612" t="s">
        <v>1674</v>
      </c>
      <c r="AM424" s="612" t="s">
        <v>2792</v>
      </c>
      <c r="AN424" s="612" t="s">
        <v>1674</v>
      </c>
      <c r="AP424">
        <f t="shared" si="12"/>
        <v>96</v>
      </c>
      <c r="AQ424" s="552">
        <f t="shared" si="13"/>
        <v>210240</v>
      </c>
    </row>
    <row r="425" spans="1:43" outlineLevel="1" x14ac:dyDescent="0.25">
      <c r="A425" s="612" t="s">
        <v>1674</v>
      </c>
      <c r="B425" s="786">
        <v>0</v>
      </c>
      <c r="C425" s="612" t="s">
        <v>1674</v>
      </c>
      <c r="D425" s="612" t="s">
        <v>5339</v>
      </c>
      <c r="E425" t="s">
        <v>5007</v>
      </c>
      <c r="F425" t="s">
        <v>4995</v>
      </c>
      <c r="G425" s="787">
        <v>65700</v>
      </c>
      <c r="H425" s="787"/>
      <c r="I425" s="787">
        <v>65700</v>
      </c>
      <c r="J425" t="s">
        <v>2701</v>
      </c>
      <c r="K425" s="611">
        <v>8120</v>
      </c>
      <c r="L425" t="s">
        <v>806</v>
      </c>
      <c r="M425" s="614"/>
      <c r="N425" s="788">
        <v>-31</v>
      </c>
      <c r="O425" s="612" t="s">
        <v>1674</v>
      </c>
      <c r="P425" s="612" t="s">
        <v>1674</v>
      </c>
      <c r="Q425" s="612" t="s">
        <v>2810</v>
      </c>
      <c r="R425" s="612" t="s">
        <v>1674</v>
      </c>
      <c r="S425" s="612" t="s">
        <v>1674</v>
      </c>
      <c r="T425" s="789"/>
      <c r="U425" s="612" t="s">
        <v>5002</v>
      </c>
      <c r="V425" s="611">
        <v>1718</v>
      </c>
      <c r="W425" s="614"/>
      <c r="Y425" s="612" t="s">
        <v>1674</v>
      </c>
      <c r="AA425" s="612" t="s">
        <v>1674</v>
      </c>
      <c r="AE425" s="790"/>
      <c r="AF425" s="612" t="s">
        <v>1674</v>
      </c>
      <c r="AG425" s="612" t="s">
        <v>1674</v>
      </c>
      <c r="AH425" s="612" t="s">
        <v>1674</v>
      </c>
      <c r="AI425" s="612" t="s">
        <v>1674</v>
      </c>
      <c r="AJ425" s="612" t="s">
        <v>1674</v>
      </c>
      <c r="AK425" s="612" t="s">
        <v>1674</v>
      </c>
      <c r="AL425" s="612" t="s">
        <v>1674</v>
      </c>
      <c r="AM425" s="612" t="s">
        <v>1674</v>
      </c>
      <c r="AN425" s="612" t="s">
        <v>1674</v>
      </c>
      <c r="AP425">
        <f t="shared" si="12"/>
        <v>31</v>
      </c>
      <c r="AQ425" s="552">
        <f t="shared" si="13"/>
        <v>65700</v>
      </c>
    </row>
    <row r="426" spans="1:43" outlineLevel="1" x14ac:dyDescent="0.25">
      <c r="A426" s="612" t="s">
        <v>1674</v>
      </c>
      <c r="B426" s="786">
        <v>0</v>
      </c>
      <c r="C426" s="612" t="s">
        <v>1674</v>
      </c>
      <c r="D426" s="612" t="s">
        <v>5340</v>
      </c>
      <c r="E426" t="s">
        <v>5117</v>
      </c>
      <c r="F426" t="s">
        <v>5304</v>
      </c>
      <c r="G426" s="787">
        <v>210240</v>
      </c>
      <c r="H426" s="787"/>
      <c r="I426" s="787">
        <v>210240</v>
      </c>
      <c r="J426" t="s">
        <v>2701</v>
      </c>
      <c r="K426" s="611">
        <v>8120</v>
      </c>
      <c r="L426" t="s">
        <v>806</v>
      </c>
      <c r="M426" s="614"/>
      <c r="N426" s="788">
        <v>-4</v>
      </c>
      <c r="O426" s="612" t="s">
        <v>1674</v>
      </c>
      <c r="P426" s="612" t="s">
        <v>1674</v>
      </c>
      <c r="Q426" s="612" t="s">
        <v>2791</v>
      </c>
      <c r="R426" s="612" t="s">
        <v>1674</v>
      </c>
      <c r="S426" s="612" t="s">
        <v>1674</v>
      </c>
      <c r="T426" s="789"/>
      <c r="U426" s="612" t="s">
        <v>5010</v>
      </c>
      <c r="V426" s="611">
        <v>1701</v>
      </c>
      <c r="W426" s="614"/>
      <c r="Y426" s="612" t="s">
        <v>1674</v>
      </c>
      <c r="AA426" s="612" t="s">
        <v>1674</v>
      </c>
      <c r="AE426" s="790"/>
      <c r="AF426" s="612" t="s">
        <v>1674</v>
      </c>
      <c r="AG426" s="612" t="s">
        <v>1674</v>
      </c>
      <c r="AH426" s="612" t="s">
        <v>1674</v>
      </c>
      <c r="AI426" s="612" t="s">
        <v>1674</v>
      </c>
      <c r="AJ426" s="612" t="s">
        <v>1674</v>
      </c>
      <c r="AK426" s="612" t="s">
        <v>1674</v>
      </c>
      <c r="AL426" s="612" t="s">
        <v>1674</v>
      </c>
      <c r="AM426" s="612" t="s">
        <v>1674</v>
      </c>
      <c r="AN426" s="612" t="s">
        <v>1674</v>
      </c>
      <c r="AP426">
        <f t="shared" si="12"/>
        <v>4</v>
      </c>
      <c r="AQ426" s="552">
        <f t="shared" si="13"/>
        <v>210240</v>
      </c>
    </row>
    <row r="427" spans="1:43" outlineLevel="1" x14ac:dyDescent="0.25">
      <c r="A427" s="612" t="s">
        <v>1674</v>
      </c>
      <c r="B427" s="786">
        <v>30803</v>
      </c>
      <c r="C427" s="612" t="s">
        <v>2925</v>
      </c>
      <c r="D427" s="612" t="s">
        <v>5341</v>
      </c>
      <c r="E427" t="s">
        <v>5121</v>
      </c>
      <c r="F427" t="s">
        <v>5041</v>
      </c>
      <c r="G427" s="787">
        <v>1739.78</v>
      </c>
      <c r="H427" s="787"/>
      <c r="I427" s="787">
        <v>1739.78</v>
      </c>
      <c r="J427" t="s">
        <v>2701</v>
      </c>
      <c r="K427" s="611">
        <v>8400</v>
      </c>
      <c r="L427" t="s">
        <v>806</v>
      </c>
      <c r="M427" s="614"/>
      <c r="N427" s="788">
        <v>-3</v>
      </c>
      <c r="O427" s="612" t="s">
        <v>1674</v>
      </c>
      <c r="P427" s="612" t="s">
        <v>1674</v>
      </c>
      <c r="Q427" s="612" t="s">
        <v>3030</v>
      </c>
      <c r="R427" s="612" t="s">
        <v>1674</v>
      </c>
      <c r="S427" s="612" t="s">
        <v>1674</v>
      </c>
      <c r="T427" s="789">
        <v>19</v>
      </c>
      <c r="U427" s="612" t="s">
        <v>5010</v>
      </c>
      <c r="V427" s="611">
        <v>1824</v>
      </c>
      <c r="W427" s="614"/>
      <c r="Y427" s="612" t="s">
        <v>1674</v>
      </c>
      <c r="AA427" s="612" t="s">
        <v>1674</v>
      </c>
      <c r="AE427" s="790"/>
      <c r="AF427" s="612" t="s">
        <v>1674</v>
      </c>
      <c r="AG427" s="612" t="s">
        <v>1674</v>
      </c>
      <c r="AH427" s="612" t="s">
        <v>1674</v>
      </c>
      <c r="AI427" s="612" t="s">
        <v>1674</v>
      </c>
      <c r="AJ427" s="612" t="s">
        <v>1674</v>
      </c>
      <c r="AK427" s="612" t="s">
        <v>1674</v>
      </c>
      <c r="AL427" s="612" t="s">
        <v>1674</v>
      </c>
      <c r="AM427" s="612" t="s">
        <v>2928</v>
      </c>
      <c r="AN427" s="612" t="s">
        <v>1674</v>
      </c>
      <c r="AP427">
        <f t="shared" si="12"/>
        <v>3</v>
      </c>
      <c r="AQ427" s="552">
        <f t="shared" si="13"/>
        <v>1739.78</v>
      </c>
    </row>
    <row r="428" spans="1:43" outlineLevel="1" x14ac:dyDescent="0.25">
      <c r="A428" s="612" t="s">
        <v>1674</v>
      </c>
      <c r="B428" s="786">
        <v>0</v>
      </c>
      <c r="C428" s="612" t="s">
        <v>1674</v>
      </c>
      <c r="D428" s="612" t="s">
        <v>5342</v>
      </c>
      <c r="E428" t="s">
        <v>5066</v>
      </c>
      <c r="F428" t="s">
        <v>5131</v>
      </c>
      <c r="G428" s="787">
        <v>821.1</v>
      </c>
      <c r="H428" s="787"/>
      <c r="I428" s="787">
        <v>821.1</v>
      </c>
      <c r="J428" t="s">
        <v>2701</v>
      </c>
      <c r="K428" s="611">
        <v>8400</v>
      </c>
      <c r="L428" t="s">
        <v>806</v>
      </c>
      <c r="M428" s="614"/>
      <c r="N428" s="788">
        <v>11</v>
      </c>
      <c r="O428" s="612" t="s">
        <v>1674</v>
      </c>
      <c r="P428" s="612" t="s">
        <v>1674</v>
      </c>
      <c r="Q428" s="612" t="s">
        <v>3030</v>
      </c>
      <c r="R428" s="612" t="s">
        <v>1674</v>
      </c>
      <c r="S428" s="612" t="s">
        <v>1674</v>
      </c>
      <c r="T428" s="789">
        <v>19</v>
      </c>
      <c r="U428" s="612" t="s">
        <v>4900</v>
      </c>
      <c r="V428" s="611">
        <v>837</v>
      </c>
      <c r="W428" s="614"/>
      <c r="Y428" s="612" t="s">
        <v>1674</v>
      </c>
      <c r="AA428" s="612" t="s">
        <v>1674</v>
      </c>
      <c r="AE428" s="790"/>
      <c r="AF428" s="612" t="s">
        <v>1674</v>
      </c>
      <c r="AG428" s="612" t="s">
        <v>1674</v>
      </c>
      <c r="AH428" s="612" t="s">
        <v>1674</v>
      </c>
      <c r="AI428" s="612" t="s">
        <v>1674</v>
      </c>
      <c r="AJ428" s="612" t="s">
        <v>1674</v>
      </c>
      <c r="AK428" s="612" t="s">
        <v>1674</v>
      </c>
      <c r="AL428" s="612" t="s">
        <v>1674</v>
      </c>
      <c r="AM428" s="612" t="s">
        <v>1674</v>
      </c>
      <c r="AN428" s="612" t="s">
        <v>1674</v>
      </c>
      <c r="AP428">
        <f t="shared" si="12"/>
        <v>-11</v>
      </c>
      <c r="AQ428" s="552">
        <f t="shared" si="13"/>
        <v>821.1</v>
      </c>
    </row>
    <row r="429" spans="1:43" outlineLevel="1" x14ac:dyDescent="0.25">
      <c r="A429" s="612" t="s">
        <v>1674</v>
      </c>
      <c r="B429" s="786">
        <v>0</v>
      </c>
      <c r="C429" s="612" t="s">
        <v>1674</v>
      </c>
      <c r="D429" s="612" t="s">
        <v>5343</v>
      </c>
      <c r="E429" t="s">
        <v>5066</v>
      </c>
      <c r="F429" t="s">
        <v>5131</v>
      </c>
      <c r="G429" s="787">
        <v>1785</v>
      </c>
      <c r="H429" s="787"/>
      <c r="I429" s="787">
        <v>1785</v>
      </c>
      <c r="J429" t="s">
        <v>2701</v>
      </c>
      <c r="K429" s="611">
        <v>8400</v>
      </c>
      <c r="L429" t="s">
        <v>806</v>
      </c>
      <c r="M429" s="614"/>
      <c r="N429" s="788">
        <v>11</v>
      </c>
      <c r="O429" s="612" t="s">
        <v>1674</v>
      </c>
      <c r="P429" s="612" t="s">
        <v>1674</v>
      </c>
      <c r="Q429" s="612" t="s">
        <v>3030</v>
      </c>
      <c r="R429" s="612" t="s">
        <v>1674</v>
      </c>
      <c r="S429" s="612" t="s">
        <v>1674</v>
      </c>
      <c r="T429" s="789">
        <v>19</v>
      </c>
      <c r="U429" s="612" t="s">
        <v>4900</v>
      </c>
      <c r="V429" s="611">
        <v>841</v>
      </c>
      <c r="W429" s="614"/>
      <c r="Y429" s="612" t="s">
        <v>1674</v>
      </c>
      <c r="AA429" s="612" t="s">
        <v>1674</v>
      </c>
      <c r="AE429" s="790"/>
      <c r="AF429" s="612" t="s">
        <v>1674</v>
      </c>
      <c r="AG429" s="612" t="s">
        <v>1674</v>
      </c>
      <c r="AH429" s="612" t="s">
        <v>1674</v>
      </c>
      <c r="AI429" s="612" t="s">
        <v>1674</v>
      </c>
      <c r="AJ429" s="612" t="s">
        <v>1674</v>
      </c>
      <c r="AK429" s="612" t="s">
        <v>1674</v>
      </c>
      <c r="AL429" s="612" t="s">
        <v>1674</v>
      </c>
      <c r="AM429" s="612" t="s">
        <v>1674</v>
      </c>
      <c r="AN429" s="612" t="s">
        <v>1674</v>
      </c>
      <c r="AP429">
        <f t="shared" si="12"/>
        <v>-11</v>
      </c>
      <c r="AQ429" s="552">
        <f t="shared" si="13"/>
        <v>1785</v>
      </c>
    </row>
    <row r="430" spans="1:43" outlineLevel="1" x14ac:dyDescent="0.25">
      <c r="A430" s="612" t="s">
        <v>1674</v>
      </c>
      <c r="B430" s="786">
        <v>0</v>
      </c>
      <c r="C430" s="612" t="s">
        <v>1674</v>
      </c>
      <c r="D430" s="612" t="s">
        <v>5344</v>
      </c>
      <c r="E430" t="s">
        <v>5066</v>
      </c>
      <c r="F430" t="s">
        <v>5131</v>
      </c>
      <c r="G430" s="787">
        <v>3894.87</v>
      </c>
      <c r="H430" s="787"/>
      <c r="I430" s="787">
        <v>3894.87</v>
      </c>
      <c r="J430" t="s">
        <v>2701</v>
      </c>
      <c r="K430" s="611">
        <v>8400</v>
      </c>
      <c r="L430" t="s">
        <v>806</v>
      </c>
      <c r="M430" s="614"/>
      <c r="N430" s="788">
        <v>11</v>
      </c>
      <c r="O430" s="612" t="s">
        <v>1674</v>
      </c>
      <c r="P430" s="612" t="s">
        <v>1674</v>
      </c>
      <c r="Q430" s="612" t="s">
        <v>3030</v>
      </c>
      <c r="R430" s="612" t="s">
        <v>1674</v>
      </c>
      <c r="S430" s="612" t="s">
        <v>1674</v>
      </c>
      <c r="T430" s="789">
        <v>19</v>
      </c>
      <c r="U430" s="612" t="s">
        <v>4900</v>
      </c>
      <c r="V430" s="611">
        <v>842</v>
      </c>
      <c r="W430" s="614"/>
      <c r="Y430" s="612" t="s">
        <v>1674</v>
      </c>
      <c r="AA430" s="612" t="s">
        <v>1674</v>
      </c>
      <c r="AE430" s="790"/>
      <c r="AF430" s="612" t="s">
        <v>1674</v>
      </c>
      <c r="AG430" s="612" t="s">
        <v>1674</v>
      </c>
      <c r="AH430" s="612" t="s">
        <v>1674</v>
      </c>
      <c r="AI430" s="612" t="s">
        <v>1674</v>
      </c>
      <c r="AJ430" s="612" t="s">
        <v>1674</v>
      </c>
      <c r="AK430" s="612" t="s">
        <v>1674</v>
      </c>
      <c r="AL430" s="612" t="s">
        <v>1674</v>
      </c>
      <c r="AM430" s="612" t="s">
        <v>1674</v>
      </c>
      <c r="AN430" s="612" t="s">
        <v>1674</v>
      </c>
      <c r="AP430">
        <f t="shared" si="12"/>
        <v>-11</v>
      </c>
      <c r="AQ430" s="552">
        <f t="shared" si="13"/>
        <v>3894.87</v>
      </c>
    </row>
    <row r="431" spans="1:43" outlineLevel="1" x14ac:dyDescent="0.25">
      <c r="A431" s="612" t="s">
        <v>1674</v>
      </c>
      <c r="B431" s="786">
        <v>0</v>
      </c>
      <c r="C431" s="612" t="s">
        <v>1674</v>
      </c>
      <c r="D431" s="612" t="s">
        <v>5345</v>
      </c>
      <c r="E431" t="s">
        <v>4911</v>
      </c>
      <c r="F431" t="s">
        <v>4912</v>
      </c>
      <c r="G431" s="787">
        <v>26953.5</v>
      </c>
      <c r="H431" s="787"/>
      <c r="I431" s="787">
        <v>26953.5</v>
      </c>
      <c r="J431" t="s">
        <v>2701</v>
      </c>
      <c r="K431" s="611">
        <v>8640</v>
      </c>
      <c r="L431" t="s">
        <v>806</v>
      </c>
      <c r="M431" s="614"/>
      <c r="N431" s="788">
        <v>17</v>
      </c>
      <c r="O431" s="612" t="s">
        <v>1674</v>
      </c>
      <c r="P431" s="612" t="s">
        <v>1674</v>
      </c>
      <c r="Q431" s="612" t="s">
        <v>3030</v>
      </c>
      <c r="R431" s="612" t="s">
        <v>1674</v>
      </c>
      <c r="S431" s="612" t="s">
        <v>1674</v>
      </c>
      <c r="T431" s="789">
        <v>19</v>
      </c>
      <c r="U431" s="612" t="s">
        <v>4900</v>
      </c>
      <c r="V431" s="611">
        <v>1261</v>
      </c>
      <c r="W431" s="614"/>
      <c r="Y431" s="612" t="s">
        <v>1674</v>
      </c>
      <c r="AA431" s="612" t="s">
        <v>1674</v>
      </c>
      <c r="AE431" s="790"/>
      <c r="AF431" s="612" t="s">
        <v>1674</v>
      </c>
      <c r="AG431" s="612" t="s">
        <v>1674</v>
      </c>
      <c r="AH431" s="612" t="s">
        <v>1674</v>
      </c>
      <c r="AI431" s="612" t="s">
        <v>1674</v>
      </c>
      <c r="AJ431" s="612" t="s">
        <v>1674</v>
      </c>
      <c r="AK431" s="612" t="s">
        <v>1674</v>
      </c>
      <c r="AL431" s="612" t="s">
        <v>1674</v>
      </c>
      <c r="AM431" s="612" t="s">
        <v>1674</v>
      </c>
      <c r="AN431" s="612" t="s">
        <v>1674</v>
      </c>
      <c r="AP431">
        <f t="shared" si="12"/>
        <v>-17</v>
      </c>
      <c r="AQ431" s="552">
        <f t="shared" si="13"/>
        <v>26953.5</v>
      </c>
    </row>
    <row r="432" spans="1:43" outlineLevel="1" x14ac:dyDescent="0.25">
      <c r="A432" s="612" t="s">
        <v>1674</v>
      </c>
      <c r="B432" s="786">
        <v>0</v>
      </c>
      <c r="C432" s="612" t="s">
        <v>1674</v>
      </c>
      <c r="D432" s="612" t="s">
        <v>5346</v>
      </c>
      <c r="E432" t="s">
        <v>4915</v>
      </c>
      <c r="F432" t="s">
        <v>4916</v>
      </c>
      <c r="G432" s="787">
        <v>7699.3</v>
      </c>
      <c r="H432" s="787"/>
      <c r="I432" s="787">
        <v>7699.3</v>
      </c>
      <c r="J432" t="s">
        <v>2701</v>
      </c>
      <c r="K432" s="611">
        <v>8400</v>
      </c>
      <c r="L432" t="s">
        <v>806</v>
      </c>
      <c r="M432" s="614"/>
      <c r="N432" s="788">
        <v>18</v>
      </c>
      <c r="O432" s="612" t="s">
        <v>1674</v>
      </c>
      <c r="P432" s="612" t="s">
        <v>1674</v>
      </c>
      <c r="Q432" s="612" t="s">
        <v>3030</v>
      </c>
      <c r="R432" s="612" t="s">
        <v>1674</v>
      </c>
      <c r="S432" s="612" t="s">
        <v>1674</v>
      </c>
      <c r="T432" s="789">
        <v>19</v>
      </c>
      <c r="U432" s="612" t="s">
        <v>4900</v>
      </c>
      <c r="V432" s="611">
        <v>1356</v>
      </c>
      <c r="W432" s="614"/>
      <c r="Y432" s="612" t="s">
        <v>1674</v>
      </c>
      <c r="AA432" s="612" t="s">
        <v>1674</v>
      </c>
      <c r="AE432" s="790"/>
      <c r="AF432" s="612" t="s">
        <v>1674</v>
      </c>
      <c r="AG432" s="612" t="s">
        <v>1674</v>
      </c>
      <c r="AH432" s="612" t="s">
        <v>1674</v>
      </c>
      <c r="AI432" s="612" t="s">
        <v>1674</v>
      </c>
      <c r="AJ432" s="612" t="s">
        <v>1674</v>
      </c>
      <c r="AK432" s="612" t="s">
        <v>1674</v>
      </c>
      <c r="AL432" s="612" t="s">
        <v>1674</v>
      </c>
      <c r="AM432" s="612" t="s">
        <v>1674</v>
      </c>
      <c r="AN432" s="612" t="s">
        <v>1674</v>
      </c>
      <c r="AP432">
        <f t="shared" si="12"/>
        <v>-18</v>
      </c>
      <c r="AQ432" s="552">
        <f t="shared" si="13"/>
        <v>7699.3</v>
      </c>
    </row>
    <row r="433" spans="1:43" outlineLevel="1" x14ac:dyDescent="0.25">
      <c r="A433" s="612" t="s">
        <v>1674</v>
      </c>
      <c r="B433" s="786">
        <v>30806</v>
      </c>
      <c r="C433" s="612" t="s">
        <v>2702</v>
      </c>
      <c r="D433" s="612" t="s">
        <v>2703</v>
      </c>
      <c r="E433" t="s">
        <v>2704</v>
      </c>
      <c r="G433" s="787"/>
      <c r="H433" s="787">
        <v>41.8</v>
      </c>
      <c r="I433" s="787">
        <v>41.8</v>
      </c>
      <c r="J433" t="s">
        <v>2584</v>
      </c>
      <c r="K433" s="611">
        <v>8120</v>
      </c>
      <c r="L433" t="s">
        <v>806</v>
      </c>
      <c r="M433" s="614"/>
      <c r="N433" s="788"/>
      <c r="O433" s="612" t="s">
        <v>1674</v>
      </c>
      <c r="P433" s="612" t="s">
        <v>1674</v>
      </c>
      <c r="Q433" s="612" t="s">
        <v>2705</v>
      </c>
      <c r="R433" s="612" t="s">
        <v>1674</v>
      </c>
      <c r="S433" s="612" t="s">
        <v>1674</v>
      </c>
      <c r="T433" s="789"/>
      <c r="U433" s="612" t="s">
        <v>2649</v>
      </c>
      <c r="V433" s="611">
        <v>468</v>
      </c>
      <c r="W433" s="614"/>
      <c r="Y433" s="612" t="s">
        <v>1674</v>
      </c>
      <c r="AA433" s="612" t="s">
        <v>1674</v>
      </c>
      <c r="AE433" s="790"/>
      <c r="AF433" s="612" t="s">
        <v>1674</v>
      </c>
      <c r="AG433" s="612" t="s">
        <v>1674</v>
      </c>
      <c r="AH433" s="612" t="s">
        <v>1674</v>
      </c>
      <c r="AI433" s="612" t="s">
        <v>1674</v>
      </c>
      <c r="AJ433" s="612" t="s">
        <v>1674</v>
      </c>
      <c r="AK433" s="612" t="s">
        <v>1674</v>
      </c>
      <c r="AL433" s="612" t="s">
        <v>1674</v>
      </c>
      <c r="AM433" s="612" t="s">
        <v>2706</v>
      </c>
      <c r="AN433" s="612" t="s">
        <v>1674</v>
      </c>
      <c r="AP433">
        <f t="shared" si="12"/>
        <v>0</v>
      </c>
      <c r="AQ433" s="552">
        <f t="shared" si="13"/>
        <v>-41.8</v>
      </c>
    </row>
    <row r="434" spans="1:43" outlineLevel="1" x14ac:dyDescent="0.25">
      <c r="A434" s="612" t="s">
        <v>1674</v>
      </c>
      <c r="B434" s="786">
        <v>0</v>
      </c>
      <c r="C434" s="612" t="s">
        <v>1674</v>
      </c>
      <c r="D434" s="612" t="s">
        <v>2707</v>
      </c>
      <c r="E434" t="s">
        <v>2708</v>
      </c>
      <c r="G434" s="787"/>
      <c r="H434" s="787">
        <v>83.6</v>
      </c>
      <c r="I434" s="787">
        <v>83.6</v>
      </c>
      <c r="J434" t="s">
        <v>2584</v>
      </c>
      <c r="K434" s="611">
        <v>8120</v>
      </c>
      <c r="L434" t="s">
        <v>806</v>
      </c>
      <c r="M434" s="614"/>
      <c r="N434" s="788"/>
      <c r="O434" s="612" t="s">
        <v>1674</v>
      </c>
      <c r="P434" s="612" t="s">
        <v>1674</v>
      </c>
      <c r="Q434" s="612" t="s">
        <v>2705</v>
      </c>
      <c r="R434" s="612" t="s">
        <v>1674</v>
      </c>
      <c r="S434" s="612" t="s">
        <v>1674</v>
      </c>
      <c r="T434" s="789"/>
      <c r="U434" s="612" t="s">
        <v>2658</v>
      </c>
      <c r="V434" s="611">
        <v>439</v>
      </c>
      <c r="W434" s="614"/>
      <c r="Y434" s="612" t="s">
        <v>1674</v>
      </c>
      <c r="AA434" s="612" t="s">
        <v>1674</v>
      </c>
      <c r="AE434" s="790"/>
      <c r="AF434" s="612" t="s">
        <v>1674</v>
      </c>
      <c r="AG434" s="612" t="s">
        <v>1674</v>
      </c>
      <c r="AH434" s="612" t="s">
        <v>1674</v>
      </c>
      <c r="AI434" s="612" t="s">
        <v>1674</v>
      </c>
      <c r="AJ434" s="612" t="s">
        <v>1674</v>
      </c>
      <c r="AK434" s="612" t="s">
        <v>1674</v>
      </c>
      <c r="AL434" s="612" t="s">
        <v>1674</v>
      </c>
      <c r="AM434" s="612" t="s">
        <v>1674</v>
      </c>
      <c r="AN434" s="612" t="s">
        <v>1674</v>
      </c>
      <c r="AP434">
        <f t="shared" si="12"/>
        <v>0</v>
      </c>
      <c r="AQ434" s="552">
        <f t="shared" si="13"/>
        <v>-83.6</v>
      </c>
    </row>
    <row r="435" spans="1:43" outlineLevel="1" x14ac:dyDescent="0.25">
      <c r="A435" s="612" t="s">
        <v>1674</v>
      </c>
      <c r="B435" s="786">
        <v>31102</v>
      </c>
      <c r="C435" s="612" t="s">
        <v>5347</v>
      </c>
      <c r="D435" s="612" t="s">
        <v>5348</v>
      </c>
      <c r="E435" t="s">
        <v>4915</v>
      </c>
      <c r="F435" t="s">
        <v>4916</v>
      </c>
      <c r="G435" s="787">
        <v>13365</v>
      </c>
      <c r="H435" s="787"/>
      <c r="I435" s="787">
        <v>13365</v>
      </c>
      <c r="J435" t="s">
        <v>2701</v>
      </c>
      <c r="K435" s="611">
        <v>8120</v>
      </c>
      <c r="L435" t="s">
        <v>806</v>
      </c>
      <c r="M435" s="614"/>
      <c r="N435" s="788">
        <v>18</v>
      </c>
      <c r="O435" s="612" t="s">
        <v>1674</v>
      </c>
      <c r="P435" s="612" t="s">
        <v>1674</v>
      </c>
      <c r="Q435" s="612" t="s">
        <v>5349</v>
      </c>
      <c r="R435" s="612" t="s">
        <v>1674</v>
      </c>
      <c r="S435" s="612" t="s">
        <v>1674</v>
      </c>
      <c r="T435" s="789"/>
      <c r="U435" s="612" t="s">
        <v>4900</v>
      </c>
      <c r="V435" s="611">
        <v>1357</v>
      </c>
      <c r="W435" s="614"/>
      <c r="Y435" s="612" t="s">
        <v>1674</v>
      </c>
      <c r="AA435" s="612" t="s">
        <v>1674</v>
      </c>
      <c r="AE435" s="790"/>
      <c r="AF435" s="612" t="s">
        <v>1674</v>
      </c>
      <c r="AG435" s="612" t="s">
        <v>1674</v>
      </c>
      <c r="AH435" s="612" t="s">
        <v>1674</v>
      </c>
      <c r="AI435" s="612" t="s">
        <v>1674</v>
      </c>
      <c r="AJ435" s="612" t="s">
        <v>1674</v>
      </c>
      <c r="AK435" s="612" t="s">
        <v>1674</v>
      </c>
      <c r="AL435" s="612" t="s">
        <v>1674</v>
      </c>
      <c r="AM435" s="612" t="s">
        <v>5350</v>
      </c>
      <c r="AN435" s="612" t="s">
        <v>1674</v>
      </c>
      <c r="AP435">
        <f t="shared" si="12"/>
        <v>-18</v>
      </c>
      <c r="AQ435" s="552">
        <f t="shared" si="13"/>
        <v>13365</v>
      </c>
    </row>
    <row r="436" spans="1:43" outlineLevel="1" x14ac:dyDescent="0.25">
      <c r="A436" s="612" t="s">
        <v>2722</v>
      </c>
      <c r="B436" s="786">
        <v>31204</v>
      </c>
      <c r="C436" s="612" t="s">
        <v>2766</v>
      </c>
      <c r="D436" s="612" t="s">
        <v>2767</v>
      </c>
      <c r="E436" t="s">
        <v>2764</v>
      </c>
      <c r="F436" t="s">
        <v>2765</v>
      </c>
      <c r="G436" s="787">
        <v>1</v>
      </c>
      <c r="H436" s="787"/>
      <c r="I436" s="787">
        <v>1</v>
      </c>
      <c r="J436" t="s">
        <v>2701</v>
      </c>
      <c r="K436" s="611">
        <v>8807</v>
      </c>
      <c r="L436" t="s">
        <v>806</v>
      </c>
      <c r="M436" s="614"/>
      <c r="N436" s="788">
        <v>-517</v>
      </c>
      <c r="O436" s="612" t="s">
        <v>1674</v>
      </c>
      <c r="P436" s="612" t="s">
        <v>1674</v>
      </c>
      <c r="Q436" s="612" t="s">
        <v>2768</v>
      </c>
      <c r="R436" s="612" t="s">
        <v>2622</v>
      </c>
      <c r="S436" s="612" t="s">
        <v>1674</v>
      </c>
      <c r="T436" s="789"/>
      <c r="U436" s="612" t="s">
        <v>2685</v>
      </c>
      <c r="V436" s="611">
        <v>201</v>
      </c>
      <c r="W436" s="614"/>
      <c r="Y436" s="612" t="s">
        <v>1674</v>
      </c>
      <c r="AA436" s="612" t="s">
        <v>1674</v>
      </c>
      <c r="AE436" s="790"/>
      <c r="AF436" s="612" t="s">
        <v>1674</v>
      </c>
      <c r="AG436" s="612" t="s">
        <v>1674</v>
      </c>
      <c r="AH436" s="612" t="s">
        <v>1674</v>
      </c>
      <c r="AI436" s="612" t="s">
        <v>1674</v>
      </c>
      <c r="AJ436" s="612" t="s">
        <v>1674</v>
      </c>
      <c r="AK436" s="612" t="s">
        <v>1674</v>
      </c>
      <c r="AL436" s="612" t="s">
        <v>1674</v>
      </c>
      <c r="AM436" s="612" t="s">
        <v>2769</v>
      </c>
      <c r="AN436" s="612" t="s">
        <v>1674</v>
      </c>
      <c r="AP436">
        <f t="shared" si="12"/>
        <v>517</v>
      </c>
      <c r="AQ436" s="552">
        <f t="shared" si="13"/>
        <v>1</v>
      </c>
    </row>
    <row r="437" spans="1:43" outlineLevel="1" x14ac:dyDescent="0.25">
      <c r="A437" s="612" t="s">
        <v>1674</v>
      </c>
      <c r="B437" s="786">
        <v>31501</v>
      </c>
      <c r="C437" s="612" t="s">
        <v>2826</v>
      </c>
      <c r="D437" s="612" t="s">
        <v>2938</v>
      </c>
      <c r="E437" t="s">
        <v>2844</v>
      </c>
      <c r="G437" s="787"/>
      <c r="H437" s="787">
        <v>4999.87</v>
      </c>
      <c r="I437" s="787">
        <v>4999.87</v>
      </c>
      <c r="J437" t="s">
        <v>2584</v>
      </c>
      <c r="K437" s="611">
        <v>1200</v>
      </c>
      <c r="L437" t="s">
        <v>806</v>
      </c>
      <c r="M437" s="614"/>
      <c r="N437" s="788"/>
      <c r="O437" s="612" t="s">
        <v>1674</v>
      </c>
      <c r="P437" s="612" t="s">
        <v>1674</v>
      </c>
      <c r="Q437" s="612" t="s">
        <v>2939</v>
      </c>
      <c r="R437" s="612" t="s">
        <v>1674</v>
      </c>
      <c r="S437" s="612" t="s">
        <v>1674</v>
      </c>
      <c r="T437" s="789"/>
      <c r="U437" s="612" t="s">
        <v>2697</v>
      </c>
      <c r="V437" s="611">
        <v>1233</v>
      </c>
      <c r="W437" s="614"/>
      <c r="Y437" s="612" t="s">
        <v>1674</v>
      </c>
      <c r="AA437" s="612" t="s">
        <v>1674</v>
      </c>
      <c r="AE437" s="790"/>
      <c r="AF437" s="612" t="s">
        <v>1674</v>
      </c>
      <c r="AG437" s="612" t="s">
        <v>1674</v>
      </c>
      <c r="AH437" s="612" t="s">
        <v>1674</v>
      </c>
      <c r="AI437" s="612" t="s">
        <v>1674</v>
      </c>
      <c r="AJ437" s="612" t="s">
        <v>1674</v>
      </c>
      <c r="AK437" s="612" t="s">
        <v>1674</v>
      </c>
      <c r="AL437" s="612" t="s">
        <v>1674</v>
      </c>
      <c r="AM437" s="612" t="s">
        <v>2831</v>
      </c>
      <c r="AN437" s="612" t="s">
        <v>1674</v>
      </c>
      <c r="AP437">
        <f t="shared" si="12"/>
        <v>0</v>
      </c>
      <c r="AQ437" s="552">
        <f t="shared" si="13"/>
        <v>-4999.87</v>
      </c>
    </row>
    <row r="438" spans="1:43" outlineLevel="1" x14ac:dyDescent="0.25">
      <c r="A438" s="612" t="s">
        <v>1674</v>
      </c>
      <c r="B438" s="786">
        <v>0</v>
      </c>
      <c r="C438" s="612" t="s">
        <v>1674</v>
      </c>
      <c r="D438" s="612" t="s">
        <v>3245</v>
      </c>
      <c r="E438" t="s">
        <v>2920</v>
      </c>
      <c r="F438" t="s">
        <v>3181</v>
      </c>
      <c r="G438" s="787">
        <v>8849.4699999999993</v>
      </c>
      <c r="H438" s="787"/>
      <c r="I438" s="787"/>
      <c r="J438" t="s">
        <v>806</v>
      </c>
      <c r="K438" s="611">
        <v>8338</v>
      </c>
      <c r="L438" t="s">
        <v>806</v>
      </c>
      <c r="M438" s="614"/>
      <c r="N438" s="788">
        <v>-346</v>
      </c>
      <c r="O438" s="612" t="s">
        <v>1674</v>
      </c>
      <c r="P438" s="612" t="s">
        <v>1674</v>
      </c>
      <c r="Q438" s="612" t="s">
        <v>2830</v>
      </c>
      <c r="R438" s="612" t="s">
        <v>1674</v>
      </c>
      <c r="S438" s="612" t="s">
        <v>1674</v>
      </c>
      <c r="T438" s="789"/>
      <c r="U438" s="612" t="s">
        <v>2700</v>
      </c>
      <c r="V438" s="611">
        <v>306</v>
      </c>
      <c r="W438" s="614"/>
      <c r="Y438" s="612" t="s">
        <v>1674</v>
      </c>
      <c r="AA438" s="612" t="s">
        <v>1674</v>
      </c>
      <c r="AE438" s="790"/>
      <c r="AF438" s="612" t="s">
        <v>1674</v>
      </c>
      <c r="AG438" s="612" t="s">
        <v>1674</v>
      </c>
      <c r="AH438" s="612" t="s">
        <v>1674</v>
      </c>
      <c r="AI438" s="612" t="s">
        <v>1674</v>
      </c>
      <c r="AJ438" s="612" t="s">
        <v>1674</v>
      </c>
      <c r="AK438" s="612" t="s">
        <v>1674</v>
      </c>
      <c r="AL438" s="612" t="s">
        <v>1674</v>
      </c>
      <c r="AM438" s="612" t="s">
        <v>1674</v>
      </c>
      <c r="AN438" s="612" t="s">
        <v>1674</v>
      </c>
      <c r="AP438">
        <f t="shared" si="12"/>
        <v>346</v>
      </c>
      <c r="AQ438" s="552">
        <f t="shared" si="13"/>
        <v>0</v>
      </c>
    </row>
    <row r="439" spans="1:43" outlineLevel="1" x14ac:dyDescent="0.25">
      <c r="A439" s="612" t="s">
        <v>1674</v>
      </c>
      <c r="B439" s="786">
        <v>0</v>
      </c>
      <c r="C439" s="612" t="s">
        <v>1674</v>
      </c>
      <c r="D439" s="612" t="s">
        <v>3245</v>
      </c>
      <c r="E439" t="s">
        <v>3324</v>
      </c>
      <c r="G439" s="787"/>
      <c r="H439" s="787">
        <v>2212.37</v>
      </c>
      <c r="I439" s="787"/>
      <c r="J439" t="s">
        <v>806</v>
      </c>
      <c r="K439" s="611">
        <v>1200</v>
      </c>
      <c r="L439" t="s">
        <v>806</v>
      </c>
      <c r="M439" s="614"/>
      <c r="N439" s="788"/>
      <c r="O439" s="612" t="s">
        <v>1674</v>
      </c>
      <c r="P439" s="612" t="s">
        <v>1674</v>
      </c>
      <c r="Q439" s="612" t="s">
        <v>3325</v>
      </c>
      <c r="R439" s="612" t="s">
        <v>1674</v>
      </c>
      <c r="S439" s="612" t="s">
        <v>1674</v>
      </c>
      <c r="T439" s="789"/>
      <c r="U439" s="612" t="s">
        <v>3323</v>
      </c>
      <c r="V439" s="611">
        <v>56</v>
      </c>
      <c r="W439" s="614"/>
      <c r="Y439" s="612" t="s">
        <v>1674</v>
      </c>
      <c r="AA439" s="612" t="s">
        <v>1674</v>
      </c>
      <c r="AE439" s="790"/>
      <c r="AF439" s="612" t="s">
        <v>1674</v>
      </c>
      <c r="AG439" s="612" t="s">
        <v>1674</v>
      </c>
      <c r="AH439" s="612" t="s">
        <v>1674</v>
      </c>
      <c r="AI439" s="612" t="s">
        <v>1674</v>
      </c>
      <c r="AJ439" s="612" t="s">
        <v>1674</v>
      </c>
      <c r="AK439" s="612" t="s">
        <v>1674</v>
      </c>
      <c r="AL439" s="612" t="s">
        <v>1674</v>
      </c>
      <c r="AM439" s="612" t="s">
        <v>1674</v>
      </c>
      <c r="AN439" s="612" t="s">
        <v>1674</v>
      </c>
      <c r="AP439">
        <f t="shared" si="12"/>
        <v>0</v>
      </c>
      <c r="AQ439" s="552">
        <f t="shared" si="13"/>
        <v>0</v>
      </c>
    </row>
    <row r="440" spans="1:43" outlineLevel="1" x14ac:dyDescent="0.25">
      <c r="A440" s="612" t="s">
        <v>1674</v>
      </c>
      <c r="B440" s="786">
        <v>0</v>
      </c>
      <c r="C440" s="612" t="s">
        <v>1674</v>
      </c>
      <c r="D440" s="612" t="s">
        <v>3245</v>
      </c>
      <c r="E440" t="s">
        <v>3326</v>
      </c>
      <c r="G440" s="787"/>
      <c r="H440" s="787">
        <v>2212.37</v>
      </c>
      <c r="I440" s="787">
        <v>4424.7299999999996</v>
      </c>
      <c r="J440" t="s">
        <v>2701</v>
      </c>
      <c r="K440" s="611">
        <v>1200</v>
      </c>
      <c r="L440" t="s">
        <v>806</v>
      </c>
      <c r="M440" s="614"/>
      <c r="N440" s="788"/>
      <c r="O440" s="612" t="s">
        <v>1674</v>
      </c>
      <c r="P440" s="612" t="s">
        <v>1674</v>
      </c>
      <c r="Q440" s="612" t="s">
        <v>3327</v>
      </c>
      <c r="R440" s="612" t="s">
        <v>1674</v>
      </c>
      <c r="S440" s="612" t="s">
        <v>1674</v>
      </c>
      <c r="T440" s="789"/>
      <c r="U440" s="612" t="s">
        <v>3328</v>
      </c>
      <c r="V440" s="611">
        <v>37</v>
      </c>
      <c r="W440" s="614"/>
      <c r="Y440" s="612" t="s">
        <v>1674</v>
      </c>
      <c r="AA440" s="612" t="s">
        <v>1674</v>
      </c>
      <c r="AE440" s="790"/>
      <c r="AF440" s="612" t="s">
        <v>1674</v>
      </c>
      <c r="AG440" s="612" t="s">
        <v>1674</v>
      </c>
      <c r="AH440" s="612" t="s">
        <v>1674</v>
      </c>
      <c r="AI440" s="612" t="s">
        <v>1674</v>
      </c>
      <c r="AJ440" s="612" t="s">
        <v>1674</v>
      </c>
      <c r="AK440" s="612" t="s">
        <v>1674</v>
      </c>
      <c r="AL440" s="612" t="s">
        <v>1674</v>
      </c>
      <c r="AM440" s="612" t="s">
        <v>1674</v>
      </c>
      <c r="AN440" s="612" t="s">
        <v>1674</v>
      </c>
      <c r="AP440">
        <f t="shared" si="12"/>
        <v>0</v>
      </c>
      <c r="AQ440" s="552">
        <f t="shared" si="13"/>
        <v>4424.7299999999996</v>
      </c>
    </row>
    <row r="441" spans="1:43" outlineLevel="1" x14ac:dyDescent="0.25">
      <c r="A441" s="612" t="s">
        <v>1674</v>
      </c>
      <c r="B441" s="786">
        <v>0</v>
      </c>
      <c r="C441" s="612" t="s">
        <v>1674</v>
      </c>
      <c r="D441" s="612" t="s">
        <v>3760</v>
      </c>
      <c r="E441" t="s">
        <v>3644</v>
      </c>
      <c r="F441" t="s">
        <v>3750</v>
      </c>
      <c r="G441" s="787">
        <v>500</v>
      </c>
      <c r="H441" s="787"/>
      <c r="I441" s="787">
        <v>500</v>
      </c>
      <c r="J441" t="s">
        <v>2701</v>
      </c>
      <c r="K441" s="611">
        <v>8338</v>
      </c>
      <c r="L441" t="s">
        <v>806</v>
      </c>
      <c r="M441" s="614"/>
      <c r="N441" s="788">
        <v>-73</v>
      </c>
      <c r="O441" s="612" t="s">
        <v>1674</v>
      </c>
      <c r="P441" s="612" t="s">
        <v>1674</v>
      </c>
      <c r="Q441" s="612" t="s">
        <v>2830</v>
      </c>
      <c r="R441" s="612" t="s">
        <v>1674</v>
      </c>
      <c r="S441" s="612" t="s">
        <v>1674</v>
      </c>
      <c r="T441" s="789"/>
      <c r="U441" s="612" t="s">
        <v>3328</v>
      </c>
      <c r="V441" s="611">
        <v>1181</v>
      </c>
      <c r="W441" s="614"/>
      <c r="Y441" s="612" t="s">
        <v>1674</v>
      </c>
      <c r="AA441" s="612" t="s">
        <v>1674</v>
      </c>
      <c r="AE441" s="790"/>
      <c r="AF441" s="612" t="s">
        <v>1674</v>
      </c>
      <c r="AG441" s="612" t="s">
        <v>1674</v>
      </c>
      <c r="AH441" s="612" t="s">
        <v>1674</v>
      </c>
      <c r="AI441" s="612" t="s">
        <v>1674</v>
      </c>
      <c r="AJ441" s="612" t="s">
        <v>1674</v>
      </c>
      <c r="AK441" s="612" t="s">
        <v>1674</v>
      </c>
      <c r="AL441" s="612" t="s">
        <v>1674</v>
      </c>
      <c r="AM441" s="612" t="s">
        <v>1674</v>
      </c>
      <c r="AN441" s="612" t="s">
        <v>1674</v>
      </c>
      <c r="AP441">
        <f t="shared" si="12"/>
        <v>73</v>
      </c>
      <c r="AQ441" s="552">
        <f t="shared" si="13"/>
        <v>500</v>
      </c>
    </row>
    <row r="442" spans="1:43" outlineLevel="1" x14ac:dyDescent="0.25">
      <c r="A442" s="612" t="s">
        <v>1674</v>
      </c>
      <c r="B442" s="786">
        <v>0</v>
      </c>
      <c r="C442" s="612" t="s">
        <v>1674</v>
      </c>
      <c r="D442" s="612" t="s">
        <v>3761</v>
      </c>
      <c r="E442" t="s">
        <v>3644</v>
      </c>
      <c r="F442" t="s">
        <v>3750</v>
      </c>
      <c r="G442" s="787">
        <v>500</v>
      </c>
      <c r="H442" s="787"/>
      <c r="I442" s="787">
        <v>500</v>
      </c>
      <c r="J442" t="s">
        <v>2701</v>
      </c>
      <c r="K442" s="611">
        <v>8338</v>
      </c>
      <c r="L442" t="s">
        <v>806</v>
      </c>
      <c r="M442" s="614"/>
      <c r="N442" s="788">
        <v>-73</v>
      </c>
      <c r="O442" s="612" t="s">
        <v>1674</v>
      </c>
      <c r="P442" s="612" t="s">
        <v>1674</v>
      </c>
      <c r="Q442" s="612" t="s">
        <v>2830</v>
      </c>
      <c r="R442" s="612" t="s">
        <v>1674</v>
      </c>
      <c r="S442" s="612" t="s">
        <v>1674</v>
      </c>
      <c r="T442" s="789"/>
      <c r="U442" s="612" t="s">
        <v>3328</v>
      </c>
      <c r="V442" s="611">
        <v>1182</v>
      </c>
      <c r="W442" s="614"/>
      <c r="Y442" s="612" t="s">
        <v>1674</v>
      </c>
      <c r="AA442" s="612" t="s">
        <v>1674</v>
      </c>
      <c r="AE442" s="790"/>
      <c r="AF442" s="612" t="s">
        <v>1674</v>
      </c>
      <c r="AG442" s="612" t="s">
        <v>1674</v>
      </c>
      <c r="AH442" s="612" t="s">
        <v>1674</v>
      </c>
      <c r="AI442" s="612" t="s">
        <v>1674</v>
      </c>
      <c r="AJ442" s="612" t="s">
        <v>1674</v>
      </c>
      <c r="AK442" s="612" t="s">
        <v>1674</v>
      </c>
      <c r="AL442" s="612" t="s">
        <v>1674</v>
      </c>
      <c r="AM442" s="612" t="s">
        <v>1674</v>
      </c>
      <c r="AN442" s="612" t="s">
        <v>1674</v>
      </c>
      <c r="AP442">
        <f t="shared" si="12"/>
        <v>73</v>
      </c>
      <c r="AQ442" s="552">
        <f t="shared" si="13"/>
        <v>500</v>
      </c>
    </row>
    <row r="443" spans="1:43" outlineLevel="1" x14ac:dyDescent="0.25">
      <c r="A443" s="612" t="s">
        <v>1674</v>
      </c>
      <c r="B443" s="786">
        <v>0</v>
      </c>
      <c r="C443" s="612" t="s">
        <v>1674</v>
      </c>
      <c r="D443" s="612" t="s">
        <v>3762</v>
      </c>
      <c r="E443" t="s">
        <v>3644</v>
      </c>
      <c r="F443" t="s">
        <v>3750</v>
      </c>
      <c r="G443" s="787">
        <v>500</v>
      </c>
      <c r="H443" s="787"/>
      <c r="I443" s="787">
        <v>500</v>
      </c>
      <c r="J443" t="s">
        <v>2701</v>
      </c>
      <c r="K443" s="611">
        <v>8338</v>
      </c>
      <c r="L443" t="s">
        <v>806</v>
      </c>
      <c r="M443" s="614"/>
      <c r="N443" s="788">
        <v>-73</v>
      </c>
      <c r="O443" s="612" t="s">
        <v>1674</v>
      </c>
      <c r="P443" s="612" t="s">
        <v>1674</v>
      </c>
      <c r="Q443" s="612" t="s">
        <v>2830</v>
      </c>
      <c r="R443" s="612" t="s">
        <v>1674</v>
      </c>
      <c r="S443" s="612" t="s">
        <v>1674</v>
      </c>
      <c r="T443" s="789"/>
      <c r="U443" s="612" t="s">
        <v>3328</v>
      </c>
      <c r="V443" s="611">
        <v>1183</v>
      </c>
      <c r="W443" s="614"/>
      <c r="Y443" s="612" t="s">
        <v>1674</v>
      </c>
      <c r="AA443" s="612" t="s">
        <v>1674</v>
      </c>
      <c r="AE443" s="790"/>
      <c r="AF443" s="612" t="s">
        <v>1674</v>
      </c>
      <c r="AG443" s="612" t="s">
        <v>1674</v>
      </c>
      <c r="AH443" s="612" t="s">
        <v>1674</v>
      </c>
      <c r="AI443" s="612" t="s">
        <v>1674</v>
      </c>
      <c r="AJ443" s="612" t="s">
        <v>1674</v>
      </c>
      <c r="AK443" s="612" t="s">
        <v>1674</v>
      </c>
      <c r="AL443" s="612" t="s">
        <v>1674</v>
      </c>
      <c r="AM443" s="612" t="s">
        <v>1674</v>
      </c>
      <c r="AN443" s="612" t="s">
        <v>1674</v>
      </c>
      <c r="AP443">
        <f t="shared" si="12"/>
        <v>73</v>
      </c>
      <c r="AQ443" s="552">
        <f t="shared" si="13"/>
        <v>500</v>
      </c>
    </row>
    <row r="444" spans="1:43" outlineLevel="1" x14ac:dyDescent="0.25">
      <c r="A444" s="612" t="s">
        <v>1674</v>
      </c>
      <c r="B444" s="786">
        <v>0</v>
      </c>
      <c r="C444" s="612" t="s">
        <v>1674</v>
      </c>
      <c r="D444" s="612" t="s">
        <v>3763</v>
      </c>
      <c r="E444" t="s">
        <v>3644</v>
      </c>
      <c r="F444" t="s">
        <v>3750</v>
      </c>
      <c r="G444" s="787">
        <v>500</v>
      </c>
      <c r="H444" s="787"/>
      <c r="I444" s="787">
        <v>500</v>
      </c>
      <c r="J444" t="s">
        <v>2701</v>
      </c>
      <c r="K444" s="611">
        <v>8338</v>
      </c>
      <c r="L444" t="s">
        <v>806</v>
      </c>
      <c r="M444" s="614"/>
      <c r="N444" s="788">
        <v>-73</v>
      </c>
      <c r="O444" s="612" t="s">
        <v>1674</v>
      </c>
      <c r="P444" s="612" t="s">
        <v>1674</v>
      </c>
      <c r="Q444" s="612" t="s">
        <v>2830</v>
      </c>
      <c r="R444" s="612" t="s">
        <v>1674</v>
      </c>
      <c r="S444" s="612" t="s">
        <v>1674</v>
      </c>
      <c r="T444" s="789"/>
      <c r="U444" s="612" t="s">
        <v>3328</v>
      </c>
      <c r="V444" s="611">
        <v>1184</v>
      </c>
      <c r="W444" s="614"/>
      <c r="Y444" s="612" t="s">
        <v>1674</v>
      </c>
      <c r="AA444" s="612" t="s">
        <v>1674</v>
      </c>
      <c r="AE444" s="790"/>
      <c r="AF444" s="612" t="s">
        <v>1674</v>
      </c>
      <c r="AG444" s="612" t="s">
        <v>1674</v>
      </c>
      <c r="AH444" s="612" t="s">
        <v>1674</v>
      </c>
      <c r="AI444" s="612" t="s">
        <v>1674</v>
      </c>
      <c r="AJ444" s="612" t="s">
        <v>1674</v>
      </c>
      <c r="AK444" s="612" t="s">
        <v>1674</v>
      </c>
      <c r="AL444" s="612" t="s">
        <v>1674</v>
      </c>
      <c r="AM444" s="612" t="s">
        <v>1674</v>
      </c>
      <c r="AN444" s="612" t="s">
        <v>1674</v>
      </c>
      <c r="AP444">
        <f t="shared" si="12"/>
        <v>73</v>
      </c>
      <c r="AQ444" s="552">
        <f t="shared" si="13"/>
        <v>500</v>
      </c>
    </row>
    <row r="445" spans="1:43" outlineLevel="1" x14ac:dyDescent="0.25">
      <c r="A445" s="612" t="s">
        <v>1674</v>
      </c>
      <c r="B445" s="786">
        <v>0</v>
      </c>
      <c r="C445" s="612" t="s">
        <v>1674</v>
      </c>
      <c r="D445" s="612" t="s">
        <v>3764</v>
      </c>
      <c r="E445" t="s">
        <v>3644</v>
      </c>
      <c r="F445" t="s">
        <v>3750</v>
      </c>
      <c r="G445" s="787">
        <v>500</v>
      </c>
      <c r="H445" s="787"/>
      <c r="I445" s="787">
        <v>500</v>
      </c>
      <c r="J445" t="s">
        <v>2701</v>
      </c>
      <c r="K445" s="611">
        <v>8338</v>
      </c>
      <c r="L445" t="s">
        <v>806</v>
      </c>
      <c r="M445" s="614"/>
      <c r="N445" s="788">
        <v>-73</v>
      </c>
      <c r="O445" s="612" t="s">
        <v>1674</v>
      </c>
      <c r="P445" s="612" t="s">
        <v>1674</v>
      </c>
      <c r="Q445" s="612" t="s">
        <v>2830</v>
      </c>
      <c r="R445" s="612" t="s">
        <v>1674</v>
      </c>
      <c r="S445" s="612" t="s">
        <v>1674</v>
      </c>
      <c r="T445" s="789"/>
      <c r="U445" s="612" t="s">
        <v>3328</v>
      </c>
      <c r="V445" s="611">
        <v>1185</v>
      </c>
      <c r="W445" s="614"/>
      <c r="Y445" s="612" t="s">
        <v>1674</v>
      </c>
      <c r="AA445" s="612" t="s">
        <v>1674</v>
      </c>
      <c r="AE445" s="790"/>
      <c r="AF445" s="612" t="s">
        <v>1674</v>
      </c>
      <c r="AG445" s="612" t="s">
        <v>1674</v>
      </c>
      <c r="AH445" s="612" t="s">
        <v>1674</v>
      </c>
      <c r="AI445" s="612" t="s">
        <v>1674</v>
      </c>
      <c r="AJ445" s="612" t="s">
        <v>1674</v>
      </c>
      <c r="AK445" s="612" t="s">
        <v>1674</v>
      </c>
      <c r="AL445" s="612" t="s">
        <v>1674</v>
      </c>
      <c r="AM445" s="612" t="s">
        <v>1674</v>
      </c>
      <c r="AN445" s="612" t="s">
        <v>1674</v>
      </c>
      <c r="AP445">
        <f t="shared" si="12"/>
        <v>73</v>
      </c>
      <c r="AQ445" s="552">
        <f t="shared" si="13"/>
        <v>500</v>
      </c>
    </row>
    <row r="446" spans="1:43" outlineLevel="1" x14ac:dyDescent="0.25">
      <c r="A446" s="612" t="s">
        <v>1674</v>
      </c>
      <c r="B446" s="786">
        <v>0</v>
      </c>
      <c r="C446" s="612" t="s">
        <v>1674</v>
      </c>
      <c r="D446" s="612" t="s">
        <v>3765</v>
      </c>
      <c r="E446" t="s">
        <v>3644</v>
      </c>
      <c r="F446" t="s">
        <v>3750</v>
      </c>
      <c r="G446" s="787">
        <v>500</v>
      </c>
      <c r="H446" s="787"/>
      <c r="I446" s="787">
        <v>500</v>
      </c>
      <c r="J446" t="s">
        <v>2701</v>
      </c>
      <c r="K446" s="611">
        <v>8338</v>
      </c>
      <c r="L446" t="s">
        <v>806</v>
      </c>
      <c r="M446" s="614"/>
      <c r="N446" s="788">
        <v>-73</v>
      </c>
      <c r="O446" s="612" t="s">
        <v>1674</v>
      </c>
      <c r="P446" s="612" t="s">
        <v>1674</v>
      </c>
      <c r="Q446" s="612" t="s">
        <v>2830</v>
      </c>
      <c r="R446" s="612" t="s">
        <v>1674</v>
      </c>
      <c r="S446" s="612" t="s">
        <v>1674</v>
      </c>
      <c r="T446" s="789"/>
      <c r="U446" s="612" t="s">
        <v>3328</v>
      </c>
      <c r="V446" s="611">
        <v>1186</v>
      </c>
      <c r="W446" s="614"/>
      <c r="Y446" s="612" t="s">
        <v>1674</v>
      </c>
      <c r="AA446" s="612" t="s">
        <v>1674</v>
      </c>
      <c r="AE446" s="790"/>
      <c r="AF446" s="612" t="s">
        <v>1674</v>
      </c>
      <c r="AG446" s="612" t="s">
        <v>1674</v>
      </c>
      <c r="AH446" s="612" t="s">
        <v>1674</v>
      </c>
      <c r="AI446" s="612" t="s">
        <v>1674</v>
      </c>
      <c r="AJ446" s="612" t="s">
        <v>1674</v>
      </c>
      <c r="AK446" s="612" t="s">
        <v>1674</v>
      </c>
      <c r="AL446" s="612" t="s">
        <v>1674</v>
      </c>
      <c r="AM446" s="612" t="s">
        <v>1674</v>
      </c>
      <c r="AN446" s="612" t="s">
        <v>1674</v>
      </c>
      <c r="AP446">
        <f t="shared" si="12"/>
        <v>73</v>
      </c>
      <c r="AQ446" s="552">
        <f t="shared" si="13"/>
        <v>500</v>
      </c>
    </row>
    <row r="447" spans="1:43" outlineLevel="1" x14ac:dyDescent="0.25">
      <c r="A447" s="612" t="s">
        <v>1674</v>
      </c>
      <c r="B447" s="786">
        <v>0</v>
      </c>
      <c r="C447" s="612" t="s">
        <v>1674</v>
      </c>
      <c r="D447" s="612" t="s">
        <v>3766</v>
      </c>
      <c r="E447" t="s">
        <v>3644</v>
      </c>
      <c r="F447" t="s">
        <v>3750</v>
      </c>
      <c r="G447" s="787">
        <v>500</v>
      </c>
      <c r="H447" s="787"/>
      <c r="I447" s="787">
        <v>500</v>
      </c>
      <c r="J447" t="s">
        <v>2701</v>
      </c>
      <c r="K447" s="611">
        <v>8338</v>
      </c>
      <c r="L447" t="s">
        <v>806</v>
      </c>
      <c r="M447" s="614"/>
      <c r="N447" s="788">
        <v>-73</v>
      </c>
      <c r="O447" s="612" t="s">
        <v>1674</v>
      </c>
      <c r="P447" s="612" t="s">
        <v>1674</v>
      </c>
      <c r="Q447" s="612" t="s">
        <v>2830</v>
      </c>
      <c r="R447" s="612" t="s">
        <v>1674</v>
      </c>
      <c r="S447" s="612" t="s">
        <v>1674</v>
      </c>
      <c r="T447" s="789"/>
      <c r="U447" s="612" t="s">
        <v>3328</v>
      </c>
      <c r="V447" s="611">
        <v>1187</v>
      </c>
      <c r="W447" s="614"/>
      <c r="Y447" s="612" t="s">
        <v>1674</v>
      </c>
      <c r="AA447" s="612" t="s">
        <v>1674</v>
      </c>
      <c r="AE447" s="790"/>
      <c r="AF447" s="612" t="s">
        <v>1674</v>
      </c>
      <c r="AG447" s="612" t="s">
        <v>1674</v>
      </c>
      <c r="AH447" s="612" t="s">
        <v>1674</v>
      </c>
      <c r="AI447" s="612" t="s">
        <v>1674</v>
      </c>
      <c r="AJ447" s="612" t="s">
        <v>1674</v>
      </c>
      <c r="AK447" s="612" t="s">
        <v>1674</v>
      </c>
      <c r="AL447" s="612" t="s">
        <v>1674</v>
      </c>
      <c r="AM447" s="612" t="s">
        <v>1674</v>
      </c>
      <c r="AN447" s="612" t="s">
        <v>1674</v>
      </c>
      <c r="AP447">
        <f t="shared" si="12"/>
        <v>73</v>
      </c>
      <c r="AQ447" s="552">
        <f t="shared" si="13"/>
        <v>500</v>
      </c>
    </row>
    <row r="448" spans="1:43" outlineLevel="1" x14ac:dyDescent="0.25">
      <c r="A448" s="612" t="s">
        <v>1674</v>
      </c>
      <c r="B448" s="786">
        <v>0</v>
      </c>
      <c r="C448" s="612" t="s">
        <v>1674</v>
      </c>
      <c r="D448" s="612" t="s">
        <v>3767</v>
      </c>
      <c r="E448" t="s">
        <v>3644</v>
      </c>
      <c r="F448" t="s">
        <v>3750</v>
      </c>
      <c r="G448" s="787">
        <v>500</v>
      </c>
      <c r="H448" s="787"/>
      <c r="I448" s="787">
        <v>500</v>
      </c>
      <c r="J448" t="s">
        <v>2701</v>
      </c>
      <c r="K448" s="611">
        <v>8338</v>
      </c>
      <c r="L448" t="s">
        <v>806</v>
      </c>
      <c r="M448" s="614"/>
      <c r="N448" s="788">
        <v>-73</v>
      </c>
      <c r="O448" s="612" t="s">
        <v>1674</v>
      </c>
      <c r="P448" s="612" t="s">
        <v>1674</v>
      </c>
      <c r="Q448" s="612" t="s">
        <v>2830</v>
      </c>
      <c r="R448" s="612" t="s">
        <v>1674</v>
      </c>
      <c r="S448" s="612" t="s">
        <v>1674</v>
      </c>
      <c r="T448" s="789"/>
      <c r="U448" s="612" t="s">
        <v>3328</v>
      </c>
      <c r="V448" s="611">
        <v>1188</v>
      </c>
      <c r="W448" s="614"/>
      <c r="Y448" s="612" t="s">
        <v>1674</v>
      </c>
      <c r="AA448" s="612" t="s">
        <v>1674</v>
      </c>
      <c r="AE448" s="790"/>
      <c r="AF448" s="612" t="s">
        <v>1674</v>
      </c>
      <c r="AG448" s="612" t="s">
        <v>1674</v>
      </c>
      <c r="AH448" s="612" t="s">
        <v>1674</v>
      </c>
      <c r="AI448" s="612" t="s">
        <v>1674</v>
      </c>
      <c r="AJ448" s="612" t="s">
        <v>1674</v>
      </c>
      <c r="AK448" s="612" t="s">
        <v>1674</v>
      </c>
      <c r="AL448" s="612" t="s">
        <v>1674</v>
      </c>
      <c r="AM448" s="612" t="s">
        <v>1674</v>
      </c>
      <c r="AN448" s="612" t="s">
        <v>1674</v>
      </c>
      <c r="AP448">
        <f t="shared" si="12"/>
        <v>73</v>
      </c>
      <c r="AQ448" s="552">
        <f t="shared" si="13"/>
        <v>500</v>
      </c>
    </row>
    <row r="449" spans="1:46" outlineLevel="1" x14ac:dyDescent="0.25">
      <c r="A449" s="612" t="s">
        <v>1674</v>
      </c>
      <c r="B449" s="786">
        <v>0</v>
      </c>
      <c r="C449" s="612" t="s">
        <v>1674</v>
      </c>
      <c r="D449" s="612" t="s">
        <v>5351</v>
      </c>
      <c r="E449" t="s">
        <v>5157</v>
      </c>
      <c r="F449" t="s">
        <v>5015</v>
      </c>
      <c r="G449" s="787">
        <v>500</v>
      </c>
      <c r="H449" s="787"/>
      <c r="I449" s="787">
        <v>500</v>
      </c>
      <c r="J449" t="s">
        <v>2701</v>
      </c>
      <c r="K449" s="611">
        <v>8338</v>
      </c>
      <c r="L449" t="s">
        <v>806</v>
      </c>
      <c r="M449" s="614"/>
      <c r="N449" s="788">
        <v>-55</v>
      </c>
      <c r="O449" s="612" t="s">
        <v>1674</v>
      </c>
      <c r="P449" s="612" t="s">
        <v>1674</v>
      </c>
      <c r="Q449" s="612" t="s">
        <v>2830</v>
      </c>
      <c r="R449" s="612" t="s">
        <v>1674</v>
      </c>
      <c r="S449" s="612" t="s">
        <v>1674</v>
      </c>
      <c r="T449" s="789"/>
      <c r="U449" s="612" t="s">
        <v>5002</v>
      </c>
      <c r="V449" s="611">
        <v>384</v>
      </c>
      <c r="W449" s="614"/>
      <c r="Y449" s="612" t="s">
        <v>1674</v>
      </c>
      <c r="AA449" s="612" t="s">
        <v>1674</v>
      </c>
      <c r="AE449" s="790"/>
      <c r="AF449" s="612" t="s">
        <v>1674</v>
      </c>
      <c r="AG449" s="612" t="s">
        <v>1674</v>
      </c>
      <c r="AH449" s="612" t="s">
        <v>1674</v>
      </c>
      <c r="AI449" s="612" t="s">
        <v>1674</v>
      </c>
      <c r="AJ449" s="612" t="s">
        <v>1674</v>
      </c>
      <c r="AK449" s="612" t="s">
        <v>1674</v>
      </c>
      <c r="AL449" s="612" t="s">
        <v>1674</v>
      </c>
      <c r="AM449" s="612" t="s">
        <v>1674</v>
      </c>
      <c r="AN449" s="612" t="s">
        <v>1674</v>
      </c>
      <c r="AP449">
        <f t="shared" si="12"/>
        <v>55</v>
      </c>
      <c r="AQ449" s="552">
        <f t="shared" si="13"/>
        <v>500</v>
      </c>
    </row>
    <row r="450" spans="1:46" outlineLevel="1" x14ac:dyDescent="0.25">
      <c r="A450" s="612" t="s">
        <v>1674</v>
      </c>
      <c r="B450" s="786">
        <v>0</v>
      </c>
      <c r="C450" s="612" t="s">
        <v>1674</v>
      </c>
      <c r="D450" s="612" t="s">
        <v>5352</v>
      </c>
      <c r="E450" t="s">
        <v>5157</v>
      </c>
      <c r="F450" t="s">
        <v>5015</v>
      </c>
      <c r="G450" s="787">
        <v>500</v>
      </c>
      <c r="H450" s="787"/>
      <c r="I450" s="787">
        <v>500</v>
      </c>
      <c r="J450" t="s">
        <v>2701</v>
      </c>
      <c r="K450" s="611">
        <v>8338</v>
      </c>
      <c r="L450" t="s">
        <v>806</v>
      </c>
      <c r="M450" s="614"/>
      <c r="N450" s="788">
        <v>-55</v>
      </c>
      <c r="O450" s="612" t="s">
        <v>1674</v>
      </c>
      <c r="P450" s="612" t="s">
        <v>1674</v>
      </c>
      <c r="Q450" s="612" t="s">
        <v>2830</v>
      </c>
      <c r="R450" s="612" t="s">
        <v>1674</v>
      </c>
      <c r="S450" s="612" t="s">
        <v>1674</v>
      </c>
      <c r="T450" s="789"/>
      <c r="U450" s="612" t="s">
        <v>5002</v>
      </c>
      <c r="V450" s="611">
        <v>385</v>
      </c>
      <c r="W450" s="614"/>
      <c r="Y450" s="612" t="s">
        <v>1674</v>
      </c>
      <c r="AA450" s="612" t="s">
        <v>1674</v>
      </c>
      <c r="AE450" s="790"/>
      <c r="AF450" s="612" t="s">
        <v>1674</v>
      </c>
      <c r="AG450" s="612" t="s">
        <v>1674</v>
      </c>
      <c r="AH450" s="612" t="s">
        <v>1674</v>
      </c>
      <c r="AI450" s="612" t="s">
        <v>1674</v>
      </c>
      <c r="AJ450" s="612" t="s">
        <v>1674</v>
      </c>
      <c r="AK450" s="612" t="s">
        <v>1674</v>
      </c>
      <c r="AL450" s="612" t="s">
        <v>1674</v>
      </c>
      <c r="AM450" s="612" t="s">
        <v>1674</v>
      </c>
      <c r="AN450" s="612" t="s">
        <v>1674</v>
      </c>
      <c r="AP450">
        <f t="shared" si="12"/>
        <v>55</v>
      </c>
      <c r="AQ450" s="552">
        <f t="shared" si="13"/>
        <v>500</v>
      </c>
    </row>
    <row r="451" spans="1:46" outlineLevel="1" x14ac:dyDescent="0.25">
      <c r="A451" s="612" t="s">
        <v>1674</v>
      </c>
      <c r="B451" s="786">
        <v>0</v>
      </c>
      <c r="C451" s="612" t="s">
        <v>1674</v>
      </c>
      <c r="D451" s="612" t="s">
        <v>5353</v>
      </c>
      <c r="E451" t="s">
        <v>5157</v>
      </c>
      <c r="F451" t="s">
        <v>5015</v>
      </c>
      <c r="G451" s="787">
        <v>500</v>
      </c>
      <c r="H451" s="787"/>
      <c r="I451" s="787">
        <v>500</v>
      </c>
      <c r="J451" t="s">
        <v>2701</v>
      </c>
      <c r="K451" s="611">
        <v>8338</v>
      </c>
      <c r="L451" t="s">
        <v>806</v>
      </c>
      <c r="M451" s="614"/>
      <c r="N451" s="788">
        <v>-55</v>
      </c>
      <c r="O451" s="612" t="s">
        <v>1674</v>
      </c>
      <c r="P451" s="612" t="s">
        <v>1674</v>
      </c>
      <c r="Q451" s="612" t="s">
        <v>2830</v>
      </c>
      <c r="R451" s="612" t="s">
        <v>1674</v>
      </c>
      <c r="S451" s="612" t="s">
        <v>1674</v>
      </c>
      <c r="T451" s="789"/>
      <c r="U451" s="612" t="s">
        <v>5002</v>
      </c>
      <c r="V451" s="611">
        <v>386</v>
      </c>
      <c r="W451" s="614"/>
      <c r="Y451" s="612" t="s">
        <v>1674</v>
      </c>
      <c r="AA451" s="612" t="s">
        <v>1674</v>
      </c>
      <c r="AE451" s="790"/>
      <c r="AF451" s="612" t="s">
        <v>1674</v>
      </c>
      <c r="AG451" s="612" t="s">
        <v>1674</v>
      </c>
      <c r="AH451" s="612" t="s">
        <v>1674</v>
      </c>
      <c r="AI451" s="612" t="s">
        <v>1674</v>
      </c>
      <c r="AJ451" s="612" t="s">
        <v>1674</v>
      </c>
      <c r="AK451" s="612" t="s">
        <v>1674</v>
      </c>
      <c r="AL451" s="612" t="s">
        <v>1674</v>
      </c>
      <c r="AM451" s="612" t="s">
        <v>1674</v>
      </c>
      <c r="AN451" s="612" t="s">
        <v>1674</v>
      </c>
      <c r="AP451">
        <f t="shared" ref="AP451:AP462" si="14">IF(F451="",0,$AO$2-F451)</f>
        <v>55</v>
      </c>
      <c r="AQ451" s="552">
        <f t="shared" si="13"/>
        <v>500</v>
      </c>
    </row>
    <row r="452" spans="1:46" outlineLevel="1" x14ac:dyDescent="0.25">
      <c r="A452" s="612" t="s">
        <v>1674</v>
      </c>
      <c r="B452" s="786">
        <v>0</v>
      </c>
      <c r="C452" s="612" t="s">
        <v>1674</v>
      </c>
      <c r="D452" s="612" t="s">
        <v>5354</v>
      </c>
      <c r="E452" t="s">
        <v>5157</v>
      </c>
      <c r="F452" t="s">
        <v>5015</v>
      </c>
      <c r="G452" s="787">
        <v>500</v>
      </c>
      <c r="H452" s="787"/>
      <c r="I452" s="787">
        <v>500</v>
      </c>
      <c r="J452" t="s">
        <v>2701</v>
      </c>
      <c r="K452" s="611">
        <v>8338</v>
      </c>
      <c r="L452" t="s">
        <v>806</v>
      </c>
      <c r="M452" s="614"/>
      <c r="N452" s="788">
        <v>-55</v>
      </c>
      <c r="O452" s="612" t="s">
        <v>1674</v>
      </c>
      <c r="P452" s="612" t="s">
        <v>1674</v>
      </c>
      <c r="Q452" s="612" t="s">
        <v>2830</v>
      </c>
      <c r="R452" s="612" t="s">
        <v>1674</v>
      </c>
      <c r="S452" s="612" t="s">
        <v>1674</v>
      </c>
      <c r="T452" s="789"/>
      <c r="U452" s="612" t="s">
        <v>5002</v>
      </c>
      <c r="V452" s="611">
        <v>387</v>
      </c>
      <c r="W452" s="614"/>
      <c r="Y452" s="612" t="s">
        <v>1674</v>
      </c>
      <c r="AA452" s="612" t="s">
        <v>1674</v>
      </c>
      <c r="AE452" s="790"/>
      <c r="AF452" s="612" t="s">
        <v>1674</v>
      </c>
      <c r="AG452" s="612" t="s">
        <v>1674</v>
      </c>
      <c r="AH452" s="612" t="s">
        <v>1674</v>
      </c>
      <c r="AI452" s="612" t="s">
        <v>1674</v>
      </c>
      <c r="AJ452" s="612" t="s">
        <v>1674</v>
      </c>
      <c r="AK452" s="612" t="s">
        <v>1674</v>
      </c>
      <c r="AL452" s="612" t="s">
        <v>1674</v>
      </c>
      <c r="AM452" s="612" t="s">
        <v>1674</v>
      </c>
      <c r="AN452" s="612" t="s">
        <v>1674</v>
      </c>
      <c r="AP452">
        <f t="shared" si="14"/>
        <v>55</v>
      </c>
      <c r="AQ452" s="552">
        <f t="shared" ref="AQ452:AQ462" si="15">IF(J452="S",+I452,-I452)</f>
        <v>500</v>
      </c>
    </row>
    <row r="453" spans="1:46" outlineLevel="1" x14ac:dyDescent="0.25">
      <c r="A453" s="612" t="s">
        <v>1674</v>
      </c>
      <c r="B453" s="786">
        <v>0</v>
      </c>
      <c r="C453" s="612" t="s">
        <v>1674</v>
      </c>
      <c r="D453" s="612" t="s">
        <v>5355</v>
      </c>
      <c r="E453" t="s">
        <v>3804</v>
      </c>
      <c r="F453" t="s">
        <v>5356</v>
      </c>
      <c r="G453" s="787">
        <v>500</v>
      </c>
      <c r="H453" s="787"/>
      <c r="I453" s="787">
        <v>500</v>
      </c>
      <c r="J453" t="s">
        <v>2701</v>
      </c>
      <c r="K453" s="611">
        <v>8338</v>
      </c>
      <c r="L453" t="s">
        <v>806</v>
      </c>
      <c r="M453" s="614"/>
      <c r="N453" s="788">
        <v>-38</v>
      </c>
      <c r="O453" s="612" t="s">
        <v>1674</v>
      </c>
      <c r="P453" s="612" t="s">
        <v>1674</v>
      </c>
      <c r="Q453" s="612" t="s">
        <v>2830</v>
      </c>
      <c r="R453" s="612" t="s">
        <v>1674</v>
      </c>
      <c r="S453" s="612" t="s">
        <v>1674</v>
      </c>
      <c r="T453" s="789"/>
      <c r="U453" s="612" t="s">
        <v>5002</v>
      </c>
      <c r="V453" s="611">
        <v>1277</v>
      </c>
      <c r="W453" s="614"/>
      <c r="Y453" s="612" t="s">
        <v>1674</v>
      </c>
      <c r="AA453" s="612" t="s">
        <v>1674</v>
      </c>
      <c r="AE453" s="790"/>
      <c r="AF453" s="612" t="s">
        <v>1674</v>
      </c>
      <c r="AG453" s="612" t="s">
        <v>1674</v>
      </c>
      <c r="AH453" s="612" t="s">
        <v>1674</v>
      </c>
      <c r="AI453" s="612" t="s">
        <v>1674</v>
      </c>
      <c r="AJ453" s="612" t="s">
        <v>1674</v>
      </c>
      <c r="AK453" s="612" t="s">
        <v>1674</v>
      </c>
      <c r="AL453" s="612" t="s">
        <v>1674</v>
      </c>
      <c r="AM453" s="612" t="s">
        <v>1674</v>
      </c>
      <c r="AN453" s="612" t="s">
        <v>1674</v>
      </c>
      <c r="AP453">
        <f t="shared" si="14"/>
        <v>38</v>
      </c>
      <c r="AQ453" s="552">
        <f t="shared" si="15"/>
        <v>500</v>
      </c>
    </row>
    <row r="454" spans="1:46" outlineLevel="1" x14ac:dyDescent="0.25">
      <c r="A454" s="612" t="s">
        <v>1674</v>
      </c>
      <c r="B454" s="786">
        <v>0</v>
      </c>
      <c r="C454" s="612" t="s">
        <v>1674</v>
      </c>
      <c r="D454" s="612" t="s">
        <v>5357</v>
      </c>
      <c r="E454" t="s">
        <v>4915</v>
      </c>
      <c r="F454" t="s">
        <v>4916</v>
      </c>
      <c r="G454" s="787">
        <v>500</v>
      </c>
      <c r="H454" s="787"/>
      <c r="I454" s="787">
        <v>500</v>
      </c>
      <c r="J454" t="s">
        <v>2701</v>
      </c>
      <c r="K454" s="611">
        <v>8338</v>
      </c>
      <c r="L454" t="s">
        <v>806</v>
      </c>
      <c r="M454" s="614"/>
      <c r="N454" s="788">
        <v>18</v>
      </c>
      <c r="O454" s="612" t="s">
        <v>1674</v>
      </c>
      <c r="P454" s="612" t="s">
        <v>1674</v>
      </c>
      <c r="Q454" s="612" t="s">
        <v>2830</v>
      </c>
      <c r="R454" s="612" t="s">
        <v>1674</v>
      </c>
      <c r="S454" s="612" t="s">
        <v>1674</v>
      </c>
      <c r="T454" s="789"/>
      <c r="U454" s="612" t="s">
        <v>4900</v>
      </c>
      <c r="V454" s="611">
        <v>1389</v>
      </c>
      <c r="W454" s="614"/>
      <c r="Y454" s="612" t="s">
        <v>1674</v>
      </c>
      <c r="AA454" s="612" t="s">
        <v>1674</v>
      </c>
      <c r="AE454" s="790"/>
      <c r="AF454" s="612" t="s">
        <v>1674</v>
      </c>
      <c r="AG454" s="612" t="s">
        <v>1674</v>
      </c>
      <c r="AH454" s="612" t="s">
        <v>1674</v>
      </c>
      <c r="AI454" s="612" t="s">
        <v>1674</v>
      </c>
      <c r="AJ454" s="612" t="s">
        <v>1674</v>
      </c>
      <c r="AK454" s="612" t="s">
        <v>1674</v>
      </c>
      <c r="AL454" s="612" t="s">
        <v>1674</v>
      </c>
      <c r="AM454" s="612" t="s">
        <v>1674</v>
      </c>
      <c r="AN454" s="612" t="s">
        <v>1674</v>
      </c>
      <c r="AP454">
        <f t="shared" si="14"/>
        <v>-18</v>
      </c>
      <c r="AQ454" s="552">
        <f t="shared" si="15"/>
        <v>500</v>
      </c>
    </row>
    <row r="455" spans="1:46" outlineLevel="1" x14ac:dyDescent="0.25">
      <c r="A455" s="612" t="s">
        <v>1674</v>
      </c>
      <c r="B455" s="786">
        <v>0</v>
      </c>
      <c r="C455" s="612" t="s">
        <v>1674</v>
      </c>
      <c r="D455" s="612" t="s">
        <v>5358</v>
      </c>
      <c r="E455" t="s">
        <v>4915</v>
      </c>
      <c r="F455" t="s">
        <v>4916</v>
      </c>
      <c r="G455" s="787">
        <v>500</v>
      </c>
      <c r="H455" s="787"/>
      <c r="I455" s="787">
        <v>500</v>
      </c>
      <c r="J455" t="s">
        <v>2701</v>
      </c>
      <c r="K455" s="611">
        <v>8338</v>
      </c>
      <c r="L455" t="s">
        <v>806</v>
      </c>
      <c r="M455" s="614"/>
      <c r="N455" s="788">
        <v>18</v>
      </c>
      <c r="O455" s="612" t="s">
        <v>1674</v>
      </c>
      <c r="P455" s="612" t="s">
        <v>1674</v>
      </c>
      <c r="Q455" s="612" t="s">
        <v>2830</v>
      </c>
      <c r="R455" s="612" t="s">
        <v>1674</v>
      </c>
      <c r="S455" s="612" t="s">
        <v>1674</v>
      </c>
      <c r="T455" s="789"/>
      <c r="U455" s="612" t="s">
        <v>4900</v>
      </c>
      <c r="V455" s="611">
        <v>1390</v>
      </c>
      <c r="W455" s="614"/>
      <c r="Y455" s="612" t="s">
        <v>1674</v>
      </c>
      <c r="AA455" s="612" t="s">
        <v>1674</v>
      </c>
      <c r="AE455" s="790"/>
      <c r="AF455" s="612" t="s">
        <v>1674</v>
      </c>
      <c r="AG455" s="612" t="s">
        <v>1674</v>
      </c>
      <c r="AH455" s="612" t="s">
        <v>1674</v>
      </c>
      <c r="AI455" s="612" t="s">
        <v>1674</v>
      </c>
      <c r="AJ455" s="612" t="s">
        <v>1674</v>
      </c>
      <c r="AK455" s="612" t="s">
        <v>1674</v>
      </c>
      <c r="AL455" s="612" t="s">
        <v>1674</v>
      </c>
      <c r="AM455" s="612" t="s">
        <v>1674</v>
      </c>
      <c r="AN455" s="612" t="s">
        <v>1674</v>
      </c>
      <c r="AP455">
        <f t="shared" si="14"/>
        <v>-18</v>
      </c>
      <c r="AQ455" s="552">
        <f t="shared" si="15"/>
        <v>500</v>
      </c>
    </row>
    <row r="456" spans="1:46" outlineLevel="1" x14ac:dyDescent="0.25">
      <c r="A456" s="612" t="s">
        <v>1674</v>
      </c>
      <c r="B456" s="786">
        <v>0</v>
      </c>
      <c r="C456" s="612" t="s">
        <v>1674</v>
      </c>
      <c r="D456" s="612" t="s">
        <v>5359</v>
      </c>
      <c r="E456" t="s">
        <v>4934</v>
      </c>
      <c r="F456" t="s">
        <v>4935</v>
      </c>
      <c r="G456" s="787">
        <v>3504.39</v>
      </c>
      <c r="H456" s="787"/>
      <c r="I456" s="787">
        <v>3504.39</v>
      </c>
      <c r="J456" t="s">
        <v>2701</v>
      </c>
      <c r="K456" s="611">
        <v>8338</v>
      </c>
      <c r="L456" t="s">
        <v>806</v>
      </c>
      <c r="M456" s="614"/>
      <c r="N456" s="788">
        <v>22</v>
      </c>
      <c r="O456" s="612" t="s">
        <v>1674</v>
      </c>
      <c r="P456" s="612" t="s">
        <v>1674</v>
      </c>
      <c r="Q456" s="612" t="s">
        <v>2830</v>
      </c>
      <c r="R456" s="612" t="s">
        <v>1674</v>
      </c>
      <c r="S456" s="612" t="s">
        <v>1674</v>
      </c>
      <c r="T456" s="789"/>
      <c r="U456" s="612" t="s">
        <v>4900</v>
      </c>
      <c r="V456" s="611">
        <v>1590</v>
      </c>
      <c r="W456" s="614"/>
      <c r="Y456" s="612" t="s">
        <v>1674</v>
      </c>
      <c r="AA456" s="612" t="s">
        <v>1674</v>
      </c>
      <c r="AE456" s="790"/>
      <c r="AF456" s="612" t="s">
        <v>1674</v>
      </c>
      <c r="AG456" s="612" t="s">
        <v>1674</v>
      </c>
      <c r="AH456" s="612" t="s">
        <v>1674</v>
      </c>
      <c r="AI456" s="612" t="s">
        <v>1674</v>
      </c>
      <c r="AJ456" s="612" t="s">
        <v>1674</v>
      </c>
      <c r="AK456" s="612" t="s">
        <v>1674</v>
      </c>
      <c r="AL456" s="612" t="s">
        <v>1674</v>
      </c>
      <c r="AM456" s="612" t="s">
        <v>1674</v>
      </c>
      <c r="AN456" s="612" t="s">
        <v>1674</v>
      </c>
      <c r="AP456">
        <f t="shared" si="14"/>
        <v>-22</v>
      </c>
      <c r="AQ456" s="552">
        <f t="shared" si="15"/>
        <v>3504.39</v>
      </c>
    </row>
    <row r="457" spans="1:46" outlineLevel="1" x14ac:dyDescent="0.25">
      <c r="A457" s="612" t="s">
        <v>1674</v>
      </c>
      <c r="B457" s="786">
        <v>31901</v>
      </c>
      <c r="C457" s="612" t="s">
        <v>2894</v>
      </c>
      <c r="D457" s="612" t="s">
        <v>5360</v>
      </c>
      <c r="E457" t="s">
        <v>4958</v>
      </c>
      <c r="F457" t="s">
        <v>5361</v>
      </c>
      <c r="G457" s="787">
        <v>51517.96</v>
      </c>
      <c r="H457" s="787"/>
      <c r="I457" s="787">
        <v>51517.96</v>
      </c>
      <c r="J457" t="s">
        <v>2701</v>
      </c>
      <c r="K457" s="611">
        <v>8400</v>
      </c>
      <c r="L457" t="s">
        <v>806</v>
      </c>
      <c r="M457" s="614"/>
      <c r="N457" s="788">
        <v>19</v>
      </c>
      <c r="O457" s="612" t="s">
        <v>1674</v>
      </c>
      <c r="P457" s="612" t="s">
        <v>1674</v>
      </c>
      <c r="Q457" s="612" t="s">
        <v>2897</v>
      </c>
      <c r="R457" s="612" t="s">
        <v>2898</v>
      </c>
      <c r="S457" s="612" t="s">
        <v>1674</v>
      </c>
      <c r="T457" s="789">
        <v>19</v>
      </c>
      <c r="U457" s="612" t="s">
        <v>4900</v>
      </c>
      <c r="V457" s="611">
        <v>675</v>
      </c>
      <c r="W457" s="614"/>
      <c r="Y457" s="612" t="s">
        <v>1674</v>
      </c>
      <c r="AA457" s="612" t="s">
        <v>1674</v>
      </c>
      <c r="AE457" s="790"/>
      <c r="AF457" s="612" t="s">
        <v>1674</v>
      </c>
      <c r="AG457" s="612" t="s">
        <v>1674</v>
      </c>
      <c r="AH457" s="612" t="s">
        <v>1674</v>
      </c>
      <c r="AI457" s="612" t="s">
        <v>1674</v>
      </c>
      <c r="AJ457" s="612" t="s">
        <v>1674</v>
      </c>
      <c r="AK457" s="612" t="s">
        <v>1674</v>
      </c>
      <c r="AL457" s="612" t="s">
        <v>1674</v>
      </c>
      <c r="AM457" s="612" t="s">
        <v>2899</v>
      </c>
      <c r="AN457" s="612" t="s">
        <v>1674</v>
      </c>
      <c r="AP457">
        <f t="shared" si="14"/>
        <v>-19</v>
      </c>
      <c r="AQ457" s="552">
        <f t="shared" si="15"/>
        <v>51517.96</v>
      </c>
    </row>
    <row r="458" spans="1:46" outlineLevel="1" x14ac:dyDescent="0.25">
      <c r="A458" s="612" t="s">
        <v>1674</v>
      </c>
      <c r="B458" s="786">
        <v>31905</v>
      </c>
      <c r="C458" s="612" t="s">
        <v>2974</v>
      </c>
      <c r="D458" s="612" t="s">
        <v>3968</v>
      </c>
      <c r="E458" t="s">
        <v>3899</v>
      </c>
      <c r="F458" t="s">
        <v>3900</v>
      </c>
      <c r="G458" s="787">
        <v>1840</v>
      </c>
      <c r="H458" s="787"/>
      <c r="I458" s="787"/>
      <c r="J458" t="s">
        <v>806</v>
      </c>
      <c r="K458" s="611">
        <v>8120</v>
      </c>
      <c r="L458" t="s">
        <v>2552</v>
      </c>
      <c r="M458" s="614"/>
      <c r="N458" s="788">
        <v>-62</v>
      </c>
      <c r="O458" s="612" t="s">
        <v>1674</v>
      </c>
      <c r="P458" s="612" t="s">
        <v>1674</v>
      </c>
      <c r="Q458" s="612" t="s">
        <v>2976</v>
      </c>
      <c r="R458" s="612" t="s">
        <v>2622</v>
      </c>
      <c r="S458" s="612" t="s">
        <v>1674</v>
      </c>
      <c r="T458" s="789"/>
      <c r="U458" s="612" t="s">
        <v>3328</v>
      </c>
      <c r="V458" s="611">
        <v>1735</v>
      </c>
      <c r="W458" s="614"/>
      <c r="Y458" s="612" t="s">
        <v>1674</v>
      </c>
      <c r="AA458" s="612" t="s">
        <v>1674</v>
      </c>
      <c r="AE458" s="790"/>
      <c r="AF458" s="612" t="s">
        <v>1674</v>
      </c>
      <c r="AG458" s="612" t="s">
        <v>1674</v>
      </c>
      <c r="AH458" s="612" t="s">
        <v>1674</v>
      </c>
      <c r="AI458" s="612" t="s">
        <v>1674</v>
      </c>
      <c r="AJ458" s="612" t="s">
        <v>1674</v>
      </c>
      <c r="AK458" s="612" t="s">
        <v>1674</v>
      </c>
      <c r="AL458" s="612" t="s">
        <v>1674</v>
      </c>
      <c r="AM458" s="612" t="s">
        <v>2977</v>
      </c>
      <c r="AN458" s="612" t="s">
        <v>1674</v>
      </c>
      <c r="AP458">
        <f t="shared" si="14"/>
        <v>62</v>
      </c>
      <c r="AQ458" s="552">
        <f t="shared" si="15"/>
        <v>0</v>
      </c>
    </row>
    <row r="459" spans="1:46" outlineLevel="1" x14ac:dyDescent="0.25">
      <c r="A459" s="612" t="s">
        <v>1674</v>
      </c>
      <c r="B459" s="786">
        <v>0</v>
      </c>
      <c r="C459" s="612" t="s">
        <v>1674</v>
      </c>
      <c r="D459" s="612" t="s">
        <v>3968</v>
      </c>
      <c r="E459" t="s">
        <v>5065</v>
      </c>
      <c r="G459" s="787"/>
      <c r="H459" s="787">
        <v>1265.8900000000001</v>
      </c>
      <c r="I459" s="787">
        <v>574.11</v>
      </c>
      <c r="J459" t="s">
        <v>2701</v>
      </c>
      <c r="K459" s="611">
        <v>1200</v>
      </c>
      <c r="L459" t="s">
        <v>806</v>
      </c>
      <c r="M459" s="614"/>
      <c r="N459" s="788"/>
      <c r="O459" s="612" t="s">
        <v>1674</v>
      </c>
      <c r="P459" s="612" t="s">
        <v>1674</v>
      </c>
      <c r="Q459" s="612" t="s">
        <v>5362</v>
      </c>
      <c r="R459" s="612" t="s">
        <v>1674</v>
      </c>
      <c r="S459" s="612" t="s">
        <v>1674</v>
      </c>
      <c r="T459" s="789"/>
      <c r="U459" s="612" t="s">
        <v>5010</v>
      </c>
      <c r="V459" s="611">
        <v>675</v>
      </c>
      <c r="W459" s="614"/>
      <c r="Y459" s="612" t="s">
        <v>1674</v>
      </c>
      <c r="AA459" s="612" t="s">
        <v>1674</v>
      </c>
      <c r="AE459" s="790"/>
      <c r="AF459" s="612" t="s">
        <v>1674</v>
      </c>
      <c r="AG459" s="612" t="s">
        <v>1674</v>
      </c>
      <c r="AH459" s="612" t="s">
        <v>1674</v>
      </c>
      <c r="AI459" s="612" t="s">
        <v>1674</v>
      </c>
      <c r="AJ459" s="612" t="s">
        <v>1674</v>
      </c>
      <c r="AK459" s="612" t="s">
        <v>1674</v>
      </c>
      <c r="AL459" s="612" t="s">
        <v>1674</v>
      </c>
      <c r="AM459" s="612" t="s">
        <v>1674</v>
      </c>
      <c r="AN459" s="612" t="s">
        <v>1674</v>
      </c>
      <c r="AP459">
        <f t="shared" si="14"/>
        <v>0</v>
      </c>
      <c r="AQ459" s="552">
        <f t="shared" si="15"/>
        <v>574.11</v>
      </c>
    </row>
    <row r="460" spans="1:46" outlineLevel="1" x14ac:dyDescent="0.25">
      <c r="A460" s="612" t="s">
        <v>1674</v>
      </c>
      <c r="B460" s="786">
        <v>0</v>
      </c>
      <c r="C460" s="612" t="s">
        <v>1674</v>
      </c>
      <c r="D460" s="612" t="s">
        <v>5363</v>
      </c>
      <c r="E460" t="s">
        <v>5065</v>
      </c>
      <c r="F460" t="s">
        <v>5066</v>
      </c>
      <c r="G460" s="787">
        <v>1840</v>
      </c>
      <c r="H460" s="787"/>
      <c r="I460" s="787">
        <v>1840</v>
      </c>
      <c r="J460" t="s">
        <v>2701</v>
      </c>
      <c r="K460" s="611">
        <v>8120</v>
      </c>
      <c r="L460" t="s">
        <v>2552</v>
      </c>
      <c r="M460" s="614"/>
      <c r="N460" s="788">
        <v>-19</v>
      </c>
      <c r="O460" s="612" t="s">
        <v>1674</v>
      </c>
      <c r="P460" s="612" t="s">
        <v>1674</v>
      </c>
      <c r="Q460" s="612" t="s">
        <v>2976</v>
      </c>
      <c r="R460" s="612" t="s">
        <v>2622</v>
      </c>
      <c r="S460" s="612" t="s">
        <v>1674</v>
      </c>
      <c r="T460" s="789"/>
      <c r="U460" s="612" t="s">
        <v>5010</v>
      </c>
      <c r="V460" s="611">
        <v>707</v>
      </c>
      <c r="W460" s="614"/>
      <c r="Y460" s="612" t="s">
        <v>1674</v>
      </c>
      <c r="AA460" s="612" t="s">
        <v>1674</v>
      </c>
      <c r="AE460" s="790"/>
      <c r="AF460" s="612" t="s">
        <v>1674</v>
      </c>
      <c r="AG460" s="612" t="s">
        <v>1674</v>
      </c>
      <c r="AH460" s="612" t="s">
        <v>1674</v>
      </c>
      <c r="AI460" s="612" t="s">
        <v>1674</v>
      </c>
      <c r="AJ460" s="612" t="s">
        <v>1674</v>
      </c>
      <c r="AK460" s="612" t="s">
        <v>1674</v>
      </c>
      <c r="AL460" s="612" t="s">
        <v>1674</v>
      </c>
      <c r="AM460" s="612" t="s">
        <v>1674</v>
      </c>
      <c r="AN460" s="612" t="s">
        <v>1674</v>
      </c>
      <c r="AP460">
        <f t="shared" si="14"/>
        <v>19</v>
      </c>
      <c r="AQ460" s="552">
        <f t="shared" si="15"/>
        <v>1840</v>
      </c>
    </row>
    <row r="461" spans="1:46" outlineLevel="1" x14ac:dyDescent="0.25">
      <c r="A461" s="612" t="s">
        <v>1674</v>
      </c>
      <c r="B461" s="786">
        <v>32002</v>
      </c>
      <c r="C461" s="612" t="s">
        <v>3799</v>
      </c>
      <c r="D461" s="612" t="s">
        <v>5364</v>
      </c>
      <c r="E461" t="s">
        <v>5069</v>
      </c>
      <c r="F461" t="s">
        <v>5070</v>
      </c>
      <c r="G461" s="787">
        <v>3720</v>
      </c>
      <c r="H461" s="787"/>
      <c r="I461" s="787">
        <v>3720</v>
      </c>
      <c r="J461" t="s">
        <v>2701</v>
      </c>
      <c r="K461" s="611">
        <v>8120</v>
      </c>
      <c r="L461" t="s">
        <v>2552</v>
      </c>
      <c r="M461" s="614"/>
      <c r="N461" s="788">
        <v>-11</v>
      </c>
      <c r="O461" s="612" t="s">
        <v>1674</v>
      </c>
      <c r="P461" s="612" t="s">
        <v>1674</v>
      </c>
      <c r="Q461" s="612" t="s">
        <v>3801</v>
      </c>
      <c r="R461" s="612" t="s">
        <v>2617</v>
      </c>
      <c r="S461" s="612" t="s">
        <v>1674</v>
      </c>
      <c r="T461" s="789"/>
      <c r="U461" s="612" t="s">
        <v>5010</v>
      </c>
      <c r="V461" s="611">
        <v>1240</v>
      </c>
      <c r="W461" s="614"/>
      <c r="Y461" s="612" t="s">
        <v>1674</v>
      </c>
      <c r="AA461" s="612" t="s">
        <v>1674</v>
      </c>
      <c r="AE461" s="790"/>
      <c r="AF461" s="612" t="s">
        <v>1674</v>
      </c>
      <c r="AG461" s="612" t="s">
        <v>1674</v>
      </c>
      <c r="AH461" s="612" t="s">
        <v>1674</v>
      </c>
      <c r="AI461" s="612" t="s">
        <v>1674</v>
      </c>
      <c r="AJ461" s="612" t="s">
        <v>1674</v>
      </c>
      <c r="AK461" s="612" t="s">
        <v>1674</v>
      </c>
      <c r="AL461" s="612" t="s">
        <v>1674</v>
      </c>
      <c r="AM461" s="612" t="s">
        <v>3802</v>
      </c>
      <c r="AN461" s="612" t="s">
        <v>1674</v>
      </c>
      <c r="AP461">
        <f t="shared" si="14"/>
        <v>11</v>
      </c>
      <c r="AQ461" s="552">
        <f t="shared" si="15"/>
        <v>3720</v>
      </c>
    </row>
    <row r="462" spans="1:46" outlineLevel="1" x14ac:dyDescent="0.25">
      <c r="A462" s="612" t="s">
        <v>1674</v>
      </c>
      <c r="B462" s="786">
        <v>40806</v>
      </c>
      <c r="C462" s="612" t="s">
        <v>3567</v>
      </c>
      <c r="D462" s="612" t="s">
        <v>5365</v>
      </c>
      <c r="E462" t="s">
        <v>5022</v>
      </c>
      <c r="G462" s="787"/>
      <c r="H462" s="787">
        <v>10450</v>
      </c>
      <c r="I462" s="787">
        <v>10450</v>
      </c>
      <c r="J462" t="s">
        <v>2584</v>
      </c>
      <c r="K462" s="611">
        <v>1200</v>
      </c>
      <c r="L462" t="s">
        <v>806</v>
      </c>
      <c r="M462" s="614"/>
      <c r="N462" s="788"/>
      <c r="O462" s="612" t="s">
        <v>1674</v>
      </c>
      <c r="P462" s="612" t="s">
        <v>1674</v>
      </c>
      <c r="Q462" s="612" t="s">
        <v>5366</v>
      </c>
      <c r="R462" s="612" t="s">
        <v>1674</v>
      </c>
      <c r="S462" s="612" t="s">
        <v>1674</v>
      </c>
      <c r="T462" s="789"/>
      <c r="U462" s="612" t="s">
        <v>4900</v>
      </c>
      <c r="V462" s="611">
        <v>1084</v>
      </c>
      <c r="W462" s="614"/>
      <c r="Y462" s="612" t="s">
        <v>1674</v>
      </c>
      <c r="AA462" s="612" t="s">
        <v>1674</v>
      </c>
      <c r="AE462" s="790"/>
      <c r="AF462" s="612" t="s">
        <v>1674</v>
      </c>
      <c r="AG462" s="612" t="s">
        <v>1674</v>
      </c>
      <c r="AH462" s="612" t="s">
        <v>1674</v>
      </c>
      <c r="AI462" s="612" t="s">
        <v>1674</v>
      </c>
      <c r="AJ462" s="612" t="s">
        <v>1674</v>
      </c>
      <c r="AK462" s="612" t="s">
        <v>1674</v>
      </c>
      <c r="AL462" s="612" t="s">
        <v>1674</v>
      </c>
      <c r="AM462" s="612" t="s">
        <v>3571</v>
      </c>
      <c r="AN462" s="612" t="s">
        <v>1674</v>
      </c>
      <c r="AP462">
        <f t="shared" si="14"/>
        <v>0</v>
      </c>
      <c r="AQ462" s="552">
        <f t="shared" si="15"/>
        <v>-10450</v>
      </c>
      <c r="AS462" t="s">
        <v>5367</v>
      </c>
      <c r="AT462" t="s">
        <v>5367</v>
      </c>
    </row>
  </sheetData>
  <pageMargins left="0.7" right="0.7" top="0.78740157499999996" bottom="0.78740157499999996"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DD17D-62B2-4076-BA8F-08A202E58F81}">
  <sheetPr>
    <tabColor rgb="FF7030A0"/>
    <outlinePr summaryBelow="0"/>
  </sheetPr>
  <dimension ref="A1:AV172"/>
  <sheetViews>
    <sheetView workbookViewId="0"/>
  </sheetViews>
  <sheetFormatPr defaultColWidth="11.42578125" defaultRowHeight="15" outlineLevelRow="1" outlineLevelCol="1" x14ac:dyDescent="0.25"/>
  <cols>
    <col min="1" max="1" width="7.140625" style="542" customWidth="1"/>
    <col min="2" max="2" width="9.85546875" style="542" customWidth="1"/>
    <col min="3" max="3" width="39.140625" style="542" customWidth="1"/>
    <col min="4" max="4" width="28.42578125" style="542" customWidth="1"/>
    <col min="5" max="6" width="13.85546875" style="542" customWidth="1"/>
    <col min="7" max="7" width="13.7109375" style="542" customWidth="1"/>
    <col min="8" max="8" width="16" style="542" customWidth="1"/>
    <col min="9" max="9" width="13.85546875" style="542" customWidth="1"/>
    <col min="10" max="10" width="13" style="542" customWidth="1"/>
    <col min="11" max="11" width="14.5703125" style="542" customWidth="1"/>
    <col min="12" max="12" width="6.28515625" style="542" customWidth="1"/>
    <col min="13" max="13" width="9.85546875" style="542" customWidth="1"/>
    <col min="14" max="14" width="8.42578125" style="542" customWidth="1"/>
    <col min="15" max="15" width="13.85546875" style="542" hidden="1" customWidth="1" outlineLevel="1"/>
    <col min="16" max="16" width="7.140625" style="542" hidden="1" customWidth="1" outlineLevel="1"/>
    <col min="17" max="17" width="53.85546875" style="542" customWidth="1" collapsed="1"/>
    <col min="18" max="19" width="11" style="542" hidden="1" customWidth="1" outlineLevel="1"/>
    <col min="20" max="20" width="9.42578125" style="542" hidden="1" customWidth="1" outlineLevel="1"/>
    <col min="21" max="21" width="16" style="542" hidden="1" customWidth="1" outlineLevel="1"/>
    <col min="22" max="22" width="9.7109375" style="542" hidden="1" customWidth="1" outlineLevel="1"/>
    <col min="23" max="23" width="6.28515625" style="542" hidden="1" customWidth="1" outlineLevel="1"/>
    <col min="24" max="24" width="12.28515625" style="542" hidden="1" customWidth="1" outlineLevel="1"/>
    <col min="25" max="25" width="15.28515625" style="542" hidden="1" customWidth="1" outlineLevel="1"/>
    <col min="26" max="26" width="12.42578125" style="542" hidden="1" customWidth="1" outlineLevel="1"/>
    <col min="27" max="27" width="24.140625" style="542" hidden="1" customWidth="1" outlineLevel="1"/>
    <col min="28" max="28" width="19.42578125" style="542" hidden="1" customWidth="1" outlineLevel="1"/>
    <col min="29" max="29" width="14.42578125" style="542" hidden="1" customWidth="1" outlineLevel="1"/>
    <col min="30" max="30" width="13.42578125" style="542" hidden="1" customWidth="1" outlineLevel="1"/>
    <col min="31" max="31" width="12.85546875" style="542" hidden="1" customWidth="1" outlineLevel="1"/>
    <col min="32" max="32" width="16.42578125" style="542" hidden="1" customWidth="1" outlineLevel="1"/>
    <col min="33" max="33" width="9.85546875" style="542" hidden="1" customWidth="1" outlineLevel="1"/>
    <col min="34" max="34" width="23.42578125" style="542" hidden="1" customWidth="1" outlineLevel="1"/>
    <col min="35" max="35" width="15.140625" style="542" hidden="1" customWidth="1" outlineLevel="1"/>
    <col min="36" max="36" width="26.5703125" style="542" hidden="1" customWidth="1" outlineLevel="1"/>
    <col min="37" max="37" width="18.5703125" style="542" hidden="1" customWidth="1" outlineLevel="1"/>
    <col min="38" max="38" width="24" style="542" hidden="1" customWidth="1" outlineLevel="1"/>
    <col min="39" max="39" width="19.42578125" style="542" hidden="1" customWidth="1" outlineLevel="1"/>
    <col min="40" max="40" width="10.85546875" style="542" hidden="1" customWidth="1" outlineLevel="1"/>
    <col min="41" max="41" width="11.42578125" style="542" collapsed="1"/>
    <col min="42" max="42" width="12.85546875" style="542" customWidth="1"/>
    <col min="43" max="43" width="11.42578125" style="542"/>
    <col min="44" max="44" width="14.85546875" style="542" customWidth="1"/>
    <col min="45" max="45" width="12.28515625" style="542" bestFit="1" customWidth="1"/>
    <col min="46" max="46" width="11.42578125" style="542"/>
    <col min="47" max="47" width="12" style="542" customWidth="1"/>
    <col min="48" max="48" width="13.42578125" style="542" customWidth="1"/>
    <col min="49" max="16384" width="11.42578125" style="542"/>
  </cols>
  <sheetData>
    <row r="1" spans="1:48" x14ac:dyDescent="0.25">
      <c r="A1" s="573" t="s">
        <v>3970</v>
      </c>
    </row>
    <row r="2" spans="1:48" outlineLevel="1" x14ac:dyDescent="0.25">
      <c r="A2" s="543" t="s">
        <v>2541</v>
      </c>
      <c r="B2" s="543" t="s">
        <v>2542</v>
      </c>
      <c r="C2" s="543" t="s">
        <v>2543</v>
      </c>
      <c r="D2" s="543" t="s">
        <v>2544</v>
      </c>
      <c r="E2" s="543" t="s">
        <v>2545</v>
      </c>
      <c r="F2" s="543" t="s">
        <v>2546</v>
      </c>
      <c r="G2" s="543" t="s">
        <v>2547</v>
      </c>
      <c r="H2" s="543" t="s">
        <v>2548</v>
      </c>
      <c r="I2" s="543" t="s">
        <v>2549</v>
      </c>
      <c r="J2" s="543" t="s">
        <v>2550</v>
      </c>
      <c r="K2" s="543" t="s">
        <v>2551</v>
      </c>
      <c r="L2" s="543" t="s">
        <v>2552</v>
      </c>
      <c r="M2" s="543" t="s">
        <v>2553</v>
      </c>
      <c r="N2" s="543" t="s">
        <v>2554</v>
      </c>
      <c r="O2" s="543" t="s">
        <v>2555</v>
      </c>
      <c r="P2" s="543" t="s">
        <v>2556</v>
      </c>
      <c r="Q2" s="543" t="s">
        <v>2557</v>
      </c>
      <c r="R2" s="543" t="s">
        <v>2558</v>
      </c>
      <c r="S2" s="543" t="s">
        <v>2559</v>
      </c>
      <c r="T2" s="543" t="s">
        <v>2560</v>
      </c>
      <c r="U2" s="543" t="s">
        <v>2561</v>
      </c>
      <c r="V2" s="543" t="s">
        <v>2562</v>
      </c>
      <c r="W2" s="543" t="s">
        <v>2563</v>
      </c>
      <c r="X2" s="543" t="s">
        <v>2564</v>
      </c>
      <c r="Y2" s="543" t="s">
        <v>2565</v>
      </c>
      <c r="Z2" s="543" t="s">
        <v>2566</v>
      </c>
      <c r="AA2" s="543" t="s">
        <v>2567</v>
      </c>
      <c r="AB2" s="543" t="s">
        <v>2568</v>
      </c>
      <c r="AC2" s="543" t="s">
        <v>2569</v>
      </c>
      <c r="AD2" s="543" t="s">
        <v>2570</v>
      </c>
      <c r="AE2" s="543" t="s">
        <v>2571</v>
      </c>
      <c r="AF2" s="543" t="s">
        <v>2572</v>
      </c>
      <c r="AG2" s="543" t="s">
        <v>2573</v>
      </c>
      <c r="AH2" s="543" t="s">
        <v>2574</v>
      </c>
      <c r="AI2" s="543" t="s">
        <v>2575</v>
      </c>
      <c r="AJ2" s="543" t="s">
        <v>2576</v>
      </c>
      <c r="AK2" s="543" t="s">
        <v>2577</v>
      </c>
      <c r="AL2" s="543" t="s">
        <v>2578</v>
      </c>
      <c r="AM2" s="543" t="s">
        <v>2579</v>
      </c>
      <c r="AN2" s="543" t="s">
        <v>2580</v>
      </c>
      <c r="AP2" s="543" t="s">
        <v>2549</v>
      </c>
    </row>
    <row r="3" spans="1:48" outlineLevel="1" x14ac:dyDescent="0.25">
      <c r="A3" s="544" t="s">
        <v>1674</v>
      </c>
      <c r="B3" s="545">
        <v>81303</v>
      </c>
      <c r="C3" s="544" t="s">
        <v>3971</v>
      </c>
      <c r="D3" s="544" t="s">
        <v>3972</v>
      </c>
      <c r="E3" s="542" t="s">
        <v>3973</v>
      </c>
      <c r="G3" s="546">
        <v>-4675</v>
      </c>
      <c r="H3" s="546"/>
      <c r="I3" s="546">
        <v>4675</v>
      </c>
      <c r="J3" s="542" t="s">
        <v>2584</v>
      </c>
      <c r="K3" s="547">
        <v>3425</v>
      </c>
      <c r="L3" s="542" t="s">
        <v>806</v>
      </c>
      <c r="M3" s="548"/>
      <c r="N3" s="549">
        <v>0</v>
      </c>
      <c r="O3" s="544" t="s">
        <v>1674</v>
      </c>
      <c r="P3" s="544" t="s">
        <v>1674</v>
      </c>
      <c r="Q3" s="544" t="s">
        <v>3974</v>
      </c>
      <c r="R3" s="544" t="s">
        <v>1674</v>
      </c>
      <c r="S3" s="544" t="s">
        <v>1674</v>
      </c>
      <c r="T3" s="550">
        <v>19</v>
      </c>
      <c r="U3" s="544" t="s">
        <v>3975</v>
      </c>
      <c r="V3" s="547">
        <v>23</v>
      </c>
      <c r="W3" s="548"/>
      <c r="Y3" s="544" t="s">
        <v>1674</v>
      </c>
      <c r="AA3" s="544" t="s">
        <v>1674</v>
      </c>
      <c r="AE3" s="551"/>
      <c r="AF3" s="544" t="s">
        <v>1674</v>
      </c>
      <c r="AG3" s="544" t="s">
        <v>1674</v>
      </c>
      <c r="AH3" s="544" t="s">
        <v>1674</v>
      </c>
      <c r="AI3" s="544" t="s">
        <v>1674</v>
      </c>
      <c r="AJ3" s="544" t="s">
        <v>1674</v>
      </c>
      <c r="AK3" s="544" t="s">
        <v>1674</v>
      </c>
      <c r="AL3" s="544" t="s">
        <v>1674</v>
      </c>
      <c r="AM3" s="544" t="s">
        <v>3976</v>
      </c>
      <c r="AN3" s="544" t="s">
        <v>1674</v>
      </c>
      <c r="AP3" s="552">
        <f t="shared" ref="AP3:AP34" si="0">IF(J3="H",+I3,-I3)</f>
        <v>4675</v>
      </c>
      <c r="AR3" s="553" t="s">
        <v>2587</v>
      </c>
      <c r="AS3" s="554" t="s">
        <v>2588</v>
      </c>
      <c r="AU3" s="553" t="s">
        <v>2587</v>
      </c>
      <c r="AV3" s="555" t="s">
        <v>2589</v>
      </c>
    </row>
    <row r="4" spans="1:48" outlineLevel="1" x14ac:dyDescent="0.25">
      <c r="A4" s="544" t="s">
        <v>1674</v>
      </c>
      <c r="B4" s="545">
        <v>72301</v>
      </c>
      <c r="C4" s="544" t="s">
        <v>3977</v>
      </c>
      <c r="D4" s="544" t="s">
        <v>3978</v>
      </c>
      <c r="E4" s="542" t="s">
        <v>3979</v>
      </c>
      <c r="F4" s="542" t="s">
        <v>3980</v>
      </c>
      <c r="G4" s="546"/>
      <c r="H4" s="546">
        <v>17.39</v>
      </c>
      <c r="I4" s="546">
        <v>17.39</v>
      </c>
      <c r="J4" s="542" t="s">
        <v>2584</v>
      </c>
      <c r="K4" s="547">
        <v>4970</v>
      </c>
      <c r="L4" s="542" t="s">
        <v>806</v>
      </c>
      <c r="M4" s="548"/>
      <c r="N4" s="549">
        <v>-209</v>
      </c>
      <c r="O4" s="544" t="s">
        <v>1674</v>
      </c>
      <c r="P4" s="544" t="s">
        <v>1674</v>
      </c>
      <c r="Q4" s="544" t="s">
        <v>3977</v>
      </c>
      <c r="R4" s="544" t="s">
        <v>1674</v>
      </c>
      <c r="S4" s="544" t="s">
        <v>1674</v>
      </c>
      <c r="T4" s="550"/>
      <c r="U4" s="544" t="s">
        <v>2679</v>
      </c>
      <c r="V4" s="547">
        <v>240</v>
      </c>
      <c r="W4" s="548"/>
      <c r="Y4" s="544" t="s">
        <v>1674</v>
      </c>
      <c r="AA4" s="544" t="s">
        <v>1674</v>
      </c>
      <c r="AB4" s="542">
        <v>3</v>
      </c>
      <c r="AE4" s="551"/>
      <c r="AF4" s="544" t="s">
        <v>1674</v>
      </c>
      <c r="AG4" s="544" t="s">
        <v>1674</v>
      </c>
      <c r="AH4" s="544" t="s">
        <v>1674</v>
      </c>
      <c r="AI4" s="544" t="s">
        <v>1674</v>
      </c>
      <c r="AJ4" s="544" t="s">
        <v>1674</v>
      </c>
      <c r="AK4" s="544" t="s">
        <v>1674</v>
      </c>
      <c r="AL4" s="544" t="s">
        <v>1674</v>
      </c>
      <c r="AM4" s="544" t="s">
        <v>3981</v>
      </c>
      <c r="AN4" s="544" t="s">
        <v>1674</v>
      </c>
      <c r="AP4" s="552">
        <f t="shared" si="0"/>
        <v>17.39</v>
      </c>
      <c r="AR4" s="556" t="s">
        <v>502</v>
      </c>
      <c r="AS4" s="557">
        <f>SUMIFS($AP$3:$AP$165,$N$3:$N$165,"&gt;=0")</f>
        <v>1201141.0499999996</v>
      </c>
      <c r="AU4" s="556" t="s">
        <v>502</v>
      </c>
      <c r="AV4" s="558">
        <f>AS4/1000</f>
        <v>1201.1410499999995</v>
      </c>
    </row>
    <row r="5" spans="1:48" outlineLevel="1" x14ac:dyDescent="0.25">
      <c r="A5" s="544" t="s">
        <v>1674</v>
      </c>
      <c r="B5" s="545">
        <v>80505</v>
      </c>
      <c r="C5" s="544" t="s">
        <v>3982</v>
      </c>
      <c r="D5" s="544" t="s">
        <v>3983</v>
      </c>
      <c r="E5" s="542" t="s">
        <v>3984</v>
      </c>
      <c r="F5" s="542" t="s">
        <v>2807</v>
      </c>
      <c r="G5" s="546"/>
      <c r="H5" s="546">
        <v>14898.83</v>
      </c>
      <c r="I5" s="546">
        <v>14898.83</v>
      </c>
      <c r="J5" s="542" t="s">
        <v>2584</v>
      </c>
      <c r="K5" s="547">
        <v>4950</v>
      </c>
      <c r="L5" s="542" t="s">
        <v>806</v>
      </c>
      <c r="M5" s="548"/>
      <c r="N5" s="549">
        <v>-96</v>
      </c>
      <c r="O5" s="544" t="s">
        <v>1674</v>
      </c>
      <c r="P5" s="544" t="s">
        <v>1674</v>
      </c>
      <c r="Q5" s="544" t="s">
        <v>3985</v>
      </c>
      <c r="R5" s="544" t="s">
        <v>1674</v>
      </c>
      <c r="S5" s="544" t="s">
        <v>1674</v>
      </c>
      <c r="T5" s="550"/>
      <c r="U5" s="544" t="s">
        <v>2700</v>
      </c>
      <c r="V5" s="547">
        <v>379</v>
      </c>
      <c r="W5" s="548"/>
      <c r="Y5" s="544" t="s">
        <v>1674</v>
      </c>
      <c r="AA5" s="544" t="s">
        <v>1674</v>
      </c>
      <c r="AB5" s="542">
        <v>3</v>
      </c>
      <c r="AE5" s="551"/>
      <c r="AF5" s="544" t="s">
        <v>1674</v>
      </c>
      <c r="AG5" s="544" t="s">
        <v>1674</v>
      </c>
      <c r="AH5" s="544" t="s">
        <v>1674</v>
      </c>
      <c r="AI5" s="544" t="s">
        <v>1674</v>
      </c>
      <c r="AJ5" s="544" t="s">
        <v>1674</v>
      </c>
      <c r="AK5" s="544" t="s">
        <v>1674</v>
      </c>
      <c r="AL5" s="544" t="s">
        <v>1674</v>
      </c>
      <c r="AM5" s="544" t="s">
        <v>3986</v>
      </c>
      <c r="AN5" s="544" t="s">
        <v>1674</v>
      </c>
      <c r="AP5" s="552">
        <f t="shared" si="0"/>
        <v>14898.83</v>
      </c>
      <c r="AR5" s="556" t="s">
        <v>500</v>
      </c>
      <c r="AS5" s="559">
        <f>SUMIFS($AP$3:$AP$165,$N$3:$N$165,"&lt;0",$N$3:$N$165,"&gt;=-30")</f>
        <v>5950.85</v>
      </c>
      <c r="AU5" s="556" t="s">
        <v>500</v>
      </c>
      <c r="AV5" s="558">
        <f>AS5/1000</f>
        <v>5.95085</v>
      </c>
    </row>
    <row r="6" spans="1:48" outlineLevel="1" x14ac:dyDescent="0.25">
      <c r="A6" s="544" t="s">
        <v>1674</v>
      </c>
      <c r="B6" s="545">
        <v>80601</v>
      </c>
      <c r="C6" s="544" t="s">
        <v>3987</v>
      </c>
      <c r="D6" s="544" t="s">
        <v>3988</v>
      </c>
      <c r="E6" s="542" t="s">
        <v>2822</v>
      </c>
      <c r="F6" s="542" t="s">
        <v>3042</v>
      </c>
      <c r="G6" s="546"/>
      <c r="H6" s="546">
        <v>7089.6</v>
      </c>
      <c r="I6" s="546"/>
      <c r="J6" s="542" t="s">
        <v>806</v>
      </c>
      <c r="K6" s="547">
        <v>3425</v>
      </c>
      <c r="L6" s="542" t="s">
        <v>806</v>
      </c>
      <c r="M6" s="548"/>
      <c r="N6" s="549">
        <v>9</v>
      </c>
      <c r="O6" s="544" t="s">
        <v>1674</v>
      </c>
      <c r="P6" s="544" t="s">
        <v>1674</v>
      </c>
      <c r="Q6" s="544" t="s">
        <v>2983</v>
      </c>
      <c r="R6" s="544" t="s">
        <v>1674</v>
      </c>
      <c r="S6" s="544" t="s">
        <v>1674</v>
      </c>
      <c r="T6" s="550">
        <v>19</v>
      </c>
      <c r="U6" s="544" t="s">
        <v>2694</v>
      </c>
      <c r="V6" s="547">
        <v>1090</v>
      </c>
      <c r="W6" s="548"/>
      <c r="Y6" s="544" t="s">
        <v>1674</v>
      </c>
      <c r="AA6" s="544" t="s">
        <v>1674</v>
      </c>
      <c r="AB6" s="542">
        <v>3</v>
      </c>
      <c r="AE6" s="551"/>
      <c r="AF6" s="544" t="s">
        <v>1674</v>
      </c>
      <c r="AG6" s="544" t="s">
        <v>1674</v>
      </c>
      <c r="AH6" s="544" t="s">
        <v>1674</v>
      </c>
      <c r="AI6" s="544" t="s">
        <v>1674</v>
      </c>
      <c r="AJ6" s="544" t="s">
        <v>1674</v>
      </c>
      <c r="AK6" s="544" t="s">
        <v>1674</v>
      </c>
      <c r="AL6" s="544" t="s">
        <v>1674</v>
      </c>
      <c r="AM6" s="544" t="s">
        <v>3989</v>
      </c>
      <c r="AN6" s="544" t="s">
        <v>1674</v>
      </c>
      <c r="AP6" s="552">
        <f t="shared" si="0"/>
        <v>0</v>
      </c>
      <c r="AR6" s="556" t="s">
        <v>498</v>
      </c>
      <c r="AS6" s="559">
        <f>SUMIFS($AP$3:$AP$165,$N$3:$N$165,"&lt;=-31",$N$3:$N$165,"&gt;-61")</f>
        <v>0</v>
      </c>
      <c r="AU6" s="556" t="s">
        <v>498</v>
      </c>
      <c r="AV6" s="558">
        <f>AS6/1000</f>
        <v>0</v>
      </c>
    </row>
    <row r="7" spans="1:48" outlineLevel="1" x14ac:dyDescent="0.25">
      <c r="A7" s="544" t="s">
        <v>1674</v>
      </c>
      <c r="B7" s="545">
        <v>0</v>
      </c>
      <c r="C7" s="544" t="s">
        <v>1674</v>
      </c>
      <c r="D7" s="544" t="s">
        <v>3988</v>
      </c>
      <c r="E7" s="542" t="s">
        <v>2822</v>
      </c>
      <c r="F7" s="542" t="s">
        <v>3042</v>
      </c>
      <c r="G7" s="546"/>
      <c r="H7" s="546">
        <v>26150.34</v>
      </c>
      <c r="I7" s="546"/>
      <c r="J7" s="542" t="s">
        <v>806</v>
      </c>
      <c r="K7" s="547">
        <v>3425</v>
      </c>
      <c r="L7" s="542" t="s">
        <v>806</v>
      </c>
      <c r="M7" s="548"/>
      <c r="N7" s="549">
        <v>9</v>
      </c>
      <c r="O7" s="544" t="s">
        <v>1674</v>
      </c>
      <c r="P7" s="544" t="s">
        <v>1674</v>
      </c>
      <c r="Q7" s="544" t="s">
        <v>2983</v>
      </c>
      <c r="R7" s="544" t="s">
        <v>1674</v>
      </c>
      <c r="S7" s="544" t="s">
        <v>1674</v>
      </c>
      <c r="T7" s="550">
        <v>19</v>
      </c>
      <c r="U7" s="544" t="s">
        <v>2694</v>
      </c>
      <c r="V7" s="547">
        <v>1091</v>
      </c>
      <c r="W7" s="548"/>
      <c r="Y7" s="544" t="s">
        <v>1674</v>
      </c>
      <c r="AA7" s="544" t="s">
        <v>1674</v>
      </c>
      <c r="AB7" s="542">
        <v>3</v>
      </c>
      <c r="AE7" s="551"/>
      <c r="AF7" s="544" t="s">
        <v>1674</v>
      </c>
      <c r="AG7" s="544" t="s">
        <v>1674</v>
      </c>
      <c r="AH7" s="544" t="s">
        <v>1674</v>
      </c>
      <c r="AI7" s="544" t="s">
        <v>1674</v>
      </c>
      <c r="AJ7" s="544" t="s">
        <v>1674</v>
      </c>
      <c r="AK7" s="544" t="s">
        <v>1674</v>
      </c>
      <c r="AL7" s="544" t="s">
        <v>1674</v>
      </c>
      <c r="AM7" s="544" t="s">
        <v>1674</v>
      </c>
      <c r="AN7" s="544" t="s">
        <v>1674</v>
      </c>
      <c r="AP7" s="552">
        <f t="shared" si="0"/>
        <v>0</v>
      </c>
      <c r="AR7" s="556" t="s">
        <v>496</v>
      </c>
      <c r="AS7" s="559">
        <f>SUMIFS($AP$3:$AP$165,$N$3:$N$165,"&lt;=-61",$N$3:$N$165,"&gt;-91")</f>
        <v>0</v>
      </c>
      <c r="AU7" s="556" t="s">
        <v>496</v>
      </c>
      <c r="AV7" s="558">
        <f>AS7/1000</f>
        <v>0</v>
      </c>
    </row>
    <row r="8" spans="1:48" outlineLevel="1" x14ac:dyDescent="0.25">
      <c r="A8" s="544" t="s">
        <v>1674</v>
      </c>
      <c r="B8" s="545">
        <v>0</v>
      </c>
      <c r="C8" s="544" t="s">
        <v>1674</v>
      </c>
      <c r="D8" s="544" t="s">
        <v>3988</v>
      </c>
      <c r="E8" s="542" t="s">
        <v>2822</v>
      </c>
      <c r="F8" s="542" t="s">
        <v>3042</v>
      </c>
      <c r="G8" s="546"/>
      <c r="H8" s="546">
        <v>2011.5</v>
      </c>
      <c r="I8" s="546">
        <v>35251.440000000002</v>
      </c>
      <c r="J8" s="542" t="s">
        <v>2584</v>
      </c>
      <c r="K8" s="547">
        <v>3425</v>
      </c>
      <c r="L8" s="542" t="s">
        <v>806</v>
      </c>
      <c r="M8" s="548"/>
      <c r="N8" s="549">
        <v>9</v>
      </c>
      <c r="O8" s="544" t="s">
        <v>1674</v>
      </c>
      <c r="P8" s="544" t="s">
        <v>1674</v>
      </c>
      <c r="Q8" s="544" t="s">
        <v>2983</v>
      </c>
      <c r="R8" s="544" t="s">
        <v>1674</v>
      </c>
      <c r="S8" s="544" t="s">
        <v>1674</v>
      </c>
      <c r="T8" s="550">
        <v>19</v>
      </c>
      <c r="U8" s="544" t="s">
        <v>2694</v>
      </c>
      <c r="V8" s="547">
        <v>1092</v>
      </c>
      <c r="W8" s="548"/>
      <c r="Y8" s="544" t="s">
        <v>1674</v>
      </c>
      <c r="AA8" s="544" t="s">
        <v>1674</v>
      </c>
      <c r="AB8" s="542">
        <v>3</v>
      </c>
      <c r="AE8" s="551"/>
      <c r="AF8" s="544" t="s">
        <v>1674</v>
      </c>
      <c r="AG8" s="544" t="s">
        <v>1674</v>
      </c>
      <c r="AH8" s="544" t="s">
        <v>1674</v>
      </c>
      <c r="AI8" s="544" t="s">
        <v>1674</v>
      </c>
      <c r="AJ8" s="544" t="s">
        <v>1674</v>
      </c>
      <c r="AK8" s="544" t="s">
        <v>1674</v>
      </c>
      <c r="AL8" s="544" t="s">
        <v>1674</v>
      </c>
      <c r="AM8" s="544" t="s">
        <v>1674</v>
      </c>
      <c r="AN8" s="544" t="s">
        <v>1674</v>
      </c>
      <c r="AP8" s="552">
        <f t="shared" si="0"/>
        <v>35251.440000000002</v>
      </c>
      <c r="AR8" s="556" t="s">
        <v>494</v>
      </c>
      <c r="AS8" s="557">
        <f>SUMIFS($AP$3:$AP$165,$N$3:$N$165,"&lt;=-91")</f>
        <v>14916.22</v>
      </c>
      <c r="AU8" s="556" t="s">
        <v>494</v>
      </c>
      <c r="AV8" s="558">
        <f>AS8/1000</f>
        <v>14.916219999999999</v>
      </c>
    </row>
    <row r="9" spans="1:48" outlineLevel="1" x14ac:dyDescent="0.25">
      <c r="A9" s="544" t="s">
        <v>1674</v>
      </c>
      <c r="B9" s="545">
        <v>0</v>
      </c>
      <c r="C9" s="544" t="s">
        <v>1674</v>
      </c>
      <c r="D9" s="544" t="s">
        <v>3990</v>
      </c>
      <c r="E9" s="542" t="s">
        <v>3991</v>
      </c>
      <c r="F9" s="542" t="s">
        <v>3117</v>
      </c>
      <c r="G9" s="546"/>
      <c r="H9" s="546">
        <v>2443</v>
      </c>
      <c r="I9" s="546"/>
      <c r="J9" s="542" t="s">
        <v>806</v>
      </c>
      <c r="K9" s="547">
        <v>3425</v>
      </c>
      <c r="L9" s="542" t="s">
        <v>806</v>
      </c>
      <c r="M9" s="548"/>
      <c r="N9" s="549">
        <v>26</v>
      </c>
      <c r="O9" s="544" t="s">
        <v>1674</v>
      </c>
      <c r="P9" s="544" t="s">
        <v>1674</v>
      </c>
      <c r="Q9" s="544" t="s">
        <v>2983</v>
      </c>
      <c r="R9" s="544" t="s">
        <v>1674</v>
      </c>
      <c r="S9" s="544" t="s">
        <v>1674</v>
      </c>
      <c r="T9" s="550">
        <v>19</v>
      </c>
      <c r="U9" s="544" t="s">
        <v>2694</v>
      </c>
      <c r="V9" s="547">
        <v>1769</v>
      </c>
      <c r="W9" s="548"/>
      <c r="Y9" s="544" t="s">
        <v>1674</v>
      </c>
      <c r="AA9" s="544" t="s">
        <v>1674</v>
      </c>
      <c r="AB9" s="542">
        <v>3</v>
      </c>
      <c r="AE9" s="551"/>
      <c r="AF9" s="544" t="s">
        <v>1674</v>
      </c>
      <c r="AG9" s="544" t="s">
        <v>1674</v>
      </c>
      <c r="AH9" s="544" t="s">
        <v>1674</v>
      </c>
      <c r="AI9" s="544" t="s">
        <v>1674</v>
      </c>
      <c r="AJ9" s="544" t="s">
        <v>1674</v>
      </c>
      <c r="AK9" s="544" t="s">
        <v>1674</v>
      </c>
      <c r="AL9" s="544" t="s">
        <v>1674</v>
      </c>
      <c r="AM9" s="544" t="s">
        <v>1674</v>
      </c>
      <c r="AN9" s="544" t="s">
        <v>1674</v>
      </c>
      <c r="AP9" s="552">
        <f t="shared" si="0"/>
        <v>0</v>
      </c>
      <c r="AR9" s="560"/>
      <c r="AS9" s="561"/>
    </row>
    <row r="10" spans="1:48" outlineLevel="1" x14ac:dyDescent="0.25">
      <c r="A10" s="544" t="s">
        <v>1674</v>
      </c>
      <c r="B10" s="545">
        <v>0</v>
      </c>
      <c r="C10" s="544" t="s">
        <v>1674</v>
      </c>
      <c r="D10" s="544" t="s">
        <v>3990</v>
      </c>
      <c r="E10" s="542" t="s">
        <v>3991</v>
      </c>
      <c r="F10" s="542" t="s">
        <v>3117</v>
      </c>
      <c r="G10" s="546"/>
      <c r="H10" s="546">
        <v>10798.2</v>
      </c>
      <c r="I10" s="546"/>
      <c r="J10" s="542" t="s">
        <v>806</v>
      </c>
      <c r="K10" s="547">
        <v>3425</v>
      </c>
      <c r="L10" s="542" t="s">
        <v>806</v>
      </c>
      <c r="M10" s="548"/>
      <c r="N10" s="549">
        <v>26</v>
      </c>
      <c r="O10" s="544" t="s">
        <v>1674</v>
      </c>
      <c r="P10" s="544" t="s">
        <v>1674</v>
      </c>
      <c r="Q10" s="544" t="s">
        <v>2983</v>
      </c>
      <c r="R10" s="544" t="s">
        <v>3992</v>
      </c>
      <c r="S10" s="544" t="s">
        <v>1674</v>
      </c>
      <c r="T10" s="550">
        <v>19</v>
      </c>
      <c r="U10" s="544" t="s">
        <v>2694</v>
      </c>
      <c r="V10" s="547">
        <v>1770</v>
      </c>
      <c r="W10" s="548"/>
      <c r="Y10" s="544" t="s">
        <v>1674</v>
      </c>
      <c r="AA10" s="544" t="s">
        <v>1674</v>
      </c>
      <c r="AB10" s="542">
        <v>3</v>
      </c>
      <c r="AE10" s="551"/>
      <c r="AF10" s="544" t="s">
        <v>1674</v>
      </c>
      <c r="AG10" s="544" t="s">
        <v>1674</v>
      </c>
      <c r="AH10" s="544" t="s">
        <v>1674</v>
      </c>
      <c r="AI10" s="544" t="s">
        <v>1674</v>
      </c>
      <c r="AJ10" s="544" t="s">
        <v>1674</v>
      </c>
      <c r="AK10" s="544" t="s">
        <v>1674</v>
      </c>
      <c r="AL10" s="544" t="s">
        <v>1674</v>
      </c>
      <c r="AM10" s="544" t="s">
        <v>1674</v>
      </c>
      <c r="AN10" s="544" t="s">
        <v>1674</v>
      </c>
      <c r="AP10" s="552">
        <f t="shared" si="0"/>
        <v>0</v>
      </c>
      <c r="AR10" s="556" t="s">
        <v>233</v>
      </c>
      <c r="AS10" s="561">
        <f>SUM(AS4:AS8)-AP169</f>
        <v>0</v>
      </c>
    </row>
    <row r="11" spans="1:48" outlineLevel="1" x14ac:dyDescent="0.25">
      <c r="A11" s="544" t="s">
        <v>1674</v>
      </c>
      <c r="B11" s="545">
        <v>0</v>
      </c>
      <c r="C11" s="544" t="s">
        <v>1674</v>
      </c>
      <c r="D11" s="544" t="s">
        <v>3990</v>
      </c>
      <c r="E11" s="542" t="s">
        <v>3991</v>
      </c>
      <c r="F11" s="542" t="s">
        <v>3117</v>
      </c>
      <c r="G11" s="546"/>
      <c r="H11" s="546">
        <v>14179.2</v>
      </c>
      <c r="I11" s="546"/>
      <c r="J11" s="542" t="s">
        <v>806</v>
      </c>
      <c r="K11" s="547">
        <v>3425</v>
      </c>
      <c r="L11" s="542" t="s">
        <v>806</v>
      </c>
      <c r="M11" s="548"/>
      <c r="N11" s="549">
        <v>26</v>
      </c>
      <c r="O11" s="544" t="s">
        <v>1674</v>
      </c>
      <c r="P11" s="544" t="s">
        <v>1674</v>
      </c>
      <c r="Q11" s="544" t="s">
        <v>2983</v>
      </c>
      <c r="R11" s="544" t="s">
        <v>2898</v>
      </c>
      <c r="S11" s="544" t="s">
        <v>1674</v>
      </c>
      <c r="T11" s="550">
        <v>19</v>
      </c>
      <c r="U11" s="544" t="s">
        <v>2694</v>
      </c>
      <c r="V11" s="547">
        <v>1771</v>
      </c>
      <c r="W11" s="548"/>
      <c r="Y11" s="544" t="s">
        <v>1674</v>
      </c>
      <c r="AA11" s="544" t="s">
        <v>1674</v>
      </c>
      <c r="AB11" s="542">
        <v>3</v>
      </c>
      <c r="AE11" s="551"/>
      <c r="AF11" s="544" t="s">
        <v>1674</v>
      </c>
      <c r="AG11" s="544" t="s">
        <v>1674</v>
      </c>
      <c r="AH11" s="544" t="s">
        <v>1674</v>
      </c>
      <c r="AI11" s="544" t="s">
        <v>1674</v>
      </c>
      <c r="AJ11" s="544" t="s">
        <v>1674</v>
      </c>
      <c r="AK11" s="544" t="s">
        <v>1674</v>
      </c>
      <c r="AL11" s="544" t="s">
        <v>1674</v>
      </c>
      <c r="AM11" s="544" t="s">
        <v>1674</v>
      </c>
      <c r="AN11" s="544" t="s">
        <v>1674</v>
      </c>
      <c r="AP11" s="552">
        <f t="shared" si="0"/>
        <v>0</v>
      </c>
    </row>
    <row r="12" spans="1:48" outlineLevel="1" x14ac:dyDescent="0.25">
      <c r="A12" s="544" t="s">
        <v>1674</v>
      </c>
      <c r="B12" s="545">
        <v>0</v>
      </c>
      <c r="C12" s="544" t="s">
        <v>1674</v>
      </c>
      <c r="D12" s="544" t="s">
        <v>3990</v>
      </c>
      <c r="E12" s="542" t="s">
        <v>3991</v>
      </c>
      <c r="F12" s="542" t="s">
        <v>3117</v>
      </c>
      <c r="G12" s="546"/>
      <c r="H12" s="546">
        <v>16399.43</v>
      </c>
      <c r="I12" s="546">
        <v>43819.83</v>
      </c>
      <c r="J12" s="542" t="s">
        <v>2584</v>
      </c>
      <c r="K12" s="547">
        <v>3425</v>
      </c>
      <c r="L12" s="542" t="s">
        <v>806</v>
      </c>
      <c r="M12" s="548"/>
      <c r="N12" s="549">
        <v>26</v>
      </c>
      <c r="O12" s="544" t="s">
        <v>1674</v>
      </c>
      <c r="P12" s="544" t="s">
        <v>1674</v>
      </c>
      <c r="Q12" s="544" t="s">
        <v>2983</v>
      </c>
      <c r="R12" s="544" t="s">
        <v>1674</v>
      </c>
      <c r="S12" s="544" t="s">
        <v>1674</v>
      </c>
      <c r="T12" s="550">
        <v>19</v>
      </c>
      <c r="U12" s="544" t="s">
        <v>2694</v>
      </c>
      <c r="V12" s="547">
        <v>1772</v>
      </c>
      <c r="W12" s="548"/>
      <c r="Y12" s="544" t="s">
        <v>1674</v>
      </c>
      <c r="AA12" s="544" t="s">
        <v>1674</v>
      </c>
      <c r="AB12" s="542">
        <v>3</v>
      </c>
      <c r="AE12" s="551"/>
      <c r="AF12" s="544" t="s">
        <v>1674</v>
      </c>
      <c r="AG12" s="544" t="s">
        <v>1674</v>
      </c>
      <c r="AH12" s="544" t="s">
        <v>1674</v>
      </c>
      <c r="AI12" s="544" t="s">
        <v>1674</v>
      </c>
      <c r="AJ12" s="544" t="s">
        <v>1674</v>
      </c>
      <c r="AK12" s="544" t="s">
        <v>1674</v>
      </c>
      <c r="AL12" s="544" t="s">
        <v>1674</v>
      </c>
      <c r="AM12" s="544" t="s">
        <v>1674</v>
      </c>
      <c r="AN12" s="544" t="s">
        <v>1674</v>
      </c>
      <c r="AP12" s="552">
        <f t="shared" si="0"/>
        <v>43819.83</v>
      </c>
    </row>
    <row r="13" spans="1:48" outlineLevel="1" x14ac:dyDescent="0.25">
      <c r="A13" s="544" t="s">
        <v>1674</v>
      </c>
      <c r="B13" s="545">
        <v>0</v>
      </c>
      <c r="C13" s="544" t="s">
        <v>1674</v>
      </c>
      <c r="D13" s="544" t="s">
        <v>3993</v>
      </c>
      <c r="E13" s="542" t="s">
        <v>2692</v>
      </c>
      <c r="F13" s="542" t="s">
        <v>3179</v>
      </c>
      <c r="G13" s="546"/>
      <c r="H13" s="546">
        <v>477</v>
      </c>
      <c r="I13" s="546"/>
      <c r="J13" s="542" t="s">
        <v>806</v>
      </c>
      <c r="K13" s="547">
        <v>3425</v>
      </c>
      <c r="L13" s="542" t="s">
        <v>806</v>
      </c>
      <c r="M13" s="548"/>
      <c r="N13" s="549">
        <v>28</v>
      </c>
      <c r="O13" s="544" t="s">
        <v>1674</v>
      </c>
      <c r="P13" s="544" t="s">
        <v>1674</v>
      </c>
      <c r="Q13" s="544" t="s">
        <v>2983</v>
      </c>
      <c r="R13" s="544" t="s">
        <v>1674</v>
      </c>
      <c r="S13" s="544" t="s">
        <v>1674</v>
      </c>
      <c r="T13" s="550">
        <v>19</v>
      </c>
      <c r="U13" s="544" t="s">
        <v>2694</v>
      </c>
      <c r="V13" s="547">
        <v>1889</v>
      </c>
      <c r="W13" s="548"/>
      <c r="Y13" s="544" t="s">
        <v>1674</v>
      </c>
      <c r="AA13" s="544" t="s">
        <v>1674</v>
      </c>
      <c r="AB13" s="542">
        <v>3</v>
      </c>
      <c r="AE13" s="551"/>
      <c r="AF13" s="544" t="s">
        <v>1674</v>
      </c>
      <c r="AG13" s="544" t="s">
        <v>1674</v>
      </c>
      <c r="AH13" s="544" t="s">
        <v>1674</v>
      </c>
      <c r="AI13" s="544" t="s">
        <v>1674</v>
      </c>
      <c r="AJ13" s="544" t="s">
        <v>1674</v>
      </c>
      <c r="AK13" s="544" t="s">
        <v>1674</v>
      </c>
      <c r="AL13" s="544" t="s">
        <v>1674</v>
      </c>
      <c r="AM13" s="544" t="s">
        <v>1674</v>
      </c>
      <c r="AN13" s="544" t="s">
        <v>1674</v>
      </c>
      <c r="AP13" s="552">
        <f t="shared" si="0"/>
        <v>0</v>
      </c>
      <c r="AR13" s="542" t="s">
        <v>3301</v>
      </c>
      <c r="AS13" s="559">
        <f>SUMIFS($AP$3:$AP$165,$AP$3:$AP$165,"&gt;0")</f>
        <v>1222333.95</v>
      </c>
    </row>
    <row r="14" spans="1:48" outlineLevel="1" x14ac:dyDescent="0.25">
      <c r="A14" s="544" t="s">
        <v>1674</v>
      </c>
      <c r="B14" s="545">
        <v>0</v>
      </c>
      <c r="C14" s="544" t="s">
        <v>1674</v>
      </c>
      <c r="D14" s="544" t="s">
        <v>3993</v>
      </c>
      <c r="E14" s="542" t="s">
        <v>2692</v>
      </c>
      <c r="F14" s="542" t="s">
        <v>3179</v>
      </c>
      <c r="G14" s="546"/>
      <c r="H14" s="546">
        <v>283.33999999999997</v>
      </c>
      <c r="I14" s="546">
        <v>760.34</v>
      </c>
      <c r="J14" s="542" t="s">
        <v>2584</v>
      </c>
      <c r="K14" s="547">
        <v>3425</v>
      </c>
      <c r="L14" s="542" t="s">
        <v>806</v>
      </c>
      <c r="M14" s="548"/>
      <c r="N14" s="549">
        <v>28</v>
      </c>
      <c r="O14" s="544" t="s">
        <v>1674</v>
      </c>
      <c r="P14" s="544" t="s">
        <v>1674</v>
      </c>
      <c r="Q14" s="544" t="s">
        <v>2983</v>
      </c>
      <c r="R14" s="544" t="s">
        <v>1674</v>
      </c>
      <c r="S14" s="544" t="s">
        <v>1674</v>
      </c>
      <c r="T14" s="550">
        <v>19</v>
      </c>
      <c r="U14" s="544" t="s">
        <v>2694</v>
      </c>
      <c r="V14" s="547">
        <v>1890</v>
      </c>
      <c r="W14" s="548"/>
      <c r="Y14" s="544" t="s">
        <v>1674</v>
      </c>
      <c r="AA14" s="544" t="s">
        <v>1674</v>
      </c>
      <c r="AB14" s="542">
        <v>3</v>
      </c>
      <c r="AE14" s="551"/>
      <c r="AF14" s="544" t="s">
        <v>1674</v>
      </c>
      <c r="AG14" s="544" t="s">
        <v>1674</v>
      </c>
      <c r="AH14" s="544" t="s">
        <v>1674</v>
      </c>
      <c r="AI14" s="544" t="s">
        <v>1674</v>
      </c>
      <c r="AJ14" s="544" t="s">
        <v>1674</v>
      </c>
      <c r="AK14" s="544" t="s">
        <v>1674</v>
      </c>
      <c r="AL14" s="544" t="s">
        <v>1674</v>
      </c>
      <c r="AM14" s="544" t="s">
        <v>1674</v>
      </c>
      <c r="AN14" s="544" t="s">
        <v>1674</v>
      </c>
      <c r="AP14" s="552">
        <f t="shared" si="0"/>
        <v>760.34</v>
      </c>
      <c r="AR14" s="542" t="s">
        <v>3994</v>
      </c>
      <c r="AS14" s="559">
        <f>SUMIFS($AP$3:$AP$165,$AP$3:$AP$165,"&lt;0")</f>
        <v>-325.83</v>
      </c>
    </row>
    <row r="15" spans="1:48" outlineLevel="1" x14ac:dyDescent="0.25">
      <c r="A15" s="544" t="s">
        <v>1674</v>
      </c>
      <c r="B15" s="545">
        <v>91305</v>
      </c>
      <c r="C15" s="544" t="s">
        <v>3995</v>
      </c>
      <c r="D15" s="544" t="s">
        <v>3996</v>
      </c>
      <c r="E15" s="542" t="s">
        <v>2850</v>
      </c>
      <c r="F15" s="542" t="s">
        <v>2851</v>
      </c>
      <c r="G15" s="546"/>
      <c r="H15" s="546">
        <v>1686.75</v>
      </c>
      <c r="I15" s="546">
        <v>1686.75</v>
      </c>
      <c r="J15" s="542" t="s">
        <v>2584</v>
      </c>
      <c r="K15" s="547">
        <v>4950</v>
      </c>
      <c r="L15" s="542" t="s">
        <v>806</v>
      </c>
      <c r="M15" s="548"/>
      <c r="N15" s="549">
        <v>-27</v>
      </c>
      <c r="O15" s="544" t="s">
        <v>1674</v>
      </c>
      <c r="P15" s="544" t="s">
        <v>1674</v>
      </c>
      <c r="Q15" s="544" t="s">
        <v>3997</v>
      </c>
      <c r="R15" s="544" t="s">
        <v>1674</v>
      </c>
      <c r="S15" s="544" t="s">
        <v>1674</v>
      </c>
      <c r="T15" s="550"/>
      <c r="U15" s="544" t="s">
        <v>3998</v>
      </c>
      <c r="V15" s="547">
        <v>6</v>
      </c>
      <c r="W15" s="548"/>
      <c r="Y15" s="544" t="s">
        <v>1674</v>
      </c>
      <c r="AA15" s="544" t="s">
        <v>1674</v>
      </c>
      <c r="AB15" s="542">
        <v>3</v>
      </c>
      <c r="AE15" s="551"/>
      <c r="AF15" s="544" t="s">
        <v>1674</v>
      </c>
      <c r="AG15" s="544" t="s">
        <v>1674</v>
      </c>
      <c r="AH15" s="544" t="s">
        <v>1674</v>
      </c>
      <c r="AI15" s="544" t="s">
        <v>1674</v>
      </c>
      <c r="AJ15" s="544" t="s">
        <v>1674</v>
      </c>
      <c r="AK15" s="544" t="s">
        <v>1674</v>
      </c>
      <c r="AL15" s="544" t="s">
        <v>1674</v>
      </c>
      <c r="AM15" s="544" t="s">
        <v>3999</v>
      </c>
      <c r="AN15" s="544" t="s">
        <v>1674</v>
      </c>
      <c r="AP15" s="552">
        <f t="shared" si="0"/>
        <v>1686.75</v>
      </c>
    </row>
    <row r="16" spans="1:48" outlineLevel="1" x14ac:dyDescent="0.25">
      <c r="A16" s="544" t="s">
        <v>1674</v>
      </c>
      <c r="B16" s="545">
        <v>80801</v>
      </c>
      <c r="C16" s="544" t="s">
        <v>4000</v>
      </c>
      <c r="D16" s="544" t="s">
        <v>4001</v>
      </c>
      <c r="E16" s="542" t="s">
        <v>2817</v>
      </c>
      <c r="F16" s="542" t="s">
        <v>3331</v>
      </c>
      <c r="G16" s="546"/>
      <c r="H16" s="546">
        <v>2879.8</v>
      </c>
      <c r="I16" s="546">
        <v>2879.8</v>
      </c>
      <c r="J16" s="542" t="s">
        <v>2584</v>
      </c>
      <c r="K16" s="547">
        <v>3425</v>
      </c>
      <c r="L16" s="542" t="s">
        <v>806</v>
      </c>
      <c r="M16" s="548"/>
      <c r="N16" s="549">
        <v>6</v>
      </c>
      <c r="O16" s="544" t="s">
        <v>1674</v>
      </c>
      <c r="P16" s="544" t="s">
        <v>1674</v>
      </c>
      <c r="Q16" s="544" t="s">
        <v>4002</v>
      </c>
      <c r="R16" s="544" t="s">
        <v>1674</v>
      </c>
      <c r="S16" s="544" t="s">
        <v>1674</v>
      </c>
      <c r="T16" s="550">
        <v>19</v>
      </c>
      <c r="U16" s="544" t="s">
        <v>2697</v>
      </c>
      <c r="V16" s="547">
        <v>344</v>
      </c>
      <c r="W16" s="548"/>
      <c r="Y16" s="544" t="s">
        <v>1674</v>
      </c>
      <c r="AA16" s="544" t="s">
        <v>1674</v>
      </c>
      <c r="AB16" s="542">
        <v>3</v>
      </c>
      <c r="AE16" s="551"/>
      <c r="AF16" s="544" t="s">
        <v>1674</v>
      </c>
      <c r="AG16" s="544" t="s">
        <v>1674</v>
      </c>
      <c r="AH16" s="544" t="s">
        <v>1674</v>
      </c>
      <c r="AI16" s="544" t="s">
        <v>1674</v>
      </c>
      <c r="AJ16" s="544" t="s">
        <v>1674</v>
      </c>
      <c r="AK16" s="544" t="s">
        <v>1674</v>
      </c>
      <c r="AL16" s="544" t="s">
        <v>1674</v>
      </c>
      <c r="AM16" s="544" t="s">
        <v>4003</v>
      </c>
      <c r="AN16" s="544" t="s">
        <v>1674</v>
      </c>
      <c r="AP16" s="552">
        <f t="shared" si="0"/>
        <v>2879.8</v>
      </c>
      <c r="AR16" s="542" t="s">
        <v>640</v>
      </c>
      <c r="AS16" s="562">
        <f>SUM(AS13:AS14)</f>
        <v>1222008.1199999999</v>
      </c>
    </row>
    <row r="17" spans="1:45" outlineLevel="1" x14ac:dyDescent="0.25">
      <c r="A17" s="544" t="s">
        <v>1674</v>
      </c>
      <c r="B17" s="545">
        <v>81908</v>
      </c>
      <c r="C17" s="544" t="s">
        <v>4004</v>
      </c>
      <c r="D17" s="544" t="s">
        <v>4005</v>
      </c>
      <c r="E17" s="542" t="s">
        <v>2886</v>
      </c>
      <c r="F17" s="542" t="s">
        <v>2887</v>
      </c>
      <c r="G17" s="546"/>
      <c r="H17" s="546">
        <v>1070</v>
      </c>
      <c r="I17" s="546">
        <v>1070</v>
      </c>
      <c r="J17" s="542" t="s">
        <v>2584</v>
      </c>
      <c r="K17" s="547">
        <v>3425</v>
      </c>
      <c r="L17" s="542" t="s">
        <v>806</v>
      </c>
      <c r="M17" s="548"/>
      <c r="N17" s="549">
        <v>-19</v>
      </c>
      <c r="O17" s="544" t="s">
        <v>1674</v>
      </c>
      <c r="P17" s="544" t="s">
        <v>1674</v>
      </c>
      <c r="Q17" s="544" t="s">
        <v>4006</v>
      </c>
      <c r="R17" s="544" t="s">
        <v>1674</v>
      </c>
      <c r="S17" s="544" t="s">
        <v>1674</v>
      </c>
      <c r="T17" s="550">
        <v>19</v>
      </c>
      <c r="U17" s="544" t="s">
        <v>2697</v>
      </c>
      <c r="V17" s="547">
        <v>631</v>
      </c>
      <c r="W17" s="548"/>
      <c r="Y17" s="544" t="s">
        <v>1674</v>
      </c>
      <c r="AA17" s="544" t="s">
        <v>1674</v>
      </c>
      <c r="AB17" s="542">
        <v>3</v>
      </c>
      <c r="AE17" s="551"/>
      <c r="AF17" s="544" t="s">
        <v>1674</v>
      </c>
      <c r="AG17" s="544" t="s">
        <v>1674</v>
      </c>
      <c r="AH17" s="544" t="s">
        <v>1674</v>
      </c>
      <c r="AI17" s="544" t="s">
        <v>1674</v>
      </c>
      <c r="AJ17" s="544" t="s">
        <v>1674</v>
      </c>
      <c r="AK17" s="544" t="s">
        <v>1674</v>
      </c>
      <c r="AL17" s="544" t="s">
        <v>1674</v>
      </c>
      <c r="AM17" s="544" t="s">
        <v>4007</v>
      </c>
      <c r="AN17" s="544" t="s">
        <v>1674</v>
      </c>
      <c r="AP17" s="552">
        <f t="shared" si="0"/>
        <v>1070</v>
      </c>
    </row>
    <row r="18" spans="1:45" outlineLevel="1" x14ac:dyDescent="0.25">
      <c r="A18" s="544" t="s">
        <v>1674</v>
      </c>
      <c r="B18" s="545">
        <v>80601</v>
      </c>
      <c r="C18" s="544" t="s">
        <v>3987</v>
      </c>
      <c r="D18" s="544" t="s">
        <v>4008</v>
      </c>
      <c r="E18" s="542" t="s">
        <v>2800</v>
      </c>
      <c r="F18" s="542" t="s">
        <v>3339</v>
      </c>
      <c r="G18" s="546"/>
      <c r="H18" s="546">
        <v>10798.2</v>
      </c>
      <c r="I18" s="546"/>
      <c r="J18" s="542" t="s">
        <v>806</v>
      </c>
      <c r="K18" s="547">
        <v>3425</v>
      </c>
      <c r="L18" s="542" t="s">
        <v>806</v>
      </c>
      <c r="M18" s="548"/>
      <c r="N18" s="549">
        <v>44</v>
      </c>
      <c r="O18" s="544" t="s">
        <v>1674</v>
      </c>
      <c r="P18" s="544" t="s">
        <v>1674</v>
      </c>
      <c r="Q18" s="544" t="s">
        <v>2983</v>
      </c>
      <c r="R18" s="544" t="s">
        <v>3992</v>
      </c>
      <c r="S18" s="544" t="s">
        <v>1674</v>
      </c>
      <c r="T18" s="550">
        <v>19</v>
      </c>
      <c r="U18" s="544" t="s">
        <v>2697</v>
      </c>
      <c r="V18" s="547">
        <v>868</v>
      </c>
      <c r="W18" s="548"/>
      <c r="Y18" s="544" t="s">
        <v>1674</v>
      </c>
      <c r="AA18" s="544" t="s">
        <v>1674</v>
      </c>
      <c r="AB18" s="542">
        <v>3</v>
      </c>
      <c r="AE18" s="551"/>
      <c r="AF18" s="544" t="s">
        <v>1674</v>
      </c>
      <c r="AG18" s="544" t="s">
        <v>1674</v>
      </c>
      <c r="AH18" s="544" t="s">
        <v>1674</v>
      </c>
      <c r="AI18" s="544" t="s">
        <v>1674</v>
      </c>
      <c r="AJ18" s="544" t="s">
        <v>1674</v>
      </c>
      <c r="AK18" s="544" t="s">
        <v>1674</v>
      </c>
      <c r="AL18" s="544" t="s">
        <v>1674</v>
      </c>
      <c r="AM18" s="544" t="s">
        <v>3989</v>
      </c>
      <c r="AN18" s="544" t="s">
        <v>1674</v>
      </c>
      <c r="AP18" s="552">
        <f t="shared" si="0"/>
        <v>0</v>
      </c>
    </row>
    <row r="19" spans="1:45" outlineLevel="1" x14ac:dyDescent="0.25">
      <c r="A19" s="544" t="s">
        <v>1674</v>
      </c>
      <c r="B19" s="545">
        <v>0</v>
      </c>
      <c r="C19" s="544" t="s">
        <v>1674</v>
      </c>
      <c r="D19" s="544" t="s">
        <v>4008</v>
      </c>
      <c r="E19" s="542" t="s">
        <v>2800</v>
      </c>
      <c r="F19" s="542" t="s">
        <v>3339</v>
      </c>
      <c r="G19" s="546"/>
      <c r="H19" s="546">
        <v>21268.799999999999</v>
      </c>
      <c r="I19" s="546">
        <v>32067</v>
      </c>
      <c r="J19" s="542" t="s">
        <v>2584</v>
      </c>
      <c r="K19" s="547">
        <v>3425</v>
      </c>
      <c r="L19" s="542" t="s">
        <v>806</v>
      </c>
      <c r="M19" s="548"/>
      <c r="N19" s="549">
        <v>44</v>
      </c>
      <c r="O19" s="544" t="s">
        <v>1674</v>
      </c>
      <c r="P19" s="544" t="s">
        <v>1674</v>
      </c>
      <c r="Q19" s="544" t="s">
        <v>2983</v>
      </c>
      <c r="R19" s="544" t="s">
        <v>2898</v>
      </c>
      <c r="S19" s="544" t="s">
        <v>1674</v>
      </c>
      <c r="T19" s="550">
        <v>19</v>
      </c>
      <c r="U19" s="544" t="s">
        <v>2697</v>
      </c>
      <c r="V19" s="547">
        <v>869</v>
      </c>
      <c r="W19" s="548"/>
      <c r="Y19" s="544" t="s">
        <v>1674</v>
      </c>
      <c r="AA19" s="544" t="s">
        <v>1674</v>
      </c>
      <c r="AB19" s="542">
        <v>3</v>
      </c>
      <c r="AE19" s="551"/>
      <c r="AF19" s="544" t="s">
        <v>1674</v>
      </c>
      <c r="AG19" s="544" t="s">
        <v>1674</v>
      </c>
      <c r="AH19" s="544" t="s">
        <v>1674</v>
      </c>
      <c r="AI19" s="544" t="s">
        <v>1674</v>
      </c>
      <c r="AJ19" s="544" t="s">
        <v>1674</v>
      </c>
      <c r="AK19" s="544" t="s">
        <v>1674</v>
      </c>
      <c r="AL19" s="544" t="s">
        <v>1674</v>
      </c>
      <c r="AM19" s="544" t="s">
        <v>1674</v>
      </c>
      <c r="AN19" s="544" t="s">
        <v>1674</v>
      </c>
      <c r="AP19" s="552">
        <f t="shared" si="0"/>
        <v>32067</v>
      </c>
    </row>
    <row r="20" spans="1:45" outlineLevel="1" x14ac:dyDescent="0.25">
      <c r="A20" s="544" t="s">
        <v>1674</v>
      </c>
      <c r="B20" s="545">
        <v>70200</v>
      </c>
      <c r="C20" s="544" t="s">
        <v>2774</v>
      </c>
      <c r="D20" s="544" t="s">
        <v>4009</v>
      </c>
      <c r="E20" s="542" t="s">
        <v>2916</v>
      </c>
      <c r="F20" s="542" t="s">
        <v>3158</v>
      </c>
      <c r="G20" s="546"/>
      <c r="H20" s="546">
        <v>219.1</v>
      </c>
      <c r="I20" s="546">
        <v>219.1</v>
      </c>
      <c r="J20" s="542" t="s">
        <v>2584</v>
      </c>
      <c r="K20" s="547">
        <v>4940</v>
      </c>
      <c r="L20" s="542" t="s">
        <v>806</v>
      </c>
      <c r="M20" s="548"/>
      <c r="N20" s="549">
        <v>-12</v>
      </c>
      <c r="O20" s="544" t="s">
        <v>1674</v>
      </c>
      <c r="P20" s="544" t="s">
        <v>1674</v>
      </c>
      <c r="Q20" s="544" t="s">
        <v>4010</v>
      </c>
      <c r="R20" s="544" t="s">
        <v>1674</v>
      </c>
      <c r="S20" s="544" t="s">
        <v>1674</v>
      </c>
      <c r="T20" s="550">
        <v>7</v>
      </c>
      <c r="U20" s="544" t="s">
        <v>2700</v>
      </c>
      <c r="V20" s="547">
        <v>382</v>
      </c>
      <c r="W20" s="548"/>
      <c r="Y20" s="544" t="s">
        <v>1674</v>
      </c>
      <c r="AA20" s="544" t="s">
        <v>1674</v>
      </c>
      <c r="AB20" s="542">
        <v>3</v>
      </c>
      <c r="AE20" s="551"/>
      <c r="AF20" s="544" t="s">
        <v>1674</v>
      </c>
      <c r="AG20" s="544" t="s">
        <v>1674</v>
      </c>
      <c r="AH20" s="544" t="s">
        <v>1674</v>
      </c>
      <c r="AI20" s="544" t="s">
        <v>1674</v>
      </c>
      <c r="AJ20" s="544" t="s">
        <v>1674</v>
      </c>
      <c r="AK20" s="544" t="s">
        <v>1674</v>
      </c>
      <c r="AL20" s="544" t="s">
        <v>1674</v>
      </c>
      <c r="AM20" s="544" t="s">
        <v>2774</v>
      </c>
      <c r="AN20" s="544" t="s">
        <v>1674</v>
      </c>
      <c r="AP20" s="552">
        <f t="shared" si="0"/>
        <v>219.1</v>
      </c>
    </row>
    <row r="21" spans="1:45" outlineLevel="1" x14ac:dyDescent="0.25">
      <c r="A21" s="544" t="s">
        <v>1674</v>
      </c>
      <c r="B21" s="545">
        <v>81303</v>
      </c>
      <c r="C21" s="544" t="s">
        <v>3971</v>
      </c>
      <c r="D21" s="544" t="s">
        <v>4011</v>
      </c>
      <c r="E21" s="542" t="s">
        <v>2838</v>
      </c>
      <c r="F21" s="542" t="s">
        <v>3181</v>
      </c>
      <c r="G21" s="546"/>
      <c r="H21" s="546">
        <v>144.19999999999999</v>
      </c>
      <c r="I21" s="546">
        <v>144.19999999999999</v>
      </c>
      <c r="J21" s="542" t="s">
        <v>2584</v>
      </c>
      <c r="K21" s="547">
        <v>3425</v>
      </c>
      <c r="L21" s="542" t="s">
        <v>806</v>
      </c>
      <c r="M21" s="548"/>
      <c r="N21" s="549">
        <v>19</v>
      </c>
      <c r="O21" s="544" t="s">
        <v>1674</v>
      </c>
      <c r="P21" s="544" t="s">
        <v>1674</v>
      </c>
      <c r="Q21" s="544" t="s">
        <v>4012</v>
      </c>
      <c r="R21" s="544" t="s">
        <v>1674</v>
      </c>
      <c r="S21" s="544" t="s">
        <v>1674</v>
      </c>
      <c r="T21" s="550">
        <v>19</v>
      </c>
      <c r="U21" s="544" t="s">
        <v>2700</v>
      </c>
      <c r="V21" s="547">
        <v>383</v>
      </c>
      <c r="W21" s="548"/>
      <c r="Y21" s="544" t="s">
        <v>1674</v>
      </c>
      <c r="AA21" s="544" t="s">
        <v>1674</v>
      </c>
      <c r="AB21" s="542">
        <v>3</v>
      </c>
      <c r="AE21" s="551"/>
      <c r="AF21" s="544" t="s">
        <v>1674</v>
      </c>
      <c r="AG21" s="544" t="s">
        <v>1674</v>
      </c>
      <c r="AH21" s="544" t="s">
        <v>1674</v>
      </c>
      <c r="AI21" s="544" t="s">
        <v>1674</v>
      </c>
      <c r="AJ21" s="544" t="s">
        <v>1674</v>
      </c>
      <c r="AK21" s="544" t="s">
        <v>1674</v>
      </c>
      <c r="AL21" s="544" t="s">
        <v>1674</v>
      </c>
      <c r="AM21" s="544" t="s">
        <v>3976</v>
      </c>
      <c r="AN21" s="544" t="s">
        <v>1674</v>
      </c>
      <c r="AP21" s="552">
        <f t="shared" si="0"/>
        <v>144.19999999999999</v>
      </c>
      <c r="AS21" s="566"/>
    </row>
    <row r="22" spans="1:45" outlineLevel="1" x14ac:dyDescent="0.25">
      <c r="A22" s="544" t="s">
        <v>1674</v>
      </c>
      <c r="B22" s="545">
        <v>72300</v>
      </c>
      <c r="C22" s="544" t="s">
        <v>4013</v>
      </c>
      <c r="D22" s="544" t="s">
        <v>4014</v>
      </c>
      <c r="E22" s="542" t="s">
        <v>2942</v>
      </c>
      <c r="F22" s="542" t="s">
        <v>4015</v>
      </c>
      <c r="G22" s="546"/>
      <c r="H22" s="546">
        <v>2975</v>
      </c>
      <c r="I22" s="546">
        <v>2975</v>
      </c>
      <c r="J22" s="542" t="s">
        <v>2584</v>
      </c>
      <c r="K22" s="547">
        <v>4800</v>
      </c>
      <c r="L22" s="542" t="s">
        <v>806</v>
      </c>
      <c r="M22" s="548"/>
      <c r="N22" s="549">
        <v>-6</v>
      </c>
      <c r="O22" s="544" t="s">
        <v>1674</v>
      </c>
      <c r="P22" s="544" t="s">
        <v>1674</v>
      </c>
      <c r="Q22" s="544" t="s">
        <v>4016</v>
      </c>
      <c r="R22" s="544" t="s">
        <v>1674</v>
      </c>
      <c r="S22" s="544" t="s">
        <v>1674</v>
      </c>
      <c r="T22" s="550">
        <v>19</v>
      </c>
      <c r="U22" s="544" t="s">
        <v>2700</v>
      </c>
      <c r="V22" s="547">
        <v>384</v>
      </c>
      <c r="W22" s="548"/>
      <c r="Y22" s="544" t="s">
        <v>1674</v>
      </c>
      <c r="AA22" s="544" t="s">
        <v>1674</v>
      </c>
      <c r="AB22" s="542">
        <v>3</v>
      </c>
      <c r="AE22" s="551"/>
      <c r="AF22" s="544" t="s">
        <v>1674</v>
      </c>
      <c r="AG22" s="544" t="s">
        <v>1674</v>
      </c>
      <c r="AH22" s="544" t="s">
        <v>1674</v>
      </c>
      <c r="AI22" s="544" t="s">
        <v>1674</v>
      </c>
      <c r="AJ22" s="544" t="s">
        <v>1674</v>
      </c>
      <c r="AK22" s="544" t="s">
        <v>1674</v>
      </c>
      <c r="AL22" s="544" t="s">
        <v>1674</v>
      </c>
      <c r="AM22" s="544" t="s">
        <v>4013</v>
      </c>
      <c r="AN22" s="544" t="s">
        <v>1674</v>
      </c>
      <c r="AP22" s="552">
        <f t="shared" si="0"/>
        <v>2975</v>
      </c>
    </row>
    <row r="23" spans="1:45" outlineLevel="1" x14ac:dyDescent="0.25">
      <c r="A23" s="544" t="s">
        <v>1674</v>
      </c>
      <c r="B23" s="545">
        <v>80601</v>
      </c>
      <c r="C23" s="544" t="s">
        <v>3987</v>
      </c>
      <c r="D23" s="544" t="s">
        <v>4017</v>
      </c>
      <c r="E23" s="542" t="s">
        <v>2942</v>
      </c>
      <c r="F23" s="542" t="s">
        <v>4018</v>
      </c>
      <c r="G23" s="546"/>
      <c r="H23" s="546">
        <v>7198.8</v>
      </c>
      <c r="I23" s="546"/>
      <c r="J23" s="542" t="s">
        <v>806</v>
      </c>
      <c r="K23" s="547">
        <v>3425</v>
      </c>
      <c r="L23" s="542" t="s">
        <v>806</v>
      </c>
      <c r="M23" s="548"/>
      <c r="N23" s="549">
        <v>54</v>
      </c>
      <c r="O23" s="544" t="s">
        <v>1674</v>
      </c>
      <c r="P23" s="544" t="s">
        <v>1674</v>
      </c>
      <c r="Q23" s="544" t="s">
        <v>2983</v>
      </c>
      <c r="R23" s="544" t="s">
        <v>3992</v>
      </c>
      <c r="S23" s="544" t="s">
        <v>1674</v>
      </c>
      <c r="T23" s="550">
        <v>19</v>
      </c>
      <c r="U23" s="544" t="s">
        <v>2697</v>
      </c>
      <c r="V23" s="547">
        <v>1389</v>
      </c>
      <c r="W23" s="548"/>
      <c r="Y23" s="544" t="s">
        <v>1674</v>
      </c>
      <c r="AA23" s="544" t="s">
        <v>1674</v>
      </c>
      <c r="AB23" s="542">
        <v>3</v>
      </c>
      <c r="AE23" s="551"/>
      <c r="AF23" s="544" t="s">
        <v>1674</v>
      </c>
      <c r="AG23" s="544" t="s">
        <v>1674</v>
      </c>
      <c r="AH23" s="544" t="s">
        <v>1674</v>
      </c>
      <c r="AI23" s="544" t="s">
        <v>1674</v>
      </c>
      <c r="AJ23" s="544" t="s">
        <v>1674</v>
      </c>
      <c r="AK23" s="544" t="s">
        <v>1674</v>
      </c>
      <c r="AL23" s="544" t="s">
        <v>1674</v>
      </c>
      <c r="AM23" s="544" t="s">
        <v>3989</v>
      </c>
      <c r="AN23" s="544" t="s">
        <v>1674</v>
      </c>
      <c r="AP23" s="552">
        <f t="shared" si="0"/>
        <v>0</v>
      </c>
    </row>
    <row r="24" spans="1:45" outlineLevel="1" x14ac:dyDescent="0.25">
      <c r="A24" s="544" t="s">
        <v>1674</v>
      </c>
      <c r="B24" s="545">
        <v>0</v>
      </c>
      <c r="C24" s="544" t="s">
        <v>1674</v>
      </c>
      <c r="D24" s="544" t="s">
        <v>4017</v>
      </c>
      <c r="E24" s="542" t="s">
        <v>2942</v>
      </c>
      <c r="F24" s="542" t="s">
        <v>4018</v>
      </c>
      <c r="G24" s="546"/>
      <c r="H24" s="546">
        <v>14179.2</v>
      </c>
      <c r="I24" s="546"/>
      <c r="J24" s="542" t="s">
        <v>806</v>
      </c>
      <c r="K24" s="547">
        <v>3425</v>
      </c>
      <c r="L24" s="542" t="s">
        <v>806</v>
      </c>
      <c r="M24" s="548"/>
      <c r="N24" s="549">
        <v>54</v>
      </c>
      <c r="O24" s="544" t="s">
        <v>1674</v>
      </c>
      <c r="P24" s="544" t="s">
        <v>1674</v>
      </c>
      <c r="Q24" s="544" t="s">
        <v>2983</v>
      </c>
      <c r="R24" s="544" t="s">
        <v>2898</v>
      </c>
      <c r="S24" s="544" t="s">
        <v>1674</v>
      </c>
      <c r="T24" s="550">
        <v>19</v>
      </c>
      <c r="U24" s="544" t="s">
        <v>2697</v>
      </c>
      <c r="V24" s="547">
        <v>1390</v>
      </c>
      <c r="W24" s="548"/>
      <c r="Y24" s="544" t="s">
        <v>1674</v>
      </c>
      <c r="AA24" s="544" t="s">
        <v>1674</v>
      </c>
      <c r="AB24" s="542">
        <v>3</v>
      </c>
      <c r="AE24" s="551"/>
      <c r="AF24" s="544" t="s">
        <v>1674</v>
      </c>
      <c r="AG24" s="544" t="s">
        <v>1674</v>
      </c>
      <c r="AH24" s="544" t="s">
        <v>1674</v>
      </c>
      <c r="AI24" s="544" t="s">
        <v>1674</v>
      </c>
      <c r="AJ24" s="544" t="s">
        <v>1674</v>
      </c>
      <c r="AK24" s="544" t="s">
        <v>1674</v>
      </c>
      <c r="AL24" s="544" t="s">
        <v>1674</v>
      </c>
      <c r="AM24" s="544" t="s">
        <v>1674</v>
      </c>
      <c r="AN24" s="544" t="s">
        <v>1674</v>
      </c>
      <c r="AP24" s="552">
        <f t="shared" si="0"/>
        <v>0</v>
      </c>
    </row>
    <row r="25" spans="1:45" outlineLevel="1" x14ac:dyDescent="0.25">
      <c r="A25" s="544" t="s">
        <v>1674</v>
      </c>
      <c r="B25" s="545">
        <v>0</v>
      </c>
      <c r="C25" s="544" t="s">
        <v>1674</v>
      </c>
      <c r="D25" s="544" t="s">
        <v>4017</v>
      </c>
      <c r="E25" s="542" t="s">
        <v>2942</v>
      </c>
      <c r="F25" s="542" t="s">
        <v>4018</v>
      </c>
      <c r="G25" s="546"/>
      <c r="H25" s="546">
        <v>2658.4</v>
      </c>
      <c r="I25" s="546"/>
      <c r="J25" s="542" t="s">
        <v>806</v>
      </c>
      <c r="K25" s="547">
        <v>3425</v>
      </c>
      <c r="L25" s="542" t="s">
        <v>806</v>
      </c>
      <c r="M25" s="548"/>
      <c r="N25" s="549">
        <v>54</v>
      </c>
      <c r="O25" s="544" t="s">
        <v>1674</v>
      </c>
      <c r="P25" s="544" t="s">
        <v>1674</v>
      </c>
      <c r="Q25" s="544" t="s">
        <v>2983</v>
      </c>
      <c r="R25" s="544" t="s">
        <v>1674</v>
      </c>
      <c r="S25" s="544" t="s">
        <v>1674</v>
      </c>
      <c r="T25" s="550">
        <v>19</v>
      </c>
      <c r="U25" s="544" t="s">
        <v>2697</v>
      </c>
      <c r="V25" s="547">
        <v>1391</v>
      </c>
      <c r="W25" s="548"/>
      <c r="Y25" s="544" t="s">
        <v>1674</v>
      </c>
      <c r="AA25" s="544" t="s">
        <v>1674</v>
      </c>
      <c r="AB25" s="542">
        <v>3</v>
      </c>
      <c r="AE25" s="551"/>
      <c r="AF25" s="544" t="s">
        <v>1674</v>
      </c>
      <c r="AG25" s="544" t="s">
        <v>1674</v>
      </c>
      <c r="AH25" s="544" t="s">
        <v>1674</v>
      </c>
      <c r="AI25" s="544" t="s">
        <v>1674</v>
      </c>
      <c r="AJ25" s="544" t="s">
        <v>1674</v>
      </c>
      <c r="AK25" s="544" t="s">
        <v>1674</v>
      </c>
      <c r="AL25" s="544" t="s">
        <v>1674</v>
      </c>
      <c r="AM25" s="544" t="s">
        <v>1674</v>
      </c>
      <c r="AN25" s="544" t="s">
        <v>1674</v>
      </c>
      <c r="AP25" s="552">
        <f t="shared" si="0"/>
        <v>0</v>
      </c>
    </row>
    <row r="26" spans="1:45" outlineLevel="1" x14ac:dyDescent="0.25">
      <c r="A26" s="544" t="s">
        <v>1674</v>
      </c>
      <c r="B26" s="545">
        <v>0</v>
      </c>
      <c r="C26" s="544" t="s">
        <v>1674</v>
      </c>
      <c r="D26" s="544" t="s">
        <v>4017</v>
      </c>
      <c r="E26" s="542" t="s">
        <v>2942</v>
      </c>
      <c r="F26" s="542" t="s">
        <v>4018</v>
      </c>
      <c r="G26" s="546"/>
      <c r="H26" s="546">
        <v>34926.68</v>
      </c>
      <c r="I26" s="546">
        <v>58963.08</v>
      </c>
      <c r="J26" s="542" t="s">
        <v>2584</v>
      </c>
      <c r="K26" s="547">
        <v>3425</v>
      </c>
      <c r="L26" s="542" t="s">
        <v>806</v>
      </c>
      <c r="M26" s="548"/>
      <c r="N26" s="549">
        <v>54</v>
      </c>
      <c r="O26" s="544" t="s">
        <v>1674</v>
      </c>
      <c r="P26" s="544" t="s">
        <v>1674</v>
      </c>
      <c r="Q26" s="544" t="s">
        <v>2983</v>
      </c>
      <c r="R26" s="544" t="s">
        <v>1674</v>
      </c>
      <c r="S26" s="544" t="s">
        <v>1674</v>
      </c>
      <c r="T26" s="550">
        <v>19</v>
      </c>
      <c r="U26" s="544" t="s">
        <v>2697</v>
      </c>
      <c r="V26" s="547">
        <v>1392</v>
      </c>
      <c r="W26" s="548"/>
      <c r="Y26" s="544" t="s">
        <v>1674</v>
      </c>
      <c r="AA26" s="544" t="s">
        <v>1674</v>
      </c>
      <c r="AB26" s="542">
        <v>3</v>
      </c>
      <c r="AE26" s="551"/>
      <c r="AF26" s="544" t="s">
        <v>1674</v>
      </c>
      <c r="AG26" s="544" t="s">
        <v>1674</v>
      </c>
      <c r="AH26" s="544" t="s">
        <v>1674</v>
      </c>
      <c r="AI26" s="544" t="s">
        <v>1674</v>
      </c>
      <c r="AJ26" s="544" t="s">
        <v>1674</v>
      </c>
      <c r="AK26" s="544" t="s">
        <v>1674</v>
      </c>
      <c r="AL26" s="544" t="s">
        <v>1674</v>
      </c>
      <c r="AM26" s="544" t="s">
        <v>1674</v>
      </c>
      <c r="AN26" s="544" t="s">
        <v>1674</v>
      </c>
      <c r="AP26" s="552">
        <f t="shared" si="0"/>
        <v>58963.08</v>
      </c>
    </row>
    <row r="27" spans="1:45" outlineLevel="1" x14ac:dyDescent="0.25">
      <c r="A27" s="544" t="s">
        <v>1674</v>
      </c>
      <c r="B27" s="545">
        <v>0</v>
      </c>
      <c r="C27" s="544" t="s">
        <v>1674</v>
      </c>
      <c r="D27" s="544" t="s">
        <v>4019</v>
      </c>
      <c r="E27" s="542" t="s">
        <v>2979</v>
      </c>
      <c r="F27" s="542" t="s">
        <v>3370</v>
      </c>
      <c r="G27" s="546"/>
      <c r="H27" s="546">
        <v>17997</v>
      </c>
      <c r="I27" s="546">
        <v>17997</v>
      </c>
      <c r="J27" s="542" t="s">
        <v>2584</v>
      </c>
      <c r="K27" s="547">
        <v>3425</v>
      </c>
      <c r="L27" s="542" t="s">
        <v>806</v>
      </c>
      <c r="M27" s="548"/>
      <c r="N27" s="549">
        <v>58</v>
      </c>
      <c r="O27" s="544" t="s">
        <v>1674</v>
      </c>
      <c r="P27" s="544" t="s">
        <v>1674</v>
      </c>
      <c r="Q27" s="544" t="s">
        <v>2983</v>
      </c>
      <c r="R27" s="544" t="s">
        <v>3992</v>
      </c>
      <c r="S27" s="544" t="s">
        <v>1674</v>
      </c>
      <c r="T27" s="550">
        <v>19</v>
      </c>
      <c r="U27" s="544" t="s">
        <v>2697</v>
      </c>
      <c r="V27" s="547">
        <v>1721</v>
      </c>
      <c r="W27" s="548"/>
      <c r="Y27" s="544" t="s">
        <v>1674</v>
      </c>
      <c r="AA27" s="544" t="s">
        <v>1674</v>
      </c>
      <c r="AB27" s="542">
        <v>3</v>
      </c>
      <c r="AE27" s="551"/>
      <c r="AF27" s="544" t="s">
        <v>1674</v>
      </c>
      <c r="AG27" s="544" t="s">
        <v>1674</v>
      </c>
      <c r="AH27" s="544" t="s">
        <v>1674</v>
      </c>
      <c r="AI27" s="544" t="s">
        <v>1674</v>
      </c>
      <c r="AJ27" s="544" t="s">
        <v>1674</v>
      </c>
      <c r="AK27" s="544" t="s">
        <v>1674</v>
      </c>
      <c r="AL27" s="544" t="s">
        <v>1674</v>
      </c>
      <c r="AM27" s="544" t="s">
        <v>1674</v>
      </c>
      <c r="AN27" s="544" t="s">
        <v>1674</v>
      </c>
      <c r="AP27" s="552">
        <f t="shared" si="0"/>
        <v>17997</v>
      </c>
    </row>
    <row r="28" spans="1:45" outlineLevel="1" x14ac:dyDescent="0.25">
      <c r="A28" s="544" t="s">
        <v>1674</v>
      </c>
      <c r="B28" s="545">
        <v>80107</v>
      </c>
      <c r="C28" s="544" t="s">
        <v>4020</v>
      </c>
      <c r="D28" s="544" t="s">
        <v>4021</v>
      </c>
      <c r="E28" s="542" t="s">
        <v>4022</v>
      </c>
      <c r="F28" s="542" t="s">
        <v>3295</v>
      </c>
      <c r="G28" s="546"/>
      <c r="H28" s="546">
        <v>18.27</v>
      </c>
      <c r="I28" s="546">
        <v>18.27</v>
      </c>
      <c r="J28" s="542" t="s">
        <v>2584</v>
      </c>
      <c r="K28" s="547">
        <v>4930</v>
      </c>
      <c r="L28" s="542" t="s">
        <v>806</v>
      </c>
      <c r="M28" s="548"/>
      <c r="N28" s="549">
        <v>0</v>
      </c>
      <c r="O28" s="544" t="s">
        <v>1674</v>
      </c>
      <c r="P28" s="544" t="s">
        <v>1674</v>
      </c>
      <c r="Q28" s="544" t="s">
        <v>4020</v>
      </c>
      <c r="R28" s="544" t="s">
        <v>1674</v>
      </c>
      <c r="S28" s="544" t="s">
        <v>1674</v>
      </c>
      <c r="T28" s="550"/>
      <c r="U28" s="544" t="s">
        <v>2700</v>
      </c>
      <c r="V28" s="547">
        <v>389</v>
      </c>
      <c r="W28" s="548"/>
      <c r="Y28" s="544" t="s">
        <v>1674</v>
      </c>
      <c r="AA28" s="544" t="s">
        <v>1674</v>
      </c>
      <c r="AB28" s="542">
        <v>3</v>
      </c>
      <c r="AE28" s="551"/>
      <c r="AF28" s="544" t="s">
        <v>1674</v>
      </c>
      <c r="AG28" s="544" t="s">
        <v>1674</v>
      </c>
      <c r="AH28" s="544" t="s">
        <v>1674</v>
      </c>
      <c r="AI28" s="544" t="s">
        <v>1674</v>
      </c>
      <c r="AJ28" s="544" t="s">
        <v>1674</v>
      </c>
      <c r="AK28" s="544" t="s">
        <v>1674</v>
      </c>
      <c r="AL28" s="544" t="s">
        <v>1674</v>
      </c>
      <c r="AM28" s="544" t="s">
        <v>4023</v>
      </c>
      <c r="AN28" s="544" t="s">
        <v>1674</v>
      </c>
      <c r="AP28" s="552">
        <f t="shared" si="0"/>
        <v>18.27</v>
      </c>
    </row>
    <row r="29" spans="1:45" outlineLevel="1" x14ac:dyDescent="0.25">
      <c r="A29" s="544" t="s">
        <v>1674</v>
      </c>
      <c r="B29" s="545">
        <v>70100</v>
      </c>
      <c r="C29" s="544" t="s">
        <v>2864</v>
      </c>
      <c r="D29" s="544" t="s">
        <v>4024</v>
      </c>
      <c r="E29" s="542" t="s">
        <v>4025</v>
      </c>
      <c r="F29" s="542" t="s">
        <v>4026</v>
      </c>
      <c r="G29" s="546"/>
      <c r="H29" s="546">
        <v>51.96</v>
      </c>
      <c r="I29" s="546">
        <v>51.96</v>
      </c>
      <c r="J29" s="542" t="s">
        <v>2584</v>
      </c>
      <c r="K29" s="547">
        <v>4640</v>
      </c>
      <c r="L29" s="542" t="s">
        <v>806</v>
      </c>
      <c r="M29" s="548"/>
      <c r="N29" s="549">
        <v>1</v>
      </c>
      <c r="O29" s="544" t="s">
        <v>1674</v>
      </c>
      <c r="P29" s="544" t="s">
        <v>1674</v>
      </c>
      <c r="Q29" s="544" t="s">
        <v>4027</v>
      </c>
      <c r="R29" s="544" t="s">
        <v>1674</v>
      </c>
      <c r="S29" s="544" t="s">
        <v>1674</v>
      </c>
      <c r="T29" s="550">
        <v>19</v>
      </c>
      <c r="U29" s="544" t="s">
        <v>2700</v>
      </c>
      <c r="V29" s="547">
        <v>446</v>
      </c>
      <c r="W29" s="548"/>
      <c r="Y29" s="544" t="s">
        <v>1674</v>
      </c>
      <c r="AA29" s="544" t="s">
        <v>1674</v>
      </c>
      <c r="AB29" s="542">
        <v>3</v>
      </c>
      <c r="AE29" s="551"/>
      <c r="AF29" s="544" t="s">
        <v>1674</v>
      </c>
      <c r="AG29" s="544" t="s">
        <v>1674</v>
      </c>
      <c r="AH29" s="544" t="s">
        <v>1674</v>
      </c>
      <c r="AI29" s="544" t="s">
        <v>1674</v>
      </c>
      <c r="AJ29" s="544" t="s">
        <v>1674</v>
      </c>
      <c r="AK29" s="544" t="s">
        <v>1674</v>
      </c>
      <c r="AL29" s="544" t="s">
        <v>1674</v>
      </c>
      <c r="AM29" s="544" t="s">
        <v>2864</v>
      </c>
      <c r="AN29" s="544" t="s">
        <v>1674</v>
      </c>
      <c r="AP29" s="552">
        <f t="shared" si="0"/>
        <v>51.96</v>
      </c>
    </row>
    <row r="30" spans="1:45" outlineLevel="1" x14ac:dyDescent="0.25">
      <c r="A30" s="544" t="s">
        <v>1674</v>
      </c>
      <c r="B30" s="545">
        <v>82502</v>
      </c>
      <c r="C30" s="544" t="s">
        <v>4028</v>
      </c>
      <c r="D30" s="544" t="s">
        <v>4029</v>
      </c>
      <c r="E30" s="542" t="s">
        <v>4025</v>
      </c>
      <c r="F30" s="542" t="s">
        <v>4026</v>
      </c>
      <c r="G30" s="546"/>
      <c r="H30" s="546">
        <v>11364.6</v>
      </c>
      <c r="I30" s="546">
        <v>11364.6</v>
      </c>
      <c r="J30" s="542" t="s">
        <v>2584</v>
      </c>
      <c r="K30" s="547">
        <v>3400</v>
      </c>
      <c r="L30" s="542" t="s">
        <v>806</v>
      </c>
      <c r="M30" s="548"/>
      <c r="N30" s="549">
        <v>1</v>
      </c>
      <c r="O30" s="544" t="s">
        <v>1674</v>
      </c>
      <c r="P30" s="544" t="s">
        <v>1674</v>
      </c>
      <c r="Q30" s="544" t="s">
        <v>4030</v>
      </c>
      <c r="R30" s="544" t="s">
        <v>1674</v>
      </c>
      <c r="S30" s="544" t="s">
        <v>1674</v>
      </c>
      <c r="T30" s="550">
        <v>19</v>
      </c>
      <c r="U30" s="544" t="s">
        <v>2700</v>
      </c>
      <c r="V30" s="547">
        <v>450</v>
      </c>
      <c r="W30" s="548"/>
      <c r="Y30" s="544" t="s">
        <v>1674</v>
      </c>
      <c r="AA30" s="544" t="s">
        <v>1674</v>
      </c>
      <c r="AB30" s="542">
        <v>3</v>
      </c>
      <c r="AE30" s="551"/>
      <c r="AF30" s="544" t="s">
        <v>1674</v>
      </c>
      <c r="AG30" s="544" t="s">
        <v>1674</v>
      </c>
      <c r="AH30" s="544" t="s">
        <v>1674</v>
      </c>
      <c r="AI30" s="544" t="s">
        <v>1674</v>
      </c>
      <c r="AJ30" s="544" t="s">
        <v>1674</v>
      </c>
      <c r="AK30" s="544" t="s">
        <v>1674</v>
      </c>
      <c r="AL30" s="544" t="s">
        <v>1674</v>
      </c>
      <c r="AM30" s="544" t="s">
        <v>4031</v>
      </c>
      <c r="AN30" s="544" t="s">
        <v>1674</v>
      </c>
      <c r="AP30" s="552">
        <f t="shared" si="0"/>
        <v>11364.6</v>
      </c>
    </row>
    <row r="31" spans="1:45" outlineLevel="1" x14ac:dyDescent="0.25">
      <c r="A31" s="544" t="s">
        <v>1674</v>
      </c>
      <c r="B31" s="545">
        <v>80107</v>
      </c>
      <c r="C31" s="544" t="s">
        <v>4020</v>
      </c>
      <c r="D31" s="544" t="s">
        <v>4032</v>
      </c>
      <c r="E31" s="542" t="s">
        <v>2904</v>
      </c>
      <c r="F31" s="542" t="s">
        <v>2991</v>
      </c>
      <c r="G31" s="546"/>
      <c r="H31" s="546">
        <v>91.96</v>
      </c>
      <c r="I31" s="546">
        <v>91.96</v>
      </c>
      <c r="J31" s="542" t="s">
        <v>2584</v>
      </c>
      <c r="K31" s="547">
        <v>4640</v>
      </c>
      <c r="L31" s="542" t="s">
        <v>806</v>
      </c>
      <c r="M31" s="548"/>
      <c r="N31" s="549">
        <v>2</v>
      </c>
      <c r="O31" s="544" t="s">
        <v>1674</v>
      </c>
      <c r="P31" s="544" t="s">
        <v>1674</v>
      </c>
      <c r="Q31" s="544" t="s">
        <v>4020</v>
      </c>
      <c r="R31" s="544" t="s">
        <v>1674</v>
      </c>
      <c r="S31" s="544" t="s">
        <v>1674</v>
      </c>
      <c r="T31" s="550"/>
      <c r="U31" s="544" t="s">
        <v>2700</v>
      </c>
      <c r="V31" s="547">
        <v>538</v>
      </c>
      <c r="W31" s="548"/>
      <c r="Y31" s="544" t="s">
        <v>1674</v>
      </c>
      <c r="AA31" s="544" t="s">
        <v>1674</v>
      </c>
      <c r="AB31" s="542">
        <v>3</v>
      </c>
      <c r="AE31" s="551"/>
      <c r="AF31" s="544" t="s">
        <v>1674</v>
      </c>
      <c r="AG31" s="544" t="s">
        <v>1674</v>
      </c>
      <c r="AH31" s="544" t="s">
        <v>1674</v>
      </c>
      <c r="AI31" s="544" t="s">
        <v>1674</v>
      </c>
      <c r="AJ31" s="544" t="s">
        <v>1674</v>
      </c>
      <c r="AK31" s="544" t="s">
        <v>1674</v>
      </c>
      <c r="AL31" s="544" t="s">
        <v>1674</v>
      </c>
      <c r="AM31" s="544" t="s">
        <v>4023</v>
      </c>
      <c r="AN31" s="544" t="s">
        <v>1674</v>
      </c>
      <c r="AP31" s="552">
        <f t="shared" si="0"/>
        <v>91.96</v>
      </c>
    </row>
    <row r="32" spans="1:45" outlineLevel="1" x14ac:dyDescent="0.25">
      <c r="A32" s="544" t="s">
        <v>1674</v>
      </c>
      <c r="B32" s="545">
        <v>80601</v>
      </c>
      <c r="C32" s="544" t="s">
        <v>3987</v>
      </c>
      <c r="D32" s="544" t="s">
        <v>4033</v>
      </c>
      <c r="E32" s="542" t="s">
        <v>2904</v>
      </c>
      <c r="F32" s="542" t="s">
        <v>4034</v>
      </c>
      <c r="G32" s="546"/>
      <c r="H32" s="546">
        <v>184</v>
      </c>
      <c r="I32" s="546">
        <v>184</v>
      </c>
      <c r="J32" s="542" t="s">
        <v>2584</v>
      </c>
      <c r="K32" s="547">
        <v>3425</v>
      </c>
      <c r="L32" s="542" t="s">
        <v>806</v>
      </c>
      <c r="M32" s="548"/>
      <c r="N32" s="549">
        <v>62</v>
      </c>
      <c r="O32" s="544" t="s">
        <v>1674</v>
      </c>
      <c r="P32" s="544" t="s">
        <v>1674</v>
      </c>
      <c r="Q32" s="544" t="s">
        <v>2983</v>
      </c>
      <c r="R32" s="544" t="s">
        <v>1674</v>
      </c>
      <c r="S32" s="544" t="s">
        <v>1674</v>
      </c>
      <c r="T32" s="550">
        <v>19</v>
      </c>
      <c r="U32" s="544" t="s">
        <v>2700</v>
      </c>
      <c r="V32" s="547">
        <v>539</v>
      </c>
      <c r="W32" s="548"/>
      <c r="Y32" s="544" t="s">
        <v>1674</v>
      </c>
      <c r="AA32" s="544" t="s">
        <v>1674</v>
      </c>
      <c r="AB32" s="542">
        <v>3</v>
      </c>
      <c r="AE32" s="551"/>
      <c r="AF32" s="544" t="s">
        <v>1674</v>
      </c>
      <c r="AG32" s="544" t="s">
        <v>1674</v>
      </c>
      <c r="AH32" s="544" t="s">
        <v>1674</v>
      </c>
      <c r="AI32" s="544" t="s">
        <v>1674</v>
      </c>
      <c r="AJ32" s="544" t="s">
        <v>1674</v>
      </c>
      <c r="AK32" s="544" t="s">
        <v>1674</v>
      </c>
      <c r="AL32" s="544" t="s">
        <v>1674</v>
      </c>
      <c r="AM32" s="544" t="s">
        <v>3989</v>
      </c>
      <c r="AN32" s="544" t="s">
        <v>1674</v>
      </c>
      <c r="AP32" s="552">
        <f t="shared" si="0"/>
        <v>184</v>
      </c>
    </row>
    <row r="33" spans="1:42" outlineLevel="1" x14ac:dyDescent="0.25">
      <c r="A33" s="544" t="s">
        <v>1674</v>
      </c>
      <c r="B33" s="545">
        <v>70100</v>
      </c>
      <c r="C33" s="544" t="s">
        <v>2864</v>
      </c>
      <c r="D33" s="544" t="s">
        <v>4035</v>
      </c>
      <c r="E33" s="542" t="s">
        <v>2851</v>
      </c>
      <c r="F33" s="542" t="s">
        <v>3002</v>
      </c>
      <c r="G33" s="546"/>
      <c r="H33" s="546">
        <v>0.8</v>
      </c>
      <c r="I33" s="546"/>
      <c r="J33" s="542" t="s">
        <v>806</v>
      </c>
      <c r="K33" s="547">
        <v>4640</v>
      </c>
      <c r="L33" s="542" t="s">
        <v>806</v>
      </c>
      <c r="M33" s="548"/>
      <c r="N33" s="549">
        <v>3</v>
      </c>
      <c r="O33" s="544" t="s">
        <v>1674</v>
      </c>
      <c r="P33" s="544" t="s">
        <v>1674</v>
      </c>
      <c r="Q33" s="544" t="s">
        <v>4027</v>
      </c>
      <c r="R33" s="544" t="s">
        <v>1674</v>
      </c>
      <c r="S33" s="544" t="s">
        <v>1674</v>
      </c>
      <c r="T33" s="550"/>
      <c r="U33" s="544" t="s">
        <v>2700</v>
      </c>
      <c r="V33" s="547">
        <v>581</v>
      </c>
      <c r="W33" s="548"/>
      <c r="Y33" s="544" t="s">
        <v>1674</v>
      </c>
      <c r="AA33" s="544" t="s">
        <v>1674</v>
      </c>
      <c r="AB33" s="542">
        <v>3</v>
      </c>
      <c r="AE33" s="551"/>
      <c r="AF33" s="544" t="s">
        <v>1674</v>
      </c>
      <c r="AG33" s="544" t="s">
        <v>1674</v>
      </c>
      <c r="AH33" s="544" t="s">
        <v>1674</v>
      </c>
      <c r="AI33" s="544" t="s">
        <v>1674</v>
      </c>
      <c r="AJ33" s="544" t="s">
        <v>1674</v>
      </c>
      <c r="AK33" s="544" t="s">
        <v>1674</v>
      </c>
      <c r="AL33" s="544" t="s">
        <v>1674</v>
      </c>
      <c r="AM33" s="544" t="s">
        <v>2864</v>
      </c>
      <c r="AN33" s="544" t="s">
        <v>1674</v>
      </c>
      <c r="AP33" s="552">
        <f t="shared" si="0"/>
        <v>0</v>
      </c>
    </row>
    <row r="34" spans="1:42" outlineLevel="1" x14ac:dyDescent="0.25">
      <c r="A34" s="544" t="s">
        <v>1674</v>
      </c>
      <c r="B34" s="545">
        <v>0</v>
      </c>
      <c r="C34" s="544" t="s">
        <v>1674</v>
      </c>
      <c r="D34" s="544" t="s">
        <v>4035</v>
      </c>
      <c r="E34" s="542" t="s">
        <v>2851</v>
      </c>
      <c r="F34" s="542" t="s">
        <v>3002</v>
      </c>
      <c r="G34" s="546"/>
      <c r="H34" s="546">
        <v>128.19999999999999</v>
      </c>
      <c r="I34" s="546"/>
      <c r="J34" s="542" t="s">
        <v>806</v>
      </c>
      <c r="K34" s="547">
        <v>4640</v>
      </c>
      <c r="L34" s="542" t="s">
        <v>806</v>
      </c>
      <c r="M34" s="548"/>
      <c r="N34" s="549">
        <v>3</v>
      </c>
      <c r="O34" s="544" t="s">
        <v>1674</v>
      </c>
      <c r="P34" s="544" t="s">
        <v>1674</v>
      </c>
      <c r="Q34" s="544" t="s">
        <v>4027</v>
      </c>
      <c r="R34" s="544" t="s">
        <v>1674</v>
      </c>
      <c r="S34" s="544" t="s">
        <v>1674</v>
      </c>
      <c r="T34" s="550">
        <v>7</v>
      </c>
      <c r="U34" s="544" t="s">
        <v>2700</v>
      </c>
      <c r="V34" s="547">
        <v>582</v>
      </c>
      <c r="W34" s="548"/>
      <c r="Y34" s="544" t="s">
        <v>1674</v>
      </c>
      <c r="AA34" s="544" t="s">
        <v>1674</v>
      </c>
      <c r="AB34" s="542">
        <v>3</v>
      </c>
      <c r="AE34" s="551"/>
      <c r="AF34" s="544" t="s">
        <v>1674</v>
      </c>
      <c r="AG34" s="544" t="s">
        <v>1674</v>
      </c>
      <c r="AH34" s="544" t="s">
        <v>1674</v>
      </c>
      <c r="AI34" s="544" t="s">
        <v>1674</v>
      </c>
      <c r="AJ34" s="544" t="s">
        <v>1674</v>
      </c>
      <c r="AK34" s="544" t="s">
        <v>1674</v>
      </c>
      <c r="AL34" s="544" t="s">
        <v>1674</v>
      </c>
      <c r="AM34" s="544" t="s">
        <v>1674</v>
      </c>
      <c r="AN34" s="544" t="s">
        <v>1674</v>
      </c>
      <c r="AP34" s="552">
        <f t="shared" si="0"/>
        <v>0</v>
      </c>
    </row>
    <row r="35" spans="1:42" outlineLevel="1" x14ac:dyDescent="0.25">
      <c r="A35" s="544" t="s">
        <v>1674</v>
      </c>
      <c r="B35" s="545">
        <v>0</v>
      </c>
      <c r="C35" s="544" t="s">
        <v>1674</v>
      </c>
      <c r="D35" s="544" t="s">
        <v>4035</v>
      </c>
      <c r="E35" s="542" t="s">
        <v>2851</v>
      </c>
      <c r="G35" s="546"/>
      <c r="H35" s="546">
        <v>-0.8</v>
      </c>
      <c r="I35" s="546"/>
      <c r="J35" s="542" t="s">
        <v>806</v>
      </c>
      <c r="K35" s="547">
        <v>4640</v>
      </c>
      <c r="L35" s="542" t="s">
        <v>806</v>
      </c>
      <c r="M35" s="548"/>
      <c r="N35" s="549">
        <v>0</v>
      </c>
      <c r="O35" s="544" t="s">
        <v>1674</v>
      </c>
      <c r="P35" s="544" t="s">
        <v>1674</v>
      </c>
      <c r="Q35" s="544" t="s">
        <v>4027</v>
      </c>
      <c r="R35" s="544" t="s">
        <v>1674</v>
      </c>
      <c r="S35" s="544" t="s">
        <v>1674</v>
      </c>
      <c r="T35" s="550"/>
      <c r="U35" s="544" t="s">
        <v>2797</v>
      </c>
      <c r="V35" s="547">
        <v>5</v>
      </c>
      <c r="W35" s="548"/>
      <c r="Y35" s="544" t="s">
        <v>1674</v>
      </c>
      <c r="AA35" s="544" t="s">
        <v>1674</v>
      </c>
      <c r="AE35" s="551"/>
      <c r="AF35" s="544" t="s">
        <v>1674</v>
      </c>
      <c r="AG35" s="544" t="s">
        <v>1674</v>
      </c>
      <c r="AH35" s="544" t="s">
        <v>1674</v>
      </c>
      <c r="AI35" s="544" t="s">
        <v>1674</v>
      </c>
      <c r="AJ35" s="544" t="s">
        <v>1674</v>
      </c>
      <c r="AK35" s="544" t="s">
        <v>1674</v>
      </c>
      <c r="AL35" s="544" t="s">
        <v>1674</v>
      </c>
      <c r="AM35" s="544" t="s">
        <v>1674</v>
      </c>
      <c r="AN35" s="544" t="s">
        <v>1674</v>
      </c>
      <c r="AP35" s="552">
        <f t="shared" ref="AP35:AP66" si="1">IF(J35="H",+I35,-I35)</f>
        <v>0</v>
      </c>
    </row>
    <row r="36" spans="1:42" outlineLevel="1" x14ac:dyDescent="0.25">
      <c r="A36" s="544" t="s">
        <v>1674</v>
      </c>
      <c r="B36" s="545">
        <v>0</v>
      </c>
      <c r="C36" s="544" t="s">
        <v>1674</v>
      </c>
      <c r="D36" s="544" t="s">
        <v>4035</v>
      </c>
      <c r="E36" s="542" t="s">
        <v>2851</v>
      </c>
      <c r="F36" s="542" t="s">
        <v>3002</v>
      </c>
      <c r="G36" s="546"/>
      <c r="H36" s="546">
        <v>0.8</v>
      </c>
      <c r="I36" s="546">
        <v>129</v>
      </c>
      <c r="J36" s="542" t="s">
        <v>2584</v>
      </c>
      <c r="K36" s="547">
        <v>4605</v>
      </c>
      <c r="L36" s="542" t="s">
        <v>806</v>
      </c>
      <c r="M36" s="548"/>
      <c r="N36" s="549">
        <v>3</v>
      </c>
      <c r="O36" s="544" t="s">
        <v>1674</v>
      </c>
      <c r="P36" s="544" t="s">
        <v>1674</v>
      </c>
      <c r="Q36" s="544" t="s">
        <v>4027</v>
      </c>
      <c r="R36" s="544" t="s">
        <v>1674</v>
      </c>
      <c r="S36" s="544" t="s">
        <v>1674</v>
      </c>
      <c r="T36" s="550"/>
      <c r="U36" s="544" t="s">
        <v>2797</v>
      </c>
      <c r="V36" s="547">
        <v>6</v>
      </c>
      <c r="W36" s="548"/>
      <c r="Y36" s="544" t="s">
        <v>1674</v>
      </c>
      <c r="AA36" s="544" t="s">
        <v>1674</v>
      </c>
      <c r="AB36" s="542">
        <v>3</v>
      </c>
      <c r="AE36" s="551"/>
      <c r="AF36" s="544" t="s">
        <v>1674</v>
      </c>
      <c r="AG36" s="544" t="s">
        <v>1674</v>
      </c>
      <c r="AH36" s="544" t="s">
        <v>1674</v>
      </c>
      <c r="AI36" s="544" t="s">
        <v>1674</v>
      </c>
      <c r="AJ36" s="544" t="s">
        <v>1674</v>
      </c>
      <c r="AK36" s="544" t="s">
        <v>1674</v>
      </c>
      <c r="AL36" s="544" t="s">
        <v>1674</v>
      </c>
      <c r="AM36" s="544" t="s">
        <v>1674</v>
      </c>
      <c r="AN36" s="544" t="s">
        <v>1674</v>
      </c>
      <c r="AP36" s="552">
        <f t="shared" si="1"/>
        <v>129</v>
      </c>
    </row>
    <row r="37" spans="1:42" outlineLevel="1" x14ac:dyDescent="0.25">
      <c r="A37" s="544" t="s">
        <v>1674</v>
      </c>
      <c r="B37" s="545">
        <v>0</v>
      </c>
      <c r="C37" s="544" t="s">
        <v>1674</v>
      </c>
      <c r="D37" s="544" t="s">
        <v>4036</v>
      </c>
      <c r="E37" s="542" t="s">
        <v>2851</v>
      </c>
      <c r="F37" s="542" t="s">
        <v>3002</v>
      </c>
      <c r="G37" s="546"/>
      <c r="H37" s="546">
        <v>258.02</v>
      </c>
      <c r="I37" s="546">
        <v>258.02</v>
      </c>
      <c r="J37" s="542" t="s">
        <v>2584</v>
      </c>
      <c r="K37" s="547">
        <v>4640</v>
      </c>
      <c r="L37" s="542" t="s">
        <v>806</v>
      </c>
      <c r="M37" s="548"/>
      <c r="N37" s="549">
        <v>3</v>
      </c>
      <c r="O37" s="544" t="s">
        <v>1674</v>
      </c>
      <c r="P37" s="544" t="s">
        <v>1674</v>
      </c>
      <c r="Q37" s="544" t="s">
        <v>4027</v>
      </c>
      <c r="R37" s="544" t="s">
        <v>1674</v>
      </c>
      <c r="S37" s="544" t="s">
        <v>1674</v>
      </c>
      <c r="T37" s="550">
        <v>7</v>
      </c>
      <c r="U37" s="544" t="s">
        <v>2700</v>
      </c>
      <c r="V37" s="547">
        <v>585</v>
      </c>
      <c r="W37" s="548"/>
      <c r="Y37" s="544" t="s">
        <v>1674</v>
      </c>
      <c r="AA37" s="544" t="s">
        <v>1674</v>
      </c>
      <c r="AB37" s="542">
        <v>3</v>
      </c>
      <c r="AE37" s="551"/>
      <c r="AF37" s="544" t="s">
        <v>1674</v>
      </c>
      <c r="AG37" s="544" t="s">
        <v>1674</v>
      </c>
      <c r="AH37" s="544" t="s">
        <v>1674</v>
      </c>
      <c r="AI37" s="544" t="s">
        <v>1674</v>
      </c>
      <c r="AJ37" s="544" t="s">
        <v>1674</v>
      </c>
      <c r="AK37" s="544" t="s">
        <v>1674</v>
      </c>
      <c r="AL37" s="544" t="s">
        <v>1674</v>
      </c>
      <c r="AM37" s="544" t="s">
        <v>1674</v>
      </c>
      <c r="AN37" s="544" t="s">
        <v>1674</v>
      </c>
      <c r="AP37" s="552">
        <f t="shared" si="1"/>
        <v>258.02</v>
      </c>
    </row>
    <row r="38" spans="1:42" outlineLevel="1" x14ac:dyDescent="0.25">
      <c r="A38" s="544" t="s">
        <v>1674</v>
      </c>
      <c r="B38" s="545">
        <v>0</v>
      </c>
      <c r="C38" s="544" t="s">
        <v>1674</v>
      </c>
      <c r="D38" s="544" t="s">
        <v>4037</v>
      </c>
      <c r="E38" s="542" t="s">
        <v>2851</v>
      </c>
      <c r="F38" s="542" t="s">
        <v>3002</v>
      </c>
      <c r="G38" s="546"/>
      <c r="H38" s="546">
        <v>1.59</v>
      </c>
      <c r="I38" s="546"/>
      <c r="J38" s="542" t="s">
        <v>806</v>
      </c>
      <c r="K38" s="547">
        <v>4640</v>
      </c>
      <c r="L38" s="542" t="s">
        <v>806</v>
      </c>
      <c r="M38" s="548"/>
      <c r="N38" s="549">
        <v>3</v>
      </c>
      <c r="O38" s="544" t="s">
        <v>1674</v>
      </c>
      <c r="P38" s="544" t="s">
        <v>1674</v>
      </c>
      <c r="Q38" s="544" t="s">
        <v>4027</v>
      </c>
      <c r="R38" s="544" t="s">
        <v>1674</v>
      </c>
      <c r="S38" s="544" t="s">
        <v>1674</v>
      </c>
      <c r="T38" s="550"/>
      <c r="U38" s="544" t="s">
        <v>2700</v>
      </c>
      <c r="V38" s="547">
        <v>583</v>
      </c>
      <c r="W38" s="548"/>
      <c r="Y38" s="544" t="s">
        <v>1674</v>
      </c>
      <c r="AA38" s="544" t="s">
        <v>1674</v>
      </c>
      <c r="AB38" s="542">
        <v>3</v>
      </c>
      <c r="AE38" s="551"/>
      <c r="AF38" s="544" t="s">
        <v>1674</v>
      </c>
      <c r="AG38" s="544" t="s">
        <v>1674</v>
      </c>
      <c r="AH38" s="544" t="s">
        <v>1674</v>
      </c>
      <c r="AI38" s="544" t="s">
        <v>1674</v>
      </c>
      <c r="AJ38" s="544" t="s">
        <v>1674</v>
      </c>
      <c r="AK38" s="544" t="s">
        <v>1674</v>
      </c>
      <c r="AL38" s="544" t="s">
        <v>1674</v>
      </c>
      <c r="AM38" s="544" t="s">
        <v>1674</v>
      </c>
      <c r="AN38" s="544" t="s">
        <v>1674</v>
      </c>
      <c r="AP38" s="552">
        <f t="shared" si="1"/>
        <v>0</v>
      </c>
    </row>
    <row r="39" spans="1:42" outlineLevel="1" x14ac:dyDescent="0.25">
      <c r="A39" s="544" t="s">
        <v>1674</v>
      </c>
      <c r="B39" s="545">
        <v>0</v>
      </c>
      <c r="C39" s="544" t="s">
        <v>1674</v>
      </c>
      <c r="D39" s="544" t="s">
        <v>4037</v>
      </c>
      <c r="E39" s="542" t="s">
        <v>2851</v>
      </c>
      <c r="F39" s="542" t="s">
        <v>3002</v>
      </c>
      <c r="G39" s="546"/>
      <c r="H39" s="546">
        <v>256.43</v>
      </c>
      <c r="I39" s="546"/>
      <c r="J39" s="542" t="s">
        <v>806</v>
      </c>
      <c r="K39" s="547">
        <v>4640</v>
      </c>
      <c r="L39" s="542" t="s">
        <v>806</v>
      </c>
      <c r="M39" s="548"/>
      <c r="N39" s="549">
        <v>3</v>
      </c>
      <c r="O39" s="544" t="s">
        <v>1674</v>
      </c>
      <c r="P39" s="544" t="s">
        <v>1674</v>
      </c>
      <c r="Q39" s="544" t="s">
        <v>4027</v>
      </c>
      <c r="R39" s="544" t="s">
        <v>1674</v>
      </c>
      <c r="S39" s="544" t="s">
        <v>1674</v>
      </c>
      <c r="T39" s="550">
        <v>7</v>
      </c>
      <c r="U39" s="544" t="s">
        <v>2700</v>
      </c>
      <c r="V39" s="547">
        <v>584</v>
      </c>
      <c r="W39" s="548"/>
      <c r="Y39" s="544" t="s">
        <v>1674</v>
      </c>
      <c r="AA39" s="544" t="s">
        <v>1674</v>
      </c>
      <c r="AB39" s="542">
        <v>3</v>
      </c>
      <c r="AE39" s="551"/>
      <c r="AF39" s="544" t="s">
        <v>1674</v>
      </c>
      <c r="AG39" s="544" t="s">
        <v>1674</v>
      </c>
      <c r="AH39" s="544" t="s">
        <v>1674</v>
      </c>
      <c r="AI39" s="544" t="s">
        <v>1674</v>
      </c>
      <c r="AJ39" s="544" t="s">
        <v>1674</v>
      </c>
      <c r="AK39" s="544" t="s">
        <v>1674</v>
      </c>
      <c r="AL39" s="544" t="s">
        <v>1674</v>
      </c>
      <c r="AM39" s="544" t="s">
        <v>1674</v>
      </c>
      <c r="AN39" s="544" t="s">
        <v>1674</v>
      </c>
      <c r="AP39" s="552">
        <f t="shared" si="1"/>
        <v>0</v>
      </c>
    </row>
    <row r="40" spans="1:42" outlineLevel="1" x14ac:dyDescent="0.25">
      <c r="A40" s="544" t="s">
        <v>1674</v>
      </c>
      <c r="B40" s="545">
        <v>0</v>
      </c>
      <c r="C40" s="544" t="s">
        <v>1674</v>
      </c>
      <c r="D40" s="544" t="s">
        <v>4037</v>
      </c>
      <c r="E40" s="542" t="s">
        <v>2851</v>
      </c>
      <c r="G40" s="546"/>
      <c r="H40" s="546">
        <v>-1.59</v>
      </c>
      <c r="I40" s="546"/>
      <c r="J40" s="542" t="s">
        <v>806</v>
      </c>
      <c r="K40" s="547">
        <v>4640</v>
      </c>
      <c r="L40" s="542" t="s">
        <v>806</v>
      </c>
      <c r="M40" s="548"/>
      <c r="N40" s="549">
        <v>0</v>
      </c>
      <c r="O40" s="544" t="s">
        <v>1674</v>
      </c>
      <c r="P40" s="544" t="s">
        <v>1674</v>
      </c>
      <c r="Q40" s="544" t="s">
        <v>4027</v>
      </c>
      <c r="R40" s="544" t="s">
        <v>1674</v>
      </c>
      <c r="S40" s="544" t="s">
        <v>1674</v>
      </c>
      <c r="T40" s="550"/>
      <c r="U40" s="544" t="s">
        <v>2797</v>
      </c>
      <c r="V40" s="547">
        <v>7</v>
      </c>
      <c r="W40" s="548"/>
      <c r="Y40" s="544" t="s">
        <v>1674</v>
      </c>
      <c r="AA40" s="544" t="s">
        <v>1674</v>
      </c>
      <c r="AE40" s="551"/>
      <c r="AF40" s="544" t="s">
        <v>1674</v>
      </c>
      <c r="AG40" s="544" t="s">
        <v>1674</v>
      </c>
      <c r="AH40" s="544" t="s">
        <v>1674</v>
      </c>
      <c r="AI40" s="544" t="s">
        <v>1674</v>
      </c>
      <c r="AJ40" s="544" t="s">
        <v>1674</v>
      </c>
      <c r="AK40" s="544" t="s">
        <v>1674</v>
      </c>
      <c r="AL40" s="544" t="s">
        <v>1674</v>
      </c>
      <c r="AM40" s="544" t="s">
        <v>1674</v>
      </c>
      <c r="AN40" s="544" t="s">
        <v>1674</v>
      </c>
      <c r="AP40" s="552">
        <f t="shared" si="1"/>
        <v>0</v>
      </c>
    </row>
    <row r="41" spans="1:42" outlineLevel="1" x14ac:dyDescent="0.25">
      <c r="A41" s="544" t="s">
        <v>1674</v>
      </c>
      <c r="B41" s="545">
        <v>0</v>
      </c>
      <c r="C41" s="544" t="s">
        <v>1674</v>
      </c>
      <c r="D41" s="544" t="s">
        <v>4037</v>
      </c>
      <c r="E41" s="542" t="s">
        <v>2851</v>
      </c>
      <c r="F41" s="542" t="s">
        <v>3002</v>
      </c>
      <c r="G41" s="546"/>
      <c r="H41" s="546">
        <v>1.59</v>
      </c>
      <c r="I41" s="546">
        <v>258.02</v>
      </c>
      <c r="J41" s="542" t="s">
        <v>2584</v>
      </c>
      <c r="K41" s="547">
        <v>4605</v>
      </c>
      <c r="L41" s="542" t="s">
        <v>806</v>
      </c>
      <c r="M41" s="548"/>
      <c r="N41" s="549">
        <v>3</v>
      </c>
      <c r="O41" s="544" t="s">
        <v>1674</v>
      </c>
      <c r="P41" s="544" t="s">
        <v>1674</v>
      </c>
      <c r="Q41" s="544" t="s">
        <v>4027</v>
      </c>
      <c r="R41" s="544" t="s">
        <v>1674</v>
      </c>
      <c r="S41" s="544" t="s">
        <v>1674</v>
      </c>
      <c r="T41" s="550"/>
      <c r="U41" s="544" t="s">
        <v>2797</v>
      </c>
      <c r="V41" s="547">
        <v>8</v>
      </c>
      <c r="W41" s="548"/>
      <c r="Y41" s="544" t="s">
        <v>1674</v>
      </c>
      <c r="AA41" s="544" t="s">
        <v>1674</v>
      </c>
      <c r="AB41" s="542">
        <v>3</v>
      </c>
      <c r="AE41" s="551"/>
      <c r="AF41" s="544" t="s">
        <v>1674</v>
      </c>
      <c r="AG41" s="544" t="s">
        <v>1674</v>
      </c>
      <c r="AH41" s="544" t="s">
        <v>1674</v>
      </c>
      <c r="AI41" s="544" t="s">
        <v>1674</v>
      </c>
      <c r="AJ41" s="544" t="s">
        <v>1674</v>
      </c>
      <c r="AK41" s="544" t="s">
        <v>1674</v>
      </c>
      <c r="AL41" s="544" t="s">
        <v>1674</v>
      </c>
      <c r="AM41" s="544" t="s">
        <v>1674</v>
      </c>
      <c r="AN41" s="544" t="s">
        <v>1674</v>
      </c>
      <c r="AP41" s="552">
        <f t="shared" si="1"/>
        <v>258.02</v>
      </c>
    </row>
    <row r="42" spans="1:42" outlineLevel="1" x14ac:dyDescent="0.25">
      <c r="A42" s="544" t="s">
        <v>1674</v>
      </c>
      <c r="B42" s="545">
        <v>0</v>
      </c>
      <c r="C42" s="544" t="s">
        <v>1674</v>
      </c>
      <c r="D42" s="544" t="s">
        <v>4038</v>
      </c>
      <c r="E42" s="542" t="s">
        <v>2851</v>
      </c>
      <c r="F42" s="542" t="s">
        <v>3002</v>
      </c>
      <c r="G42" s="546"/>
      <c r="H42" s="546">
        <v>45.28</v>
      </c>
      <c r="I42" s="546">
        <v>45.28</v>
      </c>
      <c r="J42" s="542" t="s">
        <v>2584</v>
      </c>
      <c r="K42" s="547">
        <v>4980</v>
      </c>
      <c r="L42" s="542" t="s">
        <v>806</v>
      </c>
      <c r="M42" s="548"/>
      <c r="N42" s="549">
        <v>3</v>
      </c>
      <c r="O42" s="544" t="s">
        <v>1674</v>
      </c>
      <c r="P42" s="544" t="s">
        <v>1674</v>
      </c>
      <c r="Q42" s="544" t="s">
        <v>4027</v>
      </c>
      <c r="R42" s="544" t="s">
        <v>1674</v>
      </c>
      <c r="S42" s="544" t="s">
        <v>1674</v>
      </c>
      <c r="T42" s="550">
        <v>19</v>
      </c>
      <c r="U42" s="544" t="s">
        <v>2700</v>
      </c>
      <c r="V42" s="547">
        <v>573</v>
      </c>
      <c r="W42" s="548"/>
      <c r="Y42" s="544" t="s">
        <v>1674</v>
      </c>
      <c r="AA42" s="544" t="s">
        <v>1674</v>
      </c>
      <c r="AB42" s="542">
        <v>3</v>
      </c>
      <c r="AE42" s="551"/>
      <c r="AF42" s="544" t="s">
        <v>1674</v>
      </c>
      <c r="AG42" s="544" t="s">
        <v>1674</v>
      </c>
      <c r="AH42" s="544" t="s">
        <v>1674</v>
      </c>
      <c r="AI42" s="544" t="s">
        <v>1674</v>
      </c>
      <c r="AJ42" s="544" t="s">
        <v>1674</v>
      </c>
      <c r="AK42" s="544" t="s">
        <v>1674</v>
      </c>
      <c r="AL42" s="544" t="s">
        <v>1674</v>
      </c>
      <c r="AM42" s="544" t="s">
        <v>1674</v>
      </c>
      <c r="AN42" s="544" t="s">
        <v>1674</v>
      </c>
      <c r="AP42" s="552">
        <f t="shared" si="1"/>
        <v>45.28</v>
      </c>
    </row>
    <row r="43" spans="1:42" outlineLevel="1" x14ac:dyDescent="0.25">
      <c r="A43" s="544" t="s">
        <v>1674</v>
      </c>
      <c r="B43" s="545">
        <v>72200</v>
      </c>
      <c r="C43" s="544" t="s">
        <v>3260</v>
      </c>
      <c r="D43" s="544" t="s">
        <v>4039</v>
      </c>
      <c r="E43" s="542" t="s">
        <v>2851</v>
      </c>
      <c r="F43" s="542" t="s">
        <v>3002</v>
      </c>
      <c r="G43" s="546"/>
      <c r="H43" s="546">
        <v>169.4</v>
      </c>
      <c r="I43" s="546">
        <v>169.4</v>
      </c>
      <c r="J43" s="542" t="s">
        <v>2584</v>
      </c>
      <c r="K43" s="547">
        <v>4730</v>
      </c>
      <c r="L43" s="542" t="s">
        <v>806</v>
      </c>
      <c r="M43" s="548"/>
      <c r="N43" s="549">
        <v>3</v>
      </c>
      <c r="O43" s="544" t="s">
        <v>1674</v>
      </c>
      <c r="P43" s="544" t="s">
        <v>1674</v>
      </c>
      <c r="Q43" s="544" t="s">
        <v>4040</v>
      </c>
      <c r="R43" s="544" t="s">
        <v>1674</v>
      </c>
      <c r="S43" s="544" t="s">
        <v>1674</v>
      </c>
      <c r="T43" s="550"/>
      <c r="U43" s="544" t="s">
        <v>2700</v>
      </c>
      <c r="V43" s="547">
        <v>579</v>
      </c>
      <c r="W43" s="548"/>
      <c r="Y43" s="544" t="s">
        <v>1674</v>
      </c>
      <c r="AA43" s="544" t="s">
        <v>1674</v>
      </c>
      <c r="AB43" s="542">
        <v>3</v>
      </c>
      <c r="AE43" s="551"/>
      <c r="AF43" s="544" t="s">
        <v>1674</v>
      </c>
      <c r="AG43" s="544" t="s">
        <v>1674</v>
      </c>
      <c r="AH43" s="544" t="s">
        <v>1674</v>
      </c>
      <c r="AI43" s="544" t="s">
        <v>1674</v>
      </c>
      <c r="AJ43" s="544" t="s">
        <v>1674</v>
      </c>
      <c r="AK43" s="544" t="s">
        <v>1674</v>
      </c>
      <c r="AL43" s="544" t="s">
        <v>1674</v>
      </c>
      <c r="AM43" s="544" t="s">
        <v>3260</v>
      </c>
      <c r="AN43" s="544" t="s">
        <v>1674</v>
      </c>
      <c r="AP43" s="552">
        <f t="shared" si="1"/>
        <v>169.4</v>
      </c>
    </row>
    <row r="44" spans="1:42" outlineLevel="1" x14ac:dyDescent="0.25">
      <c r="A44" s="544" t="s">
        <v>1674</v>
      </c>
      <c r="B44" s="545">
        <v>81303</v>
      </c>
      <c r="C44" s="544" t="s">
        <v>3971</v>
      </c>
      <c r="D44" s="544" t="s">
        <v>4041</v>
      </c>
      <c r="E44" s="542" t="s">
        <v>2851</v>
      </c>
      <c r="F44" s="542" t="s">
        <v>4042</v>
      </c>
      <c r="G44" s="546"/>
      <c r="H44" s="546">
        <v>120576</v>
      </c>
      <c r="I44" s="546"/>
      <c r="J44" s="542" t="s">
        <v>806</v>
      </c>
      <c r="K44" s="547">
        <v>3425</v>
      </c>
      <c r="L44" s="542" t="s">
        <v>806</v>
      </c>
      <c r="M44" s="548"/>
      <c r="N44" s="549">
        <v>33</v>
      </c>
      <c r="O44" s="544" t="s">
        <v>1674</v>
      </c>
      <c r="P44" s="544" t="s">
        <v>1674</v>
      </c>
      <c r="Q44" s="544" t="s">
        <v>4012</v>
      </c>
      <c r="R44" s="544" t="s">
        <v>1674</v>
      </c>
      <c r="S44" s="544" t="s">
        <v>1674</v>
      </c>
      <c r="T44" s="550">
        <v>19</v>
      </c>
      <c r="U44" s="544" t="s">
        <v>2700</v>
      </c>
      <c r="V44" s="547">
        <v>575</v>
      </c>
      <c r="W44" s="548"/>
      <c r="Y44" s="544" t="s">
        <v>1674</v>
      </c>
      <c r="AA44" s="544" t="s">
        <v>1674</v>
      </c>
      <c r="AB44" s="542">
        <v>3</v>
      </c>
      <c r="AE44" s="551"/>
      <c r="AF44" s="544" t="s">
        <v>1674</v>
      </c>
      <c r="AG44" s="544" t="s">
        <v>1674</v>
      </c>
      <c r="AH44" s="544" t="s">
        <v>1674</v>
      </c>
      <c r="AI44" s="544" t="s">
        <v>1674</v>
      </c>
      <c r="AJ44" s="544" t="s">
        <v>1674</v>
      </c>
      <c r="AK44" s="544" t="s">
        <v>1674</v>
      </c>
      <c r="AL44" s="544" t="s">
        <v>1674</v>
      </c>
      <c r="AM44" s="544" t="s">
        <v>3976</v>
      </c>
      <c r="AN44" s="544" t="s">
        <v>1674</v>
      </c>
      <c r="AP44" s="552">
        <f t="shared" si="1"/>
        <v>0</v>
      </c>
    </row>
    <row r="45" spans="1:42" outlineLevel="1" x14ac:dyDescent="0.25">
      <c r="A45" s="544" t="s">
        <v>1674</v>
      </c>
      <c r="B45" s="545">
        <v>0</v>
      </c>
      <c r="C45" s="544" t="s">
        <v>1674</v>
      </c>
      <c r="D45" s="544" t="s">
        <v>4041</v>
      </c>
      <c r="E45" s="542" t="s">
        <v>2851</v>
      </c>
      <c r="F45" s="542" t="s">
        <v>4042</v>
      </c>
      <c r="G45" s="546"/>
      <c r="H45" s="546">
        <v>1010</v>
      </c>
      <c r="I45" s="546">
        <v>121586</v>
      </c>
      <c r="J45" s="542" t="s">
        <v>2584</v>
      </c>
      <c r="K45" s="547">
        <v>3800</v>
      </c>
      <c r="L45" s="542" t="s">
        <v>806</v>
      </c>
      <c r="M45" s="548"/>
      <c r="N45" s="549">
        <v>33</v>
      </c>
      <c r="O45" s="544" t="s">
        <v>1674</v>
      </c>
      <c r="P45" s="544" t="s">
        <v>1674</v>
      </c>
      <c r="Q45" s="544" t="s">
        <v>4043</v>
      </c>
      <c r="R45" s="544" t="s">
        <v>1674</v>
      </c>
      <c r="S45" s="544" t="s">
        <v>1674</v>
      </c>
      <c r="T45" s="550">
        <v>19</v>
      </c>
      <c r="U45" s="544" t="s">
        <v>2700</v>
      </c>
      <c r="V45" s="547">
        <v>576</v>
      </c>
      <c r="W45" s="548"/>
      <c r="Y45" s="544" t="s">
        <v>1674</v>
      </c>
      <c r="AA45" s="544" t="s">
        <v>1674</v>
      </c>
      <c r="AB45" s="542">
        <v>3</v>
      </c>
      <c r="AE45" s="551"/>
      <c r="AF45" s="544" t="s">
        <v>1674</v>
      </c>
      <c r="AG45" s="544" t="s">
        <v>1674</v>
      </c>
      <c r="AH45" s="544" t="s">
        <v>1674</v>
      </c>
      <c r="AI45" s="544" t="s">
        <v>1674</v>
      </c>
      <c r="AJ45" s="544" t="s">
        <v>1674</v>
      </c>
      <c r="AK45" s="544" t="s">
        <v>1674</v>
      </c>
      <c r="AL45" s="544" t="s">
        <v>1674</v>
      </c>
      <c r="AM45" s="544" t="s">
        <v>1674</v>
      </c>
      <c r="AN45" s="544" t="s">
        <v>1674</v>
      </c>
      <c r="AP45" s="552">
        <f t="shared" si="1"/>
        <v>121586</v>
      </c>
    </row>
    <row r="46" spans="1:42" outlineLevel="1" x14ac:dyDescent="0.25">
      <c r="A46" s="544" t="s">
        <v>2722</v>
      </c>
      <c r="B46" s="545">
        <v>0</v>
      </c>
      <c r="C46" s="544" t="s">
        <v>1674</v>
      </c>
      <c r="D46" s="544" t="s">
        <v>4044</v>
      </c>
      <c r="E46" s="542" t="s">
        <v>2851</v>
      </c>
      <c r="F46" s="542" t="s">
        <v>4042</v>
      </c>
      <c r="G46" s="546"/>
      <c r="H46" s="546">
        <v>9600</v>
      </c>
      <c r="I46" s="546"/>
      <c r="J46" s="542" t="s">
        <v>806</v>
      </c>
      <c r="K46" s="547">
        <v>490</v>
      </c>
      <c r="L46" s="542" t="s">
        <v>806</v>
      </c>
      <c r="M46" s="548"/>
      <c r="N46" s="549">
        <v>33</v>
      </c>
      <c r="O46" s="544" t="s">
        <v>1674</v>
      </c>
      <c r="P46" s="544" t="s">
        <v>1674</v>
      </c>
      <c r="Q46" s="544" t="s">
        <v>4045</v>
      </c>
      <c r="R46" s="544" t="s">
        <v>1674</v>
      </c>
      <c r="S46" s="544" t="s">
        <v>1674</v>
      </c>
      <c r="T46" s="550">
        <v>19</v>
      </c>
      <c r="U46" s="544" t="s">
        <v>2797</v>
      </c>
      <c r="V46" s="547">
        <v>40</v>
      </c>
      <c r="W46" s="548" t="s">
        <v>2563</v>
      </c>
      <c r="Y46" s="544" t="s">
        <v>1674</v>
      </c>
      <c r="AA46" s="544" t="s">
        <v>1674</v>
      </c>
      <c r="AB46" s="542">
        <v>3</v>
      </c>
      <c r="AE46" s="551"/>
      <c r="AF46" s="544" t="s">
        <v>1674</v>
      </c>
      <c r="AG46" s="544" t="s">
        <v>1674</v>
      </c>
      <c r="AH46" s="544" t="s">
        <v>1674</v>
      </c>
      <c r="AI46" s="544" t="s">
        <v>1674</v>
      </c>
      <c r="AJ46" s="544" t="s">
        <v>1674</v>
      </c>
      <c r="AK46" s="544" t="s">
        <v>1674</v>
      </c>
      <c r="AL46" s="544" t="s">
        <v>1674</v>
      </c>
      <c r="AM46" s="544" t="s">
        <v>1674</v>
      </c>
      <c r="AN46" s="544" t="s">
        <v>1674</v>
      </c>
      <c r="AP46" s="552">
        <f t="shared" si="1"/>
        <v>0</v>
      </c>
    </row>
    <row r="47" spans="1:42" outlineLevel="1" x14ac:dyDescent="0.25">
      <c r="A47" s="544" t="s">
        <v>2722</v>
      </c>
      <c r="B47" s="545">
        <v>0</v>
      </c>
      <c r="C47" s="544" t="s">
        <v>1674</v>
      </c>
      <c r="D47" s="544" t="s">
        <v>4044</v>
      </c>
      <c r="E47" s="542" t="s">
        <v>2851</v>
      </c>
      <c r="F47" s="542" t="s">
        <v>4042</v>
      </c>
      <c r="G47" s="546"/>
      <c r="H47" s="546">
        <v>9600</v>
      </c>
      <c r="I47" s="546"/>
      <c r="J47" s="542" t="s">
        <v>806</v>
      </c>
      <c r="K47" s="547">
        <v>490</v>
      </c>
      <c r="L47" s="542" t="s">
        <v>806</v>
      </c>
      <c r="M47" s="548"/>
      <c r="N47" s="549">
        <v>33</v>
      </c>
      <c r="O47" s="544" t="s">
        <v>1674</v>
      </c>
      <c r="P47" s="544" t="s">
        <v>1674</v>
      </c>
      <c r="Q47" s="544" t="s">
        <v>4046</v>
      </c>
      <c r="R47" s="544" t="s">
        <v>1674</v>
      </c>
      <c r="S47" s="544" t="s">
        <v>1674</v>
      </c>
      <c r="T47" s="550">
        <v>19</v>
      </c>
      <c r="U47" s="544" t="s">
        <v>2797</v>
      </c>
      <c r="V47" s="547">
        <v>41</v>
      </c>
      <c r="W47" s="548" t="s">
        <v>2563</v>
      </c>
      <c r="Y47" s="544" t="s">
        <v>1674</v>
      </c>
      <c r="AA47" s="544" t="s">
        <v>1674</v>
      </c>
      <c r="AB47" s="542">
        <v>3</v>
      </c>
      <c r="AE47" s="551"/>
      <c r="AF47" s="544" t="s">
        <v>1674</v>
      </c>
      <c r="AG47" s="544" t="s">
        <v>1674</v>
      </c>
      <c r="AH47" s="544" t="s">
        <v>1674</v>
      </c>
      <c r="AI47" s="544" t="s">
        <v>1674</v>
      </c>
      <c r="AJ47" s="544" t="s">
        <v>1674</v>
      </c>
      <c r="AK47" s="544" t="s">
        <v>1674</v>
      </c>
      <c r="AL47" s="544" t="s">
        <v>1674</v>
      </c>
      <c r="AM47" s="544" t="s">
        <v>1674</v>
      </c>
      <c r="AN47" s="544" t="s">
        <v>1674</v>
      </c>
      <c r="AP47" s="552">
        <f t="shared" si="1"/>
        <v>0</v>
      </c>
    </row>
    <row r="48" spans="1:42" outlineLevel="1" x14ac:dyDescent="0.25">
      <c r="A48" s="544" t="s">
        <v>2722</v>
      </c>
      <c r="B48" s="545">
        <v>0</v>
      </c>
      <c r="C48" s="544" t="s">
        <v>1674</v>
      </c>
      <c r="D48" s="544" t="s">
        <v>4044</v>
      </c>
      <c r="E48" s="542" t="s">
        <v>2851</v>
      </c>
      <c r="F48" s="542" t="s">
        <v>4042</v>
      </c>
      <c r="G48" s="546"/>
      <c r="H48" s="546">
        <v>9600</v>
      </c>
      <c r="I48" s="546"/>
      <c r="J48" s="542" t="s">
        <v>806</v>
      </c>
      <c r="K48" s="547">
        <v>490</v>
      </c>
      <c r="L48" s="542" t="s">
        <v>806</v>
      </c>
      <c r="M48" s="548"/>
      <c r="N48" s="549">
        <v>33</v>
      </c>
      <c r="O48" s="544" t="s">
        <v>1674</v>
      </c>
      <c r="P48" s="544" t="s">
        <v>1674</v>
      </c>
      <c r="Q48" s="544" t="s">
        <v>4047</v>
      </c>
      <c r="R48" s="544" t="s">
        <v>1674</v>
      </c>
      <c r="S48" s="544" t="s">
        <v>1674</v>
      </c>
      <c r="T48" s="550">
        <v>19</v>
      </c>
      <c r="U48" s="544" t="s">
        <v>2797</v>
      </c>
      <c r="V48" s="547">
        <v>42</v>
      </c>
      <c r="W48" s="548" t="s">
        <v>2563</v>
      </c>
      <c r="Y48" s="544" t="s">
        <v>1674</v>
      </c>
      <c r="AA48" s="544" t="s">
        <v>1674</v>
      </c>
      <c r="AB48" s="542">
        <v>3</v>
      </c>
      <c r="AE48" s="551"/>
      <c r="AF48" s="544" t="s">
        <v>1674</v>
      </c>
      <c r="AG48" s="544" t="s">
        <v>1674</v>
      </c>
      <c r="AH48" s="544" t="s">
        <v>1674</v>
      </c>
      <c r="AI48" s="544" t="s">
        <v>1674</v>
      </c>
      <c r="AJ48" s="544" t="s">
        <v>1674</v>
      </c>
      <c r="AK48" s="544" t="s">
        <v>1674</v>
      </c>
      <c r="AL48" s="544" t="s">
        <v>1674</v>
      </c>
      <c r="AM48" s="544" t="s">
        <v>1674</v>
      </c>
      <c r="AN48" s="544" t="s">
        <v>1674</v>
      </c>
      <c r="AP48" s="552">
        <f t="shared" si="1"/>
        <v>0</v>
      </c>
    </row>
    <row r="49" spans="1:42" outlineLevel="1" x14ac:dyDescent="0.25">
      <c r="A49" s="544" t="s">
        <v>2722</v>
      </c>
      <c r="B49" s="545">
        <v>0</v>
      </c>
      <c r="C49" s="544" t="s">
        <v>1674</v>
      </c>
      <c r="D49" s="544" t="s">
        <v>4044</v>
      </c>
      <c r="E49" s="542" t="s">
        <v>2851</v>
      </c>
      <c r="F49" s="542" t="s">
        <v>4042</v>
      </c>
      <c r="G49" s="546"/>
      <c r="H49" s="546">
        <v>9600</v>
      </c>
      <c r="I49" s="546"/>
      <c r="J49" s="542" t="s">
        <v>806</v>
      </c>
      <c r="K49" s="547">
        <v>490</v>
      </c>
      <c r="L49" s="542" t="s">
        <v>806</v>
      </c>
      <c r="M49" s="548"/>
      <c r="N49" s="549">
        <v>33</v>
      </c>
      <c r="O49" s="544" t="s">
        <v>1674</v>
      </c>
      <c r="P49" s="544" t="s">
        <v>1674</v>
      </c>
      <c r="Q49" s="544" t="s">
        <v>4048</v>
      </c>
      <c r="R49" s="544" t="s">
        <v>1674</v>
      </c>
      <c r="S49" s="544" t="s">
        <v>1674</v>
      </c>
      <c r="T49" s="550">
        <v>19</v>
      </c>
      <c r="U49" s="544" t="s">
        <v>2797</v>
      </c>
      <c r="V49" s="547">
        <v>43</v>
      </c>
      <c r="W49" s="548" t="s">
        <v>2563</v>
      </c>
      <c r="Y49" s="544" t="s">
        <v>1674</v>
      </c>
      <c r="AA49" s="544" t="s">
        <v>1674</v>
      </c>
      <c r="AB49" s="542">
        <v>3</v>
      </c>
      <c r="AE49" s="551"/>
      <c r="AF49" s="544" t="s">
        <v>1674</v>
      </c>
      <c r="AG49" s="544" t="s">
        <v>1674</v>
      </c>
      <c r="AH49" s="544" t="s">
        <v>1674</v>
      </c>
      <c r="AI49" s="544" t="s">
        <v>1674</v>
      </c>
      <c r="AJ49" s="544" t="s">
        <v>1674</v>
      </c>
      <c r="AK49" s="544" t="s">
        <v>1674</v>
      </c>
      <c r="AL49" s="544" t="s">
        <v>1674</v>
      </c>
      <c r="AM49" s="544" t="s">
        <v>1674</v>
      </c>
      <c r="AN49" s="544" t="s">
        <v>1674</v>
      </c>
      <c r="AP49" s="552">
        <f t="shared" si="1"/>
        <v>0</v>
      </c>
    </row>
    <row r="50" spans="1:42" outlineLevel="1" x14ac:dyDescent="0.25">
      <c r="A50" s="544" t="s">
        <v>2722</v>
      </c>
      <c r="B50" s="545">
        <v>0</v>
      </c>
      <c r="C50" s="544" t="s">
        <v>1674</v>
      </c>
      <c r="D50" s="544" t="s">
        <v>4044</v>
      </c>
      <c r="E50" s="542" t="s">
        <v>2851</v>
      </c>
      <c r="F50" s="542" t="s">
        <v>4042</v>
      </c>
      <c r="G50" s="546"/>
      <c r="H50" s="546">
        <v>9600</v>
      </c>
      <c r="I50" s="546">
        <v>48000</v>
      </c>
      <c r="J50" s="542" t="s">
        <v>2584</v>
      </c>
      <c r="K50" s="547">
        <v>490</v>
      </c>
      <c r="L50" s="542" t="s">
        <v>806</v>
      </c>
      <c r="M50" s="548"/>
      <c r="N50" s="549">
        <v>33</v>
      </c>
      <c r="O50" s="544" t="s">
        <v>1674</v>
      </c>
      <c r="P50" s="544" t="s">
        <v>1674</v>
      </c>
      <c r="Q50" s="544" t="s">
        <v>4049</v>
      </c>
      <c r="R50" s="544" t="s">
        <v>1674</v>
      </c>
      <c r="S50" s="544" t="s">
        <v>1674</v>
      </c>
      <c r="T50" s="550">
        <v>19</v>
      </c>
      <c r="U50" s="544" t="s">
        <v>2797</v>
      </c>
      <c r="V50" s="547">
        <v>44</v>
      </c>
      <c r="W50" s="548" t="s">
        <v>2563</v>
      </c>
      <c r="Y50" s="544" t="s">
        <v>1674</v>
      </c>
      <c r="AA50" s="544" t="s">
        <v>1674</v>
      </c>
      <c r="AB50" s="542">
        <v>3</v>
      </c>
      <c r="AE50" s="551"/>
      <c r="AF50" s="544" t="s">
        <v>1674</v>
      </c>
      <c r="AG50" s="544" t="s">
        <v>1674</v>
      </c>
      <c r="AH50" s="544" t="s">
        <v>1674</v>
      </c>
      <c r="AI50" s="544" t="s">
        <v>1674</v>
      </c>
      <c r="AJ50" s="544" t="s">
        <v>1674</v>
      </c>
      <c r="AK50" s="544" t="s">
        <v>1674</v>
      </c>
      <c r="AL50" s="544" t="s">
        <v>1674</v>
      </c>
      <c r="AM50" s="544" t="s">
        <v>1674</v>
      </c>
      <c r="AN50" s="544" t="s">
        <v>1674</v>
      </c>
      <c r="AP50" s="552">
        <f t="shared" si="1"/>
        <v>48000</v>
      </c>
    </row>
    <row r="51" spans="1:42" outlineLevel="1" x14ac:dyDescent="0.25">
      <c r="A51" s="544" t="s">
        <v>1674</v>
      </c>
      <c r="B51" s="545">
        <v>70100</v>
      </c>
      <c r="C51" s="544" t="s">
        <v>2864</v>
      </c>
      <c r="D51" s="544" t="s">
        <v>4050</v>
      </c>
      <c r="E51" s="542" t="s">
        <v>3015</v>
      </c>
      <c r="F51" s="542" t="s">
        <v>3016</v>
      </c>
      <c r="G51" s="546"/>
      <c r="H51" s="546">
        <v>23.86</v>
      </c>
      <c r="I51" s="546">
        <v>23.86</v>
      </c>
      <c r="J51" s="542" t="s">
        <v>2584</v>
      </c>
      <c r="K51" s="547">
        <v>4980</v>
      </c>
      <c r="L51" s="542" t="s">
        <v>806</v>
      </c>
      <c r="M51" s="548"/>
      <c r="N51" s="549">
        <v>4</v>
      </c>
      <c r="O51" s="544" t="s">
        <v>1674</v>
      </c>
      <c r="P51" s="544" t="s">
        <v>1674</v>
      </c>
      <c r="Q51" s="544" t="s">
        <v>4027</v>
      </c>
      <c r="R51" s="544" t="s">
        <v>1674</v>
      </c>
      <c r="S51" s="544" t="s">
        <v>1674</v>
      </c>
      <c r="T51" s="550">
        <v>19</v>
      </c>
      <c r="U51" s="544" t="s">
        <v>2700</v>
      </c>
      <c r="V51" s="547">
        <v>664</v>
      </c>
      <c r="W51" s="548"/>
      <c r="Y51" s="544" t="s">
        <v>1674</v>
      </c>
      <c r="AA51" s="544" t="s">
        <v>1674</v>
      </c>
      <c r="AB51" s="542">
        <v>3</v>
      </c>
      <c r="AE51" s="551"/>
      <c r="AF51" s="544" t="s">
        <v>1674</v>
      </c>
      <c r="AG51" s="544" t="s">
        <v>1674</v>
      </c>
      <c r="AH51" s="544" t="s">
        <v>1674</v>
      </c>
      <c r="AI51" s="544" t="s">
        <v>1674</v>
      </c>
      <c r="AJ51" s="544" t="s">
        <v>1674</v>
      </c>
      <c r="AK51" s="544" t="s">
        <v>1674</v>
      </c>
      <c r="AL51" s="544" t="s">
        <v>1674</v>
      </c>
      <c r="AM51" s="544" t="s">
        <v>2864</v>
      </c>
      <c r="AN51" s="544" t="s">
        <v>1674</v>
      </c>
      <c r="AP51" s="552">
        <f t="shared" si="1"/>
        <v>23.86</v>
      </c>
    </row>
    <row r="52" spans="1:42" outlineLevel="1" x14ac:dyDescent="0.25">
      <c r="A52" s="544" t="s">
        <v>1674</v>
      </c>
      <c r="B52" s="545">
        <v>0</v>
      </c>
      <c r="C52" s="544" t="s">
        <v>1674</v>
      </c>
      <c r="D52" s="544" t="s">
        <v>4051</v>
      </c>
      <c r="E52" s="542" t="s">
        <v>3015</v>
      </c>
      <c r="F52" s="542" t="s">
        <v>3016</v>
      </c>
      <c r="G52" s="546"/>
      <c r="H52" s="546">
        <v>57.32</v>
      </c>
      <c r="I52" s="546">
        <v>57.32</v>
      </c>
      <c r="J52" s="542" t="s">
        <v>2584</v>
      </c>
      <c r="K52" s="547">
        <v>4980</v>
      </c>
      <c r="L52" s="542" t="s">
        <v>806</v>
      </c>
      <c r="M52" s="548"/>
      <c r="N52" s="549">
        <v>4</v>
      </c>
      <c r="O52" s="544" t="s">
        <v>1674</v>
      </c>
      <c r="P52" s="544" t="s">
        <v>1674</v>
      </c>
      <c r="Q52" s="544" t="s">
        <v>4027</v>
      </c>
      <c r="R52" s="544" t="s">
        <v>1674</v>
      </c>
      <c r="S52" s="544" t="s">
        <v>1674</v>
      </c>
      <c r="T52" s="550">
        <v>19</v>
      </c>
      <c r="U52" s="544" t="s">
        <v>2700</v>
      </c>
      <c r="V52" s="547">
        <v>663</v>
      </c>
      <c r="W52" s="548"/>
      <c r="Y52" s="544" t="s">
        <v>1674</v>
      </c>
      <c r="AA52" s="544" t="s">
        <v>1674</v>
      </c>
      <c r="AB52" s="542">
        <v>3</v>
      </c>
      <c r="AE52" s="551"/>
      <c r="AF52" s="544" t="s">
        <v>1674</v>
      </c>
      <c r="AG52" s="544" t="s">
        <v>1674</v>
      </c>
      <c r="AH52" s="544" t="s">
        <v>1674</v>
      </c>
      <c r="AI52" s="544" t="s">
        <v>1674</v>
      </c>
      <c r="AJ52" s="544" t="s">
        <v>1674</v>
      </c>
      <c r="AK52" s="544" t="s">
        <v>1674</v>
      </c>
      <c r="AL52" s="544" t="s">
        <v>1674</v>
      </c>
      <c r="AM52" s="544" t="s">
        <v>1674</v>
      </c>
      <c r="AN52" s="544" t="s">
        <v>1674</v>
      </c>
      <c r="AP52" s="552">
        <f t="shared" si="1"/>
        <v>57.32</v>
      </c>
    </row>
    <row r="53" spans="1:42" outlineLevel="1" x14ac:dyDescent="0.25">
      <c r="A53" s="544" t="s">
        <v>1674</v>
      </c>
      <c r="B53" s="545">
        <v>0</v>
      </c>
      <c r="C53" s="544" t="s">
        <v>1674</v>
      </c>
      <c r="D53" s="544" t="s">
        <v>4052</v>
      </c>
      <c r="E53" s="542" t="s">
        <v>3015</v>
      </c>
      <c r="F53" s="542" t="s">
        <v>3016</v>
      </c>
      <c r="G53" s="546"/>
      <c r="H53" s="546">
        <v>134.99</v>
      </c>
      <c r="I53" s="546">
        <v>134.99</v>
      </c>
      <c r="J53" s="542" t="s">
        <v>2584</v>
      </c>
      <c r="K53" s="547">
        <v>4980</v>
      </c>
      <c r="L53" s="542" t="s">
        <v>806</v>
      </c>
      <c r="M53" s="548"/>
      <c r="N53" s="549">
        <v>4</v>
      </c>
      <c r="O53" s="544" t="s">
        <v>1674</v>
      </c>
      <c r="P53" s="544" t="s">
        <v>1674</v>
      </c>
      <c r="Q53" s="544" t="s">
        <v>4027</v>
      </c>
      <c r="R53" s="544" t="s">
        <v>1674</v>
      </c>
      <c r="S53" s="544" t="s">
        <v>1674</v>
      </c>
      <c r="T53" s="550">
        <v>19</v>
      </c>
      <c r="U53" s="544" t="s">
        <v>2700</v>
      </c>
      <c r="V53" s="547">
        <v>659</v>
      </c>
      <c r="W53" s="548"/>
      <c r="Y53" s="544" t="s">
        <v>1674</v>
      </c>
      <c r="AA53" s="544" t="s">
        <v>1674</v>
      </c>
      <c r="AB53" s="542">
        <v>3</v>
      </c>
      <c r="AE53" s="551"/>
      <c r="AF53" s="544" t="s">
        <v>1674</v>
      </c>
      <c r="AG53" s="544" t="s">
        <v>1674</v>
      </c>
      <c r="AH53" s="544" t="s">
        <v>1674</v>
      </c>
      <c r="AI53" s="544" t="s">
        <v>1674</v>
      </c>
      <c r="AJ53" s="544" t="s">
        <v>1674</v>
      </c>
      <c r="AK53" s="544" t="s">
        <v>1674</v>
      </c>
      <c r="AL53" s="544" t="s">
        <v>1674</v>
      </c>
      <c r="AM53" s="544" t="s">
        <v>1674</v>
      </c>
      <c r="AN53" s="544" t="s">
        <v>1674</v>
      </c>
      <c r="AP53" s="552">
        <f t="shared" si="1"/>
        <v>134.99</v>
      </c>
    </row>
    <row r="54" spans="1:42" outlineLevel="1" x14ac:dyDescent="0.25">
      <c r="A54" s="544" t="s">
        <v>1674</v>
      </c>
      <c r="B54" s="545">
        <v>71300</v>
      </c>
      <c r="C54" s="544" t="s">
        <v>3550</v>
      </c>
      <c r="D54" s="544" t="s">
        <v>4053</v>
      </c>
      <c r="E54" s="542" t="s">
        <v>3015</v>
      </c>
      <c r="F54" s="542" t="s">
        <v>3016</v>
      </c>
      <c r="G54" s="546"/>
      <c r="H54" s="546">
        <v>10174.5</v>
      </c>
      <c r="I54" s="546"/>
      <c r="J54" s="542" t="s">
        <v>806</v>
      </c>
      <c r="K54" s="547">
        <v>3400</v>
      </c>
      <c r="L54" s="542" t="s">
        <v>806</v>
      </c>
      <c r="M54" s="548"/>
      <c r="N54" s="549">
        <v>4</v>
      </c>
      <c r="O54" s="544" t="s">
        <v>1674</v>
      </c>
      <c r="P54" s="544" t="s">
        <v>1674</v>
      </c>
      <c r="Q54" s="544" t="s">
        <v>4054</v>
      </c>
      <c r="R54" s="544" t="s">
        <v>1674</v>
      </c>
      <c r="S54" s="544" t="s">
        <v>1674</v>
      </c>
      <c r="T54" s="550">
        <v>19</v>
      </c>
      <c r="U54" s="544" t="s">
        <v>2700</v>
      </c>
      <c r="V54" s="547">
        <v>661</v>
      </c>
      <c r="W54" s="548"/>
      <c r="Y54" s="544" t="s">
        <v>1674</v>
      </c>
      <c r="AA54" s="544" t="s">
        <v>1674</v>
      </c>
      <c r="AB54" s="542">
        <v>3</v>
      </c>
      <c r="AE54" s="551"/>
      <c r="AF54" s="544" t="s">
        <v>1674</v>
      </c>
      <c r="AG54" s="544" t="s">
        <v>1674</v>
      </c>
      <c r="AH54" s="544" t="s">
        <v>1674</v>
      </c>
      <c r="AI54" s="544" t="s">
        <v>1674</v>
      </c>
      <c r="AJ54" s="544" t="s">
        <v>1674</v>
      </c>
      <c r="AK54" s="544" t="s">
        <v>1674</v>
      </c>
      <c r="AL54" s="544" t="s">
        <v>1674</v>
      </c>
      <c r="AM54" s="544" t="s">
        <v>3550</v>
      </c>
      <c r="AN54" s="544" t="s">
        <v>1674</v>
      </c>
      <c r="AP54" s="552">
        <f t="shared" si="1"/>
        <v>0</v>
      </c>
    </row>
    <row r="55" spans="1:42" outlineLevel="1" x14ac:dyDescent="0.25">
      <c r="A55" s="544" t="s">
        <v>1674</v>
      </c>
      <c r="B55" s="545">
        <v>0</v>
      </c>
      <c r="C55" s="544" t="s">
        <v>1674</v>
      </c>
      <c r="D55" s="544" t="s">
        <v>4053</v>
      </c>
      <c r="E55" s="542" t="s">
        <v>3015</v>
      </c>
      <c r="F55" s="542" t="s">
        <v>3016</v>
      </c>
      <c r="G55" s="546"/>
      <c r="H55" s="546">
        <v>16.420000000000002</v>
      </c>
      <c r="I55" s="546">
        <v>10190.92</v>
      </c>
      <c r="J55" s="542" t="s">
        <v>2584</v>
      </c>
      <c r="K55" s="547">
        <v>3800</v>
      </c>
      <c r="L55" s="542" t="s">
        <v>806</v>
      </c>
      <c r="M55" s="548"/>
      <c r="N55" s="549">
        <v>4</v>
      </c>
      <c r="O55" s="544" t="s">
        <v>1674</v>
      </c>
      <c r="P55" s="544" t="s">
        <v>1674</v>
      </c>
      <c r="Q55" s="544" t="s">
        <v>4055</v>
      </c>
      <c r="R55" s="544" t="s">
        <v>1674</v>
      </c>
      <c r="S55" s="544" t="s">
        <v>1674</v>
      </c>
      <c r="T55" s="550">
        <v>19</v>
      </c>
      <c r="U55" s="544" t="s">
        <v>2700</v>
      </c>
      <c r="V55" s="547">
        <v>662</v>
      </c>
      <c r="W55" s="548"/>
      <c r="Y55" s="544" t="s">
        <v>1674</v>
      </c>
      <c r="AA55" s="544" t="s">
        <v>1674</v>
      </c>
      <c r="AB55" s="542">
        <v>3</v>
      </c>
      <c r="AE55" s="551"/>
      <c r="AF55" s="544" t="s">
        <v>1674</v>
      </c>
      <c r="AG55" s="544" t="s">
        <v>1674</v>
      </c>
      <c r="AH55" s="544" t="s">
        <v>1674</v>
      </c>
      <c r="AI55" s="544" t="s">
        <v>1674</v>
      </c>
      <c r="AJ55" s="544" t="s">
        <v>1674</v>
      </c>
      <c r="AK55" s="544" t="s">
        <v>1674</v>
      </c>
      <c r="AL55" s="544" t="s">
        <v>1674</v>
      </c>
      <c r="AM55" s="544" t="s">
        <v>1674</v>
      </c>
      <c r="AN55" s="544" t="s">
        <v>1674</v>
      </c>
      <c r="AP55" s="552">
        <f t="shared" si="1"/>
        <v>10190.92</v>
      </c>
    </row>
    <row r="56" spans="1:42" outlineLevel="1" x14ac:dyDescent="0.25">
      <c r="A56" s="544" t="s">
        <v>1674</v>
      </c>
      <c r="B56" s="545">
        <v>70900</v>
      </c>
      <c r="C56" s="544" t="s">
        <v>3129</v>
      </c>
      <c r="D56" s="544" t="s">
        <v>4056</v>
      </c>
      <c r="E56" s="542" t="s">
        <v>3033</v>
      </c>
      <c r="F56" s="542" t="s">
        <v>2988</v>
      </c>
      <c r="G56" s="546"/>
      <c r="H56" s="546">
        <v>3166.82</v>
      </c>
      <c r="I56" s="546"/>
      <c r="J56" s="542" t="s">
        <v>806</v>
      </c>
      <c r="K56" s="547">
        <v>3400</v>
      </c>
      <c r="L56" s="542" t="s">
        <v>806</v>
      </c>
      <c r="M56" s="548"/>
      <c r="N56" s="549">
        <v>8</v>
      </c>
      <c r="O56" s="544" t="s">
        <v>1674</v>
      </c>
      <c r="P56" s="544" t="s">
        <v>1674</v>
      </c>
      <c r="Q56" s="544" t="s">
        <v>4057</v>
      </c>
      <c r="R56" s="544" t="s">
        <v>1674</v>
      </c>
      <c r="S56" s="544" t="s">
        <v>1674</v>
      </c>
      <c r="T56" s="550">
        <v>19</v>
      </c>
      <c r="U56" s="544" t="s">
        <v>2700</v>
      </c>
      <c r="V56" s="547">
        <v>914</v>
      </c>
      <c r="W56" s="548"/>
      <c r="Y56" s="544" t="s">
        <v>1674</v>
      </c>
      <c r="AA56" s="544" t="s">
        <v>1674</v>
      </c>
      <c r="AB56" s="542">
        <v>3</v>
      </c>
      <c r="AE56" s="551"/>
      <c r="AF56" s="544" t="s">
        <v>1674</v>
      </c>
      <c r="AG56" s="544" t="s">
        <v>1674</v>
      </c>
      <c r="AH56" s="544" t="s">
        <v>1674</v>
      </c>
      <c r="AI56" s="544" t="s">
        <v>1674</v>
      </c>
      <c r="AJ56" s="544" t="s">
        <v>1674</v>
      </c>
      <c r="AK56" s="544" t="s">
        <v>1674</v>
      </c>
      <c r="AL56" s="544" t="s">
        <v>1674</v>
      </c>
      <c r="AM56" s="544" t="s">
        <v>3129</v>
      </c>
      <c r="AN56" s="544" t="s">
        <v>1674</v>
      </c>
      <c r="AP56" s="552">
        <f t="shared" si="1"/>
        <v>0</v>
      </c>
    </row>
    <row r="57" spans="1:42" outlineLevel="1" x14ac:dyDescent="0.25">
      <c r="A57" s="544" t="s">
        <v>1674</v>
      </c>
      <c r="B57" s="545">
        <v>0</v>
      </c>
      <c r="C57" s="544" t="s">
        <v>1674</v>
      </c>
      <c r="D57" s="544" t="s">
        <v>4056</v>
      </c>
      <c r="E57" s="542" t="s">
        <v>3033</v>
      </c>
      <c r="F57" s="542" t="s">
        <v>2988</v>
      </c>
      <c r="G57" s="546"/>
      <c r="H57" s="546">
        <v>83.43</v>
      </c>
      <c r="I57" s="546">
        <v>3250.25</v>
      </c>
      <c r="J57" s="542" t="s">
        <v>2584</v>
      </c>
      <c r="K57" s="547">
        <v>3800</v>
      </c>
      <c r="L57" s="542" t="s">
        <v>806</v>
      </c>
      <c r="M57" s="548"/>
      <c r="N57" s="549">
        <v>8</v>
      </c>
      <c r="O57" s="544" t="s">
        <v>1674</v>
      </c>
      <c r="P57" s="544" t="s">
        <v>1674</v>
      </c>
      <c r="Q57" s="544" t="s">
        <v>4058</v>
      </c>
      <c r="R57" s="544" t="s">
        <v>1674</v>
      </c>
      <c r="S57" s="544" t="s">
        <v>1674</v>
      </c>
      <c r="T57" s="550">
        <v>19</v>
      </c>
      <c r="U57" s="544" t="s">
        <v>2700</v>
      </c>
      <c r="V57" s="547">
        <v>915</v>
      </c>
      <c r="W57" s="548"/>
      <c r="Y57" s="544" t="s">
        <v>1674</v>
      </c>
      <c r="AA57" s="544" t="s">
        <v>1674</v>
      </c>
      <c r="AB57" s="542">
        <v>3</v>
      </c>
      <c r="AE57" s="551"/>
      <c r="AF57" s="544" t="s">
        <v>1674</v>
      </c>
      <c r="AG57" s="544" t="s">
        <v>1674</v>
      </c>
      <c r="AH57" s="544" t="s">
        <v>1674</v>
      </c>
      <c r="AI57" s="544" t="s">
        <v>1674</v>
      </c>
      <c r="AJ57" s="544" t="s">
        <v>1674</v>
      </c>
      <c r="AK57" s="544" t="s">
        <v>1674</v>
      </c>
      <c r="AL57" s="544" t="s">
        <v>1674</v>
      </c>
      <c r="AM57" s="544" t="s">
        <v>1674</v>
      </c>
      <c r="AN57" s="544" t="s">
        <v>1674</v>
      </c>
      <c r="AP57" s="552">
        <f t="shared" si="1"/>
        <v>3250.25</v>
      </c>
    </row>
    <row r="58" spans="1:42" outlineLevel="1" x14ac:dyDescent="0.25">
      <c r="A58" s="544" t="s">
        <v>1674</v>
      </c>
      <c r="B58" s="545">
        <v>72200</v>
      </c>
      <c r="C58" s="544" t="s">
        <v>3260</v>
      </c>
      <c r="D58" s="544" t="s">
        <v>4059</v>
      </c>
      <c r="E58" s="542" t="s">
        <v>3033</v>
      </c>
      <c r="F58" s="542" t="s">
        <v>2988</v>
      </c>
      <c r="G58" s="546"/>
      <c r="H58" s="546">
        <v>173.63</v>
      </c>
      <c r="I58" s="546">
        <v>173.63</v>
      </c>
      <c r="J58" s="542" t="s">
        <v>2584</v>
      </c>
      <c r="K58" s="547">
        <v>4730</v>
      </c>
      <c r="L58" s="542" t="s">
        <v>806</v>
      </c>
      <c r="M58" s="548"/>
      <c r="N58" s="549">
        <v>8</v>
      </c>
      <c r="O58" s="544" t="s">
        <v>1674</v>
      </c>
      <c r="P58" s="544" t="s">
        <v>1674</v>
      </c>
      <c r="Q58" s="544" t="s">
        <v>4040</v>
      </c>
      <c r="R58" s="544" t="s">
        <v>1674</v>
      </c>
      <c r="S58" s="544" t="s">
        <v>1674</v>
      </c>
      <c r="T58" s="550"/>
      <c r="U58" s="544" t="s">
        <v>2700</v>
      </c>
      <c r="V58" s="547">
        <v>970</v>
      </c>
      <c r="W58" s="548"/>
      <c r="Y58" s="544" t="s">
        <v>1674</v>
      </c>
      <c r="AA58" s="544" t="s">
        <v>1674</v>
      </c>
      <c r="AB58" s="542">
        <v>3</v>
      </c>
      <c r="AE58" s="551"/>
      <c r="AF58" s="544" t="s">
        <v>1674</v>
      </c>
      <c r="AG58" s="544" t="s">
        <v>1674</v>
      </c>
      <c r="AH58" s="544" t="s">
        <v>1674</v>
      </c>
      <c r="AI58" s="544" t="s">
        <v>1674</v>
      </c>
      <c r="AJ58" s="544" t="s">
        <v>1674</v>
      </c>
      <c r="AK58" s="544" t="s">
        <v>1674</v>
      </c>
      <c r="AL58" s="544" t="s">
        <v>1674</v>
      </c>
      <c r="AM58" s="544" t="s">
        <v>3260</v>
      </c>
      <c r="AN58" s="544" t="s">
        <v>1674</v>
      </c>
      <c r="AP58" s="552">
        <f t="shared" si="1"/>
        <v>173.63</v>
      </c>
    </row>
    <row r="59" spans="1:42" outlineLevel="1" x14ac:dyDescent="0.25">
      <c r="A59" s="544" t="s">
        <v>1674</v>
      </c>
      <c r="B59" s="545">
        <v>82402</v>
      </c>
      <c r="C59" s="544" t="s">
        <v>4060</v>
      </c>
      <c r="D59" s="544" t="s">
        <v>4061</v>
      </c>
      <c r="E59" s="542" t="s">
        <v>3033</v>
      </c>
      <c r="F59" s="542" t="s">
        <v>2988</v>
      </c>
      <c r="G59" s="546"/>
      <c r="H59" s="546">
        <v>4740.1000000000004</v>
      </c>
      <c r="I59" s="546"/>
      <c r="J59" s="542" t="s">
        <v>806</v>
      </c>
      <c r="K59" s="547">
        <v>3425</v>
      </c>
      <c r="L59" s="542" t="s">
        <v>806</v>
      </c>
      <c r="M59" s="548"/>
      <c r="N59" s="549">
        <v>8</v>
      </c>
      <c r="O59" s="544" t="s">
        <v>1674</v>
      </c>
      <c r="P59" s="544" t="s">
        <v>1674</v>
      </c>
      <c r="Q59" s="544" t="s">
        <v>4062</v>
      </c>
      <c r="R59" s="544" t="s">
        <v>1674</v>
      </c>
      <c r="S59" s="544" t="s">
        <v>1674</v>
      </c>
      <c r="T59" s="550">
        <v>19</v>
      </c>
      <c r="U59" s="544" t="s">
        <v>2700</v>
      </c>
      <c r="V59" s="547">
        <v>912</v>
      </c>
      <c r="W59" s="548"/>
      <c r="Y59" s="544" t="s">
        <v>1674</v>
      </c>
      <c r="AA59" s="544" t="s">
        <v>1674</v>
      </c>
      <c r="AB59" s="542">
        <v>3</v>
      </c>
      <c r="AE59" s="551"/>
      <c r="AF59" s="544" t="s">
        <v>1674</v>
      </c>
      <c r="AG59" s="544" t="s">
        <v>1674</v>
      </c>
      <c r="AH59" s="544" t="s">
        <v>1674</v>
      </c>
      <c r="AI59" s="544" t="s">
        <v>1674</v>
      </c>
      <c r="AJ59" s="544" t="s">
        <v>1674</v>
      </c>
      <c r="AK59" s="544" t="s">
        <v>1674</v>
      </c>
      <c r="AL59" s="544" t="s">
        <v>1674</v>
      </c>
      <c r="AM59" s="544" t="s">
        <v>4063</v>
      </c>
      <c r="AN59" s="544" t="s">
        <v>1674</v>
      </c>
      <c r="AP59" s="552">
        <f t="shared" si="1"/>
        <v>0</v>
      </c>
    </row>
    <row r="60" spans="1:42" outlineLevel="1" x14ac:dyDescent="0.25">
      <c r="A60" s="544" t="s">
        <v>1674</v>
      </c>
      <c r="B60" s="545">
        <v>0</v>
      </c>
      <c r="C60" s="544" t="s">
        <v>1674</v>
      </c>
      <c r="D60" s="544" t="s">
        <v>4061</v>
      </c>
      <c r="E60" s="542" t="s">
        <v>3033</v>
      </c>
      <c r="F60" s="542" t="s">
        <v>2988</v>
      </c>
      <c r="G60" s="546"/>
      <c r="H60" s="546">
        <v>552</v>
      </c>
      <c r="I60" s="546">
        <v>5292.1</v>
      </c>
      <c r="J60" s="542" t="s">
        <v>2584</v>
      </c>
      <c r="K60" s="547">
        <v>3800</v>
      </c>
      <c r="L60" s="542" t="s">
        <v>806</v>
      </c>
      <c r="M60" s="548"/>
      <c r="N60" s="549">
        <v>8</v>
      </c>
      <c r="O60" s="544" t="s">
        <v>1674</v>
      </c>
      <c r="P60" s="544" t="s">
        <v>1674</v>
      </c>
      <c r="Q60" s="544" t="s">
        <v>4064</v>
      </c>
      <c r="R60" s="544" t="s">
        <v>1674</v>
      </c>
      <c r="S60" s="544" t="s">
        <v>1674</v>
      </c>
      <c r="T60" s="550">
        <v>19</v>
      </c>
      <c r="U60" s="544" t="s">
        <v>2700</v>
      </c>
      <c r="V60" s="547">
        <v>913</v>
      </c>
      <c r="W60" s="548"/>
      <c r="Y60" s="544" t="s">
        <v>1674</v>
      </c>
      <c r="AA60" s="544" t="s">
        <v>1674</v>
      </c>
      <c r="AB60" s="542">
        <v>3</v>
      </c>
      <c r="AE60" s="551"/>
      <c r="AF60" s="544" t="s">
        <v>1674</v>
      </c>
      <c r="AG60" s="544" t="s">
        <v>1674</v>
      </c>
      <c r="AH60" s="544" t="s">
        <v>1674</v>
      </c>
      <c r="AI60" s="544" t="s">
        <v>1674</v>
      </c>
      <c r="AJ60" s="544" t="s">
        <v>1674</v>
      </c>
      <c r="AK60" s="544" t="s">
        <v>1674</v>
      </c>
      <c r="AL60" s="544" t="s">
        <v>1674</v>
      </c>
      <c r="AM60" s="544" t="s">
        <v>1674</v>
      </c>
      <c r="AN60" s="544" t="s">
        <v>1674</v>
      </c>
      <c r="AP60" s="552">
        <f t="shared" si="1"/>
        <v>5292.1</v>
      </c>
    </row>
    <row r="61" spans="1:42" outlineLevel="1" x14ac:dyDescent="0.25">
      <c r="A61" s="544" t="s">
        <v>1674</v>
      </c>
      <c r="B61" s="545">
        <v>70200</v>
      </c>
      <c r="C61" s="544" t="s">
        <v>2774</v>
      </c>
      <c r="D61" s="544" t="s">
        <v>4065</v>
      </c>
      <c r="E61" s="542" t="s">
        <v>3041</v>
      </c>
      <c r="F61" s="542" t="s">
        <v>3042</v>
      </c>
      <c r="G61" s="546"/>
      <c r="H61" s="546">
        <v>101.11</v>
      </c>
      <c r="I61" s="546">
        <v>101.11</v>
      </c>
      <c r="J61" s="542" t="s">
        <v>2584</v>
      </c>
      <c r="K61" s="547">
        <v>4980</v>
      </c>
      <c r="L61" s="542" t="s">
        <v>806</v>
      </c>
      <c r="M61" s="548"/>
      <c r="N61" s="549">
        <v>9</v>
      </c>
      <c r="O61" s="544" t="s">
        <v>1674</v>
      </c>
      <c r="P61" s="544" t="s">
        <v>1674</v>
      </c>
      <c r="Q61" s="544" t="s">
        <v>4066</v>
      </c>
      <c r="R61" s="544" t="s">
        <v>1674</v>
      </c>
      <c r="S61" s="544" t="s">
        <v>1674</v>
      </c>
      <c r="T61" s="550">
        <v>19</v>
      </c>
      <c r="U61" s="544" t="s">
        <v>2700</v>
      </c>
      <c r="V61" s="547">
        <v>1019</v>
      </c>
      <c r="W61" s="548"/>
      <c r="Y61" s="544" t="s">
        <v>1674</v>
      </c>
      <c r="AA61" s="544" t="s">
        <v>1674</v>
      </c>
      <c r="AB61" s="542">
        <v>3</v>
      </c>
      <c r="AE61" s="551"/>
      <c r="AF61" s="544" t="s">
        <v>1674</v>
      </c>
      <c r="AG61" s="544" t="s">
        <v>1674</v>
      </c>
      <c r="AH61" s="544" t="s">
        <v>1674</v>
      </c>
      <c r="AI61" s="544" t="s">
        <v>1674</v>
      </c>
      <c r="AJ61" s="544" t="s">
        <v>1674</v>
      </c>
      <c r="AK61" s="544" t="s">
        <v>1674</v>
      </c>
      <c r="AL61" s="544" t="s">
        <v>1674</v>
      </c>
      <c r="AM61" s="544" t="s">
        <v>2774</v>
      </c>
      <c r="AN61" s="544" t="s">
        <v>1674</v>
      </c>
      <c r="AP61" s="552">
        <f t="shared" si="1"/>
        <v>101.11</v>
      </c>
    </row>
    <row r="62" spans="1:42" outlineLevel="1" x14ac:dyDescent="0.25">
      <c r="A62" s="544" t="s">
        <v>1674</v>
      </c>
      <c r="B62" s="545">
        <v>71501</v>
      </c>
      <c r="C62" s="544" t="s">
        <v>4067</v>
      </c>
      <c r="D62" s="544" t="s">
        <v>4068</v>
      </c>
      <c r="E62" s="542" t="s">
        <v>3041</v>
      </c>
      <c r="F62" s="542" t="s">
        <v>3042</v>
      </c>
      <c r="G62" s="546"/>
      <c r="H62" s="546">
        <v>79.66</v>
      </c>
      <c r="I62" s="546">
        <v>79.66</v>
      </c>
      <c r="J62" s="542" t="s">
        <v>2584</v>
      </c>
      <c r="K62" s="547">
        <v>4980</v>
      </c>
      <c r="L62" s="542" t="s">
        <v>806</v>
      </c>
      <c r="M62" s="548"/>
      <c r="N62" s="549">
        <v>9</v>
      </c>
      <c r="O62" s="544" t="s">
        <v>1674</v>
      </c>
      <c r="P62" s="544" t="s">
        <v>1674</v>
      </c>
      <c r="Q62" s="544" t="s">
        <v>4067</v>
      </c>
      <c r="R62" s="544" t="s">
        <v>1674</v>
      </c>
      <c r="S62" s="544" t="s">
        <v>1674</v>
      </c>
      <c r="T62" s="550">
        <v>19</v>
      </c>
      <c r="U62" s="544" t="s">
        <v>2700</v>
      </c>
      <c r="V62" s="547">
        <v>1016</v>
      </c>
      <c r="W62" s="548"/>
      <c r="Y62" s="544" t="s">
        <v>1674</v>
      </c>
      <c r="AA62" s="544" t="s">
        <v>1674</v>
      </c>
      <c r="AB62" s="542">
        <v>3</v>
      </c>
      <c r="AE62" s="551"/>
      <c r="AF62" s="544" t="s">
        <v>1674</v>
      </c>
      <c r="AG62" s="544" t="s">
        <v>1674</v>
      </c>
      <c r="AH62" s="544" t="s">
        <v>1674</v>
      </c>
      <c r="AI62" s="544" t="s">
        <v>1674</v>
      </c>
      <c r="AJ62" s="544" t="s">
        <v>1674</v>
      </c>
      <c r="AK62" s="544" t="s">
        <v>1674</v>
      </c>
      <c r="AL62" s="544" t="s">
        <v>1674</v>
      </c>
      <c r="AM62" s="544" t="s">
        <v>4067</v>
      </c>
      <c r="AN62" s="544" t="s">
        <v>1674</v>
      </c>
      <c r="AP62" s="552">
        <f t="shared" si="1"/>
        <v>79.66</v>
      </c>
    </row>
    <row r="63" spans="1:42" outlineLevel="1" x14ac:dyDescent="0.25">
      <c r="A63" s="544" t="s">
        <v>1674</v>
      </c>
      <c r="B63" s="545">
        <v>80701</v>
      </c>
      <c r="C63" s="544" t="s">
        <v>4069</v>
      </c>
      <c r="D63" s="544" t="s">
        <v>4070</v>
      </c>
      <c r="E63" s="542" t="s">
        <v>3041</v>
      </c>
      <c r="F63" s="542" t="s">
        <v>3042</v>
      </c>
      <c r="G63" s="546"/>
      <c r="H63" s="546">
        <v>16600</v>
      </c>
      <c r="I63" s="546">
        <v>16600</v>
      </c>
      <c r="J63" s="542" t="s">
        <v>2584</v>
      </c>
      <c r="K63" s="547">
        <v>3425</v>
      </c>
      <c r="L63" s="542" t="s">
        <v>806</v>
      </c>
      <c r="M63" s="548"/>
      <c r="N63" s="549">
        <v>9</v>
      </c>
      <c r="O63" s="544" t="s">
        <v>1674</v>
      </c>
      <c r="P63" s="544" t="s">
        <v>1674</v>
      </c>
      <c r="Q63" s="544" t="s">
        <v>4071</v>
      </c>
      <c r="R63" s="544" t="s">
        <v>1674</v>
      </c>
      <c r="S63" s="544" t="s">
        <v>1674</v>
      </c>
      <c r="T63" s="550">
        <v>19</v>
      </c>
      <c r="U63" s="544" t="s">
        <v>2700</v>
      </c>
      <c r="V63" s="547">
        <v>1024</v>
      </c>
      <c r="W63" s="548"/>
      <c r="Y63" s="544" t="s">
        <v>1674</v>
      </c>
      <c r="AA63" s="544" t="s">
        <v>1674</v>
      </c>
      <c r="AB63" s="542">
        <v>3</v>
      </c>
      <c r="AE63" s="551"/>
      <c r="AF63" s="544" t="s">
        <v>1674</v>
      </c>
      <c r="AG63" s="544" t="s">
        <v>1674</v>
      </c>
      <c r="AH63" s="544" t="s">
        <v>1674</v>
      </c>
      <c r="AI63" s="544" t="s">
        <v>1674</v>
      </c>
      <c r="AJ63" s="544" t="s">
        <v>1674</v>
      </c>
      <c r="AK63" s="544" t="s">
        <v>1674</v>
      </c>
      <c r="AL63" s="544" t="s">
        <v>1674</v>
      </c>
      <c r="AM63" s="544" t="s">
        <v>4072</v>
      </c>
      <c r="AN63" s="544" t="s">
        <v>1674</v>
      </c>
      <c r="AP63" s="552">
        <f t="shared" si="1"/>
        <v>16600</v>
      </c>
    </row>
    <row r="64" spans="1:42" outlineLevel="1" x14ac:dyDescent="0.25">
      <c r="A64" s="544" t="s">
        <v>1674</v>
      </c>
      <c r="B64" s="545">
        <v>70100</v>
      </c>
      <c r="C64" s="544" t="s">
        <v>2864</v>
      </c>
      <c r="D64" s="544" t="s">
        <v>4073</v>
      </c>
      <c r="E64" s="542" t="s">
        <v>2883</v>
      </c>
      <c r="F64" s="542" t="s">
        <v>3057</v>
      </c>
      <c r="G64" s="546"/>
      <c r="H64" s="546">
        <v>113.5</v>
      </c>
      <c r="I64" s="546">
        <v>113.5</v>
      </c>
      <c r="J64" s="542" t="s">
        <v>2584</v>
      </c>
      <c r="K64" s="547">
        <v>4980</v>
      </c>
      <c r="L64" s="542" t="s">
        <v>806</v>
      </c>
      <c r="M64" s="548"/>
      <c r="N64" s="549">
        <v>10</v>
      </c>
      <c r="O64" s="544" t="s">
        <v>1674</v>
      </c>
      <c r="P64" s="544" t="s">
        <v>1674</v>
      </c>
      <c r="Q64" s="544" t="s">
        <v>4027</v>
      </c>
      <c r="R64" s="544" t="s">
        <v>1674</v>
      </c>
      <c r="S64" s="544" t="s">
        <v>1674</v>
      </c>
      <c r="T64" s="550">
        <v>19</v>
      </c>
      <c r="U64" s="544" t="s">
        <v>2700</v>
      </c>
      <c r="V64" s="547">
        <v>1032</v>
      </c>
      <c r="W64" s="548"/>
      <c r="Y64" s="544" t="s">
        <v>1674</v>
      </c>
      <c r="AA64" s="544" t="s">
        <v>1674</v>
      </c>
      <c r="AB64" s="542">
        <v>3</v>
      </c>
      <c r="AE64" s="551"/>
      <c r="AF64" s="544" t="s">
        <v>1674</v>
      </c>
      <c r="AG64" s="544" t="s">
        <v>1674</v>
      </c>
      <c r="AH64" s="544" t="s">
        <v>1674</v>
      </c>
      <c r="AI64" s="544" t="s">
        <v>1674</v>
      </c>
      <c r="AJ64" s="544" t="s">
        <v>1674</v>
      </c>
      <c r="AK64" s="544" t="s">
        <v>1674</v>
      </c>
      <c r="AL64" s="544" t="s">
        <v>1674</v>
      </c>
      <c r="AM64" s="544" t="s">
        <v>2864</v>
      </c>
      <c r="AN64" s="544" t="s">
        <v>1674</v>
      </c>
      <c r="AP64" s="552">
        <f t="shared" si="1"/>
        <v>113.5</v>
      </c>
    </row>
    <row r="65" spans="1:42" outlineLevel="1" x14ac:dyDescent="0.25">
      <c r="A65" s="544" t="s">
        <v>1674</v>
      </c>
      <c r="B65" s="545">
        <v>0</v>
      </c>
      <c r="C65" s="544" t="s">
        <v>1674</v>
      </c>
      <c r="D65" s="544" t="s">
        <v>4074</v>
      </c>
      <c r="E65" s="542" t="s">
        <v>2883</v>
      </c>
      <c r="F65" s="542" t="s">
        <v>3057</v>
      </c>
      <c r="G65" s="546"/>
      <c r="H65" s="546">
        <v>47.24</v>
      </c>
      <c r="I65" s="546">
        <v>47.24</v>
      </c>
      <c r="J65" s="542" t="s">
        <v>2584</v>
      </c>
      <c r="K65" s="547">
        <v>4980</v>
      </c>
      <c r="L65" s="542" t="s">
        <v>806</v>
      </c>
      <c r="M65" s="548"/>
      <c r="N65" s="549">
        <v>10</v>
      </c>
      <c r="O65" s="544" t="s">
        <v>1674</v>
      </c>
      <c r="P65" s="544" t="s">
        <v>1674</v>
      </c>
      <c r="Q65" s="544" t="s">
        <v>4027</v>
      </c>
      <c r="R65" s="544" t="s">
        <v>1674</v>
      </c>
      <c r="S65" s="544" t="s">
        <v>1674</v>
      </c>
      <c r="T65" s="550">
        <v>19</v>
      </c>
      <c r="U65" s="544" t="s">
        <v>2700</v>
      </c>
      <c r="V65" s="547">
        <v>1033</v>
      </c>
      <c r="W65" s="548"/>
      <c r="Y65" s="544" t="s">
        <v>1674</v>
      </c>
      <c r="AA65" s="544" t="s">
        <v>1674</v>
      </c>
      <c r="AB65" s="542">
        <v>3</v>
      </c>
      <c r="AE65" s="551"/>
      <c r="AF65" s="544" t="s">
        <v>1674</v>
      </c>
      <c r="AG65" s="544" t="s">
        <v>1674</v>
      </c>
      <c r="AH65" s="544" t="s">
        <v>1674</v>
      </c>
      <c r="AI65" s="544" t="s">
        <v>1674</v>
      </c>
      <c r="AJ65" s="544" t="s">
        <v>1674</v>
      </c>
      <c r="AK65" s="544" t="s">
        <v>1674</v>
      </c>
      <c r="AL65" s="544" t="s">
        <v>1674</v>
      </c>
      <c r="AM65" s="544" t="s">
        <v>1674</v>
      </c>
      <c r="AN65" s="544" t="s">
        <v>1674</v>
      </c>
      <c r="AP65" s="552">
        <f t="shared" si="1"/>
        <v>47.24</v>
      </c>
    </row>
    <row r="66" spans="1:42" outlineLevel="1" x14ac:dyDescent="0.25">
      <c r="A66" s="544" t="s">
        <v>1674</v>
      </c>
      <c r="B66" s="545">
        <v>70200</v>
      </c>
      <c r="C66" s="544" t="s">
        <v>2774</v>
      </c>
      <c r="D66" s="544" t="s">
        <v>4075</v>
      </c>
      <c r="E66" s="542" t="s">
        <v>2883</v>
      </c>
      <c r="F66" s="542" t="s">
        <v>3057</v>
      </c>
      <c r="G66" s="546"/>
      <c r="H66" s="546">
        <v>204.68</v>
      </c>
      <c r="I66" s="546">
        <v>204.68</v>
      </c>
      <c r="J66" s="542" t="s">
        <v>2584</v>
      </c>
      <c r="K66" s="547">
        <v>3400</v>
      </c>
      <c r="L66" s="542" t="s">
        <v>806</v>
      </c>
      <c r="M66" s="548"/>
      <c r="N66" s="549">
        <v>10</v>
      </c>
      <c r="O66" s="544" t="s">
        <v>1674</v>
      </c>
      <c r="P66" s="544" t="s">
        <v>1674</v>
      </c>
      <c r="Q66" s="544" t="s">
        <v>4076</v>
      </c>
      <c r="R66" s="544" t="s">
        <v>1674</v>
      </c>
      <c r="S66" s="544" t="s">
        <v>1674</v>
      </c>
      <c r="T66" s="550">
        <v>19</v>
      </c>
      <c r="U66" s="544" t="s">
        <v>2700</v>
      </c>
      <c r="V66" s="547">
        <v>1027</v>
      </c>
      <c r="W66" s="548"/>
      <c r="Y66" s="544" t="s">
        <v>1674</v>
      </c>
      <c r="AA66" s="544" t="s">
        <v>1674</v>
      </c>
      <c r="AB66" s="542">
        <v>3</v>
      </c>
      <c r="AE66" s="551"/>
      <c r="AF66" s="544" t="s">
        <v>1674</v>
      </c>
      <c r="AG66" s="544" t="s">
        <v>1674</v>
      </c>
      <c r="AH66" s="544" t="s">
        <v>1674</v>
      </c>
      <c r="AI66" s="544" t="s">
        <v>1674</v>
      </c>
      <c r="AJ66" s="544" t="s">
        <v>1674</v>
      </c>
      <c r="AK66" s="544" t="s">
        <v>1674</v>
      </c>
      <c r="AL66" s="544" t="s">
        <v>1674</v>
      </c>
      <c r="AM66" s="544" t="s">
        <v>2774</v>
      </c>
      <c r="AN66" s="544" t="s">
        <v>1674</v>
      </c>
      <c r="AP66" s="552">
        <f t="shared" si="1"/>
        <v>204.68</v>
      </c>
    </row>
    <row r="67" spans="1:42" outlineLevel="1" x14ac:dyDescent="0.25">
      <c r="A67" s="544" t="s">
        <v>1674</v>
      </c>
      <c r="B67" s="545">
        <v>0</v>
      </c>
      <c r="C67" s="544" t="s">
        <v>1674</v>
      </c>
      <c r="D67" s="544" t="s">
        <v>4077</v>
      </c>
      <c r="E67" s="542" t="s">
        <v>2883</v>
      </c>
      <c r="F67" s="542" t="s">
        <v>3057</v>
      </c>
      <c r="G67" s="546"/>
      <c r="H67" s="546">
        <v>1642.2</v>
      </c>
      <c r="I67" s="546">
        <v>1642.2</v>
      </c>
      <c r="J67" s="542" t="s">
        <v>2584</v>
      </c>
      <c r="K67" s="547">
        <v>3400</v>
      </c>
      <c r="L67" s="542" t="s">
        <v>806</v>
      </c>
      <c r="M67" s="548"/>
      <c r="N67" s="549">
        <v>10</v>
      </c>
      <c r="O67" s="544" t="s">
        <v>1674</v>
      </c>
      <c r="P67" s="544" t="s">
        <v>1674</v>
      </c>
      <c r="Q67" s="544" t="s">
        <v>4076</v>
      </c>
      <c r="R67" s="544" t="s">
        <v>1674</v>
      </c>
      <c r="S67" s="544" t="s">
        <v>1674</v>
      </c>
      <c r="T67" s="550">
        <v>19</v>
      </c>
      <c r="U67" s="544" t="s">
        <v>2700</v>
      </c>
      <c r="V67" s="547">
        <v>1028</v>
      </c>
      <c r="W67" s="548"/>
      <c r="Y67" s="544" t="s">
        <v>1674</v>
      </c>
      <c r="AA67" s="544" t="s">
        <v>1674</v>
      </c>
      <c r="AB67" s="542">
        <v>3</v>
      </c>
      <c r="AE67" s="551"/>
      <c r="AF67" s="544" t="s">
        <v>1674</v>
      </c>
      <c r="AG67" s="544" t="s">
        <v>1674</v>
      </c>
      <c r="AH67" s="544" t="s">
        <v>1674</v>
      </c>
      <c r="AI67" s="544" t="s">
        <v>1674</v>
      </c>
      <c r="AJ67" s="544" t="s">
        <v>1674</v>
      </c>
      <c r="AK67" s="544" t="s">
        <v>1674</v>
      </c>
      <c r="AL67" s="544" t="s">
        <v>1674</v>
      </c>
      <c r="AM67" s="544" t="s">
        <v>1674</v>
      </c>
      <c r="AN67" s="544" t="s">
        <v>1674</v>
      </c>
      <c r="AP67" s="552">
        <f t="shared" ref="AP67:AP98" si="2">IF(J67="H",+I67,-I67)</f>
        <v>1642.2</v>
      </c>
    </row>
    <row r="68" spans="1:42" outlineLevel="1" x14ac:dyDescent="0.25">
      <c r="A68" s="544" t="s">
        <v>1674</v>
      </c>
      <c r="B68" s="545">
        <v>71313</v>
      </c>
      <c r="C68" s="544" t="s">
        <v>4078</v>
      </c>
      <c r="D68" s="544" t="s">
        <v>4079</v>
      </c>
      <c r="E68" s="542" t="s">
        <v>2883</v>
      </c>
      <c r="G68" s="546">
        <v>325.83</v>
      </c>
      <c r="H68" s="546"/>
      <c r="I68" s="546">
        <v>325.83</v>
      </c>
      <c r="J68" s="542" t="s">
        <v>2701</v>
      </c>
      <c r="K68" s="547">
        <v>3400</v>
      </c>
      <c r="L68" s="542" t="s">
        <v>806</v>
      </c>
      <c r="M68" s="548"/>
      <c r="N68" s="549">
        <v>0</v>
      </c>
      <c r="O68" s="544" t="s">
        <v>1674</v>
      </c>
      <c r="P68" s="544" t="s">
        <v>1674</v>
      </c>
      <c r="Q68" s="544" t="s">
        <v>4078</v>
      </c>
      <c r="R68" s="544" t="s">
        <v>1674</v>
      </c>
      <c r="S68" s="544" t="s">
        <v>1674</v>
      </c>
      <c r="T68" s="550">
        <v>19</v>
      </c>
      <c r="U68" s="544" t="s">
        <v>2700</v>
      </c>
      <c r="V68" s="547">
        <v>1030</v>
      </c>
      <c r="W68" s="548"/>
      <c r="Y68" s="544" t="s">
        <v>1674</v>
      </c>
      <c r="AA68" s="544" t="s">
        <v>1674</v>
      </c>
      <c r="AE68" s="551"/>
      <c r="AF68" s="544" t="s">
        <v>4080</v>
      </c>
      <c r="AG68" s="544" t="s">
        <v>4081</v>
      </c>
      <c r="AH68" s="544" t="s">
        <v>4082</v>
      </c>
      <c r="AI68" s="544" t="s">
        <v>4083</v>
      </c>
      <c r="AJ68" s="544" t="s">
        <v>1674</v>
      </c>
      <c r="AK68" s="544" t="s">
        <v>1674</v>
      </c>
      <c r="AL68" s="544" t="s">
        <v>1674</v>
      </c>
      <c r="AM68" s="544" t="s">
        <v>4078</v>
      </c>
      <c r="AN68" s="544" t="s">
        <v>1674</v>
      </c>
      <c r="AP68" s="552">
        <f t="shared" si="2"/>
        <v>-325.83</v>
      </c>
    </row>
    <row r="69" spans="1:42" outlineLevel="1" x14ac:dyDescent="0.25">
      <c r="A69" s="544" t="s">
        <v>1674</v>
      </c>
      <c r="B69" s="545">
        <v>80107</v>
      </c>
      <c r="C69" s="544" t="s">
        <v>4020</v>
      </c>
      <c r="D69" s="544" t="s">
        <v>4084</v>
      </c>
      <c r="E69" s="542" t="s">
        <v>2883</v>
      </c>
      <c r="F69" s="542" t="s">
        <v>3057</v>
      </c>
      <c r="G69" s="546"/>
      <c r="H69" s="546">
        <v>18.87</v>
      </c>
      <c r="I69" s="546">
        <v>18.87</v>
      </c>
      <c r="J69" s="542" t="s">
        <v>2584</v>
      </c>
      <c r="K69" s="547">
        <v>4980</v>
      </c>
      <c r="L69" s="542" t="s">
        <v>806</v>
      </c>
      <c r="M69" s="548"/>
      <c r="N69" s="549">
        <v>10</v>
      </c>
      <c r="O69" s="544" t="s">
        <v>1674</v>
      </c>
      <c r="P69" s="544" t="s">
        <v>1674</v>
      </c>
      <c r="Q69" s="544" t="s">
        <v>4020</v>
      </c>
      <c r="R69" s="544" t="s">
        <v>1674</v>
      </c>
      <c r="S69" s="544" t="s">
        <v>1674</v>
      </c>
      <c r="T69" s="550"/>
      <c r="U69" s="544" t="s">
        <v>2700</v>
      </c>
      <c r="V69" s="547">
        <v>1031</v>
      </c>
      <c r="W69" s="548"/>
      <c r="Y69" s="544" t="s">
        <v>1674</v>
      </c>
      <c r="AA69" s="544" t="s">
        <v>1674</v>
      </c>
      <c r="AB69" s="542">
        <v>3</v>
      </c>
      <c r="AE69" s="551"/>
      <c r="AF69" s="544" t="s">
        <v>1674</v>
      </c>
      <c r="AG69" s="544" t="s">
        <v>1674</v>
      </c>
      <c r="AH69" s="544" t="s">
        <v>1674</v>
      </c>
      <c r="AI69" s="544" t="s">
        <v>1674</v>
      </c>
      <c r="AJ69" s="544" t="s">
        <v>1674</v>
      </c>
      <c r="AK69" s="544" t="s">
        <v>1674</v>
      </c>
      <c r="AL69" s="544" t="s">
        <v>1674</v>
      </c>
      <c r="AM69" s="544" t="s">
        <v>4023</v>
      </c>
      <c r="AN69" s="544" t="s">
        <v>1674</v>
      </c>
      <c r="AP69" s="552">
        <f t="shared" si="2"/>
        <v>18.87</v>
      </c>
    </row>
    <row r="70" spans="1:42" outlineLevel="1" x14ac:dyDescent="0.25">
      <c r="A70" s="544" t="s">
        <v>1674</v>
      </c>
      <c r="B70" s="545">
        <v>71300</v>
      </c>
      <c r="C70" s="544" t="s">
        <v>3550</v>
      </c>
      <c r="D70" s="544" t="s">
        <v>4085</v>
      </c>
      <c r="E70" s="542" t="s">
        <v>2887</v>
      </c>
      <c r="F70" s="542" t="s">
        <v>3060</v>
      </c>
      <c r="G70" s="546"/>
      <c r="H70" s="546">
        <v>10174.5</v>
      </c>
      <c r="I70" s="546"/>
      <c r="J70" s="542" t="s">
        <v>806</v>
      </c>
      <c r="K70" s="547">
        <v>3400</v>
      </c>
      <c r="L70" s="542" t="s">
        <v>806</v>
      </c>
      <c r="M70" s="548"/>
      <c r="N70" s="549">
        <v>11</v>
      </c>
      <c r="O70" s="544" t="s">
        <v>1674</v>
      </c>
      <c r="P70" s="544" t="s">
        <v>1674</v>
      </c>
      <c r="Q70" s="544" t="s">
        <v>4054</v>
      </c>
      <c r="R70" s="544" t="s">
        <v>1674</v>
      </c>
      <c r="S70" s="544" t="s">
        <v>1674</v>
      </c>
      <c r="T70" s="550">
        <v>19</v>
      </c>
      <c r="U70" s="544" t="s">
        <v>2700</v>
      </c>
      <c r="V70" s="547">
        <v>1137</v>
      </c>
      <c r="W70" s="548"/>
      <c r="Y70" s="544" t="s">
        <v>1674</v>
      </c>
      <c r="AA70" s="544" t="s">
        <v>1674</v>
      </c>
      <c r="AB70" s="542">
        <v>3</v>
      </c>
      <c r="AE70" s="551"/>
      <c r="AF70" s="544" t="s">
        <v>1674</v>
      </c>
      <c r="AG70" s="544" t="s">
        <v>1674</v>
      </c>
      <c r="AH70" s="544" t="s">
        <v>1674</v>
      </c>
      <c r="AI70" s="544" t="s">
        <v>1674</v>
      </c>
      <c r="AJ70" s="544" t="s">
        <v>1674</v>
      </c>
      <c r="AK70" s="544" t="s">
        <v>1674</v>
      </c>
      <c r="AL70" s="544" t="s">
        <v>1674</v>
      </c>
      <c r="AM70" s="544" t="s">
        <v>3550</v>
      </c>
      <c r="AN70" s="544" t="s">
        <v>1674</v>
      </c>
      <c r="AP70" s="552">
        <f t="shared" si="2"/>
        <v>0</v>
      </c>
    </row>
    <row r="71" spans="1:42" outlineLevel="1" x14ac:dyDescent="0.25">
      <c r="A71" s="544" t="s">
        <v>1674</v>
      </c>
      <c r="B71" s="545">
        <v>0</v>
      </c>
      <c r="C71" s="544" t="s">
        <v>1674</v>
      </c>
      <c r="D71" s="544" t="s">
        <v>4085</v>
      </c>
      <c r="E71" s="542" t="s">
        <v>2887</v>
      </c>
      <c r="F71" s="542" t="s">
        <v>3060</v>
      </c>
      <c r="G71" s="546"/>
      <c r="H71" s="546">
        <v>16.420000000000002</v>
      </c>
      <c r="I71" s="546">
        <v>10190.92</v>
      </c>
      <c r="J71" s="542" t="s">
        <v>2584</v>
      </c>
      <c r="K71" s="547">
        <v>3800</v>
      </c>
      <c r="L71" s="542" t="s">
        <v>806</v>
      </c>
      <c r="M71" s="548"/>
      <c r="N71" s="549">
        <v>11</v>
      </c>
      <c r="O71" s="544" t="s">
        <v>1674</v>
      </c>
      <c r="P71" s="544" t="s">
        <v>1674</v>
      </c>
      <c r="Q71" s="544" t="s">
        <v>4055</v>
      </c>
      <c r="R71" s="544" t="s">
        <v>1674</v>
      </c>
      <c r="S71" s="544" t="s">
        <v>1674</v>
      </c>
      <c r="T71" s="550">
        <v>19</v>
      </c>
      <c r="U71" s="544" t="s">
        <v>2700</v>
      </c>
      <c r="V71" s="547">
        <v>1138</v>
      </c>
      <c r="W71" s="548"/>
      <c r="Y71" s="544" t="s">
        <v>1674</v>
      </c>
      <c r="AA71" s="544" t="s">
        <v>1674</v>
      </c>
      <c r="AB71" s="542">
        <v>3</v>
      </c>
      <c r="AE71" s="551"/>
      <c r="AF71" s="544" t="s">
        <v>1674</v>
      </c>
      <c r="AG71" s="544" t="s">
        <v>1674</v>
      </c>
      <c r="AH71" s="544" t="s">
        <v>1674</v>
      </c>
      <c r="AI71" s="544" t="s">
        <v>1674</v>
      </c>
      <c r="AJ71" s="544" t="s">
        <v>1674</v>
      </c>
      <c r="AK71" s="544" t="s">
        <v>1674</v>
      </c>
      <c r="AL71" s="544" t="s">
        <v>1674</v>
      </c>
      <c r="AM71" s="544" t="s">
        <v>1674</v>
      </c>
      <c r="AN71" s="544" t="s">
        <v>1674</v>
      </c>
      <c r="AP71" s="552">
        <f t="shared" si="2"/>
        <v>10190.92</v>
      </c>
    </row>
    <row r="72" spans="1:42" outlineLevel="1" x14ac:dyDescent="0.25">
      <c r="A72" s="544" t="s">
        <v>1674</v>
      </c>
      <c r="B72" s="545">
        <v>70100</v>
      </c>
      <c r="C72" s="544" t="s">
        <v>2864</v>
      </c>
      <c r="D72" s="544" t="s">
        <v>4086</v>
      </c>
      <c r="E72" s="542" t="s">
        <v>2902</v>
      </c>
      <c r="F72" s="542" t="s">
        <v>3000</v>
      </c>
      <c r="G72" s="546"/>
      <c r="H72" s="546">
        <v>4.51</v>
      </c>
      <c r="I72" s="546">
        <v>4.51</v>
      </c>
      <c r="J72" s="542" t="s">
        <v>2584</v>
      </c>
      <c r="K72" s="547">
        <v>4980</v>
      </c>
      <c r="L72" s="542" t="s">
        <v>806</v>
      </c>
      <c r="M72" s="548"/>
      <c r="N72" s="549">
        <v>12</v>
      </c>
      <c r="O72" s="544" t="s">
        <v>1674</v>
      </c>
      <c r="P72" s="544" t="s">
        <v>1674</v>
      </c>
      <c r="Q72" s="544" t="s">
        <v>4027</v>
      </c>
      <c r="R72" s="544" t="s">
        <v>1674</v>
      </c>
      <c r="S72" s="544" t="s">
        <v>1674</v>
      </c>
      <c r="T72" s="550">
        <v>19</v>
      </c>
      <c r="U72" s="544" t="s">
        <v>2700</v>
      </c>
      <c r="V72" s="547">
        <v>1152</v>
      </c>
      <c r="W72" s="548"/>
      <c r="Y72" s="544" t="s">
        <v>1674</v>
      </c>
      <c r="AA72" s="544" t="s">
        <v>1674</v>
      </c>
      <c r="AB72" s="542">
        <v>3</v>
      </c>
      <c r="AE72" s="551"/>
      <c r="AF72" s="544" t="s">
        <v>1674</v>
      </c>
      <c r="AG72" s="544" t="s">
        <v>1674</v>
      </c>
      <c r="AH72" s="544" t="s">
        <v>1674</v>
      </c>
      <c r="AI72" s="544" t="s">
        <v>1674</v>
      </c>
      <c r="AJ72" s="544" t="s">
        <v>1674</v>
      </c>
      <c r="AK72" s="544" t="s">
        <v>1674</v>
      </c>
      <c r="AL72" s="544" t="s">
        <v>1674</v>
      </c>
      <c r="AM72" s="544" t="s">
        <v>2864</v>
      </c>
      <c r="AN72" s="544" t="s">
        <v>1674</v>
      </c>
      <c r="AP72" s="552">
        <f t="shared" si="2"/>
        <v>4.51</v>
      </c>
    </row>
    <row r="73" spans="1:42" outlineLevel="1" x14ac:dyDescent="0.25">
      <c r="A73" s="544" t="s">
        <v>1674</v>
      </c>
      <c r="B73" s="545">
        <v>80601</v>
      </c>
      <c r="C73" s="544" t="s">
        <v>3987</v>
      </c>
      <c r="D73" s="544" t="s">
        <v>4087</v>
      </c>
      <c r="E73" s="542" t="s">
        <v>2902</v>
      </c>
      <c r="F73" s="542" t="s">
        <v>3389</v>
      </c>
      <c r="G73" s="546"/>
      <c r="H73" s="546">
        <v>2447</v>
      </c>
      <c r="I73" s="546"/>
      <c r="J73" s="542" t="s">
        <v>806</v>
      </c>
      <c r="K73" s="547">
        <v>3425</v>
      </c>
      <c r="L73" s="542" t="s">
        <v>806</v>
      </c>
      <c r="M73" s="548"/>
      <c r="N73" s="549">
        <v>72</v>
      </c>
      <c r="O73" s="544" t="s">
        <v>1674</v>
      </c>
      <c r="P73" s="544" t="s">
        <v>1674</v>
      </c>
      <c r="Q73" s="544" t="s">
        <v>2983</v>
      </c>
      <c r="R73" s="544" t="s">
        <v>1674</v>
      </c>
      <c r="S73" s="544" t="s">
        <v>1674</v>
      </c>
      <c r="T73" s="550">
        <v>19</v>
      </c>
      <c r="U73" s="544" t="s">
        <v>2700</v>
      </c>
      <c r="V73" s="547">
        <v>1153</v>
      </c>
      <c r="W73" s="548"/>
      <c r="Y73" s="544" t="s">
        <v>1674</v>
      </c>
      <c r="AA73" s="544" t="s">
        <v>1674</v>
      </c>
      <c r="AB73" s="542">
        <v>3</v>
      </c>
      <c r="AE73" s="551"/>
      <c r="AF73" s="544" t="s">
        <v>1674</v>
      </c>
      <c r="AG73" s="544" t="s">
        <v>1674</v>
      </c>
      <c r="AH73" s="544" t="s">
        <v>1674</v>
      </c>
      <c r="AI73" s="544" t="s">
        <v>1674</v>
      </c>
      <c r="AJ73" s="544" t="s">
        <v>1674</v>
      </c>
      <c r="AK73" s="544" t="s">
        <v>1674</v>
      </c>
      <c r="AL73" s="544" t="s">
        <v>1674</v>
      </c>
      <c r="AM73" s="544" t="s">
        <v>3989</v>
      </c>
      <c r="AN73" s="544" t="s">
        <v>1674</v>
      </c>
      <c r="AP73" s="552">
        <f t="shared" si="2"/>
        <v>0</v>
      </c>
    </row>
    <row r="74" spans="1:42" outlineLevel="1" x14ac:dyDescent="0.25">
      <c r="A74" s="544" t="s">
        <v>1674</v>
      </c>
      <c r="B74" s="545">
        <v>0</v>
      </c>
      <c r="C74" s="544" t="s">
        <v>1674</v>
      </c>
      <c r="D74" s="544" t="s">
        <v>4087</v>
      </c>
      <c r="E74" s="542" t="s">
        <v>2902</v>
      </c>
      <c r="F74" s="542" t="s">
        <v>3389</v>
      </c>
      <c r="G74" s="546"/>
      <c r="H74" s="546">
        <v>21268.799999999999</v>
      </c>
      <c r="I74" s="546"/>
      <c r="J74" s="542" t="s">
        <v>806</v>
      </c>
      <c r="K74" s="547">
        <v>3425</v>
      </c>
      <c r="L74" s="542" t="s">
        <v>806</v>
      </c>
      <c r="M74" s="548"/>
      <c r="N74" s="549">
        <v>72</v>
      </c>
      <c r="O74" s="544" t="s">
        <v>1674</v>
      </c>
      <c r="P74" s="544" t="s">
        <v>1674</v>
      </c>
      <c r="Q74" s="544" t="s">
        <v>2983</v>
      </c>
      <c r="R74" s="544" t="s">
        <v>2898</v>
      </c>
      <c r="S74" s="544" t="s">
        <v>1674</v>
      </c>
      <c r="T74" s="550">
        <v>19</v>
      </c>
      <c r="U74" s="544" t="s">
        <v>2700</v>
      </c>
      <c r="V74" s="547">
        <v>1154</v>
      </c>
      <c r="W74" s="548"/>
      <c r="Y74" s="544" t="s">
        <v>1674</v>
      </c>
      <c r="AA74" s="544" t="s">
        <v>1674</v>
      </c>
      <c r="AB74" s="542">
        <v>3</v>
      </c>
      <c r="AE74" s="551"/>
      <c r="AF74" s="544" t="s">
        <v>1674</v>
      </c>
      <c r="AG74" s="544" t="s">
        <v>1674</v>
      </c>
      <c r="AH74" s="544" t="s">
        <v>1674</v>
      </c>
      <c r="AI74" s="544" t="s">
        <v>1674</v>
      </c>
      <c r="AJ74" s="544" t="s">
        <v>1674</v>
      </c>
      <c r="AK74" s="544" t="s">
        <v>1674</v>
      </c>
      <c r="AL74" s="544" t="s">
        <v>1674</v>
      </c>
      <c r="AM74" s="544" t="s">
        <v>1674</v>
      </c>
      <c r="AN74" s="544" t="s">
        <v>1674</v>
      </c>
      <c r="AP74" s="552">
        <f t="shared" si="2"/>
        <v>0</v>
      </c>
    </row>
    <row r="75" spans="1:42" outlineLevel="1" x14ac:dyDescent="0.25">
      <c r="A75" s="544" t="s">
        <v>1674</v>
      </c>
      <c r="B75" s="545">
        <v>0</v>
      </c>
      <c r="C75" s="544" t="s">
        <v>1674</v>
      </c>
      <c r="D75" s="544" t="s">
        <v>4087</v>
      </c>
      <c r="E75" s="542" t="s">
        <v>2902</v>
      </c>
      <c r="F75" s="542" t="s">
        <v>3389</v>
      </c>
      <c r="G75" s="546"/>
      <c r="H75" s="546">
        <v>7089.6</v>
      </c>
      <c r="I75" s="546"/>
      <c r="J75" s="542" t="s">
        <v>806</v>
      </c>
      <c r="K75" s="547">
        <v>3425</v>
      </c>
      <c r="L75" s="542" t="s">
        <v>806</v>
      </c>
      <c r="M75" s="548"/>
      <c r="N75" s="549">
        <v>72</v>
      </c>
      <c r="O75" s="544" t="s">
        <v>1674</v>
      </c>
      <c r="P75" s="544" t="s">
        <v>1674</v>
      </c>
      <c r="Q75" s="544" t="s">
        <v>2983</v>
      </c>
      <c r="R75" s="544" t="s">
        <v>1674</v>
      </c>
      <c r="S75" s="544" t="s">
        <v>1674</v>
      </c>
      <c r="T75" s="550">
        <v>19</v>
      </c>
      <c r="U75" s="544" t="s">
        <v>2700</v>
      </c>
      <c r="V75" s="547">
        <v>1155</v>
      </c>
      <c r="W75" s="548"/>
      <c r="Y75" s="544" t="s">
        <v>1674</v>
      </c>
      <c r="AA75" s="544" t="s">
        <v>1674</v>
      </c>
      <c r="AB75" s="542">
        <v>3</v>
      </c>
      <c r="AE75" s="551"/>
      <c r="AF75" s="544" t="s">
        <v>1674</v>
      </c>
      <c r="AG75" s="544" t="s">
        <v>1674</v>
      </c>
      <c r="AH75" s="544" t="s">
        <v>1674</v>
      </c>
      <c r="AI75" s="544" t="s">
        <v>1674</v>
      </c>
      <c r="AJ75" s="544" t="s">
        <v>1674</v>
      </c>
      <c r="AK75" s="544" t="s">
        <v>1674</v>
      </c>
      <c r="AL75" s="544" t="s">
        <v>1674</v>
      </c>
      <c r="AM75" s="544" t="s">
        <v>1674</v>
      </c>
      <c r="AN75" s="544" t="s">
        <v>1674</v>
      </c>
      <c r="AP75" s="552">
        <f t="shared" si="2"/>
        <v>0</v>
      </c>
    </row>
    <row r="76" spans="1:42" outlineLevel="1" x14ac:dyDescent="0.25">
      <c r="A76" s="544" t="s">
        <v>1674</v>
      </c>
      <c r="B76" s="545">
        <v>0</v>
      </c>
      <c r="C76" s="544" t="s">
        <v>1674</v>
      </c>
      <c r="D76" s="544" t="s">
        <v>4087</v>
      </c>
      <c r="E76" s="542" t="s">
        <v>2902</v>
      </c>
      <c r="F76" s="542" t="s">
        <v>3389</v>
      </c>
      <c r="G76" s="546"/>
      <c r="H76" s="546">
        <v>15820.65</v>
      </c>
      <c r="I76" s="546">
        <v>46626.05</v>
      </c>
      <c r="J76" s="542" t="s">
        <v>2584</v>
      </c>
      <c r="K76" s="547">
        <v>3425</v>
      </c>
      <c r="L76" s="542" t="s">
        <v>806</v>
      </c>
      <c r="M76" s="548"/>
      <c r="N76" s="549">
        <v>72</v>
      </c>
      <c r="O76" s="544" t="s">
        <v>1674</v>
      </c>
      <c r="P76" s="544" t="s">
        <v>1674</v>
      </c>
      <c r="Q76" s="544" t="s">
        <v>2983</v>
      </c>
      <c r="R76" s="544" t="s">
        <v>1674</v>
      </c>
      <c r="S76" s="544" t="s">
        <v>1674</v>
      </c>
      <c r="T76" s="550">
        <v>19</v>
      </c>
      <c r="U76" s="544" t="s">
        <v>2700</v>
      </c>
      <c r="V76" s="547">
        <v>1156</v>
      </c>
      <c r="W76" s="548"/>
      <c r="Y76" s="544" t="s">
        <v>1674</v>
      </c>
      <c r="AA76" s="544" t="s">
        <v>1674</v>
      </c>
      <c r="AB76" s="542">
        <v>3</v>
      </c>
      <c r="AE76" s="551"/>
      <c r="AF76" s="544" t="s">
        <v>1674</v>
      </c>
      <c r="AG76" s="544" t="s">
        <v>1674</v>
      </c>
      <c r="AH76" s="544" t="s">
        <v>1674</v>
      </c>
      <c r="AI76" s="544" t="s">
        <v>1674</v>
      </c>
      <c r="AJ76" s="544" t="s">
        <v>1674</v>
      </c>
      <c r="AK76" s="544" t="s">
        <v>1674</v>
      </c>
      <c r="AL76" s="544" t="s">
        <v>1674</v>
      </c>
      <c r="AM76" s="544" t="s">
        <v>1674</v>
      </c>
      <c r="AN76" s="544" t="s">
        <v>1674</v>
      </c>
      <c r="AP76" s="552">
        <f t="shared" si="2"/>
        <v>46626.05</v>
      </c>
    </row>
    <row r="77" spans="1:42" outlineLevel="1" x14ac:dyDescent="0.25">
      <c r="A77" s="544" t="s">
        <v>1674</v>
      </c>
      <c r="B77" s="545">
        <v>81303</v>
      </c>
      <c r="C77" s="544" t="s">
        <v>3971</v>
      </c>
      <c r="D77" s="544" t="s">
        <v>4088</v>
      </c>
      <c r="E77" s="542" t="s">
        <v>2902</v>
      </c>
      <c r="F77" s="542" t="s">
        <v>4089</v>
      </c>
      <c r="G77" s="546"/>
      <c r="H77" s="546">
        <v>26878.400000000001</v>
      </c>
      <c r="I77" s="546">
        <v>26878.400000000001</v>
      </c>
      <c r="J77" s="542" t="s">
        <v>2584</v>
      </c>
      <c r="K77" s="547">
        <v>3425</v>
      </c>
      <c r="L77" s="542" t="s">
        <v>806</v>
      </c>
      <c r="M77" s="548"/>
      <c r="N77" s="549">
        <v>42</v>
      </c>
      <c r="O77" s="544" t="s">
        <v>1674</v>
      </c>
      <c r="P77" s="544" t="s">
        <v>1674</v>
      </c>
      <c r="Q77" s="544" t="s">
        <v>4090</v>
      </c>
      <c r="R77" s="544" t="s">
        <v>1674</v>
      </c>
      <c r="S77" s="544" t="s">
        <v>1674</v>
      </c>
      <c r="T77" s="550">
        <v>19</v>
      </c>
      <c r="U77" s="544" t="s">
        <v>3975</v>
      </c>
      <c r="V77" s="547">
        <v>26</v>
      </c>
      <c r="W77" s="548"/>
      <c r="Y77" s="544" t="s">
        <v>1674</v>
      </c>
      <c r="AA77" s="544" t="s">
        <v>1674</v>
      </c>
      <c r="AB77" s="542">
        <v>3</v>
      </c>
      <c r="AE77" s="551"/>
      <c r="AF77" s="544" t="s">
        <v>1674</v>
      </c>
      <c r="AG77" s="544" t="s">
        <v>1674</v>
      </c>
      <c r="AH77" s="544" t="s">
        <v>1674</v>
      </c>
      <c r="AI77" s="544" t="s">
        <v>1674</v>
      </c>
      <c r="AJ77" s="544" t="s">
        <v>1674</v>
      </c>
      <c r="AK77" s="544" t="s">
        <v>1674</v>
      </c>
      <c r="AL77" s="544" t="s">
        <v>1674</v>
      </c>
      <c r="AM77" s="544" t="s">
        <v>3976</v>
      </c>
      <c r="AN77" s="544" t="s">
        <v>1674</v>
      </c>
      <c r="AP77" s="552">
        <f t="shared" si="2"/>
        <v>26878.400000000001</v>
      </c>
    </row>
    <row r="78" spans="1:42" outlineLevel="1" x14ac:dyDescent="0.25">
      <c r="A78" s="544" t="s">
        <v>1674</v>
      </c>
      <c r="B78" s="545">
        <v>0</v>
      </c>
      <c r="C78" s="544" t="s">
        <v>1674</v>
      </c>
      <c r="D78" s="544" t="s">
        <v>4091</v>
      </c>
      <c r="E78" s="542" t="s">
        <v>2902</v>
      </c>
      <c r="F78" s="542" t="s">
        <v>4089</v>
      </c>
      <c r="G78" s="546"/>
      <c r="H78" s="546">
        <v>335826.4</v>
      </c>
      <c r="I78" s="546"/>
      <c r="J78" s="542" t="s">
        <v>806</v>
      </c>
      <c r="K78" s="547">
        <v>3425</v>
      </c>
      <c r="L78" s="542" t="s">
        <v>806</v>
      </c>
      <c r="M78" s="548"/>
      <c r="N78" s="549">
        <v>42</v>
      </c>
      <c r="O78" s="544" t="s">
        <v>1674</v>
      </c>
      <c r="P78" s="544" t="s">
        <v>1674</v>
      </c>
      <c r="Q78" s="544" t="s">
        <v>4012</v>
      </c>
      <c r="R78" s="544" t="s">
        <v>1674</v>
      </c>
      <c r="S78" s="544" t="s">
        <v>1674</v>
      </c>
      <c r="T78" s="550">
        <v>19</v>
      </c>
      <c r="U78" s="544" t="s">
        <v>2700</v>
      </c>
      <c r="V78" s="547">
        <v>1158</v>
      </c>
      <c r="W78" s="548"/>
      <c r="Y78" s="544" t="s">
        <v>1674</v>
      </c>
      <c r="AA78" s="544" t="s">
        <v>1674</v>
      </c>
      <c r="AB78" s="542">
        <v>3</v>
      </c>
      <c r="AE78" s="551"/>
      <c r="AF78" s="544" t="s">
        <v>1674</v>
      </c>
      <c r="AG78" s="544" t="s">
        <v>1674</v>
      </c>
      <c r="AH78" s="544" t="s">
        <v>1674</v>
      </c>
      <c r="AI78" s="544" t="s">
        <v>1674</v>
      </c>
      <c r="AJ78" s="544" t="s">
        <v>1674</v>
      </c>
      <c r="AK78" s="544" t="s">
        <v>1674</v>
      </c>
      <c r="AL78" s="544" t="s">
        <v>1674</v>
      </c>
      <c r="AM78" s="544" t="s">
        <v>1674</v>
      </c>
      <c r="AN78" s="544" t="s">
        <v>1674</v>
      </c>
      <c r="AP78" s="552">
        <f t="shared" si="2"/>
        <v>0</v>
      </c>
    </row>
    <row r="79" spans="1:42" outlineLevel="1" x14ac:dyDescent="0.25">
      <c r="A79" s="544" t="s">
        <v>1674</v>
      </c>
      <c r="B79" s="545">
        <v>0</v>
      </c>
      <c r="C79" s="544" t="s">
        <v>1674</v>
      </c>
      <c r="D79" s="544" t="s">
        <v>4091</v>
      </c>
      <c r="E79" s="542" t="s">
        <v>2902</v>
      </c>
      <c r="F79" s="542" t="s">
        <v>4089</v>
      </c>
      <c r="G79" s="546"/>
      <c r="H79" s="546">
        <v>2225</v>
      </c>
      <c r="I79" s="546">
        <v>338051.4</v>
      </c>
      <c r="J79" s="542" t="s">
        <v>2584</v>
      </c>
      <c r="K79" s="547">
        <v>3800</v>
      </c>
      <c r="L79" s="542" t="s">
        <v>806</v>
      </c>
      <c r="M79" s="548"/>
      <c r="N79" s="549">
        <v>42</v>
      </c>
      <c r="O79" s="544" t="s">
        <v>1674</v>
      </c>
      <c r="P79" s="544" t="s">
        <v>1674</v>
      </c>
      <c r="Q79" s="544" t="s">
        <v>4043</v>
      </c>
      <c r="R79" s="544" t="s">
        <v>1674</v>
      </c>
      <c r="S79" s="544" t="s">
        <v>1674</v>
      </c>
      <c r="T79" s="550">
        <v>19</v>
      </c>
      <c r="U79" s="544" t="s">
        <v>2700</v>
      </c>
      <c r="V79" s="547">
        <v>1159</v>
      </c>
      <c r="W79" s="548"/>
      <c r="Y79" s="544" t="s">
        <v>1674</v>
      </c>
      <c r="AA79" s="544" t="s">
        <v>1674</v>
      </c>
      <c r="AB79" s="542">
        <v>3</v>
      </c>
      <c r="AE79" s="551"/>
      <c r="AF79" s="544" t="s">
        <v>1674</v>
      </c>
      <c r="AG79" s="544" t="s">
        <v>1674</v>
      </c>
      <c r="AH79" s="544" t="s">
        <v>1674</v>
      </c>
      <c r="AI79" s="544" t="s">
        <v>1674</v>
      </c>
      <c r="AJ79" s="544" t="s">
        <v>1674</v>
      </c>
      <c r="AK79" s="544" t="s">
        <v>1674</v>
      </c>
      <c r="AL79" s="544" t="s">
        <v>1674</v>
      </c>
      <c r="AM79" s="544" t="s">
        <v>1674</v>
      </c>
      <c r="AN79" s="544" t="s">
        <v>1674</v>
      </c>
      <c r="AP79" s="552">
        <f t="shared" si="2"/>
        <v>338051.4</v>
      </c>
    </row>
    <row r="80" spans="1:42" outlineLevel="1" x14ac:dyDescent="0.25">
      <c r="A80" s="544" t="s">
        <v>1674</v>
      </c>
      <c r="B80" s="545">
        <v>0</v>
      </c>
      <c r="C80" s="544" t="s">
        <v>1674</v>
      </c>
      <c r="D80" s="544" t="s">
        <v>4092</v>
      </c>
      <c r="E80" s="542" t="s">
        <v>2902</v>
      </c>
      <c r="F80" s="542" t="s">
        <v>4089</v>
      </c>
      <c r="G80" s="546"/>
      <c r="H80" s="546">
        <v>144.19999999999999</v>
      </c>
      <c r="I80" s="546">
        <v>144.19999999999999</v>
      </c>
      <c r="J80" s="542" t="s">
        <v>2584</v>
      </c>
      <c r="K80" s="547">
        <v>3425</v>
      </c>
      <c r="L80" s="542" t="s">
        <v>806</v>
      </c>
      <c r="M80" s="548"/>
      <c r="N80" s="549">
        <v>42</v>
      </c>
      <c r="O80" s="544" t="s">
        <v>1674</v>
      </c>
      <c r="P80" s="544" t="s">
        <v>1674</v>
      </c>
      <c r="Q80" s="544" t="s">
        <v>4012</v>
      </c>
      <c r="R80" s="544" t="s">
        <v>1674</v>
      </c>
      <c r="S80" s="544" t="s">
        <v>1674</v>
      </c>
      <c r="T80" s="550">
        <v>19</v>
      </c>
      <c r="U80" s="544" t="s">
        <v>2700</v>
      </c>
      <c r="V80" s="547">
        <v>1160</v>
      </c>
      <c r="W80" s="548"/>
      <c r="Y80" s="544" t="s">
        <v>1674</v>
      </c>
      <c r="AA80" s="544" t="s">
        <v>1674</v>
      </c>
      <c r="AB80" s="542">
        <v>3</v>
      </c>
      <c r="AE80" s="551"/>
      <c r="AF80" s="544" t="s">
        <v>1674</v>
      </c>
      <c r="AG80" s="544" t="s">
        <v>1674</v>
      </c>
      <c r="AH80" s="544" t="s">
        <v>1674</v>
      </c>
      <c r="AI80" s="544" t="s">
        <v>1674</v>
      </c>
      <c r="AJ80" s="544" t="s">
        <v>1674</v>
      </c>
      <c r="AK80" s="544" t="s">
        <v>1674</v>
      </c>
      <c r="AL80" s="544" t="s">
        <v>1674</v>
      </c>
      <c r="AM80" s="544" t="s">
        <v>1674</v>
      </c>
      <c r="AN80" s="544" t="s">
        <v>1674</v>
      </c>
      <c r="AP80" s="552">
        <f t="shared" si="2"/>
        <v>144.19999999999999</v>
      </c>
    </row>
    <row r="81" spans="1:42" outlineLevel="1" x14ac:dyDescent="0.25">
      <c r="A81" s="544" t="s">
        <v>1674</v>
      </c>
      <c r="B81" s="545">
        <v>0</v>
      </c>
      <c r="C81" s="544" t="s">
        <v>1674</v>
      </c>
      <c r="D81" s="544" t="s">
        <v>4093</v>
      </c>
      <c r="E81" s="542" t="s">
        <v>2902</v>
      </c>
      <c r="F81" s="542" t="s">
        <v>4089</v>
      </c>
      <c r="G81" s="546"/>
      <c r="H81" s="546">
        <v>1730.4</v>
      </c>
      <c r="I81" s="546">
        <v>1730.4</v>
      </c>
      <c r="J81" s="542" t="s">
        <v>2584</v>
      </c>
      <c r="K81" s="547">
        <v>3425</v>
      </c>
      <c r="L81" s="542" t="s">
        <v>806</v>
      </c>
      <c r="M81" s="548"/>
      <c r="N81" s="549">
        <v>42</v>
      </c>
      <c r="O81" s="544" t="s">
        <v>1674</v>
      </c>
      <c r="P81" s="544" t="s">
        <v>1674</v>
      </c>
      <c r="Q81" s="544" t="s">
        <v>4012</v>
      </c>
      <c r="R81" s="544" t="s">
        <v>1674</v>
      </c>
      <c r="S81" s="544" t="s">
        <v>1674</v>
      </c>
      <c r="T81" s="550">
        <v>19</v>
      </c>
      <c r="U81" s="544" t="s">
        <v>2700</v>
      </c>
      <c r="V81" s="547">
        <v>1161</v>
      </c>
      <c r="W81" s="548"/>
      <c r="Y81" s="544" t="s">
        <v>1674</v>
      </c>
      <c r="AA81" s="544" t="s">
        <v>1674</v>
      </c>
      <c r="AB81" s="542">
        <v>3</v>
      </c>
      <c r="AE81" s="551"/>
      <c r="AF81" s="544" t="s">
        <v>1674</v>
      </c>
      <c r="AG81" s="544" t="s">
        <v>1674</v>
      </c>
      <c r="AH81" s="544" t="s">
        <v>1674</v>
      </c>
      <c r="AI81" s="544" t="s">
        <v>1674</v>
      </c>
      <c r="AJ81" s="544" t="s">
        <v>1674</v>
      </c>
      <c r="AK81" s="544" t="s">
        <v>1674</v>
      </c>
      <c r="AL81" s="544" t="s">
        <v>1674</v>
      </c>
      <c r="AM81" s="544" t="s">
        <v>1674</v>
      </c>
      <c r="AN81" s="544" t="s">
        <v>1674</v>
      </c>
      <c r="AP81" s="552">
        <f t="shared" si="2"/>
        <v>1730.4</v>
      </c>
    </row>
    <row r="82" spans="1:42" outlineLevel="1" x14ac:dyDescent="0.25">
      <c r="A82" s="544" t="s">
        <v>1674</v>
      </c>
      <c r="B82" s="545">
        <v>0</v>
      </c>
      <c r="C82" s="544" t="s">
        <v>1674</v>
      </c>
      <c r="D82" s="544" t="s">
        <v>4094</v>
      </c>
      <c r="E82" s="542" t="s">
        <v>2902</v>
      </c>
      <c r="F82" s="542" t="s">
        <v>4089</v>
      </c>
      <c r="G82" s="546"/>
      <c r="H82" s="546">
        <v>3460.8</v>
      </c>
      <c r="I82" s="546">
        <v>3460.8</v>
      </c>
      <c r="J82" s="542" t="s">
        <v>2584</v>
      </c>
      <c r="K82" s="547">
        <v>3425</v>
      </c>
      <c r="L82" s="542" t="s">
        <v>806</v>
      </c>
      <c r="M82" s="548"/>
      <c r="N82" s="549">
        <v>42</v>
      </c>
      <c r="O82" s="544" t="s">
        <v>1674</v>
      </c>
      <c r="P82" s="544" t="s">
        <v>1674</v>
      </c>
      <c r="Q82" s="544" t="s">
        <v>4012</v>
      </c>
      <c r="R82" s="544" t="s">
        <v>1674</v>
      </c>
      <c r="S82" s="544" t="s">
        <v>1674</v>
      </c>
      <c r="T82" s="550">
        <v>19</v>
      </c>
      <c r="U82" s="544" t="s">
        <v>2700</v>
      </c>
      <c r="V82" s="547">
        <v>1162</v>
      </c>
      <c r="W82" s="548"/>
      <c r="Y82" s="544" t="s">
        <v>1674</v>
      </c>
      <c r="AA82" s="544" t="s">
        <v>1674</v>
      </c>
      <c r="AB82" s="542">
        <v>3</v>
      </c>
      <c r="AE82" s="551"/>
      <c r="AF82" s="544" t="s">
        <v>1674</v>
      </c>
      <c r="AG82" s="544" t="s">
        <v>1674</v>
      </c>
      <c r="AH82" s="544" t="s">
        <v>1674</v>
      </c>
      <c r="AI82" s="544" t="s">
        <v>1674</v>
      </c>
      <c r="AJ82" s="544" t="s">
        <v>1674</v>
      </c>
      <c r="AK82" s="544" t="s">
        <v>1674</v>
      </c>
      <c r="AL82" s="544" t="s">
        <v>1674</v>
      </c>
      <c r="AM82" s="544" t="s">
        <v>1674</v>
      </c>
      <c r="AN82" s="544" t="s">
        <v>1674</v>
      </c>
      <c r="AP82" s="552">
        <f t="shared" si="2"/>
        <v>3460.8</v>
      </c>
    </row>
    <row r="83" spans="1:42" outlineLevel="1" x14ac:dyDescent="0.25">
      <c r="A83" s="544" t="s">
        <v>1674</v>
      </c>
      <c r="B83" s="545">
        <v>0</v>
      </c>
      <c r="C83" s="544" t="s">
        <v>1674</v>
      </c>
      <c r="D83" s="544" t="s">
        <v>4095</v>
      </c>
      <c r="E83" s="542" t="s">
        <v>2902</v>
      </c>
      <c r="F83" s="542" t="s">
        <v>4089</v>
      </c>
      <c r="G83" s="546"/>
      <c r="H83" s="546">
        <v>1730.4</v>
      </c>
      <c r="I83" s="546">
        <v>1730.4</v>
      </c>
      <c r="J83" s="542" t="s">
        <v>2584</v>
      </c>
      <c r="K83" s="547">
        <v>3425</v>
      </c>
      <c r="L83" s="542" t="s">
        <v>806</v>
      </c>
      <c r="M83" s="548"/>
      <c r="N83" s="549">
        <v>42</v>
      </c>
      <c r="O83" s="544" t="s">
        <v>1674</v>
      </c>
      <c r="P83" s="544" t="s">
        <v>1674</v>
      </c>
      <c r="Q83" s="544" t="s">
        <v>4012</v>
      </c>
      <c r="R83" s="544" t="s">
        <v>1674</v>
      </c>
      <c r="S83" s="544" t="s">
        <v>1674</v>
      </c>
      <c r="T83" s="550">
        <v>19</v>
      </c>
      <c r="U83" s="544" t="s">
        <v>2700</v>
      </c>
      <c r="V83" s="547">
        <v>1163</v>
      </c>
      <c r="W83" s="548"/>
      <c r="Y83" s="544" t="s">
        <v>1674</v>
      </c>
      <c r="AA83" s="544" t="s">
        <v>1674</v>
      </c>
      <c r="AB83" s="542">
        <v>3</v>
      </c>
      <c r="AE83" s="551"/>
      <c r="AF83" s="544" t="s">
        <v>1674</v>
      </c>
      <c r="AG83" s="544" t="s">
        <v>1674</v>
      </c>
      <c r="AH83" s="544" t="s">
        <v>1674</v>
      </c>
      <c r="AI83" s="544" t="s">
        <v>1674</v>
      </c>
      <c r="AJ83" s="544" t="s">
        <v>1674</v>
      </c>
      <c r="AK83" s="544" t="s">
        <v>1674</v>
      </c>
      <c r="AL83" s="544" t="s">
        <v>1674</v>
      </c>
      <c r="AM83" s="544" t="s">
        <v>1674</v>
      </c>
      <c r="AN83" s="544" t="s">
        <v>1674</v>
      </c>
      <c r="AP83" s="552">
        <f t="shared" si="2"/>
        <v>1730.4</v>
      </c>
    </row>
    <row r="84" spans="1:42" outlineLevel="1" x14ac:dyDescent="0.25">
      <c r="A84" s="544" t="s">
        <v>1674</v>
      </c>
      <c r="B84" s="545">
        <v>70210</v>
      </c>
      <c r="C84" s="544" t="s">
        <v>4096</v>
      </c>
      <c r="D84" s="544" t="s">
        <v>4097</v>
      </c>
      <c r="E84" s="542" t="s">
        <v>3078</v>
      </c>
      <c r="F84" s="542" t="s">
        <v>3079</v>
      </c>
      <c r="G84" s="546"/>
      <c r="H84" s="546">
        <v>6034.73</v>
      </c>
      <c r="I84" s="546">
        <v>6034.73</v>
      </c>
      <c r="J84" s="542" t="s">
        <v>2584</v>
      </c>
      <c r="K84" s="547">
        <v>3106</v>
      </c>
      <c r="L84" s="542" t="s">
        <v>806</v>
      </c>
      <c r="M84" s="548"/>
      <c r="N84" s="549">
        <v>15</v>
      </c>
      <c r="O84" s="544" t="s">
        <v>1674</v>
      </c>
      <c r="P84" s="544" t="s">
        <v>1674</v>
      </c>
      <c r="Q84" s="544" t="s">
        <v>4096</v>
      </c>
      <c r="R84" s="544" t="s">
        <v>1674</v>
      </c>
      <c r="S84" s="544" t="s">
        <v>1674</v>
      </c>
      <c r="T84" s="550">
        <v>19</v>
      </c>
      <c r="U84" s="544" t="s">
        <v>2700</v>
      </c>
      <c r="V84" s="547">
        <v>1209</v>
      </c>
      <c r="W84" s="548"/>
      <c r="Y84" s="544" t="s">
        <v>1674</v>
      </c>
      <c r="AA84" s="544" t="s">
        <v>1674</v>
      </c>
      <c r="AB84" s="542">
        <v>3</v>
      </c>
      <c r="AE84" s="551"/>
      <c r="AF84" s="544" t="s">
        <v>1674</v>
      </c>
      <c r="AG84" s="544" t="s">
        <v>1674</v>
      </c>
      <c r="AH84" s="544" t="s">
        <v>1674</v>
      </c>
      <c r="AI84" s="544" t="s">
        <v>1674</v>
      </c>
      <c r="AJ84" s="544" t="s">
        <v>1674</v>
      </c>
      <c r="AK84" s="544" t="s">
        <v>1674</v>
      </c>
      <c r="AL84" s="544" t="s">
        <v>1674</v>
      </c>
      <c r="AM84" s="544" t="s">
        <v>4096</v>
      </c>
      <c r="AN84" s="544" t="s">
        <v>1674</v>
      </c>
      <c r="AP84" s="552">
        <f t="shared" si="2"/>
        <v>6034.73</v>
      </c>
    </row>
    <row r="85" spans="1:42" outlineLevel="1" x14ac:dyDescent="0.25">
      <c r="A85" s="544" t="s">
        <v>1674</v>
      </c>
      <c r="B85" s="545">
        <v>70900</v>
      </c>
      <c r="C85" s="544" t="s">
        <v>3129</v>
      </c>
      <c r="D85" s="544" t="s">
        <v>4098</v>
      </c>
      <c r="E85" s="542" t="s">
        <v>3078</v>
      </c>
      <c r="F85" s="542" t="s">
        <v>3079</v>
      </c>
      <c r="G85" s="546"/>
      <c r="H85" s="546">
        <v>2715.81</v>
      </c>
      <c r="I85" s="546">
        <v>2715.81</v>
      </c>
      <c r="J85" s="542" t="s">
        <v>2584</v>
      </c>
      <c r="K85" s="547">
        <v>4800</v>
      </c>
      <c r="L85" s="542" t="s">
        <v>806</v>
      </c>
      <c r="M85" s="548"/>
      <c r="N85" s="549">
        <v>15</v>
      </c>
      <c r="O85" s="544" t="s">
        <v>1674</v>
      </c>
      <c r="P85" s="544" t="s">
        <v>1674</v>
      </c>
      <c r="Q85" s="544" t="s">
        <v>4057</v>
      </c>
      <c r="R85" s="544" t="s">
        <v>1674</v>
      </c>
      <c r="S85" s="544" t="s">
        <v>1674</v>
      </c>
      <c r="T85" s="550">
        <v>19</v>
      </c>
      <c r="U85" s="544" t="s">
        <v>2700</v>
      </c>
      <c r="V85" s="547">
        <v>1220</v>
      </c>
      <c r="W85" s="548"/>
      <c r="Y85" s="544" t="s">
        <v>1674</v>
      </c>
      <c r="AA85" s="544" t="s">
        <v>1674</v>
      </c>
      <c r="AB85" s="542">
        <v>3</v>
      </c>
      <c r="AE85" s="551"/>
      <c r="AF85" s="544" t="s">
        <v>1674</v>
      </c>
      <c r="AG85" s="544" t="s">
        <v>1674</v>
      </c>
      <c r="AH85" s="544" t="s">
        <v>1674</v>
      </c>
      <c r="AI85" s="544" t="s">
        <v>1674</v>
      </c>
      <c r="AJ85" s="544" t="s">
        <v>1674</v>
      </c>
      <c r="AK85" s="544" t="s">
        <v>1674</v>
      </c>
      <c r="AL85" s="544" t="s">
        <v>1674</v>
      </c>
      <c r="AM85" s="544" t="s">
        <v>3129</v>
      </c>
      <c r="AN85" s="544" t="s">
        <v>1674</v>
      </c>
      <c r="AP85" s="552">
        <f t="shared" si="2"/>
        <v>2715.81</v>
      </c>
    </row>
    <row r="86" spans="1:42" outlineLevel="1" x14ac:dyDescent="0.25">
      <c r="A86" s="544" t="s">
        <v>1674</v>
      </c>
      <c r="B86" s="545">
        <v>71300</v>
      </c>
      <c r="C86" s="544" t="s">
        <v>3550</v>
      </c>
      <c r="D86" s="544" t="s">
        <v>4099</v>
      </c>
      <c r="E86" s="542" t="s">
        <v>3078</v>
      </c>
      <c r="F86" s="542" t="s">
        <v>3079</v>
      </c>
      <c r="G86" s="546"/>
      <c r="H86" s="546">
        <v>1673.74</v>
      </c>
      <c r="I86" s="546">
        <v>1673.74</v>
      </c>
      <c r="J86" s="542" t="s">
        <v>2584</v>
      </c>
      <c r="K86" s="547">
        <v>4800</v>
      </c>
      <c r="L86" s="542" t="s">
        <v>806</v>
      </c>
      <c r="M86" s="548"/>
      <c r="N86" s="549">
        <v>15</v>
      </c>
      <c r="O86" s="544" t="s">
        <v>1674</v>
      </c>
      <c r="P86" s="544" t="s">
        <v>1674</v>
      </c>
      <c r="Q86" s="544" t="s">
        <v>4100</v>
      </c>
      <c r="R86" s="544" t="s">
        <v>1674</v>
      </c>
      <c r="S86" s="544" t="s">
        <v>1674</v>
      </c>
      <c r="T86" s="550">
        <v>19</v>
      </c>
      <c r="U86" s="544" t="s">
        <v>4101</v>
      </c>
      <c r="V86" s="547">
        <v>5</v>
      </c>
      <c r="W86" s="548"/>
      <c r="Y86" s="544" t="s">
        <v>1674</v>
      </c>
      <c r="AA86" s="544" t="s">
        <v>1674</v>
      </c>
      <c r="AB86" s="542">
        <v>3</v>
      </c>
      <c r="AE86" s="551"/>
      <c r="AF86" s="544" t="s">
        <v>1674</v>
      </c>
      <c r="AG86" s="544" t="s">
        <v>1674</v>
      </c>
      <c r="AH86" s="544" t="s">
        <v>1674</v>
      </c>
      <c r="AI86" s="544" t="s">
        <v>1674</v>
      </c>
      <c r="AJ86" s="544" t="s">
        <v>1674</v>
      </c>
      <c r="AK86" s="544" t="s">
        <v>1674</v>
      </c>
      <c r="AL86" s="544" t="s">
        <v>1674</v>
      </c>
      <c r="AM86" s="544" t="s">
        <v>3550</v>
      </c>
      <c r="AN86" s="544" t="s">
        <v>1674</v>
      </c>
      <c r="AP86" s="552">
        <f t="shared" si="2"/>
        <v>1673.74</v>
      </c>
    </row>
    <row r="87" spans="1:42" outlineLevel="1" x14ac:dyDescent="0.25">
      <c r="A87" s="544" t="s">
        <v>1674</v>
      </c>
      <c r="B87" s="545">
        <v>0</v>
      </c>
      <c r="C87" s="544" t="s">
        <v>1674</v>
      </c>
      <c r="D87" s="544" t="s">
        <v>4102</v>
      </c>
      <c r="E87" s="542" t="s">
        <v>3078</v>
      </c>
      <c r="F87" s="542" t="s">
        <v>3079</v>
      </c>
      <c r="G87" s="546"/>
      <c r="H87" s="546">
        <v>821.1</v>
      </c>
      <c r="I87" s="546">
        <v>821.1</v>
      </c>
      <c r="J87" s="542" t="s">
        <v>2584</v>
      </c>
      <c r="K87" s="547">
        <v>4800</v>
      </c>
      <c r="L87" s="542" t="s">
        <v>806</v>
      </c>
      <c r="M87" s="548"/>
      <c r="N87" s="549">
        <v>15</v>
      </c>
      <c r="O87" s="544" t="s">
        <v>1674</v>
      </c>
      <c r="P87" s="544" t="s">
        <v>1674</v>
      </c>
      <c r="Q87" s="544" t="s">
        <v>4100</v>
      </c>
      <c r="R87" s="544" t="s">
        <v>1674</v>
      </c>
      <c r="S87" s="544" t="s">
        <v>1674</v>
      </c>
      <c r="T87" s="550">
        <v>19</v>
      </c>
      <c r="U87" s="544" t="s">
        <v>2700</v>
      </c>
      <c r="V87" s="547">
        <v>1212</v>
      </c>
      <c r="W87" s="548"/>
      <c r="Y87" s="544" t="s">
        <v>1674</v>
      </c>
      <c r="AA87" s="544" t="s">
        <v>1674</v>
      </c>
      <c r="AB87" s="542">
        <v>3</v>
      </c>
      <c r="AE87" s="551"/>
      <c r="AF87" s="544" t="s">
        <v>1674</v>
      </c>
      <c r="AG87" s="544" t="s">
        <v>1674</v>
      </c>
      <c r="AH87" s="544" t="s">
        <v>1674</v>
      </c>
      <c r="AI87" s="544" t="s">
        <v>1674</v>
      </c>
      <c r="AJ87" s="544" t="s">
        <v>1674</v>
      </c>
      <c r="AK87" s="544" t="s">
        <v>1674</v>
      </c>
      <c r="AL87" s="544" t="s">
        <v>1674</v>
      </c>
      <c r="AM87" s="544" t="s">
        <v>1674</v>
      </c>
      <c r="AN87" s="544" t="s">
        <v>1674</v>
      </c>
      <c r="AP87" s="552">
        <f t="shared" si="2"/>
        <v>821.1</v>
      </c>
    </row>
    <row r="88" spans="1:42" outlineLevel="1" x14ac:dyDescent="0.25">
      <c r="A88" s="544" t="s">
        <v>1674</v>
      </c>
      <c r="B88" s="545">
        <v>81101</v>
      </c>
      <c r="C88" s="544" t="s">
        <v>4103</v>
      </c>
      <c r="D88" s="544" t="s">
        <v>4104</v>
      </c>
      <c r="E88" s="542" t="s">
        <v>3078</v>
      </c>
      <c r="F88" s="542" t="s">
        <v>3079</v>
      </c>
      <c r="G88" s="546"/>
      <c r="H88" s="546">
        <v>6600</v>
      </c>
      <c r="I88" s="546">
        <v>6600</v>
      </c>
      <c r="J88" s="542" t="s">
        <v>2584</v>
      </c>
      <c r="K88" s="547">
        <v>3425</v>
      </c>
      <c r="L88" s="542" t="s">
        <v>806</v>
      </c>
      <c r="M88" s="548"/>
      <c r="N88" s="549">
        <v>15</v>
      </c>
      <c r="O88" s="544" t="s">
        <v>1674</v>
      </c>
      <c r="P88" s="544" t="s">
        <v>1674</v>
      </c>
      <c r="Q88" s="544" t="s">
        <v>4105</v>
      </c>
      <c r="R88" s="544" t="s">
        <v>1674</v>
      </c>
      <c r="S88" s="544" t="s">
        <v>1674</v>
      </c>
      <c r="T88" s="550">
        <v>19</v>
      </c>
      <c r="U88" s="544" t="s">
        <v>2700</v>
      </c>
      <c r="V88" s="547">
        <v>1222</v>
      </c>
      <c r="W88" s="548"/>
      <c r="Y88" s="544" t="s">
        <v>1674</v>
      </c>
      <c r="AA88" s="544" t="s">
        <v>1674</v>
      </c>
      <c r="AB88" s="542">
        <v>3</v>
      </c>
      <c r="AE88" s="551"/>
      <c r="AF88" s="544" t="s">
        <v>1674</v>
      </c>
      <c r="AG88" s="544" t="s">
        <v>1674</v>
      </c>
      <c r="AH88" s="544" t="s">
        <v>1674</v>
      </c>
      <c r="AI88" s="544" t="s">
        <v>1674</v>
      </c>
      <c r="AJ88" s="544" t="s">
        <v>1674</v>
      </c>
      <c r="AK88" s="544" t="s">
        <v>1674</v>
      </c>
      <c r="AL88" s="544" t="s">
        <v>1674</v>
      </c>
      <c r="AM88" s="544" t="s">
        <v>4106</v>
      </c>
      <c r="AN88" s="544" t="s">
        <v>1674</v>
      </c>
      <c r="AP88" s="552">
        <f t="shared" si="2"/>
        <v>6600</v>
      </c>
    </row>
    <row r="89" spans="1:42" outlineLevel="1" x14ac:dyDescent="0.25">
      <c r="A89" s="544" t="s">
        <v>1674</v>
      </c>
      <c r="B89" s="545">
        <v>70210</v>
      </c>
      <c r="C89" s="544" t="s">
        <v>4096</v>
      </c>
      <c r="D89" s="544" t="s">
        <v>4107</v>
      </c>
      <c r="E89" s="542" t="s">
        <v>3093</v>
      </c>
      <c r="F89" s="542" t="s">
        <v>3094</v>
      </c>
      <c r="G89" s="546"/>
      <c r="H89" s="546">
        <v>6034.73</v>
      </c>
      <c r="I89" s="546">
        <v>6034.73</v>
      </c>
      <c r="J89" s="542" t="s">
        <v>2584</v>
      </c>
      <c r="K89" s="547">
        <v>3106</v>
      </c>
      <c r="L89" s="542" t="s">
        <v>806</v>
      </c>
      <c r="M89" s="548"/>
      <c r="N89" s="549">
        <v>16</v>
      </c>
      <c r="O89" s="544" t="s">
        <v>1674</v>
      </c>
      <c r="P89" s="544" t="s">
        <v>1674</v>
      </c>
      <c r="Q89" s="544" t="s">
        <v>4096</v>
      </c>
      <c r="R89" s="544" t="s">
        <v>1674</v>
      </c>
      <c r="S89" s="544" t="s">
        <v>1674</v>
      </c>
      <c r="T89" s="550">
        <v>19</v>
      </c>
      <c r="U89" s="544" t="s">
        <v>2700</v>
      </c>
      <c r="V89" s="547">
        <v>1285</v>
      </c>
      <c r="W89" s="548"/>
      <c r="Y89" s="544" t="s">
        <v>1674</v>
      </c>
      <c r="AA89" s="544" t="s">
        <v>1674</v>
      </c>
      <c r="AB89" s="542">
        <v>3</v>
      </c>
      <c r="AE89" s="551"/>
      <c r="AF89" s="544" t="s">
        <v>1674</v>
      </c>
      <c r="AG89" s="544" t="s">
        <v>1674</v>
      </c>
      <c r="AH89" s="544" t="s">
        <v>1674</v>
      </c>
      <c r="AI89" s="544" t="s">
        <v>1674</v>
      </c>
      <c r="AJ89" s="544" t="s">
        <v>1674</v>
      </c>
      <c r="AK89" s="544" t="s">
        <v>1674</v>
      </c>
      <c r="AL89" s="544" t="s">
        <v>1674</v>
      </c>
      <c r="AM89" s="544" t="s">
        <v>4096</v>
      </c>
      <c r="AN89" s="544" t="s">
        <v>1674</v>
      </c>
      <c r="AP89" s="552">
        <f t="shared" si="2"/>
        <v>6034.73</v>
      </c>
    </row>
    <row r="90" spans="1:42" outlineLevel="1" x14ac:dyDescent="0.25">
      <c r="A90" s="544" t="s">
        <v>1674</v>
      </c>
      <c r="B90" s="545">
        <v>81908</v>
      </c>
      <c r="C90" s="544" t="s">
        <v>4004</v>
      </c>
      <c r="D90" s="544" t="s">
        <v>4108</v>
      </c>
      <c r="E90" s="542" t="s">
        <v>3093</v>
      </c>
      <c r="F90" s="542" t="s">
        <v>3094</v>
      </c>
      <c r="G90" s="546"/>
      <c r="H90" s="546">
        <v>1200</v>
      </c>
      <c r="I90" s="546">
        <v>1200</v>
      </c>
      <c r="J90" s="542" t="s">
        <v>2584</v>
      </c>
      <c r="K90" s="547">
        <v>3425</v>
      </c>
      <c r="L90" s="542" t="s">
        <v>806</v>
      </c>
      <c r="M90" s="548"/>
      <c r="N90" s="549">
        <v>16</v>
      </c>
      <c r="O90" s="544" t="s">
        <v>1674</v>
      </c>
      <c r="P90" s="544" t="s">
        <v>1674</v>
      </c>
      <c r="Q90" s="544" t="s">
        <v>4006</v>
      </c>
      <c r="R90" s="544" t="s">
        <v>1674</v>
      </c>
      <c r="S90" s="544" t="s">
        <v>1674</v>
      </c>
      <c r="T90" s="550">
        <v>19</v>
      </c>
      <c r="U90" s="544" t="s">
        <v>2700</v>
      </c>
      <c r="V90" s="547">
        <v>1283</v>
      </c>
      <c r="W90" s="548"/>
      <c r="Y90" s="544" t="s">
        <v>1674</v>
      </c>
      <c r="AA90" s="544" t="s">
        <v>1674</v>
      </c>
      <c r="AB90" s="542">
        <v>3</v>
      </c>
      <c r="AE90" s="551"/>
      <c r="AF90" s="544" t="s">
        <v>1674</v>
      </c>
      <c r="AG90" s="544" t="s">
        <v>1674</v>
      </c>
      <c r="AH90" s="544" t="s">
        <v>1674</v>
      </c>
      <c r="AI90" s="544" t="s">
        <v>1674</v>
      </c>
      <c r="AJ90" s="544" t="s">
        <v>1674</v>
      </c>
      <c r="AK90" s="544" t="s">
        <v>1674</v>
      </c>
      <c r="AL90" s="544" t="s">
        <v>1674</v>
      </c>
      <c r="AM90" s="544" t="s">
        <v>4007</v>
      </c>
      <c r="AN90" s="544" t="s">
        <v>1674</v>
      </c>
      <c r="AP90" s="552">
        <f t="shared" si="2"/>
        <v>1200</v>
      </c>
    </row>
    <row r="91" spans="1:42" outlineLevel="1" x14ac:dyDescent="0.25">
      <c r="A91" s="544" t="s">
        <v>1674</v>
      </c>
      <c r="B91" s="545">
        <v>70100</v>
      </c>
      <c r="C91" s="544" t="s">
        <v>2864</v>
      </c>
      <c r="D91" s="544" t="s">
        <v>4109</v>
      </c>
      <c r="E91" s="542" t="s">
        <v>2912</v>
      </c>
      <c r="F91" s="542" t="s">
        <v>3119</v>
      </c>
      <c r="G91" s="546"/>
      <c r="H91" s="546">
        <v>30.57</v>
      </c>
      <c r="I91" s="546">
        <v>30.57</v>
      </c>
      <c r="J91" s="542" t="s">
        <v>2584</v>
      </c>
      <c r="K91" s="547">
        <v>4980</v>
      </c>
      <c r="L91" s="542" t="s">
        <v>806</v>
      </c>
      <c r="M91" s="548"/>
      <c r="N91" s="549">
        <v>17</v>
      </c>
      <c r="O91" s="544" t="s">
        <v>1674</v>
      </c>
      <c r="P91" s="544" t="s">
        <v>1674</v>
      </c>
      <c r="Q91" s="544" t="s">
        <v>4027</v>
      </c>
      <c r="R91" s="544" t="s">
        <v>1674</v>
      </c>
      <c r="S91" s="544" t="s">
        <v>1674</v>
      </c>
      <c r="T91" s="550">
        <v>19</v>
      </c>
      <c r="U91" s="544" t="s">
        <v>2700</v>
      </c>
      <c r="V91" s="547">
        <v>1289</v>
      </c>
      <c r="W91" s="548"/>
      <c r="Y91" s="544" t="s">
        <v>1674</v>
      </c>
      <c r="AA91" s="544" t="s">
        <v>1674</v>
      </c>
      <c r="AB91" s="542">
        <v>3</v>
      </c>
      <c r="AE91" s="551"/>
      <c r="AF91" s="544" t="s">
        <v>1674</v>
      </c>
      <c r="AG91" s="544" t="s">
        <v>1674</v>
      </c>
      <c r="AH91" s="544" t="s">
        <v>1674</v>
      </c>
      <c r="AI91" s="544" t="s">
        <v>1674</v>
      </c>
      <c r="AJ91" s="544" t="s">
        <v>1674</v>
      </c>
      <c r="AK91" s="544" t="s">
        <v>1674</v>
      </c>
      <c r="AL91" s="544" t="s">
        <v>1674</v>
      </c>
      <c r="AM91" s="544" t="s">
        <v>2864</v>
      </c>
      <c r="AN91" s="544" t="s">
        <v>1674</v>
      </c>
      <c r="AP91" s="552">
        <f t="shared" si="2"/>
        <v>30.57</v>
      </c>
    </row>
    <row r="92" spans="1:42" outlineLevel="1" x14ac:dyDescent="0.25">
      <c r="A92" s="544" t="s">
        <v>1674</v>
      </c>
      <c r="B92" s="545">
        <v>71200</v>
      </c>
      <c r="C92" s="544" t="s">
        <v>2871</v>
      </c>
      <c r="D92" s="544" t="s">
        <v>4110</v>
      </c>
      <c r="E92" s="542" t="s">
        <v>2912</v>
      </c>
      <c r="F92" s="542" t="s">
        <v>3119</v>
      </c>
      <c r="G92" s="546"/>
      <c r="H92" s="546">
        <v>160</v>
      </c>
      <c r="I92" s="546">
        <v>160</v>
      </c>
      <c r="J92" s="542" t="s">
        <v>2584</v>
      </c>
      <c r="K92" s="547">
        <v>4548</v>
      </c>
      <c r="L92" s="542" t="s">
        <v>806</v>
      </c>
      <c r="M92" s="548"/>
      <c r="N92" s="549">
        <v>17</v>
      </c>
      <c r="O92" s="544" t="s">
        <v>1674</v>
      </c>
      <c r="P92" s="544" t="s">
        <v>1674</v>
      </c>
      <c r="Q92" s="544" t="s">
        <v>4111</v>
      </c>
      <c r="R92" s="544" t="s">
        <v>1674</v>
      </c>
      <c r="S92" s="544" t="s">
        <v>1674</v>
      </c>
      <c r="T92" s="550">
        <v>19</v>
      </c>
      <c r="U92" s="544" t="s">
        <v>2700</v>
      </c>
      <c r="V92" s="547">
        <v>1287</v>
      </c>
      <c r="W92" s="548"/>
      <c r="Y92" s="544" t="s">
        <v>1674</v>
      </c>
      <c r="AA92" s="544" t="s">
        <v>1674</v>
      </c>
      <c r="AB92" s="542">
        <v>3</v>
      </c>
      <c r="AE92" s="551"/>
      <c r="AF92" s="544" t="s">
        <v>1674</v>
      </c>
      <c r="AG92" s="544" t="s">
        <v>1674</v>
      </c>
      <c r="AH92" s="544" t="s">
        <v>1674</v>
      </c>
      <c r="AI92" s="544" t="s">
        <v>1674</v>
      </c>
      <c r="AJ92" s="544" t="s">
        <v>1674</v>
      </c>
      <c r="AK92" s="544" t="s">
        <v>1674</v>
      </c>
      <c r="AL92" s="544" t="s">
        <v>1674</v>
      </c>
      <c r="AM92" s="544" t="s">
        <v>2871</v>
      </c>
      <c r="AN92" s="544" t="s">
        <v>1674</v>
      </c>
      <c r="AP92" s="552">
        <f t="shared" si="2"/>
        <v>160</v>
      </c>
    </row>
    <row r="93" spans="1:42" outlineLevel="1" x14ac:dyDescent="0.25">
      <c r="A93" s="544" t="s">
        <v>1674</v>
      </c>
      <c r="B93" s="545">
        <v>71900</v>
      </c>
      <c r="C93" s="544" t="s">
        <v>2854</v>
      </c>
      <c r="D93" s="544" t="s">
        <v>4112</v>
      </c>
      <c r="E93" s="542" t="s">
        <v>2912</v>
      </c>
      <c r="F93" s="542" t="s">
        <v>3119</v>
      </c>
      <c r="G93" s="546"/>
      <c r="H93" s="546">
        <v>26180</v>
      </c>
      <c r="I93" s="546">
        <v>26180</v>
      </c>
      <c r="J93" s="542" t="s">
        <v>2584</v>
      </c>
      <c r="K93" s="547">
        <v>977</v>
      </c>
      <c r="L93" s="542" t="s">
        <v>806</v>
      </c>
      <c r="M93" s="548"/>
      <c r="N93" s="549">
        <v>17</v>
      </c>
      <c r="O93" s="544" t="s">
        <v>1674</v>
      </c>
      <c r="P93" s="544" t="s">
        <v>1674</v>
      </c>
      <c r="Q93" s="544" t="s">
        <v>4113</v>
      </c>
      <c r="R93" s="544" t="s">
        <v>1674</v>
      </c>
      <c r="S93" s="544" t="s">
        <v>1674</v>
      </c>
      <c r="T93" s="550">
        <v>19</v>
      </c>
      <c r="U93" s="544" t="s">
        <v>2700</v>
      </c>
      <c r="V93" s="547">
        <v>1293</v>
      </c>
      <c r="W93" s="548"/>
      <c r="Y93" s="544" t="s">
        <v>1674</v>
      </c>
      <c r="AA93" s="544" t="s">
        <v>1674</v>
      </c>
      <c r="AB93" s="542">
        <v>3</v>
      </c>
      <c r="AE93" s="551"/>
      <c r="AF93" s="544" t="s">
        <v>1674</v>
      </c>
      <c r="AG93" s="544" t="s">
        <v>1674</v>
      </c>
      <c r="AH93" s="544" t="s">
        <v>1674</v>
      </c>
      <c r="AI93" s="544" t="s">
        <v>1674</v>
      </c>
      <c r="AJ93" s="544" t="s">
        <v>1674</v>
      </c>
      <c r="AK93" s="544" t="s">
        <v>1674</v>
      </c>
      <c r="AL93" s="544" t="s">
        <v>1674</v>
      </c>
      <c r="AM93" s="544" t="s">
        <v>2854</v>
      </c>
      <c r="AN93" s="544" t="s">
        <v>1674</v>
      </c>
      <c r="AP93" s="552">
        <f t="shared" si="2"/>
        <v>26180</v>
      </c>
    </row>
    <row r="94" spans="1:42" outlineLevel="1" x14ac:dyDescent="0.25">
      <c r="A94" s="544" t="s">
        <v>1674</v>
      </c>
      <c r="B94" s="545">
        <v>80112</v>
      </c>
      <c r="C94" s="544" t="s">
        <v>4114</v>
      </c>
      <c r="D94" s="544" t="s">
        <v>4115</v>
      </c>
      <c r="E94" s="542" t="s">
        <v>2912</v>
      </c>
      <c r="F94" s="542" t="s">
        <v>3119</v>
      </c>
      <c r="G94" s="546"/>
      <c r="H94" s="546">
        <v>360</v>
      </c>
      <c r="I94" s="546">
        <v>360</v>
      </c>
      <c r="J94" s="542" t="s">
        <v>2584</v>
      </c>
      <c r="K94" s="547">
        <v>480</v>
      </c>
      <c r="L94" s="542" t="s">
        <v>806</v>
      </c>
      <c r="M94" s="548"/>
      <c r="N94" s="549">
        <v>17</v>
      </c>
      <c r="O94" s="544" t="s">
        <v>1674</v>
      </c>
      <c r="P94" s="544" t="s">
        <v>1674</v>
      </c>
      <c r="Q94" s="544" t="s">
        <v>4116</v>
      </c>
      <c r="R94" s="544" t="s">
        <v>1674</v>
      </c>
      <c r="S94" s="544" t="s">
        <v>1674</v>
      </c>
      <c r="T94" s="550">
        <v>19</v>
      </c>
      <c r="U94" s="544" t="s">
        <v>2700</v>
      </c>
      <c r="V94" s="547">
        <v>1296</v>
      </c>
      <c r="W94" s="548" t="s">
        <v>2563</v>
      </c>
      <c r="Y94" s="544" t="s">
        <v>1674</v>
      </c>
      <c r="AA94" s="544" t="s">
        <v>1674</v>
      </c>
      <c r="AB94" s="542">
        <v>3</v>
      </c>
      <c r="AE94" s="551"/>
      <c r="AF94" s="544" t="s">
        <v>1674</v>
      </c>
      <c r="AG94" s="544" t="s">
        <v>1674</v>
      </c>
      <c r="AH94" s="544" t="s">
        <v>1674</v>
      </c>
      <c r="AI94" s="544" t="s">
        <v>1674</v>
      </c>
      <c r="AJ94" s="544" t="s">
        <v>1674</v>
      </c>
      <c r="AK94" s="544" t="s">
        <v>1674</v>
      </c>
      <c r="AL94" s="544" t="s">
        <v>1674</v>
      </c>
      <c r="AM94" s="544" t="s">
        <v>4117</v>
      </c>
      <c r="AN94" s="544" t="s">
        <v>1674</v>
      </c>
      <c r="AP94" s="552">
        <f t="shared" si="2"/>
        <v>360</v>
      </c>
    </row>
    <row r="95" spans="1:42" outlineLevel="1" x14ac:dyDescent="0.25">
      <c r="A95" s="544" t="s">
        <v>1674</v>
      </c>
      <c r="B95" s="545">
        <v>70400</v>
      </c>
      <c r="C95" s="544" t="s">
        <v>2730</v>
      </c>
      <c r="D95" s="544" t="s">
        <v>4118</v>
      </c>
      <c r="E95" s="542" t="s">
        <v>3158</v>
      </c>
      <c r="F95" s="542" t="s">
        <v>3159</v>
      </c>
      <c r="G95" s="546"/>
      <c r="H95" s="546">
        <v>94.3</v>
      </c>
      <c r="I95" s="546">
        <v>94.3</v>
      </c>
      <c r="J95" s="542" t="s">
        <v>2584</v>
      </c>
      <c r="K95" s="547">
        <v>4730</v>
      </c>
      <c r="L95" s="542" t="s">
        <v>806</v>
      </c>
      <c r="M95" s="548"/>
      <c r="N95" s="549">
        <v>18</v>
      </c>
      <c r="O95" s="544" t="s">
        <v>1674</v>
      </c>
      <c r="P95" s="544" t="s">
        <v>1674</v>
      </c>
      <c r="Q95" s="544" t="s">
        <v>4119</v>
      </c>
      <c r="R95" s="544" t="s">
        <v>1674</v>
      </c>
      <c r="S95" s="544" t="s">
        <v>1674</v>
      </c>
      <c r="T95" s="550">
        <v>19</v>
      </c>
      <c r="U95" s="544" t="s">
        <v>2700</v>
      </c>
      <c r="V95" s="547">
        <v>1354</v>
      </c>
      <c r="W95" s="548"/>
      <c r="Y95" s="544" t="s">
        <v>1674</v>
      </c>
      <c r="AA95" s="544" t="s">
        <v>1674</v>
      </c>
      <c r="AB95" s="542">
        <v>3</v>
      </c>
      <c r="AE95" s="551"/>
      <c r="AF95" s="544" t="s">
        <v>1674</v>
      </c>
      <c r="AG95" s="544" t="s">
        <v>1674</v>
      </c>
      <c r="AH95" s="544" t="s">
        <v>1674</v>
      </c>
      <c r="AI95" s="544" t="s">
        <v>1674</v>
      </c>
      <c r="AJ95" s="544" t="s">
        <v>1674</v>
      </c>
      <c r="AK95" s="544" t="s">
        <v>1674</v>
      </c>
      <c r="AL95" s="544" t="s">
        <v>1674</v>
      </c>
      <c r="AM95" s="544" t="s">
        <v>2730</v>
      </c>
      <c r="AN95" s="544" t="s">
        <v>1674</v>
      </c>
      <c r="AP95" s="552">
        <f t="shared" si="2"/>
        <v>94.3</v>
      </c>
    </row>
    <row r="96" spans="1:42" outlineLevel="1" x14ac:dyDescent="0.25">
      <c r="A96" s="544" t="s">
        <v>1674</v>
      </c>
      <c r="B96" s="545">
        <v>70800</v>
      </c>
      <c r="C96" s="544" t="s">
        <v>2967</v>
      </c>
      <c r="D96" s="544" t="s">
        <v>4120</v>
      </c>
      <c r="E96" s="542" t="s">
        <v>3158</v>
      </c>
      <c r="F96" s="542" t="s">
        <v>3159</v>
      </c>
      <c r="G96" s="546"/>
      <c r="H96" s="546">
        <v>822.21</v>
      </c>
      <c r="I96" s="546">
        <v>822.21</v>
      </c>
      <c r="J96" s="542" t="s">
        <v>2584</v>
      </c>
      <c r="K96" s="547">
        <v>4620</v>
      </c>
      <c r="L96" s="542" t="s">
        <v>806</v>
      </c>
      <c r="M96" s="548"/>
      <c r="N96" s="549">
        <v>18</v>
      </c>
      <c r="O96" s="544" t="s">
        <v>1674</v>
      </c>
      <c r="P96" s="544" t="s">
        <v>1674</v>
      </c>
      <c r="Q96" s="544" t="s">
        <v>4121</v>
      </c>
      <c r="R96" s="544" t="s">
        <v>1674</v>
      </c>
      <c r="S96" s="544" t="s">
        <v>1674</v>
      </c>
      <c r="T96" s="550">
        <v>19</v>
      </c>
      <c r="U96" s="544" t="s">
        <v>2700</v>
      </c>
      <c r="V96" s="547">
        <v>1356</v>
      </c>
      <c r="W96" s="548"/>
      <c r="Y96" s="544" t="s">
        <v>1674</v>
      </c>
      <c r="AA96" s="544" t="s">
        <v>1674</v>
      </c>
      <c r="AB96" s="542">
        <v>3</v>
      </c>
      <c r="AE96" s="551"/>
      <c r="AF96" s="544" t="s">
        <v>1674</v>
      </c>
      <c r="AG96" s="544" t="s">
        <v>1674</v>
      </c>
      <c r="AH96" s="544" t="s">
        <v>1674</v>
      </c>
      <c r="AI96" s="544" t="s">
        <v>1674</v>
      </c>
      <c r="AJ96" s="544" t="s">
        <v>1674</v>
      </c>
      <c r="AK96" s="544" t="s">
        <v>1674</v>
      </c>
      <c r="AL96" s="544" t="s">
        <v>1674</v>
      </c>
      <c r="AM96" s="544" t="s">
        <v>2967</v>
      </c>
      <c r="AN96" s="544" t="s">
        <v>1674</v>
      </c>
      <c r="AP96" s="552">
        <f t="shared" si="2"/>
        <v>822.21</v>
      </c>
    </row>
    <row r="97" spans="1:42" outlineLevel="1" x14ac:dyDescent="0.25">
      <c r="A97" s="544" t="s">
        <v>1674</v>
      </c>
      <c r="B97" s="545">
        <v>72200</v>
      </c>
      <c r="C97" s="544" t="s">
        <v>3260</v>
      </c>
      <c r="D97" s="544" t="s">
        <v>4122</v>
      </c>
      <c r="E97" s="542" t="s">
        <v>3158</v>
      </c>
      <c r="F97" s="542" t="s">
        <v>3159</v>
      </c>
      <c r="G97" s="546"/>
      <c r="H97" s="546">
        <v>252.54</v>
      </c>
      <c r="I97" s="546">
        <v>252.54</v>
      </c>
      <c r="J97" s="542" t="s">
        <v>2584</v>
      </c>
      <c r="K97" s="547">
        <v>4930</v>
      </c>
      <c r="L97" s="542" t="s">
        <v>806</v>
      </c>
      <c r="M97" s="548"/>
      <c r="N97" s="549">
        <v>18</v>
      </c>
      <c r="O97" s="544" t="s">
        <v>1674</v>
      </c>
      <c r="P97" s="544" t="s">
        <v>1674</v>
      </c>
      <c r="Q97" s="544" t="s">
        <v>4123</v>
      </c>
      <c r="R97" s="544" t="s">
        <v>1674</v>
      </c>
      <c r="S97" s="544" t="s">
        <v>1674</v>
      </c>
      <c r="T97" s="550">
        <v>19</v>
      </c>
      <c r="U97" s="544" t="s">
        <v>2700</v>
      </c>
      <c r="V97" s="547">
        <v>1359</v>
      </c>
      <c r="W97" s="548"/>
      <c r="Y97" s="544" t="s">
        <v>1674</v>
      </c>
      <c r="AA97" s="544" t="s">
        <v>1674</v>
      </c>
      <c r="AB97" s="542">
        <v>3</v>
      </c>
      <c r="AE97" s="551"/>
      <c r="AF97" s="544" t="s">
        <v>1674</v>
      </c>
      <c r="AG97" s="544" t="s">
        <v>1674</v>
      </c>
      <c r="AH97" s="544" t="s">
        <v>1674</v>
      </c>
      <c r="AI97" s="544" t="s">
        <v>1674</v>
      </c>
      <c r="AJ97" s="544" t="s">
        <v>1674</v>
      </c>
      <c r="AK97" s="544" t="s">
        <v>1674</v>
      </c>
      <c r="AL97" s="544" t="s">
        <v>1674</v>
      </c>
      <c r="AM97" s="544" t="s">
        <v>3260</v>
      </c>
      <c r="AN97" s="544" t="s">
        <v>1674</v>
      </c>
      <c r="AP97" s="552">
        <f t="shared" si="2"/>
        <v>252.54</v>
      </c>
    </row>
    <row r="98" spans="1:42" outlineLevel="1" x14ac:dyDescent="0.25">
      <c r="A98" s="544" t="s">
        <v>1674</v>
      </c>
      <c r="B98" s="545">
        <v>72302</v>
      </c>
      <c r="C98" s="544" t="s">
        <v>4124</v>
      </c>
      <c r="D98" s="544" t="s">
        <v>4125</v>
      </c>
      <c r="E98" s="542" t="s">
        <v>3158</v>
      </c>
      <c r="F98" s="542" t="s">
        <v>3159</v>
      </c>
      <c r="G98" s="546"/>
      <c r="H98" s="546">
        <v>1636.25</v>
      </c>
      <c r="I98" s="546">
        <v>1636.25</v>
      </c>
      <c r="J98" s="542" t="s">
        <v>2584</v>
      </c>
      <c r="K98" s="547">
        <v>4900</v>
      </c>
      <c r="L98" s="542" t="s">
        <v>806</v>
      </c>
      <c r="M98" s="548"/>
      <c r="N98" s="549">
        <v>18</v>
      </c>
      <c r="O98" s="544" t="s">
        <v>1674</v>
      </c>
      <c r="P98" s="544" t="s">
        <v>1674</v>
      </c>
      <c r="Q98" s="544" t="s">
        <v>4124</v>
      </c>
      <c r="R98" s="544" t="s">
        <v>1674</v>
      </c>
      <c r="S98" s="544" t="s">
        <v>1674</v>
      </c>
      <c r="T98" s="550">
        <v>19</v>
      </c>
      <c r="U98" s="544" t="s">
        <v>2700</v>
      </c>
      <c r="V98" s="547">
        <v>1360</v>
      </c>
      <c r="W98" s="548"/>
      <c r="Y98" s="544" t="s">
        <v>1674</v>
      </c>
      <c r="AA98" s="544" t="s">
        <v>1674</v>
      </c>
      <c r="AB98" s="542">
        <v>3</v>
      </c>
      <c r="AE98" s="551"/>
      <c r="AF98" s="544" t="s">
        <v>1674</v>
      </c>
      <c r="AG98" s="544" t="s">
        <v>1674</v>
      </c>
      <c r="AH98" s="544" t="s">
        <v>1674</v>
      </c>
      <c r="AI98" s="544" t="s">
        <v>1674</v>
      </c>
      <c r="AJ98" s="544" t="s">
        <v>1674</v>
      </c>
      <c r="AK98" s="544" t="s">
        <v>1674</v>
      </c>
      <c r="AL98" s="544" t="s">
        <v>1674</v>
      </c>
      <c r="AM98" s="544" t="s">
        <v>4126</v>
      </c>
      <c r="AN98" s="544" t="s">
        <v>1674</v>
      </c>
      <c r="AP98" s="552">
        <f t="shared" si="2"/>
        <v>1636.25</v>
      </c>
    </row>
    <row r="99" spans="1:42" outlineLevel="1" x14ac:dyDescent="0.25">
      <c r="A99" s="544" t="s">
        <v>1674</v>
      </c>
      <c r="B99" s="545">
        <v>72500</v>
      </c>
      <c r="C99" s="544" t="s">
        <v>3757</v>
      </c>
      <c r="D99" s="544" t="s">
        <v>4127</v>
      </c>
      <c r="E99" s="542" t="s">
        <v>3158</v>
      </c>
      <c r="F99" s="542" t="s">
        <v>3159</v>
      </c>
      <c r="G99" s="546"/>
      <c r="H99" s="546">
        <v>541.92999999999995</v>
      </c>
      <c r="I99" s="546">
        <v>541.92999999999995</v>
      </c>
      <c r="J99" s="542" t="s">
        <v>2584</v>
      </c>
      <c r="K99" s="547">
        <v>4800</v>
      </c>
      <c r="L99" s="542" t="s">
        <v>806</v>
      </c>
      <c r="M99" s="548"/>
      <c r="N99" s="549">
        <v>18</v>
      </c>
      <c r="O99" s="544" t="s">
        <v>1674</v>
      </c>
      <c r="P99" s="544" t="s">
        <v>1674</v>
      </c>
      <c r="Q99" s="544" t="s">
        <v>4128</v>
      </c>
      <c r="R99" s="544" t="s">
        <v>1674</v>
      </c>
      <c r="S99" s="544" t="s">
        <v>1674</v>
      </c>
      <c r="T99" s="550">
        <v>19</v>
      </c>
      <c r="U99" s="544" t="s">
        <v>2700</v>
      </c>
      <c r="V99" s="547">
        <v>1357</v>
      </c>
      <c r="W99" s="548"/>
      <c r="Y99" s="544" t="s">
        <v>1674</v>
      </c>
      <c r="AA99" s="544" t="s">
        <v>1674</v>
      </c>
      <c r="AB99" s="542">
        <v>3</v>
      </c>
      <c r="AE99" s="551"/>
      <c r="AF99" s="544" t="s">
        <v>1674</v>
      </c>
      <c r="AG99" s="544" t="s">
        <v>1674</v>
      </c>
      <c r="AH99" s="544" t="s">
        <v>1674</v>
      </c>
      <c r="AI99" s="544" t="s">
        <v>1674</v>
      </c>
      <c r="AJ99" s="544" t="s">
        <v>1674</v>
      </c>
      <c r="AK99" s="544" t="s">
        <v>1674</v>
      </c>
      <c r="AL99" s="544" t="s">
        <v>1674</v>
      </c>
      <c r="AM99" s="544" t="s">
        <v>3757</v>
      </c>
      <c r="AN99" s="544" t="s">
        <v>1674</v>
      </c>
      <c r="AP99" s="552">
        <f t="shared" ref="AP99:AP130" si="3">IF(J99="H",+I99,-I99)</f>
        <v>541.92999999999995</v>
      </c>
    </row>
    <row r="100" spans="1:42" outlineLevel="1" x14ac:dyDescent="0.25">
      <c r="A100" s="544" t="s">
        <v>1674</v>
      </c>
      <c r="B100" s="545">
        <v>80107</v>
      </c>
      <c r="C100" s="544" t="s">
        <v>4020</v>
      </c>
      <c r="D100" s="544" t="s">
        <v>4129</v>
      </c>
      <c r="E100" s="542" t="s">
        <v>3158</v>
      </c>
      <c r="F100" s="542" t="s">
        <v>3159</v>
      </c>
      <c r="G100" s="546"/>
      <c r="H100" s="546">
        <v>19.77</v>
      </c>
      <c r="I100" s="546">
        <v>19.77</v>
      </c>
      <c r="J100" s="542" t="s">
        <v>2584</v>
      </c>
      <c r="K100" s="547">
        <v>4980</v>
      </c>
      <c r="L100" s="542" t="s">
        <v>806</v>
      </c>
      <c r="M100" s="548"/>
      <c r="N100" s="549">
        <v>18</v>
      </c>
      <c r="O100" s="544" t="s">
        <v>1674</v>
      </c>
      <c r="P100" s="544" t="s">
        <v>1674</v>
      </c>
      <c r="Q100" s="544" t="s">
        <v>4020</v>
      </c>
      <c r="R100" s="544" t="s">
        <v>1674</v>
      </c>
      <c r="S100" s="544" t="s">
        <v>1674</v>
      </c>
      <c r="T100" s="550"/>
      <c r="U100" s="544" t="s">
        <v>2700</v>
      </c>
      <c r="V100" s="547">
        <v>1358</v>
      </c>
      <c r="W100" s="548"/>
      <c r="Y100" s="544" t="s">
        <v>1674</v>
      </c>
      <c r="AA100" s="544" t="s">
        <v>1674</v>
      </c>
      <c r="AB100" s="542">
        <v>3</v>
      </c>
      <c r="AE100" s="551"/>
      <c r="AF100" s="544" t="s">
        <v>1674</v>
      </c>
      <c r="AG100" s="544" t="s">
        <v>1674</v>
      </c>
      <c r="AH100" s="544" t="s">
        <v>1674</v>
      </c>
      <c r="AI100" s="544" t="s">
        <v>1674</v>
      </c>
      <c r="AJ100" s="544" t="s">
        <v>1674</v>
      </c>
      <c r="AK100" s="544" t="s">
        <v>1674</v>
      </c>
      <c r="AL100" s="544" t="s">
        <v>1674</v>
      </c>
      <c r="AM100" s="544" t="s">
        <v>4023</v>
      </c>
      <c r="AN100" s="544" t="s">
        <v>1674</v>
      </c>
      <c r="AP100" s="552">
        <f t="shared" si="3"/>
        <v>19.77</v>
      </c>
    </row>
    <row r="101" spans="1:42" outlineLevel="1" x14ac:dyDescent="0.25">
      <c r="A101" s="544" t="s">
        <v>2722</v>
      </c>
      <c r="B101" s="545">
        <v>70100</v>
      </c>
      <c r="C101" s="544" t="s">
        <v>2864</v>
      </c>
      <c r="D101" s="544" t="s">
        <v>4130</v>
      </c>
      <c r="E101" s="542" t="s">
        <v>2920</v>
      </c>
      <c r="F101" s="542" t="s">
        <v>3181</v>
      </c>
      <c r="G101" s="546"/>
      <c r="H101" s="546">
        <v>571.67999999999995</v>
      </c>
      <c r="I101" s="546"/>
      <c r="J101" s="542" t="s">
        <v>806</v>
      </c>
      <c r="K101" s="547">
        <v>1576</v>
      </c>
      <c r="L101" s="542" t="s">
        <v>806</v>
      </c>
      <c r="M101" s="548"/>
      <c r="N101" s="549">
        <v>19</v>
      </c>
      <c r="O101" s="544" t="s">
        <v>1674</v>
      </c>
      <c r="P101" s="544" t="s">
        <v>1674</v>
      </c>
      <c r="Q101" s="544" t="s">
        <v>4131</v>
      </c>
      <c r="R101" s="544" t="s">
        <v>1674</v>
      </c>
      <c r="S101" s="544" t="s">
        <v>1674</v>
      </c>
      <c r="T101" s="550"/>
      <c r="U101" s="544" t="s">
        <v>2700</v>
      </c>
      <c r="V101" s="547">
        <v>1530</v>
      </c>
      <c r="W101" s="548"/>
      <c r="Y101" s="544" t="s">
        <v>1674</v>
      </c>
      <c r="AA101" s="544" t="s">
        <v>1674</v>
      </c>
      <c r="AB101" s="542">
        <v>3</v>
      </c>
      <c r="AE101" s="551"/>
      <c r="AF101" s="544" t="s">
        <v>1674</v>
      </c>
      <c r="AG101" s="544" t="s">
        <v>1674</v>
      </c>
      <c r="AH101" s="544" t="s">
        <v>1674</v>
      </c>
      <c r="AI101" s="544" t="s">
        <v>1674</v>
      </c>
      <c r="AJ101" s="544" t="s">
        <v>1674</v>
      </c>
      <c r="AK101" s="544" t="s">
        <v>1674</v>
      </c>
      <c r="AL101" s="544" t="s">
        <v>1674</v>
      </c>
      <c r="AM101" s="544" t="s">
        <v>2864</v>
      </c>
      <c r="AN101" s="544" t="s">
        <v>1674</v>
      </c>
      <c r="AP101" s="552">
        <f t="shared" si="3"/>
        <v>0</v>
      </c>
    </row>
    <row r="102" spans="1:42" outlineLevel="1" x14ac:dyDescent="0.25">
      <c r="A102" s="544" t="s">
        <v>1674</v>
      </c>
      <c r="B102" s="545">
        <v>0</v>
      </c>
      <c r="C102" s="544" t="s">
        <v>1674</v>
      </c>
      <c r="D102" s="544" t="s">
        <v>4130</v>
      </c>
      <c r="E102" s="542" t="s">
        <v>2920</v>
      </c>
      <c r="F102" s="542" t="s">
        <v>3181</v>
      </c>
      <c r="G102" s="546"/>
      <c r="H102" s="546">
        <v>300</v>
      </c>
      <c r="I102" s="546">
        <v>871.68</v>
      </c>
      <c r="J102" s="542" t="s">
        <v>2584</v>
      </c>
      <c r="K102" s="547">
        <v>4542</v>
      </c>
      <c r="L102" s="542" t="s">
        <v>806</v>
      </c>
      <c r="M102" s="548"/>
      <c r="N102" s="549">
        <v>19</v>
      </c>
      <c r="O102" s="544" t="s">
        <v>1674</v>
      </c>
      <c r="P102" s="544" t="s">
        <v>1674</v>
      </c>
      <c r="Q102" s="544" t="s">
        <v>4131</v>
      </c>
      <c r="R102" s="544" t="s">
        <v>1674</v>
      </c>
      <c r="S102" s="544" t="s">
        <v>1674</v>
      </c>
      <c r="T102" s="550"/>
      <c r="U102" s="544" t="s">
        <v>2700</v>
      </c>
      <c r="V102" s="547">
        <v>1531</v>
      </c>
      <c r="W102" s="548"/>
      <c r="Y102" s="544" t="s">
        <v>1674</v>
      </c>
      <c r="AA102" s="544" t="s">
        <v>1674</v>
      </c>
      <c r="AB102" s="542">
        <v>3</v>
      </c>
      <c r="AE102" s="551"/>
      <c r="AF102" s="544" t="s">
        <v>1674</v>
      </c>
      <c r="AG102" s="544" t="s">
        <v>1674</v>
      </c>
      <c r="AH102" s="544" t="s">
        <v>1674</v>
      </c>
      <c r="AI102" s="544" t="s">
        <v>1674</v>
      </c>
      <c r="AJ102" s="544" t="s">
        <v>1674</v>
      </c>
      <c r="AK102" s="544" t="s">
        <v>1674</v>
      </c>
      <c r="AL102" s="544" t="s">
        <v>1674</v>
      </c>
      <c r="AM102" s="544" t="s">
        <v>1674</v>
      </c>
      <c r="AN102" s="544" t="s">
        <v>1674</v>
      </c>
      <c r="AP102" s="552">
        <f t="shared" si="3"/>
        <v>871.68</v>
      </c>
    </row>
    <row r="103" spans="1:42" outlineLevel="1" x14ac:dyDescent="0.25">
      <c r="A103" s="544" t="s">
        <v>1674</v>
      </c>
      <c r="B103" s="545">
        <v>0</v>
      </c>
      <c r="C103" s="544" t="s">
        <v>1674</v>
      </c>
      <c r="D103" s="544" t="s">
        <v>4132</v>
      </c>
      <c r="E103" s="542" t="s">
        <v>2920</v>
      </c>
      <c r="F103" s="542" t="s">
        <v>3181</v>
      </c>
      <c r="G103" s="546"/>
      <c r="H103" s="546">
        <v>2409.06</v>
      </c>
      <c r="I103" s="546">
        <v>2409.06</v>
      </c>
      <c r="J103" s="542" t="s">
        <v>2584</v>
      </c>
      <c r="K103" s="547">
        <v>4730</v>
      </c>
      <c r="L103" s="542" t="s">
        <v>806</v>
      </c>
      <c r="M103" s="548"/>
      <c r="N103" s="549">
        <v>19</v>
      </c>
      <c r="O103" s="544" t="s">
        <v>1674</v>
      </c>
      <c r="P103" s="544" t="s">
        <v>1674</v>
      </c>
      <c r="Q103" s="544" t="s">
        <v>4133</v>
      </c>
      <c r="R103" s="544" t="s">
        <v>1674</v>
      </c>
      <c r="S103" s="544" t="s">
        <v>1674</v>
      </c>
      <c r="T103" s="550">
        <v>19</v>
      </c>
      <c r="U103" s="544" t="s">
        <v>2700</v>
      </c>
      <c r="V103" s="547">
        <v>1521</v>
      </c>
      <c r="W103" s="548"/>
      <c r="Y103" s="544" t="s">
        <v>1674</v>
      </c>
      <c r="AA103" s="544" t="s">
        <v>1674</v>
      </c>
      <c r="AB103" s="542">
        <v>3</v>
      </c>
      <c r="AE103" s="551"/>
      <c r="AF103" s="544" t="s">
        <v>1674</v>
      </c>
      <c r="AG103" s="544" t="s">
        <v>1674</v>
      </c>
      <c r="AH103" s="544" t="s">
        <v>1674</v>
      </c>
      <c r="AI103" s="544" t="s">
        <v>1674</v>
      </c>
      <c r="AJ103" s="544" t="s">
        <v>1674</v>
      </c>
      <c r="AK103" s="544" t="s">
        <v>1674</v>
      </c>
      <c r="AL103" s="544" t="s">
        <v>1674</v>
      </c>
      <c r="AM103" s="544" t="s">
        <v>1674</v>
      </c>
      <c r="AN103" s="544" t="s">
        <v>1674</v>
      </c>
      <c r="AP103" s="552">
        <f t="shared" si="3"/>
        <v>2409.06</v>
      </c>
    </row>
    <row r="104" spans="1:42" outlineLevel="1" x14ac:dyDescent="0.25">
      <c r="A104" s="544" t="s">
        <v>1674</v>
      </c>
      <c r="B104" s="545">
        <v>70210</v>
      </c>
      <c r="C104" s="544" t="s">
        <v>4096</v>
      </c>
      <c r="D104" s="544" t="s">
        <v>4134</v>
      </c>
      <c r="E104" s="542" t="s">
        <v>2920</v>
      </c>
      <c r="F104" s="542" t="s">
        <v>3181</v>
      </c>
      <c r="G104" s="546"/>
      <c r="H104" s="546">
        <v>6034.73</v>
      </c>
      <c r="I104" s="546">
        <v>6034.73</v>
      </c>
      <c r="J104" s="542" t="s">
        <v>2584</v>
      </c>
      <c r="K104" s="547">
        <v>3106</v>
      </c>
      <c r="L104" s="542" t="s">
        <v>806</v>
      </c>
      <c r="M104" s="548"/>
      <c r="N104" s="549">
        <v>19</v>
      </c>
      <c r="O104" s="544" t="s">
        <v>1674</v>
      </c>
      <c r="P104" s="544" t="s">
        <v>1674</v>
      </c>
      <c r="Q104" s="544" t="s">
        <v>4096</v>
      </c>
      <c r="R104" s="544" t="s">
        <v>1674</v>
      </c>
      <c r="S104" s="544" t="s">
        <v>1674</v>
      </c>
      <c r="T104" s="550">
        <v>19</v>
      </c>
      <c r="U104" s="544" t="s">
        <v>2700</v>
      </c>
      <c r="V104" s="547">
        <v>1458</v>
      </c>
      <c r="W104" s="548"/>
      <c r="Y104" s="544" t="s">
        <v>1674</v>
      </c>
      <c r="AA104" s="544" t="s">
        <v>1674</v>
      </c>
      <c r="AB104" s="542">
        <v>3</v>
      </c>
      <c r="AE104" s="551"/>
      <c r="AF104" s="544" t="s">
        <v>1674</v>
      </c>
      <c r="AG104" s="544" t="s">
        <v>1674</v>
      </c>
      <c r="AH104" s="544" t="s">
        <v>1674</v>
      </c>
      <c r="AI104" s="544" t="s">
        <v>1674</v>
      </c>
      <c r="AJ104" s="544" t="s">
        <v>1674</v>
      </c>
      <c r="AK104" s="544" t="s">
        <v>1674</v>
      </c>
      <c r="AL104" s="544" t="s">
        <v>1674</v>
      </c>
      <c r="AM104" s="544" t="s">
        <v>4096</v>
      </c>
      <c r="AN104" s="544" t="s">
        <v>1674</v>
      </c>
      <c r="AP104" s="552">
        <f t="shared" si="3"/>
        <v>6034.73</v>
      </c>
    </row>
    <row r="105" spans="1:42" outlineLevel="1" x14ac:dyDescent="0.25">
      <c r="A105" s="544" t="s">
        <v>1674</v>
      </c>
      <c r="B105" s="545">
        <v>70300</v>
      </c>
      <c r="C105" s="544" t="s">
        <v>4135</v>
      </c>
      <c r="D105" s="544" t="s">
        <v>4136</v>
      </c>
      <c r="E105" s="542" t="s">
        <v>2920</v>
      </c>
      <c r="F105" s="542" t="s">
        <v>3181</v>
      </c>
      <c r="G105" s="546"/>
      <c r="H105" s="546">
        <v>828.09</v>
      </c>
      <c r="I105" s="546"/>
      <c r="J105" s="542" t="s">
        <v>806</v>
      </c>
      <c r="K105" s="547">
        <v>4640</v>
      </c>
      <c r="L105" s="542" t="s">
        <v>806</v>
      </c>
      <c r="M105" s="548"/>
      <c r="N105" s="549">
        <v>19</v>
      </c>
      <c r="O105" s="544" t="s">
        <v>1674</v>
      </c>
      <c r="P105" s="544" t="s">
        <v>1674</v>
      </c>
      <c r="Q105" s="544" t="s">
        <v>4137</v>
      </c>
      <c r="R105" s="544" t="s">
        <v>1674</v>
      </c>
      <c r="S105" s="544" t="s">
        <v>1674</v>
      </c>
      <c r="T105" s="550">
        <v>19</v>
      </c>
      <c r="U105" s="544" t="s">
        <v>2700</v>
      </c>
      <c r="V105" s="547">
        <v>1518</v>
      </c>
      <c r="W105" s="548"/>
      <c r="Y105" s="544" t="s">
        <v>1674</v>
      </c>
      <c r="AA105" s="544" t="s">
        <v>1674</v>
      </c>
      <c r="AB105" s="542">
        <v>3</v>
      </c>
      <c r="AE105" s="551"/>
      <c r="AF105" s="544" t="s">
        <v>1674</v>
      </c>
      <c r="AG105" s="544" t="s">
        <v>1674</v>
      </c>
      <c r="AH105" s="544" t="s">
        <v>1674</v>
      </c>
      <c r="AI105" s="544" t="s">
        <v>1674</v>
      </c>
      <c r="AJ105" s="544" t="s">
        <v>1674</v>
      </c>
      <c r="AK105" s="544" t="s">
        <v>1674</v>
      </c>
      <c r="AL105" s="544" t="s">
        <v>1674</v>
      </c>
      <c r="AM105" s="544" t="s">
        <v>4135</v>
      </c>
      <c r="AN105" s="544" t="s">
        <v>1674</v>
      </c>
      <c r="AP105" s="552">
        <f t="shared" si="3"/>
        <v>0</v>
      </c>
    </row>
    <row r="106" spans="1:42" outlineLevel="1" x14ac:dyDescent="0.25">
      <c r="A106" s="544" t="s">
        <v>1674</v>
      </c>
      <c r="B106" s="545">
        <v>0</v>
      </c>
      <c r="C106" s="544" t="s">
        <v>1674</v>
      </c>
      <c r="D106" s="544" t="s">
        <v>4136</v>
      </c>
      <c r="E106" s="542" t="s">
        <v>2920</v>
      </c>
      <c r="F106" s="542" t="s">
        <v>3181</v>
      </c>
      <c r="G106" s="546"/>
      <c r="H106" s="546">
        <v>73.62</v>
      </c>
      <c r="I106" s="546">
        <v>901.71</v>
      </c>
      <c r="J106" s="542" t="s">
        <v>2584</v>
      </c>
      <c r="K106" s="547">
        <v>4640</v>
      </c>
      <c r="L106" s="542" t="s">
        <v>806</v>
      </c>
      <c r="M106" s="548"/>
      <c r="N106" s="549">
        <v>19</v>
      </c>
      <c r="O106" s="544" t="s">
        <v>1674</v>
      </c>
      <c r="P106" s="544" t="s">
        <v>1674</v>
      </c>
      <c r="Q106" s="544" t="s">
        <v>4137</v>
      </c>
      <c r="R106" s="544" t="s">
        <v>1674</v>
      </c>
      <c r="S106" s="544" t="s">
        <v>1674</v>
      </c>
      <c r="T106" s="550">
        <v>7</v>
      </c>
      <c r="U106" s="544" t="s">
        <v>2700</v>
      </c>
      <c r="V106" s="547">
        <v>1519</v>
      </c>
      <c r="W106" s="548"/>
      <c r="Y106" s="544" t="s">
        <v>1674</v>
      </c>
      <c r="AA106" s="544" t="s">
        <v>1674</v>
      </c>
      <c r="AB106" s="542">
        <v>3</v>
      </c>
      <c r="AE106" s="551"/>
      <c r="AF106" s="544" t="s">
        <v>1674</v>
      </c>
      <c r="AG106" s="544" t="s">
        <v>1674</v>
      </c>
      <c r="AH106" s="544" t="s">
        <v>1674</v>
      </c>
      <c r="AI106" s="544" t="s">
        <v>1674</v>
      </c>
      <c r="AJ106" s="544" t="s">
        <v>1674</v>
      </c>
      <c r="AK106" s="544" t="s">
        <v>1674</v>
      </c>
      <c r="AL106" s="544" t="s">
        <v>1674</v>
      </c>
      <c r="AM106" s="544" t="s">
        <v>1674</v>
      </c>
      <c r="AN106" s="544" t="s">
        <v>1674</v>
      </c>
      <c r="AP106" s="552">
        <f t="shared" si="3"/>
        <v>901.71</v>
      </c>
    </row>
    <row r="107" spans="1:42" outlineLevel="1" x14ac:dyDescent="0.25">
      <c r="A107" s="544" t="s">
        <v>1674</v>
      </c>
      <c r="B107" s="545">
        <v>70400</v>
      </c>
      <c r="C107" s="544" t="s">
        <v>2730</v>
      </c>
      <c r="D107" s="544" t="s">
        <v>4138</v>
      </c>
      <c r="E107" s="542" t="s">
        <v>2920</v>
      </c>
      <c r="F107" s="542" t="s">
        <v>3181</v>
      </c>
      <c r="G107" s="546"/>
      <c r="H107" s="546">
        <v>963.33</v>
      </c>
      <c r="I107" s="546"/>
      <c r="J107" s="542" t="s">
        <v>806</v>
      </c>
      <c r="K107" s="547">
        <v>4730</v>
      </c>
      <c r="L107" s="542" t="s">
        <v>806</v>
      </c>
      <c r="M107" s="548"/>
      <c r="N107" s="549">
        <v>19</v>
      </c>
      <c r="O107" s="544" t="s">
        <v>1674</v>
      </c>
      <c r="P107" s="544" t="s">
        <v>1674</v>
      </c>
      <c r="Q107" s="544" t="s">
        <v>4119</v>
      </c>
      <c r="R107" s="544" t="s">
        <v>1674</v>
      </c>
      <c r="S107" s="544" t="s">
        <v>1674</v>
      </c>
      <c r="T107" s="550">
        <v>19</v>
      </c>
      <c r="U107" s="544" t="s">
        <v>2700</v>
      </c>
      <c r="V107" s="547">
        <v>1522</v>
      </c>
      <c r="W107" s="548"/>
      <c r="Y107" s="544" t="s">
        <v>1674</v>
      </c>
      <c r="AA107" s="544" t="s">
        <v>1674</v>
      </c>
      <c r="AB107" s="542">
        <v>3</v>
      </c>
      <c r="AE107" s="551"/>
      <c r="AF107" s="544" t="s">
        <v>1674</v>
      </c>
      <c r="AG107" s="544" t="s">
        <v>1674</v>
      </c>
      <c r="AH107" s="544" t="s">
        <v>1674</v>
      </c>
      <c r="AI107" s="544" t="s">
        <v>1674</v>
      </c>
      <c r="AJ107" s="544" t="s">
        <v>1674</v>
      </c>
      <c r="AK107" s="544" t="s">
        <v>1674</v>
      </c>
      <c r="AL107" s="544" t="s">
        <v>1674</v>
      </c>
      <c r="AM107" s="544" t="s">
        <v>2730</v>
      </c>
      <c r="AN107" s="544" t="s">
        <v>1674</v>
      </c>
      <c r="AP107" s="552">
        <f t="shared" si="3"/>
        <v>0</v>
      </c>
    </row>
    <row r="108" spans="1:42" outlineLevel="1" x14ac:dyDescent="0.25">
      <c r="A108" s="544" t="s">
        <v>1674</v>
      </c>
      <c r="B108" s="545">
        <v>0</v>
      </c>
      <c r="C108" s="544" t="s">
        <v>1674</v>
      </c>
      <c r="D108" s="544" t="s">
        <v>4138</v>
      </c>
      <c r="E108" s="542" t="s">
        <v>2920</v>
      </c>
      <c r="F108" s="542" t="s">
        <v>3181</v>
      </c>
      <c r="G108" s="546"/>
      <c r="H108" s="546">
        <v>119.36</v>
      </c>
      <c r="I108" s="546">
        <v>1082.69</v>
      </c>
      <c r="J108" s="542" t="s">
        <v>2584</v>
      </c>
      <c r="K108" s="547">
        <v>4730</v>
      </c>
      <c r="L108" s="542" t="s">
        <v>806</v>
      </c>
      <c r="M108" s="548"/>
      <c r="N108" s="549">
        <v>19</v>
      </c>
      <c r="O108" s="544" t="s">
        <v>1674</v>
      </c>
      <c r="P108" s="544" t="s">
        <v>1674</v>
      </c>
      <c r="Q108" s="544" t="s">
        <v>4119</v>
      </c>
      <c r="R108" s="544" t="s">
        <v>1674</v>
      </c>
      <c r="S108" s="544" t="s">
        <v>1674</v>
      </c>
      <c r="T108" s="550">
        <v>19</v>
      </c>
      <c r="U108" s="544" t="s">
        <v>2700</v>
      </c>
      <c r="V108" s="547">
        <v>1523</v>
      </c>
      <c r="W108" s="548"/>
      <c r="Y108" s="544" t="s">
        <v>1674</v>
      </c>
      <c r="AA108" s="544" t="s">
        <v>1674</v>
      </c>
      <c r="AB108" s="542">
        <v>3</v>
      </c>
      <c r="AE108" s="551"/>
      <c r="AF108" s="544" t="s">
        <v>1674</v>
      </c>
      <c r="AG108" s="544" t="s">
        <v>1674</v>
      </c>
      <c r="AH108" s="544" t="s">
        <v>1674</v>
      </c>
      <c r="AI108" s="544" t="s">
        <v>1674</v>
      </c>
      <c r="AJ108" s="544" t="s">
        <v>1674</v>
      </c>
      <c r="AK108" s="544" t="s">
        <v>1674</v>
      </c>
      <c r="AL108" s="544" t="s">
        <v>1674</v>
      </c>
      <c r="AM108" s="544" t="s">
        <v>1674</v>
      </c>
      <c r="AN108" s="544" t="s">
        <v>1674</v>
      </c>
      <c r="AP108" s="552">
        <f t="shared" si="3"/>
        <v>1082.69</v>
      </c>
    </row>
    <row r="109" spans="1:42" outlineLevel="1" x14ac:dyDescent="0.25">
      <c r="A109" s="544" t="s">
        <v>1674</v>
      </c>
      <c r="B109" s="545">
        <v>71200</v>
      </c>
      <c r="C109" s="544" t="s">
        <v>2871</v>
      </c>
      <c r="D109" s="544" t="s">
        <v>4139</v>
      </c>
      <c r="E109" s="542" t="s">
        <v>2920</v>
      </c>
      <c r="F109" s="542" t="s">
        <v>3181</v>
      </c>
      <c r="G109" s="546"/>
      <c r="H109" s="546">
        <v>42.17</v>
      </c>
      <c r="I109" s="546">
        <v>42.17</v>
      </c>
      <c r="J109" s="542" t="s">
        <v>2584</v>
      </c>
      <c r="K109" s="547">
        <v>4900</v>
      </c>
      <c r="L109" s="542" t="s">
        <v>806</v>
      </c>
      <c r="M109" s="548"/>
      <c r="N109" s="549">
        <v>19</v>
      </c>
      <c r="O109" s="544" t="s">
        <v>1674</v>
      </c>
      <c r="P109" s="544" t="s">
        <v>1674</v>
      </c>
      <c r="Q109" s="544" t="s">
        <v>4140</v>
      </c>
      <c r="R109" s="544" t="s">
        <v>1674</v>
      </c>
      <c r="S109" s="544" t="s">
        <v>1674</v>
      </c>
      <c r="T109" s="550">
        <v>19</v>
      </c>
      <c r="U109" s="544" t="s">
        <v>2700</v>
      </c>
      <c r="V109" s="547">
        <v>1520</v>
      </c>
      <c r="W109" s="548"/>
      <c r="Y109" s="544" t="s">
        <v>1674</v>
      </c>
      <c r="AA109" s="544" t="s">
        <v>1674</v>
      </c>
      <c r="AB109" s="542">
        <v>3</v>
      </c>
      <c r="AE109" s="551"/>
      <c r="AF109" s="544" t="s">
        <v>1674</v>
      </c>
      <c r="AG109" s="544" t="s">
        <v>1674</v>
      </c>
      <c r="AH109" s="544" t="s">
        <v>1674</v>
      </c>
      <c r="AI109" s="544" t="s">
        <v>1674</v>
      </c>
      <c r="AJ109" s="544" t="s">
        <v>1674</v>
      </c>
      <c r="AK109" s="544" t="s">
        <v>1674</v>
      </c>
      <c r="AL109" s="544" t="s">
        <v>1674</v>
      </c>
      <c r="AM109" s="544" t="s">
        <v>2871</v>
      </c>
      <c r="AN109" s="544" t="s">
        <v>1674</v>
      </c>
      <c r="AP109" s="552">
        <f t="shared" si="3"/>
        <v>42.17</v>
      </c>
    </row>
    <row r="110" spans="1:42" outlineLevel="1" x14ac:dyDescent="0.25">
      <c r="A110" s="544" t="s">
        <v>1674</v>
      </c>
      <c r="B110" s="545">
        <v>71400</v>
      </c>
      <c r="C110" s="544" t="s">
        <v>4141</v>
      </c>
      <c r="D110" s="544" t="s">
        <v>4142</v>
      </c>
      <c r="E110" s="542" t="s">
        <v>2920</v>
      </c>
      <c r="F110" s="542" t="s">
        <v>3181</v>
      </c>
      <c r="G110" s="546"/>
      <c r="H110" s="546">
        <v>682.12</v>
      </c>
      <c r="I110" s="546">
        <v>682.12</v>
      </c>
      <c r="J110" s="542" t="s">
        <v>2584</v>
      </c>
      <c r="K110" s="547">
        <v>4805</v>
      </c>
      <c r="L110" s="542" t="s">
        <v>806</v>
      </c>
      <c r="M110" s="548"/>
      <c r="N110" s="549">
        <v>19</v>
      </c>
      <c r="O110" s="544" t="s">
        <v>1674</v>
      </c>
      <c r="P110" s="544" t="s">
        <v>1674</v>
      </c>
      <c r="Q110" s="544" t="s">
        <v>4143</v>
      </c>
      <c r="R110" s="544" t="s">
        <v>1674</v>
      </c>
      <c r="S110" s="544" t="s">
        <v>1674</v>
      </c>
      <c r="T110" s="550">
        <v>19</v>
      </c>
      <c r="U110" s="544" t="s">
        <v>2700</v>
      </c>
      <c r="V110" s="547">
        <v>1514</v>
      </c>
      <c r="W110" s="548"/>
      <c r="Y110" s="544" t="s">
        <v>1674</v>
      </c>
      <c r="AA110" s="544" t="s">
        <v>1674</v>
      </c>
      <c r="AB110" s="542">
        <v>3</v>
      </c>
      <c r="AE110" s="551"/>
      <c r="AF110" s="544" t="s">
        <v>1674</v>
      </c>
      <c r="AG110" s="544" t="s">
        <v>1674</v>
      </c>
      <c r="AH110" s="544" t="s">
        <v>1674</v>
      </c>
      <c r="AI110" s="544" t="s">
        <v>1674</v>
      </c>
      <c r="AJ110" s="544" t="s">
        <v>1674</v>
      </c>
      <c r="AK110" s="544" t="s">
        <v>1674</v>
      </c>
      <c r="AL110" s="544" t="s">
        <v>1674</v>
      </c>
      <c r="AM110" s="544" t="s">
        <v>4141</v>
      </c>
      <c r="AN110" s="544" t="s">
        <v>1674</v>
      </c>
      <c r="AP110" s="552">
        <f t="shared" si="3"/>
        <v>682.12</v>
      </c>
    </row>
    <row r="111" spans="1:42" outlineLevel="1" x14ac:dyDescent="0.25">
      <c r="A111" s="544" t="s">
        <v>1674</v>
      </c>
      <c r="B111" s="545">
        <v>72100</v>
      </c>
      <c r="C111" s="544" t="s">
        <v>2955</v>
      </c>
      <c r="D111" s="544" t="s">
        <v>4144</v>
      </c>
      <c r="E111" s="542" t="s">
        <v>2920</v>
      </c>
      <c r="F111" s="542" t="s">
        <v>3181</v>
      </c>
      <c r="G111" s="546"/>
      <c r="H111" s="546">
        <v>3290.64</v>
      </c>
      <c r="I111" s="546">
        <v>3290.64</v>
      </c>
      <c r="J111" s="542" t="s">
        <v>2584</v>
      </c>
      <c r="K111" s="547">
        <v>4250</v>
      </c>
      <c r="L111" s="542" t="s">
        <v>806</v>
      </c>
      <c r="M111" s="548"/>
      <c r="N111" s="549">
        <v>19</v>
      </c>
      <c r="O111" s="544" t="s">
        <v>1674</v>
      </c>
      <c r="P111" s="544" t="s">
        <v>1674</v>
      </c>
      <c r="Q111" s="544" t="s">
        <v>4145</v>
      </c>
      <c r="R111" s="544" t="s">
        <v>1674</v>
      </c>
      <c r="S111" s="544" t="s">
        <v>1674</v>
      </c>
      <c r="T111" s="550">
        <v>19</v>
      </c>
      <c r="U111" s="544" t="s">
        <v>2700</v>
      </c>
      <c r="V111" s="547">
        <v>1516</v>
      </c>
      <c r="W111" s="548"/>
      <c r="Y111" s="544" t="s">
        <v>1674</v>
      </c>
      <c r="AA111" s="544" t="s">
        <v>1674</v>
      </c>
      <c r="AB111" s="542">
        <v>3</v>
      </c>
      <c r="AE111" s="551"/>
      <c r="AF111" s="544" t="s">
        <v>1674</v>
      </c>
      <c r="AG111" s="544" t="s">
        <v>1674</v>
      </c>
      <c r="AH111" s="544" t="s">
        <v>1674</v>
      </c>
      <c r="AI111" s="544" t="s">
        <v>1674</v>
      </c>
      <c r="AJ111" s="544" t="s">
        <v>1674</v>
      </c>
      <c r="AK111" s="544" t="s">
        <v>1674</v>
      </c>
      <c r="AL111" s="544" t="s">
        <v>1674</v>
      </c>
      <c r="AM111" s="544" t="s">
        <v>2955</v>
      </c>
      <c r="AN111" s="544" t="s">
        <v>1674</v>
      </c>
      <c r="AP111" s="552">
        <f t="shared" si="3"/>
        <v>3290.64</v>
      </c>
    </row>
    <row r="112" spans="1:42" outlineLevel="1" x14ac:dyDescent="0.25">
      <c r="A112" s="544" t="s">
        <v>1674</v>
      </c>
      <c r="B112" s="545">
        <v>72200</v>
      </c>
      <c r="C112" s="544" t="s">
        <v>3260</v>
      </c>
      <c r="D112" s="544" t="s">
        <v>4146</v>
      </c>
      <c r="E112" s="542" t="s">
        <v>2920</v>
      </c>
      <c r="F112" s="542" t="s">
        <v>3181</v>
      </c>
      <c r="G112" s="546"/>
      <c r="H112" s="546">
        <v>47.6</v>
      </c>
      <c r="I112" s="546">
        <v>47.6</v>
      </c>
      <c r="J112" s="542" t="s">
        <v>2584</v>
      </c>
      <c r="K112" s="547">
        <v>4730</v>
      </c>
      <c r="L112" s="542" t="s">
        <v>806</v>
      </c>
      <c r="M112" s="548"/>
      <c r="N112" s="549">
        <v>19</v>
      </c>
      <c r="O112" s="544" t="s">
        <v>1674</v>
      </c>
      <c r="P112" s="544" t="s">
        <v>1674</v>
      </c>
      <c r="Q112" s="544" t="s">
        <v>4040</v>
      </c>
      <c r="R112" s="544" t="s">
        <v>1674</v>
      </c>
      <c r="S112" s="544" t="s">
        <v>1674</v>
      </c>
      <c r="T112" s="550">
        <v>19</v>
      </c>
      <c r="U112" s="544" t="s">
        <v>2700</v>
      </c>
      <c r="V112" s="547">
        <v>1515</v>
      </c>
      <c r="W112" s="548"/>
      <c r="Y112" s="544" t="s">
        <v>1674</v>
      </c>
      <c r="AA112" s="544" t="s">
        <v>1674</v>
      </c>
      <c r="AB112" s="542">
        <v>3</v>
      </c>
      <c r="AE112" s="551"/>
      <c r="AF112" s="544" t="s">
        <v>1674</v>
      </c>
      <c r="AG112" s="544" t="s">
        <v>1674</v>
      </c>
      <c r="AH112" s="544" t="s">
        <v>1674</v>
      </c>
      <c r="AI112" s="544" t="s">
        <v>1674</v>
      </c>
      <c r="AJ112" s="544" t="s">
        <v>1674</v>
      </c>
      <c r="AK112" s="544" t="s">
        <v>1674</v>
      </c>
      <c r="AL112" s="544" t="s">
        <v>1674</v>
      </c>
      <c r="AM112" s="544" t="s">
        <v>3260</v>
      </c>
      <c r="AN112" s="544" t="s">
        <v>1674</v>
      </c>
      <c r="AP112" s="552">
        <f t="shared" si="3"/>
        <v>47.6</v>
      </c>
    </row>
    <row r="113" spans="1:42" outlineLevel="1" x14ac:dyDescent="0.25">
      <c r="A113" s="544" t="s">
        <v>1674</v>
      </c>
      <c r="B113" s="545">
        <v>0</v>
      </c>
      <c r="C113" s="544" t="s">
        <v>1674</v>
      </c>
      <c r="D113" s="544" t="s">
        <v>4147</v>
      </c>
      <c r="E113" s="542" t="s">
        <v>2920</v>
      </c>
      <c r="F113" s="542" t="s">
        <v>3181</v>
      </c>
      <c r="G113" s="546"/>
      <c r="H113" s="546">
        <v>47.6</v>
      </c>
      <c r="I113" s="546">
        <v>47.6</v>
      </c>
      <c r="J113" s="542" t="s">
        <v>2584</v>
      </c>
      <c r="K113" s="547">
        <v>4730</v>
      </c>
      <c r="L113" s="542" t="s">
        <v>806</v>
      </c>
      <c r="M113" s="548"/>
      <c r="N113" s="549">
        <v>19</v>
      </c>
      <c r="O113" s="544" t="s">
        <v>1674</v>
      </c>
      <c r="P113" s="544" t="s">
        <v>1674</v>
      </c>
      <c r="Q113" s="544" t="s">
        <v>4040</v>
      </c>
      <c r="R113" s="544" t="s">
        <v>1674</v>
      </c>
      <c r="S113" s="544" t="s">
        <v>1674</v>
      </c>
      <c r="T113" s="550">
        <v>19</v>
      </c>
      <c r="U113" s="544" t="s">
        <v>2700</v>
      </c>
      <c r="V113" s="547">
        <v>1517</v>
      </c>
      <c r="W113" s="548"/>
      <c r="Y113" s="544" t="s">
        <v>1674</v>
      </c>
      <c r="AA113" s="544" t="s">
        <v>1674</v>
      </c>
      <c r="AB113" s="542">
        <v>3</v>
      </c>
      <c r="AE113" s="551"/>
      <c r="AF113" s="544" t="s">
        <v>1674</v>
      </c>
      <c r="AG113" s="544" t="s">
        <v>1674</v>
      </c>
      <c r="AH113" s="544" t="s">
        <v>1674</v>
      </c>
      <c r="AI113" s="544" t="s">
        <v>1674</v>
      </c>
      <c r="AJ113" s="544" t="s">
        <v>1674</v>
      </c>
      <c r="AK113" s="544" t="s">
        <v>1674</v>
      </c>
      <c r="AL113" s="544" t="s">
        <v>1674</v>
      </c>
      <c r="AM113" s="544" t="s">
        <v>1674</v>
      </c>
      <c r="AN113" s="544" t="s">
        <v>1674</v>
      </c>
      <c r="AP113" s="552">
        <f t="shared" si="3"/>
        <v>47.6</v>
      </c>
    </row>
    <row r="114" spans="1:42" outlineLevel="1" x14ac:dyDescent="0.25">
      <c r="A114" s="544" t="s">
        <v>1674</v>
      </c>
      <c r="B114" s="545">
        <v>72204</v>
      </c>
      <c r="C114" s="544" t="s">
        <v>4148</v>
      </c>
      <c r="D114" s="544" t="s">
        <v>4149</v>
      </c>
      <c r="E114" s="542" t="s">
        <v>2920</v>
      </c>
      <c r="F114" s="542" t="s">
        <v>3181</v>
      </c>
      <c r="G114" s="546"/>
      <c r="H114" s="546">
        <v>490.76</v>
      </c>
      <c r="I114" s="546">
        <v>490.76</v>
      </c>
      <c r="J114" s="542" t="s">
        <v>2584</v>
      </c>
      <c r="K114" s="547">
        <v>3800</v>
      </c>
      <c r="L114" s="542" t="s">
        <v>806</v>
      </c>
      <c r="M114" s="548"/>
      <c r="N114" s="549">
        <v>19</v>
      </c>
      <c r="O114" s="544" t="s">
        <v>1674</v>
      </c>
      <c r="P114" s="544" t="s">
        <v>1674</v>
      </c>
      <c r="Q114" s="544" t="s">
        <v>4148</v>
      </c>
      <c r="R114" s="544" t="s">
        <v>1674</v>
      </c>
      <c r="S114" s="544" t="s">
        <v>1674</v>
      </c>
      <c r="T114" s="550">
        <v>19</v>
      </c>
      <c r="U114" s="544" t="s">
        <v>2700</v>
      </c>
      <c r="V114" s="547">
        <v>1532</v>
      </c>
      <c r="W114" s="548"/>
      <c r="Y114" s="544" t="s">
        <v>1674</v>
      </c>
      <c r="AA114" s="544" t="s">
        <v>1674</v>
      </c>
      <c r="AB114" s="542">
        <v>3</v>
      </c>
      <c r="AE114" s="551"/>
      <c r="AF114" s="544" t="s">
        <v>1674</v>
      </c>
      <c r="AG114" s="544" t="s">
        <v>1674</v>
      </c>
      <c r="AH114" s="544" t="s">
        <v>1674</v>
      </c>
      <c r="AI114" s="544" t="s">
        <v>1674</v>
      </c>
      <c r="AJ114" s="544" t="s">
        <v>1674</v>
      </c>
      <c r="AK114" s="544" t="s">
        <v>1674</v>
      </c>
      <c r="AL114" s="544" t="s">
        <v>1674</v>
      </c>
      <c r="AM114" s="544" t="s">
        <v>4150</v>
      </c>
      <c r="AN114" s="544" t="s">
        <v>1674</v>
      </c>
      <c r="AP114" s="552">
        <f t="shared" si="3"/>
        <v>490.76</v>
      </c>
    </row>
    <row r="115" spans="1:42" outlineLevel="1" x14ac:dyDescent="0.25">
      <c r="A115" s="544" t="s">
        <v>1674</v>
      </c>
      <c r="B115" s="545">
        <v>72302</v>
      </c>
      <c r="C115" s="544" t="s">
        <v>4124</v>
      </c>
      <c r="D115" s="544" t="s">
        <v>4151</v>
      </c>
      <c r="E115" s="542" t="s">
        <v>2920</v>
      </c>
      <c r="F115" s="542" t="s">
        <v>3181</v>
      </c>
      <c r="G115" s="546"/>
      <c r="H115" s="546">
        <v>167.35</v>
      </c>
      <c r="I115" s="546">
        <v>167.35</v>
      </c>
      <c r="J115" s="542" t="s">
        <v>2584</v>
      </c>
      <c r="K115" s="547">
        <v>4900</v>
      </c>
      <c r="L115" s="542" t="s">
        <v>806</v>
      </c>
      <c r="M115" s="548"/>
      <c r="N115" s="549">
        <v>19</v>
      </c>
      <c r="O115" s="544" t="s">
        <v>1674</v>
      </c>
      <c r="P115" s="544" t="s">
        <v>1674</v>
      </c>
      <c r="Q115" s="544" t="s">
        <v>4124</v>
      </c>
      <c r="R115" s="544" t="s">
        <v>1674</v>
      </c>
      <c r="S115" s="544" t="s">
        <v>1674</v>
      </c>
      <c r="T115" s="550">
        <v>19</v>
      </c>
      <c r="U115" s="544" t="s">
        <v>2700</v>
      </c>
      <c r="V115" s="547">
        <v>1524</v>
      </c>
      <c r="W115" s="548"/>
      <c r="Y115" s="544" t="s">
        <v>1674</v>
      </c>
      <c r="AA115" s="544" t="s">
        <v>1674</v>
      </c>
      <c r="AB115" s="542">
        <v>3</v>
      </c>
      <c r="AE115" s="551"/>
      <c r="AF115" s="544" t="s">
        <v>1674</v>
      </c>
      <c r="AG115" s="544" t="s">
        <v>1674</v>
      </c>
      <c r="AH115" s="544" t="s">
        <v>1674</v>
      </c>
      <c r="AI115" s="544" t="s">
        <v>1674</v>
      </c>
      <c r="AJ115" s="544" t="s">
        <v>1674</v>
      </c>
      <c r="AK115" s="544" t="s">
        <v>1674</v>
      </c>
      <c r="AL115" s="544" t="s">
        <v>1674</v>
      </c>
      <c r="AM115" s="544" t="s">
        <v>4126</v>
      </c>
      <c r="AN115" s="544" t="s">
        <v>1674</v>
      </c>
      <c r="AP115" s="552">
        <f t="shared" si="3"/>
        <v>167.35</v>
      </c>
    </row>
    <row r="116" spans="1:42" outlineLevel="1" x14ac:dyDescent="0.25">
      <c r="A116" s="544" t="s">
        <v>1674</v>
      </c>
      <c r="B116" s="545">
        <v>81307</v>
      </c>
      <c r="C116" s="544" t="s">
        <v>4152</v>
      </c>
      <c r="D116" s="544" t="s">
        <v>4153</v>
      </c>
      <c r="E116" s="542" t="s">
        <v>2920</v>
      </c>
      <c r="F116" s="542" t="s">
        <v>3181</v>
      </c>
      <c r="G116" s="546"/>
      <c r="H116" s="546">
        <v>620</v>
      </c>
      <c r="I116" s="546">
        <v>620</v>
      </c>
      <c r="J116" s="542" t="s">
        <v>2584</v>
      </c>
      <c r="K116" s="547">
        <v>3425</v>
      </c>
      <c r="L116" s="542" t="s">
        <v>806</v>
      </c>
      <c r="M116" s="548"/>
      <c r="N116" s="549">
        <v>19</v>
      </c>
      <c r="O116" s="544" t="s">
        <v>1674</v>
      </c>
      <c r="P116" s="544" t="s">
        <v>1674</v>
      </c>
      <c r="Q116" s="544" t="s">
        <v>4154</v>
      </c>
      <c r="R116" s="544" t="s">
        <v>1674</v>
      </c>
      <c r="S116" s="544" t="s">
        <v>1674</v>
      </c>
      <c r="T116" s="550">
        <v>19</v>
      </c>
      <c r="U116" s="544" t="s">
        <v>2700</v>
      </c>
      <c r="V116" s="547">
        <v>1459</v>
      </c>
      <c r="W116" s="548"/>
      <c r="Y116" s="544" t="s">
        <v>1674</v>
      </c>
      <c r="AA116" s="544" t="s">
        <v>1674</v>
      </c>
      <c r="AB116" s="542">
        <v>3</v>
      </c>
      <c r="AE116" s="551"/>
      <c r="AF116" s="544" t="s">
        <v>1674</v>
      </c>
      <c r="AG116" s="544" t="s">
        <v>1674</v>
      </c>
      <c r="AH116" s="544" t="s">
        <v>1674</v>
      </c>
      <c r="AI116" s="544" t="s">
        <v>1674</v>
      </c>
      <c r="AJ116" s="544" t="s">
        <v>1674</v>
      </c>
      <c r="AK116" s="544" t="s">
        <v>1674</v>
      </c>
      <c r="AL116" s="544" t="s">
        <v>1674</v>
      </c>
      <c r="AM116" s="544" t="s">
        <v>4155</v>
      </c>
      <c r="AN116" s="544" t="s">
        <v>1674</v>
      </c>
      <c r="AP116" s="552">
        <f t="shared" si="3"/>
        <v>620</v>
      </c>
    </row>
    <row r="117" spans="1:42" outlineLevel="1" x14ac:dyDescent="0.25">
      <c r="A117" s="544" t="s">
        <v>1674</v>
      </c>
      <c r="B117" s="545">
        <v>70900</v>
      </c>
      <c r="C117" s="544" t="s">
        <v>3129</v>
      </c>
      <c r="D117" s="544" t="s">
        <v>4156</v>
      </c>
      <c r="E117" s="542" t="s">
        <v>2930</v>
      </c>
      <c r="F117" s="542" t="s">
        <v>4157</v>
      </c>
      <c r="G117" s="546"/>
      <c r="H117" s="546">
        <v>42.84</v>
      </c>
      <c r="I117" s="546">
        <v>42.84</v>
      </c>
      <c r="J117" s="542" t="s">
        <v>2584</v>
      </c>
      <c r="K117" s="547">
        <v>4900</v>
      </c>
      <c r="L117" s="542" t="s">
        <v>806</v>
      </c>
      <c r="M117" s="548"/>
      <c r="N117" s="549">
        <v>20</v>
      </c>
      <c r="O117" s="544" t="s">
        <v>1674</v>
      </c>
      <c r="P117" s="544" t="s">
        <v>1674</v>
      </c>
      <c r="Q117" s="544" t="s">
        <v>4158</v>
      </c>
      <c r="R117" s="544" t="s">
        <v>1674</v>
      </c>
      <c r="S117" s="544" t="s">
        <v>1674</v>
      </c>
      <c r="T117" s="550">
        <v>19</v>
      </c>
      <c r="U117" s="544" t="s">
        <v>2700</v>
      </c>
      <c r="V117" s="547">
        <v>1553</v>
      </c>
      <c r="W117" s="548"/>
      <c r="Y117" s="544" t="s">
        <v>1674</v>
      </c>
      <c r="AA117" s="544" t="s">
        <v>1674</v>
      </c>
      <c r="AB117" s="542">
        <v>3</v>
      </c>
      <c r="AE117" s="551"/>
      <c r="AF117" s="544" t="s">
        <v>1674</v>
      </c>
      <c r="AG117" s="544" t="s">
        <v>1674</v>
      </c>
      <c r="AH117" s="544" t="s">
        <v>1674</v>
      </c>
      <c r="AI117" s="544" t="s">
        <v>1674</v>
      </c>
      <c r="AJ117" s="544" t="s">
        <v>1674</v>
      </c>
      <c r="AK117" s="544" t="s">
        <v>1674</v>
      </c>
      <c r="AL117" s="544" t="s">
        <v>1674</v>
      </c>
      <c r="AM117" s="544" t="s">
        <v>3129</v>
      </c>
      <c r="AN117" s="544" t="s">
        <v>1674</v>
      </c>
      <c r="AP117" s="552">
        <f t="shared" si="3"/>
        <v>42.84</v>
      </c>
    </row>
    <row r="118" spans="1:42" outlineLevel="1" x14ac:dyDescent="0.25">
      <c r="A118" s="544" t="s">
        <v>1674</v>
      </c>
      <c r="B118" s="545">
        <v>70100</v>
      </c>
      <c r="C118" s="544" t="s">
        <v>2864</v>
      </c>
      <c r="D118" s="544" t="s">
        <v>4159</v>
      </c>
      <c r="E118" s="542" t="s">
        <v>2896</v>
      </c>
      <c r="F118" s="542" t="s">
        <v>3341</v>
      </c>
      <c r="G118" s="546"/>
      <c r="H118" s="546">
        <v>20</v>
      </c>
      <c r="I118" s="546"/>
      <c r="J118" s="542" t="s">
        <v>806</v>
      </c>
      <c r="K118" s="547">
        <v>4380</v>
      </c>
      <c r="L118" s="542" t="s">
        <v>806</v>
      </c>
      <c r="M118" s="548"/>
      <c r="N118" s="549">
        <v>21</v>
      </c>
      <c r="O118" s="544" t="s">
        <v>1674</v>
      </c>
      <c r="P118" s="544" t="s">
        <v>1674</v>
      </c>
      <c r="Q118" s="544" t="s">
        <v>4160</v>
      </c>
      <c r="R118" s="544" t="s">
        <v>1674</v>
      </c>
      <c r="S118" s="544" t="s">
        <v>1674</v>
      </c>
      <c r="T118" s="550"/>
      <c r="U118" s="544" t="s">
        <v>2700</v>
      </c>
      <c r="V118" s="547">
        <v>1554</v>
      </c>
      <c r="W118" s="548"/>
      <c r="Y118" s="544" t="s">
        <v>1674</v>
      </c>
      <c r="AA118" s="544" t="s">
        <v>1674</v>
      </c>
      <c r="AB118" s="542">
        <v>3</v>
      </c>
      <c r="AE118" s="551"/>
      <c r="AF118" s="544" t="s">
        <v>1674</v>
      </c>
      <c r="AG118" s="544" t="s">
        <v>1674</v>
      </c>
      <c r="AH118" s="544" t="s">
        <v>1674</v>
      </c>
      <c r="AI118" s="544" t="s">
        <v>1674</v>
      </c>
      <c r="AJ118" s="544" t="s">
        <v>1674</v>
      </c>
      <c r="AK118" s="544" t="s">
        <v>1674</v>
      </c>
      <c r="AL118" s="544" t="s">
        <v>1674</v>
      </c>
      <c r="AM118" s="544" t="s">
        <v>2864</v>
      </c>
      <c r="AN118" s="544" t="s">
        <v>1674</v>
      </c>
      <c r="AP118" s="552">
        <f t="shared" si="3"/>
        <v>0</v>
      </c>
    </row>
    <row r="119" spans="1:42" outlineLevel="1" x14ac:dyDescent="0.25">
      <c r="A119" s="544" t="s">
        <v>1674</v>
      </c>
      <c r="B119" s="545">
        <v>0</v>
      </c>
      <c r="C119" s="544" t="s">
        <v>1674</v>
      </c>
      <c r="D119" s="544" t="s">
        <v>4159</v>
      </c>
      <c r="E119" s="542" t="s">
        <v>2896</v>
      </c>
      <c r="F119" s="542" t="s">
        <v>3341</v>
      </c>
      <c r="G119" s="546"/>
      <c r="H119" s="546">
        <v>2</v>
      </c>
      <c r="I119" s="546">
        <v>22</v>
      </c>
      <c r="J119" s="542" t="s">
        <v>2584</v>
      </c>
      <c r="K119" s="547">
        <v>4970</v>
      </c>
      <c r="L119" s="542" t="s">
        <v>806</v>
      </c>
      <c r="M119" s="548"/>
      <c r="N119" s="549">
        <v>21</v>
      </c>
      <c r="O119" s="544" t="s">
        <v>1674</v>
      </c>
      <c r="P119" s="544" t="s">
        <v>1674</v>
      </c>
      <c r="Q119" s="544" t="s">
        <v>4160</v>
      </c>
      <c r="R119" s="544" t="s">
        <v>1674</v>
      </c>
      <c r="S119" s="544" t="s">
        <v>1674</v>
      </c>
      <c r="T119" s="550"/>
      <c r="U119" s="544" t="s">
        <v>2700</v>
      </c>
      <c r="V119" s="547">
        <v>1555</v>
      </c>
      <c r="W119" s="548"/>
      <c r="Y119" s="544" t="s">
        <v>1674</v>
      </c>
      <c r="AA119" s="544" t="s">
        <v>1674</v>
      </c>
      <c r="AB119" s="542">
        <v>3</v>
      </c>
      <c r="AE119" s="551"/>
      <c r="AF119" s="544" t="s">
        <v>1674</v>
      </c>
      <c r="AG119" s="544" t="s">
        <v>1674</v>
      </c>
      <c r="AH119" s="544" t="s">
        <v>1674</v>
      </c>
      <c r="AI119" s="544" t="s">
        <v>1674</v>
      </c>
      <c r="AJ119" s="544" t="s">
        <v>1674</v>
      </c>
      <c r="AK119" s="544" t="s">
        <v>1674</v>
      </c>
      <c r="AL119" s="544" t="s">
        <v>1674</v>
      </c>
      <c r="AM119" s="544" t="s">
        <v>1674</v>
      </c>
      <c r="AN119" s="544" t="s">
        <v>1674</v>
      </c>
      <c r="AP119" s="552">
        <f t="shared" si="3"/>
        <v>22</v>
      </c>
    </row>
    <row r="120" spans="1:42" outlineLevel="1" x14ac:dyDescent="0.25">
      <c r="A120" s="544" t="s">
        <v>1674</v>
      </c>
      <c r="B120" s="545">
        <v>70400</v>
      </c>
      <c r="C120" s="544" t="s">
        <v>2730</v>
      </c>
      <c r="D120" s="544" t="s">
        <v>4161</v>
      </c>
      <c r="E120" s="542" t="s">
        <v>2896</v>
      </c>
      <c r="F120" s="542" t="s">
        <v>3341</v>
      </c>
      <c r="G120" s="546"/>
      <c r="H120" s="546">
        <v>7751.51</v>
      </c>
      <c r="I120" s="546">
        <v>7751.51</v>
      </c>
      <c r="J120" s="542" t="s">
        <v>2584</v>
      </c>
      <c r="K120" s="547">
        <v>4140</v>
      </c>
      <c r="L120" s="542" t="s">
        <v>806</v>
      </c>
      <c r="M120" s="548"/>
      <c r="N120" s="549">
        <v>21</v>
      </c>
      <c r="O120" s="544" t="s">
        <v>1674</v>
      </c>
      <c r="P120" s="544" t="s">
        <v>1674</v>
      </c>
      <c r="Q120" s="544" t="s">
        <v>4162</v>
      </c>
      <c r="R120" s="544" t="s">
        <v>1674</v>
      </c>
      <c r="S120" s="544" t="s">
        <v>1674</v>
      </c>
      <c r="T120" s="550">
        <v>19</v>
      </c>
      <c r="U120" s="544" t="s">
        <v>2700</v>
      </c>
      <c r="V120" s="547">
        <v>1556</v>
      </c>
      <c r="W120" s="548"/>
      <c r="Y120" s="544" t="s">
        <v>1674</v>
      </c>
      <c r="AA120" s="544" t="s">
        <v>1674</v>
      </c>
      <c r="AB120" s="542">
        <v>3</v>
      </c>
      <c r="AE120" s="551"/>
      <c r="AF120" s="544" t="s">
        <v>1674</v>
      </c>
      <c r="AG120" s="544" t="s">
        <v>1674</v>
      </c>
      <c r="AH120" s="544" t="s">
        <v>1674</v>
      </c>
      <c r="AI120" s="544" t="s">
        <v>1674</v>
      </c>
      <c r="AJ120" s="544" t="s">
        <v>1674</v>
      </c>
      <c r="AK120" s="544" t="s">
        <v>1674</v>
      </c>
      <c r="AL120" s="544" t="s">
        <v>1674</v>
      </c>
      <c r="AM120" s="544" t="s">
        <v>2730</v>
      </c>
      <c r="AN120" s="544" t="s">
        <v>1674</v>
      </c>
      <c r="AP120" s="552">
        <f t="shared" si="3"/>
        <v>7751.51</v>
      </c>
    </row>
    <row r="121" spans="1:42" outlineLevel="1" x14ac:dyDescent="0.25">
      <c r="A121" s="544" t="s">
        <v>1674</v>
      </c>
      <c r="B121" s="545">
        <v>70800</v>
      </c>
      <c r="C121" s="544" t="s">
        <v>2967</v>
      </c>
      <c r="D121" s="544" t="s">
        <v>4163</v>
      </c>
      <c r="E121" s="542" t="s">
        <v>2896</v>
      </c>
      <c r="F121" s="542" t="s">
        <v>3341</v>
      </c>
      <c r="G121" s="546"/>
      <c r="H121" s="546">
        <v>23345.18</v>
      </c>
      <c r="I121" s="546">
        <v>23345.18</v>
      </c>
      <c r="J121" s="542" t="s">
        <v>2584</v>
      </c>
      <c r="K121" s="547">
        <v>977</v>
      </c>
      <c r="L121" s="542" t="s">
        <v>806</v>
      </c>
      <c r="M121" s="548"/>
      <c r="N121" s="549">
        <v>21</v>
      </c>
      <c r="O121" s="544" t="s">
        <v>1674</v>
      </c>
      <c r="P121" s="544" t="s">
        <v>1674</v>
      </c>
      <c r="Q121" s="544" t="s">
        <v>4164</v>
      </c>
      <c r="R121" s="544" t="s">
        <v>1674</v>
      </c>
      <c r="S121" s="544" t="s">
        <v>1674</v>
      </c>
      <c r="T121" s="550">
        <v>19</v>
      </c>
      <c r="U121" s="544" t="s">
        <v>2700</v>
      </c>
      <c r="V121" s="547">
        <v>1558</v>
      </c>
      <c r="W121" s="548"/>
      <c r="Y121" s="544" t="s">
        <v>1674</v>
      </c>
      <c r="AA121" s="544" t="s">
        <v>1674</v>
      </c>
      <c r="AB121" s="542">
        <v>3</v>
      </c>
      <c r="AE121" s="551"/>
      <c r="AF121" s="544" t="s">
        <v>1674</v>
      </c>
      <c r="AG121" s="544" t="s">
        <v>1674</v>
      </c>
      <c r="AH121" s="544" t="s">
        <v>1674</v>
      </c>
      <c r="AI121" s="544" t="s">
        <v>1674</v>
      </c>
      <c r="AJ121" s="544" t="s">
        <v>1674</v>
      </c>
      <c r="AK121" s="544" t="s">
        <v>1674</v>
      </c>
      <c r="AL121" s="544" t="s">
        <v>1674</v>
      </c>
      <c r="AM121" s="544" t="s">
        <v>2967</v>
      </c>
      <c r="AN121" s="544" t="s">
        <v>1674</v>
      </c>
      <c r="AP121" s="552">
        <f t="shared" si="3"/>
        <v>23345.18</v>
      </c>
    </row>
    <row r="122" spans="1:42" outlineLevel="1" x14ac:dyDescent="0.25">
      <c r="A122" s="544" t="s">
        <v>1674</v>
      </c>
      <c r="B122" s="545">
        <v>71207</v>
      </c>
      <c r="C122" s="544" t="s">
        <v>4165</v>
      </c>
      <c r="D122" s="544" t="s">
        <v>4166</v>
      </c>
      <c r="E122" s="542" t="s">
        <v>2896</v>
      </c>
      <c r="F122" s="542" t="s">
        <v>3341</v>
      </c>
      <c r="G122" s="546"/>
      <c r="H122" s="546">
        <v>347.21</v>
      </c>
      <c r="I122" s="546">
        <v>347.21</v>
      </c>
      <c r="J122" s="542" t="s">
        <v>2584</v>
      </c>
      <c r="K122" s="547">
        <v>4800</v>
      </c>
      <c r="L122" s="542" t="s">
        <v>806</v>
      </c>
      <c r="M122" s="548"/>
      <c r="N122" s="549">
        <v>21</v>
      </c>
      <c r="O122" s="544" t="s">
        <v>1674</v>
      </c>
      <c r="P122" s="544" t="s">
        <v>1674</v>
      </c>
      <c r="Q122" s="544" t="s">
        <v>4167</v>
      </c>
      <c r="R122" s="544" t="s">
        <v>1674</v>
      </c>
      <c r="S122" s="544" t="s">
        <v>1674</v>
      </c>
      <c r="T122" s="550">
        <v>19</v>
      </c>
      <c r="U122" s="544" t="s">
        <v>2700</v>
      </c>
      <c r="V122" s="547">
        <v>1557</v>
      </c>
      <c r="W122" s="548"/>
      <c r="Y122" s="544" t="s">
        <v>1674</v>
      </c>
      <c r="AA122" s="544" t="s">
        <v>1674</v>
      </c>
      <c r="AB122" s="542">
        <v>3</v>
      </c>
      <c r="AE122" s="551"/>
      <c r="AF122" s="544" t="s">
        <v>1674</v>
      </c>
      <c r="AG122" s="544" t="s">
        <v>1674</v>
      </c>
      <c r="AH122" s="544" t="s">
        <v>1674</v>
      </c>
      <c r="AI122" s="544" t="s">
        <v>1674</v>
      </c>
      <c r="AJ122" s="544" t="s">
        <v>1674</v>
      </c>
      <c r="AK122" s="544" t="s">
        <v>1674</v>
      </c>
      <c r="AL122" s="544" t="s">
        <v>1674</v>
      </c>
      <c r="AM122" s="544" t="s">
        <v>4168</v>
      </c>
      <c r="AN122" s="544" t="s">
        <v>1674</v>
      </c>
      <c r="AP122" s="552">
        <f t="shared" si="3"/>
        <v>347.21</v>
      </c>
    </row>
    <row r="123" spans="1:42" outlineLevel="1" x14ac:dyDescent="0.25">
      <c r="A123" s="544" t="s">
        <v>1674</v>
      </c>
      <c r="B123" s="545">
        <v>70210</v>
      </c>
      <c r="C123" s="544" t="s">
        <v>4096</v>
      </c>
      <c r="D123" s="544" t="s">
        <v>4169</v>
      </c>
      <c r="E123" s="542" t="s">
        <v>2698</v>
      </c>
      <c r="F123" s="542" t="s">
        <v>3248</v>
      </c>
      <c r="G123" s="546"/>
      <c r="H123" s="546">
        <v>6034.73</v>
      </c>
      <c r="I123" s="546">
        <v>6034.73</v>
      </c>
      <c r="J123" s="542" t="s">
        <v>2584</v>
      </c>
      <c r="K123" s="547">
        <v>3106</v>
      </c>
      <c r="L123" s="542" t="s">
        <v>806</v>
      </c>
      <c r="M123" s="548"/>
      <c r="N123" s="549">
        <v>22</v>
      </c>
      <c r="O123" s="544" t="s">
        <v>1674</v>
      </c>
      <c r="P123" s="544" t="s">
        <v>1674</v>
      </c>
      <c r="Q123" s="544" t="s">
        <v>4096</v>
      </c>
      <c r="R123" s="544" t="s">
        <v>1674</v>
      </c>
      <c r="S123" s="544" t="s">
        <v>1674</v>
      </c>
      <c r="T123" s="550">
        <v>19</v>
      </c>
      <c r="U123" s="544" t="s">
        <v>2700</v>
      </c>
      <c r="V123" s="547">
        <v>1591</v>
      </c>
      <c r="W123" s="548"/>
      <c r="Y123" s="544" t="s">
        <v>1674</v>
      </c>
      <c r="AA123" s="544" t="s">
        <v>1674</v>
      </c>
      <c r="AB123" s="542">
        <v>3</v>
      </c>
      <c r="AE123" s="551"/>
      <c r="AF123" s="544" t="s">
        <v>1674</v>
      </c>
      <c r="AG123" s="544" t="s">
        <v>1674</v>
      </c>
      <c r="AH123" s="544" t="s">
        <v>1674</v>
      </c>
      <c r="AI123" s="544" t="s">
        <v>1674</v>
      </c>
      <c r="AJ123" s="544" t="s">
        <v>1674</v>
      </c>
      <c r="AK123" s="544" t="s">
        <v>1674</v>
      </c>
      <c r="AL123" s="544" t="s">
        <v>1674</v>
      </c>
      <c r="AM123" s="544" t="s">
        <v>4096</v>
      </c>
      <c r="AN123" s="544" t="s">
        <v>1674</v>
      </c>
      <c r="AP123" s="552">
        <f t="shared" si="3"/>
        <v>6034.73</v>
      </c>
    </row>
    <row r="124" spans="1:42" outlineLevel="1" x14ac:dyDescent="0.25">
      <c r="A124" s="544" t="s">
        <v>1674</v>
      </c>
      <c r="B124" s="545">
        <v>70300</v>
      </c>
      <c r="C124" s="544" t="s">
        <v>4135</v>
      </c>
      <c r="D124" s="544" t="s">
        <v>4170</v>
      </c>
      <c r="E124" s="542" t="s">
        <v>2698</v>
      </c>
      <c r="F124" s="542" t="s">
        <v>3248</v>
      </c>
      <c r="G124" s="546"/>
      <c r="H124" s="546">
        <v>197.89</v>
      </c>
      <c r="I124" s="546">
        <v>197.89</v>
      </c>
      <c r="J124" s="542" t="s">
        <v>2584</v>
      </c>
      <c r="K124" s="547">
        <v>4640</v>
      </c>
      <c r="L124" s="542" t="s">
        <v>806</v>
      </c>
      <c r="M124" s="548"/>
      <c r="N124" s="549">
        <v>22</v>
      </c>
      <c r="O124" s="544" t="s">
        <v>1674</v>
      </c>
      <c r="P124" s="544" t="s">
        <v>1674</v>
      </c>
      <c r="Q124" s="544" t="s">
        <v>4137</v>
      </c>
      <c r="R124" s="544" t="s">
        <v>1674</v>
      </c>
      <c r="S124" s="544" t="s">
        <v>1674</v>
      </c>
      <c r="T124" s="550">
        <v>19</v>
      </c>
      <c r="U124" s="544" t="s">
        <v>2700</v>
      </c>
      <c r="V124" s="547">
        <v>1560</v>
      </c>
      <c r="W124" s="548"/>
      <c r="Y124" s="544" t="s">
        <v>1674</v>
      </c>
      <c r="AA124" s="544" t="s">
        <v>1674</v>
      </c>
      <c r="AB124" s="542">
        <v>3</v>
      </c>
      <c r="AE124" s="551"/>
      <c r="AF124" s="544" t="s">
        <v>1674</v>
      </c>
      <c r="AG124" s="544" t="s">
        <v>1674</v>
      </c>
      <c r="AH124" s="544" t="s">
        <v>1674</v>
      </c>
      <c r="AI124" s="544" t="s">
        <v>1674</v>
      </c>
      <c r="AJ124" s="544" t="s">
        <v>1674</v>
      </c>
      <c r="AK124" s="544" t="s">
        <v>1674</v>
      </c>
      <c r="AL124" s="544" t="s">
        <v>1674</v>
      </c>
      <c r="AM124" s="544" t="s">
        <v>4135</v>
      </c>
      <c r="AN124" s="544" t="s">
        <v>1674</v>
      </c>
      <c r="AP124" s="552">
        <f t="shared" si="3"/>
        <v>197.89</v>
      </c>
    </row>
    <row r="125" spans="1:42" outlineLevel="1" x14ac:dyDescent="0.25">
      <c r="A125" s="544" t="s">
        <v>1674</v>
      </c>
      <c r="B125" s="545">
        <v>0</v>
      </c>
      <c r="C125" s="544" t="s">
        <v>1674</v>
      </c>
      <c r="D125" s="544" t="s">
        <v>4171</v>
      </c>
      <c r="E125" s="542" t="s">
        <v>2698</v>
      </c>
      <c r="F125" s="542" t="s">
        <v>3248</v>
      </c>
      <c r="G125" s="546"/>
      <c r="H125" s="546">
        <v>1428</v>
      </c>
      <c r="I125" s="546">
        <v>1428</v>
      </c>
      <c r="J125" s="542" t="s">
        <v>2584</v>
      </c>
      <c r="K125" s="547">
        <v>4140</v>
      </c>
      <c r="L125" s="542" t="s">
        <v>806</v>
      </c>
      <c r="M125" s="548"/>
      <c r="N125" s="549">
        <v>22</v>
      </c>
      <c r="O125" s="544" t="s">
        <v>1674</v>
      </c>
      <c r="P125" s="544" t="s">
        <v>1674</v>
      </c>
      <c r="Q125" s="544" t="s">
        <v>4172</v>
      </c>
      <c r="R125" s="544" t="s">
        <v>1674</v>
      </c>
      <c r="S125" s="544" t="s">
        <v>1674</v>
      </c>
      <c r="T125" s="550">
        <v>19</v>
      </c>
      <c r="U125" s="544" t="s">
        <v>2700</v>
      </c>
      <c r="V125" s="547">
        <v>1568</v>
      </c>
      <c r="W125" s="548"/>
      <c r="Y125" s="544" t="s">
        <v>1674</v>
      </c>
      <c r="AA125" s="544" t="s">
        <v>1674</v>
      </c>
      <c r="AB125" s="542">
        <v>3</v>
      </c>
      <c r="AE125" s="551"/>
      <c r="AF125" s="544" t="s">
        <v>1674</v>
      </c>
      <c r="AG125" s="544" t="s">
        <v>1674</v>
      </c>
      <c r="AH125" s="544" t="s">
        <v>1674</v>
      </c>
      <c r="AI125" s="544" t="s">
        <v>1674</v>
      </c>
      <c r="AJ125" s="544" t="s">
        <v>1674</v>
      </c>
      <c r="AK125" s="544" t="s">
        <v>1674</v>
      </c>
      <c r="AL125" s="544" t="s">
        <v>1674</v>
      </c>
      <c r="AM125" s="544" t="s">
        <v>1674</v>
      </c>
      <c r="AN125" s="544" t="s">
        <v>1674</v>
      </c>
      <c r="AP125" s="552">
        <f t="shared" si="3"/>
        <v>1428</v>
      </c>
    </row>
    <row r="126" spans="1:42" outlineLevel="1" x14ac:dyDescent="0.25">
      <c r="A126" s="544" t="s">
        <v>1674</v>
      </c>
      <c r="B126" s="545">
        <v>70400</v>
      </c>
      <c r="C126" s="544" t="s">
        <v>2730</v>
      </c>
      <c r="D126" s="544" t="s">
        <v>4173</v>
      </c>
      <c r="E126" s="542" t="s">
        <v>2698</v>
      </c>
      <c r="F126" s="542" t="s">
        <v>3248</v>
      </c>
      <c r="G126" s="546"/>
      <c r="H126" s="546">
        <v>665.21</v>
      </c>
      <c r="I126" s="546">
        <v>665.21</v>
      </c>
      <c r="J126" s="542" t="s">
        <v>2584</v>
      </c>
      <c r="K126" s="547">
        <v>3102</v>
      </c>
      <c r="L126" s="542" t="s">
        <v>806</v>
      </c>
      <c r="M126" s="548"/>
      <c r="N126" s="549">
        <v>22</v>
      </c>
      <c r="O126" s="544" t="s">
        <v>1674</v>
      </c>
      <c r="P126" s="544" t="s">
        <v>1674</v>
      </c>
      <c r="Q126" s="544" t="s">
        <v>4174</v>
      </c>
      <c r="R126" s="544" t="s">
        <v>1674</v>
      </c>
      <c r="S126" s="544" t="s">
        <v>1674</v>
      </c>
      <c r="T126" s="550">
        <v>19</v>
      </c>
      <c r="U126" s="544" t="s">
        <v>2700</v>
      </c>
      <c r="V126" s="547">
        <v>1563</v>
      </c>
      <c r="W126" s="548"/>
      <c r="Y126" s="544" t="s">
        <v>1674</v>
      </c>
      <c r="AA126" s="544" t="s">
        <v>1674</v>
      </c>
      <c r="AB126" s="542">
        <v>3</v>
      </c>
      <c r="AE126" s="551"/>
      <c r="AF126" s="544" t="s">
        <v>1674</v>
      </c>
      <c r="AG126" s="544" t="s">
        <v>1674</v>
      </c>
      <c r="AH126" s="544" t="s">
        <v>1674</v>
      </c>
      <c r="AI126" s="544" t="s">
        <v>1674</v>
      </c>
      <c r="AJ126" s="544" t="s">
        <v>1674</v>
      </c>
      <c r="AK126" s="544" t="s">
        <v>1674</v>
      </c>
      <c r="AL126" s="544" t="s">
        <v>1674</v>
      </c>
      <c r="AM126" s="544" t="s">
        <v>2730</v>
      </c>
      <c r="AN126" s="544" t="s">
        <v>1674</v>
      </c>
      <c r="AP126" s="552">
        <f t="shared" si="3"/>
        <v>665.21</v>
      </c>
    </row>
    <row r="127" spans="1:42" outlineLevel="1" x14ac:dyDescent="0.25">
      <c r="A127" s="544" t="s">
        <v>1674</v>
      </c>
      <c r="B127" s="545">
        <v>0</v>
      </c>
      <c r="C127" s="544" t="s">
        <v>1674</v>
      </c>
      <c r="D127" s="544" t="s">
        <v>4175</v>
      </c>
      <c r="E127" s="542" t="s">
        <v>2698</v>
      </c>
      <c r="F127" s="542" t="s">
        <v>3248</v>
      </c>
      <c r="G127" s="546"/>
      <c r="H127" s="546">
        <v>285.01</v>
      </c>
      <c r="I127" s="546"/>
      <c r="J127" s="542" t="s">
        <v>806</v>
      </c>
      <c r="K127" s="547">
        <v>4666</v>
      </c>
      <c r="L127" s="542" t="s">
        <v>806</v>
      </c>
      <c r="M127" s="548"/>
      <c r="N127" s="549">
        <v>22</v>
      </c>
      <c r="O127" s="544" t="s">
        <v>1674</v>
      </c>
      <c r="P127" s="544" t="s">
        <v>1674</v>
      </c>
      <c r="Q127" s="544" t="s">
        <v>4162</v>
      </c>
      <c r="R127" s="544" t="s">
        <v>1674</v>
      </c>
      <c r="S127" s="544" t="s">
        <v>1674</v>
      </c>
      <c r="T127" s="550">
        <v>7</v>
      </c>
      <c r="U127" s="544" t="s">
        <v>2700</v>
      </c>
      <c r="V127" s="547">
        <v>1561</v>
      </c>
      <c r="W127" s="548"/>
      <c r="Y127" s="544" t="s">
        <v>1674</v>
      </c>
      <c r="AA127" s="544" t="s">
        <v>1674</v>
      </c>
      <c r="AB127" s="542">
        <v>3</v>
      </c>
      <c r="AE127" s="551"/>
      <c r="AF127" s="544" t="s">
        <v>1674</v>
      </c>
      <c r="AG127" s="544" t="s">
        <v>1674</v>
      </c>
      <c r="AH127" s="544" t="s">
        <v>1674</v>
      </c>
      <c r="AI127" s="544" t="s">
        <v>1674</v>
      </c>
      <c r="AJ127" s="544" t="s">
        <v>1674</v>
      </c>
      <c r="AK127" s="544" t="s">
        <v>1674</v>
      </c>
      <c r="AL127" s="544" t="s">
        <v>1674</v>
      </c>
      <c r="AM127" s="544" t="s">
        <v>1674</v>
      </c>
      <c r="AN127" s="544" t="s">
        <v>1674</v>
      </c>
      <c r="AP127" s="552">
        <f t="shared" si="3"/>
        <v>0</v>
      </c>
    </row>
    <row r="128" spans="1:42" outlineLevel="1" x14ac:dyDescent="0.25">
      <c r="A128" s="544" t="s">
        <v>1674</v>
      </c>
      <c r="B128" s="545">
        <v>0</v>
      </c>
      <c r="C128" s="544" t="s">
        <v>1674</v>
      </c>
      <c r="D128" s="544" t="s">
        <v>4175</v>
      </c>
      <c r="E128" s="542" t="s">
        <v>2698</v>
      </c>
      <c r="F128" s="542" t="s">
        <v>3248</v>
      </c>
      <c r="G128" s="546"/>
      <c r="H128" s="546">
        <v>40</v>
      </c>
      <c r="I128" s="546">
        <v>325.01</v>
      </c>
      <c r="J128" s="542" t="s">
        <v>2584</v>
      </c>
      <c r="K128" s="547">
        <v>4900</v>
      </c>
      <c r="L128" s="542" t="s">
        <v>806</v>
      </c>
      <c r="M128" s="548"/>
      <c r="N128" s="549">
        <v>22</v>
      </c>
      <c r="O128" s="544" t="s">
        <v>1674</v>
      </c>
      <c r="P128" s="544" t="s">
        <v>1674</v>
      </c>
      <c r="Q128" s="544" t="s">
        <v>4162</v>
      </c>
      <c r="R128" s="544" t="s">
        <v>1674</v>
      </c>
      <c r="S128" s="544" t="s">
        <v>1674</v>
      </c>
      <c r="T128" s="550">
        <v>19</v>
      </c>
      <c r="U128" s="544" t="s">
        <v>2700</v>
      </c>
      <c r="V128" s="547">
        <v>1562</v>
      </c>
      <c r="W128" s="548"/>
      <c r="Y128" s="544" t="s">
        <v>1674</v>
      </c>
      <c r="AA128" s="544" t="s">
        <v>1674</v>
      </c>
      <c r="AB128" s="542">
        <v>3</v>
      </c>
      <c r="AE128" s="551"/>
      <c r="AF128" s="544" t="s">
        <v>1674</v>
      </c>
      <c r="AG128" s="544" t="s">
        <v>1674</v>
      </c>
      <c r="AH128" s="544" t="s">
        <v>1674</v>
      </c>
      <c r="AI128" s="544" t="s">
        <v>1674</v>
      </c>
      <c r="AJ128" s="544" t="s">
        <v>1674</v>
      </c>
      <c r="AK128" s="544" t="s">
        <v>1674</v>
      </c>
      <c r="AL128" s="544" t="s">
        <v>1674</v>
      </c>
      <c r="AM128" s="544" t="s">
        <v>1674</v>
      </c>
      <c r="AN128" s="544" t="s">
        <v>1674</v>
      </c>
      <c r="AP128" s="552">
        <f t="shared" si="3"/>
        <v>325.01</v>
      </c>
    </row>
    <row r="129" spans="1:42" outlineLevel="1" x14ac:dyDescent="0.25">
      <c r="A129" s="544" t="s">
        <v>1674</v>
      </c>
      <c r="B129" s="545">
        <v>71106</v>
      </c>
      <c r="C129" s="544" t="s">
        <v>4176</v>
      </c>
      <c r="D129" s="544" t="s">
        <v>4177</v>
      </c>
      <c r="E129" s="542" t="s">
        <v>2698</v>
      </c>
      <c r="F129" s="542" t="s">
        <v>3248</v>
      </c>
      <c r="G129" s="546"/>
      <c r="H129" s="546">
        <v>96.51</v>
      </c>
      <c r="I129" s="546">
        <v>96.51</v>
      </c>
      <c r="J129" s="542" t="s">
        <v>2584</v>
      </c>
      <c r="K129" s="547">
        <v>4800</v>
      </c>
      <c r="L129" s="542" t="s">
        <v>806</v>
      </c>
      <c r="M129" s="548"/>
      <c r="N129" s="549">
        <v>22</v>
      </c>
      <c r="O129" s="544" t="s">
        <v>1674</v>
      </c>
      <c r="P129" s="544" t="s">
        <v>1674</v>
      </c>
      <c r="Q129" s="544" t="s">
        <v>4178</v>
      </c>
      <c r="R129" s="544" t="s">
        <v>1674</v>
      </c>
      <c r="S129" s="544" t="s">
        <v>1674</v>
      </c>
      <c r="T129" s="550">
        <v>19</v>
      </c>
      <c r="U129" s="544" t="s">
        <v>2700</v>
      </c>
      <c r="V129" s="547">
        <v>1559</v>
      </c>
      <c r="W129" s="548"/>
      <c r="Y129" s="544" t="s">
        <v>1674</v>
      </c>
      <c r="AA129" s="544" t="s">
        <v>1674</v>
      </c>
      <c r="AB129" s="542">
        <v>3</v>
      </c>
      <c r="AE129" s="551"/>
      <c r="AF129" s="544" t="s">
        <v>1674</v>
      </c>
      <c r="AG129" s="544" t="s">
        <v>1674</v>
      </c>
      <c r="AH129" s="544" t="s">
        <v>1674</v>
      </c>
      <c r="AI129" s="544" t="s">
        <v>1674</v>
      </c>
      <c r="AJ129" s="544" t="s">
        <v>1674</v>
      </c>
      <c r="AK129" s="544" t="s">
        <v>1674</v>
      </c>
      <c r="AL129" s="544" t="s">
        <v>1674</v>
      </c>
      <c r="AM129" s="544" t="s">
        <v>4179</v>
      </c>
      <c r="AN129" s="544" t="s">
        <v>1674</v>
      </c>
      <c r="AP129" s="552">
        <f t="shared" si="3"/>
        <v>96.51</v>
      </c>
    </row>
    <row r="130" spans="1:42" outlineLevel="1" x14ac:dyDescent="0.25">
      <c r="A130" s="544" t="s">
        <v>1674</v>
      </c>
      <c r="B130" s="545">
        <v>72200</v>
      </c>
      <c r="C130" s="544" t="s">
        <v>3260</v>
      </c>
      <c r="D130" s="544" t="s">
        <v>4180</v>
      </c>
      <c r="E130" s="542" t="s">
        <v>2698</v>
      </c>
      <c r="F130" s="542" t="s">
        <v>3248</v>
      </c>
      <c r="G130" s="546"/>
      <c r="H130" s="546">
        <v>53.59</v>
      </c>
      <c r="I130" s="546"/>
      <c r="J130" s="542" t="s">
        <v>806</v>
      </c>
      <c r="K130" s="547">
        <v>1588</v>
      </c>
      <c r="L130" s="542" t="s">
        <v>806</v>
      </c>
      <c r="M130" s="548"/>
      <c r="N130" s="549">
        <v>22</v>
      </c>
      <c r="O130" s="544" t="s">
        <v>1674</v>
      </c>
      <c r="P130" s="544" t="s">
        <v>1674</v>
      </c>
      <c r="Q130" s="544" t="s">
        <v>4040</v>
      </c>
      <c r="R130" s="544" t="s">
        <v>1674</v>
      </c>
      <c r="S130" s="544" t="s">
        <v>1674</v>
      </c>
      <c r="T130" s="550"/>
      <c r="U130" s="544" t="s">
        <v>2700</v>
      </c>
      <c r="V130" s="547">
        <v>1564</v>
      </c>
      <c r="W130" s="548"/>
      <c r="Y130" s="544" t="s">
        <v>1674</v>
      </c>
      <c r="AA130" s="544" t="s">
        <v>1674</v>
      </c>
      <c r="AB130" s="542">
        <v>3</v>
      </c>
      <c r="AE130" s="551"/>
      <c r="AF130" s="544" t="s">
        <v>1674</v>
      </c>
      <c r="AG130" s="544" t="s">
        <v>1674</v>
      </c>
      <c r="AH130" s="544" t="s">
        <v>1674</v>
      </c>
      <c r="AI130" s="544" t="s">
        <v>1674</v>
      </c>
      <c r="AJ130" s="544" t="s">
        <v>1674</v>
      </c>
      <c r="AK130" s="544" t="s">
        <v>1674</v>
      </c>
      <c r="AL130" s="544" t="s">
        <v>1674</v>
      </c>
      <c r="AM130" s="544" t="s">
        <v>3260</v>
      </c>
      <c r="AN130" s="544" t="s">
        <v>1674</v>
      </c>
      <c r="AP130" s="552">
        <f t="shared" si="3"/>
        <v>0</v>
      </c>
    </row>
    <row r="131" spans="1:42" outlineLevel="1" x14ac:dyDescent="0.25">
      <c r="A131" s="544" t="s">
        <v>1674</v>
      </c>
      <c r="B131" s="545">
        <v>0</v>
      </c>
      <c r="C131" s="544" t="s">
        <v>1674</v>
      </c>
      <c r="D131" s="544" t="s">
        <v>4180</v>
      </c>
      <c r="E131" s="542" t="s">
        <v>2698</v>
      </c>
      <c r="F131" s="542" t="s">
        <v>3248</v>
      </c>
      <c r="G131" s="546"/>
      <c r="H131" s="546">
        <v>17.850000000000001</v>
      </c>
      <c r="I131" s="546">
        <v>71.44</v>
      </c>
      <c r="J131" s="542" t="s">
        <v>2584</v>
      </c>
      <c r="K131" s="547">
        <v>4730</v>
      </c>
      <c r="L131" s="542" t="s">
        <v>806</v>
      </c>
      <c r="M131" s="548"/>
      <c r="N131" s="549">
        <v>22</v>
      </c>
      <c r="O131" s="544" t="s">
        <v>1674</v>
      </c>
      <c r="P131" s="544" t="s">
        <v>1674</v>
      </c>
      <c r="Q131" s="544" t="s">
        <v>4040</v>
      </c>
      <c r="R131" s="544" t="s">
        <v>1674</v>
      </c>
      <c r="S131" s="544" t="s">
        <v>1674</v>
      </c>
      <c r="T131" s="550">
        <v>19</v>
      </c>
      <c r="U131" s="544" t="s">
        <v>2700</v>
      </c>
      <c r="V131" s="547">
        <v>1565</v>
      </c>
      <c r="W131" s="548"/>
      <c r="Y131" s="544" t="s">
        <v>1674</v>
      </c>
      <c r="AA131" s="544" t="s">
        <v>1674</v>
      </c>
      <c r="AB131" s="542">
        <v>3</v>
      </c>
      <c r="AE131" s="551"/>
      <c r="AF131" s="544" t="s">
        <v>1674</v>
      </c>
      <c r="AG131" s="544" t="s">
        <v>1674</v>
      </c>
      <c r="AH131" s="544" t="s">
        <v>1674</v>
      </c>
      <c r="AI131" s="544" t="s">
        <v>1674</v>
      </c>
      <c r="AJ131" s="544" t="s">
        <v>1674</v>
      </c>
      <c r="AK131" s="544" t="s">
        <v>1674</v>
      </c>
      <c r="AL131" s="544" t="s">
        <v>1674</v>
      </c>
      <c r="AM131" s="544" t="s">
        <v>1674</v>
      </c>
      <c r="AN131" s="544" t="s">
        <v>1674</v>
      </c>
      <c r="AP131" s="552">
        <f t="shared" ref="AP131:AP165" si="4">IF(J131="H",+I131,-I131)</f>
        <v>71.44</v>
      </c>
    </row>
    <row r="132" spans="1:42" outlineLevel="1" x14ac:dyDescent="0.25">
      <c r="A132" s="544" t="s">
        <v>1674</v>
      </c>
      <c r="B132" s="545">
        <v>0</v>
      </c>
      <c r="C132" s="544" t="s">
        <v>1674</v>
      </c>
      <c r="D132" s="544" t="s">
        <v>4181</v>
      </c>
      <c r="E132" s="542" t="s">
        <v>2698</v>
      </c>
      <c r="F132" s="542" t="s">
        <v>3248</v>
      </c>
      <c r="G132" s="546"/>
      <c r="H132" s="546">
        <v>378.42</v>
      </c>
      <c r="I132" s="546"/>
      <c r="J132" s="542" t="s">
        <v>806</v>
      </c>
      <c r="K132" s="547">
        <v>4800</v>
      </c>
      <c r="L132" s="542" t="s">
        <v>806</v>
      </c>
      <c r="M132" s="548"/>
      <c r="N132" s="549">
        <v>22</v>
      </c>
      <c r="O132" s="544" t="s">
        <v>1674</v>
      </c>
      <c r="P132" s="544" t="s">
        <v>1674</v>
      </c>
      <c r="Q132" s="544" t="s">
        <v>4182</v>
      </c>
      <c r="R132" s="544" t="s">
        <v>1674</v>
      </c>
      <c r="S132" s="544" t="s">
        <v>1674</v>
      </c>
      <c r="T132" s="550">
        <v>19</v>
      </c>
      <c r="U132" s="544" t="s">
        <v>2700</v>
      </c>
      <c r="V132" s="547">
        <v>1566</v>
      </c>
      <c r="W132" s="548"/>
      <c r="Y132" s="544" t="s">
        <v>1674</v>
      </c>
      <c r="AA132" s="544" t="s">
        <v>1674</v>
      </c>
      <c r="AB132" s="542">
        <v>3</v>
      </c>
      <c r="AE132" s="551"/>
      <c r="AF132" s="544" t="s">
        <v>1674</v>
      </c>
      <c r="AG132" s="544" t="s">
        <v>1674</v>
      </c>
      <c r="AH132" s="544" t="s">
        <v>1674</v>
      </c>
      <c r="AI132" s="544" t="s">
        <v>1674</v>
      </c>
      <c r="AJ132" s="544" t="s">
        <v>1674</v>
      </c>
      <c r="AK132" s="544" t="s">
        <v>1674</v>
      </c>
      <c r="AL132" s="544" t="s">
        <v>1674</v>
      </c>
      <c r="AM132" s="544" t="s">
        <v>1674</v>
      </c>
      <c r="AN132" s="544" t="s">
        <v>1674</v>
      </c>
      <c r="AP132" s="552">
        <f t="shared" si="4"/>
        <v>0</v>
      </c>
    </row>
    <row r="133" spans="1:42" outlineLevel="1" x14ac:dyDescent="0.25">
      <c r="A133" s="544" t="s">
        <v>1674</v>
      </c>
      <c r="B133" s="545">
        <v>0</v>
      </c>
      <c r="C133" s="544" t="s">
        <v>1674</v>
      </c>
      <c r="D133" s="544" t="s">
        <v>4181</v>
      </c>
      <c r="E133" s="542" t="s">
        <v>2698</v>
      </c>
      <c r="F133" s="542" t="s">
        <v>3248</v>
      </c>
      <c r="G133" s="546"/>
      <c r="H133" s="546">
        <v>69.14</v>
      </c>
      <c r="I133" s="546">
        <v>447.56</v>
      </c>
      <c r="J133" s="542" t="s">
        <v>2584</v>
      </c>
      <c r="K133" s="547">
        <v>4805</v>
      </c>
      <c r="L133" s="542" t="s">
        <v>806</v>
      </c>
      <c r="M133" s="548"/>
      <c r="N133" s="549">
        <v>22</v>
      </c>
      <c r="O133" s="544" t="s">
        <v>1674</v>
      </c>
      <c r="P133" s="544" t="s">
        <v>1674</v>
      </c>
      <c r="Q133" s="544" t="s">
        <v>4182</v>
      </c>
      <c r="R133" s="544" t="s">
        <v>1674</v>
      </c>
      <c r="S133" s="544" t="s">
        <v>1674</v>
      </c>
      <c r="T133" s="550">
        <v>19</v>
      </c>
      <c r="U133" s="544" t="s">
        <v>2700</v>
      </c>
      <c r="V133" s="547">
        <v>1567</v>
      </c>
      <c r="W133" s="548"/>
      <c r="Y133" s="544" t="s">
        <v>1674</v>
      </c>
      <c r="AA133" s="544" t="s">
        <v>1674</v>
      </c>
      <c r="AB133" s="542">
        <v>3</v>
      </c>
      <c r="AE133" s="551"/>
      <c r="AF133" s="544" t="s">
        <v>1674</v>
      </c>
      <c r="AG133" s="544" t="s">
        <v>1674</v>
      </c>
      <c r="AH133" s="544" t="s">
        <v>1674</v>
      </c>
      <c r="AI133" s="544" t="s">
        <v>1674</v>
      </c>
      <c r="AJ133" s="544" t="s">
        <v>1674</v>
      </c>
      <c r="AK133" s="544" t="s">
        <v>1674</v>
      </c>
      <c r="AL133" s="544" t="s">
        <v>1674</v>
      </c>
      <c r="AM133" s="544" t="s">
        <v>1674</v>
      </c>
      <c r="AN133" s="544" t="s">
        <v>1674</v>
      </c>
      <c r="AP133" s="552">
        <f t="shared" si="4"/>
        <v>447.56</v>
      </c>
    </row>
    <row r="134" spans="1:42" outlineLevel="1" x14ac:dyDescent="0.25">
      <c r="A134" s="544" t="s">
        <v>1674</v>
      </c>
      <c r="B134" s="545">
        <v>0</v>
      </c>
      <c r="C134" s="544" t="s">
        <v>1674</v>
      </c>
      <c r="D134" s="544" t="s">
        <v>4183</v>
      </c>
      <c r="E134" s="542" t="s">
        <v>4184</v>
      </c>
      <c r="F134" s="542" t="s">
        <v>4185</v>
      </c>
      <c r="G134" s="546"/>
      <c r="H134" s="546">
        <v>335.18</v>
      </c>
      <c r="I134" s="546"/>
      <c r="J134" s="542" t="s">
        <v>806</v>
      </c>
      <c r="K134" s="547">
        <v>1588</v>
      </c>
      <c r="L134" s="542" t="s">
        <v>806</v>
      </c>
      <c r="M134" s="548"/>
      <c r="N134" s="549">
        <v>23</v>
      </c>
      <c r="O134" s="544" t="s">
        <v>1674</v>
      </c>
      <c r="P134" s="544" t="s">
        <v>1674</v>
      </c>
      <c r="Q134" s="544" t="s">
        <v>4040</v>
      </c>
      <c r="R134" s="544" t="s">
        <v>1674</v>
      </c>
      <c r="S134" s="544" t="s">
        <v>1674</v>
      </c>
      <c r="T134" s="550"/>
      <c r="U134" s="544" t="s">
        <v>2700</v>
      </c>
      <c r="V134" s="547">
        <v>1647</v>
      </c>
      <c r="W134" s="548"/>
      <c r="Y134" s="544" t="s">
        <v>1674</v>
      </c>
      <c r="AA134" s="544" t="s">
        <v>1674</v>
      </c>
      <c r="AB134" s="542">
        <v>3</v>
      </c>
      <c r="AE134" s="551"/>
      <c r="AF134" s="544" t="s">
        <v>1674</v>
      </c>
      <c r="AG134" s="544" t="s">
        <v>1674</v>
      </c>
      <c r="AH134" s="544" t="s">
        <v>1674</v>
      </c>
      <c r="AI134" s="544" t="s">
        <v>1674</v>
      </c>
      <c r="AJ134" s="544" t="s">
        <v>1674</v>
      </c>
      <c r="AK134" s="544" t="s">
        <v>1674</v>
      </c>
      <c r="AL134" s="544" t="s">
        <v>1674</v>
      </c>
      <c r="AM134" s="544" t="s">
        <v>1674</v>
      </c>
      <c r="AN134" s="544" t="s">
        <v>1674</v>
      </c>
      <c r="AP134" s="552">
        <f t="shared" si="4"/>
        <v>0</v>
      </c>
    </row>
    <row r="135" spans="1:42" outlineLevel="1" x14ac:dyDescent="0.25">
      <c r="A135" s="544" t="s">
        <v>1674</v>
      </c>
      <c r="B135" s="545">
        <v>0</v>
      </c>
      <c r="C135" s="544" t="s">
        <v>1674</v>
      </c>
      <c r="D135" s="544" t="s">
        <v>4183</v>
      </c>
      <c r="E135" s="542" t="s">
        <v>4184</v>
      </c>
      <c r="F135" s="542" t="s">
        <v>4185</v>
      </c>
      <c r="G135" s="546"/>
      <c r="H135" s="546">
        <v>17.850000000000001</v>
      </c>
      <c r="I135" s="546">
        <v>353.03</v>
      </c>
      <c r="J135" s="542" t="s">
        <v>2584</v>
      </c>
      <c r="K135" s="547">
        <v>4730</v>
      </c>
      <c r="L135" s="542" t="s">
        <v>806</v>
      </c>
      <c r="M135" s="548"/>
      <c r="N135" s="549">
        <v>23</v>
      </c>
      <c r="O135" s="544" t="s">
        <v>1674</v>
      </c>
      <c r="P135" s="544" t="s">
        <v>1674</v>
      </c>
      <c r="Q135" s="544" t="s">
        <v>4040</v>
      </c>
      <c r="R135" s="544" t="s">
        <v>1674</v>
      </c>
      <c r="S135" s="544" t="s">
        <v>1674</v>
      </c>
      <c r="T135" s="550">
        <v>19</v>
      </c>
      <c r="U135" s="544" t="s">
        <v>2700</v>
      </c>
      <c r="V135" s="547">
        <v>1648</v>
      </c>
      <c r="W135" s="548"/>
      <c r="Y135" s="544" t="s">
        <v>1674</v>
      </c>
      <c r="AA135" s="544" t="s">
        <v>1674</v>
      </c>
      <c r="AB135" s="542">
        <v>3</v>
      </c>
      <c r="AE135" s="551"/>
      <c r="AF135" s="544" t="s">
        <v>1674</v>
      </c>
      <c r="AG135" s="544" t="s">
        <v>1674</v>
      </c>
      <c r="AH135" s="544" t="s">
        <v>1674</v>
      </c>
      <c r="AI135" s="544" t="s">
        <v>1674</v>
      </c>
      <c r="AJ135" s="544" t="s">
        <v>1674</v>
      </c>
      <c r="AK135" s="544" t="s">
        <v>1674</v>
      </c>
      <c r="AL135" s="544" t="s">
        <v>1674</v>
      </c>
      <c r="AM135" s="544" t="s">
        <v>1674</v>
      </c>
      <c r="AN135" s="544" t="s">
        <v>1674</v>
      </c>
      <c r="AP135" s="552">
        <f t="shared" si="4"/>
        <v>353.03</v>
      </c>
    </row>
    <row r="136" spans="1:42" outlineLevel="1" x14ac:dyDescent="0.25">
      <c r="A136" s="544" t="s">
        <v>1674</v>
      </c>
      <c r="B136" s="545">
        <v>71300</v>
      </c>
      <c r="C136" s="544" t="s">
        <v>3550</v>
      </c>
      <c r="D136" s="544" t="s">
        <v>4186</v>
      </c>
      <c r="E136" s="542" t="s">
        <v>2969</v>
      </c>
      <c r="F136" s="542" t="s">
        <v>3117</v>
      </c>
      <c r="G136" s="546"/>
      <c r="H136" s="546">
        <v>1544.38</v>
      </c>
      <c r="I136" s="546">
        <v>1544.38</v>
      </c>
      <c r="J136" s="542" t="s">
        <v>2584</v>
      </c>
      <c r="K136" s="547">
        <v>4980</v>
      </c>
      <c r="L136" s="542" t="s">
        <v>806</v>
      </c>
      <c r="M136" s="548"/>
      <c r="N136" s="549">
        <v>26</v>
      </c>
      <c r="O136" s="544" t="s">
        <v>1674</v>
      </c>
      <c r="P136" s="544" t="s">
        <v>1674</v>
      </c>
      <c r="Q136" s="544" t="s">
        <v>4187</v>
      </c>
      <c r="R136" s="544" t="s">
        <v>1674</v>
      </c>
      <c r="S136" s="544" t="s">
        <v>1674</v>
      </c>
      <c r="T136" s="550">
        <v>19</v>
      </c>
      <c r="U136" s="544" t="s">
        <v>2700</v>
      </c>
      <c r="V136" s="547">
        <v>1649</v>
      </c>
      <c r="W136" s="548"/>
      <c r="Y136" s="544" t="s">
        <v>1674</v>
      </c>
      <c r="AA136" s="544" t="s">
        <v>1674</v>
      </c>
      <c r="AB136" s="542">
        <v>3</v>
      </c>
      <c r="AE136" s="551"/>
      <c r="AF136" s="544" t="s">
        <v>1674</v>
      </c>
      <c r="AG136" s="544" t="s">
        <v>1674</v>
      </c>
      <c r="AH136" s="544" t="s">
        <v>1674</v>
      </c>
      <c r="AI136" s="544" t="s">
        <v>1674</v>
      </c>
      <c r="AJ136" s="544" t="s">
        <v>1674</v>
      </c>
      <c r="AK136" s="544" t="s">
        <v>1674</v>
      </c>
      <c r="AL136" s="544" t="s">
        <v>1674</v>
      </c>
      <c r="AM136" s="544" t="s">
        <v>3550</v>
      </c>
      <c r="AN136" s="544" t="s">
        <v>1674</v>
      </c>
      <c r="AP136" s="552">
        <f t="shared" si="4"/>
        <v>1544.38</v>
      </c>
    </row>
    <row r="137" spans="1:42" outlineLevel="1" x14ac:dyDescent="0.25">
      <c r="A137" s="544" t="s">
        <v>1674</v>
      </c>
      <c r="B137" s="545">
        <v>90100</v>
      </c>
      <c r="C137" s="544" t="s">
        <v>4188</v>
      </c>
      <c r="D137" s="544" t="s">
        <v>4189</v>
      </c>
      <c r="E137" s="542" t="s">
        <v>4190</v>
      </c>
      <c r="F137" s="542" t="s">
        <v>4191</v>
      </c>
      <c r="G137" s="546"/>
      <c r="H137" s="546">
        <v>3200</v>
      </c>
      <c r="I137" s="546">
        <v>3200</v>
      </c>
      <c r="J137" s="542" t="s">
        <v>2584</v>
      </c>
      <c r="K137" s="547">
        <v>4951</v>
      </c>
      <c r="L137" s="542" t="s">
        <v>806</v>
      </c>
      <c r="M137" s="548"/>
      <c r="N137" s="549">
        <v>27</v>
      </c>
      <c r="O137" s="544" t="s">
        <v>1674</v>
      </c>
      <c r="P137" s="544" t="s">
        <v>1674</v>
      </c>
      <c r="Q137" s="544" t="s">
        <v>4192</v>
      </c>
      <c r="R137" s="544" t="s">
        <v>1674</v>
      </c>
      <c r="S137" s="544" t="s">
        <v>1674</v>
      </c>
      <c r="T137" s="550">
        <v>19</v>
      </c>
      <c r="U137" s="544" t="s">
        <v>2700</v>
      </c>
      <c r="V137" s="547">
        <v>1683</v>
      </c>
      <c r="W137" s="548"/>
      <c r="Y137" s="544" t="s">
        <v>1674</v>
      </c>
      <c r="AA137" s="544" t="s">
        <v>1674</v>
      </c>
      <c r="AB137" s="542">
        <v>3</v>
      </c>
      <c r="AE137" s="551"/>
      <c r="AF137" s="544" t="s">
        <v>1674</v>
      </c>
      <c r="AG137" s="544" t="s">
        <v>1674</v>
      </c>
      <c r="AH137" s="544" t="s">
        <v>1674</v>
      </c>
      <c r="AI137" s="544" t="s">
        <v>1674</v>
      </c>
      <c r="AJ137" s="544" t="s">
        <v>1674</v>
      </c>
      <c r="AK137" s="544" t="s">
        <v>1674</v>
      </c>
      <c r="AL137" s="544" t="s">
        <v>1674</v>
      </c>
      <c r="AM137" s="544" t="s">
        <v>4188</v>
      </c>
      <c r="AN137" s="544" t="s">
        <v>1674</v>
      </c>
      <c r="AP137" s="552">
        <f t="shared" si="4"/>
        <v>3200</v>
      </c>
    </row>
    <row r="138" spans="1:42" outlineLevel="1" x14ac:dyDescent="0.25">
      <c r="A138" s="544" t="s">
        <v>1674</v>
      </c>
      <c r="B138" s="545">
        <v>70400</v>
      </c>
      <c r="C138" s="544" t="s">
        <v>2730</v>
      </c>
      <c r="D138" s="544" t="s">
        <v>4193</v>
      </c>
      <c r="E138" s="542" t="s">
        <v>3269</v>
      </c>
      <c r="F138" s="542" t="s">
        <v>3270</v>
      </c>
      <c r="G138" s="546"/>
      <c r="H138" s="546">
        <v>16283.96</v>
      </c>
      <c r="I138" s="546">
        <v>16283.96</v>
      </c>
      <c r="J138" s="542" t="s">
        <v>2584</v>
      </c>
      <c r="K138" s="547">
        <v>3401</v>
      </c>
      <c r="L138" s="542" t="s">
        <v>806</v>
      </c>
      <c r="M138" s="548"/>
      <c r="N138" s="549">
        <v>29</v>
      </c>
      <c r="O138" s="544" t="s">
        <v>1674</v>
      </c>
      <c r="P138" s="544" t="s">
        <v>1674</v>
      </c>
      <c r="Q138" s="544" t="s">
        <v>4194</v>
      </c>
      <c r="R138" s="544" t="s">
        <v>1674</v>
      </c>
      <c r="S138" s="544" t="s">
        <v>1674</v>
      </c>
      <c r="T138" s="550">
        <v>19</v>
      </c>
      <c r="U138" s="544" t="s">
        <v>2700</v>
      </c>
      <c r="V138" s="547">
        <v>1685</v>
      </c>
      <c r="W138" s="548"/>
      <c r="Y138" s="544" t="s">
        <v>1674</v>
      </c>
      <c r="AA138" s="544" t="s">
        <v>1674</v>
      </c>
      <c r="AB138" s="542">
        <v>3</v>
      </c>
      <c r="AE138" s="551"/>
      <c r="AF138" s="544" t="s">
        <v>1674</v>
      </c>
      <c r="AG138" s="544" t="s">
        <v>1674</v>
      </c>
      <c r="AH138" s="544" t="s">
        <v>1674</v>
      </c>
      <c r="AI138" s="544" t="s">
        <v>1674</v>
      </c>
      <c r="AJ138" s="544" t="s">
        <v>1674</v>
      </c>
      <c r="AK138" s="544" t="s">
        <v>1674</v>
      </c>
      <c r="AL138" s="544" t="s">
        <v>1674</v>
      </c>
      <c r="AM138" s="544" t="s">
        <v>2730</v>
      </c>
      <c r="AN138" s="544" t="s">
        <v>1674</v>
      </c>
      <c r="AP138" s="552">
        <f t="shared" si="4"/>
        <v>16283.96</v>
      </c>
    </row>
    <row r="139" spans="1:42" outlineLevel="1" x14ac:dyDescent="0.25">
      <c r="A139" s="544" t="s">
        <v>1674</v>
      </c>
      <c r="B139" s="545">
        <v>70800</v>
      </c>
      <c r="C139" s="544" t="s">
        <v>2967</v>
      </c>
      <c r="D139" s="544" t="s">
        <v>4195</v>
      </c>
      <c r="E139" s="542" t="s">
        <v>3269</v>
      </c>
      <c r="G139" s="546">
        <v>937.28</v>
      </c>
      <c r="H139" s="546"/>
      <c r="I139" s="546">
        <v>937.28</v>
      </c>
      <c r="J139" s="542" t="s">
        <v>2701</v>
      </c>
      <c r="K139" s="547">
        <v>4240</v>
      </c>
      <c r="L139" s="542" t="s">
        <v>806</v>
      </c>
      <c r="M139" s="548"/>
      <c r="N139" s="549">
        <v>0</v>
      </c>
      <c r="O139" s="544" t="s">
        <v>1674</v>
      </c>
      <c r="P139" s="544" t="s">
        <v>1674</v>
      </c>
      <c r="Q139" s="544" t="s">
        <v>4196</v>
      </c>
      <c r="R139" s="544" t="s">
        <v>1674</v>
      </c>
      <c r="S139" s="544" t="s">
        <v>1674</v>
      </c>
      <c r="T139" s="550">
        <v>19</v>
      </c>
      <c r="U139" s="544" t="s">
        <v>2700</v>
      </c>
      <c r="V139" s="547">
        <v>1688</v>
      </c>
      <c r="W139" s="548"/>
      <c r="Y139" s="544" t="s">
        <v>1674</v>
      </c>
      <c r="AA139" s="544" t="s">
        <v>1674</v>
      </c>
      <c r="AE139" s="551"/>
      <c r="AF139" s="544" t="s">
        <v>1674</v>
      </c>
      <c r="AG139" s="544" t="s">
        <v>1674</v>
      </c>
      <c r="AH139" s="544" t="s">
        <v>1674</v>
      </c>
      <c r="AI139" s="544" t="s">
        <v>1674</v>
      </c>
      <c r="AJ139" s="544" t="s">
        <v>1674</v>
      </c>
      <c r="AK139" s="544" t="s">
        <v>1674</v>
      </c>
      <c r="AL139" s="544" t="s">
        <v>1674</v>
      </c>
      <c r="AM139" s="544" t="s">
        <v>2967</v>
      </c>
      <c r="AN139" s="544" t="s">
        <v>1674</v>
      </c>
      <c r="AP139" s="552"/>
    </row>
    <row r="140" spans="1:42" outlineLevel="1" x14ac:dyDescent="0.25">
      <c r="A140" s="544" t="s">
        <v>1674</v>
      </c>
      <c r="B140" s="545">
        <v>0</v>
      </c>
      <c r="C140" s="544" t="s">
        <v>1674</v>
      </c>
      <c r="D140" s="544" t="s">
        <v>4197</v>
      </c>
      <c r="E140" s="542" t="s">
        <v>3269</v>
      </c>
      <c r="G140" s="546">
        <v>632.83000000000004</v>
      </c>
      <c r="H140" s="546"/>
      <c r="I140" s="546">
        <v>632.83000000000004</v>
      </c>
      <c r="J140" s="542" t="s">
        <v>2701</v>
      </c>
      <c r="K140" s="547">
        <v>4228</v>
      </c>
      <c r="L140" s="542" t="s">
        <v>806</v>
      </c>
      <c r="M140" s="548"/>
      <c r="N140" s="549">
        <v>0</v>
      </c>
      <c r="O140" s="544" t="s">
        <v>1674</v>
      </c>
      <c r="P140" s="544" t="s">
        <v>1674</v>
      </c>
      <c r="Q140" s="544" t="s">
        <v>4196</v>
      </c>
      <c r="R140" s="544" t="s">
        <v>1674</v>
      </c>
      <c r="S140" s="544" t="s">
        <v>1674</v>
      </c>
      <c r="T140" s="550">
        <v>19</v>
      </c>
      <c r="U140" s="544" t="s">
        <v>2700</v>
      </c>
      <c r="V140" s="547">
        <v>1690</v>
      </c>
      <c r="W140" s="548"/>
      <c r="Y140" s="544" t="s">
        <v>1674</v>
      </c>
      <c r="AA140" s="544" t="s">
        <v>1674</v>
      </c>
      <c r="AE140" s="551"/>
      <c r="AF140" s="544" t="s">
        <v>1674</v>
      </c>
      <c r="AG140" s="544" t="s">
        <v>1674</v>
      </c>
      <c r="AH140" s="544" t="s">
        <v>1674</v>
      </c>
      <c r="AI140" s="544" t="s">
        <v>1674</v>
      </c>
      <c r="AJ140" s="544" t="s">
        <v>1674</v>
      </c>
      <c r="AK140" s="544" t="s">
        <v>1674</v>
      </c>
      <c r="AL140" s="544" t="s">
        <v>1674</v>
      </c>
      <c r="AM140" s="544" t="s">
        <v>1674</v>
      </c>
      <c r="AN140" s="544" t="s">
        <v>1674</v>
      </c>
      <c r="AP140" s="552"/>
    </row>
    <row r="141" spans="1:42" outlineLevel="1" x14ac:dyDescent="0.25">
      <c r="A141" s="544" t="s">
        <v>1674</v>
      </c>
      <c r="B141" s="545">
        <v>71801</v>
      </c>
      <c r="C141" s="544" t="s">
        <v>4198</v>
      </c>
      <c r="D141" s="544" t="s">
        <v>4199</v>
      </c>
      <c r="E141" s="542" t="s">
        <v>3269</v>
      </c>
      <c r="F141" s="542" t="s">
        <v>3270</v>
      </c>
      <c r="G141" s="546"/>
      <c r="H141" s="546">
        <v>145.54</v>
      </c>
      <c r="I141" s="546">
        <v>145.54</v>
      </c>
      <c r="J141" s="542" t="s">
        <v>2584</v>
      </c>
      <c r="K141" s="547">
        <v>4969</v>
      </c>
      <c r="L141" s="542" t="s">
        <v>806</v>
      </c>
      <c r="M141" s="548"/>
      <c r="N141" s="549">
        <v>29</v>
      </c>
      <c r="O141" s="544" t="s">
        <v>1674</v>
      </c>
      <c r="P141" s="544" t="s">
        <v>1674</v>
      </c>
      <c r="Q141" s="544" t="s">
        <v>4198</v>
      </c>
      <c r="R141" s="544" t="s">
        <v>1674</v>
      </c>
      <c r="S141" s="544" t="s">
        <v>1674</v>
      </c>
      <c r="T141" s="550">
        <v>19</v>
      </c>
      <c r="U141" s="544" t="s">
        <v>2700</v>
      </c>
      <c r="V141" s="547">
        <v>1684</v>
      </c>
      <c r="W141" s="548"/>
      <c r="Y141" s="544" t="s">
        <v>1674</v>
      </c>
      <c r="AA141" s="544" t="s">
        <v>1674</v>
      </c>
      <c r="AB141" s="542">
        <v>3</v>
      </c>
      <c r="AE141" s="551"/>
      <c r="AF141" s="544" t="s">
        <v>1674</v>
      </c>
      <c r="AG141" s="544" t="s">
        <v>1674</v>
      </c>
      <c r="AH141" s="544" t="s">
        <v>1674</v>
      </c>
      <c r="AI141" s="544" t="s">
        <v>1674</v>
      </c>
      <c r="AJ141" s="544" t="s">
        <v>1674</v>
      </c>
      <c r="AK141" s="544" t="s">
        <v>1674</v>
      </c>
      <c r="AL141" s="544" t="s">
        <v>1674</v>
      </c>
      <c r="AM141" s="544" t="s">
        <v>4200</v>
      </c>
      <c r="AN141" s="544" t="s">
        <v>1674</v>
      </c>
      <c r="AP141" s="552">
        <f t="shared" si="4"/>
        <v>145.54</v>
      </c>
    </row>
    <row r="142" spans="1:42" outlineLevel="1" x14ac:dyDescent="0.25">
      <c r="A142" s="544" t="s">
        <v>1674</v>
      </c>
      <c r="B142" s="545">
        <v>72200</v>
      </c>
      <c r="C142" s="544" t="s">
        <v>3260</v>
      </c>
      <c r="D142" s="544" t="s">
        <v>4201</v>
      </c>
      <c r="E142" s="542" t="s">
        <v>3269</v>
      </c>
      <c r="F142" s="542" t="s">
        <v>3270</v>
      </c>
      <c r="G142" s="546"/>
      <c r="H142" s="546">
        <v>166.77</v>
      </c>
      <c r="I142" s="546"/>
      <c r="J142" s="542" t="s">
        <v>806</v>
      </c>
      <c r="K142" s="547">
        <v>1588</v>
      </c>
      <c r="L142" s="542" t="s">
        <v>806</v>
      </c>
      <c r="M142" s="548"/>
      <c r="N142" s="549">
        <v>29</v>
      </c>
      <c r="O142" s="544" t="s">
        <v>1674</v>
      </c>
      <c r="P142" s="544" t="s">
        <v>1674</v>
      </c>
      <c r="Q142" s="544" t="s">
        <v>4040</v>
      </c>
      <c r="R142" s="544" t="s">
        <v>1674</v>
      </c>
      <c r="S142" s="544" t="s">
        <v>1674</v>
      </c>
      <c r="T142" s="550"/>
      <c r="U142" s="544" t="s">
        <v>2700</v>
      </c>
      <c r="V142" s="547">
        <v>1686</v>
      </c>
      <c r="W142" s="548"/>
      <c r="Y142" s="544" t="s">
        <v>1674</v>
      </c>
      <c r="AA142" s="544" t="s">
        <v>1674</v>
      </c>
      <c r="AB142" s="542">
        <v>3</v>
      </c>
      <c r="AE142" s="551"/>
      <c r="AF142" s="544" t="s">
        <v>1674</v>
      </c>
      <c r="AG142" s="544" t="s">
        <v>1674</v>
      </c>
      <c r="AH142" s="544" t="s">
        <v>1674</v>
      </c>
      <c r="AI142" s="544" t="s">
        <v>1674</v>
      </c>
      <c r="AJ142" s="544" t="s">
        <v>1674</v>
      </c>
      <c r="AK142" s="544" t="s">
        <v>1674</v>
      </c>
      <c r="AL142" s="544" t="s">
        <v>1674</v>
      </c>
      <c r="AM142" s="544" t="s">
        <v>3260</v>
      </c>
      <c r="AN142" s="544" t="s">
        <v>1674</v>
      </c>
      <c r="AP142" s="552">
        <f t="shared" si="4"/>
        <v>0</v>
      </c>
    </row>
    <row r="143" spans="1:42" outlineLevel="1" x14ac:dyDescent="0.25">
      <c r="A143" s="544" t="s">
        <v>1674</v>
      </c>
      <c r="B143" s="545">
        <v>0</v>
      </c>
      <c r="C143" s="544" t="s">
        <v>1674</v>
      </c>
      <c r="D143" s="544" t="s">
        <v>4201</v>
      </c>
      <c r="E143" s="542" t="s">
        <v>3269</v>
      </c>
      <c r="F143" s="542" t="s">
        <v>3270</v>
      </c>
      <c r="G143" s="546"/>
      <c r="H143" s="546">
        <v>17.850000000000001</v>
      </c>
      <c r="I143" s="546">
        <v>184.62</v>
      </c>
      <c r="J143" s="542" t="s">
        <v>2584</v>
      </c>
      <c r="K143" s="547">
        <v>4730</v>
      </c>
      <c r="L143" s="542" t="s">
        <v>806</v>
      </c>
      <c r="M143" s="548"/>
      <c r="N143" s="549">
        <v>29</v>
      </c>
      <c r="O143" s="544" t="s">
        <v>1674</v>
      </c>
      <c r="P143" s="544" t="s">
        <v>1674</v>
      </c>
      <c r="Q143" s="544" t="s">
        <v>4040</v>
      </c>
      <c r="R143" s="544" t="s">
        <v>1674</v>
      </c>
      <c r="S143" s="544" t="s">
        <v>1674</v>
      </c>
      <c r="T143" s="550">
        <v>19</v>
      </c>
      <c r="U143" s="544" t="s">
        <v>2700</v>
      </c>
      <c r="V143" s="547">
        <v>1687</v>
      </c>
      <c r="W143" s="548"/>
      <c r="Y143" s="544" t="s">
        <v>1674</v>
      </c>
      <c r="AA143" s="544" t="s">
        <v>1674</v>
      </c>
      <c r="AB143" s="542">
        <v>3</v>
      </c>
      <c r="AE143" s="551"/>
      <c r="AF143" s="544" t="s">
        <v>1674</v>
      </c>
      <c r="AG143" s="544" t="s">
        <v>1674</v>
      </c>
      <c r="AH143" s="544" t="s">
        <v>1674</v>
      </c>
      <c r="AI143" s="544" t="s">
        <v>1674</v>
      </c>
      <c r="AJ143" s="544" t="s">
        <v>1674</v>
      </c>
      <c r="AK143" s="544" t="s">
        <v>1674</v>
      </c>
      <c r="AL143" s="544" t="s">
        <v>1674</v>
      </c>
      <c r="AM143" s="544" t="s">
        <v>1674</v>
      </c>
      <c r="AN143" s="544" t="s">
        <v>1674</v>
      </c>
      <c r="AP143" s="552">
        <f t="shared" si="4"/>
        <v>184.62</v>
      </c>
    </row>
    <row r="144" spans="1:42" outlineLevel="1" x14ac:dyDescent="0.25">
      <c r="A144" s="544" t="s">
        <v>1674</v>
      </c>
      <c r="B144" s="545">
        <v>80503</v>
      </c>
      <c r="C144" s="544" t="s">
        <v>4202</v>
      </c>
      <c r="D144" s="544" t="s">
        <v>4203</v>
      </c>
      <c r="E144" s="542" t="s">
        <v>3269</v>
      </c>
      <c r="F144" s="542" t="s">
        <v>3270</v>
      </c>
      <c r="G144" s="546"/>
      <c r="H144" s="546">
        <v>56.25</v>
      </c>
      <c r="I144" s="546">
        <v>56.25</v>
      </c>
      <c r="J144" s="542" t="s">
        <v>2584</v>
      </c>
      <c r="K144" s="547">
        <v>4950</v>
      </c>
      <c r="L144" s="542" t="s">
        <v>806</v>
      </c>
      <c r="M144" s="548"/>
      <c r="N144" s="549">
        <v>29</v>
      </c>
      <c r="O144" s="544" t="s">
        <v>1674</v>
      </c>
      <c r="P144" s="544" t="s">
        <v>1674</v>
      </c>
      <c r="Q144" s="544" t="s">
        <v>4204</v>
      </c>
      <c r="R144" s="544" t="s">
        <v>1674</v>
      </c>
      <c r="S144" s="544" t="s">
        <v>1674</v>
      </c>
      <c r="T144" s="550">
        <v>19</v>
      </c>
      <c r="U144" s="544" t="s">
        <v>2797</v>
      </c>
      <c r="V144" s="547">
        <v>34</v>
      </c>
      <c r="W144" s="548"/>
      <c r="Y144" s="544" t="s">
        <v>1674</v>
      </c>
      <c r="AA144" s="544" t="s">
        <v>1674</v>
      </c>
      <c r="AB144" s="542">
        <v>3</v>
      </c>
      <c r="AE144" s="551"/>
      <c r="AF144" s="544" t="s">
        <v>1674</v>
      </c>
      <c r="AG144" s="544" t="s">
        <v>1674</v>
      </c>
      <c r="AH144" s="544" t="s">
        <v>1674</v>
      </c>
      <c r="AI144" s="544" t="s">
        <v>1674</v>
      </c>
      <c r="AJ144" s="544" t="s">
        <v>1674</v>
      </c>
      <c r="AK144" s="544" t="s">
        <v>1674</v>
      </c>
      <c r="AL144" s="544" t="s">
        <v>1674</v>
      </c>
      <c r="AM144" s="544" t="s">
        <v>4205</v>
      </c>
      <c r="AN144" s="544" t="s">
        <v>1674</v>
      </c>
      <c r="AP144" s="552">
        <f t="shared" si="4"/>
        <v>56.25</v>
      </c>
    </row>
    <row r="145" spans="1:42" outlineLevel="1" x14ac:dyDescent="0.25">
      <c r="A145" s="544" t="s">
        <v>1674</v>
      </c>
      <c r="B145" s="545">
        <v>70200</v>
      </c>
      <c r="C145" s="544" t="s">
        <v>2774</v>
      </c>
      <c r="D145" s="544" t="s">
        <v>4206</v>
      </c>
      <c r="E145" s="542" t="s">
        <v>3295</v>
      </c>
      <c r="F145" s="542" t="s">
        <v>3296</v>
      </c>
      <c r="G145" s="546"/>
      <c r="H145" s="546">
        <v>124.4</v>
      </c>
      <c r="I145" s="546"/>
      <c r="J145" s="542" t="s">
        <v>806</v>
      </c>
      <c r="K145" s="547">
        <v>4930</v>
      </c>
      <c r="L145" s="542" t="s">
        <v>806</v>
      </c>
      <c r="M145" s="548"/>
      <c r="N145" s="549">
        <v>30</v>
      </c>
      <c r="O145" s="544" t="s">
        <v>1674</v>
      </c>
      <c r="P145" s="544" t="s">
        <v>1674</v>
      </c>
      <c r="Q145" s="544" t="s">
        <v>4207</v>
      </c>
      <c r="R145" s="544" t="s">
        <v>1674</v>
      </c>
      <c r="S145" s="544" t="s">
        <v>1674</v>
      </c>
      <c r="T145" s="550">
        <v>19</v>
      </c>
      <c r="U145" s="544" t="s">
        <v>2700</v>
      </c>
      <c r="V145" s="547">
        <v>1723</v>
      </c>
      <c r="W145" s="548"/>
      <c r="Y145" s="544" t="s">
        <v>1674</v>
      </c>
      <c r="AA145" s="544" t="s">
        <v>1674</v>
      </c>
      <c r="AB145" s="542">
        <v>3</v>
      </c>
      <c r="AE145" s="551"/>
      <c r="AF145" s="544" t="s">
        <v>1674</v>
      </c>
      <c r="AG145" s="544" t="s">
        <v>1674</v>
      </c>
      <c r="AH145" s="544" t="s">
        <v>1674</v>
      </c>
      <c r="AI145" s="544" t="s">
        <v>1674</v>
      </c>
      <c r="AJ145" s="544" t="s">
        <v>1674</v>
      </c>
      <c r="AK145" s="544" t="s">
        <v>1674</v>
      </c>
      <c r="AL145" s="544" t="s">
        <v>1674</v>
      </c>
      <c r="AM145" s="544" t="s">
        <v>2774</v>
      </c>
      <c r="AN145" s="544" t="s">
        <v>1674</v>
      </c>
      <c r="AP145" s="552">
        <f t="shared" si="4"/>
        <v>0</v>
      </c>
    </row>
    <row r="146" spans="1:42" outlineLevel="1" x14ac:dyDescent="0.25">
      <c r="A146" s="544" t="s">
        <v>1674</v>
      </c>
      <c r="B146" s="545">
        <v>0</v>
      </c>
      <c r="C146" s="544" t="s">
        <v>1674</v>
      </c>
      <c r="D146" s="544" t="s">
        <v>4206</v>
      </c>
      <c r="E146" s="542" t="s">
        <v>3295</v>
      </c>
      <c r="F146" s="542" t="s">
        <v>3296</v>
      </c>
      <c r="G146" s="546"/>
      <c r="H146" s="546">
        <v>15.41</v>
      </c>
      <c r="I146" s="546"/>
      <c r="J146" s="542" t="s">
        <v>806</v>
      </c>
      <c r="K146" s="547">
        <v>4980</v>
      </c>
      <c r="L146" s="542" t="s">
        <v>806</v>
      </c>
      <c r="M146" s="548"/>
      <c r="N146" s="549">
        <v>30</v>
      </c>
      <c r="O146" s="544" t="s">
        <v>1674</v>
      </c>
      <c r="P146" s="544" t="s">
        <v>1674</v>
      </c>
      <c r="Q146" s="544" t="s">
        <v>4207</v>
      </c>
      <c r="R146" s="544" t="s">
        <v>1674</v>
      </c>
      <c r="S146" s="544" t="s">
        <v>1674</v>
      </c>
      <c r="T146" s="550">
        <v>19</v>
      </c>
      <c r="U146" s="544" t="s">
        <v>2700</v>
      </c>
      <c r="V146" s="547">
        <v>1724</v>
      </c>
      <c r="W146" s="548"/>
      <c r="Y146" s="544" t="s">
        <v>1674</v>
      </c>
      <c r="AA146" s="544" t="s">
        <v>1674</v>
      </c>
      <c r="AB146" s="542">
        <v>3</v>
      </c>
      <c r="AE146" s="551"/>
      <c r="AF146" s="544" t="s">
        <v>1674</v>
      </c>
      <c r="AG146" s="544" t="s">
        <v>1674</v>
      </c>
      <c r="AH146" s="544" t="s">
        <v>1674</v>
      </c>
      <c r="AI146" s="544" t="s">
        <v>1674</v>
      </c>
      <c r="AJ146" s="544" t="s">
        <v>1674</v>
      </c>
      <c r="AK146" s="544" t="s">
        <v>1674</v>
      </c>
      <c r="AL146" s="544" t="s">
        <v>1674</v>
      </c>
      <c r="AM146" s="544" t="s">
        <v>1674</v>
      </c>
      <c r="AN146" s="544" t="s">
        <v>1674</v>
      </c>
      <c r="AP146" s="552">
        <f t="shared" si="4"/>
        <v>0</v>
      </c>
    </row>
    <row r="147" spans="1:42" outlineLevel="1" x14ac:dyDescent="0.25">
      <c r="A147" s="544" t="s">
        <v>1674</v>
      </c>
      <c r="B147" s="545">
        <v>0</v>
      </c>
      <c r="C147" s="544" t="s">
        <v>1674</v>
      </c>
      <c r="D147" s="544" t="s">
        <v>4206</v>
      </c>
      <c r="E147" s="542" t="s">
        <v>3295</v>
      </c>
      <c r="F147" s="542" t="s">
        <v>3296</v>
      </c>
      <c r="G147" s="546"/>
      <c r="H147" s="546">
        <v>98.06</v>
      </c>
      <c r="I147" s="546">
        <v>237.87</v>
      </c>
      <c r="J147" s="542" t="s">
        <v>2584</v>
      </c>
      <c r="K147" s="547">
        <v>3400</v>
      </c>
      <c r="L147" s="542" t="s">
        <v>806</v>
      </c>
      <c r="M147" s="548"/>
      <c r="N147" s="549">
        <v>30</v>
      </c>
      <c r="O147" s="544" t="s">
        <v>1674</v>
      </c>
      <c r="P147" s="544" t="s">
        <v>1674</v>
      </c>
      <c r="Q147" s="544" t="s">
        <v>4207</v>
      </c>
      <c r="R147" s="544" t="s">
        <v>1674</v>
      </c>
      <c r="S147" s="544" t="s">
        <v>1674</v>
      </c>
      <c r="T147" s="550">
        <v>19</v>
      </c>
      <c r="U147" s="544" t="s">
        <v>2700</v>
      </c>
      <c r="V147" s="547">
        <v>1725</v>
      </c>
      <c r="W147" s="548"/>
      <c r="Y147" s="544" t="s">
        <v>1674</v>
      </c>
      <c r="AA147" s="544" t="s">
        <v>1674</v>
      </c>
      <c r="AB147" s="542">
        <v>3</v>
      </c>
      <c r="AE147" s="551"/>
      <c r="AF147" s="544" t="s">
        <v>1674</v>
      </c>
      <c r="AG147" s="544" t="s">
        <v>1674</v>
      </c>
      <c r="AH147" s="544" t="s">
        <v>1674</v>
      </c>
      <c r="AI147" s="544" t="s">
        <v>1674</v>
      </c>
      <c r="AJ147" s="544" t="s">
        <v>1674</v>
      </c>
      <c r="AK147" s="544" t="s">
        <v>1674</v>
      </c>
      <c r="AL147" s="544" t="s">
        <v>1674</v>
      </c>
      <c r="AM147" s="544" t="s">
        <v>1674</v>
      </c>
      <c r="AN147" s="544" t="s">
        <v>1674</v>
      </c>
      <c r="AP147" s="552">
        <f t="shared" si="4"/>
        <v>237.87</v>
      </c>
    </row>
    <row r="148" spans="1:42" outlineLevel="1" x14ac:dyDescent="0.25">
      <c r="A148" s="544" t="s">
        <v>1674</v>
      </c>
      <c r="B148" s="545">
        <v>0</v>
      </c>
      <c r="C148" s="544" t="s">
        <v>1674</v>
      </c>
      <c r="D148" s="544" t="s">
        <v>4208</v>
      </c>
      <c r="E148" s="542" t="s">
        <v>3295</v>
      </c>
      <c r="F148" s="542" t="s">
        <v>3296</v>
      </c>
      <c r="G148" s="546"/>
      <c r="H148" s="546">
        <v>28711.73</v>
      </c>
      <c r="I148" s="546">
        <v>28711.73</v>
      </c>
      <c r="J148" s="542" t="s">
        <v>2584</v>
      </c>
      <c r="K148" s="547">
        <v>4950</v>
      </c>
      <c r="L148" s="542" t="s">
        <v>806</v>
      </c>
      <c r="M148" s="548"/>
      <c r="N148" s="549">
        <v>30</v>
      </c>
      <c r="O148" s="544" t="s">
        <v>1674</v>
      </c>
      <c r="P148" s="544" t="s">
        <v>1674</v>
      </c>
      <c r="Q148" s="544" t="s">
        <v>4209</v>
      </c>
      <c r="R148" s="544" t="s">
        <v>1674</v>
      </c>
      <c r="S148" s="544" t="s">
        <v>1674</v>
      </c>
      <c r="T148" s="550">
        <v>19</v>
      </c>
      <c r="U148" s="544" t="s">
        <v>2700</v>
      </c>
      <c r="V148" s="547">
        <v>1713</v>
      </c>
      <c r="W148" s="548"/>
      <c r="Y148" s="544" t="s">
        <v>1674</v>
      </c>
      <c r="AA148" s="544" t="s">
        <v>1674</v>
      </c>
      <c r="AB148" s="542">
        <v>3</v>
      </c>
      <c r="AE148" s="551"/>
      <c r="AF148" s="544" t="s">
        <v>1674</v>
      </c>
      <c r="AG148" s="544" t="s">
        <v>1674</v>
      </c>
      <c r="AH148" s="544" t="s">
        <v>1674</v>
      </c>
      <c r="AI148" s="544" t="s">
        <v>1674</v>
      </c>
      <c r="AJ148" s="544" t="s">
        <v>1674</v>
      </c>
      <c r="AK148" s="544" t="s">
        <v>1674</v>
      </c>
      <c r="AL148" s="544" t="s">
        <v>1674</v>
      </c>
      <c r="AM148" s="544" t="s">
        <v>1674</v>
      </c>
      <c r="AN148" s="544" t="s">
        <v>1674</v>
      </c>
      <c r="AP148" s="552">
        <f t="shared" si="4"/>
        <v>28711.73</v>
      </c>
    </row>
    <row r="149" spans="1:42" outlineLevel="1" x14ac:dyDescent="0.25">
      <c r="A149" s="544" t="s">
        <v>1674</v>
      </c>
      <c r="B149" s="545">
        <v>70400</v>
      </c>
      <c r="C149" s="544" t="s">
        <v>2730</v>
      </c>
      <c r="D149" s="544" t="s">
        <v>4210</v>
      </c>
      <c r="E149" s="542" t="s">
        <v>3295</v>
      </c>
      <c r="F149" s="542" t="s">
        <v>3296</v>
      </c>
      <c r="G149" s="546"/>
      <c r="H149" s="546">
        <v>3374.79</v>
      </c>
      <c r="I149" s="546">
        <v>3374.79</v>
      </c>
      <c r="J149" s="542" t="s">
        <v>2584</v>
      </c>
      <c r="K149" s="547">
        <v>4800</v>
      </c>
      <c r="L149" s="542" t="s">
        <v>806</v>
      </c>
      <c r="M149" s="548"/>
      <c r="N149" s="549">
        <v>30</v>
      </c>
      <c r="O149" s="544" t="s">
        <v>1674</v>
      </c>
      <c r="P149" s="544" t="s">
        <v>1674</v>
      </c>
      <c r="Q149" s="544" t="s">
        <v>4211</v>
      </c>
      <c r="R149" s="544" t="s">
        <v>1674</v>
      </c>
      <c r="S149" s="544" t="s">
        <v>1674</v>
      </c>
      <c r="T149" s="550">
        <v>19</v>
      </c>
      <c r="U149" s="544" t="s">
        <v>2700</v>
      </c>
      <c r="V149" s="547">
        <v>1722</v>
      </c>
      <c r="W149" s="548"/>
      <c r="Y149" s="544" t="s">
        <v>1674</v>
      </c>
      <c r="AA149" s="544" t="s">
        <v>1674</v>
      </c>
      <c r="AB149" s="542">
        <v>3</v>
      </c>
      <c r="AE149" s="551"/>
      <c r="AF149" s="544" t="s">
        <v>1674</v>
      </c>
      <c r="AG149" s="544" t="s">
        <v>1674</v>
      </c>
      <c r="AH149" s="544" t="s">
        <v>1674</v>
      </c>
      <c r="AI149" s="544" t="s">
        <v>1674</v>
      </c>
      <c r="AJ149" s="544" t="s">
        <v>1674</v>
      </c>
      <c r="AK149" s="544" t="s">
        <v>1674</v>
      </c>
      <c r="AL149" s="544" t="s">
        <v>1674</v>
      </c>
      <c r="AM149" s="544" t="s">
        <v>2730</v>
      </c>
      <c r="AN149" s="544" t="s">
        <v>1674</v>
      </c>
      <c r="AP149" s="552">
        <f t="shared" si="4"/>
        <v>3374.79</v>
      </c>
    </row>
    <row r="150" spans="1:42" outlineLevel="1" x14ac:dyDescent="0.25">
      <c r="A150" s="544" t="s">
        <v>1674</v>
      </c>
      <c r="B150" s="545">
        <v>0</v>
      </c>
      <c r="C150" s="544" t="s">
        <v>1674</v>
      </c>
      <c r="D150" s="544" t="s">
        <v>4212</v>
      </c>
      <c r="E150" s="542" t="s">
        <v>3295</v>
      </c>
      <c r="F150" s="542" t="s">
        <v>3296</v>
      </c>
      <c r="G150" s="546"/>
      <c r="H150" s="546">
        <v>446.55</v>
      </c>
      <c r="I150" s="546">
        <v>446.55</v>
      </c>
      <c r="J150" s="542" t="s">
        <v>2584</v>
      </c>
      <c r="K150" s="547">
        <v>4920</v>
      </c>
      <c r="L150" s="542" t="s">
        <v>806</v>
      </c>
      <c r="M150" s="548"/>
      <c r="N150" s="549">
        <v>30</v>
      </c>
      <c r="O150" s="544" t="s">
        <v>1674</v>
      </c>
      <c r="P150" s="544" t="s">
        <v>1674</v>
      </c>
      <c r="Q150" s="544" t="s">
        <v>4213</v>
      </c>
      <c r="R150" s="544" t="s">
        <v>1674</v>
      </c>
      <c r="S150" s="544" t="s">
        <v>1674</v>
      </c>
      <c r="T150" s="550">
        <v>19</v>
      </c>
      <c r="U150" s="544" t="s">
        <v>2700</v>
      </c>
      <c r="V150" s="547">
        <v>1716</v>
      </c>
      <c r="W150" s="548"/>
      <c r="Y150" s="544" t="s">
        <v>1674</v>
      </c>
      <c r="AA150" s="544" t="s">
        <v>1674</v>
      </c>
      <c r="AB150" s="542">
        <v>3</v>
      </c>
      <c r="AE150" s="551"/>
      <c r="AF150" s="544" t="s">
        <v>1674</v>
      </c>
      <c r="AG150" s="544" t="s">
        <v>1674</v>
      </c>
      <c r="AH150" s="544" t="s">
        <v>1674</v>
      </c>
      <c r="AI150" s="544" t="s">
        <v>1674</v>
      </c>
      <c r="AJ150" s="544" t="s">
        <v>1674</v>
      </c>
      <c r="AK150" s="544" t="s">
        <v>1674</v>
      </c>
      <c r="AL150" s="544" t="s">
        <v>1674</v>
      </c>
      <c r="AM150" s="544" t="s">
        <v>1674</v>
      </c>
      <c r="AN150" s="544" t="s">
        <v>1674</v>
      </c>
      <c r="AP150" s="552">
        <f t="shared" si="4"/>
        <v>446.55</v>
      </c>
    </row>
    <row r="151" spans="1:42" outlineLevel="1" x14ac:dyDescent="0.25">
      <c r="A151" s="544" t="s">
        <v>1674</v>
      </c>
      <c r="B151" s="545">
        <v>70500</v>
      </c>
      <c r="C151" s="544" t="s">
        <v>2918</v>
      </c>
      <c r="D151" s="544" t="s">
        <v>4214</v>
      </c>
      <c r="E151" s="542" t="s">
        <v>3295</v>
      </c>
      <c r="F151" s="542" t="s">
        <v>3296</v>
      </c>
      <c r="G151" s="546"/>
      <c r="H151" s="546">
        <v>1776.74</v>
      </c>
      <c r="I151" s="546">
        <v>1776.74</v>
      </c>
      <c r="J151" s="542" t="s">
        <v>2584</v>
      </c>
      <c r="K151" s="547">
        <v>4400</v>
      </c>
      <c r="L151" s="542" t="s">
        <v>806</v>
      </c>
      <c r="M151" s="548"/>
      <c r="N151" s="549">
        <v>30</v>
      </c>
      <c r="O151" s="544" t="s">
        <v>1674</v>
      </c>
      <c r="P151" s="544" t="s">
        <v>1674</v>
      </c>
      <c r="Q151" s="544" t="s">
        <v>4215</v>
      </c>
      <c r="R151" s="544" t="s">
        <v>1674</v>
      </c>
      <c r="S151" s="544" t="s">
        <v>1674</v>
      </c>
      <c r="T151" s="550">
        <v>7</v>
      </c>
      <c r="U151" s="544" t="s">
        <v>2700</v>
      </c>
      <c r="V151" s="547">
        <v>1720</v>
      </c>
      <c r="W151" s="548"/>
      <c r="Y151" s="544" t="s">
        <v>1674</v>
      </c>
      <c r="AA151" s="544" t="s">
        <v>1674</v>
      </c>
      <c r="AB151" s="542">
        <v>3</v>
      </c>
      <c r="AE151" s="551"/>
      <c r="AF151" s="544" t="s">
        <v>1674</v>
      </c>
      <c r="AG151" s="544" t="s">
        <v>1674</v>
      </c>
      <c r="AH151" s="544" t="s">
        <v>1674</v>
      </c>
      <c r="AI151" s="544" t="s">
        <v>1674</v>
      </c>
      <c r="AJ151" s="544" t="s">
        <v>1674</v>
      </c>
      <c r="AK151" s="544" t="s">
        <v>1674</v>
      </c>
      <c r="AL151" s="544" t="s">
        <v>1674</v>
      </c>
      <c r="AM151" s="544" t="s">
        <v>2918</v>
      </c>
      <c r="AN151" s="544" t="s">
        <v>1674</v>
      </c>
      <c r="AP151" s="552">
        <f t="shared" si="4"/>
        <v>1776.74</v>
      </c>
    </row>
    <row r="152" spans="1:42" outlineLevel="1" x14ac:dyDescent="0.25">
      <c r="A152" s="544" t="s">
        <v>1674</v>
      </c>
      <c r="B152" s="545">
        <v>70600</v>
      </c>
      <c r="C152" s="544" t="s">
        <v>2946</v>
      </c>
      <c r="D152" s="544" t="s">
        <v>4216</v>
      </c>
      <c r="E152" s="542" t="s">
        <v>3295</v>
      </c>
      <c r="F152" s="542" t="s">
        <v>3296</v>
      </c>
      <c r="G152" s="546"/>
      <c r="H152" s="546">
        <v>129.84</v>
      </c>
      <c r="I152" s="546">
        <v>129.84</v>
      </c>
      <c r="J152" s="542" t="s">
        <v>2584</v>
      </c>
      <c r="K152" s="547">
        <v>4640</v>
      </c>
      <c r="L152" s="542" t="s">
        <v>806</v>
      </c>
      <c r="M152" s="548"/>
      <c r="N152" s="549">
        <v>30</v>
      </c>
      <c r="O152" s="544" t="s">
        <v>1674</v>
      </c>
      <c r="P152" s="544" t="s">
        <v>1674</v>
      </c>
      <c r="Q152" s="544" t="s">
        <v>4217</v>
      </c>
      <c r="R152" s="544" t="s">
        <v>1674</v>
      </c>
      <c r="S152" s="544" t="s">
        <v>1674</v>
      </c>
      <c r="T152" s="550">
        <v>7</v>
      </c>
      <c r="U152" s="544" t="s">
        <v>2700</v>
      </c>
      <c r="V152" s="547">
        <v>1714</v>
      </c>
      <c r="W152" s="548"/>
      <c r="Y152" s="544" t="s">
        <v>1674</v>
      </c>
      <c r="AA152" s="544" t="s">
        <v>1674</v>
      </c>
      <c r="AB152" s="542">
        <v>3</v>
      </c>
      <c r="AE152" s="551"/>
      <c r="AF152" s="544" t="s">
        <v>1674</v>
      </c>
      <c r="AG152" s="544" t="s">
        <v>1674</v>
      </c>
      <c r="AH152" s="544" t="s">
        <v>1674</v>
      </c>
      <c r="AI152" s="544" t="s">
        <v>1674</v>
      </c>
      <c r="AJ152" s="544" t="s">
        <v>1674</v>
      </c>
      <c r="AK152" s="544" t="s">
        <v>1674</v>
      </c>
      <c r="AL152" s="544" t="s">
        <v>1674</v>
      </c>
      <c r="AM152" s="544" t="s">
        <v>2946</v>
      </c>
      <c r="AN152" s="544" t="s">
        <v>1674</v>
      </c>
      <c r="AP152" s="552">
        <f t="shared" si="4"/>
        <v>129.84</v>
      </c>
    </row>
    <row r="153" spans="1:42" outlineLevel="1" x14ac:dyDescent="0.25">
      <c r="A153" s="544" t="s">
        <v>1674</v>
      </c>
      <c r="B153" s="545">
        <v>0</v>
      </c>
      <c r="C153" s="544" t="s">
        <v>1674</v>
      </c>
      <c r="D153" s="544" t="s">
        <v>4218</v>
      </c>
      <c r="E153" s="542" t="s">
        <v>3295</v>
      </c>
      <c r="F153" s="542" t="s">
        <v>3296</v>
      </c>
      <c r="G153" s="546"/>
      <c r="H153" s="546">
        <v>130.08000000000001</v>
      </c>
      <c r="I153" s="546">
        <v>130.08000000000001</v>
      </c>
      <c r="J153" s="542" t="s">
        <v>2584</v>
      </c>
      <c r="K153" s="547">
        <v>4600</v>
      </c>
      <c r="L153" s="542" t="s">
        <v>806</v>
      </c>
      <c r="M153" s="548"/>
      <c r="N153" s="549">
        <v>30</v>
      </c>
      <c r="O153" s="544" t="s">
        <v>1674</v>
      </c>
      <c r="P153" s="544" t="s">
        <v>1674</v>
      </c>
      <c r="Q153" s="544" t="s">
        <v>4219</v>
      </c>
      <c r="R153" s="544" t="s">
        <v>1674</v>
      </c>
      <c r="S153" s="544" t="s">
        <v>1674</v>
      </c>
      <c r="T153" s="550">
        <v>19</v>
      </c>
      <c r="U153" s="544" t="s">
        <v>2700</v>
      </c>
      <c r="V153" s="547">
        <v>1717</v>
      </c>
      <c r="W153" s="548"/>
      <c r="Y153" s="544" t="s">
        <v>1674</v>
      </c>
      <c r="AA153" s="544" t="s">
        <v>1674</v>
      </c>
      <c r="AB153" s="542">
        <v>3</v>
      </c>
      <c r="AE153" s="551"/>
      <c r="AF153" s="544" t="s">
        <v>1674</v>
      </c>
      <c r="AG153" s="544" t="s">
        <v>1674</v>
      </c>
      <c r="AH153" s="544" t="s">
        <v>1674</v>
      </c>
      <c r="AI153" s="544" t="s">
        <v>1674</v>
      </c>
      <c r="AJ153" s="544" t="s">
        <v>1674</v>
      </c>
      <c r="AK153" s="544" t="s">
        <v>1674</v>
      </c>
      <c r="AL153" s="544" t="s">
        <v>1674</v>
      </c>
      <c r="AM153" s="544" t="s">
        <v>1674</v>
      </c>
      <c r="AN153" s="544" t="s">
        <v>1674</v>
      </c>
      <c r="AP153" s="552">
        <f t="shared" si="4"/>
        <v>130.08000000000001</v>
      </c>
    </row>
    <row r="154" spans="1:42" outlineLevel="1" x14ac:dyDescent="0.25">
      <c r="A154" s="544" t="s">
        <v>1674</v>
      </c>
      <c r="B154" s="545">
        <v>71100</v>
      </c>
      <c r="C154" s="544" t="s">
        <v>2742</v>
      </c>
      <c r="D154" s="544" t="s">
        <v>4220</v>
      </c>
      <c r="E154" s="542" t="s">
        <v>3295</v>
      </c>
      <c r="F154" s="542" t="s">
        <v>3296</v>
      </c>
      <c r="G154" s="546"/>
      <c r="H154" s="546">
        <v>738.46</v>
      </c>
      <c r="I154" s="546">
        <v>738.46</v>
      </c>
      <c r="J154" s="542" t="s">
        <v>2584</v>
      </c>
      <c r="K154" s="547">
        <v>4730</v>
      </c>
      <c r="L154" s="542" t="s">
        <v>806</v>
      </c>
      <c r="M154" s="548"/>
      <c r="N154" s="549">
        <v>30</v>
      </c>
      <c r="O154" s="544" t="s">
        <v>1674</v>
      </c>
      <c r="P154" s="544" t="s">
        <v>1674</v>
      </c>
      <c r="Q154" s="544" t="s">
        <v>4221</v>
      </c>
      <c r="R154" s="544" t="s">
        <v>1674</v>
      </c>
      <c r="S154" s="544" t="s">
        <v>1674</v>
      </c>
      <c r="T154" s="550"/>
      <c r="U154" s="544" t="s">
        <v>2700</v>
      </c>
      <c r="V154" s="547">
        <v>1719</v>
      </c>
      <c r="W154" s="548"/>
      <c r="Y154" s="544" t="s">
        <v>1674</v>
      </c>
      <c r="AA154" s="544" t="s">
        <v>1674</v>
      </c>
      <c r="AB154" s="542">
        <v>3</v>
      </c>
      <c r="AE154" s="551"/>
      <c r="AF154" s="544" t="s">
        <v>1674</v>
      </c>
      <c r="AG154" s="544" t="s">
        <v>1674</v>
      </c>
      <c r="AH154" s="544" t="s">
        <v>1674</v>
      </c>
      <c r="AI154" s="544" t="s">
        <v>1674</v>
      </c>
      <c r="AJ154" s="544" t="s">
        <v>1674</v>
      </c>
      <c r="AK154" s="544" t="s">
        <v>1674</v>
      </c>
      <c r="AL154" s="544" t="s">
        <v>1674</v>
      </c>
      <c r="AM154" s="544" t="s">
        <v>2742</v>
      </c>
      <c r="AN154" s="544" t="s">
        <v>1674</v>
      </c>
      <c r="AP154" s="552">
        <f t="shared" si="4"/>
        <v>738.46</v>
      </c>
    </row>
    <row r="155" spans="1:42" outlineLevel="1" x14ac:dyDescent="0.25">
      <c r="A155" s="544" t="s">
        <v>1674</v>
      </c>
      <c r="B155" s="545">
        <v>71500</v>
      </c>
      <c r="C155" s="544" t="s">
        <v>4222</v>
      </c>
      <c r="D155" s="544" t="s">
        <v>4223</v>
      </c>
      <c r="E155" s="542" t="s">
        <v>3295</v>
      </c>
      <c r="F155" s="542" t="s">
        <v>3296</v>
      </c>
      <c r="G155" s="546"/>
      <c r="H155" s="546">
        <v>106.34</v>
      </c>
      <c r="I155" s="546">
        <v>106.34</v>
      </c>
      <c r="J155" s="542" t="s">
        <v>2584</v>
      </c>
      <c r="K155" s="547">
        <v>4980</v>
      </c>
      <c r="L155" s="542" t="s">
        <v>806</v>
      </c>
      <c r="M155" s="548"/>
      <c r="N155" s="549">
        <v>30</v>
      </c>
      <c r="O155" s="544" t="s">
        <v>1674</v>
      </c>
      <c r="P155" s="544" t="s">
        <v>1674</v>
      </c>
      <c r="Q155" s="544" t="s">
        <v>4224</v>
      </c>
      <c r="R155" s="544" t="s">
        <v>1674</v>
      </c>
      <c r="S155" s="544" t="s">
        <v>1674</v>
      </c>
      <c r="T155" s="550">
        <v>19</v>
      </c>
      <c r="U155" s="544" t="s">
        <v>2700</v>
      </c>
      <c r="V155" s="547">
        <v>1715</v>
      </c>
      <c r="W155" s="548"/>
      <c r="Y155" s="544" t="s">
        <v>1674</v>
      </c>
      <c r="AA155" s="544" t="s">
        <v>1674</v>
      </c>
      <c r="AB155" s="542">
        <v>3</v>
      </c>
      <c r="AE155" s="551"/>
      <c r="AF155" s="544" t="s">
        <v>1674</v>
      </c>
      <c r="AG155" s="544" t="s">
        <v>1674</v>
      </c>
      <c r="AH155" s="544" t="s">
        <v>1674</v>
      </c>
      <c r="AI155" s="544" t="s">
        <v>1674</v>
      </c>
      <c r="AJ155" s="544" t="s">
        <v>1674</v>
      </c>
      <c r="AK155" s="544" t="s">
        <v>1674</v>
      </c>
      <c r="AL155" s="544" t="s">
        <v>1674</v>
      </c>
      <c r="AM155" s="544" t="s">
        <v>4222</v>
      </c>
      <c r="AN155" s="544" t="s">
        <v>1674</v>
      </c>
      <c r="AP155" s="552">
        <f t="shared" si="4"/>
        <v>106.34</v>
      </c>
    </row>
    <row r="156" spans="1:42" outlineLevel="1" x14ac:dyDescent="0.25">
      <c r="A156" s="544" t="s">
        <v>1674</v>
      </c>
      <c r="B156" s="545">
        <v>72200</v>
      </c>
      <c r="C156" s="544" t="s">
        <v>3260</v>
      </c>
      <c r="D156" s="544" t="s">
        <v>4225</v>
      </c>
      <c r="E156" s="542" t="s">
        <v>3295</v>
      </c>
      <c r="F156" s="542" t="s">
        <v>3296</v>
      </c>
      <c r="G156" s="546"/>
      <c r="H156" s="546">
        <v>238.71</v>
      </c>
      <c r="I156" s="546">
        <v>238.71</v>
      </c>
      <c r="J156" s="542" t="s">
        <v>2584</v>
      </c>
      <c r="K156" s="547">
        <v>4800</v>
      </c>
      <c r="L156" s="542" t="s">
        <v>806</v>
      </c>
      <c r="M156" s="548"/>
      <c r="N156" s="549">
        <v>30</v>
      </c>
      <c r="O156" s="544" t="s">
        <v>1674</v>
      </c>
      <c r="P156" s="544" t="s">
        <v>1674</v>
      </c>
      <c r="Q156" s="544" t="s">
        <v>4182</v>
      </c>
      <c r="R156" s="544" t="s">
        <v>1674</v>
      </c>
      <c r="S156" s="544" t="s">
        <v>1674</v>
      </c>
      <c r="T156" s="550">
        <v>19</v>
      </c>
      <c r="U156" s="544" t="s">
        <v>2700</v>
      </c>
      <c r="V156" s="547">
        <v>1718</v>
      </c>
      <c r="W156" s="548"/>
      <c r="Y156" s="544" t="s">
        <v>1674</v>
      </c>
      <c r="AA156" s="544" t="s">
        <v>1674</v>
      </c>
      <c r="AB156" s="542">
        <v>3</v>
      </c>
      <c r="AE156" s="551"/>
      <c r="AF156" s="544" t="s">
        <v>1674</v>
      </c>
      <c r="AG156" s="544" t="s">
        <v>1674</v>
      </c>
      <c r="AH156" s="544" t="s">
        <v>1674</v>
      </c>
      <c r="AI156" s="544" t="s">
        <v>1674</v>
      </c>
      <c r="AJ156" s="544" t="s">
        <v>1674</v>
      </c>
      <c r="AK156" s="544" t="s">
        <v>1674</v>
      </c>
      <c r="AL156" s="544" t="s">
        <v>1674</v>
      </c>
      <c r="AM156" s="544" t="s">
        <v>3260</v>
      </c>
      <c r="AN156" s="544" t="s">
        <v>1674</v>
      </c>
      <c r="AP156" s="552">
        <f t="shared" si="4"/>
        <v>238.71</v>
      </c>
    </row>
    <row r="157" spans="1:42" outlineLevel="1" x14ac:dyDescent="0.25">
      <c r="A157" s="544" t="s">
        <v>1674</v>
      </c>
      <c r="B157" s="545">
        <v>72800</v>
      </c>
      <c r="C157" s="544" t="s">
        <v>3150</v>
      </c>
      <c r="D157" s="544" t="s">
        <v>4226</v>
      </c>
      <c r="E157" s="542" t="s">
        <v>3295</v>
      </c>
      <c r="F157" s="542" t="s">
        <v>3296</v>
      </c>
      <c r="G157" s="546"/>
      <c r="H157" s="546">
        <v>2558.5</v>
      </c>
      <c r="I157" s="546">
        <v>2558.5</v>
      </c>
      <c r="J157" s="542" t="s">
        <v>2584</v>
      </c>
      <c r="K157" s="547">
        <v>4730</v>
      </c>
      <c r="L157" s="542" t="s">
        <v>806</v>
      </c>
      <c r="M157" s="548"/>
      <c r="N157" s="549">
        <v>30</v>
      </c>
      <c r="O157" s="544" t="s">
        <v>1674</v>
      </c>
      <c r="P157" s="544" t="s">
        <v>1674</v>
      </c>
      <c r="Q157" s="544" t="s">
        <v>4227</v>
      </c>
      <c r="R157" s="544" t="s">
        <v>1674</v>
      </c>
      <c r="S157" s="544" t="s">
        <v>1674</v>
      </c>
      <c r="T157" s="550">
        <v>19</v>
      </c>
      <c r="U157" s="544" t="s">
        <v>2700</v>
      </c>
      <c r="V157" s="547">
        <v>1721</v>
      </c>
      <c r="W157" s="548"/>
      <c r="Y157" s="544" t="s">
        <v>1674</v>
      </c>
      <c r="AA157" s="544" t="s">
        <v>1674</v>
      </c>
      <c r="AB157" s="542">
        <v>3</v>
      </c>
      <c r="AE157" s="551"/>
      <c r="AF157" s="544" t="s">
        <v>1674</v>
      </c>
      <c r="AG157" s="544" t="s">
        <v>1674</v>
      </c>
      <c r="AH157" s="544" t="s">
        <v>1674</v>
      </c>
      <c r="AI157" s="544" t="s">
        <v>1674</v>
      </c>
      <c r="AJ157" s="544" t="s">
        <v>1674</v>
      </c>
      <c r="AK157" s="544" t="s">
        <v>1674</v>
      </c>
      <c r="AL157" s="544" t="s">
        <v>1674</v>
      </c>
      <c r="AM157" s="544" t="s">
        <v>3150</v>
      </c>
      <c r="AN157" s="544" t="s">
        <v>1674</v>
      </c>
      <c r="AP157" s="552">
        <f t="shared" si="4"/>
        <v>2558.5</v>
      </c>
    </row>
    <row r="158" spans="1:42" outlineLevel="1" x14ac:dyDescent="0.25">
      <c r="A158" s="544" t="s">
        <v>1674</v>
      </c>
      <c r="B158" s="545">
        <v>71300</v>
      </c>
      <c r="C158" s="544" t="s">
        <v>3550</v>
      </c>
      <c r="D158" s="544" t="s">
        <v>4228</v>
      </c>
      <c r="E158" s="542" t="s">
        <v>3331</v>
      </c>
      <c r="F158" s="542" t="s">
        <v>3332</v>
      </c>
      <c r="G158" s="546"/>
      <c r="H158" s="546">
        <v>1027.8</v>
      </c>
      <c r="I158" s="546">
        <v>1027.8</v>
      </c>
      <c r="J158" s="542" t="s">
        <v>2584</v>
      </c>
      <c r="K158" s="547">
        <v>4400</v>
      </c>
      <c r="L158" s="542" t="s">
        <v>806</v>
      </c>
      <c r="M158" s="548"/>
      <c r="N158" s="549">
        <v>36</v>
      </c>
      <c r="O158" s="544" t="s">
        <v>1674</v>
      </c>
      <c r="P158" s="544" t="s">
        <v>1674</v>
      </c>
      <c r="Q158" s="544" t="s">
        <v>4229</v>
      </c>
      <c r="R158" s="544" t="s">
        <v>1674</v>
      </c>
      <c r="S158" s="544" t="s">
        <v>1674</v>
      </c>
      <c r="T158" s="550">
        <v>19</v>
      </c>
      <c r="U158" s="544" t="s">
        <v>4101</v>
      </c>
      <c r="V158" s="547">
        <v>2</v>
      </c>
      <c r="W158" s="548"/>
      <c r="Y158" s="544" t="s">
        <v>1674</v>
      </c>
      <c r="AA158" s="544" t="s">
        <v>1674</v>
      </c>
      <c r="AB158" s="542">
        <v>3</v>
      </c>
      <c r="AE158" s="551"/>
      <c r="AF158" s="544" t="s">
        <v>1674</v>
      </c>
      <c r="AG158" s="544" t="s">
        <v>1674</v>
      </c>
      <c r="AH158" s="544" t="s">
        <v>1674</v>
      </c>
      <c r="AI158" s="544" t="s">
        <v>1674</v>
      </c>
      <c r="AJ158" s="544" t="s">
        <v>1674</v>
      </c>
      <c r="AK158" s="544" t="s">
        <v>1674</v>
      </c>
      <c r="AL158" s="544" t="s">
        <v>1674</v>
      </c>
      <c r="AM158" s="544" t="s">
        <v>3550</v>
      </c>
      <c r="AN158" s="544" t="s">
        <v>1674</v>
      </c>
      <c r="AP158" s="552">
        <f t="shared" si="4"/>
        <v>1027.8</v>
      </c>
    </row>
    <row r="159" spans="1:42" outlineLevel="1" x14ac:dyDescent="0.25">
      <c r="A159" s="544" t="s">
        <v>1674</v>
      </c>
      <c r="B159" s="545">
        <v>72000</v>
      </c>
      <c r="C159" s="544" t="s">
        <v>4230</v>
      </c>
      <c r="D159" s="544" t="s">
        <v>4231</v>
      </c>
      <c r="E159" s="542" t="s">
        <v>3331</v>
      </c>
      <c r="F159" s="542" t="s">
        <v>3332</v>
      </c>
      <c r="G159" s="546"/>
      <c r="H159" s="546">
        <v>370.69</v>
      </c>
      <c r="I159" s="546">
        <v>370.69</v>
      </c>
      <c r="J159" s="542" t="s">
        <v>2584</v>
      </c>
      <c r="K159" s="547">
        <v>2350</v>
      </c>
      <c r="L159" s="542" t="s">
        <v>806</v>
      </c>
      <c r="M159" s="548"/>
      <c r="N159" s="549">
        <v>36</v>
      </c>
      <c r="O159" s="544" t="s">
        <v>1674</v>
      </c>
      <c r="P159" s="544" t="s">
        <v>1674</v>
      </c>
      <c r="Q159" s="544" t="s">
        <v>4232</v>
      </c>
      <c r="R159" s="544" t="s">
        <v>1674</v>
      </c>
      <c r="S159" s="544" t="s">
        <v>1674</v>
      </c>
      <c r="T159" s="550">
        <v>19</v>
      </c>
      <c r="U159" s="544" t="s">
        <v>4101</v>
      </c>
      <c r="V159" s="547">
        <v>3</v>
      </c>
      <c r="W159" s="548"/>
      <c r="Y159" s="544" t="s">
        <v>1674</v>
      </c>
      <c r="AA159" s="544" t="s">
        <v>1674</v>
      </c>
      <c r="AB159" s="542">
        <v>3</v>
      </c>
      <c r="AE159" s="551"/>
      <c r="AF159" s="544" t="s">
        <v>1674</v>
      </c>
      <c r="AG159" s="544" t="s">
        <v>1674</v>
      </c>
      <c r="AH159" s="544" t="s">
        <v>1674</v>
      </c>
      <c r="AI159" s="544" t="s">
        <v>1674</v>
      </c>
      <c r="AJ159" s="544" t="s">
        <v>1674</v>
      </c>
      <c r="AK159" s="544" t="s">
        <v>1674</v>
      </c>
      <c r="AL159" s="544" t="s">
        <v>1674</v>
      </c>
      <c r="AM159" s="544" t="s">
        <v>4230</v>
      </c>
      <c r="AN159" s="544" t="s">
        <v>1674</v>
      </c>
      <c r="AP159" s="552">
        <f t="shared" si="4"/>
        <v>370.69</v>
      </c>
    </row>
    <row r="160" spans="1:42" outlineLevel="1" x14ac:dyDescent="0.25">
      <c r="A160" s="544" t="s">
        <v>1674</v>
      </c>
      <c r="B160" s="545">
        <v>70800</v>
      </c>
      <c r="C160" s="544" t="s">
        <v>2967</v>
      </c>
      <c r="D160" s="544" t="s">
        <v>4233</v>
      </c>
      <c r="E160" s="542" t="s">
        <v>2988</v>
      </c>
      <c r="F160" s="542" t="s">
        <v>4234</v>
      </c>
      <c r="G160" s="546"/>
      <c r="H160" s="546">
        <v>155.71</v>
      </c>
      <c r="I160" s="546">
        <v>155.71</v>
      </c>
      <c r="J160" s="542" t="s">
        <v>2584</v>
      </c>
      <c r="K160" s="547">
        <v>4969</v>
      </c>
      <c r="L160" s="542" t="s">
        <v>806</v>
      </c>
      <c r="M160" s="548"/>
      <c r="N160" s="549">
        <v>38</v>
      </c>
      <c r="O160" s="544" t="s">
        <v>1674</v>
      </c>
      <c r="P160" s="544" t="s">
        <v>1674</v>
      </c>
      <c r="Q160" s="544" t="s">
        <v>4235</v>
      </c>
      <c r="R160" s="544" t="s">
        <v>1674</v>
      </c>
      <c r="S160" s="544" t="s">
        <v>1674</v>
      </c>
      <c r="T160" s="550">
        <v>19</v>
      </c>
      <c r="U160" s="544" t="s">
        <v>4101</v>
      </c>
      <c r="V160" s="547">
        <v>1</v>
      </c>
      <c r="W160" s="548"/>
      <c r="Y160" s="544" t="s">
        <v>1674</v>
      </c>
      <c r="AA160" s="544" t="s">
        <v>1674</v>
      </c>
      <c r="AB160" s="542">
        <v>3</v>
      </c>
      <c r="AE160" s="551"/>
      <c r="AF160" s="544" t="s">
        <v>1674</v>
      </c>
      <c r="AG160" s="544" t="s">
        <v>1674</v>
      </c>
      <c r="AH160" s="544" t="s">
        <v>1674</v>
      </c>
      <c r="AI160" s="544" t="s">
        <v>1674</v>
      </c>
      <c r="AJ160" s="544" t="s">
        <v>1674</v>
      </c>
      <c r="AK160" s="544" t="s">
        <v>1674</v>
      </c>
      <c r="AL160" s="544" t="s">
        <v>1674</v>
      </c>
      <c r="AM160" s="544" t="s">
        <v>2967</v>
      </c>
      <c r="AN160" s="544" t="s">
        <v>1674</v>
      </c>
      <c r="AP160" s="552">
        <f t="shared" si="4"/>
        <v>155.71</v>
      </c>
    </row>
    <row r="161" spans="1:42" outlineLevel="1" x14ac:dyDescent="0.25">
      <c r="A161" s="544" t="s">
        <v>1674</v>
      </c>
      <c r="B161" s="545">
        <v>0</v>
      </c>
      <c r="C161" s="544" t="s">
        <v>1674</v>
      </c>
      <c r="D161" s="544" t="s">
        <v>4236</v>
      </c>
      <c r="E161" s="542" t="s">
        <v>3057</v>
      </c>
      <c r="F161" s="542" t="s">
        <v>4237</v>
      </c>
      <c r="G161" s="546"/>
      <c r="H161" s="546">
        <v>3719.94</v>
      </c>
      <c r="I161" s="546">
        <v>3719.94</v>
      </c>
      <c r="J161" s="542" t="s">
        <v>2584</v>
      </c>
      <c r="K161" s="547">
        <v>4950</v>
      </c>
      <c r="L161" s="542" t="s">
        <v>806</v>
      </c>
      <c r="M161" s="548"/>
      <c r="N161" s="549">
        <v>40</v>
      </c>
      <c r="O161" s="544" t="s">
        <v>1674</v>
      </c>
      <c r="P161" s="544" t="s">
        <v>1674</v>
      </c>
      <c r="Q161" s="544" t="s">
        <v>4238</v>
      </c>
      <c r="R161" s="544" t="s">
        <v>1674</v>
      </c>
      <c r="S161" s="544" t="s">
        <v>1674</v>
      </c>
      <c r="T161" s="550">
        <v>19</v>
      </c>
      <c r="U161" s="544" t="s">
        <v>2797</v>
      </c>
      <c r="V161" s="547">
        <v>36</v>
      </c>
      <c r="W161" s="548"/>
      <c r="Y161" s="544" t="s">
        <v>1674</v>
      </c>
      <c r="AA161" s="544" t="s">
        <v>1674</v>
      </c>
      <c r="AB161" s="542">
        <v>3</v>
      </c>
      <c r="AE161" s="551"/>
      <c r="AF161" s="544" t="s">
        <v>1674</v>
      </c>
      <c r="AG161" s="544" t="s">
        <v>1674</v>
      </c>
      <c r="AH161" s="544" t="s">
        <v>1674</v>
      </c>
      <c r="AI161" s="544" t="s">
        <v>1674</v>
      </c>
      <c r="AJ161" s="544" t="s">
        <v>1674</v>
      </c>
      <c r="AK161" s="544" t="s">
        <v>1674</v>
      </c>
      <c r="AL161" s="544" t="s">
        <v>1674</v>
      </c>
      <c r="AM161" s="544" t="s">
        <v>1674</v>
      </c>
      <c r="AN161" s="544" t="s">
        <v>1674</v>
      </c>
      <c r="AP161" s="552">
        <f t="shared" si="4"/>
        <v>3719.94</v>
      </c>
    </row>
    <row r="162" spans="1:42" outlineLevel="1" x14ac:dyDescent="0.25">
      <c r="A162" s="544" t="s">
        <v>1674</v>
      </c>
      <c r="B162" s="545">
        <v>72100</v>
      </c>
      <c r="C162" s="544" t="s">
        <v>2955</v>
      </c>
      <c r="D162" s="544" t="s">
        <v>4239</v>
      </c>
      <c r="E162" s="542" t="s">
        <v>3000</v>
      </c>
      <c r="F162" s="542" t="s">
        <v>4089</v>
      </c>
      <c r="G162" s="546"/>
      <c r="H162" s="546">
        <v>7481.39</v>
      </c>
      <c r="I162" s="546">
        <v>7481.39</v>
      </c>
      <c r="J162" s="542" t="s">
        <v>2584</v>
      </c>
      <c r="K162" s="547">
        <v>4240</v>
      </c>
      <c r="L162" s="542" t="s">
        <v>806</v>
      </c>
      <c r="M162" s="548"/>
      <c r="N162" s="549">
        <v>42</v>
      </c>
      <c r="O162" s="544" t="s">
        <v>1674</v>
      </c>
      <c r="P162" s="544" t="s">
        <v>1674</v>
      </c>
      <c r="Q162" s="544" t="s">
        <v>4240</v>
      </c>
      <c r="R162" s="544" t="s">
        <v>1674</v>
      </c>
      <c r="S162" s="544" t="s">
        <v>1674</v>
      </c>
      <c r="T162" s="550">
        <v>19</v>
      </c>
      <c r="U162" s="544" t="s">
        <v>3263</v>
      </c>
      <c r="V162" s="547">
        <v>36</v>
      </c>
      <c r="W162" s="548"/>
      <c r="Y162" s="544" t="s">
        <v>1674</v>
      </c>
      <c r="AA162" s="544" t="s">
        <v>1674</v>
      </c>
      <c r="AB162" s="542">
        <v>3</v>
      </c>
      <c r="AE162" s="551"/>
      <c r="AF162" s="544" t="s">
        <v>1674</v>
      </c>
      <c r="AG162" s="544" t="s">
        <v>1674</v>
      </c>
      <c r="AH162" s="544" t="s">
        <v>1674</v>
      </c>
      <c r="AI162" s="544" t="s">
        <v>1674</v>
      </c>
      <c r="AJ162" s="544" t="s">
        <v>1674</v>
      </c>
      <c r="AK162" s="544" t="s">
        <v>1674</v>
      </c>
      <c r="AL162" s="544" t="s">
        <v>1674</v>
      </c>
      <c r="AM162" s="544" t="s">
        <v>2955</v>
      </c>
      <c r="AN162" s="544" t="s">
        <v>1674</v>
      </c>
      <c r="AP162" s="552">
        <f t="shared" si="4"/>
        <v>7481.39</v>
      </c>
    </row>
    <row r="163" spans="1:42" outlineLevel="1" x14ac:dyDescent="0.25">
      <c r="A163" s="544" t="s">
        <v>1674</v>
      </c>
      <c r="B163" s="545">
        <v>70700</v>
      </c>
      <c r="C163" s="544" t="s">
        <v>2836</v>
      </c>
      <c r="D163" s="544" t="s">
        <v>4241</v>
      </c>
      <c r="E163" s="542" t="s">
        <v>3353</v>
      </c>
      <c r="F163" s="542" t="s">
        <v>3354</v>
      </c>
      <c r="G163" s="546"/>
      <c r="H163" s="546">
        <v>2308.6</v>
      </c>
      <c r="I163" s="546">
        <v>2308.6</v>
      </c>
      <c r="J163" s="542" t="s">
        <v>2584</v>
      </c>
      <c r="K163" s="547">
        <v>2350</v>
      </c>
      <c r="L163" s="542" t="s">
        <v>806</v>
      </c>
      <c r="M163" s="548"/>
      <c r="N163" s="549">
        <v>67</v>
      </c>
      <c r="O163" s="544" t="s">
        <v>1674</v>
      </c>
      <c r="P163" s="544" t="s">
        <v>1674</v>
      </c>
      <c r="Q163" s="544" t="s">
        <v>4242</v>
      </c>
      <c r="R163" s="544" t="s">
        <v>1674</v>
      </c>
      <c r="S163" s="544" t="s">
        <v>1674</v>
      </c>
      <c r="T163" s="550">
        <v>19</v>
      </c>
      <c r="U163" s="544" t="s">
        <v>3998</v>
      </c>
      <c r="V163" s="547">
        <v>1</v>
      </c>
      <c r="W163" s="548"/>
      <c r="Y163" s="544" t="s">
        <v>1674</v>
      </c>
      <c r="AA163" s="544" t="s">
        <v>1674</v>
      </c>
      <c r="AB163" s="542">
        <v>3</v>
      </c>
      <c r="AE163" s="551"/>
      <c r="AF163" s="544" t="s">
        <v>1674</v>
      </c>
      <c r="AG163" s="544" t="s">
        <v>1674</v>
      </c>
      <c r="AH163" s="544" t="s">
        <v>1674</v>
      </c>
      <c r="AI163" s="544" t="s">
        <v>1674</v>
      </c>
      <c r="AJ163" s="544" t="s">
        <v>1674</v>
      </c>
      <c r="AK163" s="544" t="s">
        <v>1674</v>
      </c>
      <c r="AL163" s="544" t="s">
        <v>1674</v>
      </c>
      <c r="AM163" s="544" t="s">
        <v>2836</v>
      </c>
      <c r="AN163" s="544" t="s">
        <v>1674</v>
      </c>
      <c r="AP163" s="552">
        <f t="shared" si="4"/>
        <v>2308.6</v>
      </c>
    </row>
    <row r="164" spans="1:42" outlineLevel="1" x14ac:dyDescent="0.25">
      <c r="A164" s="544" t="s">
        <v>1674</v>
      </c>
      <c r="B164" s="545">
        <v>72500</v>
      </c>
      <c r="C164" s="544" t="s">
        <v>3757</v>
      </c>
      <c r="D164" s="544" t="s">
        <v>4243</v>
      </c>
      <c r="E164" s="542" t="s">
        <v>3342</v>
      </c>
      <c r="F164" s="542" t="s">
        <v>4244</v>
      </c>
      <c r="G164" s="546"/>
      <c r="H164" s="546">
        <v>166.6</v>
      </c>
      <c r="I164" s="546">
        <v>166.6</v>
      </c>
      <c r="J164" s="542" t="s">
        <v>2584</v>
      </c>
      <c r="K164" s="547">
        <v>4260</v>
      </c>
      <c r="L164" s="542" t="s">
        <v>806</v>
      </c>
      <c r="M164" s="548"/>
      <c r="N164" s="549">
        <v>81</v>
      </c>
      <c r="O164" s="544" t="s">
        <v>1674</v>
      </c>
      <c r="P164" s="544" t="s">
        <v>1674</v>
      </c>
      <c r="Q164" s="544" t="s">
        <v>4245</v>
      </c>
      <c r="R164" s="544" t="s">
        <v>1674</v>
      </c>
      <c r="S164" s="544" t="s">
        <v>1674</v>
      </c>
      <c r="T164" s="550">
        <v>19</v>
      </c>
      <c r="U164" s="544" t="s">
        <v>3998</v>
      </c>
      <c r="V164" s="547">
        <v>2</v>
      </c>
      <c r="W164" s="548"/>
      <c r="Y164" s="544" t="s">
        <v>1674</v>
      </c>
      <c r="AA164" s="544" t="s">
        <v>1674</v>
      </c>
      <c r="AB164" s="542">
        <v>3</v>
      </c>
      <c r="AE164" s="551"/>
      <c r="AF164" s="544" t="s">
        <v>1674</v>
      </c>
      <c r="AG164" s="544" t="s">
        <v>1674</v>
      </c>
      <c r="AH164" s="544" t="s">
        <v>1674</v>
      </c>
      <c r="AI164" s="544" t="s">
        <v>1674</v>
      </c>
      <c r="AJ164" s="544" t="s">
        <v>1674</v>
      </c>
      <c r="AK164" s="544" t="s">
        <v>1674</v>
      </c>
      <c r="AL164" s="544" t="s">
        <v>1674</v>
      </c>
      <c r="AM164" s="544" t="s">
        <v>3757</v>
      </c>
      <c r="AN164" s="544" t="s">
        <v>1674</v>
      </c>
      <c r="AP164" s="552">
        <f t="shared" si="4"/>
        <v>166.6</v>
      </c>
    </row>
    <row r="165" spans="1:42" outlineLevel="1" x14ac:dyDescent="0.25">
      <c r="A165" s="544" t="s">
        <v>1674</v>
      </c>
      <c r="B165" s="545">
        <v>72200</v>
      </c>
      <c r="C165" s="544" t="s">
        <v>3260</v>
      </c>
      <c r="D165" s="544" t="s">
        <v>4246</v>
      </c>
      <c r="E165" s="542" t="s">
        <v>3370</v>
      </c>
      <c r="F165" s="542" t="s">
        <v>4247</v>
      </c>
      <c r="G165" s="546"/>
      <c r="H165" s="546">
        <v>167916.27</v>
      </c>
      <c r="I165" s="546">
        <v>167916.27</v>
      </c>
      <c r="J165" s="542" t="s">
        <v>2584</v>
      </c>
      <c r="K165" s="547">
        <v>4964</v>
      </c>
      <c r="L165" s="542" t="s">
        <v>806</v>
      </c>
      <c r="M165" s="548"/>
      <c r="N165" s="549">
        <v>88</v>
      </c>
      <c r="O165" s="544" t="s">
        <v>1674</v>
      </c>
      <c r="P165" s="544" t="s">
        <v>1674</v>
      </c>
      <c r="Q165" s="544" t="s">
        <v>4248</v>
      </c>
      <c r="R165" s="544" t="s">
        <v>1674</v>
      </c>
      <c r="S165" s="544" t="s">
        <v>1674</v>
      </c>
      <c r="T165" s="550">
        <v>19</v>
      </c>
      <c r="U165" s="544" t="s">
        <v>3998</v>
      </c>
      <c r="V165" s="547">
        <v>3</v>
      </c>
      <c r="W165" s="548"/>
      <c r="Y165" s="544" t="s">
        <v>1674</v>
      </c>
      <c r="AA165" s="544" t="s">
        <v>1674</v>
      </c>
      <c r="AB165" s="542">
        <v>3</v>
      </c>
      <c r="AE165" s="551"/>
      <c r="AF165" s="544" t="s">
        <v>1674</v>
      </c>
      <c r="AG165" s="544" t="s">
        <v>1674</v>
      </c>
      <c r="AH165" s="544" t="s">
        <v>1674</v>
      </c>
      <c r="AI165" s="544" t="s">
        <v>1674</v>
      </c>
      <c r="AJ165" s="544" t="s">
        <v>1674</v>
      </c>
      <c r="AK165" s="544" t="s">
        <v>1674</v>
      </c>
      <c r="AL165" s="544" t="s">
        <v>1674</v>
      </c>
      <c r="AM165" s="544" t="s">
        <v>3260</v>
      </c>
      <c r="AN165" s="544" t="s">
        <v>1674</v>
      </c>
      <c r="AP165" s="552">
        <f t="shared" si="4"/>
        <v>167916.27</v>
      </c>
    </row>
    <row r="169" spans="1:42" x14ac:dyDescent="0.25">
      <c r="G169" s="552">
        <f>SUM(G3:G165)</f>
        <v>-2779.0600000000004</v>
      </c>
      <c r="H169" s="552">
        <f>SUM(H3:H165)</f>
        <v>1217658.95</v>
      </c>
      <c r="I169" s="563">
        <f>H169-G169</f>
        <v>1220438.01</v>
      </c>
      <c r="AP169" s="552">
        <f>SUM(AP3:AP165)</f>
        <v>1222008.1199999999</v>
      </c>
    </row>
    <row r="172" spans="1:42" x14ac:dyDescent="0.25">
      <c r="AO172" s="542" t="s">
        <v>233</v>
      </c>
      <c r="AP172" s="552">
        <v>1220438.01</v>
      </c>
    </row>
  </sheetData>
  <autoFilter ref="A2:AV2" xr:uid="{683DD17D-62B2-4076-BA8F-08A202E58F81}"/>
  <conditionalFormatting sqref="Q1:Q1048576">
    <cfRule type="containsText" dxfId="9" priority="1" operator="containsText" text="HzMs Invest GmbH &amp; Co. KG">
      <formula>NOT(ISERROR(SEARCH("HzMs Invest GmbH &amp; Co. KG",Q1)))</formula>
    </cfRule>
  </conditionalFormatting>
  <pageMargins left="0.7" right="0.7" top="0.78740157499999996" bottom="0.78740157499999996"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11C69-BEDB-4176-ABBE-B5342DC51C6E}">
  <sheetPr>
    <tabColor rgb="FF7030A0"/>
    <outlinePr summaryBelow="0"/>
  </sheetPr>
  <dimension ref="A1:AX166"/>
  <sheetViews>
    <sheetView workbookViewId="0"/>
  </sheetViews>
  <sheetFormatPr defaultColWidth="10.28515625" defaultRowHeight="15" outlineLevelRow="1" outlineLevelCol="1" x14ac:dyDescent="0.25"/>
  <cols>
    <col min="1" max="1" width="7.140625" style="542" customWidth="1"/>
    <col min="2" max="2" width="9.85546875" style="542" customWidth="1"/>
    <col min="3" max="3" width="39" style="542" customWidth="1"/>
    <col min="4" max="4" width="21.85546875" style="542" customWidth="1"/>
    <col min="5" max="7" width="13.85546875" style="542" customWidth="1"/>
    <col min="8" max="8" width="16" style="542" customWidth="1"/>
    <col min="9" max="9" width="13.85546875" style="542" customWidth="1"/>
    <col min="10" max="10" width="13" style="542" customWidth="1"/>
    <col min="11" max="11" width="14.5703125" style="542" customWidth="1"/>
    <col min="12" max="12" width="6.28515625" style="542" customWidth="1"/>
    <col min="13" max="13" width="9.85546875" style="542" customWidth="1"/>
    <col min="14" max="14" width="8.42578125" style="542" customWidth="1"/>
    <col min="15" max="15" width="13.85546875" style="542" hidden="1" customWidth="1" outlineLevel="1"/>
    <col min="16" max="16" width="7.140625" style="542" hidden="1" customWidth="1" outlineLevel="1"/>
    <col min="17" max="17" width="67.5703125" style="542" hidden="1" customWidth="1" outlineLevel="1"/>
    <col min="18" max="19" width="11" style="542" hidden="1" customWidth="1" outlineLevel="1"/>
    <col min="20" max="20" width="9.42578125" style="542" hidden="1" customWidth="1" outlineLevel="1"/>
    <col min="21" max="21" width="16" style="542" hidden="1" customWidth="1" outlineLevel="1"/>
    <col min="22" max="22" width="9.7109375" style="542" hidden="1" customWidth="1" outlineLevel="1"/>
    <col min="23" max="23" width="6.28515625" style="542" hidden="1" customWidth="1" outlineLevel="1"/>
    <col min="24" max="24" width="12.28515625" style="542" hidden="1" customWidth="1" outlineLevel="1"/>
    <col min="25" max="25" width="15.28515625" style="542" hidden="1" customWidth="1" outlineLevel="1"/>
    <col min="26" max="26" width="12.42578125" style="542" hidden="1" customWidth="1" outlineLevel="1"/>
    <col min="27" max="27" width="24.140625" style="542" hidden="1" customWidth="1" outlineLevel="1"/>
    <col min="28" max="28" width="19.42578125" style="542" hidden="1" customWidth="1" outlineLevel="1"/>
    <col min="29" max="29" width="14.42578125" style="542" hidden="1" customWidth="1" outlineLevel="1"/>
    <col min="30" max="30" width="13.42578125" style="542" hidden="1" customWidth="1" outlineLevel="1"/>
    <col min="31" max="31" width="12.85546875" style="542" hidden="1" customWidth="1" outlineLevel="1"/>
    <col min="32" max="32" width="10.42578125" style="542" hidden="1" customWidth="1" outlineLevel="1"/>
    <col min="33" max="33" width="8.140625" style="542" hidden="1" customWidth="1" outlineLevel="1"/>
    <col min="34" max="34" width="7.42578125" style="542" hidden="1" customWidth="1" outlineLevel="1"/>
    <col min="35" max="35" width="8.85546875" style="542" hidden="1" customWidth="1" outlineLevel="1"/>
    <col min="36" max="36" width="26.5703125" style="542" hidden="1" customWidth="1" outlineLevel="1"/>
    <col min="37" max="37" width="18.5703125" style="542" hidden="1" customWidth="1" outlineLevel="1"/>
    <col min="38" max="38" width="24" style="542" hidden="1" customWidth="1" outlineLevel="1"/>
    <col min="39" max="39" width="20.28515625" style="542" hidden="1" customWidth="1" outlineLevel="1"/>
    <col min="40" max="40" width="10.85546875" style="542" hidden="1" customWidth="1" outlineLevel="1"/>
    <col min="41" max="41" width="10.28515625" style="542" collapsed="1"/>
    <col min="42" max="42" width="13.140625" style="542" customWidth="1"/>
    <col min="43" max="45" width="10.28515625" style="542"/>
    <col min="46" max="46" width="16.140625" style="542" customWidth="1"/>
    <col min="47" max="47" width="14" style="542" customWidth="1"/>
    <col min="48" max="48" width="10.28515625" style="542"/>
    <col min="49" max="49" width="12.140625" style="542" customWidth="1"/>
    <col min="50" max="50" width="13.28515625" style="542" customWidth="1"/>
    <col min="51" max="16384" width="10.28515625" style="542"/>
  </cols>
  <sheetData>
    <row r="1" spans="1:50" x14ac:dyDescent="0.25">
      <c r="A1" s="572" t="s">
        <v>4249</v>
      </c>
    </row>
    <row r="2" spans="1:50" outlineLevel="1" x14ac:dyDescent="0.25">
      <c r="A2" s="543" t="s">
        <v>2541</v>
      </c>
      <c r="B2" s="543" t="s">
        <v>2542</v>
      </c>
      <c r="C2" s="543" t="s">
        <v>2543</v>
      </c>
      <c r="D2" s="543" t="s">
        <v>2544</v>
      </c>
      <c r="E2" s="543" t="s">
        <v>2545</v>
      </c>
      <c r="F2" s="543" t="s">
        <v>2546</v>
      </c>
      <c r="G2" s="543" t="s">
        <v>2547</v>
      </c>
      <c r="H2" s="543" t="s">
        <v>2548</v>
      </c>
      <c r="I2" s="543" t="s">
        <v>2549</v>
      </c>
      <c r="J2" s="543" t="s">
        <v>2550</v>
      </c>
      <c r="K2" s="543" t="s">
        <v>2551</v>
      </c>
      <c r="L2" s="543" t="s">
        <v>2552</v>
      </c>
      <c r="M2" s="543" t="s">
        <v>2553</v>
      </c>
      <c r="N2" s="543" t="s">
        <v>2554</v>
      </c>
      <c r="O2" s="543" t="s">
        <v>2555</v>
      </c>
      <c r="P2" s="543" t="s">
        <v>2556</v>
      </c>
      <c r="Q2" s="543" t="s">
        <v>2557</v>
      </c>
      <c r="R2" s="543" t="s">
        <v>2558</v>
      </c>
      <c r="S2" s="543" t="s">
        <v>2559</v>
      </c>
      <c r="T2" s="543" t="s">
        <v>2560</v>
      </c>
      <c r="U2" s="543" t="s">
        <v>2561</v>
      </c>
      <c r="V2" s="543" t="s">
        <v>2562</v>
      </c>
      <c r="W2" s="543" t="s">
        <v>2563</v>
      </c>
      <c r="X2" s="543" t="s">
        <v>2564</v>
      </c>
      <c r="Y2" s="543" t="s">
        <v>2565</v>
      </c>
      <c r="Z2" s="543" t="s">
        <v>2566</v>
      </c>
      <c r="AA2" s="543" t="s">
        <v>2567</v>
      </c>
      <c r="AB2" s="543" t="s">
        <v>2568</v>
      </c>
      <c r="AC2" s="543" t="s">
        <v>2569</v>
      </c>
      <c r="AD2" s="543" t="s">
        <v>2570</v>
      </c>
      <c r="AE2" s="543" t="s">
        <v>2571</v>
      </c>
      <c r="AF2" s="543" t="s">
        <v>2572</v>
      </c>
      <c r="AG2" s="543" t="s">
        <v>2573</v>
      </c>
      <c r="AH2" s="543" t="s">
        <v>2574</v>
      </c>
      <c r="AI2" s="543" t="s">
        <v>2575</v>
      </c>
      <c r="AJ2" s="543" t="s">
        <v>2576</v>
      </c>
      <c r="AK2" s="543" t="s">
        <v>2577</v>
      </c>
      <c r="AL2" s="543" t="s">
        <v>2578</v>
      </c>
      <c r="AM2" s="543" t="s">
        <v>2579</v>
      </c>
      <c r="AN2" s="543" t="s">
        <v>2580</v>
      </c>
      <c r="AP2" s="565">
        <v>45930</v>
      </c>
      <c r="AR2" s="543" t="s">
        <v>2549</v>
      </c>
    </row>
    <row r="3" spans="1:50" outlineLevel="1" x14ac:dyDescent="0.25">
      <c r="A3" s="544" t="s">
        <v>1674</v>
      </c>
      <c r="B3" s="545">
        <v>70300</v>
      </c>
      <c r="C3" s="544" t="s">
        <v>4135</v>
      </c>
      <c r="D3" s="544" t="s">
        <v>4250</v>
      </c>
      <c r="E3" s="542" t="s">
        <v>3560</v>
      </c>
      <c r="F3" s="542" t="s">
        <v>3324</v>
      </c>
      <c r="G3" s="546"/>
      <c r="H3" s="546">
        <v>5712</v>
      </c>
      <c r="I3" s="546">
        <v>5712</v>
      </c>
      <c r="J3" s="542" t="s">
        <v>2584</v>
      </c>
      <c r="K3" s="547">
        <v>4620</v>
      </c>
      <c r="L3" s="542" t="s">
        <v>806</v>
      </c>
      <c r="M3" s="548"/>
      <c r="N3" s="549">
        <v>-121</v>
      </c>
      <c r="O3" s="544" t="s">
        <v>1674</v>
      </c>
      <c r="P3" s="544" t="s">
        <v>1674</v>
      </c>
      <c r="Q3" s="544" t="s">
        <v>4251</v>
      </c>
      <c r="R3" s="544" t="s">
        <v>1674</v>
      </c>
      <c r="S3" s="544" t="s">
        <v>1674</v>
      </c>
      <c r="T3" s="550">
        <v>19</v>
      </c>
      <c r="U3" s="544" t="s">
        <v>3328</v>
      </c>
      <c r="V3" s="547">
        <v>1</v>
      </c>
      <c r="W3" s="548"/>
      <c r="Y3" s="544" t="s">
        <v>1674</v>
      </c>
      <c r="AA3" s="544" t="s">
        <v>1674</v>
      </c>
      <c r="AB3" s="542">
        <v>3</v>
      </c>
      <c r="AE3" s="551"/>
      <c r="AF3" s="544" t="s">
        <v>1674</v>
      </c>
      <c r="AG3" s="544" t="s">
        <v>1674</v>
      </c>
      <c r="AH3" s="544" t="s">
        <v>1674</v>
      </c>
      <c r="AI3" s="544" t="s">
        <v>1674</v>
      </c>
      <c r="AJ3" s="544" t="s">
        <v>1674</v>
      </c>
      <c r="AK3" s="544" t="s">
        <v>1674</v>
      </c>
      <c r="AL3" s="544" t="s">
        <v>1674</v>
      </c>
      <c r="AM3" s="544" t="s">
        <v>4135</v>
      </c>
      <c r="AN3" s="544" t="s">
        <v>1674</v>
      </c>
      <c r="AP3" s="542">
        <f>IF(F3&lt;&gt;0,($AP$2-$F3)*-1,0)</f>
        <v>-60</v>
      </c>
      <c r="AR3" s="593">
        <f>IF(J3="H",+I3,-I3)</f>
        <v>5712</v>
      </c>
      <c r="AT3" s="594" t="s">
        <v>2587</v>
      </c>
      <c r="AU3" s="595" t="s">
        <v>4252</v>
      </c>
      <c r="AV3" s="596"/>
      <c r="AW3" s="594" t="s">
        <v>2587</v>
      </c>
      <c r="AX3" s="597" t="s">
        <v>2589</v>
      </c>
    </row>
    <row r="4" spans="1:50" outlineLevel="1" x14ac:dyDescent="0.25">
      <c r="A4" s="544" t="s">
        <v>1674</v>
      </c>
      <c r="B4" s="545">
        <v>80601</v>
      </c>
      <c r="C4" s="544" t="s">
        <v>3987</v>
      </c>
      <c r="D4" s="544" t="s">
        <v>4253</v>
      </c>
      <c r="E4" s="542" t="s">
        <v>3569</v>
      </c>
      <c r="F4" s="542" t="s">
        <v>4254</v>
      </c>
      <c r="G4" s="546"/>
      <c r="H4" s="546">
        <v>1964</v>
      </c>
      <c r="I4" s="546"/>
      <c r="J4" s="542" t="s">
        <v>806</v>
      </c>
      <c r="K4" s="547">
        <v>3425</v>
      </c>
      <c r="L4" s="542" t="s">
        <v>806</v>
      </c>
      <c r="M4" s="548"/>
      <c r="N4" s="549">
        <v>-55</v>
      </c>
      <c r="O4" s="544" t="s">
        <v>1674</v>
      </c>
      <c r="P4" s="544" t="s">
        <v>1674</v>
      </c>
      <c r="Q4" s="544" t="s">
        <v>2983</v>
      </c>
      <c r="R4" s="544" t="s">
        <v>1674</v>
      </c>
      <c r="S4" s="544" t="s">
        <v>1674</v>
      </c>
      <c r="T4" s="550">
        <v>19</v>
      </c>
      <c r="U4" s="544" t="s">
        <v>3320</v>
      </c>
      <c r="V4" s="547">
        <v>520</v>
      </c>
      <c r="W4" s="548"/>
      <c r="Y4" s="544" t="s">
        <v>1674</v>
      </c>
      <c r="AA4" s="544" t="s">
        <v>1674</v>
      </c>
      <c r="AB4" s="542">
        <v>3</v>
      </c>
      <c r="AE4" s="551"/>
      <c r="AF4" s="544" t="s">
        <v>1674</v>
      </c>
      <c r="AG4" s="544" t="s">
        <v>1674</v>
      </c>
      <c r="AH4" s="544" t="s">
        <v>1674</v>
      </c>
      <c r="AI4" s="544" t="s">
        <v>1674</v>
      </c>
      <c r="AJ4" s="544" t="s">
        <v>1674</v>
      </c>
      <c r="AK4" s="544" t="s">
        <v>1674</v>
      </c>
      <c r="AL4" s="544" t="s">
        <v>1674</v>
      </c>
      <c r="AM4" s="544" t="s">
        <v>3989</v>
      </c>
      <c r="AN4" s="544" t="s">
        <v>1674</v>
      </c>
      <c r="AP4" s="542">
        <f>IF(F4&lt;&gt;0,($AP$2-$F4)*-1,0)</f>
        <v>6</v>
      </c>
      <c r="AR4" s="593">
        <f t="shared" ref="AR4:AR67" si="0">IF(J4="H",+I4,-I4)</f>
        <v>0</v>
      </c>
      <c r="AT4" s="598" t="s">
        <v>502</v>
      </c>
      <c r="AU4" s="599">
        <f>SUMIFS($AR$3:$AR$159,$AP$3:$AP$159,"&gt;=0")</f>
        <v>363650.9700000002</v>
      </c>
      <c r="AV4" s="596"/>
      <c r="AW4" s="598" t="s">
        <v>502</v>
      </c>
      <c r="AX4" s="600">
        <f>AU4/1000</f>
        <v>363.6509700000002</v>
      </c>
    </row>
    <row r="5" spans="1:50" outlineLevel="1" x14ac:dyDescent="0.25">
      <c r="A5" s="544" t="s">
        <v>1674</v>
      </c>
      <c r="B5" s="545">
        <v>0</v>
      </c>
      <c r="C5" s="544" t="s">
        <v>1674</v>
      </c>
      <c r="D5" s="544" t="s">
        <v>4253</v>
      </c>
      <c r="E5" s="542" t="s">
        <v>3569</v>
      </c>
      <c r="F5" s="542" t="s">
        <v>4254</v>
      </c>
      <c r="G5" s="546"/>
      <c r="H5" s="546">
        <v>283.33999999999997</v>
      </c>
      <c r="I5" s="546">
        <v>2247.34</v>
      </c>
      <c r="J5" s="542" t="s">
        <v>2584</v>
      </c>
      <c r="K5" s="547">
        <v>3425</v>
      </c>
      <c r="L5" s="542" t="s">
        <v>806</v>
      </c>
      <c r="M5" s="548"/>
      <c r="N5" s="549">
        <v>-55</v>
      </c>
      <c r="O5" s="544" t="s">
        <v>1674</v>
      </c>
      <c r="P5" s="544" t="s">
        <v>1674</v>
      </c>
      <c r="Q5" s="544" t="s">
        <v>2983</v>
      </c>
      <c r="R5" s="544" t="s">
        <v>1674</v>
      </c>
      <c r="S5" s="544" t="s">
        <v>1674</v>
      </c>
      <c r="T5" s="550">
        <v>19</v>
      </c>
      <c r="U5" s="544" t="s">
        <v>3320</v>
      </c>
      <c r="V5" s="547">
        <v>521</v>
      </c>
      <c r="W5" s="548"/>
      <c r="Y5" s="544" t="s">
        <v>1674</v>
      </c>
      <c r="AA5" s="544" t="s">
        <v>1674</v>
      </c>
      <c r="AB5" s="542">
        <v>3</v>
      </c>
      <c r="AE5" s="551"/>
      <c r="AF5" s="544" t="s">
        <v>1674</v>
      </c>
      <c r="AG5" s="544" t="s">
        <v>1674</v>
      </c>
      <c r="AH5" s="544" t="s">
        <v>1674</v>
      </c>
      <c r="AI5" s="544" t="s">
        <v>1674</v>
      </c>
      <c r="AJ5" s="544" t="s">
        <v>1674</v>
      </c>
      <c r="AK5" s="544" t="s">
        <v>1674</v>
      </c>
      <c r="AL5" s="544" t="s">
        <v>1674</v>
      </c>
      <c r="AM5" s="544" t="s">
        <v>1674</v>
      </c>
      <c r="AN5" s="544" t="s">
        <v>1674</v>
      </c>
      <c r="AP5" s="542">
        <f t="shared" ref="AP5:AP68" si="1">IF(F5&lt;&gt;0,($AP$2-$F5)*-1,0)</f>
        <v>6</v>
      </c>
      <c r="AR5" s="593">
        <f t="shared" si="0"/>
        <v>2247.34</v>
      </c>
      <c r="AT5" s="598" t="s">
        <v>500</v>
      </c>
      <c r="AU5" s="593">
        <f>SUMIFS($AR$3:$AR$159,$AP$3:$AP$159,"&lt;0",$AP$3:$AP$159,"&gt;=-30")</f>
        <v>12559.919999999998</v>
      </c>
      <c r="AV5" s="596"/>
      <c r="AW5" s="598" t="s">
        <v>500</v>
      </c>
      <c r="AX5" s="600">
        <f>AU5/1000</f>
        <v>12.559919999999998</v>
      </c>
    </row>
    <row r="6" spans="1:50" outlineLevel="1" x14ac:dyDescent="0.25">
      <c r="A6" s="544" t="s">
        <v>1674</v>
      </c>
      <c r="B6" s="545">
        <v>0</v>
      </c>
      <c r="C6" s="544" t="s">
        <v>1674</v>
      </c>
      <c r="D6" s="544" t="s">
        <v>4255</v>
      </c>
      <c r="E6" s="542" t="s">
        <v>4256</v>
      </c>
      <c r="F6" s="542" t="s">
        <v>3699</v>
      </c>
      <c r="G6" s="546"/>
      <c r="H6" s="546">
        <v>7488.6</v>
      </c>
      <c r="I6" s="546"/>
      <c r="J6" s="542" t="s">
        <v>806</v>
      </c>
      <c r="K6" s="547">
        <v>3425</v>
      </c>
      <c r="L6" s="542" t="s">
        <v>806</v>
      </c>
      <c r="M6" s="548"/>
      <c r="N6" s="549">
        <v>-52</v>
      </c>
      <c r="O6" s="544" t="s">
        <v>1674</v>
      </c>
      <c r="P6" s="544" t="s">
        <v>1674</v>
      </c>
      <c r="Q6" s="544" t="s">
        <v>2983</v>
      </c>
      <c r="R6" s="544" t="s">
        <v>3992</v>
      </c>
      <c r="S6" s="544" t="s">
        <v>1674</v>
      </c>
      <c r="T6" s="550">
        <v>19</v>
      </c>
      <c r="U6" s="544" t="s">
        <v>3320</v>
      </c>
      <c r="V6" s="547">
        <v>768</v>
      </c>
      <c r="W6" s="548"/>
      <c r="Y6" s="544" t="s">
        <v>1674</v>
      </c>
      <c r="AA6" s="544" t="s">
        <v>1674</v>
      </c>
      <c r="AB6" s="542">
        <v>3</v>
      </c>
      <c r="AE6" s="551"/>
      <c r="AF6" s="544" t="s">
        <v>1674</v>
      </c>
      <c r="AG6" s="544" t="s">
        <v>1674</v>
      </c>
      <c r="AH6" s="544" t="s">
        <v>1674</v>
      </c>
      <c r="AI6" s="544" t="s">
        <v>1674</v>
      </c>
      <c r="AJ6" s="544" t="s">
        <v>1674</v>
      </c>
      <c r="AK6" s="544" t="s">
        <v>1674</v>
      </c>
      <c r="AL6" s="544" t="s">
        <v>1674</v>
      </c>
      <c r="AM6" s="544" t="s">
        <v>1674</v>
      </c>
      <c r="AN6" s="544" t="s">
        <v>1674</v>
      </c>
      <c r="AP6" s="542">
        <f t="shared" si="1"/>
        <v>9</v>
      </c>
      <c r="AR6" s="593">
        <f t="shared" si="0"/>
        <v>0</v>
      </c>
      <c r="AT6" s="598" t="s">
        <v>498</v>
      </c>
      <c r="AU6" s="593">
        <f>SUMIFS($AR$3:$AR$159,$AP$3:$AP$159,"&lt;=-31",$AP$3:$AP$159,"&gt;-61")</f>
        <v>5712</v>
      </c>
      <c r="AV6" s="596"/>
      <c r="AW6" s="598" t="s">
        <v>498</v>
      </c>
      <c r="AX6" s="600">
        <f>AU6/1000</f>
        <v>5.7119999999999997</v>
      </c>
    </row>
    <row r="7" spans="1:50" outlineLevel="1" x14ac:dyDescent="0.25">
      <c r="A7" s="544" t="s">
        <v>1674</v>
      </c>
      <c r="B7" s="545">
        <v>0</v>
      </c>
      <c r="C7" s="544" t="s">
        <v>1674</v>
      </c>
      <c r="D7" s="544" t="s">
        <v>4255</v>
      </c>
      <c r="E7" s="542" t="s">
        <v>4256</v>
      </c>
      <c r="F7" s="542" t="s">
        <v>3699</v>
      </c>
      <c r="G7" s="546"/>
      <c r="H7" s="546">
        <v>14746.2</v>
      </c>
      <c r="I7" s="546"/>
      <c r="J7" s="542" t="s">
        <v>806</v>
      </c>
      <c r="K7" s="547">
        <v>3425</v>
      </c>
      <c r="L7" s="542" t="s">
        <v>806</v>
      </c>
      <c r="M7" s="548"/>
      <c r="N7" s="549">
        <v>-52</v>
      </c>
      <c r="O7" s="544" t="s">
        <v>1674</v>
      </c>
      <c r="P7" s="544" t="s">
        <v>1674</v>
      </c>
      <c r="Q7" s="544" t="s">
        <v>2983</v>
      </c>
      <c r="R7" s="544" t="s">
        <v>2898</v>
      </c>
      <c r="S7" s="544" t="s">
        <v>1674</v>
      </c>
      <c r="T7" s="550">
        <v>19</v>
      </c>
      <c r="U7" s="544" t="s">
        <v>3320</v>
      </c>
      <c r="V7" s="547">
        <v>769</v>
      </c>
      <c r="W7" s="548"/>
      <c r="Y7" s="544" t="s">
        <v>1674</v>
      </c>
      <c r="AA7" s="544" t="s">
        <v>1674</v>
      </c>
      <c r="AB7" s="542">
        <v>3</v>
      </c>
      <c r="AE7" s="551"/>
      <c r="AF7" s="544" t="s">
        <v>1674</v>
      </c>
      <c r="AG7" s="544" t="s">
        <v>1674</v>
      </c>
      <c r="AH7" s="544" t="s">
        <v>1674</v>
      </c>
      <c r="AI7" s="544" t="s">
        <v>1674</v>
      </c>
      <c r="AJ7" s="544" t="s">
        <v>1674</v>
      </c>
      <c r="AK7" s="544" t="s">
        <v>1674</v>
      </c>
      <c r="AL7" s="544" t="s">
        <v>1674</v>
      </c>
      <c r="AM7" s="544" t="s">
        <v>1674</v>
      </c>
      <c r="AN7" s="544" t="s">
        <v>1674</v>
      </c>
      <c r="AP7" s="542">
        <f t="shared" si="1"/>
        <v>9</v>
      </c>
      <c r="AR7" s="593">
        <f t="shared" si="0"/>
        <v>0</v>
      </c>
      <c r="AT7" s="598" t="s">
        <v>496</v>
      </c>
      <c r="AU7" s="593">
        <f>SUMIFS($AR$3:$AR$159,$AP$3:$AP$159,"&lt;=-61",$AP$3:$AP$159,"&gt;-91")</f>
        <v>0</v>
      </c>
      <c r="AV7" s="596"/>
      <c r="AW7" s="598" t="s">
        <v>496</v>
      </c>
      <c r="AX7" s="600">
        <f>AU7/1000</f>
        <v>0</v>
      </c>
    </row>
    <row r="8" spans="1:50" outlineLevel="1" x14ac:dyDescent="0.25">
      <c r="A8" s="544" t="s">
        <v>1674</v>
      </c>
      <c r="B8" s="545">
        <v>0</v>
      </c>
      <c r="C8" s="544" t="s">
        <v>1674</v>
      </c>
      <c r="D8" s="544" t="s">
        <v>4255</v>
      </c>
      <c r="E8" s="542" t="s">
        <v>4256</v>
      </c>
      <c r="F8" s="542" t="s">
        <v>3699</v>
      </c>
      <c r="G8" s="546"/>
      <c r="H8" s="546">
        <v>10282.1</v>
      </c>
      <c r="I8" s="546"/>
      <c r="J8" s="542" t="s">
        <v>806</v>
      </c>
      <c r="K8" s="547">
        <v>3425</v>
      </c>
      <c r="L8" s="542" t="s">
        <v>806</v>
      </c>
      <c r="M8" s="548"/>
      <c r="N8" s="549">
        <v>-52</v>
      </c>
      <c r="O8" s="544" t="s">
        <v>1674</v>
      </c>
      <c r="P8" s="544" t="s">
        <v>1674</v>
      </c>
      <c r="Q8" s="544" t="s">
        <v>2983</v>
      </c>
      <c r="R8" s="544" t="s">
        <v>1674</v>
      </c>
      <c r="S8" s="544" t="s">
        <v>1674</v>
      </c>
      <c r="T8" s="550">
        <v>19</v>
      </c>
      <c r="U8" s="544" t="s">
        <v>3320</v>
      </c>
      <c r="V8" s="547">
        <v>770</v>
      </c>
      <c r="W8" s="548"/>
      <c r="Y8" s="544" t="s">
        <v>1674</v>
      </c>
      <c r="AA8" s="544" t="s">
        <v>1674</v>
      </c>
      <c r="AB8" s="542">
        <v>3</v>
      </c>
      <c r="AE8" s="551"/>
      <c r="AF8" s="544" t="s">
        <v>1674</v>
      </c>
      <c r="AG8" s="544" t="s">
        <v>1674</v>
      </c>
      <c r="AH8" s="544" t="s">
        <v>1674</v>
      </c>
      <c r="AI8" s="544" t="s">
        <v>1674</v>
      </c>
      <c r="AJ8" s="544" t="s">
        <v>1674</v>
      </c>
      <c r="AK8" s="544" t="s">
        <v>1674</v>
      </c>
      <c r="AL8" s="544" t="s">
        <v>1674</v>
      </c>
      <c r="AM8" s="544" t="s">
        <v>1674</v>
      </c>
      <c r="AN8" s="544" t="s">
        <v>1674</v>
      </c>
      <c r="AP8" s="542">
        <f t="shared" si="1"/>
        <v>9</v>
      </c>
      <c r="AR8" s="593">
        <f t="shared" si="0"/>
        <v>0</v>
      </c>
      <c r="AT8" s="598" t="s">
        <v>494</v>
      </c>
      <c r="AU8" s="599">
        <f>SUMIFS($AR$3:$AR$159,$AP$3:$AP$159,"&lt;=-91")</f>
        <v>0</v>
      </c>
      <c r="AV8" s="596"/>
      <c r="AW8" s="598" t="s">
        <v>494</v>
      </c>
      <c r="AX8" s="600">
        <f>AU8/1000</f>
        <v>0</v>
      </c>
    </row>
    <row r="9" spans="1:50" outlineLevel="1" x14ac:dyDescent="0.25">
      <c r="A9" s="544" t="s">
        <v>1674</v>
      </c>
      <c r="B9" s="545">
        <v>0</v>
      </c>
      <c r="C9" s="544" t="s">
        <v>1674</v>
      </c>
      <c r="D9" s="544" t="s">
        <v>4255</v>
      </c>
      <c r="E9" s="542" t="s">
        <v>4256</v>
      </c>
      <c r="F9" s="542" t="s">
        <v>3699</v>
      </c>
      <c r="G9" s="546"/>
      <c r="H9" s="546">
        <v>462</v>
      </c>
      <c r="I9" s="546">
        <v>32978.9</v>
      </c>
      <c r="J9" s="542" t="s">
        <v>2584</v>
      </c>
      <c r="K9" s="547">
        <v>3425</v>
      </c>
      <c r="L9" s="542" t="s">
        <v>806</v>
      </c>
      <c r="M9" s="548"/>
      <c r="N9" s="549">
        <v>-52</v>
      </c>
      <c r="O9" s="544" t="s">
        <v>1674</v>
      </c>
      <c r="P9" s="544" t="s">
        <v>1674</v>
      </c>
      <c r="Q9" s="544" t="s">
        <v>2983</v>
      </c>
      <c r="R9" s="544" t="s">
        <v>1674</v>
      </c>
      <c r="S9" s="544" t="s">
        <v>1674</v>
      </c>
      <c r="T9" s="550">
        <v>19</v>
      </c>
      <c r="U9" s="544" t="s">
        <v>3320</v>
      </c>
      <c r="V9" s="547">
        <v>771</v>
      </c>
      <c r="W9" s="548"/>
      <c r="Y9" s="544" t="s">
        <v>1674</v>
      </c>
      <c r="AA9" s="544" t="s">
        <v>1674</v>
      </c>
      <c r="AB9" s="542">
        <v>3</v>
      </c>
      <c r="AE9" s="551"/>
      <c r="AF9" s="544" t="s">
        <v>1674</v>
      </c>
      <c r="AG9" s="544" t="s">
        <v>1674</v>
      </c>
      <c r="AH9" s="544" t="s">
        <v>1674</v>
      </c>
      <c r="AI9" s="544" t="s">
        <v>1674</v>
      </c>
      <c r="AJ9" s="544" t="s">
        <v>1674</v>
      </c>
      <c r="AK9" s="544" t="s">
        <v>1674</v>
      </c>
      <c r="AL9" s="544" t="s">
        <v>1674</v>
      </c>
      <c r="AM9" s="544" t="s">
        <v>1674</v>
      </c>
      <c r="AN9" s="544" t="s">
        <v>1674</v>
      </c>
      <c r="AP9" s="542">
        <f t="shared" si="1"/>
        <v>9</v>
      </c>
      <c r="AR9" s="593">
        <f t="shared" si="0"/>
        <v>32978.9</v>
      </c>
      <c r="AT9" s="596"/>
      <c r="AU9" s="601"/>
      <c r="AV9" s="596"/>
      <c r="AW9" s="596"/>
      <c r="AX9" s="596"/>
    </row>
    <row r="10" spans="1:50" outlineLevel="1" x14ac:dyDescent="0.25">
      <c r="A10" s="544" t="s">
        <v>1674</v>
      </c>
      <c r="B10" s="545">
        <v>0</v>
      </c>
      <c r="C10" s="544" t="s">
        <v>1674</v>
      </c>
      <c r="D10" s="544" t="s">
        <v>4257</v>
      </c>
      <c r="E10" s="542" t="s">
        <v>4258</v>
      </c>
      <c r="F10" s="542" t="s">
        <v>3843</v>
      </c>
      <c r="G10" s="546"/>
      <c r="H10" s="546">
        <v>5699.5</v>
      </c>
      <c r="I10" s="546"/>
      <c r="J10" s="542" t="s">
        <v>806</v>
      </c>
      <c r="K10" s="547">
        <v>3425</v>
      </c>
      <c r="L10" s="542" t="s">
        <v>806</v>
      </c>
      <c r="M10" s="548"/>
      <c r="N10" s="549">
        <v>-35</v>
      </c>
      <c r="O10" s="544" t="s">
        <v>1674</v>
      </c>
      <c r="P10" s="544" t="s">
        <v>1674</v>
      </c>
      <c r="Q10" s="544" t="s">
        <v>2983</v>
      </c>
      <c r="R10" s="544" t="s">
        <v>1674</v>
      </c>
      <c r="S10" s="544" t="s">
        <v>1674</v>
      </c>
      <c r="T10" s="550">
        <v>19</v>
      </c>
      <c r="U10" s="544" t="s">
        <v>3323</v>
      </c>
      <c r="V10" s="547">
        <v>10</v>
      </c>
      <c r="W10" s="548"/>
      <c r="Y10" s="544" t="s">
        <v>1674</v>
      </c>
      <c r="AA10" s="544" t="s">
        <v>1674</v>
      </c>
      <c r="AB10" s="542">
        <v>3</v>
      </c>
      <c r="AE10" s="551"/>
      <c r="AF10" s="544" t="s">
        <v>1674</v>
      </c>
      <c r="AG10" s="544" t="s">
        <v>1674</v>
      </c>
      <c r="AH10" s="544" t="s">
        <v>1674</v>
      </c>
      <c r="AI10" s="544" t="s">
        <v>1674</v>
      </c>
      <c r="AJ10" s="544" t="s">
        <v>1674</v>
      </c>
      <c r="AK10" s="544" t="s">
        <v>1674</v>
      </c>
      <c r="AL10" s="544" t="s">
        <v>1674</v>
      </c>
      <c r="AM10" s="544" t="s">
        <v>1674</v>
      </c>
      <c r="AN10" s="544" t="s">
        <v>1674</v>
      </c>
      <c r="AP10" s="542">
        <f t="shared" si="1"/>
        <v>26</v>
      </c>
      <c r="AR10" s="593">
        <f t="shared" si="0"/>
        <v>0</v>
      </c>
      <c r="AT10" s="598" t="s">
        <v>233</v>
      </c>
      <c r="AU10" s="601">
        <f>SUM(AU4:AU8)-AR163</f>
        <v>0</v>
      </c>
      <c r="AV10" s="596"/>
      <c r="AW10" s="596"/>
      <c r="AX10" s="596"/>
    </row>
    <row r="11" spans="1:50" outlineLevel="1" x14ac:dyDescent="0.25">
      <c r="A11" s="544" t="s">
        <v>1674</v>
      </c>
      <c r="B11" s="545">
        <v>0</v>
      </c>
      <c r="C11" s="544" t="s">
        <v>1674</v>
      </c>
      <c r="D11" s="544" t="s">
        <v>4257</v>
      </c>
      <c r="E11" s="542" t="s">
        <v>4258</v>
      </c>
      <c r="F11" s="542" t="s">
        <v>3843</v>
      </c>
      <c r="G11" s="546"/>
      <c r="H11" s="546">
        <v>11232.9</v>
      </c>
      <c r="I11" s="546"/>
      <c r="J11" s="542" t="s">
        <v>806</v>
      </c>
      <c r="K11" s="547">
        <v>3425</v>
      </c>
      <c r="L11" s="542" t="s">
        <v>806</v>
      </c>
      <c r="M11" s="548"/>
      <c r="N11" s="549">
        <v>-35</v>
      </c>
      <c r="O11" s="544" t="s">
        <v>1674</v>
      </c>
      <c r="P11" s="544" t="s">
        <v>1674</v>
      </c>
      <c r="Q11" s="544" t="s">
        <v>2983</v>
      </c>
      <c r="R11" s="544" t="s">
        <v>3992</v>
      </c>
      <c r="S11" s="544" t="s">
        <v>1674</v>
      </c>
      <c r="T11" s="550">
        <v>19</v>
      </c>
      <c r="U11" s="544" t="s">
        <v>3323</v>
      </c>
      <c r="V11" s="547">
        <v>11</v>
      </c>
      <c r="W11" s="548"/>
      <c r="Y11" s="544" t="s">
        <v>1674</v>
      </c>
      <c r="AA11" s="544" t="s">
        <v>1674</v>
      </c>
      <c r="AB11" s="542">
        <v>3</v>
      </c>
      <c r="AE11" s="551"/>
      <c r="AF11" s="544" t="s">
        <v>1674</v>
      </c>
      <c r="AG11" s="544" t="s">
        <v>1674</v>
      </c>
      <c r="AH11" s="544" t="s">
        <v>1674</v>
      </c>
      <c r="AI11" s="544" t="s">
        <v>1674</v>
      </c>
      <c r="AJ11" s="544" t="s">
        <v>1674</v>
      </c>
      <c r="AK11" s="544" t="s">
        <v>1674</v>
      </c>
      <c r="AL11" s="544" t="s">
        <v>1674</v>
      </c>
      <c r="AM11" s="544" t="s">
        <v>1674</v>
      </c>
      <c r="AN11" s="544" t="s">
        <v>1674</v>
      </c>
      <c r="AP11" s="542">
        <f t="shared" si="1"/>
        <v>26</v>
      </c>
      <c r="AR11" s="593">
        <f t="shared" si="0"/>
        <v>0</v>
      </c>
    </row>
    <row r="12" spans="1:50" outlineLevel="1" x14ac:dyDescent="0.25">
      <c r="A12" s="544" t="s">
        <v>1674</v>
      </c>
      <c r="B12" s="545">
        <v>0</v>
      </c>
      <c r="C12" s="544" t="s">
        <v>1674</v>
      </c>
      <c r="D12" s="544" t="s">
        <v>4257</v>
      </c>
      <c r="E12" s="542" t="s">
        <v>4258</v>
      </c>
      <c r="F12" s="542" t="s">
        <v>3843</v>
      </c>
      <c r="G12" s="546"/>
      <c r="H12" s="546">
        <v>7373.1</v>
      </c>
      <c r="I12" s="546"/>
      <c r="J12" s="542" t="s">
        <v>806</v>
      </c>
      <c r="K12" s="547">
        <v>3425</v>
      </c>
      <c r="L12" s="542" t="s">
        <v>806</v>
      </c>
      <c r="M12" s="548"/>
      <c r="N12" s="549">
        <v>-35</v>
      </c>
      <c r="O12" s="544" t="s">
        <v>1674</v>
      </c>
      <c r="P12" s="544" t="s">
        <v>1674</v>
      </c>
      <c r="Q12" s="544" t="s">
        <v>2983</v>
      </c>
      <c r="R12" s="544" t="s">
        <v>1674</v>
      </c>
      <c r="S12" s="544" t="s">
        <v>1674</v>
      </c>
      <c r="T12" s="550">
        <v>19</v>
      </c>
      <c r="U12" s="544" t="s">
        <v>3323</v>
      </c>
      <c r="V12" s="547">
        <v>12</v>
      </c>
      <c r="W12" s="548"/>
      <c r="Y12" s="544" t="s">
        <v>1674</v>
      </c>
      <c r="AA12" s="544" t="s">
        <v>1674</v>
      </c>
      <c r="AB12" s="542">
        <v>3</v>
      </c>
      <c r="AE12" s="551"/>
      <c r="AF12" s="544" t="s">
        <v>1674</v>
      </c>
      <c r="AG12" s="544" t="s">
        <v>1674</v>
      </c>
      <c r="AH12" s="544" t="s">
        <v>1674</v>
      </c>
      <c r="AI12" s="544" t="s">
        <v>1674</v>
      </c>
      <c r="AJ12" s="544" t="s">
        <v>1674</v>
      </c>
      <c r="AK12" s="544" t="s">
        <v>1674</v>
      </c>
      <c r="AL12" s="544" t="s">
        <v>1674</v>
      </c>
      <c r="AM12" s="544" t="s">
        <v>1674</v>
      </c>
      <c r="AN12" s="544" t="s">
        <v>1674</v>
      </c>
      <c r="AP12" s="542">
        <f t="shared" si="1"/>
        <v>26</v>
      </c>
      <c r="AR12" s="593">
        <f t="shared" si="0"/>
        <v>0</v>
      </c>
    </row>
    <row r="13" spans="1:50" outlineLevel="1" x14ac:dyDescent="0.25">
      <c r="A13" s="544" t="s">
        <v>1674</v>
      </c>
      <c r="B13" s="545">
        <v>0</v>
      </c>
      <c r="C13" s="544" t="s">
        <v>1674</v>
      </c>
      <c r="D13" s="544" t="s">
        <v>4257</v>
      </c>
      <c r="E13" s="542" t="s">
        <v>4258</v>
      </c>
      <c r="F13" s="542" t="s">
        <v>3843</v>
      </c>
      <c r="G13" s="546"/>
      <c r="H13" s="546">
        <v>12202.41</v>
      </c>
      <c r="I13" s="546"/>
      <c r="J13" s="542" t="s">
        <v>806</v>
      </c>
      <c r="K13" s="547">
        <v>3425</v>
      </c>
      <c r="L13" s="542" t="s">
        <v>806</v>
      </c>
      <c r="M13" s="548"/>
      <c r="N13" s="549">
        <v>-35</v>
      </c>
      <c r="O13" s="544" t="s">
        <v>1674</v>
      </c>
      <c r="P13" s="544" t="s">
        <v>1674</v>
      </c>
      <c r="Q13" s="544" t="s">
        <v>2983</v>
      </c>
      <c r="R13" s="544" t="s">
        <v>1674</v>
      </c>
      <c r="S13" s="544" t="s">
        <v>1674</v>
      </c>
      <c r="T13" s="550">
        <v>19</v>
      </c>
      <c r="U13" s="544" t="s">
        <v>3323</v>
      </c>
      <c r="V13" s="547">
        <v>13</v>
      </c>
      <c r="W13" s="548"/>
      <c r="Y13" s="544" t="s">
        <v>1674</v>
      </c>
      <c r="AA13" s="544" t="s">
        <v>1674</v>
      </c>
      <c r="AB13" s="542">
        <v>3</v>
      </c>
      <c r="AE13" s="551"/>
      <c r="AF13" s="544" t="s">
        <v>1674</v>
      </c>
      <c r="AG13" s="544" t="s">
        <v>1674</v>
      </c>
      <c r="AH13" s="544" t="s">
        <v>1674</v>
      </c>
      <c r="AI13" s="544" t="s">
        <v>1674</v>
      </c>
      <c r="AJ13" s="544" t="s">
        <v>1674</v>
      </c>
      <c r="AK13" s="544" t="s">
        <v>1674</v>
      </c>
      <c r="AL13" s="544" t="s">
        <v>1674</v>
      </c>
      <c r="AM13" s="544" t="s">
        <v>1674</v>
      </c>
      <c r="AN13" s="544" t="s">
        <v>1674</v>
      </c>
      <c r="AP13" s="542">
        <f t="shared" si="1"/>
        <v>26</v>
      </c>
      <c r="AR13" s="593">
        <f t="shared" si="0"/>
        <v>0</v>
      </c>
      <c r="AT13" s="542" t="s">
        <v>3301</v>
      </c>
      <c r="AU13" s="593">
        <f>SUMIFS($AR$3:$AR$159,$AR$3:$AR$159,"&gt;0")</f>
        <v>496363.8600000001</v>
      </c>
    </row>
    <row r="14" spans="1:50" outlineLevel="1" x14ac:dyDescent="0.25">
      <c r="A14" s="544" t="s">
        <v>1674</v>
      </c>
      <c r="B14" s="545">
        <v>0</v>
      </c>
      <c r="C14" s="544" t="s">
        <v>1674</v>
      </c>
      <c r="D14" s="544" t="s">
        <v>4257</v>
      </c>
      <c r="E14" s="542" t="s">
        <v>4258</v>
      </c>
      <c r="F14" s="542" t="s">
        <v>3843</v>
      </c>
      <c r="G14" s="546"/>
      <c r="H14" s="546">
        <v>14746.2</v>
      </c>
      <c r="I14" s="546">
        <v>51254.11</v>
      </c>
      <c r="J14" s="542" t="s">
        <v>2584</v>
      </c>
      <c r="K14" s="547">
        <v>3425</v>
      </c>
      <c r="L14" s="542" t="s">
        <v>806</v>
      </c>
      <c r="M14" s="548"/>
      <c r="N14" s="549">
        <v>-35</v>
      </c>
      <c r="O14" s="544" t="s">
        <v>1674</v>
      </c>
      <c r="P14" s="544" t="s">
        <v>1674</v>
      </c>
      <c r="Q14" s="544" t="s">
        <v>2983</v>
      </c>
      <c r="R14" s="544" t="s">
        <v>2898</v>
      </c>
      <c r="S14" s="544" t="s">
        <v>1674</v>
      </c>
      <c r="T14" s="550">
        <v>19</v>
      </c>
      <c r="U14" s="544" t="s">
        <v>3323</v>
      </c>
      <c r="V14" s="547">
        <v>14</v>
      </c>
      <c r="W14" s="548"/>
      <c r="Y14" s="544" t="s">
        <v>1674</v>
      </c>
      <c r="AA14" s="544" t="s">
        <v>1674</v>
      </c>
      <c r="AB14" s="542">
        <v>3</v>
      </c>
      <c r="AE14" s="551"/>
      <c r="AF14" s="544" t="s">
        <v>1674</v>
      </c>
      <c r="AG14" s="544" t="s">
        <v>1674</v>
      </c>
      <c r="AH14" s="544" t="s">
        <v>1674</v>
      </c>
      <c r="AI14" s="544" t="s">
        <v>1674</v>
      </c>
      <c r="AJ14" s="544" t="s">
        <v>1674</v>
      </c>
      <c r="AK14" s="544" t="s">
        <v>1674</v>
      </c>
      <c r="AL14" s="544" t="s">
        <v>1674</v>
      </c>
      <c r="AM14" s="544" t="s">
        <v>1674</v>
      </c>
      <c r="AN14" s="544" t="s">
        <v>1674</v>
      </c>
      <c r="AP14" s="542">
        <f t="shared" si="1"/>
        <v>26</v>
      </c>
      <c r="AR14" s="593">
        <f t="shared" si="0"/>
        <v>51254.11</v>
      </c>
      <c r="AT14" s="542" t="s">
        <v>3994</v>
      </c>
      <c r="AU14" s="593">
        <f>SUMIFS($AR$3:$AR$159,$AR$3:$AR$159,"&lt;0")</f>
        <v>-114440.97</v>
      </c>
    </row>
    <row r="15" spans="1:50" outlineLevel="1" x14ac:dyDescent="0.25">
      <c r="A15" s="544" t="s">
        <v>1674</v>
      </c>
      <c r="B15" s="545">
        <v>0</v>
      </c>
      <c r="C15" s="544" t="s">
        <v>1674</v>
      </c>
      <c r="D15" s="544" t="s">
        <v>4259</v>
      </c>
      <c r="E15" s="542" t="s">
        <v>3318</v>
      </c>
      <c r="F15" s="542" t="s">
        <v>3859</v>
      </c>
      <c r="G15" s="546"/>
      <c r="H15" s="546">
        <v>1448</v>
      </c>
      <c r="I15" s="546"/>
      <c r="J15" s="542" t="s">
        <v>806</v>
      </c>
      <c r="K15" s="547">
        <v>3425</v>
      </c>
      <c r="L15" s="542" t="s">
        <v>806</v>
      </c>
      <c r="M15" s="548"/>
      <c r="N15" s="549">
        <v>-32</v>
      </c>
      <c r="O15" s="544" t="s">
        <v>1674</v>
      </c>
      <c r="P15" s="544" t="s">
        <v>1674</v>
      </c>
      <c r="Q15" s="544" t="s">
        <v>2983</v>
      </c>
      <c r="R15" s="544" t="s">
        <v>1674</v>
      </c>
      <c r="S15" s="544" t="s">
        <v>1674</v>
      </c>
      <c r="T15" s="550">
        <v>19</v>
      </c>
      <c r="U15" s="544" t="s">
        <v>3320</v>
      </c>
      <c r="V15" s="547">
        <v>1726</v>
      </c>
      <c r="W15" s="548"/>
      <c r="Y15" s="544" t="s">
        <v>1674</v>
      </c>
      <c r="AA15" s="544" t="s">
        <v>1674</v>
      </c>
      <c r="AB15" s="542">
        <v>3</v>
      </c>
      <c r="AE15" s="551"/>
      <c r="AF15" s="544" t="s">
        <v>1674</v>
      </c>
      <c r="AG15" s="544" t="s">
        <v>1674</v>
      </c>
      <c r="AH15" s="544" t="s">
        <v>1674</v>
      </c>
      <c r="AI15" s="544" t="s">
        <v>1674</v>
      </c>
      <c r="AJ15" s="544" t="s">
        <v>1674</v>
      </c>
      <c r="AK15" s="544" t="s">
        <v>1674</v>
      </c>
      <c r="AL15" s="544" t="s">
        <v>1674</v>
      </c>
      <c r="AM15" s="544" t="s">
        <v>1674</v>
      </c>
      <c r="AN15" s="544" t="s">
        <v>1674</v>
      </c>
      <c r="AP15" s="542">
        <f t="shared" si="1"/>
        <v>29</v>
      </c>
      <c r="AR15" s="593">
        <f t="shared" si="0"/>
        <v>0</v>
      </c>
    </row>
    <row r="16" spans="1:50" outlineLevel="1" x14ac:dyDescent="0.25">
      <c r="A16" s="544" t="s">
        <v>1674</v>
      </c>
      <c r="B16" s="545">
        <v>0</v>
      </c>
      <c r="C16" s="544" t="s">
        <v>1674</v>
      </c>
      <c r="D16" s="544" t="s">
        <v>4259</v>
      </c>
      <c r="E16" s="542" t="s">
        <v>3318</v>
      </c>
      <c r="F16" s="542" t="s">
        <v>3859</v>
      </c>
      <c r="G16" s="546"/>
      <c r="H16" s="546">
        <v>528</v>
      </c>
      <c r="I16" s="546">
        <v>1976</v>
      </c>
      <c r="J16" s="542" t="s">
        <v>2584</v>
      </c>
      <c r="K16" s="547">
        <v>3425</v>
      </c>
      <c r="L16" s="542" t="s">
        <v>806</v>
      </c>
      <c r="M16" s="548"/>
      <c r="N16" s="549">
        <v>-32</v>
      </c>
      <c r="O16" s="544" t="s">
        <v>1674</v>
      </c>
      <c r="P16" s="544" t="s">
        <v>1674</v>
      </c>
      <c r="Q16" s="544" t="s">
        <v>2983</v>
      </c>
      <c r="R16" s="544" t="s">
        <v>3070</v>
      </c>
      <c r="S16" s="544" t="s">
        <v>1674</v>
      </c>
      <c r="T16" s="550">
        <v>19</v>
      </c>
      <c r="U16" s="544" t="s">
        <v>3320</v>
      </c>
      <c r="V16" s="547">
        <v>1727</v>
      </c>
      <c r="W16" s="548"/>
      <c r="Y16" s="544" t="s">
        <v>1674</v>
      </c>
      <c r="AA16" s="544" t="s">
        <v>1674</v>
      </c>
      <c r="AB16" s="542">
        <v>3</v>
      </c>
      <c r="AE16" s="551"/>
      <c r="AF16" s="544" t="s">
        <v>1674</v>
      </c>
      <c r="AG16" s="544" t="s">
        <v>1674</v>
      </c>
      <c r="AH16" s="544" t="s">
        <v>1674</v>
      </c>
      <c r="AI16" s="544" t="s">
        <v>1674</v>
      </c>
      <c r="AJ16" s="544" t="s">
        <v>1674</v>
      </c>
      <c r="AK16" s="544" t="s">
        <v>1674</v>
      </c>
      <c r="AL16" s="544" t="s">
        <v>1674</v>
      </c>
      <c r="AM16" s="544" t="s">
        <v>1674</v>
      </c>
      <c r="AN16" s="544" t="s">
        <v>1674</v>
      </c>
      <c r="AP16" s="542">
        <f t="shared" si="1"/>
        <v>29</v>
      </c>
      <c r="AR16" s="593">
        <f t="shared" si="0"/>
        <v>1976</v>
      </c>
      <c r="AT16" s="542" t="s">
        <v>640</v>
      </c>
      <c r="AU16" s="562">
        <f>SUM(AU13:AU14)</f>
        <v>381922.89000000013</v>
      </c>
    </row>
    <row r="17" spans="1:44" outlineLevel="1" x14ac:dyDescent="0.25">
      <c r="A17" s="544" t="s">
        <v>1674</v>
      </c>
      <c r="B17" s="545">
        <v>0</v>
      </c>
      <c r="C17" s="544" t="s">
        <v>1674</v>
      </c>
      <c r="D17" s="544" t="s">
        <v>4260</v>
      </c>
      <c r="E17" s="542" t="s">
        <v>3324</v>
      </c>
      <c r="F17" s="542" t="s">
        <v>3900</v>
      </c>
      <c r="G17" s="546"/>
      <c r="H17" s="546">
        <v>21342</v>
      </c>
      <c r="I17" s="546"/>
      <c r="J17" s="542" t="s">
        <v>806</v>
      </c>
      <c r="K17" s="547">
        <v>3425</v>
      </c>
      <c r="L17" s="542" t="s">
        <v>806</v>
      </c>
      <c r="M17" s="548"/>
      <c r="N17" s="549">
        <v>-31</v>
      </c>
      <c r="O17" s="544" t="s">
        <v>1674</v>
      </c>
      <c r="P17" s="544" t="s">
        <v>1674</v>
      </c>
      <c r="Q17" s="544" t="s">
        <v>2983</v>
      </c>
      <c r="R17" s="544" t="s">
        <v>1674</v>
      </c>
      <c r="S17" s="544" t="s">
        <v>1674</v>
      </c>
      <c r="T17" s="550">
        <v>19</v>
      </c>
      <c r="U17" s="544" t="s">
        <v>3323</v>
      </c>
      <c r="V17" s="547">
        <v>79</v>
      </c>
      <c r="W17" s="548"/>
      <c r="Y17" s="544" t="s">
        <v>1674</v>
      </c>
      <c r="AA17" s="544" t="s">
        <v>1674</v>
      </c>
      <c r="AB17" s="542">
        <v>3</v>
      </c>
      <c r="AE17" s="551"/>
      <c r="AF17" s="544" t="s">
        <v>1674</v>
      </c>
      <c r="AG17" s="544" t="s">
        <v>1674</v>
      </c>
      <c r="AH17" s="544" t="s">
        <v>1674</v>
      </c>
      <c r="AI17" s="544" t="s">
        <v>1674</v>
      </c>
      <c r="AJ17" s="544" t="s">
        <v>1674</v>
      </c>
      <c r="AK17" s="544" t="s">
        <v>1674</v>
      </c>
      <c r="AL17" s="544" t="s">
        <v>1674</v>
      </c>
      <c r="AM17" s="544" t="s">
        <v>1674</v>
      </c>
      <c r="AN17" s="544" t="s">
        <v>1674</v>
      </c>
      <c r="AP17" s="542">
        <f t="shared" si="1"/>
        <v>30</v>
      </c>
      <c r="AR17" s="593">
        <f t="shared" si="0"/>
        <v>0</v>
      </c>
    </row>
    <row r="18" spans="1:44" outlineLevel="1" x14ac:dyDescent="0.25">
      <c r="A18" s="544" t="s">
        <v>1674</v>
      </c>
      <c r="B18" s="545">
        <v>0</v>
      </c>
      <c r="C18" s="544" t="s">
        <v>1674</v>
      </c>
      <c r="D18" s="544" t="s">
        <v>4260</v>
      </c>
      <c r="E18" s="542" t="s">
        <v>3324</v>
      </c>
      <c r="F18" s="542" t="s">
        <v>3900</v>
      </c>
      <c r="G18" s="546"/>
      <c r="H18" s="546">
        <v>11232.9</v>
      </c>
      <c r="I18" s="546"/>
      <c r="J18" s="542" t="s">
        <v>806</v>
      </c>
      <c r="K18" s="547">
        <v>3425</v>
      </c>
      <c r="L18" s="542" t="s">
        <v>806</v>
      </c>
      <c r="M18" s="548"/>
      <c r="N18" s="549">
        <v>-31</v>
      </c>
      <c r="O18" s="544" t="s">
        <v>1674</v>
      </c>
      <c r="P18" s="544" t="s">
        <v>1674</v>
      </c>
      <c r="Q18" s="544" t="s">
        <v>2983</v>
      </c>
      <c r="R18" s="544" t="s">
        <v>3992</v>
      </c>
      <c r="S18" s="544" t="s">
        <v>1674</v>
      </c>
      <c r="T18" s="550">
        <v>19</v>
      </c>
      <c r="U18" s="544" t="s">
        <v>3323</v>
      </c>
      <c r="V18" s="547">
        <v>80</v>
      </c>
      <c r="W18" s="548"/>
      <c r="Y18" s="544" t="s">
        <v>1674</v>
      </c>
      <c r="AA18" s="544" t="s">
        <v>1674</v>
      </c>
      <c r="AB18" s="542">
        <v>3</v>
      </c>
      <c r="AE18" s="551"/>
      <c r="AF18" s="544" t="s">
        <v>1674</v>
      </c>
      <c r="AG18" s="544" t="s">
        <v>1674</v>
      </c>
      <c r="AH18" s="544" t="s">
        <v>1674</v>
      </c>
      <c r="AI18" s="544" t="s">
        <v>1674</v>
      </c>
      <c r="AJ18" s="544" t="s">
        <v>1674</v>
      </c>
      <c r="AK18" s="544" t="s">
        <v>1674</v>
      </c>
      <c r="AL18" s="544" t="s">
        <v>1674</v>
      </c>
      <c r="AM18" s="544" t="s">
        <v>1674</v>
      </c>
      <c r="AN18" s="544" t="s">
        <v>1674</v>
      </c>
      <c r="AP18" s="542">
        <f t="shared" si="1"/>
        <v>30</v>
      </c>
      <c r="AR18" s="593">
        <f t="shared" si="0"/>
        <v>0</v>
      </c>
    </row>
    <row r="19" spans="1:44" outlineLevel="1" x14ac:dyDescent="0.25">
      <c r="A19" s="544" t="s">
        <v>1674</v>
      </c>
      <c r="B19" s="545">
        <v>0</v>
      </c>
      <c r="C19" s="544" t="s">
        <v>1674</v>
      </c>
      <c r="D19" s="544" t="s">
        <v>4260</v>
      </c>
      <c r="E19" s="542" t="s">
        <v>3324</v>
      </c>
      <c r="F19" s="542" t="s">
        <v>3900</v>
      </c>
      <c r="G19" s="546"/>
      <c r="H19" s="546">
        <v>14746.2</v>
      </c>
      <c r="I19" s="546"/>
      <c r="J19" s="542" t="s">
        <v>806</v>
      </c>
      <c r="K19" s="547">
        <v>3425</v>
      </c>
      <c r="L19" s="542" t="s">
        <v>806</v>
      </c>
      <c r="M19" s="548"/>
      <c r="N19" s="549">
        <v>-31</v>
      </c>
      <c r="O19" s="544" t="s">
        <v>1674</v>
      </c>
      <c r="P19" s="544" t="s">
        <v>1674</v>
      </c>
      <c r="Q19" s="544" t="s">
        <v>2983</v>
      </c>
      <c r="R19" s="544" t="s">
        <v>2898</v>
      </c>
      <c r="S19" s="544" t="s">
        <v>1674</v>
      </c>
      <c r="T19" s="550">
        <v>19</v>
      </c>
      <c r="U19" s="544" t="s">
        <v>3323</v>
      </c>
      <c r="V19" s="547">
        <v>81</v>
      </c>
      <c r="W19" s="548"/>
      <c r="Y19" s="544" t="s">
        <v>1674</v>
      </c>
      <c r="AA19" s="544" t="s">
        <v>1674</v>
      </c>
      <c r="AB19" s="542">
        <v>3</v>
      </c>
      <c r="AE19" s="551"/>
      <c r="AF19" s="544" t="s">
        <v>1674</v>
      </c>
      <c r="AG19" s="544" t="s">
        <v>1674</v>
      </c>
      <c r="AH19" s="544" t="s">
        <v>1674</v>
      </c>
      <c r="AI19" s="544" t="s">
        <v>1674</v>
      </c>
      <c r="AJ19" s="544" t="s">
        <v>1674</v>
      </c>
      <c r="AK19" s="544" t="s">
        <v>1674</v>
      </c>
      <c r="AL19" s="544" t="s">
        <v>1674</v>
      </c>
      <c r="AM19" s="544" t="s">
        <v>1674</v>
      </c>
      <c r="AN19" s="544" t="s">
        <v>1674</v>
      </c>
      <c r="AP19" s="542">
        <f t="shared" si="1"/>
        <v>30</v>
      </c>
      <c r="AR19" s="593">
        <f t="shared" si="0"/>
        <v>0</v>
      </c>
    </row>
    <row r="20" spans="1:44" outlineLevel="1" x14ac:dyDescent="0.25">
      <c r="A20" s="544" t="s">
        <v>1674</v>
      </c>
      <c r="B20" s="545">
        <v>0</v>
      </c>
      <c r="C20" s="544" t="s">
        <v>1674</v>
      </c>
      <c r="D20" s="544" t="s">
        <v>4260</v>
      </c>
      <c r="E20" s="542" t="s">
        <v>3324</v>
      </c>
      <c r="F20" s="542" t="s">
        <v>3900</v>
      </c>
      <c r="G20" s="546"/>
      <c r="H20" s="546">
        <v>7373.1</v>
      </c>
      <c r="I20" s="546"/>
      <c r="J20" s="542" t="s">
        <v>806</v>
      </c>
      <c r="K20" s="547">
        <v>3425</v>
      </c>
      <c r="L20" s="542" t="s">
        <v>806</v>
      </c>
      <c r="M20" s="548"/>
      <c r="N20" s="549">
        <v>-31</v>
      </c>
      <c r="O20" s="544" t="s">
        <v>1674</v>
      </c>
      <c r="P20" s="544" t="s">
        <v>1674</v>
      </c>
      <c r="Q20" s="544" t="s">
        <v>2983</v>
      </c>
      <c r="R20" s="544" t="s">
        <v>1674</v>
      </c>
      <c r="S20" s="544" t="s">
        <v>1674</v>
      </c>
      <c r="T20" s="550">
        <v>19</v>
      </c>
      <c r="U20" s="544" t="s">
        <v>3323</v>
      </c>
      <c r="V20" s="547">
        <v>82</v>
      </c>
      <c r="W20" s="548"/>
      <c r="Y20" s="544" t="s">
        <v>1674</v>
      </c>
      <c r="AA20" s="544" t="s">
        <v>1674</v>
      </c>
      <c r="AB20" s="542">
        <v>3</v>
      </c>
      <c r="AE20" s="551"/>
      <c r="AF20" s="544" t="s">
        <v>1674</v>
      </c>
      <c r="AG20" s="544" t="s">
        <v>1674</v>
      </c>
      <c r="AH20" s="544" t="s">
        <v>1674</v>
      </c>
      <c r="AI20" s="544" t="s">
        <v>1674</v>
      </c>
      <c r="AJ20" s="544" t="s">
        <v>1674</v>
      </c>
      <c r="AK20" s="544" t="s">
        <v>1674</v>
      </c>
      <c r="AL20" s="544" t="s">
        <v>1674</v>
      </c>
      <c r="AM20" s="544" t="s">
        <v>1674</v>
      </c>
      <c r="AN20" s="544" t="s">
        <v>1674</v>
      </c>
      <c r="AP20" s="542">
        <f t="shared" si="1"/>
        <v>30</v>
      </c>
      <c r="AR20" s="593">
        <f t="shared" si="0"/>
        <v>0</v>
      </c>
    </row>
    <row r="21" spans="1:44" outlineLevel="1" x14ac:dyDescent="0.25">
      <c r="A21" s="544" t="s">
        <v>1674</v>
      </c>
      <c r="B21" s="545">
        <v>0</v>
      </c>
      <c r="C21" s="544" t="s">
        <v>1674</v>
      </c>
      <c r="D21" s="544" t="s">
        <v>4260</v>
      </c>
      <c r="E21" s="542" t="s">
        <v>3324</v>
      </c>
      <c r="F21" s="542" t="s">
        <v>3900</v>
      </c>
      <c r="G21" s="546"/>
      <c r="H21" s="546">
        <v>787.59</v>
      </c>
      <c r="I21" s="546">
        <v>55481.79</v>
      </c>
      <c r="J21" s="542" t="s">
        <v>2584</v>
      </c>
      <c r="K21" s="547">
        <v>3425</v>
      </c>
      <c r="L21" s="542" t="s">
        <v>806</v>
      </c>
      <c r="M21" s="548"/>
      <c r="N21" s="549">
        <v>-31</v>
      </c>
      <c r="O21" s="544" t="s">
        <v>1674</v>
      </c>
      <c r="P21" s="544" t="s">
        <v>1674</v>
      </c>
      <c r="Q21" s="544" t="s">
        <v>2983</v>
      </c>
      <c r="R21" s="544" t="s">
        <v>1674</v>
      </c>
      <c r="S21" s="544" t="s">
        <v>1674</v>
      </c>
      <c r="T21" s="550">
        <v>19</v>
      </c>
      <c r="U21" s="544" t="s">
        <v>3323</v>
      </c>
      <c r="V21" s="547">
        <v>83</v>
      </c>
      <c r="W21" s="548"/>
      <c r="Y21" s="544" t="s">
        <v>1674</v>
      </c>
      <c r="AA21" s="544" t="s">
        <v>1674</v>
      </c>
      <c r="AB21" s="542">
        <v>3</v>
      </c>
      <c r="AE21" s="551"/>
      <c r="AF21" s="544" t="s">
        <v>1674</v>
      </c>
      <c r="AG21" s="544" t="s">
        <v>1674</v>
      </c>
      <c r="AH21" s="544" t="s">
        <v>1674</v>
      </c>
      <c r="AI21" s="544" t="s">
        <v>1674</v>
      </c>
      <c r="AJ21" s="544" t="s">
        <v>1674</v>
      </c>
      <c r="AK21" s="544" t="s">
        <v>1674</v>
      </c>
      <c r="AL21" s="544" t="s">
        <v>1674</v>
      </c>
      <c r="AM21" s="544" t="s">
        <v>1674</v>
      </c>
      <c r="AN21" s="544" t="s">
        <v>1674</v>
      </c>
      <c r="AP21" s="542">
        <f t="shared" si="1"/>
        <v>30</v>
      </c>
      <c r="AR21" s="593">
        <f t="shared" si="0"/>
        <v>55481.79</v>
      </c>
    </row>
    <row r="22" spans="1:44" outlineLevel="1" x14ac:dyDescent="0.25">
      <c r="A22" s="544" t="s">
        <v>2722</v>
      </c>
      <c r="B22" s="545">
        <v>70100</v>
      </c>
      <c r="C22" s="544" t="s">
        <v>2864</v>
      </c>
      <c r="D22" s="544" t="s">
        <v>4261</v>
      </c>
      <c r="E22" s="542" t="s">
        <v>3615</v>
      </c>
      <c r="F22" s="542" t="s">
        <v>3616</v>
      </c>
      <c r="G22" s="546"/>
      <c r="H22" s="546">
        <v>1135.8699999999999</v>
      </c>
      <c r="I22" s="546"/>
      <c r="J22" s="542" t="s">
        <v>806</v>
      </c>
      <c r="K22" s="547">
        <v>1576</v>
      </c>
      <c r="L22" s="542" t="s">
        <v>806</v>
      </c>
      <c r="M22" s="548"/>
      <c r="N22" s="549">
        <v>-86</v>
      </c>
      <c r="O22" s="544" t="s">
        <v>1674</v>
      </c>
      <c r="P22" s="544" t="s">
        <v>1674</v>
      </c>
      <c r="Q22" s="544" t="s">
        <v>4131</v>
      </c>
      <c r="R22" s="544" t="s">
        <v>1674</v>
      </c>
      <c r="S22" s="544" t="s">
        <v>1674</v>
      </c>
      <c r="T22" s="550"/>
      <c r="U22" s="544" t="s">
        <v>3328</v>
      </c>
      <c r="V22" s="547">
        <v>3</v>
      </c>
      <c r="W22" s="548"/>
      <c r="Y22" s="544" t="s">
        <v>1674</v>
      </c>
      <c r="AA22" s="544" t="s">
        <v>1674</v>
      </c>
      <c r="AB22" s="542">
        <v>3</v>
      </c>
      <c r="AE22" s="551"/>
      <c r="AF22" s="544" t="s">
        <v>1674</v>
      </c>
      <c r="AG22" s="544" t="s">
        <v>1674</v>
      </c>
      <c r="AH22" s="544" t="s">
        <v>1674</v>
      </c>
      <c r="AI22" s="544" t="s">
        <v>1674</v>
      </c>
      <c r="AJ22" s="544" t="s">
        <v>1674</v>
      </c>
      <c r="AK22" s="544" t="s">
        <v>1674</v>
      </c>
      <c r="AL22" s="544" t="s">
        <v>1674</v>
      </c>
      <c r="AM22" s="544" t="s">
        <v>2864</v>
      </c>
      <c r="AN22" s="544" t="s">
        <v>1674</v>
      </c>
      <c r="AP22" s="542">
        <f t="shared" si="1"/>
        <v>-25</v>
      </c>
      <c r="AR22" s="593">
        <f t="shared" si="0"/>
        <v>0</v>
      </c>
    </row>
    <row r="23" spans="1:44" outlineLevel="1" x14ac:dyDescent="0.25">
      <c r="A23" s="544" t="s">
        <v>2722</v>
      </c>
      <c r="B23" s="545">
        <v>0</v>
      </c>
      <c r="C23" s="544" t="s">
        <v>1674</v>
      </c>
      <c r="D23" s="544" t="s">
        <v>4261</v>
      </c>
      <c r="E23" s="542" t="s">
        <v>3615</v>
      </c>
      <c r="F23" s="542" t="s">
        <v>3616</v>
      </c>
      <c r="G23" s="546"/>
      <c r="H23" s="546">
        <v>300</v>
      </c>
      <c r="I23" s="546">
        <v>1435.87</v>
      </c>
      <c r="J23" s="542" t="s">
        <v>2584</v>
      </c>
      <c r="K23" s="547">
        <v>4542</v>
      </c>
      <c r="L23" s="542" t="s">
        <v>806</v>
      </c>
      <c r="M23" s="548"/>
      <c r="N23" s="549">
        <v>-86</v>
      </c>
      <c r="O23" s="544" t="s">
        <v>1674</v>
      </c>
      <c r="P23" s="544" t="s">
        <v>1674</v>
      </c>
      <c r="Q23" s="544" t="s">
        <v>4262</v>
      </c>
      <c r="R23" s="544" t="s">
        <v>1674</v>
      </c>
      <c r="S23" s="544" t="s">
        <v>1674</v>
      </c>
      <c r="T23" s="550"/>
      <c r="U23" s="544" t="s">
        <v>3328</v>
      </c>
      <c r="V23" s="547">
        <v>4</v>
      </c>
      <c r="W23" s="548"/>
      <c r="Y23" s="544" t="s">
        <v>1674</v>
      </c>
      <c r="AA23" s="544" t="s">
        <v>1674</v>
      </c>
      <c r="AB23" s="542">
        <v>3</v>
      </c>
      <c r="AE23" s="551"/>
      <c r="AF23" s="544" t="s">
        <v>1674</v>
      </c>
      <c r="AG23" s="544" t="s">
        <v>1674</v>
      </c>
      <c r="AH23" s="544" t="s">
        <v>1674</v>
      </c>
      <c r="AI23" s="544" t="s">
        <v>1674</v>
      </c>
      <c r="AJ23" s="544" t="s">
        <v>1674</v>
      </c>
      <c r="AK23" s="544" t="s">
        <v>1674</v>
      </c>
      <c r="AL23" s="544" t="s">
        <v>1674</v>
      </c>
      <c r="AM23" s="544" t="s">
        <v>1674</v>
      </c>
      <c r="AN23" s="544" t="s">
        <v>1674</v>
      </c>
      <c r="AP23" s="542">
        <f t="shared" si="1"/>
        <v>-25</v>
      </c>
      <c r="AR23" s="593">
        <f t="shared" si="0"/>
        <v>1435.87</v>
      </c>
    </row>
    <row r="24" spans="1:44" outlineLevel="1" x14ac:dyDescent="0.25">
      <c r="A24" s="544" t="s">
        <v>1674</v>
      </c>
      <c r="B24" s="545">
        <v>81908</v>
      </c>
      <c r="C24" s="544" t="s">
        <v>4004</v>
      </c>
      <c r="D24" s="544" t="s">
        <v>4263</v>
      </c>
      <c r="E24" s="542" t="s">
        <v>3615</v>
      </c>
      <c r="F24" s="542" t="s">
        <v>3616</v>
      </c>
      <c r="G24" s="546"/>
      <c r="H24" s="546">
        <v>10773</v>
      </c>
      <c r="I24" s="546">
        <v>10773</v>
      </c>
      <c r="J24" s="542" t="s">
        <v>2584</v>
      </c>
      <c r="K24" s="547">
        <v>3425</v>
      </c>
      <c r="L24" s="542" t="s">
        <v>806</v>
      </c>
      <c r="M24" s="548"/>
      <c r="N24" s="549">
        <v>-86</v>
      </c>
      <c r="O24" s="544" t="s">
        <v>1674</v>
      </c>
      <c r="P24" s="544" t="s">
        <v>1674</v>
      </c>
      <c r="Q24" s="544" t="s">
        <v>4006</v>
      </c>
      <c r="R24" s="544" t="s">
        <v>1674</v>
      </c>
      <c r="S24" s="544" t="s">
        <v>1674</v>
      </c>
      <c r="T24" s="550">
        <v>19</v>
      </c>
      <c r="U24" s="544" t="s">
        <v>3323</v>
      </c>
      <c r="V24" s="547">
        <v>303</v>
      </c>
      <c r="W24" s="548"/>
      <c r="Y24" s="544" t="s">
        <v>1674</v>
      </c>
      <c r="AA24" s="544" t="s">
        <v>1674</v>
      </c>
      <c r="AB24" s="542">
        <v>3</v>
      </c>
      <c r="AE24" s="551"/>
      <c r="AF24" s="544" t="s">
        <v>1674</v>
      </c>
      <c r="AG24" s="544" t="s">
        <v>1674</v>
      </c>
      <c r="AH24" s="544" t="s">
        <v>1674</v>
      </c>
      <c r="AI24" s="544" t="s">
        <v>1674</v>
      </c>
      <c r="AJ24" s="544" t="s">
        <v>1674</v>
      </c>
      <c r="AK24" s="544" t="s">
        <v>1674</v>
      </c>
      <c r="AL24" s="544" t="s">
        <v>1674</v>
      </c>
      <c r="AM24" s="544" t="s">
        <v>4007</v>
      </c>
      <c r="AN24" s="544" t="s">
        <v>1674</v>
      </c>
      <c r="AP24" s="542">
        <f t="shared" si="1"/>
        <v>-25</v>
      </c>
      <c r="AR24" s="593">
        <f t="shared" si="0"/>
        <v>10773</v>
      </c>
    </row>
    <row r="25" spans="1:44" outlineLevel="1" x14ac:dyDescent="0.25">
      <c r="A25" s="544" t="s">
        <v>1674</v>
      </c>
      <c r="B25" s="545">
        <v>70600</v>
      </c>
      <c r="C25" s="544" t="s">
        <v>2946</v>
      </c>
      <c r="D25" s="544" t="s">
        <v>4264</v>
      </c>
      <c r="E25" s="542" t="s">
        <v>3622</v>
      </c>
      <c r="F25" s="542" t="s">
        <v>3623</v>
      </c>
      <c r="G25" s="546"/>
      <c r="H25" s="546">
        <v>351.05</v>
      </c>
      <c r="I25" s="546">
        <v>351.05</v>
      </c>
      <c r="J25" s="542" t="s">
        <v>2584</v>
      </c>
      <c r="K25" s="547">
        <v>4730</v>
      </c>
      <c r="L25" s="542" t="s">
        <v>806</v>
      </c>
      <c r="M25" s="548"/>
      <c r="N25" s="549">
        <v>-84</v>
      </c>
      <c r="O25" s="544" t="s">
        <v>1674</v>
      </c>
      <c r="P25" s="544" t="s">
        <v>1674</v>
      </c>
      <c r="Q25" s="544" t="s">
        <v>4265</v>
      </c>
      <c r="R25" s="544" t="s">
        <v>1674</v>
      </c>
      <c r="S25" s="544" t="s">
        <v>1674</v>
      </c>
      <c r="T25" s="550">
        <v>19</v>
      </c>
      <c r="U25" s="544" t="s">
        <v>3328</v>
      </c>
      <c r="V25" s="547">
        <v>5</v>
      </c>
      <c r="W25" s="548"/>
      <c r="Y25" s="544" t="s">
        <v>1674</v>
      </c>
      <c r="AA25" s="544" t="s">
        <v>1674</v>
      </c>
      <c r="AB25" s="542">
        <v>3</v>
      </c>
      <c r="AE25" s="551"/>
      <c r="AF25" s="544" t="s">
        <v>1674</v>
      </c>
      <c r="AG25" s="544" t="s">
        <v>1674</v>
      </c>
      <c r="AH25" s="544" t="s">
        <v>1674</v>
      </c>
      <c r="AI25" s="544" t="s">
        <v>1674</v>
      </c>
      <c r="AJ25" s="544" t="s">
        <v>1674</v>
      </c>
      <c r="AK25" s="544" t="s">
        <v>1674</v>
      </c>
      <c r="AL25" s="544" t="s">
        <v>1674</v>
      </c>
      <c r="AM25" s="544" t="s">
        <v>2946</v>
      </c>
      <c r="AN25" s="544" t="s">
        <v>1674</v>
      </c>
      <c r="AP25" s="542">
        <f t="shared" si="1"/>
        <v>-23</v>
      </c>
      <c r="AR25" s="593">
        <f t="shared" si="0"/>
        <v>351.05</v>
      </c>
    </row>
    <row r="26" spans="1:44" outlineLevel="1" x14ac:dyDescent="0.25">
      <c r="A26" s="544" t="s">
        <v>1674</v>
      </c>
      <c r="B26" s="545">
        <v>80201</v>
      </c>
      <c r="C26" s="544" t="s">
        <v>4266</v>
      </c>
      <c r="D26" s="544" t="s">
        <v>4267</v>
      </c>
      <c r="E26" s="542" t="s">
        <v>3656</v>
      </c>
      <c r="G26" s="546">
        <v>64.23</v>
      </c>
      <c r="H26" s="546"/>
      <c r="I26" s="546">
        <v>64.23</v>
      </c>
      <c r="J26" s="542" t="s">
        <v>2701</v>
      </c>
      <c r="K26" s="547">
        <v>3425</v>
      </c>
      <c r="L26" s="542" t="s">
        <v>806</v>
      </c>
      <c r="M26" s="548"/>
      <c r="N26" s="549"/>
      <c r="O26" s="544" t="s">
        <v>1674</v>
      </c>
      <c r="P26" s="544" t="s">
        <v>1674</v>
      </c>
      <c r="Q26" s="544" t="s">
        <v>4268</v>
      </c>
      <c r="R26" s="544" t="s">
        <v>1674</v>
      </c>
      <c r="S26" s="544" t="s">
        <v>1674</v>
      </c>
      <c r="T26" s="550">
        <v>19</v>
      </c>
      <c r="U26" s="544" t="s">
        <v>3323</v>
      </c>
      <c r="V26" s="547">
        <v>1314</v>
      </c>
      <c r="W26" s="548"/>
      <c r="Y26" s="544" t="s">
        <v>1674</v>
      </c>
      <c r="AA26" s="544" t="s">
        <v>1674</v>
      </c>
      <c r="AE26" s="551"/>
      <c r="AF26" s="544" t="s">
        <v>1674</v>
      </c>
      <c r="AG26" s="544" t="s">
        <v>1674</v>
      </c>
      <c r="AH26" s="544" t="s">
        <v>1674</v>
      </c>
      <c r="AI26" s="544" t="s">
        <v>1674</v>
      </c>
      <c r="AJ26" s="544" t="s">
        <v>1674</v>
      </c>
      <c r="AK26" s="544" t="s">
        <v>1674</v>
      </c>
      <c r="AL26" s="544" t="s">
        <v>1674</v>
      </c>
      <c r="AM26" s="544" t="s">
        <v>4269</v>
      </c>
      <c r="AN26" s="544" t="s">
        <v>1674</v>
      </c>
      <c r="AP26" s="542">
        <f t="shared" si="1"/>
        <v>0</v>
      </c>
      <c r="AR26" s="593">
        <f t="shared" si="0"/>
        <v>-64.23</v>
      </c>
    </row>
    <row r="27" spans="1:44" outlineLevel="1" x14ac:dyDescent="0.25">
      <c r="A27" s="544" t="s">
        <v>1674</v>
      </c>
      <c r="B27" s="545">
        <v>72200</v>
      </c>
      <c r="C27" s="544" t="s">
        <v>3260</v>
      </c>
      <c r="D27" s="544" t="s">
        <v>4270</v>
      </c>
      <c r="E27" s="542" t="s">
        <v>3673</v>
      </c>
      <c r="F27" s="542" t="s">
        <v>3674</v>
      </c>
      <c r="G27" s="546"/>
      <c r="H27" s="546">
        <v>125.77</v>
      </c>
      <c r="I27" s="546"/>
      <c r="J27" s="542" t="s">
        <v>806</v>
      </c>
      <c r="K27" s="547">
        <v>1588</v>
      </c>
      <c r="L27" s="542" t="s">
        <v>806</v>
      </c>
      <c r="M27" s="548"/>
      <c r="N27" s="549">
        <v>-58</v>
      </c>
      <c r="O27" s="544" t="s">
        <v>1674</v>
      </c>
      <c r="P27" s="544" t="s">
        <v>1674</v>
      </c>
      <c r="Q27" s="544" t="s">
        <v>4040</v>
      </c>
      <c r="R27" s="544" t="s">
        <v>1674</v>
      </c>
      <c r="S27" s="544" t="s">
        <v>1674</v>
      </c>
      <c r="T27" s="550"/>
      <c r="U27" s="544" t="s">
        <v>3328</v>
      </c>
      <c r="V27" s="547">
        <v>208</v>
      </c>
      <c r="W27" s="548"/>
      <c r="Y27" s="544" t="s">
        <v>1674</v>
      </c>
      <c r="AA27" s="544" t="s">
        <v>1674</v>
      </c>
      <c r="AB27" s="542">
        <v>3</v>
      </c>
      <c r="AE27" s="551"/>
      <c r="AF27" s="544" t="s">
        <v>1674</v>
      </c>
      <c r="AG27" s="544" t="s">
        <v>1674</v>
      </c>
      <c r="AH27" s="544" t="s">
        <v>1674</v>
      </c>
      <c r="AI27" s="544" t="s">
        <v>1674</v>
      </c>
      <c r="AJ27" s="544" t="s">
        <v>1674</v>
      </c>
      <c r="AK27" s="544" t="s">
        <v>1674</v>
      </c>
      <c r="AL27" s="544" t="s">
        <v>1674</v>
      </c>
      <c r="AM27" s="544" t="s">
        <v>3260</v>
      </c>
      <c r="AN27" s="544" t="s">
        <v>1674</v>
      </c>
      <c r="AP27" s="542">
        <f t="shared" si="1"/>
        <v>3</v>
      </c>
      <c r="AR27" s="593">
        <f t="shared" si="0"/>
        <v>0</v>
      </c>
    </row>
    <row r="28" spans="1:44" outlineLevel="1" x14ac:dyDescent="0.25">
      <c r="A28" s="544" t="s">
        <v>1674</v>
      </c>
      <c r="B28" s="545">
        <v>0</v>
      </c>
      <c r="C28" s="544" t="s">
        <v>1674</v>
      </c>
      <c r="D28" s="544" t="s">
        <v>4270</v>
      </c>
      <c r="E28" s="542" t="s">
        <v>3673</v>
      </c>
      <c r="F28" s="542" t="s">
        <v>3674</v>
      </c>
      <c r="G28" s="546"/>
      <c r="H28" s="546">
        <v>17.850000000000001</v>
      </c>
      <c r="I28" s="546">
        <v>143.62</v>
      </c>
      <c r="J28" s="542" t="s">
        <v>2584</v>
      </c>
      <c r="K28" s="547">
        <v>4730</v>
      </c>
      <c r="L28" s="542" t="s">
        <v>806</v>
      </c>
      <c r="M28" s="548"/>
      <c r="N28" s="549">
        <v>-58</v>
      </c>
      <c r="O28" s="544" t="s">
        <v>1674</v>
      </c>
      <c r="P28" s="544" t="s">
        <v>1674</v>
      </c>
      <c r="Q28" s="544" t="s">
        <v>4040</v>
      </c>
      <c r="R28" s="544" t="s">
        <v>1674</v>
      </c>
      <c r="S28" s="544" t="s">
        <v>1674</v>
      </c>
      <c r="T28" s="550">
        <v>19</v>
      </c>
      <c r="U28" s="544" t="s">
        <v>3328</v>
      </c>
      <c r="V28" s="547">
        <v>209</v>
      </c>
      <c r="W28" s="548"/>
      <c r="Y28" s="544" t="s">
        <v>1674</v>
      </c>
      <c r="AA28" s="544" t="s">
        <v>1674</v>
      </c>
      <c r="AB28" s="542">
        <v>3</v>
      </c>
      <c r="AE28" s="551"/>
      <c r="AF28" s="544" t="s">
        <v>1674</v>
      </c>
      <c r="AG28" s="544" t="s">
        <v>1674</v>
      </c>
      <c r="AH28" s="544" t="s">
        <v>1674</v>
      </c>
      <c r="AI28" s="544" t="s">
        <v>1674</v>
      </c>
      <c r="AJ28" s="544" t="s">
        <v>1674</v>
      </c>
      <c r="AK28" s="544" t="s">
        <v>1674</v>
      </c>
      <c r="AL28" s="544" t="s">
        <v>1674</v>
      </c>
      <c r="AM28" s="544" t="s">
        <v>1674</v>
      </c>
      <c r="AN28" s="544" t="s">
        <v>1674</v>
      </c>
      <c r="AP28" s="542">
        <f t="shared" si="1"/>
        <v>3</v>
      </c>
      <c r="AR28" s="593">
        <f t="shared" si="0"/>
        <v>143.62</v>
      </c>
    </row>
    <row r="29" spans="1:44" outlineLevel="1" x14ac:dyDescent="0.25">
      <c r="A29" s="544" t="s">
        <v>1674</v>
      </c>
      <c r="B29" s="545">
        <v>80107</v>
      </c>
      <c r="C29" s="544" t="s">
        <v>4020</v>
      </c>
      <c r="D29" s="544" t="s">
        <v>4271</v>
      </c>
      <c r="E29" s="542" t="s">
        <v>3673</v>
      </c>
      <c r="F29" s="542" t="s">
        <v>3674</v>
      </c>
      <c r="G29" s="546"/>
      <c r="H29" s="546">
        <v>16.23</v>
      </c>
      <c r="I29" s="546">
        <v>16.23</v>
      </c>
      <c r="J29" s="542" t="s">
        <v>2584</v>
      </c>
      <c r="K29" s="547">
        <v>4980</v>
      </c>
      <c r="L29" s="542" t="s">
        <v>806</v>
      </c>
      <c r="M29" s="548"/>
      <c r="N29" s="549">
        <v>-58</v>
      </c>
      <c r="O29" s="544" t="s">
        <v>1674</v>
      </c>
      <c r="P29" s="544" t="s">
        <v>1674</v>
      </c>
      <c r="Q29" s="544" t="s">
        <v>4020</v>
      </c>
      <c r="R29" s="544" t="s">
        <v>1674</v>
      </c>
      <c r="S29" s="544" t="s">
        <v>1674</v>
      </c>
      <c r="T29" s="550"/>
      <c r="U29" s="544" t="s">
        <v>3328</v>
      </c>
      <c r="V29" s="547">
        <v>205</v>
      </c>
      <c r="W29" s="548"/>
      <c r="Y29" s="544" t="s">
        <v>1674</v>
      </c>
      <c r="AA29" s="544" t="s">
        <v>1674</v>
      </c>
      <c r="AB29" s="542">
        <v>3</v>
      </c>
      <c r="AE29" s="551"/>
      <c r="AF29" s="544" t="s">
        <v>1674</v>
      </c>
      <c r="AG29" s="544" t="s">
        <v>1674</v>
      </c>
      <c r="AH29" s="544" t="s">
        <v>1674</v>
      </c>
      <c r="AI29" s="544" t="s">
        <v>1674</v>
      </c>
      <c r="AJ29" s="544" t="s">
        <v>1674</v>
      </c>
      <c r="AK29" s="544" t="s">
        <v>1674</v>
      </c>
      <c r="AL29" s="544" t="s">
        <v>1674</v>
      </c>
      <c r="AM29" s="544" t="s">
        <v>4023</v>
      </c>
      <c r="AN29" s="544" t="s">
        <v>1674</v>
      </c>
      <c r="AP29" s="542">
        <f t="shared" si="1"/>
        <v>3</v>
      </c>
      <c r="AR29" s="593">
        <f t="shared" si="0"/>
        <v>16.23</v>
      </c>
    </row>
    <row r="30" spans="1:44" outlineLevel="1" x14ac:dyDescent="0.25">
      <c r="A30" s="544" t="s">
        <v>1674</v>
      </c>
      <c r="B30" s="545">
        <v>0</v>
      </c>
      <c r="C30" s="544" t="s">
        <v>1674</v>
      </c>
      <c r="D30" s="544" t="s">
        <v>4272</v>
      </c>
      <c r="E30" s="542" t="s">
        <v>3673</v>
      </c>
      <c r="F30" s="542" t="s">
        <v>3674</v>
      </c>
      <c r="G30" s="546"/>
      <c r="H30" s="546">
        <v>14.51</v>
      </c>
      <c r="I30" s="546">
        <v>14.51</v>
      </c>
      <c r="J30" s="542" t="s">
        <v>2584</v>
      </c>
      <c r="K30" s="547">
        <v>4980</v>
      </c>
      <c r="L30" s="542" t="s">
        <v>806</v>
      </c>
      <c r="M30" s="548"/>
      <c r="N30" s="549">
        <v>-58</v>
      </c>
      <c r="O30" s="544" t="s">
        <v>1674</v>
      </c>
      <c r="P30" s="544" t="s">
        <v>1674</v>
      </c>
      <c r="Q30" s="544" t="s">
        <v>4020</v>
      </c>
      <c r="R30" s="544" t="s">
        <v>1674</v>
      </c>
      <c r="S30" s="544" t="s">
        <v>1674</v>
      </c>
      <c r="T30" s="550"/>
      <c r="U30" s="544" t="s">
        <v>3328</v>
      </c>
      <c r="V30" s="547">
        <v>204</v>
      </c>
      <c r="W30" s="548"/>
      <c r="Y30" s="544" t="s">
        <v>1674</v>
      </c>
      <c r="AA30" s="544" t="s">
        <v>1674</v>
      </c>
      <c r="AB30" s="542">
        <v>3</v>
      </c>
      <c r="AE30" s="551"/>
      <c r="AF30" s="544" t="s">
        <v>1674</v>
      </c>
      <c r="AG30" s="544" t="s">
        <v>1674</v>
      </c>
      <c r="AH30" s="544" t="s">
        <v>1674</v>
      </c>
      <c r="AI30" s="544" t="s">
        <v>1674</v>
      </c>
      <c r="AJ30" s="544" t="s">
        <v>1674</v>
      </c>
      <c r="AK30" s="544" t="s">
        <v>1674</v>
      </c>
      <c r="AL30" s="544" t="s">
        <v>1674</v>
      </c>
      <c r="AM30" s="544" t="s">
        <v>1674</v>
      </c>
      <c r="AN30" s="544" t="s">
        <v>1674</v>
      </c>
      <c r="AP30" s="542">
        <f t="shared" si="1"/>
        <v>3</v>
      </c>
      <c r="AR30" s="593">
        <f t="shared" si="0"/>
        <v>14.51</v>
      </c>
    </row>
    <row r="31" spans="1:44" outlineLevel="1" x14ac:dyDescent="0.25">
      <c r="A31" s="544" t="s">
        <v>1674</v>
      </c>
      <c r="B31" s="545">
        <v>80906</v>
      </c>
      <c r="C31" s="544" t="s">
        <v>4273</v>
      </c>
      <c r="D31" s="544" t="s">
        <v>4274</v>
      </c>
      <c r="E31" s="542" t="s">
        <v>3673</v>
      </c>
      <c r="F31" s="542" t="s">
        <v>3674</v>
      </c>
      <c r="G31" s="546"/>
      <c r="H31" s="546">
        <v>111237</v>
      </c>
      <c r="I31" s="546">
        <v>111237</v>
      </c>
      <c r="J31" s="542" t="s">
        <v>2584</v>
      </c>
      <c r="K31" s="547">
        <v>3425</v>
      </c>
      <c r="L31" s="542" t="s">
        <v>806</v>
      </c>
      <c r="M31" s="548"/>
      <c r="N31" s="549">
        <v>-58</v>
      </c>
      <c r="O31" s="544" t="s">
        <v>1674</v>
      </c>
      <c r="P31" s="544" t="s">
        <v>1674</v>
      </c>
      <c r="Q31" s="544" t="s">
        <v>4275</v>
      </c>
      <c r="R31" s="544" t="s">
        <v>1674</v>
      </c>
      <c r="S31" s="544" t="s">
        <v>1674</v>
      </c>
      <c r="T31" s="550">
        <v>19</v>
      </c>
      <c r="U31" s="544" t="s">
        <v>3328</v>
      </c>
      <c r="V31" s="547">
        <v>210</v>
      </c>
      <c r="W31" s="548"/>
      <c r="Y31" s="544" t="s">
        <v>1674</v>
      </c>
      <c r="AA31" s="544" t="s">
        <v>1674</v>
      </c>
      <c r="AB31" s="542">
        <v>3</v>
      </c>
      <c r="AE31" s="551"/>
      <c r="AF31" s="544" t="s">
        <v>1674</v>
      </c>
      <c r="AG31" s="544" t="s">
        <v>1674</v>
      </c>
      <c r="AH31" s="544" t="s">
        <v>1674</v>
      </c>
      <c r="AI31" s="544" t="s">
        <v>1674</v>
      </c>
      <c r="AJ31" s="544" t="s">
        <v>1674</v>
      </c>
      <c r="AK31" s="544" t="s">
        <v>1674</v>
      </c>
      <c r="AL31" s="544" t="s">
        <v>1674</v>
      </c>
      <c r="AM31" s="544" t="s">
        <v>4276</v>
      </c>
      <c r="AN31" s="544" t="s">
        <v>1674</v>
      </c>
      <c r="AP31" s="542">
        <f t="shared" si="1"/>
        <v>3</v>
      </c>
      <c r="AR31" s="593">
        <f t="shared" si="0"/>
        <v>111237</v>
      </c>
    </row>
    <row r="32" spans="1:44" outlineLevel="1" x14ac:dyDescent="0.25">
      <c r="A32" s="544" t="s">
        <v>1674</v>
      </c>
      <c r="B32" s="545">
        <v>70100</v>
      </c>
      <c r="C32" s="544" t="s">
        <v>2864</v>
      </c>
      <c r="D32" s="544" t="s">
        <v>4277</v>
      </c>
      <c r="E32" s="542" t="s">
        <v>3616</v>
      </c>
      <c r="F32" s="542" t="s">
        <v>3680</v>
      </c>
      <c r="G32" s="546"/>
      <c r="H32" s="546">
        <v>19.97</v>
      </c>
      <c r="I32" s="546">
        <v>19.97</v>
      </c>
      <c r="J32" s="542" t="s">
        <v>2584</v>
      </c>
      <c r="K32" s="547">
        <v>4980</v>
      </c>
      <c r="L32" s="542" t="s">
        <v>806</v>
      </c>
      <c r="M32" s="548"/>
      <c r="N32" s="549">
        <v>-56</v>
      </c>
      <c r="O32" s="544" t="s">
        <v>1674</v>
      </c>
      <c r="P32" s="544" t="s">
        <v>1674</v>
      </c>
      <c r="Q32" s="544" t="s">
        <v>4027</v>
      </c>
      <c r="R32" s="544" t="s">
        <v>1674</v>
      </c>
      <c r="S32" s="544" t="s">
        <v>1674</v>
      </c>
      <c r="T32" s="550">
        <v>19</v>
      </c>
      <c r="U32" s="544" t="s">
        <v>3328</v>
      </c>
      <c r="V32" s="547">
        <v>387</v>
      </c>
      <c r="W32" s="548"/>
      <c r="Y32" s="544" t="s">
        <v>1674</v>
      </c>
      <c r="AA32" s="544" t="s">
        <v>1674</v>
      </c>
      <c r="AB32" s="542">
        <v>3</v>
      </c>
      <c r="AE32" s="551"/>
      <c r="AF32" s="544" t="s">
        <v>1674</v>
      </c>
      <c r="AG32" s="544" t="s">
        <v>1674</v>
      </c>
      <c r="AH32" s="544" t="s">
        <v>1674</v>
      </c>
      <c r="AI32" s="544" t="s">
        <v>1674</v>
      </c>
      <c r="AJ32" s="544" t="s">
        <v>1674</v>
      </c>
      <c r="AK32" s="544" t="s">
        <v>1674</v>
      </c>
      <c r="AL32" s="544" t="s">
        <v>1674</v>
      </c>
      <c r="AM32" s="544" t="s">
        <v>2864</v>
      </c>
      <c r="AN32" s="544" t="s">
        <v>1674</v>
      </c>
      <c r="AP32" s="542">
        <f t="shared" si="1"/>
        <v>5</v>
      </c>
      <c r="AR32" s="593">
        <f t="shared" si="0"/>
        <v>19.97</v>
      </c>
    </row>
    <row r="33" spans="1:44" outlineLevel="1" x14ac:dyDescent="0.25">
      <c r="A33" s="544" t="s">
        <v>1674</v>
      </c>
      <c r="B33" s="545">
        <v>71900</v>
      </c>
      <c r="C33" s="544" t="s">
        <v>2854</v>
      </c>
      <c r="D33" s="544" t="s">
        <v>4278</v>
      </c>
      <c r="E33" s="542" t="s">
        <v>3693</v>
      </c>
      <c r="G33" s="546">
        <v>2362.88</v>
      </c>
      <c r="H33" s="546"/>
      <c r="I33" s="546">
        <v>2362.88</v>
      </c>
      <c r="J33" s="542" t="s">
        <v>2701</v>
      </c>
      <c r="K33" s="547">
        <v>2700</v>
      </c>
      <c r="L33" s="542" t="s">
        <v>806</v>
      </c>
      <c r="M33" s="548"/>
      <c r="N33" s="549"/>
      <c r="O33" s="544" t="s">
        <v>1674</v>
      </c>
      <c r="P33" s="544" t="s">
        <v>1674</v>
      </c>
      <c r="Q33" s="544" t="s">
        <v>4279</v>
      </c>
      <c r="R33" s="544" t="s">
        <v>1674</v>
      </c>
      <c r="S33" s="544" t="s">
        <v>1674</v>
      </c>
      <c r="T33" s="550"/>
      <c r="U33" s="544" t="s">
        <v>3328</v>
      </c>
      <c r="V33" s="547">
        <v>488</v>
      </c>
      <c r="W33" s="548"/>
      <c r="Y33" s="544" t="s">
        <v>1674</v>
      </c>
      <c r="AA33" s="544" t="s">
        <v>1674</v>
      </c>
      <c r="AE33" s="551"/>
      <c r="AF33" s="544" t="s">
        <v>1674</v>
      </c>
      <c r="AG33" s="544" t="s">
        <v>1674</v>
      </c>
      <c r="AH33" s="544" t="s">
        <v>1674</v>
      </c>
      <c r="AI33" s="544" t="s">
        <v>1674</v>
      </c>
      <c r="AJ33" s="544" t="s">
        <v>1674</v>
      </c>
      <c r="AK33" s="544" t="s">
        <v>1674</v>
      </c>
      <c r="AL33" s="544" t="s">
        <v>1674</v>
      </c>
      <c r="AM33" s="544" t="s">
        <v>2854</v>
      </c>
      <c r="AN33" s="544" t="s">
        <v>1674</v>
      </c>
      <c r="AP33" s="542">
        <f t="shared" si="1"/>
        <v>0</v>
      </c>
      <c r="AR33" s="593">
        <f t="shared" si="0"/>
        <v>-2362.88</v>
      </c>
    </row>
    <row r="34" spans="1:44" outlineLevel="1" x14ac:dyDescent="0.25">
      <c r="A34" s="544" t="s">
        <v>1674</v>
      </c>
      <c r="B34" s="545">
        <v>72200</v>
      </c>
      <c r="C34" s="544" t="s">
        <v>3260</v>
      </c>
      <c r="D34" s="544" t="s">
        <v>4280</v>
      </c>
      <c r="E34" s="542" t="s">
        <v>3693</v>
      </c>
      <c r="F34" s="542" t="s">
        <v>3694</v>
      </c>
      <c r="G34" s="546"/>
      <c r="H34" s="546">
        <v>251.21</v>
      </c>
      <c r="I34" s="546">
        <v>251.21</v>
      </c>
      <c r="J34" s="542" t="s">
        <v>2584</v>
      </c>
      <c r="K34" s="547">
        <v>4730</v>
      </c>
      <c r="L34" s="542" t="s">
        <v>806</v>
      </c>
      <c r="M34" s="548"/>
      <c r="N34" s="549">
        <v>-53</v>
      </c>
      <c r="O34" s="544" t="s">
        <v>1674</v>
      </c>
      <c r="P34" s="544" t="s">
        <v>1674</v>
      </c>
      <c r="Q34" s="544" t="s">
        <v>4040</v>
      </c>
      <c r="R34" s="544" t="s">
        <v>1674</v>
      </c>
      <c r="S34" s="544" t="s">
        <v>1674</v>
      </c>
      <c r="T34" s="550"/>
      <c r="U34" s="544" t="s">
        <v>3328</v>
      </c>
      <c r="V34" s="547">
        <v>485</v>
      </c>
      <c r="W34" s="548"/>
      <c r="Y34" s="544" t="s">
        <v>1674</v>
      </c>
      <c r="AA34" s="544" t="s">
        <v>1674</v>
      </c>
      <c r="AB34" s="542">
        <v>3</v>
      </c>
      <c r="AE34" s="551"/>
      <c r="AF34" s="544" t="s">
        <v>1674</v>
      </c>
      <c r="AG34" s="544" t="s">
        <v>1674</v>
      </c>
      <c r="AH34" s="544" t="s">
        <v>1674</v>
      </c>
      <c r="AI34" s="544" t="s">
        <v>1674</v>
      </c>
      <c r="AJ34" s="544" t="s">
        <v>1674</v>
      </c>
      <c r="AK34" s="544" t="s">
        <v>1674</v>
      </c>
      <c r="AL34" s="544" t="s">
        <v>1674</v>
      </c>
      <c r="AM34" s="544" t="s">
        <v>3260</v>
      </c>
      <c r="AN34" s="544" t="s">
        <v>1674</v>
      </c>
      <c r="AP34" s="542">
        <f t="shared" si="1"/>
        <v>8</v>
      </c>
      <c r="AR34" s="593">
        <f t="shared" si="0"/>
        <v>251.21</v>
      </c>
    </row>
    <row r="35" spans="1:44" outlineLevel="1" x14ac:dyDescent="0.25">
      <c r="A35" s="544" t="s">
        <v>1674</v>
      </c>
      <c r="B35" s="545">
        <v>80803</v>
      </c>
      <c r="C35" s="544" t="s">
        <v>4281</v>
      </c>
      <c r="D35" s="544" t="s">
        <v>4282</v>
      </c>
      <c r="E35" s="542" t="s">
        <v>3693</v>
      </c>
      <c r="F35" s="542" t="s">
        <v>4283</v>
      </c>
      <c r="G35" s="546"/>
      <c r="H35" s="546">
        <v>1332</v>
      </c>
      <c r="I35" s="546">
        <v>1332</v>
      </c>
      <c r="J35" s="542" t="s">
        <v>2584</v>
      </c>
      <c r="K35" s="547">
        <v>3425</v>
      </c>
      <c r="L35" s="542" t="s">
        <v>806</v>
      </c>
      <c r="M35" s="548"/>
      <c r="N35" s="549">
        <v>-23</v>
      </c>
      <c r="O35" s="544" t="s">
        <v>1674</v>
      </c>
      <c r="P35" s="544" t="s">
        <v>1674</v>
      </c>
      <c r="Q35" s="544" t="s">
        <v>4284</v>
      </c>
      <c r="R35" s="544" t="s">
        <v>1674</v>
      </c>
      <c r="S35" s="544" t="s">
        <v>1674</v>
      </c>
      <c r="T35" s="550">
        <v>19</v>
      </c>
      <c r="U35" s="544" t="s">
        <v>3328</v>
      </c>
      <c r="V35" s="547">
        <v>484</v>
      </c>
      <c r="W35" s="548"/>
      <c r="Y35" s="544" t="s">
        <v>1674</v>
      </c>
      <c r="AA35" s="544" t="s">
        <v>1674</v>
      </c>
      <c r="AB35" s="542">
        <v>3</v>
      </c>
      <c r="AE35" s="551"/>
      <c r="AF35" s="544" t="s">
        <v>1674</v>
      </c>
      <c r="AG35" s="544" t="s">
        <v>1674</v>
      </c>
      <c r="AH35" s="544" t="s">
        <v>1674</v>
      </c>
      <c r="AI35" s="544" t="s">
        <v>1674</v>
      </c>
      <c r="AJ35" s="544" t="s">
        <v>1674</v>
      </c>
      <c r="AK35" s="544" t="s">
        <v>1674</v>
      </c>
      <c r="AL35" s="544" t="s">
        <v>1674</v>
      </c>
      <c r="AM35" s="544" t="s">
        <v>4285</v>
      </c>
      <c r="AN35" s="544" t="s">
        <v>1674</v>
      </c>
      <c r="AP35" s="542">
        <f t="shared" si="1"/>
        <v>38</v>
      </c>
      <c r="AR35" s="593">
        <f t="shared" si="0"/>
        <v>1332</v>
      </c>
    </row>
    <row r="36" spans="1:44" outlineLevel="1" x14ac:dyDescent="0.25">
      <c r="A36" s="544" t="s">
        <v>1674</v>
      </c>
      <c r="B36" s="545">
        <v>70100</v>
      </c>
      <c r="C36" s="544" t="s">
        <v>2864</v>
      </c>
      <c r="D36" s="544" t="s">
        <v>4286</v>
      </c>
      <c r="E36" s="542" t="s">
        <v>3698</v>
      </c>
      <c r="F36" s="542" t="s">
        <v>3699</v>
      </c>
      <c r="G36" s="546"/>
      <c r="H36" s="546">
        <v>67.87</v>
      </c>
      <c r="I36" s="546">
        <v>67.87</v>
      </c>
      <c r="J36" s="542" t="s">
        <v>2584</v>
      </c>
      <c r="K36" s="547">
        <v>4980</v>
      </c>
      <c r="L36" s="542" t="s">
        <v>806</v>
      </c>
      <c r="M36" s="548"/>
      <c r="N36" s="549">
        <v>-52</v>
      </c>
      <c r="O36" s="544" t="s">
        <v>1674</v>
      </c>
      <c r="P36" s="544" t="s">
        <v>1674</v>
      </c>
      <c r="Q36" s="544" t="s">
        <v>4027</v>
      </c>
      <c r="R36" s="544" t="s">
        <v>1674</v>
      </c>
      <c r="S36" s="544" t="s">
        <v>1674</v>
      </c>
      <c r="T36" s="550">
        <v>19</v>
      </c>
      <c r="U36" s="544" t="s">
        <v>3328</v>
      </c>
      <c r="V36" s="547">
        <v>542</v>
      </c>
      <c r="W36" s="548"/>
      <c r="Y36" s="544" t="s">
        <v>1674</v>
      </c>
      <c r="AA36" s="544" t="s">
        <v>1674</v>
      </c>
      <c r="AB36" s="542">
        <v>3</v>
      </c>
      <c r="AE36" s="551"/>
      <c r="AF36" s="544" t="s">
        <v>1674</v>
      </c>
      <c r="AG36" s="544" t="s">
        <v>1674</v>
      </c>
      <c r="AH36" s="544" t="s">
        <v>1674</v>
      </c>
      <c r="AI36" s="544" t="s">
        <v>1674</v>
      </c>
      <c r="AJ36" s="544" t="s">
        <v>1674</v>
      </c>
      <c r="AK36" s="544" t="s">
        <v>1674</v>
      </c>
      <c r="AL36" s="544" t="s">
        <v>1674</v>
      </c>
      <c r="AM36" s="544" t="s">
        <v>2864</v>
      </c>
      <c r="AN36" s="544" t="s">
        <v>1674</v>
      </c>
      <c r="AP36" s="542">
        <f t="shared" si="1"/>
        <v>9</v>
      </c>
      <c r="AR36" s="593">
        <f t="shared" si="0"/>
        <v>67.87</v>
      </c>
    </row>
    <row r="37" spans="1:44" outlineLevel="1" x14ac:dyDescent="0.25">
      <c r="A37" s="544" t="s">
        <v>1674</v>
      </c>
      <c r="B37" s="545">
        <v>0</v>
      </c>
      <c r="C37" s="544" t="s">
        <v>1674</v>
      </c>
      <c r="D37" s="544" t="s">
        <v>4287</v>
      </c>
      <c r="E37" s="542" t="s">
        <v>3698</v>
      </c>
      <c r="F37" s="542" t="s">
        <v>3699</v>
      </c>
      <c r="G37" s="546"/>
      <c r="H37" s="546">
        <v>19.98</v>
      </c>
      <c r="I37" s="546">
        <v>19.98</v>
      </c>
      <c r="J37" s="542" t="s">
        <v>2584</v>
      </c>
      <c r="K37" s="547">
        <v>3400</v>
      </c>
      <c r="L37" s="542" t="s">
        <v>806</v>
      </c>
      <c r="M37" s="548"/>
      <c r="N37" s="549">
        <v>-52</v>
      </c>
      <c r="O37" s="544" t="s">
        <v>1674</v>
      </c>
      <c r="P37" s="544" t="s">
        <v>1674</v>
      </c>
      <c r="Q37" s="544" t="s">
        <v>4027</v>
      </c>
      <c r="R37" s="544" t="s">
        <v>1674</v>
      </c>
      <c r="S37" s="544" t="s">
        <v>1674</v>
      </c>
      <c r="T37" s="550">
        <v>19</v>
      </c>
      <c r="U37" s="544" t="s">
        <v>3328</v>
      </c>
      <c r="V37" s="547">
        <v>540</v>
      </c>
      <c r="W37" s="548"/>
      <c r="Y37" s="544" t="s">
        <v>1674</v>
      </c>
      <c r="AA37" s="544" t="s">
        <v>1674</v>
      </c>
      <c r="AB37" s="542">
        <v>3</v>
      </c>
      <c r="AE37" s="551"/>
      <c r="AF37" s="544" t="s">
        <v>1674</v>
      </c>
      <c r="AG37" s="544" t="s">
        <v>1674</v>
      </c>
      <c r="AH37" s="544" t="s">
        <v>1674</v>
      </c>
      <c r="AI37" s="544" t="s">
        <v>1674</v>
      </c>
      <c r="AJ37" s="544" t="s">
        <v>1674</v>
      </c>
      <c r="AK37" s="544" t="s">
        <v>1674</v>
      </c>
      <c r="AL37" s="544" t="s">
        <v>1674</v>
      </c>
      <c r="AM37" s="544" t="s">
        <v>1674</v>
      </c>
      <c r="AN37" s="544" t="s">
        <v>1674</v>
      </c>
      <c r="AP37" s="542">
        <f t="shared" si="1"/>
        <v>9</v>
      </c>
      <c r="AR37" s="593">
        <f t="shared" si="0"/>
        <v>19.98</v>
      </c>
    </row>
    <row r="38" spans="1:44" outlineLevel="1" x14ac:dyDescent="0.25">
      <c r="A38" s="544" t="s">
        <v>1674</v>
      </c>
      <c r="B38" s="545">
        <v>0</v>
      </c>
      <c r="C38" s="544" t="s">
        <v>1674</v>
      </c>
      <c r="D38" s="544" t="s">
        <v>4288</v>
      </c>
      <c r="E38" s="542" t="s">
        <v>3698</v>
      </c>
      <c r="F38" s="542" t="s">
        <v>3699</v>
      </c>
      <c r="G38" s="546"/>
      <c r="H38" s="546">
        <v>26.49</v>
      </c>
      <c r="I38" s="546">
        <v>26.49</v>
      </c>
      <c r="J38" s="542" t="s">
        <v>2584</v>
      </c>
      <c r="K38" s="547">
        <v>4980</v>
      </c>
      <c r="L38" s="542" t="s">
        <v>806</v>
      </c>
      <c r="M38" s="548"/>
      <c r="N38" s="549">
        <v>-52</v>
      </c>
      <c r="O38" s="544" t="s">
        <v>1674</v>
      </c>
      <c r="P38" s="544" t="s">
        <v>1674</v>
      </c>
      <c r="Q38" s="544" t="s">
        <v>4027</v>
      </c>
      <c r="R38" s="544" t="s">
        <v>1674</v>
      </c>
      <c r="S38" s="544" t="s">
        <v>1674</v>
      </c>
      <c r="T38" s="550">
        <v>19</v>
      </c>
      <c r="U38" s="544" t="s">
        <v>3328</v>
      </c>
      <c r="V38" s="547">
        <v>541</v>
      </c>
      <c r="W38" s="548"/>
      <c r="Y38" s="544" t="s">
        <v>1674</v>
      </c>
      <c r="AA38" s="544" t="s">
        <v>1674</v>
      </c>
      <c r="AB38" s="542">
        <v>3</v>
      </c>
      <c r="AE38" s="551"/>
      <c r="AF38" s="544" t="s">
        <v>1674</v>
      </c>
      <c r="AG38" s="544" t="s">
        <v>1674</v>
      </c>
      <c r="AH38" s="544" t="s">
        <v>1674</v>
      </c>
      <c r="AI38" s="544" t="s">
        <v>1674</v>
      </c>
      <c r="AJ38" s="544" t="s">
        <v>1674</v>
      </c>
      <c r="AK38" s="544" t="s">
        <v>1674</v>
      </c>
      <c r="AL38" s="544" t="s">
        <v>1674</v>
      </c>
      <c r="AM38" s="544" t="s">
        <v>1674</v>
      </c>
      <c r="AN38" s="544" t="s">
        <v>1674</v>
      </c>
      <c r="AP38" s="542">
        <f t="shared" si="1"/>
        <v>9</v>
      </c>
      <c r="AR38" s="593">
        <f t="shared" si="0"/>
        <v>26.49</v>
      </c>
    </row>
    <row r="39" spans="1:44" outlineLevel="1" x14ac:dyDescent="0.25">
      <c r="A39" s="544" t="s">
        <v>1674</v>
      </c>
      <c r="B39" s="545">
        <v>70300</v>
      </c>
      <c r="C39" s="544" t="s">
        <v>4135</v>
      </c>
      <c r="D39" s="544" t="s">
        <v>4289</v>
      </c>
      <c r="E39" s="542" t="s">
        <v>3698</v>
      </c>
      <c r="F39" s="542" t="s">
        <v>3699</v>
      </c>
      <c r="G39" s="546"/>
      <c r="H39" s="546">
        <v>1093.4000000000001</v>
      </c>
      <c r="I39" s="546">
        <v>1093.4000000000001</v>
      </c>
      <c r="J39" s="542" t="s">
        <v>2584</v>
      </c>
      <c r="K39" s="547">
        <v>4952</v>
      </c>
      <c r="L39" s="542" t="s">
        <v>806</v>
      </c>
      <c r="M39" s="548"/>
      <c r="N39" s="549">
        <v>-52</v>
      </c>
      <c r="O39" s="544" t="s">
        <v>1674</v>
      </c>
      <c r="P39" s="544" t="s">
        <v>1674</v>
      </c>
      <c r="Q39" s="544" t="s">
        <v>4290</v>
      </c>
      <c r="R39" s="544" t="s">
        <v>1674</v>
      </c>
      <c r="S39" s="544" t="s">
        <v>1674</v>
      </c>
      <c r="T39" s="550">
        <v>19</v>
      </c>
      <c r="U39" s="544" t="s">
        <v>3328</v>
      </c>
      <c r="V39" s="547">
        <v>547</v>
      </c>
      <c r="W39" s="548"/>
      <c r="Y39" s="544" t="s">
        <v>1674</v>
      </c>
      <c r="AA39" s="544" t="s">
        <v>1674</v>
      </c>
      <c r="AB39" s="542">
        <v>3</v>
      </c>
      <c r="AE39" s="551"/>
      <c r="AF39" s="544" t="s">
        <v>1674</v>
      </c>
      <c r="AG39" s="544" t="s">
        <v>1674</v>
      </c>
      <c r="AH39" s="544" t="s">
        <v>1674</v>
      </c>
      <c r="AI39" s="544" t="s">
        <v>1674</v>
      </c>
      <c r="AJ39" s="544" t="s">
        <v>1674</v>
      </c>
      <c r="AK39" s="544" t="s">
        <v>1674</v>
      </c>
      <c r="AL39" s="544" t="s">
        <v>1674</v>
      </c>
      <c r="AM39" s="544" t="s">
        <v>4135</v>
      </c>
      <c r="AN39" s="544" t="s">
        <v>1674</v>
      </c>
      <c r="AP39" s="542">
        <f t="shared" si="1"/>
        <v>9</v>
      </c>
      <c r="AR39" s="593">
        <f t="shared" si="0"/>
        <v>1093.4000000000001</v>
      </c>
    </row>
    <row r="40" spans="1:44" outlineLevel="1" x14ac:dyDescent="0.25">
      <c r="A40" s="544" t="s">
        <v>1674</v>
      </c>
      <c r="B40" s="545">
        <v>71300</v>
      </c>
      <c r="C40" s="544" t="s">
        <v>3550</v>
      </c>
      <c r="D40" s="544" t="s">
        <v>4291</v>
      </c>
      <c r="E40" s="542" t="s">
        <v>3698</v>
      </c>
      <c r="F40" s="542" t="s">
        <v>3699</v>
      </c>
      <c r="G40" s="546"/>
      <c r="H40" s="546">
        <v>1718.36</v>
      </c>
      <c r="I40" s="546"/>
      <c r="J40" s="542" t="s">
        <v>806</v>
      </c>
      <c r="K40" s="547">
        <v>3400</v>
      </c>
      <c r="L40" s="542" t="s">
        <v>806</v>
      </c>
      <c r="M40" s="548"/>
      <c r="N40" s="549">
        <v>-52</v>
      </c>
      <c r="O40" s="544" t="s">
        <v>1674</v>
      </c>
      <c r="P40" s="544" t="s">
        <v>1674</v>
      </c>
      <c r="Q40" s="544" t="s">
        <v>4054</v>
      </c>
      <c r="R40" s="544" t="s">
        <v>1674</v>
      </c>
      <c r="S40" s="544" t="s">
        <v>1674</v>
      </c>
      <c r="T40" s="550">
        <v>19</v>
      </c>
      <c r="U40" s="544" t="s">
        <v>3328</v>
      </c>
      <c r="V40" s="547">
        <v>535</v>
      </c>
      <c r="W40" s="548"/>
      <c r="Y40" s="544" t="s">
        <v>1674</v>
      </c>
      <c r="AA40" s="544" t="s">
        <v>1674</v>
      </c>
      <c r="AB40" s="542">
        <v>3</v>
      </c>
      <c r="AE40" s="551"/>
      <c r="AF40" s="544" t="s">
        <v>1674</v>
      </c>
      <c r="AG40" s="544" t="s">
        <v>1674</v>
      </c>
      <c r="AH40" s="544" t="s">
        <v>1674</v>
      </c>
      <c r="AI40" s="544" t="s">
        <v>1674</v>
      </c>
      <c r="AJ40" s="544" t="s">
        <v>1674</v>
      </c>
      <c r="AK40" s="544" t="s">
        <v>1674</v>
      </c>
      <c r="AL40" s="544" t="s">
        <v>1674</v>
      </c>
      <c r="AM40" s="544" t="s">
        <v>3550</v>
      </c>
      <c r="AN40" s="544" t="s">
        <v>1674</v>
      </c>
      <c r="AP40" s="542">
        <f t="shared" si="1"/>
        <v>9</v>
      </c>
      <c r="AR40" s="593">
        <f t="shared" si="0"/>
        <v>0</v>
      </c>
    </row>
    <row r="41" spans="1:44" outlineLevel="1" x14ac:dyDescent="0.25">
      <c r="A41" s="544" t="s">
        <v>1674</v>
      </c>
      <c r="B41" s="545">
        <v>0</v>
      </c>
      <c r="C41" s="544" t="s">
        <v>1674</v>
      </c>
      <c r="D41" s="544" t="s">
        <v>4291</v>
      </c>
      <c r="E41" s="542" t="s">
        <v>3698</v>
      </c>
      <c r="F41" s="542" t="s">
        <v>3699</v>
      </c>
      <c r="G41" s="546"/>
      <c r="H41" s="546">
        <v>12.14</v>
      </c>
      <c r="I41" s="546">
        <v>1730.5</v>
      </c>
      <c r="J41" s="542" t="s">
        <v>2584</v>
      </c>
      <c r="K41" s="547">
        <v>3800</v>
      </c>
      <c r="L41" s="542" t="s">
        <v>806</v>
      </c>
      <c r="M41" s="548"/>
      <c r="N41" s="549">
        <v>-52</v>
      </c>
      <c r="O41" s="544" t="s">
        <v>1674</v>
      </c>
      <c r="P41" s="544" t="s">
        <v>1674</v>
      </c>
      <c r="Q41" s="544" t="s">
        <v>4055</v>
      </c>
      <c r="R41" s="544" t="s">
        <v>1674</v>
      </c>
      <c r="S41" s="544" t="s">
        <v>1674</v>
      </c>
      <c r="T41" s="550">
        <v>19</v>
      </c>
      <c r="U41" s="544" t="s">
        <v>3328</v>
      </c>
      <c r="V41" s="547">
        <v>536</v>
      </c>
      <c r="W41" s="548"/>
      <c r="Y41" s="544" t="s">
        <v>1674</v>
      </c>
      <c r="AA41" s="544" t="s">
        <v>1674</v>
      </c>
      <c r="AB41" s="542">
        <v>3</v>
      </c>
      <c r="AE41" s="551"/>
      <c r="AF41" s="544" t="s">
        <v>1674</v>
      </c>
      <c r="AG41" s="544" t="s">
        <v>1674</v>
      </c>
      <c r="AH41" s="544" t="s">
        <v>1674</v>
      </c>
      <c r="AI41" s="544" t="s">
        <v>1674</v>
      </c>
      <c r="AJ41" s="544" t="s">
        <v>1674</v>
      </c>
      <c r="AK41" s="544" t="s">
        <v>1674</v>
      </c>
      <c r="AL41" s="544" t="s">
        <v>1674</v>
      </c>
      <c r="AM41" s="544" t="s">
        <v>1674</v>
      </c>
      <c r="AN41" s="544" t="s">
        <v>1674</v>
      </c>
      <c r="AP41" s="542">
        <f t="shared" si="1"/>
        <v>9</v>
      </c>
      <c r="AR41" s="593">
        <f t="shared" si="0"/>
        <v>1730.5</v>
      </c>
    </row>
    <row r="42" spans="1:44" outlineLevel="1" x14ac:dyDescent="0.25">
      <c r="A42" s="544" t="s">
        <v>1674</v>
      </c>
      <c r="B42" s="545">
        <v>72100</v>
      </c>
      <c r="C42" s="544" t="s">
        <v>2955</v>
      </c>
      <c r="D42" s="544" t="s">
        <v>4292</v>
      </c>
      <c r="E42" s="542" t="s">
        <v>3698</v>
      </c>
      <c r="F42" s="542" t="s">
        <v>3699</v>
      </c>
      <c r="G42" s="546"/>
      <c r="H42" s="546">
        <v>590.54</v>
      </c>
      <c r="I42" s="546">
        <v>590.54</v>
      </c>
      <c r="J42" s="542" t="s">
        <v>2584</v>
      </c>
      <c r="K42" s="547">
        <v>3400</v>
      </c>
      <c r="L42" s="542" t="s">
        <v>806</v>
      </c>
      <c r="M42" s="548"/>
      <c r="N42" s="549">
        <v>-52</v>
      </c>
      <c r="O42" s="544" t="s">
        <v>1674</v>
      </c>
      <c r="P42" s="544" t="s">
        <v>1674</v>
      </c>
      <c r="Q42" s="544" t="s">
        <v>4293</v>
      </c>
      <c r="R42" s="544" t="s">
        <v>1674</v>
      </c>
      <c r="S42" s="544" t="s">
        <v>1674</v>
      </c>
      <c r="T42" s="550">
        <v>19</v>
      </c>
      <c r="U42" s="544" t="s">
        <v>3328</v>
      </c>
      <c r="V42" s="547">
        <v>545</v>
      </c>
      <c r="W42" s="548"/>
      <c r="Y42" s="544" t="s">
        <v>1674</v>
      </c>
      <c r="AA42" s="544" t="s">
        <v>1674</v>
      </c>
      <c r="AB42" s="542">
        <v>3</v>
      </c>
      <c r="AE42" s="551"/>
      <c r="AF42" s="544" t="s">
        <v>1674</v>
      </c>
      <c r="AG42" s="544" t="s">
        <v>1674</v>
      </c>
      <c r="AH42" s="544" t="s">
        <v>1674</v>
      </c>
      <c r="AI42" s="544" t="s">
        <v>1674</v>
      </c>
      <c r="AJ42" s="544" t="s">
        <v>1674</v>
      </c>
      <c r="AK42" s="544" t="s">
        <v>1674</v>
      </c>
      <c r="AL42" s="544" t="s">
        <v>1674</v>
      </c>
      <c r="AM42" s="544" t="s">
        <v>2955</v>
      </c>
      <c r="AN42" s="544" t="s">
        <v>1674</v>
      </c>
      <c r="AP42" s="542">
        <f t="shared" si="1"/>
        <v>9</v>
      </c>
      <c r="AR42" s="593">
        <f t="shared" si="0"/>
        <v>590.54</v>
      </c>
    </row>
    <row r="43" spans="1:44" outlineLevel="1" x14ac:dyDescent="0.25">
      <c r="A43" s="544" t="s">
        <v>1674</v>
      </c>
      <c r="B43" s="545">
        <v>80801</v>
      </c>
      <c r="C43" s="544" t="s">
        <v>4000</v>
      </c>
      <c r="D43" s="544" t="s">
        <v>4294</v>
      </c>
      <c r="E43" s="542" t="s">
        <v>3698</v>
      </c>
      <c r="F43" s="542" t="s">
        <v>4295</v>
      </c>
      <c r="G43" s="546"/>
      <c r="H43" s="546">
        <v>3373</v>
      </c>
      <c r="I43" s="546">
        <v>3373</v>
      </c>
      <c r="J43" s="542" t="s">
        <v>2584</v>
      </c>
      <c r="K43" s="547">
        <v>3425</v>
      </c>
      <c r="L43" s="542" t="s">
        <v>806</v>
      </c>
      <c r="M43" s="548"/>
      <c r="N43" s="549">
        <v>-22</v>
      </c>
      <c r="O43" s="544" t="s">
        <v>1674</v>
      </c>
      <c r="P43" s="544" t="s">
        <v>1674</v>
      </c>
      <c r="Q43" s="544" t="s">
        <v>4002</v>
      </c>
      <c r="R43" s="544" t="s">
        <v>1674</v>
      </c>
      <c r="S43" s="544" t="s">
        <v>1674</v>
      </c>
      <c r="T43" s="550">
        <v>19</v>
      </c>
      <c r="U43" s="544" t="s">
        <v>3328</v>
      </c>
      <c r="V43" s="547">
        <v>546</v>
      </c>
      <c r="W43" s="548"/>
      <c r="Y43" s="544" t="s">
        <v>1674</v>
      </c>
      <c r="AA43" s="544" t="s">
        <v>1674</v>
      </c>
      <c r="AB43" s="542">
        <v>3</v>
      </c>
      <c r="AE43" s="551"/>
      <c r="AF43" s="544" t="s">
        <v>1674</v>
      </c>
      <c r="AG43" s="544" t="s">
        <v>1674</v>
      </c>
      <c r="AH43" s="544" t="s">
        <v>1674</v>
      </c>
      <c r="AI43" s="544" t="s">
        <v>1674</v>
      </c>
      <c r="AJ43" s="544" t="s">
        <v>1674</v>
      </c>
      <c r="AK43" s="544" t="s">
        <v>1674</v>
      </c>
      <c r="AL43" s="544" t="s">
        <v>1674</v>
      </c>
      <c r="AM43" s="544" t="s">
        <v>4003</v>
      </c>
      <c r="AN43" s="544" t="s">
        <v>1674</v>
      </c>
      <c r="AP43" s="542">
        <f t="shared" si="1"/>
        <v>39</v>
      </c>
      <c r="AR43" s="593">
        <f t="shared" si="0"/>
        <v>3373</v>
      </c>
    </row>
    <row r="44" spans="1:44" outlineLevel="1" x14ac:dyDescent="0.25">
      <c r="A44" s="544" t="s">
        <v>1674</v>
      </c>
      <c r="B44" s="545">
        <v>70100</v>
      </c>
      <c r="C44" s="544" t="s">
        <v>2864</v>
      </c>
      <c r="D44" s="544" t="s">
        <v>4296</v>
      </c>
      <c r="E44" s="542" t="s">
        <v>3628</v>
      </c>
      <c r="F44" s="542" t="s">
        <v>3705</v>
      </c>
      <c r="G44" s="546"/>
      <c r="H44" s="546">
        <v>18.940000000000001</v>
      </c>
      <c r="I44" s="546">
        <v>18.940000000000001</v>
      </c>
      <c r="J44" s="542" t="s">
        <v>2584</v>
      </c>
      <c r="K44" s="547">
        <v>4582</v>
      </c>
      <c r="L44" s="542" t="s">
        <v>806</v>
      </c>
      <c r="M44" s="548"/>
      <c r="N44" s="549">
        <v>-51</v>
      </c>
      <c r="O44" s="544" t="s">
        <v>1674</v>
      </c>
      <c r="P44" s="544" t="s">
        <v>1674</v>
      </c>
      <c r="Q44" s="544" t="s">
        <v>4027</v>
      </c>
      <c r="R44" s="544" t="s">
        <v>1674</v>
      </c>
      <c r="S44" s="544" t="s">
        <v>1674</v>
      </c>
      <c r="T44" s="550">
        <v>19</v>
      </c>
      <c r="U44" s="544" t="s">
        <v>3328</v>
      </c>
      <c r="V44" s="547">
        <v>593</v>
      </c>
      <c r="W44" s="548"/>
      <c r="Y44" s="544" t="s">
        <v>1674</v>
      </c>
      <c r="AA44" s="544" t="s">
        <v>1674</v>
      </c>
      <c r="AB44" s="542">
        <v>3</v>
      </c>
      <c r="AE44" s="551"/>
      <c r="AF44" s="544" t="s">
        <v>1674</v>
      </c>
      <c r="AG44" s="544" t="s">
        <v>1674</v>
      </c>
      <c r="AH44" s="544" t="s">
        <v>1674</v>
      </c>
      <c r="AI44" s="544" t="s">
        <v>1674</v>
      </c>
      <c r="AJ44" s="544" t="s">
        <v>1674</v>
      </c>
      <c r="AK44" s="544" t="s">
        <v>1674</v>
      </c>
      <c r="AL44" s="544" t="s">
        <v>1674</v>
      </c>
      <c r="AM44" s="544" t="s">
        <v>2864</v>
      </c>
      <c r="AN44" s="544" t="s">
        <v>1674</v>
      </c>
      <c r="AP44" s="542">
        <f t="shared" si="1"/>
        <v>10</v>
      </c>
      <c r="AR44" s="593">
        <f t="shared" si="0"/>
        <v>18.940000000000001</v>
      </c>
    </row>
    <row r="45" spans="1:44" outlineLevel="1" x14ac:dyDescent="0.25">
      <c r="A45" s="544" t="s">
        <v>1674</v>
      </c>
      <c r="B45" s="545">
        <v>0</v>
      </c>
      <c r="C45" s="544" t="s">
        <v>1674</v>
      </c>
      <c r="D45" s="544" t="s">
        <v>4297</v>
      </c>
      <c r="E45" s="542" t="s">
        <v>3628</v>
      </c>
      <c r="F45" s="542" t="s">
        <v>3705</v>
      </c>
      <c r="G45" s="546"/>
      <c r="H45" s="546">
        <v>22.99</v>
      </c>
      <c r="I45" s="546">
        <v>22.99</v>
      </c>
      <c r="J45" s="542" t="s">
        <v>2584</v>
      </c>
      <c r="K45" s="547">
        <v>4980</v>
      </c>
      <c r="L45" s="542" t="s">
        <v>806</v>
      </c>
      <c r="M45" s="548"/>
      <c r="N45" s="549">
        <v>-51</v>
      </c>
      <c r="O45" s="544" t="s">
        <v>1674</v>
      </c>
      <c r="P45" s="544" t="s">
        <v>1674</v>
      </c>
      <c r="Q45" s="544" t="s">
        <v>4027</v>
      </c>
      <c r="R45" s="544" t="s">
        <v>1674</v>
      </c>
      <c r="S45" s="544" t="s">
        <v>1674</v>
      </c>
      <c r="T45" s="550">
        <v>19</v>
      </c>
      <c r="U45" s="544" t="s">
        <v>3328</v>
      </c>
      <c r="V45" s="547">
        <v>594</v>
      </c>
      <c r="W45" s="548"/>
      <c r="Y45" s="544" t="s">
        <v>1674</v>
      </c>
      <c r="AA45" s="544" t="s">
        <v>1674</v>
      </c>
      <c r="AB45" s="542">
        <v>3</v>
      </c>
      <c r="AE45" s="551"/>
      <c r="AF45" s="544" t="s">
        <v>1674</v>
      </c>
      <c r="AG45" s="544" t="s">
        <v>1674</v>
      </c>
      <c r="AH45" s="544" t="s">
        <v>1674</v>
      </c>
      <c r="AI45" s="544" t="s">
        <v>1674</v>
      </c>
      <c r="AJ45" s="544" t="s">
        <v>1674</v>
      </c>
      <c r="AK45" s="544" t="s">
        <v>1674</v>
      </c>
      <c r="AL45" s="544" t="s">
        <v>1674</v>
      </c>
      <c r="AM45" s="544" t="s">
        <v>1674</v>
      </c>
      <c r="AN45" s="544" t="s">
        <v>1674</v>
      </c>
      <c r="AP45" s="542">
        <f t="shared" si="1"/>
        <v>10</v>
      </c>
      <c r="AR45" s="593">
        <f t="shared" si="0"/>
        <v>22.99</v>
      </c>
    </row>
    <row r="46" spans="1:44" outlineLevel="1" x14ac:dyDescent="0.25">
      <c r="A46" s="544" t="s">
        <v>1674</v>
      </c>
      <c r="B46" s="545">
        <v>0</v>
      </c>
      <c r="C46" s="544" t="s">
        <v>1674</v>
      </c>
      <c r="D46" s="544" t="s">
        <v>4298</v>
      </c>
      <c r="E46" s="542" t="s">
        <v>3628</v>
      </c>
      <c r="F46" s="542" t="s">
        <v>3705</v>
      </c>
      <c r="G46" s="546"/>
      <c r="H46" s="546">
        <v>8746.5</v>
      </c>
      <c r="I46" s="546">
        <v>8746.5</v>
      </c>
      <c r="J46" s="542" t="s">
        <v>2584</v>
      </c>
      <c r="K46" s="547">
        <v>4951</v>
      </c>
      <c r="L46" s="542" t="s">
        <v>806</v>
      </c>
      <c r="M46" s="548"/>
      <c r="N46" s="549">
        <v>-51</v>
      </c>
      <c r="O46" s="544" t="s">
        <v>1674</v>
      </c>
      <c r="P46" s="544" t="s">
        <v>1674</v>
      </c>
      <c r="Q46" s="544" t="s">
        <v>4299</v>
      </c>
      <c r="R46" s="544" t="s">
        <v>1674</v>
      </c>
      <c r="S46" s="544" t="s">
        <v>1674</v>
      </c>
      <c r="T46" s="550">
        <v>19</v>
      </c>
      <c r="U46" s="544" t="s">
        <v>3328</v>
      </c>
      <c r="V46" s="547">
        <v>597</v>
      </c>
      <c r="W46" s="548"/>
      <c r="Y46" s="544" t="s">
        <v>1674</v>
      </c>
      <c r="AA46" s="544" t="s">
        <v>1674</v>
      </c>
      <c r="AB46" s="542">
        <v>3</v>
      </c>
      <c r="AE46" s="551"/>
      <c r="AF46" s="544" t="s">
        <v>1674</v>
      </c>
      <c r="AG46" s="544" t="s">
        <v>1674</v>
      </c>
      <c r="AH46" s="544" t="s">
        <v>1674</v>
      </c>
      <c r="AI46" s="544" t="s">
        <v>1674</v>
      </c>
      <c r="AJ46" s="544" t="s">
        <v>1674</v>
      </c>
      <c r="AK46" s="544" t="s">
        <v>1674</v>
      </c>
      <c r="AL46" s="544" t="s">
        <v>1674</v>
      </c>
      <c r="AM46" s="544" t="s">
        <v>1674</v>
      </c>
      <c r="AN46" s="544" t="s">
        <v>1674</v>
      </c>
      <c r="AP46" s="542">
        <f t="shared" si="1"/>
        <v>10</v>
      </c>
      <c r="AR46" s="593">
        <f t="shared" si="0"/>
        <v>8746.5</v>
      </c>
    </row>
    <row r="47" spans="1:44" outlineLevel="1" x14ac:dyDescent="0.25">
      <c r="A47" s="544" t="s">
        <v>1674</v>
      </c>
      <c r="B47" s="545">
        <v>72200</v>
      </c>
      <c r="C47" s="544" t="s">
        <v>3260</v>
      </c>
      <c r="D47" s="544" t="s">
        <v>4300</v>
      </c>
      <c r="E47" s="542" t="s">
        <v>3628</v>
      </c>
      <c r="F47" s="542" t="s">
        <v>3705</v>
      </c>
      <c r="G47" s="546"/>
      <c r="H47" s="546">
        <v>169.13</v>
      </c>
      <c r="I47" s="546">
        <v>169.13</v>
      </c>
      <c r="J47" s="542" t="s">
        <v>2584</v>
      </c>
      <c r="K47" s="547">
        <v>3800</v>
      </c>
      <c r="L47" s="542" t="s">
        <v>806</v>
      </c>
      <c r="M47" s="548"/>
      <c r="N47" s="549">
        <v>-51</v>
      </c>
      <c r="O47" s="544" t="s">
        <v>1674</v>
      </c>
      <c r="P47" s="544" t="s">
        <v>1674</v>
      </c>
      <c r="Q47" s="544" t="s">
        <v>4040</v>
      </c>
      <c r="R47" s="544" t="s">
        <v>1674</v>
      </c>
      <c r="S47" s="544" t="s">
        <v>1674</v>
      </c>
      <c r="T47" s="550">
        <v>19</v>
      </c>
      <c r="U47" s="544" t="s">
        <v>3328</v>
      </c>
      <c r="V47" s="547">
        <v>602</v>
      </c>
      <c r="W47" s="548"/>
      <c r="Y47" s="544" t="s">
        <v>1674</v>
      </c>
      <c r="AA47" s="544" t="s">
        <v>1674</v>
      </c>
      <c r="AB47" s="542">
        <v>3</v>
      </c>
      <c r="AE47" s="551"/>
      <c r="AF47" s="544" t="s">
        <v>1674</v>
      </c>
      <c r="AG47" s="544" t="s">
        <v>1674</v>
      </c>
      <c r="AH47" s="544" t="s">
        <v>1674</v>
      </c>
      <c r="AI47" s="544" t="s">
        <v>1674</v>
      </c>
      <c r="AJ47" s="544" t="s">
        <v>1674</v>
      </c>
      <c r="AK47" s="544" t="s">
        <v>1674</v>
      </c>
      <c r="AL47" s="544" t="s">
        <v>1674</v>
      </c>
      <c r="AM47" s="544" t="s">
        <v>3260</v>
      </c>
      <c r="AN47" s="544" t="s">
        <v>1674</v>
      </c>
      <c r="AP47" s="542">
        <f t="shared" si="1"/>
        <v>10</v>
      </c>
      <c r="AR47" s="593">
        <f t="shared" si="0"/>
        <v>169.13</v>
      </c>
    </row>
    <row r="48" spans="1:44" outlineLevel="1" x14ac:dyDescent="0.25">
      <c r="A48" s="544" t="s">
        <v>1674</v>
      </c>
      <c r="B48" s="545">
        <v>70100</v>
      </c>
      <c r="C48" s="544" t="s">
        <v>2864</v>
      </c>
      <c r="D48" s="544" t="s">
        <v>4301</v>
      </c>
      <c r="E48" s="542" t="s">
        <v>3710</v>
      </c>
      <c r="F48" s="542" t="s">
        <v>3711</v>
      </c>
      <c r="G48" s="546"/>
      <c r="H48" s="546">
        <v>345</v>
      </c>
      <c r="I48" s="546">
        <v>345</v>
      </c>
      <c r="J48" s="542" t="s">
        <v>2584</v>
      </c>
      <c r="K48" s="547">
        <v>480</v>
      </c>
      <c r="L48" s="542" t="s">
        <v>806</v>
      </c>
      <c r="M48" s="548"/>
      <c r="N48" s="549">
        <v>-50</v>
      </c>
      <c r="O48" s="544" t="s">
        <v>1674</v>
      </c>
      <c r="P48" s="544" t="s">
        <v>1674</v>
      </c>
      <c r="Q48" s="544" t="s">
        <v>4302</v>
      </c>
      <c r="R48" s="544" t="s">
        <v>1674</v>
      </c>
      <c r="S48" s="544" t="s">
        <v>1674</v>
      </c>
      <c r="T48" s="550">
        <v>19</v>
      </c>
      <c r="U48" s="544" t="s">
        <v>3328</v>
      </c>
      <c r="V48" s="547">
        <v>656</v>
      </c>
      <c r="W48" s="548" t="s">
        <v>2563</v>
      </c>
      <c r="Y48" s="544" t="s">
        <v>1674</v>
      </c>
      <c r="AA48" s="544" t="s">
        <v>1674</v>
      </c>
      <c r="AB48" s="542">
        <v>3</v>
      </c>
      <c r="AE48" s="551"/>
      <c r="AF48" s="544" t="s">
        <v>1674</v>
      </c>
      <c r="AG48" s="544" t="s">
        <v>1674</v>
      </c>
      <c r="AH48" s="544" t="s">
        <v>1674</v>
      </c>
      <c r="AI48" s="544" t="s">
        <v>1674</v>
      </c>
      <c r="AJ48" s="544" t="s">
        <v>1674</v>
      </c>
      <c r="AK48" s="544" t="s">
        <v>1674</v>
      </c>
      <c r="AL48" s="544" t="s">
        <v>1674</v>
      </c>
      <c r="AM48" s="544" t="s">
        <v>2864</v>
      </c>
      <c r="AN48" s="544" t="s">
        <v>1674</v>
      </c>
      <c r="AP48" s="542">
        <f t="shared" si="1"/>
        <v>11</v>
      </c>
      <c r="AR48" s="593">
        <f t="shared" si="0"/>
        <v>345</v>
      </c>
    </row>
    <row r="49" spans="1:44" outlineLevel="1" x14ac:dyDescent="0.25">
      <c r="A49" s="544" t="s">
        <v>1674</v>
      </c>
      <c r="B49" s="545">
        <v>0</v>
      </c>
      <c r="C49" s="544" t="s">
        <v>1674</v>
      </c>
      <c r="D49" s="544" t="s">
        <v>4303</v>
      </c>
      <c r="E49" s="542" t="s">
        <v>3710</v>
      </c>
      <c r="F49" s="542" t="s">
        <v>3711</v>
      </c>
      <c r="G49" s="546"/>
      <c r="H49" s="546">
        <v>43.3</v>
      </c>
      <c r="I49" s="546">
        <v>43.3</v>
      </c>
      <c r="J49" s="542" t="s">
        <v>2584</v>
      </c>
      <c r="K49" s="547">
        <v>4980</v>
      </c>
      <c r="L49" s="542" t="s">
        <v>806</v>
      </c>
      <c r="M49" s="548"/>
      <c r="N49" s="549">
        <v>-50</v>
      </c>
      <c r="O49" s="544" t="s">
        <v>1674</v>
      </c>
      <c r="P49" s="544" t="s">
        <v>1674</v>
      </c>
      <c r="Q49" s="544" t="s">
        <v>4027</v>
      </c>
      <c r="R49" s="544" t="s">
        <v>1674</v>
      </c>
      <c r="S49" s="544" t="s">
        <v>1674</v>
      </c>
      <c r="T49" s="550">
        <v>19</v>
      </c>
      <c r="U49" s="544" t="s">
        <v>3328</v>
      </c>
      <c r="V49" s="547">
        <v>657</v>
      </c>
      <c r="W49" s="548"/>
      <c r="Y49" s="544" t="s">
        <v>1674</v>
      </c>
      <c r="AA49" s="544" t="s">
        <v>1674</v>
      </c>
      <c r="AB49" s="542">
        <v>3</v>
      </c>
      <c r="AE49" s="551"/>
      <c r="AF49" s="544" t="s">
        <v>1674</v>
      </c>
      <c r="AG49" s="544" t="s">
        <v>1674</v>
      </c>
      <c r="AH49" s="544" t="s">
        <v>1674</v>
      </c>
      <c r="AI49" s="544" t="s">
        <v>1674</v>
      </c>
      <c r="AJ49" s="544" t="s">
        <v>1674</v>
      </c>
      <c r="AK49" s="544" t="s">
        <v>1674</v>
      </c>
      <c r="AL49" s="544" t="s">
        <v>1674</v>
      </c>
      <c r="AM49" s="544" t="s">
        <v>1674</v>
      </c>
      <c r="AN49" s="544" t="s">
        <v>1674</v>
      </c>
      <c r="AP49" s="542">
        <f t="shared" si="1"/>
        <v>11</v>
      </c>
      <c r="AR49" s="593">
        <f t="shared" si="0"/>
        <v>43.3</v>
      </c>
    </row>
    <row r="50" spans="1:44" outlineLevel="1" x14ac:dyDescent="0.25">
      <c r="A50" s="544" t="s">
        <v>1674</v>
      </c>
      <c r="B50" s="545">
        <v>0</v>
      </c>
      <c r="C50" s="544" t="s">
        <v>1674</v>
      </c>
      <c r="D50" s="544" t="s">
        <v>4304</v>
      </c>
      <c r="E50" s="542" t="s">
        <v>3710</v>
      </c>
      <c r="F50" s="542" t="s">
        <v>3711</v>
      </c>
      <c r="G50" s="546"/>
      <c r="H50" s="546">
        <v>31.64</v>
      </c>
      <c r="I50" s="546">
        <v>31.64</v>
      </c>
      <c r="J50" s="542" t="s">
        <v>2584</v>
      </c>
      <c r="K50" s="547">
        <v>4980</v>
      </c>
      <c r="L50" s="542" t="s">
        <v>806</v>
      </c>
      <c r="M50" s="548"/>
      <c r="N50" s="549">
        <v>-50</v>
      </c>
      <c r="O50" s="544" t="s">
        <v>1674</v>
      </c>
      <c r="P50" s="544" t="s">
        <v>1674</v>
      </c>
      <c r="Q50" s="544" t="s">
        <v>4027</v>
      </c>
      <c r="R50" s="544" t="s">
        <v>1674</v>
      </c>
      <c r="S50" s="544" t="s">
        <v>1674</v>
      </c>
      <c r="T50" s="550">
        <v>19</v>
      </c>
      <c r="U50" s="544" t="s">
        <v>3328</v>
      </c>
      <c r="V50" s="547">
        <v>658</v>
      </c>
      <c r="W50" s="548"/>
      <c r="Y50" s="544" t="s">
        <v>1674</v>
      </c>
      <c r="AA50" s="544" t="s">
        <v>1674</v>
      </c>
      <c r="AB50" s="542">
        <v>3</v>
      </c>
      <c r="AE50" s="551"/>
      <c r="AF50" s="544" t="s">
        <v>1674</v>
      </c>
      <c r="AG50" s="544" t="s">
        <v>1674</v>
      </c>
      <c r="AH50" s="544" t="s">
        <v>1674</v>
      </c>
      <c r="AI50" s="544" t="s">
        <v>1674</v>
      </c>
      <c r="AJ50" s="544" t="s">
        <v>1674</v>
      </c>
      <c r="AK50" s="544" t="s">
        <v>1674</v>
      </c>
      <c r="AL50" s="544" t="s">
        <v>1674</v>
      </c>
      <c r="AM50" s="544" t="s">
        <v>1674</v>
      </c>
      <c r="AN50" s="544" t="s">
        <v>1674</v>
      </c>
      <c r="AP50" s="542">
        <f t="shared" si="1"/>
        <v>11</v>
      </c>
      <c r="AR50" s="593">
        <f t="shared" si="0"/>
        <v>31.64</v>
      </c>
    </row>
    <row r="51" spans="1:44" outlineLevel="1" x14ac:dyDescent="0.25">
      <c r="A51" s="544" t="s">
        <v>1674</v>
      </c>
      <c r="B51" s="545">
        <v>0</v>
      </c>
      <c r="C51" s="544" t="s">
        <v>1674</v>
      </c>
      <c r="D51" s="544" t="s">
        <v>4305</v>
      </c>
      <c r="E51" s="542" t="s">
        <v>3710</v>
      </c>
      <c r="F51" s="542" t="s">
        <v>3711</v>
      </c>
      <c r="G51" s="546"/>
      <c r="H51" s="546">
        <v>23.28</v>
      </c>
      <c r="I51" s="546">
        <v>23.28</v>
      </c>
      <c r="J51" s="542" t="s">
        <v>2584</v>
      </c>
      <c r="K51" s="547">
        <v>4980</v>
      </c>
      <c r="L51" s="542" t="s">
        <v>806</v>
      </c>
      <c r="M51" s="548"/>
      <c r="N51" s="549">
        <v>-50</v>
      </c>
      <c r="O51" s="544" t="s">
        <v>1674</v>
      </c>
      <c r="P51" s="544" t="s">
        <v>1674</v>
      </c>
      <c r="Q51" s="544" t="s">
        <v>4027</v>
      </c>
      <c r="R51" s="544" t="s">
        <v>1674</v>
      </c>
      <c r="S51" s="544" t="s">
        <v>1674</v>
      </c>
      <c r="T51" s="550">
        <v>19</v>
      </c>
      <c r="U51" s="544" t="s">
        <v>3328</v>
      </c>
      <c r="V51" s="547">
        <v>660</v>
      </c>
      <c r="W51" s="548"/>
      <c r="Y51" s="544" t="s">
        <v>1674</v>
      </c>
      <c r="AA51" s="544" t="s">
        <v>1674</v>
      </c>
      <c r="AB51" s="542">
        <v>3</v>
      </c>
      <c r="AE51" s="551"/>
      <c r="AF51" s="544" t="s">
        <v>1674</v>
      </c>
      <c r="AG51" s="544" t="s">
        <v>1674</v>
      </c>
      <c r="AH51" s="544" t="s">
        <v>1674</v>
      </c>
      <c r="AI51" s="544" t="s">
        <v>1674</v>
      </c>
      <c r="AJ51" s="544" t="s">
        <v>1674</v>
      </c>
      <c r="AK51" s="544" t="s">
        <v>1674</v>
      </c>
      <c r="AL51" s="544" t="s">
        <v>1674</v>
      </c>
      <c r="AM51" s="544" t="s">
        <v>1674</v>
      </c>
      <c r="AN51" s="544" t="s">
        <v>1674</v>
      </c>
      <c r="AP51" s="542">
        <f t="shared" si="1"/>
        <v>11</v>
      </c>
      <c r="AR51" s="593">
        <f t="shared" si="0"/>
        <v>23.28</v>
      </c>
    </row>
    <row r="52" spans="1:44" outlineLevel="1" x14ac:dyDescent="0.25">
      <c r="A52" s="544" t="s">
        <v>1674</v>
      </c>
      <c r="B52" s="545">
        <v>0</v>
      </c>
      <c r="C52" s="544" t="s">
        <v>1674</v>
      </c>
      <c r="D52" s="544" t="s">
        <v>4306</v>
      </c>
      <c r="E52" s="542" t="s">
        <v>3710</v>
      </c>
      <c r="F52" s="542" t="s">
        <v>3711</v>
      </c>
      <c r="G52" s="546"/>
      <c r="H52" s="546">
        <v>36.99</v>
      </c>
      <c r="I52" s="546">
        <v>36.99</v>
      </c>
      <c r="J52" s="542" t="s">
        <v>2584</v>
      </c>
      <c r="K52" s="547">
        <v>4980</v>
      </c>
      <c r="L52" s="542" t="s">
        <v>806</v>
      </c>
      <c r="M52" s="548"/>
      <c r="N52" s="549">
        <v>-50</v>
      </c>
      <c r="O52" s="544" t="s">
        <v>1674</v>
      </c>
      <c r="P52" s="544" t="s">
        <v>1674</v>
      </c>
      <c r="Q52" s="544" t="s">
        <v>4027</v>
      </c>
      <c r="R52" s="544" t="s">
        <v>1674</v>
      </c>
      <c r="S52" s="544" t="s">
        <v>1674</v>
      </c>
      <c r="T52" s="550">
        <v>19</v>
      </c>
      <c r="U52" s="544" t="s">
        <v>3328</v>
      </c>
      <c r="V52" s="547">
        <v>661</v>
      </c>
      <c r="W52" s="548"/>
      <c r="Y52" s="544" t="s">
        <v>1674</v>
      </c>
      <c r="AA52" s="544" t="s">
        <v>1674</v>
      </c>
      <c r="AB52" s="542">
        <v>3</v>
      </c>
      <c r="AE52" s="551"/>
      <c r="AF52" s="544" t="s">
        <v>1674</v>
      </c>
      <c r="AG52" s="544" t="s">
        <v>1674</v>
      </c>
      <c r="AH52" s="544" t="s">
        <v>1674</v>
      </c>
      <c r="AI52" s="544" t="s">
        <v>1674</v>
      </c>
      <c r="AJ52" s="544" t="s">
        <v>1674</v>
      </c>
      <c r="AK52" s="544" t="s">
        <v>1674</v>
      </c>
      <c r="AL52" s="544" t="s">
        <v>1674</v>
      </c>
      <c r="AM52" s="544" t="s">
        <v>1674</v>
      </c>
      <c r="AN52" s="544" t="s">
        <v>1674</v>
      </c>
      <c r="AP52" s="542">
        <f t="shared" si="1"/>
        <v>11</v>
      </c>
      <c r="AR52" s="593">
        <f t="shared" si="0"/>
        <v>36.99</v>
      </c>
    </row>
    <row r="53" spans="1:44" outlineLevel="1" x14ac:dyDescent="0.25">
      <c r="A53" s="544" t="s">
        <v>1674</v>
      </c>
      <c r="B53" s="545">
        <v>80601</v>
      </c>
      <c r="C53" s="544" t="s">
        <v>3987</v>
      </c>
      <c r="D53" s="544" t="s">
        <v>4307</v>
      </c>
      <c r="E53" s="542" t="s">
        <v>3630</v>
      </c>
      <c r="F53" s="542" t="s">
        <v>4308</v>
      </c>
      <c r="G53" s="546"/>
      <c r="H53" s="546">
        <v>3364.8</v>
      </c>
      <c r="I53" s="546"/>
      <c r="J53" s="542" t="s">
        <v>806</v>
      </c>
      <c r="K53" s="547">
        <v>3425</v>
      </c>
      <c r="L53" s="542" t="s">
        <v>806</v>
      </c>
      <c r="M53" s="548"/>
      <c r="N53" s="549">
        <v>11</v>
      </c>
      <c r="O53" s="544" t="s">
        <v>1674</v>
      </c>
      <c r="P53" s="544" t="s">
        <v>1674</v>
      </c>
      <c r="Q53" s="544" t="s">
        <v>2983</v>
      </c>
      <c r="R53" s="544" t="s">
        <v>1674</v>
      </c>
      <c r="S53" s="544" t="s">
        <v>1674</v>
      </c>
      <c r="T53" s="550">
        <v>19</v>
      </c>
      <c r="U53" s="544" t="s">
        <v>3328</v>
      </c>
      <c r="V53" s="547">
        <v>763</v>
      </c>
      <c r="W53" s="548"/>
      <c r="Y53" s="544" t="s">
        <v>1674</v>
      </c>
      <c r="AA53" s="544" t="s">
        <v>1674</v>
      </c>
      <c r="AB53" s="542">
        <v>3</v>
      </c>
      <c r="AE53" s="551"/>
      <c r="AF53" s="544" t="s">
        <v>1674</v>
      </c>
      <c r="AG53" s="544" t="s">
        <v>1674</v>
      </c>
      <c r="AH53" s="544" t="s">
        <v>1674</v>
      </c>
      <c r="AI53" s="544" t="s">
        <v>1674</v>
      </c>
      <c r="AJ53" s="544" t="s">
        <v>1674</v>
      </c>
      <c r="AK53" s="544" t="s">
        <v>1674</v>
      </c>
      <c r="AL53" s="544" t="s">
        <v>1674</v>
      </c>
      <c r="AM53" s="544" t="s">
        <v>3989</v>
      </c>
      <c r="AN53" s="544" t="s">
        <v>1674</v>
      </c>
      <c r="AP53" s="542">
        <f t="shared" si="1"/>
        <v>72</v>
      </c>
      <c r="AR53" s="593">
        <f t="shared" si="0"/>
        <v>0</v>
      </c>
    </row>
    <row r="54" spans="1:44" outlineLevel="1" x14ac:dyDescent="0.25">
      <c r="A54" s="544" t="s">
        <v>1674</v>
      </c>
      <c r="B54" s="545">
        <v>0</v>
      </c>
      <c r="C54" s="544" t="s">
        <v>1674</v>
      </c>
      <c r="D54" s="544" t="s">
        <v>4307</v>
      </c>
      <c r="E54" s="542" t="s">
        <v>3630</v>
      </c>
      <c r="F54" s="542" t="s">
        <v>4308</v>
      </c>
      <c r="G54" s="546"/>
      <c r="H54" s="546">
        <v>7488.6</v>
      </c>
      <c r="I54" s="546"/>
      <c r="J54" s="542" t="s">
        <v>806</v>
      </c>
      <c r="K54" s="547">
        <v>3425</v>
      </c>
      <c r="L54" s="542" t="s">
        <v>806</v>
      </c>
      <c r="M54" s="548"/>
      <c r="N54" s="549">
        <v>11</v>
      </c>
      <c r="O54" s="544" t="s">
        <v>1674</v>
      </c>
      <c r="P54" s="544" t="s">
        <v>1674</v>
      </c>
      <c r="Q54" s="544" t="s">
        <v>2983</v>
      </c>
      <c r="R54" s="544" t="s">
        <v>3992</v>
      </c>
      <c r="S54" s="544" t="s">
        <v>1674</v>
      </c>
      <c r="T54" s="550">
        <v>19</v>
      </c>
      <c r="U54" s="544" t="s">
        <v>3328</v>
      </c>
      <c r="V54" s="547">
        <v>764</v>
      </c>
      <c r="W54" s="548"/>
      <c r="Y54" s="544" t="s">
        <v>1674</v>
      </c>
      <c r="AA54" s="544" t="s">
        <v>1674</v>
      </c>
      <c r="AB54" s="542">
        <v>3</v>
      </c>
      <c r="AE54" s="551"/>
      <c r="AF54" s="544" t="s">
        <v>1674</v>
      </c>
      <c r="AG54" s="544" t="s">
        <v>1674</v>
      </c>
      <c r="AH54" s="544" t="s">
        <v>1674</v>
      </c>
      <c r="AI54" s="544" t="s">
        <v>1674</v>
      </c>
      <c r="AJ54" s="544" t="s">
        <v>1674</v>
      </c>
      <c r="AK54" s="544" t="s">
        <v>1674</v>
      </c>
      <c r="AL54" s="544" t="s">
        <v>1674</v>
      </c>
      <c r="AM54" s="544" t="s">
        <v>1674</v>
      </c>
      <c r="AN54" s="544" t="s">
        <v>1674</v>
      </c>
      <c r="AP54" s="542">
        <f t="shared" si="1"/>
        <v>72</v>
      </c>
      <c r="AR54" s="593">
        <f t="shared" si="0"/>
        <v>0</v>
      </c>
    </row>
    <row r="55" spans="1:44" outlineLevel="1" x14ac:dyDescent="0.25">
      <c r="A55" s="544" t="s">
        <v>1674</v>
      </c>
      <c r="B55" s="545">
        <v>0</v>
      </c>
      <c r="C55" s="544" t="s">
        <v>1674</v>
      </c>
      <c r="D55" s="544" t="s">
        <v>4307</v>
      </c>
      <c r="E55" s="542" t="s">
        <v>3630</v>
      </c>
      <c r="F55" s="542" t="s">
        <v>4308</v>
      </c>
      <c r="G55" s="546"/>
      <c r="H55" s="546">
        <v>14746.2</v>
      </c>
      <c r="I55" s="546"/>
      <c r="J55" s="542" t="s">
        <v>806</v>
      </c>
      <c r="K55" s="547">
        <v>3425</v>
      </c>
      <c r="L55" s="542" t="s">
        <v>806</v>
      </c>
      <c r="M55" s="548"/>
      <c r="N55" s="549">
        <v>11</v>
      </c>
      <c r="O55" s="544" t="s">
        <v>1674</v>
      </c>
      <c r="P55" s="544" t="s">
        <v>1674</v>
      </c>
      <c r="Q55" s="544" t="s">
        <v>2983</v>
      </c>
      <c r="R55" s="544" t="s">
        <v>2898</v>
      </c>
      <c r="S55" s="544" t="s">
        <v>1674</v>
      </c>
      <c r="T55" s="550">
        <v>19</v>
      </c>
      <c r="U55" s="544" t="s">
        <v>3328</v>
      </c>
      <c r="V55" s="547">
        <v>765</v>
      </c>
      <c r="W55" s="548"/>
      <c r="Y55" s="544" t="s">
        <v>1674</v>
      </c>
      <c r="AA55" s="544" t="s">
        <v>1674</v>
      </c>
      <c r="AB55" s="542">
        <v>3</v>
      </c>
      <c r="AE55" s="551"/>
      <c r="AF55" s="544" t="s">
        <v>1674</v>
      </c>
      <c r="AG55" s="544" t="s">
        <v>1674</v>
      </c>
      <c r="AH55" s="544" t="s">
        <v>1674</v>
      </c>
      <c r="AI55" s="544" t="s">
        <v>1674</v>
      </c>
      <c r="AJ55" s="544" t="s">
        <v>1674</v>
      </c>
      <c r="AK55" s="544" t="s">
        <v>1674</v>
      </c>
      <c r="AL55" s="544" t="s">
        <v>1674</v>
      </c>
      <c r="AM55" s="544" t="s">
        <v>1674</v>
      </c>
      <c r="AN55" s="544" t="s">
        <v>1674</v>
      </c>
      <c r="AP55" s="542">
        <f t="shared" si="1"/>
        <v>72</v>
      </c>
      <c r="AR55" s="593">
        <f t="shared" si="0"/>
        <v>0</v>
      </c>
    </row>
    <row r="56" spans="1:44" outlineLevel="1" x14ac:dyDescent="0.25">
      <c r="A56" s="544" t="s">
        <v>1674</v>
      </c>
      <c r="B56" s="545">
        <v>0</v>
      </c>
      <c r="C56" s="544" t="s">
        <v>1674</v>
      </c>
      <c r="D56" s="544" t="s">
        <v>4307</v>
      </c>
      <c r="E56" s="542" t="s">
        <v>3630</v>
      </c>
      <c r="F56" s="542" t="s">
        <v>4308</v>
      </c>
      <c r="G56" s="546"/>
      <c r="H56" s="546">
        <v>768.33</v>
      </c>
      <c r="I56" s="546">
        <v>26367.93</v>
      </c>
      <c r="J56" s="542" t="s">
        <v>2584</v>
      </c>
      <c r="K56" s="547">
        <v>3425</v>
      </c>
      <c r="L56" s="542" t="s">
        <v>806</v>
      </c>
      <c r="M56" s="548"/>
      <c r="N56" s="549">
        <v>11</v>
      </c>
      <c r="O56" s="544" t="s">
        <v>1674</v>
      </c>
      <c r="P56" s="544" t="s">
        <v>1674</v>
      </c>
      <c r="Q56" s="544" t="s">
        <v>2983</v>
      </c>
      <c r="R56" s="544" t="s">
        <v>1674</v>
      </c>
      <c r="S56" s="544" t="s">
        <v>1674</v>
      </c>
      <c r="T56" s="550">
        <v>19</v>
      </c>
      <c r="U56" s="544" t="s">
        <v>3328</v>
      </c>
      <c r="V56" s="547">
        <v>766</v>
      </c>
      <c r="W56" s="548"/>
      <c r="Y56" s="544" t="s">
        <v>1674</v>
      </c>
      <c r="AA56" s="544" t="s">
        <v>1674</v>
      </c>
      <c r="AB56" s="542">
        <v>3</v>
      </c>
      <c r="AE56" s="551"/>
      <c r="AF56" s="544" t="s">
        <v>1674</v>
      </c>
      <c r="AG56" s="544" t="s">
        <v>1674</v>
      </c>
      <c r="AH56" s="544" t="s">
        <v>1674</v>
      </c>
      <c r="AI56" s="544" t="s">
        <v>1674</v>
      </c>
      <c r="AJ56" s="544" t="s">
        <v>1674</v>
      </c>
      <c r="AK56" s="544" t="s">
        <v>1674</v>
      </c>
      <c r="AL56" s="544" t="s">
        <v>1674</v>
      </c>
      <c r="AM56" s="544" t="s">
        <v>1674</v>
      </c>
      <c r="AN56" s="544" t="s">
        <v>1674</v>
      </c>
      <c r="AP56" s="542">
        <f t="shared" si="1"/>
        <v>72</v>
      </c>
      <c r="AR56" s="593">
        <f t="shared" si="0"/>
        <v>26367.93</v>
      </c>
    </row>
    <row r="57" spans="1:44" outlineLevel="1" x14ac:dyDescent="0.25">
      <c r="A57" s="544" t="s">
        <v>1674</v>
      </c>
      <c r="B57" s="545">
        <v>80107</v>
      </c>
      <c r="C57" s="544" t="s">
        <v>4020</v>
      </c>
      <c r="D57" s="544" t="s">
        <v>4309</v>
      </c>
      <c r="E57" s="542" t="s">
        <v>3726</v>
      </c>
      <c r="F57" s="542" t="s">
        <v>3727</v>
      </c>
      <c r="G57" s="546"/>
      <c r="H57" s="546">
        <v>63.02</v>
      </c>
      <c r="I57" s="546">
        <v>63.02</v>
      </c>
      <c r="J57" s="542" t="s">
        <v>2584</v>
      </c>
      <c r="K57" s="547">
        <v>4980</v>
      </c>
      <c r="L57" s="542" t="s">
        <v>806</v>
      </c>
      <c r="M57" s="548"/>
      <c r="N57" s="549">
        <v>-46</v>
      </c>
      <c r="O57" s="544" t="s">
        <v>1674</v>
      </c>
      <c r="P57" s="544" t="s">
        <v>1674</v>
      </c>
      <c r="Q57" s="544" t="s">
        <v>4020</v>
      </c>
      <c r="R57" s="544" t="s">
        <v>1674</v>
      </c>
      <c r="S57" s="544" t="s">
        <v>1674</v>
      </c>
      <c r="T57" s="550"/>
      <c r="U57" s="544" t="s">
        <v>3328</v>
      </c>
      <c r="V57" s="547">
        <v>830</v>
      </c>
      <c r="W57" s="548"/>
      <c r="Y57" s="544" t="s">
        <v>1674</v>
      </c>
      <c r="AA57" s="544" t="s">
        <v>1674</v>
      </c>
      <c r="AB57" s="542">
        <v>3</v>
      </c>
      <c r="AE57" s="551"/>
      <c r="AF57" s="544" t="s">
        <v>1674</v>
      </c>
      <c r="AG57" s="544" t="s">
        <v>1674</v>
      </c>
      <c r="AH57" s="544" t="s">
        <v>1674</v>
      </c>
      <c r="AI57" s="544" t="s">
        <v>1674</v>
      </c>
      <c r="AJ57" s="544" t="s">
        <v>1674</v>
      </c>
      <c r="AK57" s="544" t="s">
        <v>1674</v>
      </c>
      <c r="AL57" s="544" t="s">
        <v>1674</v>
      </c>
      <c r="AM57" s="544" t="s">
        <v>4023</v>
      </c>
      <c r="AN57" s="544" t="s">
        <v>1674</v>
      </c>
      <c r="AP57" s="542">
        <f t="shared" si="1"/>
        <v>15</v>
      </c>
      <c r="AR57" s="593">
        <f t="shared" si="0"/>
        <v>63.02</v>
      </c>
    </row>
    <row r="58" spans="1:44" outlineLevel="1" x14ac:dyDescent="0.25">
      <c r="A58" s="544" t="s">
        <v>1674</v>
      </c>
      <c r="B58" s="545">
        <v>0</v>
      </c>
      <c r="C58" s="544" t="s">
        <v>1674</v>
      </c>
      <c r="D58" s="544" t="s">
        <v>4310</v>
      </c>
      <c r="E58" s="542" t="s">
        <v>3726</v>
      </c>
      <c r="F58" s="542" t="s">
        <v>3727</v>
      </c>
      <c r="G58" s="546"/>
      <c r="H58" s="546">
        <v>8.39</v>
      </c>
      <c r="I58" s="546">
        <v>8.39</v>
      </c>
      <c r="J58" s="542" t="s">
        <v>2584</v>
      </c>
      <c r="K58" s="547">
        <v>4980</v>
      </c>
      <c r="L58" s="542" t="s">
        <v>806</v>
      </c>
      <c r="M58" s="548"/>
      <c r="N58" s="549">
        <v>-46</v>
      </c>
      <c r="O58" s="544" t="s">
        <v>1674</v>
      </c>
      <c r="P58" s="544" t="s">
        <v>1674</v>
      </c>
      <c r="Q58" s="544" t="s">
        <v>4020</v>
      </c>
      <c r="R58" s="544" t="s">
        <v>1674</v>
      </c>
      <c r="S58" s="544" t="s">
        <v>1674</v>
      </c>
      <c r="T58" s="550"/>
      <c r="U58" s="544" t="s">
        <v>3328</v>
      </c>
      <c r="V58" s="547">
        <v>832</v>
      </c>
      <c r="W58" s="548"/>
      <c r="Y58" s="544" t="s">
        <v>1674</v>
      </c>
      <c r="AA58" s="544" t="s">
        <v>1674</v>
      </c>
      <c r="AB58" s="542">
        <v>3</v>
      </c>
      <c r="AE58" s="551"/>
      <c r="AF58" s="544" t="s">
        <v>1674</v>
      </c>
      <c r="AG58" s="544" t="s">
        <v>1674</v>
      </c>
      <c r="AH58" s="544" t="s">
        <v>1674</v>
      </c>
      <c r="AI58" s="544" t="s">
        <v>1674</v>
      </c>
      <c r="AJ58" s="544" t="s">
        <v>1674</v>
      </c>
      <c r="AK58" s="544" t="s">
        <v>1674</v>
      </c>
      <c r="AL58" s="544" t="s">
        <v>1674</v>
      </c>
      <c r="AM58" s="544" t="s">
        <v>1674</v>
      </c>
      <c r="AN58" s="544" t="s">
        <v>1674</v>
      </c>
      <c r="AP58" s="542">
        <f t="shared" si="1"/>
        <v>15</v>
      </c>
      <c r="AR58" s="593">
        <f t="shared" si="0"/>
        <v>8.39</v>
      </c>
    </row>
    <row r="59" spans="1:44" outlineLevel="1" x14ac:dyDescent="0.25">
      <c r="A59" s="544" t="s">
        <v>1674</v>
      </c>
      <c r="B59" s="545">
        <v>0</v>
      </c>
      <c r="C59" s="544" t="s">
        <v>1674</v>
      </c>
      <c r="D59" s="544" t="s">
        <v>4311</v>
      </c>
      <c r="E59" s="542" t="s">
        <v>3726</v>
      </c>
      <c r="F59" s="542" t="s">
        <v>3727</v>
      </c>
      <c r="G59" s="546"/>
      <c r="H59" s="546">
        <v>5.87</v>
      </c>
      <c r="I59" s="546">
        <v>5.87</v>
      </c>
      <c r="J59" s="542" t="s">
        <v>2584</v>
      </c>
      <c r="K59" s="547">
        <v>4980</v>
      </c>
      <c r="L59" s="542" t="s">
        <v>806</v>
      </c>
      <c r="M59" s="548"/>
      <c r="N59" s="549">
        <v>-46</v>
      </c>
      <c r="O59" s="544" t="s">
        <v>1674</v>
      </c>
      <c r="P59" s="544" t="s">
        <v>1674</v>
      </c>
      <c r="Q59" s="544" t="s">
        <v>4020</v>
      </c>
      <c r="R59" s="544" t="s">
        <v>1674</v>
      </c>
      <c r="S59" s="544" t="s">
        <v>1674</v>
      </c>
      <c r="T59" s="550"/>
      <c r="U59" s="544" t="s">
        <v>3328</v>
      </c>
      <c r="V59" s="547">
        <v>831</v>
      </c>
      <c r="W59" s="548"/>
      <c r="Y59" s="544" t="s">
        <v>1674</v>
      </c>
      <c r="AA59" s="544" t="s">
        <v>1674</v>
      </c>
      <c r="AB59" s="542">
        <v>3</v>
      </c>
      <c r="AE59" s="551"/>
      <c r="AF59" s="544" t="s">
        <v>1674</v>
      </c>
      <c r="AG59" s="544" t="s">
        <v>1674</v>
      </c>
      <c r="AH59" s="544" t="s">
        <v>1674</v>
      </c>
      <c r="AI59" s="544" t="s">
        <v>1674</v>
      </c>
      <c r="AJ59" s="544" t="s">
        <v>1674</v>
      </c>
      <c r="AK59" s="544" t="s">
        <v>1674</v>
      </c>
      <c r="AL59" s="544" t="s">
        <v>1674</v>
      </c>
      <c r="AM59" s="544" t="s">
        <v>1674</v>
      </c>
      <c r="AN59" s="544" t="s">
        <v>1674</v>
      </c>
      <c r="AP59" s="542">
        <f t="shared" si="1"/>
        <v>15</v>
      </c>
      <c r="AR59" s="593">
        <f t="shared" si="0"/>
        <v>5.87</v>
      </c>
    </row>
    <row r="60" spans="1:44" outlineLevel="1" x14ac:dyDescent="0.25">
      <c r="A60" s="544" t="s">
        <v>1674</v>
      </c>
      <c r="B60" s="545">
        <v>90901</v>
      </c>
      <c r="C60" s="544" t="s">
        <v>4312</v>
      </c>
      <c r="D60" s="544" t="s">
        <v>4274</v>
      </c>
      <c r="E60" s="542" t="s">
        <v>3726</v>
      </c>
      <c r="G60" s="546">
        <v>111237</v>
      </c>
      <c r="H60" s="546"/>
      <c r="I60" s="546">
        <v>111237</v>
      </c>
      <c r="J60" s="542" t="s">
        <v>2701</v>
      </c>
      <c r="K60" s="547">
        <v>1200</v>
      </c>
      <c r="L60" s="542" t="s">
        <v>806</v>
      </c>
      <c r="M60" s="548"/>
      <c r="N60" s="549"/>
      <c r="O60" s="544" t="s">
        <v>1674</v>
      </c>
      <c r="P60" s="544" t="s">
        <v>1674</v>
      </c>
      <c r="Q60" s="544" t="s">
        <v>4313</v>
      </c>
      <c r="R60" s="544" t="s">
        <v>1674</v>
      </c>
      <c r="S60" s="544" t="s">
        <v>1674</v>
      </c>
      <c r="T60" s="550"/>
      <c r="U60" s="544" t="s">
        <v>3328</v>
      </c>
      <c r="V60" s="547">
        <v>889</v>
      </c>
      <c r="W60" s="548"/>
      <c r="Y60" s="544" t="s">
        <v>1674</v>
      </c>
      <c r="AA60" s="544" t="s">
        <v>1674</v>
      </c>
      <c r="AE60" s="551"/>
      <c r="AF60" s="544" t="s">
        <v>1674</v>
      </c>
      <c r="AG60" s="544" t="s">
        <v>1674</v>
      </c>
      <c r="AH60" s="544" t="s">
        <v>1674</v>
      </c>
      <c r="AI60" s="544" t="s">
        <v>1674</v>
      </c>
      <c r="AJ60" s="544" t="s">
        <v>1674</v>
      </c>
      <c r="AK60" s="544" t="s">
        <v>1674</v>
      </c>
      <c r="AL60" s="544" t="s">
        <v>1674</v>
      </c>
      <c r="AM60" s="544" t="s">
        <v>4314</v>
      </c>
      <c r="AN60" s="544" t="s">
        <v>1674</v>
      </c>
      <c r="AP60" s="542">
        <f t="shared" si="1"/>
        <v>0</v>
      </c>
      <c r="AR60" s="593">
        <f t="shared" si="0"/>
        <v>-111237</v>
      </c>
    </row>
    <row r="61" spans="1:44" outlineLevel="1" x14ac:dyDescent="0.25">
      <c r="A61" s="544" t="s">
        <v>1674</v>
      </c>
      <c r="B61" s="545">
        <v>70100</v>
      </c>
      <c r="C61" s="544" t="s">
        <v>2864</v>
      </c>
      <c r="D61" s="544" t="s">
        <v>4315</v>
      </c>
      <c r="E61" s="542" t="s">
        <v>3735</v>
      </c>
      <c r="F61" s="542" t="s">
        <v>3736</v>
      </c>
      <c r="G61" s="546"/>
      <c r="H61" s="546">
        <v>18.43</v>
      </c>
      <c r="I61" s="546">
        <v>18.43</v>
      </c>
      <c r="J61" s="542" t="s">
        <v>2584</v>
      </c>
      <c r="K61" s="547">
        <v>4805</v>
      </c>
      <c r="L61" s="542" t="s">
        <v>806</v>
      </c>
      <c r="M61" s="548"/>
      <c r="N61" s="549">
        <v>-45</v>
      </c>
      <c r="O61" s="544" t="s">
        <v>1674</v>
      </c>
      <c r="P61" s="544" t="s">
        <v>1674</v>
      </c>
      <c r="Q61" s="544" t="s">
        <v>4027</v>
      </c>
      <c r="R61" s="544" t="s">
        <v>1674</v>
      </c>
      <c r="S61" s="544" t="s">
        <v>1674</v>
      </c>
      <c r="T61" s="550">
        <v>19</v>
      </c>
      <c r="U61" s="544" t="s">
        <v>3328</v>
      </c>
      <c r="V61" s="547">
        <v>918</v>
      </c>
      <c r="W61" s="548"/>
      <c r="Y61" s="544" t="s">
        <v>1674</v>
      </c>
      <c r="AA61" s="544" t="s">
        <v>1674</v>
      </c>
      <c r="AB61" s="542">
        <v>3</v>
      </c>
      <c r="AE61" s="551"/>
      <c r="AF61" s="544" t="s">
        <v>1674</v>
      </c>
      <c r="AG61" s="544" t="s">
        <v>1674</v>
      </c>
      <c r="AH61" s="544" t="s">
        <v>1674</v>
      </c>
      <c r="AI61" s="544" t="s">
        <v>1674</v>
      </c>
      <c r="AJ61" s="544" t="s">
        <v>1674</v>
      </c>
      <c r="AK61" s="544" t="s">
        <v>1674</v>
      </c>
      <c r="AL61" s="544" t="s">
        <v>1674</v>
      </c>
      <c r="AM61" s="544" t="s">
        <v>2864</v>
      </c>
      <c r="AN61" s="544" t="s">
        <v>1674</v>
      </c>
      <c r="AP61" s="542">
        <f t="shared" si="1"/>
        <v>16</v>
      </c>
      <c r="AR61" s="593">
        <f t="shared" si="0"/>
        <v>18.43</v>
      </c>
    </row>
    <row r="62" spans="1:44" outlineLevel="1" x14ac:dyDescent="0.25">
      <c r="A62" s="544" t="s">
        <v>1674</v>
      </c>
      <c r="B62" s="545">
        <v>70200</v>
      </c>
      <c r="C62" s="544" t="s">
        <v>2774</v>
      </c>
      <c r="D62" s="544" t="s">
        <v>4316</v>
      </c>
      <c r="E62" s="542" t="s">
        <v>3735</v>
      </c>
      <c r="F62" s="542" t="s">
        <v>3736</v>
      </c>
      <c r="G62" s="546"/>
      <c r="H62" s="546">
        <v>595</v>
      </c>
      <c r="I62" s="546">
        <v>595</v>
      </c>
      <c r="J62" s="542" t="s">
        <v>2584</v>
      </c>
      <c r="K62" s="547">
        <v>4800</v>
      </c>
      <c r="L62" s="542" t="s">
        <v>806</v>
      </c>
      <c r="M62" s="548"/>
      <c r="N62" s="549">
        <v>-45</v>
      </c>
      <c r="O62" s="544" t="s">
        <v>1674</v>
      </c>
      <c r="P62" s="544" t="s">
        <v>1674</v>
      </c>
      <c r="Q62" s="544" t="s">
        <v>4317</v>
      </c>
      <c r="R62" s="544" t="s">
        <v>1674</v>
      </c>
      <c r="S62" s="544" t="s">
        <v>1674</v>
      </c>
      <c r="T62" s="550">
        <v>19</v>
      </c>
      <c r="U62" s="544" t="s">
        <v>3328</v>
      </c>
      <c r="V62" s="547">
        <v>931</v>
      </c>
      <c r="W62" s="548"/>
      <c r="Y62" s="544" t="s">
        <v>1674</v>
      </c>
      <c r="AA62" s="544" t="s">
        <v>1674</v>
      </c>
      <c r="AB62" s="542">
        <v>3</v>
      </c>
      <c r="AE62" s="551"/>
      <c r="AF62" s="544" t="s">
        <v>1674</v>
      </c>
      <c r="AG62" s="544" t="s">
        <v>1674</v>
      </c>
      <c r="AH62" s="544" t="s">
        <v>1674</v>
      </c>
      <c r="AI62" s="544" t="s">
        <v>1674</v>
      </c>
      <c r="AJ62" s="544" t="s">
        <v>1674</v>
      </c>
      <c r="AK62" s="544" t="s">
        <v>1674</v>
      </c>
      <c r="AL62" s="544" t="s">
        <v>1674</v>
      </c>
      <c r="AM62" s="544" t="s">
        <v>2774</v>
      </c>
      <c r="AN62" s="544" t="s">
        <v>1674</v>
      </c>
      <c r="AP62" s="542">
        <f t="shared" si="1"/>
        <v>16</v>
      </c>
      <c r="AR62" s="593">
        <f t="shared" si="0"/>
        <v>595</v>
      </c>
    </row>
    <row r="63" spans="1:44" outlineLevel="1" x14ac:dyDescent="0.25">
      <c r="A63" s="544" t="s">
        <v>1674</v>
      </c>
      <c r="B63" s="545">
        <v>71100</v>
      </c>
      <c r="C63" s="544" t="s">
        <v>2742</v>
      </c>
      <c r="D63" s="544" t="s">
        <v>4318</v>
      </c>
      <c r="E63" s="542" t="s">
        <v>3735</v>
      </c>
      <c r="F63" s="542" t="s">
        <v>3736</v>
      </c>
      <c r="G63" s="546"/>
      <c r="H63" s="546">
        <v>296.31</v>
      </c>
      <c r="I63" s="546"/>
      <c r="J63" s="542" t="s">
        <v>806</v>
      </c>
      <c r="K63" s="547">
        <v>480</v>
      </c>
      <c r="L63" s="542" t="s">
        <v>806</v>
      </c>
      <c r="M63" s="548"/>
      <c r="N63" s="549">
        <v>-45</v>
      </c>
      <c r="O63" s="544" t="s">
        <v>1674</v>
      </c>
      <c r="P63" s="544" t="s">
        <v>1674</v>
      </c>
      <c r="Q63" s="544" t="s">
        <v>4319</v>
      </c>
      <c r="R63" s="544" t="s">
        <v>1674</v>
      </c>
      <c r="S63" s="544" t="s">
        <v>1674</v>
      </c>
      <c r="T63" s="550">
        <v>19</v>
      </c>
      <c r="U63" s="544" t="s">
        <v>3328</v>
      </c>
      <c r="V63" s="547">
        <v>933</v>
      </c>
      <c r="W63" s="548" t="s">
        <v>2563</v>
      </c>
      <c r="Y63" s="544" t="s">
        <v>1674</v>
      </c>
      <c r="AA63" s="544" t="s">
        <v>1674</v>
      </c>
      <c r="AB63" s="542">
        <v>3</v>
      </c>
      <c r="AE63" s="551"/>
      <c r="AF63" s="544" t="s">
        <v>1674</v>
      </c>
      <c r="AG63" s="544" t="s">
        <v>1674</v>
      </c>
      <c r="AH63" s="544" t="s">
        <v>1674</v>
      </c>
      <c r="AI63" s="544" t="s">
        <v>1674</v>
      </c>
      <c r="AJ63" s="544" t="s">
        <v>1674</v>
      </c>
      <c r="AK63" s="544" t="s">
        <v>1674</v>
      </c>
      <c r="AL63" s="544" t="s">
        <v>1674</v>
      </c>
      <c r="AM63" s="544" t="s">
        <v>2742</v>
      </c>
      <c r="AN63" s="544" t="s">
        <v>1674</v>
      </c>
      <c r="AP63" s="542">
        <f t="shared" si="1"/>
        <v>16</v>
      </c>
      <c r="AR63" s="593">
        <f t="shared" si="0"/>
        <v>0</v>
      </c>
    </row>
    <row r="64" spans="1:44" outlineLevel="1" x14ac:dyDescent="0.25">
      <c r="A64" s="544" t="s">
        <v>1674</v>
      </c>
      <c r="B64" s="545">
        <v>0</v>
      </c>
      <c r="C64" s="544" t="s">
        <v>1674</v>
      </c>
      <c r="D64" s="544" t="s">
        <v>4318</v>
      </c>
      <c r="E64" s="542" t="s">
        <v>3735</v>
      </c>
      <c r="F64" s="542" t="s">
        <v>3736</v>
      </c>
      <c r="G64" s="546"/>
      <c r="H64" s="546">
        <v>122.57</v>
      </c>
      <c r="I64" s="546">
        <v>418.88</v>
      </c>
      <c r="J64" s="542" t="s">
        <v>2584</v>
      </c>
      <c r="K64" s="547">
        <v>4805</v>
      </c>
      <c r="L64" s="542" t="s">
        <v>806</v>
      </c>
      <c r="M64" s="548"/>
      <c r="N64" s="549">
        <v>-45</v>
      </c>
      <c r="O64" s="544" t="s">
        <v>1674</v>
      </c>
      <c r="P64" s="544" t="s">
        <v>1674</v>
      </c>
      <c r="Q64" s="544" t="s">
        <v>4320</v>
      </c>
      <c r="R64" s="544" t="s">
        <v>1674</v>
      </c>
      <c r="S64" s="544" t="s">
        <v>1674</v>
      </c>
      <c r="T64" s="550">
        <v>19</v>
      </c>
      <c r="U64" s="544" t="s">
        <v>3328</v>
      </c>
      <c r="V64" s="547">
        <v>943</v>
      </c>
      <c r="W64" s="548"/>
      <c r="Y64" s="544" t="s">
        <v>1674</v>
      </c>
      <c r="AA64" s="544" t="s">
        <v>1674</v>
      </c>
      <c r="AB64" s="542">
        <v>3</v>
      </c>
      <c r="AE64" s="551"/>
      <c r="AF64" s="544" t="s">
        <v>1674</v>
      </c>
      <c r="AG64" s="544" t="s">
        <v>1674</v>
      </c>
      <c r="AH64" s="544" t="s">
        <v>1674</v>
      </c>
      <c r="AI64" s="544" t="s">
        <v>1674</v>
      </c>
      <c r="AJ64" s="544" t="s">
        <v>1674</v>
      </c>
      <c r="AK64" s="544" t="s">
        <v>1674</v>
      </c>
      <c r="AL64" s="544" t="s">
        <v>1674</v>
      </c>
      <c r="AM64" s="544" t="s">
        <v>1674</v>
      </c>
      <c r="AN64" s="544" t="s">
        <v>1674</v>
      </c>
      <c r="AP64" s="542">
        <f t="shared" si="1"/>
        <v>16</v>
      </c>
      <c r="AR64" s="593">
        <f t="shared" si="0"/>
        <v>418.88</v>
      </c>
    </row>
    <row r="65" spans="1:44" outlineLevel="1" x14ac:dyDescent="0.25">
      <c r="A65" s="544" t="s">
        <v>1674</v>
      </c>
      <c r="B65" s="545">
        <v>71300</v>
      </c>
      <c r="C65" s="544" t="s">
        <v>3550</v>
      </c>
      <c r="D65" s="544" t="s">
        <v>4321</v>
      </c>
      <c r="E65" s="542" t="s">
        <v>3735</v>
      </c>
      <c r="F65" s="542" t="s">
        <v>3736</v>
      </c>
      <c r="G65" s="546"/>
      <c r="H65" s="546">
        <v>392.7</v>
      </c>
      <c r="I65" s="546"/>
      <c r="J65" s="542" t="s">
        <v>806</v>
      </c>
      <c r="K65" s="547">
        <v>3400</v>
      </c>
      <c r="L65" s="542" t="s">
        <v>806</v>
      </c>
      <c r="M65" s="548"/>
      <c r="N65" s="549">
        <v>-45</v>
      </c>
      <c r="O65" s="544" t="s">
        <v>1674</v>
      </c>
      <c r="P65" s="544" t="s">
        <v>1674</v>
      </c>
      <c r="Q65" s="544" t="s">
        <v>4054</v>
      </c>
      <c r="R65" s="544" t="s">
        <v>1674</v>
      </c>
      <c r="S65" s="544" t="s">
        <v>1674</v>
      </c>
      <c r="T65" s="550">
        <v>19</v>
      </c>
      <c r="U65" s="544" t="s">
        <v>3328</v>
      </c>
      <c r="V65" s="547">
        <v>913</v>
      </c>
      <c r="W65" s="548"/>
      <c r="Y65" s="544" t="s">
        <v>1674</v>
      </c>
      <c r="AA65" s="544" t="s">
        <v>1674</v>
      </c>
      <c r="AB65" s="542">
        <v>3</v>
      </c>
      <c r="AE65" s="551"/>
      <c r="AF65" s="544" t="s">
        <v>1674</v>
      </c>
      <c r="AG65" s="544" t="s">
        <v>1674</v>
      </c>
      <c r="AH65" s="544" t="s">
        <v>1674</v>
      </c>
      <c r="AI65" s="544" t="s">
        <v>1674</v>
      </c>
      <c r="AJ65" s="544" t="s">
        <v>1674</v>
      </c>
      <c r="AK65" s="544" t="s">
        <v>1674</v>
      </c>
      <c r="AL65" s="544" t="s">
        <v>1674</v>
      </c>
      <c r="AM65" s="544" t="s">
        <v>3550</v>
      </c>
      <c r="AN65" s="544" t="s">
        <v>1674</v>
      </c>
      <c r="AP65" s="542">
        <f t="shared" si="1"/>
        <v>16</v>
      </c>
      <c r="AR65" s="593">
        <f t="shared" si="0"/>
        <v>0</v>
      </c>
    </row>
    <row r="66" spans="1:44" outlineLevel="1" x14ac:dyDescent="0.25">
      <c r="A66" s="544" t="s">
        <v>1674</v>
      </c>
      <c r="B66" s="545">
        <v>0</v>
      </c>
      <c r="C66" s="544" t="s">
        <v>1674</v>
      </c>
      <c r="D66" s="544" t="s">
        <v>4321</v>
      </c>
      <c r="E66" s="542" t="s">
        <v>3735</v>
      </c>
      <c r="F66" s="542" t="s">
        <v>3736</v>
      </c>
      <c r="G66" s="546"/>
      <c r="H66" s="546">
        <v>14.28</v>
      </c>
      <c r="I66" s="546">
        <v>406.98</v>
      </c>
      <c r="J66" s="542" t="s">
        <v>2584</v>
      </c>
      <c r="K66" s="547">
        <v>3800</v>
      </c>
      <c r="L66" s="542" t="s">
        <v>806</v>
      </c>
      <c r="M66" s="548"/>
      <c r="N66" s="549">
        <v>-45</v>
      </c>
      <c r="O66" s="544" t="s">
        <v>1674</v>
      </c>
      <c r="P66" s="544" t="s">
        <v>1674</v>
      </c>
      <c r="Q66" s="544" t="s">
        <v>4055</v>
      </c>
      <c r="R66" s="544" t="s">
        <v>1674</v>
      </c>
      <c r="S66" s="544" t="s">
        <v>1674</v>
      </c>
      <c r="T66" s="550">
        <v>19</v>
      </c>
      <c r="U66" s="544" t="s">
        <v>3328</v>
      </c>
      <c r="V66" s="547">
        <v>932</v>
      </c>
      <c r="W66" s="548"/>
      <c r="Y66" s="544" t="s">
        <v>1674</v>
      </c>
      <c r="AA66" s="544" t="s">
        <v>1674</v>
      </c>
      <c r="AB66" s="542">
        <v>3</v>
      </c>
      <c r="AE66" s="551"/>
      <c r="AF66" s="544" t="s">
        <v>1674</v>
      </c>
      <c r="AG66" s="544" t="s">
        <v>1674</v>
      </c>
      <c r="AH66" s="544" t="s">
        <v>1674</v>
      </c>
      <c r="AI66" s="544" t="s">
        <v>1674</v>
      </c>
      <c r="AJ66" s="544" t="s">
        <v>1674</v>
      </c>
      <c r="AK66" s="544" t="s">
        <v>1674</v>
      </c>
      <c r="AL66" s="544" t="s">
        <v>1674</v>
      </c>
      <c r="AM66" s="544" t="s">
        <v>1674</v>
      </c>
      <c r="AN66" s="544" t="s">
        <v>1674</v>
      </c>
      <c r="AP66" s="542">
        <f t="shared" si="1"/>
        <v>16</v>
      </c>
      <c r="AR66" s="593">
        <f t="shared" si="0"/>
        <v>406.98</v>
      </c>
    </row>
    <row r="67" spans="1:44" outlineLevel="1" x14ac:dyDescent="0.25">
      <c r="A67" s="544" t="s">
        <v>1674</v>
      </c>
      <c r="B67" s="545">
        <v>81304</v>
      </c>
      <c r="C67" s="544" t="s">
        <v>4322</v>
      </c>
      <c r="D67" s="544" t="s">
        <v>4323</v>
      </c>
      <c r="E67" s="542" t="s">
        <v>3735</v>
      </c>
      <c r="F67" s="542" t="s">
        <v>3736</v>
      </c>
      <c r="G67" s="546"/>
      <c r="H67" s="546">
        <v>705.78</v>
      </c>
      <c r="I67" s="546">
        <v>705.78</v>
      </c>
      <c r="J67" s="542" t="s">
        <v>2584</v>
      </c>
      <c r="K67" s="547">
        <v>3425</v>
      </c>
      <c r="L67" s="542" t="s">
        <v>806</v>
      </c>
      <c r="M67" s="548"/>
      <c r="N67" s="549">
        <v>-45</v>
      </c>
      <c r="O67" s="544" t="s">
        <v>1674</v>
      </c>
      <c r="P67" s="544" t="s">
        <v>1674</v>
      </c>
      <c r="Q67" s="544" t="s">
        <v>4324</v>
      </c>
      <c r="R67" s="544" t="s">
        <v>1674</v>
      </c>
      <c r="S67" s="544" t="s">
        <v>1674</v>
      </c>
      <c r="T67" s="550">
        <v>19</v>
      </c>
      <c r="U67" s="544" t="s">
        <v>3328</v>
      </c>
      <c r="V67" s="547">
        <v>916</v>
      </c>
      <c r="W67" s="548"/>
      <c r="Y67" s="544" t="s">
        <v>1674</v>
      </c>
      <c r="AA67" s="544" t="s">
        <v>1674</v>
      </c>
      <c r="AB67" s="542">
        <v>3</v>
      </c>
      <c r="AE67" s="551"/>
      <c r="AF67" s="544" t="s">
        <v>1674</v>
      </c>
      <c r="AG67" s="544" t="s">
        <v>1674</v>
      </c>
      <c r="AH67" s="544" t="s">
        <v>1674</v>
      </c>
      <c r="AI67" s="544" t="s">
        <v>1674</v>
      </c>
      <c r="AJ67" s="544" t="s">
        <v>1674</v>
      </c>
      <c r="AK67" s="544" t="s">
        <v>1674</v>
      </c>
      <c r="AL67" s="544" t="s">
        <v>1674</v>
      </c>
      <c r="AM67" s="544" t="s">
        <v>4325</v>
      </c>
      <c r="AN67" s="544" t="s">
        <v>1674</v>
      </c>
      <c r="AP67" s="542">
        <f t="shared" si="1"/>
        <v>16</v>
      </c>
      <c r="AR67" s="593">
        <f t="shared" si="0"/>
        <v>705.78</v>
      </c>
    </row>
    <row r="68" spans="1:44" outlineLevel="1" x14ac:dyDescent="0.25">
      <c r="A68" s="544" t="s">
        <v>1674</v>
      </c>
      <c r="B68" s="545">
        <v>70200</v>
      </c>
      <c r="C68" s="544" t="s">
        <v>2774</v>
      </c>
      <c r="D68" s="544" t="s">
        <v>4326</v>
      </c>
      <c r="E68" s="542" t="s">
        <v>3625</v>
      </c>
      <c r="F68" s="542" t="s">
        <v>3741</v>
      </c>
      <c r="G68" s="546"/>
      <c r="H68" s="546">
        <v>1492.26</v>
      </c>
      <c r="I68" s="546">
        <v>1492.26</v>
      </c>
      <c r="J68" s="542" t="s">
        <v>2584</v>
      </c>
      <c r="K68" s="547">
        <v>3400</v>
      </c>
      <c r="L68" s="542" t="s">
        <v>806</v>
      </c>
      <c r="M68" s="548"/>
      <c r="N68" s="549">
        <v>-44</v>
      </c>
      <c r="O68" s="544" t="s">
        <v>1674</v>
      </c>
      <c r="P68" s="544" t="s">
        <v>1674</v>
      </c>
      <c r="Q68" s="544" t="s">
        <v>4076</v>
      </c>
      <c r="R68" s="544" t="s">
        <v>1674</v>
      </c>
      <c r="S68" s="544" t="s">
        <v>1674</v>
      </c>
      <c r="T68" s="550">
        <v>19</v>
      </c>
      <c r="U68" s="544" t="s">
        <v>3328</v>
      </c>
      <c r="V68" s="547">
        <v>1001</v>
      </c>
      <c r="W68" s="548"/>
      <c r="Y68" s="544" t="s">
        <v>1674</v>
      </c>
      <c r="AA68" s="544" t="s">
        <v>1674</v>
      </c>
      <c r="AB68" s="542">
        <v>3</v>
      </c>
      <c r="AE68" s="551"/>
      <c r="AF68" s="544" t="s">
        <v>1674</v>
      </c>
      <c r="AG68" s="544" t="s">
        <v>1674</v>
      </c>
      <c r="AH68" s="544" t="s">
        <v>1674</v>
      </c>
      <c r="AI68" s="544" t="s">
        <v>1674</v>
      </c>
      <c r="AJ68" s="544" t="s">
        <v>1674</v>
      </c>
      <c r="AK68" s="544" t="s">
        <v>1674</v>
      </c>
      <c r="AL68" s="544" t="s">
        <v>1674</v>
      </c>
      <c r="AM68" s="544" t="s">
        <v>2774</v>
      </c>
      <c r="AN68" s="544" t="s">
        <v>1674</v>
      </c>
      <c r="AP68" s="542">
        <f t="shared" si="1"/>
        <v>17</v>
      </c>
      <c r="AR68" s="593">
        <f t="shared" ref="AR68:AR131" si="2">IF(J68="H",+I68,-I68)</f>
        <v>1492.26</v>
      </c>
    </row>
    <row r="69" spans="1:44" outlineLevel="1" x14ac:dyDescent="0.25">
      <c r="A69" s="544" t="s">
        <v>1674</v>
      </c>
      <c r="B69" s="545">
        <v>70500</v>
      </c>
      <c r="C69" s="544" t="s">
        <v>2918</v>
      </c>
      <c r="D69" s="544" t="s">
        <v>4327</v>
      </c>
      <c r="E69" s="542" t="s">
        <v>3625</v>
      </c>
      <c r="F69" s="542" t="s">
        <v>3741</v>
      </c>
      <c r="G69" s="546"/>
      <c r="H69" s="546">
        <v>273.82</v>
      </c>
      <c r="I69" s="546">
        <v>273.82</v>
      </c>
      <c r="J69" s="542" t="s">
        <v>2584</v>
      </c>
      <c r="K69" s="547">
        <v>4980</v>
      </c>
      <c r="L69" s="542" t="s">
        <v>806</v>
      </c>
      <c r="M69" s="548"/>
      <c r="N69" s="549">
        <v>-44</v>
      </c>
      <c r="O69" s="544" t="s">
        <v>1674</v>
      </c>
      <c r="P69" s="544" t="s">
        <v>1674</v>
      </c>
      <c r="Q69" s="544" t="s">
        <v>4328</v>
      </c>
      <c r="R69" s="544" t="s">
        <v>1674</v>
      </c>
      <c r="S69" s="544" t="s">
        <v>1674</v>
      </c>
      <c r="T69" s="550">
        <v>19</v>
      </c>
      <c r="U69" s="544" t="s">
        <v>3328</v>
      </c>
      <c r="V69" s="547">
        <v>999</v>
      </c>
      <c r="W69" s="548"/>
      <c r="Y69" s="544" t="s">
        <v>1674</v>
      </c>
      <c r="AA69" s="544" t="s">
        <v>1674</v>
      </c>
      <c r="AB69" s="542">
        <v>3</v>
      </c>
      <c r="AE69" s="551"/>
      <c r="AF69" s="544" t="s">
        <v>1674</v>
      </c>
      <c r="AG69" s="544" t="s">
        <v>1674</v>
      </c>
      <c r="AH69" s="544" t="s">
        <v>1674</v>
      </c>
      <c r="AI69" s="544" t="s">
        <v>1674</v>
      </c>
      <c r="AJ69" s="544" t="s">
        <v>1674</v>
      </c>
      <c r="AK69" s="544" t="s">
        <v>1674</v>
      </c>
      <c r="AL69" s="544" t="s">
        <v>1674</v>
      </c>
      <c r="AM69" s="544" t="s">
        <v>2918</v>
      </c>
      <c r="AN69" s="544" t="s">
        <v>1674</v>
      </c>
      <c r="AP69" s="542">
        <f t="shared" ref="AP69:AP132" si="3">IF(F69&lt;&gt;0,($AP$2-$F69)*-1,0)</f>
        <v>17</v>
      </c>
      <c r="AR69" s="593">
        <f t="shared" si="2"/>
        <v>273.82</v>
      </c>
    </row>
    <row r="70" spans="1:44" outlineLevel="1" x14ac:dyDescent="0.25">
      <c r="A70" s="544" t="s">
        <v>1674</v>
      </c>
      <c r="B70" s="545">
        <v>70603</v>
      </c>
      <c r="C70" s="544" t="s">
        <v>4329</v>
      </c>
      <c r="D70" s="544" t="s">
        <v>4330</v>
      </c>
      <c r="E70" s="542" t="s">
        <v>3625</v>
      </c>
      <c r="F70" s="542" t="s">
        <v>3741</v>
      </c>
      <c r="G70" s="546"/>
      <c r="H70" s="546">
        <v>719.95</v>
      </c>
      <c r="I70" s="546"/>
      <c r="J70" s="542" t="s">
        <v>806</v>
      </c>
      <c r="K70" s="547">
        <v>3400</v>
      </c>
      <c r="L70" s="542" t="s">
        <v>806</v>
      </c>
      <c r="M70" s="548"/>
      <c r="N70" s="549">
        <v>-44</v>
      </c>
      <c r="O70" s="544" t="s">
        <v>1674</v>
      </c>
      <c r="P70" s="544" t="s">
        <v>1674</v>
      </c>
      <c r="Q70" s="544" t="s">
        <v>4329</v>
      </c>
      <c r="R70" s="544" t="s">
        <v>1674</v>
      </c>
      <c r="S70" s="544" t="s">
        <v>1674</v>
      </c>
      <c r="T70" s="550">
        <v>19</v>
      </c>
      <c r="U70" s="544" t="s">
        <v>3328</v>
      </c>
      <c r="V70" s="547">
        <v>997</v>
      </c>
      <c r="W70" s="548"/>
      <c r="Y70" s="544" t="s">
        <v>1674</v>
      </c>
      <c r="AA70" s="544" t="s">
        <v>1674</v>
      </c>
      <c r="AB70" s="542">
        <v>3</v>
      </c>
      <c r="AE70" s="551"/>
      <c r="AF70" s="544" t="s">
        <v>1674</v>
      </c>
      <c r="AG70" s="544" t="s">
        <v>1674</v>
      </c>
      <c r="AH70" s="544" t="s">
        <v>1674</v>
      </c>
      <c r="AI70" s="544" t="s">
        <v>1674</v>
      </c>
      <c r="AJ70" s="544" t="s">
        <v>1674</v>
      </c>
      <c r="AK70" s="544" t="s">
        <v>1674</v>
      </c>
      <c r="AL70" s="544" t="s">
        <v>1674</v>
      </c>
      <c r="AM70" s="544" t="s">
        <v>4331</v>
      </c>
      <c r="AN70" s="544" t="s">
        <v>1674</v>
      </c>
      <c r="AP70" s="542">
        <f t="shared" si="3"/>
        <v>17</v>
      </c>
      <c r="AR70" s="593">
        <f t="shared" si="2"/>
        <v>0</v>
      </c>
    </row>
    <row r="71" spans="1:44" outlineLevel="1" x14ac:dyDescent="0.25">
      <c r="A71" s="544" t="s">
        <v>1674</v>
      </c>
      <c r="B71" s="545">
        <v>0</v>
      </c>
      <c r="C71" s="544" t="s">
        <v>1674</v>
      </c>
      <c r="D71" s="544" t="s">
        <v>4330</v>
      </c>
      <c r="E71" s="542" t="s">
        <v>3625</v>
      </c>
      <c r="F71" s="542" t="s">
        <v>3741</v>
      </c>
      <c r="G71" s="546"/>
      <c r="H71" s="546">
        <v>21.42</v>
      </c>
      <c r="I71" s="546">
        <v>741.37</v>
      </c>
      <c r="J71" s="542" t="s">
        <v>2584</v>
      </c>
      <c r="K71" s="547">
        <v>3800</v>
      </c>
      <c r="L71" s="542" t="s">
        <v>806</v>
      </c>
      <c r="M71" s="548"/>
      <c r="N71" s="549">
        <v>-44</v>
      </c>
      <c r="O71" s="544" t="s">
        <v>1674</v>
      </c>
      <c r="P71" s="544" t="s">
        <v>1674</v>
      </c>
      <c r="Q71" s="544" t="s">
        <v>4332</v>
      </c>
      <c r="R71" s="544" t="s">
        <v>1674</v>
      </c>
      <c r="S71" s="544" t="s">
        <v>1674</v>
      </c>
      <c r="T71" s="550">
        <v>19</v>
      </c>
      <c r="U71" s="544" t="s">
        <v>3328</v>
      </c>
      <c r="V71" s="547">
        <v>998</v>
      </c>
      <c r="W71" s="548"/>
      <c r="Y71" s="544" t="s">
        <v>1674</v>
      </c>
      <c r="AA71" s="544" t="s">
        <v>1674</v>
      </c>
      <c r="AB71" s="542">
        <v>3</v>
      </c>
      <c r="AE71" s="551"/>
      <c r="AF71" s="544" t="s">
        <v>1674</v>
      </c>
      <c r="AG71" s="544" t="s">
        <v>1674</v>
      </c>
      <c r="AH71" s="544" t="s">
        <v>1674</v>
      </c>
      <c r="AI71" s="544" t="s">
        <v>1674</v>
      </c>
      <c r="AJ71" s="544" t="s">
        <v>1674</v>
      </c>
      <c r="AK71" s="544" t="s">
        <v>1674</v>
      </c>
      <c r="AL71" s="544" t="s">
        <v>1674</v>
      </c>
      <c r="AM71" s="544" t="s">
        <v>1674</v>
      </c>
      <c r="AN71" s="544" t="s">
        <v>1674</v>
      </c>
      <c r="AP71" s="542">
        <f t="shared" si="3"/>
        <v>17</v>
      </c>
      <c r="AR71" s="593">
        <f t="shared" si="2"/>
        <v>741.37</v>
      </c>
    </row>
    <row r="72" spans="1:44" outlineLevel="1" x14ac:dyDescent="0.25">
      <c r="A72" s="544" t="s">
        <v>1674</v>
      </c>
      <c r="B72" s="545">
        <v>71807</v>
      </c>
      <c r="C72" s="544" t="s">
        <v>4333</v>
      </c>
      <c r="D72" s="544" t="s">
        <v>4334</v>
      </c>
      <c r="E72" s="542" t="s">
        <v>3625</v>
      </c>
      <c r="F72" s="542" t="s">
        <v>3741</v>
      </c>
      <c r="G72" s="546"/>
      <c r="H72" s="546">
        <v>25319.73</v>
      </c>
      <c r="I72" s="546">
        <v>25319.73</v>
      </c>
      <c r="J72" s="542" t="s">
        <v>2584</v>
      </c>
      <c r="K72" s="547">
        <v>3400</v>
      </c>
      <c r="L72" s="542" t="s">
        <v>806</v>
      </c>
      <c r="M72" s="548"/>
      <c r="N72" s="549">
        <v>-44</v>
      </c>
      <c r="O72" s="544" t="s">
        <v>1674</v>
      </c>
      <c r="P72" s="544" t="s">
        <v>1674</v>
      </c>
      <c r="Q72" s="544" t="s">
        <v>4333</v>
      </c>
      <c r="R72" s="544" t="s">
        <v>1674</v>
      </c>
      <c r="S72" s="544" t="s">
        <v>1674</v>
      </c>
      <c r="T72" s="550">
        <v>19</v>
      </c>
      <c r="U72" s="544" t="s">
        <v>3328</v>
      </c>
      <c r="V72" s="547">
        <v>1002</v>
      </c>
      <c r="W72" s="548"/>
      <c r="Y72" s="544" t="s">
        <v>1674</v>
      </c>
      <c r="AA72" s="544" t="s">
        <v>1674</v>
      </c>
      <c r="AB72" s="542">
        <v>3</v>
      </c>
      <c r="AE72" s="551"/>
      <c r="AF72" s="544" t="s">
        <v>1674</v>
      </c>
      <c r="AG72" s="544" t="s">
        <v>1674</v>
      </c>
      <c r="AH72" s="544" t="s">
        <v>1674</v>
      </c>
      <c r="AI72" s="544" t="s">
        <v>1674</v>
      </c>
      <c r="AJ72" s="544" t="s">
        <v>1674</v>
      </c>
      <c r="AK72" s="544" t="s">
        <v>1674</v>
      </c>
      <c r="AL72" s="544" t="s">
        <v>1674</v>
      </c>
      <c r="AM72" s="544" t="s">
        <v>4333</v>
      </c>
      <c r="AN72" s="544" t="s">
        <v>1674</v>
      </c>
      <c r="AP72" s="542">
        <f>IF(F72&lt;&gt;0,($AP$2-$F72)*-1,0)</f>
        <v>17</v>
      </c>
      <c r="AR72" s="593">
        <f t="shared" si="2"/>
        <v>25319.73</v>
      </c>
    </row>
    <row r="73" spans="1:44" outlineLevel="1" x14ac:dyDescent="0.25">
      <c r="A73" s="544" t="s">
        <v>1674</v>
      </c>
      <c r="B73" s="545">
        <v>71900</v>
      </c>
      <c r="C73" s="544" t="s">
        <v>2854</v>
      </c>
      <c r="D73" s="544" t="s">
        <v>4335</v>
      </c>
      <c r="E73" s="542" t="s">
        <v>3625</v>
      </c>
      <c r="F73" s="542" t="s">
        <v>3741</v>
      </c>
      <c r="G73" s="546"/>
      <c r="H73" s="546">
        <v>372.47</v>
      </c>
      <c r="I73" s="546">
        <v>372.47</v>
      </c>
      <c r="J73" s="542" t="s">
        <v>2584</v>
      </c>
      <c r="K73" s="547">
        <v>3106</v>
      </c>
      <c r="L73" s="542" t="s">
        <v>806</v>
      </c>
      <c r="M73" s="548"/>
      <c r="N73" s="549">
        <v>-44</v>
      </c>
      <c r="O73" s="544" t="s">
        <v>1674</v>
      </c>
      <c r="P73" s="544" t="s">
        <v>1674</v>
      </c>
      <c r="Q73" s="544" t="s">
        <v>4336</v>
      </c>
      <c r="R73" s="544" t="s">
        <v>1674</v>
      </c>
      <c r="S73" s="544" t="s">
        <v>1674</v>
      </c>
      <c r="T73" s="550">
        <v>19</v>
      </c>
      <c r="U73" s="544" t="s">
        <v>3328</v>
      </c>
      <c r="V73" s="547">
        <v>992</v>
      </c>
      <c r="W73" s="548"/>
      <c r="Y73" s="544" t="s">
        <v>1674</v>
      </c>
      <c r="AA73" s="544" t="s">
        <v>1674</v>
      </c>
      <c r="AB73" s="542">
        <v>3</v>
      </c>
      <c r="AE73" s="551"/>
      <c r="AF73" s="544" t="s">
        <v>1674</v>
      </c>
      <c r="AG73" s="544" t="s">
        <v>1674</v>
      </c>
      <c r="AH73" s="544" t="s">
        <v>1674</v>
      </c>
      <c r="AI73" s="544" t="s">
        <v>1674</v>
      </c>
      <c r="AJ73" s="544" t="s">
        <v>1674</v>
      </c>
      <c r="AK73" s="544" t="s">
        <v>1674</v>
      </c>
      <c r="AL73" s="544" t="s">
        <v>1674</v>
      </c>
      <c r="AM73" s="544" t="s">
        <v>2854</v>
      </c>
      <c r="AN73" s="544" t="s">
        <v>1674</v>
      </c>
      <c r="AP73" s="542">
        <f t="shared" si="3"/>
        <v>17</v>
      </c>
      <c r="AR73" s="593">
        <f t="shared" si="2"/>
        <v>372.47</v>
      </c>
    </row>
    <row r="74" spans="1:44" outlineLevel="1" x14ac:dyDescent="0.25">
      <c r="A74" s="544" t="s">
        <v>1674</v>
      </c>
      <c r="B74" s="545">
        <v>72100</v>
      </c>
      <c r="C74" s="544" t="s">
        <v>2955</v>
      </c>
      <c r="D74" s="544" t="s">
        <v>4337</v>
      </c>
      <c r="E74" s="542" t="s">
        <v>3625</v>
      </c>
      <c r="F74" s="542" t="s">
        <v>3741</v>
      </c>
      <c r="G74" s="546"/>
      <c r="H74" s="546">
        <v>6722.46</v>
      </c>
      <c r="I74" s="546">
        <v>6722.46</v>
      </c>
      <c r="J74" s="542" t="s">
        <v>2584</v>
      </c>
      <c r="K74" s="547">
        <v>4240</v>
      </c>
      <c r="L74" s="542" t="s">
        <v>806</v>
      </c>
      <c r="M74" s="548"/>
      <c r="N74" s="549">
        <v>-44</v>
      </c>
      <c r="O74" s="544" t="s">
        <v>1674</v>
      </c>
      <c r="P74" s="544" t="s">
        <v>1674</v>
      </c>
      <c r="Q74" s="544" t="s">
        <v>4338</v>
      </c>
      <c r="R74" s="544" t="s">
        <v>1674</v>
      </c>
      <c r="S74" s="544" t="s">
        <v>1674</v>
      </c>
      <c r="T74" s="550">
        <v>19</v>
      </c>
      <c r="U74" s="544" t="s">
        <v>3328</v>
      </c>
      <c r="V74" s="547">
        <v>996</v>
      </c>
      <c r="W74" s="548"/>
      <c r="Y74" s="544" t="s">
        <v>1674</v>
      </c>
      <c r="AA74" s="544" t="s">
        <v>1674</v>
      </c>
      <c r="AB74" s="542">
        <v>3</v>
      </c>
      <c r="AE74" s="551"/>
      <c r="AF74" s="544" t="s">
        <v>1674</v>
      </c>
      <c r="AG74" s="544" t="s">
        <v>1674</v>
      </c>
      <c r="AH74" s="544" t="s">
        <v>1674</v>
      </c>
      <c r="AI74" s="544" t="s">
        <v>1674</v>
      </c>
      <c r="AJ74" s="544" t="s">
        <v>1674</v>
      </c>
      <c r="AK74" s="544" t="s">
        <v>1674</v>
      </c>
      <c r="AL74" s="544" t="s">
        <v>1674</v>
      </c>
      <c r="AM74" s="544" t="s">
        <v>2955</v>
      </c>
      <c r="AN74" s="544" t="s">
        <v>1674</v>
      </c>
      <c r="AP74" s="542">
        <f t="shared" si="3"/>
        <v>17</v>
      </c>
      <c r="AR74" s="593">
        <f t="shared" si="2"/>
        <v>6722.46</v>
      </c>
    </row>
    <row r="75" spans="1:44" outlineLevel="1" x14ac:dyDescent="0.25">
      <c r="A75" s="544" t="s">
        <v>1674</v>
      </c>
      <c r="B75" s="545">
        <v>72800</v>
      </c>
      <c r="C75" s="544" t="s">
        <v>3150</v>
      </c>
      <c r="D75" s="544" t="s">
        <v>4339</v>
      </c>
      <c r="E75" s="542" t="s">
        <v>3625</v>
      </c>
      <c r="F75" s="542" t="s">
        <v>3741</v>
      </c>
      <c r="G75" s="546"/>
      <c r="H75" s="546">
        <v>183.97</v>
      </c>
      <c r="I75" s="546">
        <v>183.97</v>
      </c>
      <c r="J75" s="542" t="s">
        <v>2584</v>
      </c>
      <c r="K75" s="547">
        <v>4900</v>
      </c>
      <c r="L75" s="542" t="s">
        <v>806</v>
      </c>
      <c r="M75" s="548"/>
      <c r="N75" s="549">
        <v>-44</v>
      </c>
      <c r="O75" s="544" t="s">
        <v>1674</v>
      </c>
      <c r="P75" s="544" t="s">
        <v>1674</v>
      </c>
      <c r="Q75" s="544" t="s">
        <v>4340</v>
      </c>
      <c r="R75" s="544" t="s">
        <v>1674</v>
      </c>
      <c r="S75" s="544" t="s">
        <v>1674</v>
      </c>
      <c r="T75" s="550">
        <v>19</v>
      </c>
      <c r="U75" s="544" t="s">
        <v>3328</v>
      </c>
      <c r="V75" s="547">
        <v>993</v>
      </c>
      <c r="W75" s="548"/>
      <c r="Y75" s="544" t="s">
        <v>1674</v>
      </c>
      <c r="AA75" s="544" t="s">
        <v>1674</v>
      </c>
      <c r="AB75" s="542">
        <v>3</v>
      </c>
      <c r="AE75" s="551"/>
      <c r="AF75" s="544" t="s">
        <v>1674</v>
      </c>
      <c r="AG75" s="544" t="s">
        <v>1674</v>
      </c>
      <c r="AH75" s="544" t="s">
        <v>1674</v>
      </c>
      <c r="AI75" s="544" t="s">
        <v>1674</v>
      </c>
      <c r="AJ75" s="544" t="s">
        <v>1674</v>
      </c>
      <c r="AK75" s="544" t="s">
        <v>1674</v>
      </c>
      <c r="AL75" s="544" t="s">
        <v>1674</v>
      </c>
      <c r="AM75" s="544" t="s">
        <v>3150</v>
      </c>
      <c r="AN75" s="544" t="s">
        <v>1674</v>
      </c>
      <c r="AP75" s="542">
        <f t="shared" si="3"/>
        <v>17</v>
      </c>
      <c r="AR75" s="593">
        <f t="shared" si="2"/>
        <v>183.97</v>
      </c>
    </row>
    <row r="76" spans="1:44" outlineLevel="1" x14ac:dyDescent="0.25">
      <c r="A76" s="544" t="s">
        <v>1674</v>
      </c>
      <c r="B76" s="545">
        <v>80301</v>
      </c>
      <c r="C76" s="544" t="s">
        <v>4341</v>
      </c>
      <c r="D76" s="544" t="s">
        <v>4342</v>
      </c>
      <c r="E76" s="542" t="s">
        <v>3625</v>
      </c>
      <c r="F76" s="542" t="s">
        <v>4343</v>
      </c>
      <c r="G76" s="546"/>
      <c r="H76" s="546">
        <v>1391.9</v>
      </c>
      <c r="I76" s="546"/>
      <c r="J76" s="542" t="s">
        <v>806</v>
      </c>
      <c r="K76" s="547">
        <v>3425</v>
      </c>
      <c r="L76" s="542" t="s">
        <v>806</v>
      </c>
      <c r="M76" s="548"/>
      <c r="N76" s="549">
        <v>-14</v>
      </c>
      <c r="O76" s="544" t="s">
        <v>1674</v>
      </c>
      <c r="P76" s="544" t="s">
        <v>1674</v>
      </c>
      <c r="Q76" s="544" t="s">
        <v>4344</v>
      </c>
      <c r="R76" s="544" t="s">
        <v>1674</v>
      </c>
      <c r="S76" s="544" t="s">
        <v>1674</v>
      </c>
      <c r="T76" s="550">
        <v>19</v>
      </c>
      <c r="U76" s="544" t="s">
        <v>3328</v>
      </c>
      <c r="V76" s="547">
        <v>1003</v>
      </c>
      <c r="W76" s="548"/>
      <c r="Y76" s="544" t="s">
        <v>1674</v>
      </c>
      <c r="AA76" s="544" t="s">
        <v>1674</v>
      </c>
      <c r="AB76" s="542">
        <v>3</v>
      </c>
      <c r="AE76" s="551"/>
      <c r="AF76" s="544" t="s">
        <v>1674</v>
      </c>
      <c r="AG76" s="544" t="s">
        <v>1674</v>
      </c>
      <c r="AH76" s="544" t="s">
        <v>1674</v>
      </c>
      <c r="AI76" s="544" t="s">
        <v>1674</v>
      </c>
      <c r="AJ76" s="544" t="s">
        <v>1674</v>
      </c>
      <c r="AK76" s="544" t="s">
        <v>1674</v>
      </c>
      <c r="AL76" s="544" t="s">
        <v>1674</v>
      </c>
      <c r="AM76" s="544" t="s">
        <v>4345</v>
      </c>
      <c r="AN76" s="544" t="s">
        <v>1674</v>
      </c>
      <c r="AP76" s="542">
        <f t="shared" si="3"/>
        <v>47</v>
      </c>
      <c r="AR76" s="593">
        <f t="shared" si="2"/>
        <v>0</v>
      </c>
    </row>
    <row r="77" spans="1:44" outlineLevel="1" x14ac:dyDescent="0.25">
      <c r="A77" s="544" t="s">
        <v>1674</v>
      </c>
      <c r="B77" s="545">
        <v>0</v>
      </c>
      <c r="C77" s="544" t="s">
        <v>1674</v>
      </c>
      <c r="D77" s="544" t="s">
        <v>4342</v>
      </c>
      <c r="E77" s="542" t="s">
        <v>3625</v>
      </c>
      <c r="F77" s="542" t="s">
        <v>4343</v>
      </c>
      <c r="G77" s="546"/>
      <c r="H77" s="546">
        <v>9</v>
      </c>
      <c r="I77" s="546">
        <v>1400.9</v>
      </c>
      <c r="J77" s="542" t="s">
        <v>2584</v>
      </c>
      <c r="K77" s="547">
        <v>3800</v>
      </c>
      <c r="L77" s="542" t="s">
        <v>806</v>
      </c>
      <c r="M77" s="548"/>
      <c r="N77" s="549">
        <v>-14</v>
      </c>
      <c r="O77" s="544" t="s">
        <v>1674</v>
      </c>
      <c r="P77" s="544" t="s">
        <v>1674</v>
      </c>
      <c r="Q77" s="544" t="s">
        <v>4346</v>
      </c>
      <c r="R77" s="544" t="s">
        <v>1674</v>
      </c>
      <c r="S77" s="544" t="s">
        <v>1674</v>
      </c>
      <c r="T77" s="550">
        <v>19</v>
      </c>
      <c r="U77" s="544" t="s">
        <v>3328</v>
      </c>
      <c r="V77" s="547">
        <v>1004</v>
      </c>
      <c r="W77" s="548"/>
      <c r="Y77" s="544" t="s">
        <v>1674</v>
      </c>
      <c r="AA77" s="544" t="s">
        <v>1674</v>
      </c>
      <c r="AB77" s="542">
        <v>3</v>
      </c>
      <c r="AE77" s="551"/>
      <c r="AF77" s="544" t="s">
        <v>1674</v>
      </c>
      <c r="AG77" s="544" t="s">
        <v>1674</v>
      </c>
      <c r="AH77" s="544" t="s">
        <v>1674</v>
      </c>
      <c r="AI77" s="544" t="s">
        <v>1674</v>
      </c>
      <c r="AJ77" s="544" t="s">
        <v>1674</v>
      </c>
      <c r="AK77" s="544" t="s">
        <v>1674</v>
      </c>
      <c r="AL77" s="544" t="s">
        <v>1674</v>
      </c>
      <c r="AM77" s="544" t="s">
        <v>1674</v>
      </c>
      <c r="AN77" s="544" t="s">
        <v>1674</v>
      </c>
      <c r="AP77" s="542">
        <f t="shared" si="3"/>
        <v>47</v>
      </c>
      <c r="AR77" s="593">
        <f t="shared" si="2"/>
        <v>1400.9</v>
      </c>
    </row>
    <row r="78" spans="1:44" outlineLevel="1" x14ac:dyDescent="0.25">
      <c r="A78" s="544" t="s">
        <v>1674</v>
      </c>
      <c r="B78" s="545">
        <v>82502</v>
      </c>
      <c r="C78" s="544" t="s">
        <v>4028</v>
      </c>
      <c r="D78" s="544" t="s">
        <v>4347</v>
      </c>
      <c r="E78" s="542" t="s">
        <v>3625</v>
      </c>
      <c r="F78" s="542" t="s">
        <v>3741</v>
      </c>
      <c r="G78" s="546"/>
      <c r="H78" s="546">
        <v>16062.72</v>
      </c>
      <c r="I78" s="546">
        <v>16062.72</v>
      </c>
      <c r="J78" s="542" t="s">
        <v>2584</v>
      </c>
      <c r="K78" s="547">
        <v>3400</v>
      </c>
      <c r="L78" s="542" t="s">
        <v>806</v>
      </c>
      <c r="M78" s="548"/>
      <c r="N78" s="549">
        <v>-44</v>
      </c>
      <c r="O78" s="544" t="s">
        <v>1674</v>
      </c>
      <c r="P78" s="544" t="s">
        <v>1674</v>
      </c>
      <c r="Q78" s="544" t="s">
        <v>4030</v>
      </c>
      <c r="R78" s="544" t="s">
        <v>1674</v>
      </c>
      <c r="S78" s="544" t="s">
        <v>1674</v>
      </c>
      <c r="T78" s="550">
        <v>19</v>
      </c>
      <c r="U78" s="544" t="s">
        <v>3328</v>
      </c>
      <c r="V78" s="547">
        <v>1000</v>
      </c>
      <c r="W78" s="548"/>
      <c r="Y78" s="544" t="s">
        <v>1674</v>
      </c>
      <c r="AA78" s="544" t="s">
        <v>1674</v>
      </c>
      <c r="AB78" s="542">
        <v>3</v>
      </c>
      <c r="AE78" s="551"/>
      <c r="AF78" s="544" t="s">
        <v>1674</v>
      </c>
      <c r="AG78" s="544" t="s">
        <v>1674</v>
      </c>
      <c r="AH78" s="544" t="s">
        <v>1674</v>
      </c>
      <c r="AI78" s="544" t="s">
        <v>1674</v>
      </c>
      <c r="AJ78" s="544" t="s">
        <v>1674</v>
      </c>
      <c r="AK78" s="544" t="s">
        <v>1674</v>
      </c>
      <c r="AL78" s="544" t="s">
        <v>1674</v>
      </c>
      <c r="AM78" s="544" t="s">
        <v>4031</v>
      </c>
      <c r="AN78" s="544" t="s">
        <v>1674</v>
      </c>
      <c r="AP78" s="542">
        <f t="shared" si="3"/>
        <v>17</v>
      </c>
      <c r="AR78" s="593">
        <f t="shared" si="2"/>
        <v>16062.72</v>
      </c>
    </row>
    <row r="79" spans="1:44" outlineLevel="1" x14ac:dyDescent="0.25">
      <c r="A79" s="544" t="s">
        <v>1674</v>
      </c>
      <c r="B79" s="545">
        <v>70100</v>
      </c>
      <c r="C79" s="544" t="s">
        <v>2864</v>
      </c>
      <c r="D79" s="544" t="s">
        <v>4348</v>
      </c>
      <c r="E79" s="542" t="s">
        <v>3642</v>
      </c>
      <c r="F79" s="542" t="s">
        <v>3747</v>
      </c>
      <c r="G79" s="546"/>
      <c r="H79" s="546">
        <v>58.3</v>
      </c>
      <c r="I79" s="546">
        <v>58.3</v>
      </c>
      <c r="J79" s="542" t="s">
        <v>2584</v>
      </c>
      <c r="K79" s="547">
        <v>4980</v>
      </c>
      <c r="L79" s="542" t="s">
        <v>806</v>
      </c>
      <c r="M79" s="548"/>
      <c r="N79" s="549">
        <v>-43</v>
      </c>
      <c r="O79" s="544" t="s">
        <v>1674</v>
      </c>
      <c r="P79" s="544" t="s">
        <v>1674</v>
      </c>
      <c r="Q79" s="544" t="s">
        <v>4027</v>
      </c>
      <c r="R79" s="544" t="s">
        <v>1674</v>
      </c>
      <c r="S79" s="544" t="s">
        <v>1674</v>
      </c>
      <c r="T79" s="550">
        <v>19</v>
      </c>
      <c r="U79" s="544" t="s">
        <v>3328</v>
      </c>
      <c r="V79" s="547">
        <v>1089</v>
      </c>
      <c r="W79" s="548"/>
      <c r="Y79" s="544" t="s">
        <v>1674</v>
      </c>
      <c r="AA79" s="544" t="s">
        <v>1674</v>
      </c>
      <c r="AB79" s="542">
        <v>3</v>
      </c>
      <c r="AE79" s="551"/>
      <c r="AF79" s="544" t="s">
        <v>1674</v>
      </c>
      <c r="AG79" s="544" t="s">
        <v>1674</v>
      </c>
      <c r="AH79" s="544" t="s">
        <v>1674</v>
      </c>
      <c r="AI79" s="544" t="s">
        <v>1674</v>
      </c>
      <c r="AJ79" s="544" t="s">
        <v>1674</v>
      </c>
      <c r="AK79" s="544" t="s">
        <v>1674</v>
      </c>
      <c r="AL79" s="544" t="s">
        <v>1674</v>
      </c>
      <c r="AM79" s="544" t="s">
        <v>2864</v>
      </c>
      <c r="AN79" s="544" t="s">
        <v>1674</v>
      </c>
      <c r="AP79" s="542">
        <f t="shared" si="3"/>
        <v>18</v>
      </c>
      <c r="AR79" s="593">
        <f t="shared" si="2"/>
        <v>58.3</v>
      </c>
    </row>
    <row r="80" spans="1:44" outlineLevel="1" x14ac:dyDescent="0.25">
      <c r="A80" s="544" t="s">
        <v>1674</v>
      </c>
      <c r="B80" s="545">
        <v>70210</v>
      </c>
      <c r="C80" s="544" t="s">
        <v>4096</v>
      </c>
      <c r="D80" s="544" t="s">
        <v>4349</v>
      </c>
      <c r="E80" s="542" t="s">
        <v>3642</v>
      </c>
      <c r="F80" s="542" t="s">
        <v>3747</v>
      </c>
      <c r="G80" s="546"/>
      <c r="H80" s="546">
        <v>2071.9299999999998</v>
      </c>
      <c r="I80" s="546">
        <v>2071.9299999999998</v>
      </c>
      <c r="J80" s="542" t="s">
        <v>2584</v>
      </c>
      <c r="K80" s="547">
        <v>3106</v>
      </c>
      <c r="L80" s="542" t="s">
        <v>806</v>
      </c>
      <c r="M80" s="548"/>
      <c r="N80" s="549">
        <v>-43</v>
      </c>
      <c r="O80" s="544" t="s">
        <v>1674</v>
      </c>
      <c r="P80" s="544" t="s">
        <v>1674</v>
      </c>
      <c r="Q80" s="544" t="s">
        <v>4096</v>
      </c>
      <c r="R80" s="544" t="s">
        <v>1674</v>
      </c>
      <c r="S80" s="544" t="s">
        <v>1674</v>
      </c>
      <c r="T80" s="550">
        <v>19</v>
      </c>
      <c r="U80" s="544" t="s">
        <v>3328</v>
      </c>
      <c r="V80" s="547">
        <v>1093</v>
      </c>
      <c r="W80" s="548"/>
      <c r="Y80" s="544" t="s">
        <v>1674</v>
      </c>
      <c r="AA80" s="544" t="s">
        <v>1674</v>
      </c>
      <c r="AB80" s="542">
        <v>3</v>
      </c>
      <c r="AE80" s="551"/>
      <c r="AF80" s="544" t="s">
        <v>1674</v>
      </c>
      <c r="AG80" s="544" t="s">
        <v>1674</v>
      </c>
      <c r="AH80" s="544" t="s">
        <v>1674</v>
      </c>
      <c r="AI80" s="544" t="s">
        <v>1674</v>
      </c>
      <c r="AJ80" s="544" t="s">
        <v>1674</v>
      </c>
      <c r="AK80" s="544" t="s">
        <v>1674</v>
      </c>
      <c r="AL80" s="544" t="s">
        <v>1674</v>
      </c>
      <c r="AM80" s="544" t="s">
        <v>4096</v>
      </c>
      <c r="AN80" s="544" t="s">
        <v>1674</v>
      </c>
      <c r="AP80" s="542">
        <f t="shared" si="3"/>
        <v>18</v>
      </c>
      <c r="AR80" s="593">
        <f t="shared" si="2"/>
        <v>2071.9299999999998</v>
      </c>
    </row>
    <row r="81" spans="1:44" outlineLevel="1" x14ac:dyDescent="0.25">
      <c r="A81" s="544" t="s">
        <v>1674</v>
      </c>
      <c r="B81" s="545">
        <v>82502</v>
      </c>
      <c r="C81" s="544" t="s">
        <v>4028</v>
      </c>
      <c r="D81" s="544" t="s">
        <v>4350</v>
      </c>
      <c r="E81" s="542" t="s">
        <v>3642</v>
      </c>
      <c r="F81" s="542" t="s">
        <v>3747</v>
      </c>
      <c r="G81" s="546"/>
      <c r="H81" s="546">
        <v>3611.2</v>
      </c>
      <c r="I81" s="546">
        <v>3611.2</v>
      </c>
      <c r="J81" s="542" t="s">
        <v>2584</v>
      </c>
      <c r="K81" s="547">
        <v>3425</v>
      </c>
      <c r="L81" s="542" t="s">
        <v>806</v>
      </c>
      <c r="M81" s="548"/>
      <c r="N81" s="549">
        <v>-43</v>
      </c>
      <c r="O81" s="544" t="s">
        <v>1674</v>
      </c>
      <c r="P81" s="544" t="s">
        <v>1674</v>
      </c>
      <c r="Q81" s="544" t="s">
        <v>4351</v>
      </c>
      <c r="R81" s="544" t="s">
        <v>1674</v>
      </c>
      <c r="S81" s="544" t="s">
        <v>1674</v>
      </c>
      <c r="T81" s="550">
        <v>19</v>
      </c>
      <c r="U81" s="544" t="s">
        <v>3328</v>
      </c>
      <c r="V81" s="547">
        <v>1091</v>
      </c>
      <c r="W81" s="548"/>
      <c r="Y81" s="544" t="s">
        <v>1674</v>
      </c>
      <c r="AA81" s="544" t="s">
        <v>1674</v>
      </c>
      <c r="AB81" s="542">
        <v>3</v>
      </c>
      <c r="AE81" s="551"/>
      <c r="AF81" s="544" t="s">
        <v>1674</v>
      </c>
      <c r="AG81" s="544" t="s">
        <v>1674</v>
      </c>
      <c r="AH81" s="544" t="s">
        <v>1674</v>
      </c>
      <c r="AI81" s="544" t="s">
        <v>1674</v>
      </c>
      <c r="AJ81" s="544" t="s">
        <v>1674</v>
      </c>
      <c r="AK81" s="544" t="s">
        <v>1674</v>
      </c>
      <c r="AL81" s="544" t="s">
        <v>1674</v>
      </c>
      <c r="AM81" s="544" t="s">
        <v>4031</v>
      </c>
      <c r="AN81" s="544" t="s">
        <v>1674</v>
      </c>
      <c r="AP81" s="542">
        <f t="shared" si="3"/>
        <v>18</v>
      </c>
      <c r="AR81" s="593">
        <f t="shared" si="2"/>
        <v>3611.2</v>
      </c>
    </row>
    <row r="82" spans="1:44" outlineLevel="1" x14ac:dyDescent="0.25">
      <c r="A82" s="544" t="s">
        <v>1674</v>
      </c>
      <c r="B82" s="545">
        <v>70100</v>
      </c>
      <c r="C82" s="544" t="s">
        <v>2864</v>
      </c>
      <c r="D82" s="544" t="s">
        <v>4352</v>
      </c>
      <c r="E82" s="542" t="s">
        <v>3644</v>
      </c>
      <c r="F82" s="542" t="s">
        <v>3750</v>
      </c>
      <c r="G82" s="546"/>
      <c r="H82" s="546">
        <v>1816.17</v>
      </c>
      <c r="I82" s="546">
        <v>1816.17</v>
      </c>
      <c r="J82" s="542" t="s">
        <v>2584</v>
      </c>
      <c r="K82" s="547">
        <v>4730</v>
      </c>
      <c r="L82" s="542" t="s">
        <v>806</v>
      </c>
      <c r="M82" s="548"/>
      <c r="N82" s="549">
        <v>-42</v>
      </c>
      <c r="O82" s="544" t="s">
        <v>1674</v>
      </c>
      <c r="P82" s="544" t="s">
        <v>1674</v>
      </c>
      <c r="Q82" s="544" t="s">
        <v>4133</v>
      </c>
      <c r="R82" s="544" t="s">
        <v>1674</v>
      </c>
      <c r="S82" s="544" t="s">
        <v>1674</v>
      </c>
      <c r="T82" s="550">
        <v>19</v>
      </c>
      <c r="U82" s="544" t="s">
        <v>3328</v>
      </c>
      <c r="V82" s="547">
        <v>1156</v>
      </c>
      <c r="W82" s="548"/>
      <c r="Y82" s="544" t="s">
        <v>1674</v>
      </c>
      <c r="AA82" s="544" t="s">
        <v>1674</v>
      </c>
      <c r="AB82" s="542">
        <v>3</v>
      </c>
      <c r="AE82" s="551"/>
      <c r="AF82" s="544" t="s">
        <v>1674</v>
      </c>
      <c r="AG82" s="544" t="s">
        <v>1674</v>
      </c>
      <c r="AH82" s="544" t="s">
        <v>1674</v>
      </c>
      <c r="AI82" s="544" t="s">
        <v>1674</v>
      </c>
      <c r="AJ82" s="544" t="s">
        <v>1674</v>
      </c>
      <c r="AK82" s="544" t="s">
        <v>1674</v>
      </c>
      <c r="AL82" s="544" t="s">
        <v>1674</v>
      </c>
      <c r="AM82" s="544" t="s">
        <v>2864</v>
      </c>
      <c r="AN82" s="544" t="s">
        <v>1674</v>
      </c>
      <c r="AP82" s="542">
        <f t="shared" si="3"/>
        <v>19</v>
      </c>
      <c r="AR82" s="593">
        <f t="shared" si="2"/>
        <v>1816.17</v>
      </c>
    </row>
    <row r="83" spans="1:44" outlineLevel="1" x14ac:dyDescent="0.25">
      <c r="A83" s="544" t="s">
        <v>1674</v>
      </c>
      <c r="B83" s="545">
        <v>0</v>
      </c>
      <c r="C83" s="544" t="s">
        <v>1674</v>
      </c>
      <c r="D83" s="544" t="s">
        <v>4353</v>
      </c>
      <c r="E83" s="542" t="s">
        <v>4354</v>
      </c>
      <c r="F83" s="542" t="s">
        <v>4355</v>
      </c>
      <c r="G83" s="546"/>
      <c r="H83" s="546">
        <v>61.71</v>
      </c>
      <c r="I83" s="546">
        <v>61.71</v>
      </c>
      <c r="J83" s="542" t="s">
        <v>2584</v>
      </c>
      <c r="K83" s="547">
        <v>4980</v>
      </c>
      <c r="L83" s="542" t="s">
        <v>806</v>
      </c>
      <c r="M83" s="548"/>
      <c r="N83" s="549">
        <v>-41</v>
      </c>
      <c r="O83" s="544" t="s">
        <v>1674</v>
      </c>
      <c r="P83" s="544" t="s">
        <v>1674</v>
      </c>
      <c r="Q83" s="544" t="s">
        <v>4027</v>
      </c>
      <c r="R83" s="544" t="s">
        <v>1674</v>
      </c>
      <c r="S83" s="544" t="s">
        <v>1674</v>
      </c>
      <c r="T83" s="550">
        <v>19</v>
      </c>
      <c r="U83" s="544" t="s">
        <v>3328</v>
      </c>
      <c r="V83" s="547">
        <v>1212</v>
      </c>
      <c r="W83" s="548"/>
      <c r="Y83" s="544" t="s">
        <v>1674</v>
      </c>
      <c r="AA83" s="544" t="s">
        <v>1674</v>
      </c>
      <c r="AB83" s="542">
        <v>3</v>
      </c>
      <c r="AE83" s="551"/>
      <c r="AF83" s="544" t="s">
        <v>1674</v>
      </c>
      <c r="AG83" s="544" t="s">
        <v>1674</v>
      </c>
      <c r="AH83" s="544" t="s">
        <v>1674</v>
      </c>
      <c r="AI83" s="544" t="s">
        <v>1674</v>
      </c>
      <c r="AJ83" s="544" t="s">
        <v>1674</v>
      </c>
      <c r="AK83" s="544" t="s">
        <v>1674</v>
      </c>
      <c r="AL83" s="544" t="s">
        <v>1674</v>
      </c>
      <c r="AM83" s="544" t="s">
        <v>1674</v>
      </c>
      <c r="AN83" s="544" t="s">
        <v>1674</v>
      </c>
      <c r="AP83" s="542">
        <f t="shared" si="3"/>
        <v>20</v>
      </c>
      <c r="AR83" s="593">
        <f t="shared" si="2"/>
        <v>61.71</v>
      </c>
    </row>
    <row r="84" spans="1:44" outlineLevel="1" x14ac:dyDescent="0.25">
      <c r="A84" s="544" t="s">
        <v>1674</v>
      </c>
      <c r="B84" s="545">
        <v>70210</v>
      </c>
      <c r="C84" s="544" t="s">
        <v>4096</v>
      </c>
      <c r="D84" s="544" t="s">
        <v>4356</v>
      </c>
      <c r="E84" s="542" t="s">
        <v>3771</v>
      </c>
      <c r="F84" s="542" t="s">
        <v>3772</v>
      </c>
      <c r="G84" s="546"/>
      <c r="H84" s="546">
        <v>6195.24</v>
      </c>
      <c r="I84" s="546">
        <v>6195.24</v>
      </c>
      <c r="J84" s="542" t="s">
        <v>2584</v>
      </c>
      <c r="K84" s="547">
        <v>3106</v>
      </c>
      <c r="L84" s="542" t="s">
        <v>806</v>
      </c>
      <c r="M84" s="548"/>
      <c r="N84" s="549">
        <v>-39</v>
      </c>
      <c r="O84" s="544" t="s">
        <v>1674</v>
      </c>
      <c r="P84" s="544" t="s">
        <v>1674</v>
      </c>
      <c r="Q84" s="544" t="s">
        <v>4096</v>
      </c>
      <c r="R84" s="544" t="s">
        <v>1674</v>
      </c>
      <c r="S84" s="544" t="s">
        <v>1674</v>
      </c>
      <c r="T84" s="550">
        <v>19</v>
      </c>
      <c r="U84" s="544" t="s">
        <v>3328</v>
      </c>
      <c r="V84" s="547">
        <v>1224</v>
      </c>
      <c r="W84" s="548"/>
      <c r="Y84" s="544" t="s">
        <v>1674</v>
      </c>
      <c r="AA84" s="544" t="s">
        <v>1674</v>
      </c>
      <c r="AB84" s="542">
        <v>3</v>
      </c>
      <c r="AE84" s="551"/>
      <c r="AF84" s="544" t="s">
        <v>1674</v>
      </c>
      <c r="AG84" s="544" t="s">
        <v>1674</v>
      </c>
      <c r="AH84" s="544" t="s">
        <v>1674</v>
      </c>
      <c r="AI84" s="544" t="s">
        <v>1674</v>
      </c>
      <c r="AJ84" s="544" t="s">
        <v>1674</v>
      </c>
      <c r="AK84" s="544" t="s">
        <v>1674</v>
      </c>
      <c r="AL84" s="544" t="s">
        <v>1674</v>
      </c>
      <c r="AM84" s="544" t="s">
        <v>4096</v>
      </c>
      <c r="AN84" s="544" t="s">
        <v>1674</v>
      </c>
      <c r="AP84" s="542">
        <f t="shared" si="3"/>
        <v>22</v>
      </c>
      <c r="AR84" s="593">
        <f t="shared" si="2"/>
        <v>6195.24</v>
      </c>
    </row>
    <row r="85" spans="1:44" outlineLevel="1" x14ac:dyDescent="0.25">
      <c r="A85" s="544" t="s">
        <v>1674</v>
      </c>
      <c r="B85" s="545">
        <v>70400</v>
      </c>
      <c r="C85" s="544" t="s">
        <v>2730</v>
      </c>
      <c r="D85" s="544" t="s">
        <v>4357</v>
      </c>
      <c r="E85" s="542" t="s">
        <v>3771</v>
      </c>
      <c r="F85" s="542" t="s">
        <v>3772</v>
      </c>
      <c r="G85" s="546"/>
      <c r="H85" s="546">
        <v>43.32</v>
      </c>
      <c r="I85" s="546">
        <v>43.32</v>
      </c>
      <c r="J85" s="542" t="s">
        <v>2584</v>
      </c>
      <c r="K85" s="547">
        <v>4730</v>
      </c>
      <c r="L85" s="542" t="s">
        <v>806</v>
      </c>
      <c r="M85" s="548"/>
      <c r="N85" s="549">
        <v>-39</v>
      </c>
      <c r="O85" s="544" t="s">
        <v>1674</v>
      </c>
      <c r="P85" s="544" t="s">
        <v>1674</v>
      </c>
      <c r="Q85" s="544" t="s">
        <v>4119</v>
      </c>
      <c r="R85" s="544" t="s">
        <v>1674</v>
      </c>
      <c r="S85" s="544" t="s">
        <v>1674</v>
      </c>
      <c r="T85" s="550">
        <v>19</v>
      </c>
      <c r="U85" s="544" t="s">
        <v>3328</v>
      </c>
      <c r="V85" s="547">
        <v>1217</v>
      </c>
      <c r="W85" s="548"/>
      <c r="Y85" s="544" t="s">
        <v>1674</v>
      </c>
      <c r="AA85" s="544" t="s">
        <v>1674</v>
      </c>
      <c r="AB85" s="542">
        <v>3</v>
      </c>
      <c r="AE85" s="551"/>
      <c r="AF85" s="544" t="s">
        <v>1674</v>
      </c>
      <c r="AG85" s="544" t="s">
        <v>1674</v>
      </c>
      <c r="AH85" s="544" t="s">
        <v>1674</v>
      </c>
      <c r="AI85" s="544" t="s">
        <v>1674</v>
      </c>
      <c r="AJ85" s="544" t="s">
        <v>1674</v>
      </c>
      <c r="AK85" s="544" t="s">
        <v>1674</v>
      </c>
      <c r="AL85" s="544" t="s">
        <v>1674</v>
      </c>
      <c r="AM85" s="544" t="s">
        <v>2730</v>
      </c>
      <c r="AN85" s="544" t="s">
        <v>1674</v>
      </c>
      <c r="AP85" s="542">
        <f t="shared" si="3"/>
        <v>22</v>
      </c>
      <c r="AR85" s="593">
        <f t="shared" si="2"/>
        <v>43.32</v>
      </c>
    </row>
    <row r="86" spans="1:44" outlineLevel="1" x14ac:dyDescent="0.25">
      <c r="A86" s="544" t="s">
        <v>1674</v>
      </c>
      <c r="B86" s="545">
        <v>70603</v>
      </c>
      <c r="C86" s="544" t="s">
        <v>4329</v>
      </c>
      <c r="D86" s="544" t="s">
        <v>4358</v>
      </c>
      <c r="E86" s="542" t="s">
        <v>3771</v>
      </c>
      <c r="F86" s="542" t="s">
        <v>3772</v>
      </c>
      <c r="G86" s="546"/>
      <c r="H86" s="546">
        <v>1580.32</v>
      </c>
      <c r="I86" s="546"/>
      <c r="J86" s="542" t="s">
        <v>806</v>
      </c>
      <c r="K86" s="547">
        <v>3400</v>
      </c>
      <c r="L86" s="542" t="s">
        <v>806</v>
      </c>
      <c r="M86" s="548"/>
      <c r="N86" s="549">
        <v>-39</v>
      </c>
      <c r="O86" s="544" t="s">
        <v>1674</v>
      </c>
      <c r="P86" s="544" t="s">
        <v>1674</v>
      </c>
      <c r="Q86" s="544" t="s">
        <v>4329</v>
      </c>
      <c r="R86" s="544" t="s">
        <v>1674</v>
      </c>
      <c r="S86" s="544" t="s">
        <v>1674</v>
      </c>
      <c r="T86" s="550">
        <v>19</v>
      </c>
      <c r="U86" s="544" t="s">
        <v>3328</v>
      </c>
      <c r="V86" s="547">
        <v>1218</v>
      </c>
      <c r="W86" s="548"/>
      <c r="Y86" s="544" t="s">
        <v>1674</v>
      </c>
      <c r="AA86" s="544" t="s">
        <v>1674</v>
      </c>
      <c r="AB86" s="542">
        <v>3</v>
      </c>
      <c r="AE86" s="551"/>
      <c r="AF86" s="544" t="s">
        <v>1674</v>
      </c>
      <c r="AG86" s="544" t="s">
        <v>1674</v>
      </c>
      <c r="AH86" s="544" t="s">
        <v>1674</v>
      </c>
      <c r="AI86" s="544" t="s">
        <v>1674</v>
      </c>
      <c r="AJ86" s="544" t="s">
        <v>1674</v>
      </c>
      <c r="AK86" s="544" t="s">
        <v>1674</v>
      </c>
      <c r="AL86" s="544" t="s">
        <v>1674</v>
      </c>
      <c r="AM86" s="544" t="s">
        <v>4331</v>
      </c>
      <c r="AN86" s="544" t="s">
        <v>1674</v>
      </c>
      <c r="AP86" s="542">
        <f t="shared" si="3"/>
        <v>22</v>
      </c>
      <c r="AR86" s="593">
        <f t="shared" si="2"/>
        <v>0</v>
      </c>
    </row>
    <row r="87" spans="1:44" outlineLevel="1" x14ac:dyDescent="0.25">
      <c r="A87" s="544" t="s">
        <v>1674</v>
      </c>
      <c r="B87" s="545">
        <v>0</v>
      </c>
      <c r="C87" s="544" t="s">
        <v>1674</v>
      </c>
      <c r="D87" s="544" t="s">
        <v>4358</v>
      </c>
      <c r="E87" s="542" t="s">
        <v>3771</v>
      </c>
      <c r="F87" s="542" t="s">
        <v>3772</v>
      </c>
      <c r="G87" s="546"/>
      <c r="H87" s="546">
        <v>39.270000000000003</v>
      </c>
      <c r="I87" s="546">
        <v>1619.59</v>
      </c>
      <c r="J87" s="542" t="s">
        <v>2584</v>
      </c>
      <c r="K87" s="547">
        <v>3800</v>
      </c>
      <c r="L87" s="542" t="s">
        <v>806</v>
      </c>
      <c r="M87" s="548"/>
      <c r="N87" s="549">
        <v>-39</v>
      </c>
      <c r="O87" s="544" t="s">
        <v>1674</v>
      </c>
      <c r="P87" s="544" t="s">
        <v>1674</v>
      </c>
      <c r="Q87" s="544" t="s">
        <v>4332</v>
      </c>
      <c r="R87" s="544" t="s">
        <v>1674</v>
      </c>
      <c r="S87" s="544" t="s">
        <v>1674</v>
      </c>
      <c r="T87" s="550">
        <v>19</v>
      </c>
      <c r="U87" s="544" t="s">
        <v>3328</v>
      </c>
      <c r="V87" s="547">
        <v>1219</v>
      </c>
      <c r="W87" s="548"/>
      <c r="Y87" s="544" t="s">
        <v>1674</v>
      </c>
      <c r="AA87" s="544" t="s">
        <v>1674</v>
      </c>
      <c r="AB87" s="542">
        <v>3</v>
      </c>
      <c r="AE87" s="551"/>
      <c r="AF87" s="544" t="s">
        <v>1674</v>
      </c>
      <c r="AG87" s="544" t="s">
        <v>1674</v>
      </c>
      <c r="AH87" s="544" t="s">
        <v>1674</v>
      </c>
      <c r="AI87" s="544" t="s">
        <v>1674</v>
      </c>
      <c r="AJ87" s="544" t="s">
        <v>1674</v>
      </c>
      <c r="AK87" s="544" t="s">
        <v>1674</v>
      </c>
      <c r="AL87" s="544" t="s">
        <v>1674</v>
      </c>
      <c r="AM87" s="544" t="s">
        <v>1674</v>
      </c>
      <c r="AN87" s="544" t="s">
        <v>1674</v>
      </c>
      <c r="AP87" s="542">
        <f t="shared" si="3"/>
        <v>22</v>
      </c>
      <c r="AR87" s="593">
        <f t="shared" si="2"/>
        <v>1619.59</v>
      </c>
    </row>
    <row r="88" spans="1:44" outlineLevel="1" x14ac:dyDescent="0.25">
      <c r="A88" s="544" t="s">
        <v>1674</v>
      </c>
      <c r="B88" s="545">
        <v>70703</v>
      </c>
      <c r="C88" s="544" t="s">
        <v>4359</v>
      </c>
      <c r="D88" s="544" t="s">
        <v>4360</v>
      </c>
      <c r="E88" s="542" t="s">
        <v>3771</v>
      </c>
      <c r="F88" s="542" t="s">
        <v>3772</v>
      </c>
      <c r="G88" s="546"/>
      <c r="H88" s="546">
        <v>208.85</v>
      </c>
      <c r="I88" s="546">
        <v>208.85</v>
      </c>
      <c r="J88" s="542" t="s">
        <v>2584</v>
      </c>
      <c r="K88" s="547">
        <v>4930</v>
      </c>
      <c r="L88" s="542" t="s">
        <v>806</v>
      </c>
      <c r="M88" s="548"/>
      <c r="N88" s="549">
        <v>-39</v>
      </c>
      <c r="O88" s="544" t="s">
        <v>1674</v>
      </c>
      <c r="P88" s="544" t="s">
        <v>1674</v>
      </c>
      <c r="Q88" s="544" t="s">
        <v>4361</v>
      </c>
      <c r="R88" s="544" t="s">
        <v>1674</v>
      </c>
      <c r="S88" s="544" t="s">
        <v>1674</v>
      </c>
      <c r="T88" s="550">
        <v>19</v>
      </c>
      <c r="U88" s="544" t="s">
        <v>3328</v>
      </c>
      <c r="V88" s="547">
        <v>1215</v>
      </c>
      <c r="W88" s="548"/>
      <c r="Y88" s="544" t="s">
        <v>1674</v>
      </c>
      <c r="AA88" s="544" t="s">
        <v>1674</v>
      </c>
      <c r="AB88" s="542">
        <v>3</v>
      </c>
      <c r="AE88" s="551"/>
      <c r="AF88" s="544" t="s">
        <v>1674</v>
      </c>
      <c r="AG88" s="544" t="s">
        <v>1674</v>
      </c>
      <c r="AH88" s="544" t="s">
        <v>1674</v>
      </c>
      <c r="AI88" s="544" t="s">
        <v>1674</v>
      </c>
      <c r="AJ88" s="544" t="s">
        <v>1674</v>
      </c>
      <c r="AK88" s="544" t="s">
        <v>1674</v>
      </c>
      <c r="AL88" s="544" t="s">
        <v>1674</v>
      </c>
      <c r="AM88" s="544" t="s">
        <v>4359</v>
      </c>
      <c r="AN88" s="544" t="s">
        <v>1674</v>
      </c>
      <c r="AP88" s="542">
        <f t="shared" si="3"/>
        <v>22</v>
      </c>
      <c r="AR88" s="593">
        <f t="shared" si="2"/>
        <v>208.85</v>
      </c>
    </row>
    <row r="89" spans="1:44" outlineLevel="1" x14ac:dyDescent="0.25">
      <c r="A89" s="544" t="s">
        <v>1674</v>
      </c>
      <c r="B89" s="545">
        <v>71303</v>
      </c>
      <c r="C89" s="544" t="s">
        <v>4362</v>
      </c>
      <c r="D89" s="544" t="s">
        <v>4363</v>
      </c>
      <c r="E89" s="542" t="s">
        <v>3771</v>
      </c>
      <c r="F89" s="542" t="s">
        <v>3772</v>
      </c>
      <c r="G89" s="546"/>
      <c r="H89" s="546">
        <v>907.97</v>
      </c>
      <c r="I89" s="546">
        <v>907.97</v>
      </c>
      <c r="J89" s="542" t="s">
        <v>2584</v>
      </c>
      <c r="K89" s="547">
        <v>3106</v>
      </c>
      <c r="L89" s="542" t="s">
        <v>806</v>
      </c>
      <c r="M89" s="548"/>
      <c r="N89" s="549">
        <v>-39</v>
      </c>
      <c r="O89" s="544" t="s">
        <v>1674</v>
      </c>
      <c r="P89" s="544" t="s">
        <v>1674</v>
      </c>
      <c r="Q89" s="544" t="s">
        <v>4364</v>
      </c>
      <c r="R89" s="544" t="s">
        <v>1674</v>
      </c>
      <c r="S89" s="544" t="s">
        <v>1674</v>
      </c>
      <c r="T89" s="550">
        <v>19</v>
      </c>
      <c r="U89" s="544" t="s">
        <v>3328</v>
      </c>
      <c r="V89" s="547">
        <v>1216</v>
      </c>
      <c r="W89" s="548"/>
      <c r="Y89" s="544" t="s">
        <v>1674</v>
      </c>
      <c r="AA89" s="544" t="s">
        <v>1674</v>
      </c>
      <c r="AB89" s="542">
        <v>3</v>
      </c>
      <c r="AE89" s="551"/>
      <c r="AF89" s="544" t="s">
        <v>1674</v>
      </c>
      <c r="AG89" s="544" t="s">
        <v>1674</v>
      </c>
      <c r="AH89" s="544" t="s">
        <v>1674</v>
      </c>
      <c r="AI89" s="544" t="s">
        <v>1674</v>
      </c>
      <c r="AJ89" s="544" t="s">
        <v>1674</v>
      </c>
      <c r="AK89" s="544" t="s">
        <v>1674</v>
      </c>
      <c r="AL89" s="544" t="s">
        <v>1674</v>
      </c>
      <c r="AM89" s="544" t="s">
        <v>4365</v>
      </c>
      <c r="AN89" s="544" t="s">
        <v>1674</v>
      </c>
      <c r="AP89" s="542">
        <f t="shared" si="3"/>
        <v>22</v>
      </c>
      <c r="AR89" s="593">
        <f t="shared" si="2"/>
        <v>907.97</v>
      </c>
    </row>
    <row r="90" spans="1:44" outlineLevel="1" x14ac:dyDescent="0.25">
      <c r="A90" s="544" t="s">
        <v>1674</v>
      </c>
      <c r="B90" s="545">
        <v>71304</v>
      </c>
      <c r="C90" s="544" t="s">
        <v>4366</v>
      </c>
      <c r="D90" s="544" t="s">
        <v>4367</v>
      </c>
      <c r="E90" s="542" t="s">
        <v>3771</v>
      </c>
      <c r="F90" s="542" t="s">
        <v>3772</v>
      </c>
      <c r="G90" s="546"/>
      <c r="H90" s="546">
        <v>5036.18</v>
      </c>
      <c r="I90" s="546">
        <v>5036.18</v>
      </c>
      <c r="J90" s="542" t="s">
        <v>2584</v>
      </c>
      <c r="K90" s="547">
        <v>3400</v>
      </c>
      <c r="L90" s="542" t="s">
        <v>806</v>
      </c>
      <c r="M90" s="548"/>
      <c r="N90" s="549">
        <v>-39</v>
      </c>
      <c r="O90" s="544" t="s">
        <v>1674</v>
      </c>
      <c r="P90" s="544" t="s">
        <v>1674</v>
      </c>
      <c r="Q90" s="544" t="s">
        <v>4368</v>
      </c>
      <c r="R90" s="544" t="s">
        <v>1674</v>
      </c>
      <c r="S90" s="544" t="s">
        <v>1674</v>
      </c>
      <c r="T90" s="550">
        <v>19</v>
      </c>
      <c r="U90" s="544" t="s">
        <v>3328</v>
      </c>
      <c r="V90" s="547">
        <v>1221</v>
      </c>
      <c r="W90" s="548"/>
      <c r="Y90" s="544" t="s">
        <v>1674</v>
      </c>
      <c r="AA90" s="544" t="s">
        <v>1674</v>
      </c>
      <c r="AB90" s="542">
        <v>3</v>
      </c>
      <c r="AE90" s="551"/>
      <c r="AF90" s="544" t="s">
        <v>1674</v>
      </c>
      <c r="AG90" s="544" t="s">
        <v>1674</v>
      </c>
      <c r="AH90" s="544" t="s">
        <v>1674</v>
      </c>
      <c r="AI90" s="544" t="s">
        <v>1674</v>
      </c>
      <c r="AJ90" s="544" t="s">
        <v>1674</v>
      </c>
      <c r="AK90" s="544" t="s">
        <v>1674</v>
      </c>
      <c r="AL90" s="544" t="s">
        <v>1674</v>
      </c>
      <c r="AM90" s="544" t="s">
        <v>4366</v>
      </c>
      <c r="AN90" s="544" t="s">
        <v>1674</v>
      </c>
      <c r="AP90" s="542">
        <f t="shared" si="3"/>
        <v>22</v>
      </c>
      <c r="AR90" s="593">
        <f t="shared" si="2"/>
        <v>5036.18</v>
      </c>
    </row>
    <row r="91" spans="1:44" outlineLevel="1" x14ac:dyDescent="0.25">
      <c r="A91" s="544" t="s">
        <v>1674</v>
      </c>
      <c r="B91" s="545">
        <v>72401</v>
      </c>
      <c r="C91" s="544" t="s">
        <v>4369</v>
      </c>
      <c r="D91" s="544" t="s">
        <v>4370</v>
      </c>
      <c r="E91" s="542" t="s">
        <v>3771</v>
      </c>
      <c r="F91" s="542" t="s">
        <v>3772</v>
      </c>
      <c r="G91" s="546"/>
      <c r="H91" s="546">
        <v>4959.59</v>
      </c>
      <c r="I91" s="546">
        <v>4959.59</v>
      </c>
      <c r="J91" s="542" t="s">
        <v>2584</v>
      </c>
      <c r="K91" s="547">
        <v>3400</v>
      </c>
      <c r="L91" s="542" t="s">
        <v>806</v>
      </c>
      <c r="M91" s="548"/>
      <c r="N91" s="549">
        <v>-39</v>
      </c>
      <c r="O91" s="544" t="s">
        <v>1674</v>
      </c>
      <c r="P91" s="544" t="s">
        <v>1674</v>
      </c>
      <c r="Q91" s="544" t="s">
        <v>4371</v>
      </c>
      <c r="R91" s="544" t="s">
        <v>1674</v>
      </c>
      <c r="S91" s="544" t="s">
        <v>1674</v>
      </c>
      <c r="T91" s="550">
        <v>19</v>
      </c>
      <c r="U91" s="544" t="s">
        <v>3328</v>
      </c>
      <c r="V91" s="547">
        <v>1220</v>
      </c>
      <c r="W91" s="548"/>
      <c r="Y91" s="544" t="s">
        <v>1674</v>
      </c>
      <c r="AA91" s="544" t="s">
        <v>1674</v>
      </c>
      <c r="AB91" s="542">
        <v>3</v>
      </c>
      <c r="AE91" s="551"/>
      <c r="AF91" s="544" t="s">
        <v>1674</v>
      </c>
      <c r="AG91" s="544" t="s">
        <v>1674</v>
      </c>
      <c r="AH91" s="544" t="s">
        <v>1674</v>
      </c>
      <c r="AI91" s="544" t="s">
        <v>1674</v>
      </c>
      <c r="AJ91" s="544" t="s">
        <v>1674</v>
      </c>
      <c r="AK91" s="544" t="s">
        <v>1674</v>
      </c>
      <c r="AL91" s="544" t="s">
        <v>1674</v>
      </c>
      <c r="AM91" s="544" t="s">
        <v>4372</v>
      </c>
      <c r="AN91" s="544" t="s">
        <v>1674</v>
      </c>
      <c r="AP91" s="542">
        <f t="shared" si="3"/>
        <v>22</v>
      </c>
      <c r="AR91" s="593">
        <f t="shared" si="2"/>
        <v>4959.59</v>
      </c>
    </row>
    <row r="92" spans="1:44" outlineLevel="1" x14ac:dyDescent="0.25">
      <c r="A92" s="544" t="s">
        <v>1674</v>
      </c>
      <c r="B92" s="545">
        <v>81902</v>
      </c>
      <c r="C92" s="544" t="s">
        <v>4373</v>
      </c>
      <c r="D92" s="544" t="s">
        <v>4374</v>
      </c>
      <c r="E92" s="542" t="s">
        <v>3771</v>
      </c>
      <c r="F92" s="542" t="s">
        <v>4375</v>
      </c>
      <c r="G92" s="546"/>
      <c r="H92" s="546">
        <v>820</v>
      </c>
      <c r="I92" s="546">
        <v>820</v>
      </c>
      <c r="J92" s="542" t="s">
        <v>2584</v>
      </c>
      <c r="K92" s="547">
        <v>3425</v>
      </c>
      <c r="L92" s="542" t="s">
        <v>806</v>
      </c>
      <c r="M92" s="548"/>
      <c r="N92" s="549">
        <v>-9</v>
      </c>
      <c r="O92" s="544" t="s">
        <v>1674</v>
      </c>
      <c r="P92" s="544" t="s">
        <v>1674</v>
      </c>
      <c r="Q92" s="544" t="s">
        <v>4376</v>
      </c>
      <c r="R92" s="544" t="s">
        <v>1674</v>
      </c>
      <c r="S92" s="544" t="s">
        <v>1674</v>
      </c>
      <c r="T92" s="550">
        <v>19</v>
      </c>
      <c r="U92" s="544" t="s">
        <v>3328</v>
      </c>
      <c r="V92" s="547">
        <v>1222</v>
      </c>
      <c r="W92" s="548"/>
      <c r="Y92" s="544" t="s">
        <v>1674</v>
      </c>
      <c r="AA92" s="544" t="s">
        <v>1674</v>
      </c>
      <c r="AB92" s="542">
        <v>3</v>
      </c>
      <c r="AE92" s="551"/>
      <c r="AF92" s="544" t="s">
        <v>1674</v>
      </c>
      <c r="AG92" s="544" t="s">
        <v>1674</v>
      </c>
      <c r="AH92" s="544" t="s">
        <v>1674</v>
      </c>
      <c r="AI92" s="544" t="s">
        <v>1674</v>
      </c>
      <c r="AJ92" s="544" t="s">
        <v>1674</v>
      </c>
      <c r="AK92" s="544" t="s">
        <v>1674</v>
      </c>
      <c r="AL92" s="544" t="s">
        <v>1674</v>
      </c>
      <c r="AM92" s="544" t="s">
        <v>4377</v>
      </c>
      <c r="AN92" s="544" t="s">
        <v>1674</v>
      </c>
      <c r="AP92" s="542">
        <f t="shared" si="3"/>
        <v>52</v>
      </c>
      <c r="AR92" s="593">
        <f t="shared" si="2"/>
        <v>820</v>
      </c>
    </row>
    <row r="93" spans="1:44" outlineLevel="1" x14ac:dyDescent="0.25">
      <c r="A93" s="544" t="s">
        <v>1674</v>
      </c>
      <c r="B93" s="545">
        <v>70300</v>
      </c>
      <c r="C93" s="544" t="s">
        <v>4135</v>
      </c>
      <c r="D93" s="544" t="s">
        <v>4378</v>
      </c>
      <c r="E93" s="542" t="s">
        <v>3783</v>
      </c>
      <c r="F93" s="542" t="s">
        <v>3784</v>
      </c>
      <c r="G93" s="546"/>
      <c r="H93" s="546">
        <v>299.89999999999998</v>
      </c>
      <c r="I93" s="546">
        <v>299.89999999999998</v>
      </c>
      <c r="J93" s="542" t="s">
        <v>2584</v>
      </c>
      <c r="K93" s="547">
        <v>480</v>
      </c>
      <c r="L93" s="542" t="s">
        <v>806</v>
      </c>
      <c r="M93" s="548"/>
      <c r="N93" s="549">
        <v>-38</v>
      </c>
      <c r="O93" s="544" t="s">
        <v>1674</v>
      </c>
      <c r="P93" s="544" t="s">
        <v>1674</v>
      </c>
      <c r="Q93" s="544" t="s">
        <v>4379</v>
      </c>
      <c r="R93" s="544" t="s">
        <v>1674</v>
      </c>
      <c r="S93" s="544" t="s">
        <v>1674</v>
      </c>
      <c r="T93" s="550">
        <v>19</v>
      </c>
      <c r="U93" s="544" t="s">
        <v>3328</v>
      </c>
      <c r="V93" s="547">
        <v>1307</v>
      </c>
      <c r="W93" s="548" t="s">
        <v>2563</v>
      </c>
      <c r="Y93" s="544" t="s">
        <v>1674</v>
      </c>
      <c r="AA93" s="544" t="s">
        <v>1674</v>
      </c>
      <c r="AB93" s="542">
        <v>3</v>
      </c>
      <c r="AE93" s="551"/>
      <c r="AF93" s="544" t="s">
        <v>1674</v>
      </c>
      <c r="AG93" s="544" t="s">
        <v>1674</v>
      </c>
      <c r="AH93" s="544" t="s">
        <v>1674</v>
      </c>
      <c r="AI93" s="544" t="s">
        <v>1674</v>
      </c>
      <c r="AJ93" s="544" t="s">
        <v>1674</v>
      </c>
      <c r="AK93" s="544" t="s">
        <v>1674</v>
      </c>
      <c r="AL93" s="544" t="s">
        <v>1674</v>
      </c>
      <c r="AM93" s="544" t="s">
        <v>4135</v>
      </c>
      <c r="AN93" s="544" t="s">
        <v>1674</v>
      </c>
      <c r="AP93" s="542">
        <f t="shared" si="3"/>
        <v>23</v>
      </c>
      <c r="AR93" s="593">
        <f t="shared" si="2"/>
        <v>299.89999999999998</v>
      </c>
    </row>
    <row r="94" spans="1:44" outlineLevel="1" x14ac:dyDescent="0.25">
      <c r="A94" s="544" t="s">
        <v>1674</v>
      </c>
      <c r="B94" s="545">
        <v>70400</v>
      </c>
      <c r="C94" s="544" t="s">
        <v>2730</v>
      </c>
      <c r="D94" s="544" t="s">
        <v>4380</v>
      </c>
      <c r="E94" s="542" t="s">
        <v>3783</v>
      </c>
      <c r="F94" s="542" t="s">
        <v>3784</v>
      </c>
      <c r="G94" s="546"/>
      <c r="H94" s="546">
        <v>445.19</v>
      </c>
      <c r="I94" s="546">
        <v>445.19</v>
      </c>
      <c r="J94" s="542" t="s">
        <v>2584</v>
      </c>
      <c r="K94" s="547">
        <v>4730</v>
      </c>
      <c r="L94" s="542" t="s">
        <v>806</v>
      </c>
      <c r="M94" s="548"/>
      <c r="N94" s="549">
        <v>-38</v>
      </c>
      <c r="O94" s="544" t="s">
        <v>1674</v>
      </c>
      <c r="P94" s="544" t="s">
        <v>1674</v>
      </c>
      <c r="Q94" s="544" t="s">
        <v>4119</v>
      </c>
      <c r="R94" s="544" t="s">
        <v>1674</v>
      </c>
      <c r="S94" s="544" t="s">
        <v>1674</v>
      </c>
      <c r="T94" s="550">
        <v>19</v>
      </c>
      <c r="U94" s="544" t="s">
        <v>3328</v>
      </c>
      <c r="V94" s="547">
        <v>1306</v>
      </c>
      <c r="W94" s="548"/>
      <c r="Y94" s="544" t="s">
        <v>1674</v>
      </c>
      <c r="AA94" s="544" t="s">
        <v>1674</v>
      </c>
      <c r="AB94" s="542">
        <v>3</v>
      </c>
      <c r="AE94" s="551"/>
      <c r="AF94" s="544" t="s">
        <v>1674</v>
      </c>
      <c r="AG94" s="544" t="s">
        <v>1674</v>
      </c>
      <c r="AH94" s="544" t="s">
        <v>1674</v>
      </c>
      <c r="AI94" s="544" t="s">
        <v>1674</v>
      </c>
      <c r="AJ94" s="544" t="s">
        <v>1674</v>
      </c>
      <c r="AK94" s="544" t="s">
        <v>1674</v>
      </c>
      <c r="AL94" s="544" t="s">
        <v>1674</v>
      </c>
      <c r="AM94" s="544" t="s">
        <v>2730</v>
      </c>
      <c r="AN94" s="544" t="s">
        <v>1674</v>
      </c>
      <c r="AP94" s="542">
        <f t="shared" si="3"/>
        <v>23</v>
      </c>
      <c r="AR94" s="593">
        <f t="shared" si="2"/>
        <v>445.19</v>
      </c>
    </row>
    <row r="95" spans="1:44" outlineLevel="1" x14ac:dyDescent="0.25">
      <c r="A95" s="544" t="s">
        <v>1674</v>
      </c>
      <c r="B95" s="545">
        <v>70802</v>
      </c>
      <c r="C95" s="544" t="s">
        <v>4381</v>
      </c>
      <c r="D95" s="544" t="s">
        <v>4382</v>
      </c>
      <c r="E95" s="542" t="s">
        <v>3783</v>
      </c>
      <c r="F95" s="542" t="s">
        <v>3784</v>
      </c>
      <c r="G95" s="546"/>
      <c r="H95" s="546">
        <v>10468.86</v>
      </c>
      <c r="I95" s="546">
        <v>10468.86</v>
      </c>
      <c r="J95" s="542" t="s">
        <v>2584</v>
      </c>
      <c r="K95" s="547">
        <v>3400</v>
      </c>
      <c r="L95" s="542" t="s">
        <v>806</v>
      </c>
      <c r="M95" s="548"/>
      <c r="N95" s="549">
        <v>-38</v>
      </c>
      <c r="O95" s="544" t="s">
        <v>1674</v>
      </c>
      <c r="P95" s="544" t="s">
        <v>1674</v>
      </c>
      <c r="Q95" s="544" t="s">
        <v>4383</v>
      </c>
      <c r="R95" s="544" t="s">
        <v>1674</v>
      </c>
      <c r="S95" s="544" t="s">
        <v>1674</v>
      </c>
      <c r="T95" s="550">
        <v>19</v>
      </c>
      <c r="U95" s="544" t="s">
        <v>3328</v>
      </c>
      <c r="V95" s="547">
        <v>1305</v>
      </c>
      <c r="W95" s="548"/>
      <c r="Y95" s="544" t="s">
        <v>1674</v>
      </c>
      <c r="AA95" s="544" t="s">
        <v>1674</v>
      </c>
      <c r="AB95" s="542">
        <v>3</v>
      </c>
      <c r="AE95" s="551"/>
      <c r="AF95" s="544" t="s">
        <v>1674</v>
      </c>
      <c r="AG95" s="544" t="s">
        <v>1674</v>
      </c>
      <c r="AH95" s="544" t="s">
        <v>1674</v>
      </c>
      <c r="AI95" s="544" t="s">
        <v>1674</v>
      </c>
      <c r="AJ95" s="544" t="s">
        <v>1674</v>
      </c>
      <c r="AK95" s="544" t="s">
        <v>1674</v>
      </c>
      <c r="AL95" s="544" t="s">
        <v>1674</v>
      </c>
      <c r="AM95" s="544" t="s">
        <v>4384</v>
      </c>
      <c r="AN95" s="544" t="s">
        <v>1674</v>
      </c>
      <c r="AP95" s="542">
        <f t="shared" si="3"/>
        <v>23</v>
      </c>
      <c r="AR95" s="593">
        <f t="shared" si="2"/>
        <v>10468.86</v>
      </c>
    </row>
    <row r="96" spans="1:44" outlineLevel="1" x14ac:dyDescent="0.25">
      <c r="A96" s="544" t="s">
        <v>1674</v>
      </c>
      <c r="B96" s="545">
        <v>71106</v>
      </c>
      <c r="C96" s="544" t="s">
        <v>4176</v>
      </c>
      <c r="D96" s="544" t="s">
        <v>4385</v>
      </c>
      <c r="E96" s="542" t="s">
        <v>3783</v>
      </c>
      <c r="F96" s="542" t="s">
        <v>3784</v>
      </c>
      <c r="G96" s="546"/>
      <c r="H96" s="546">
        <v>17.37</v>
      </c>
      <c r="I96" s="546">
        <v>17.37</v>
      </c>
      <c r="J96" s="542" t="s">
        <v>2584</v>
      </c>
      <c r="K96" s="547">
        <v>4800</v>
      </c>
      <c r="L96" s="542" t="s">
        <v>806</v>
      </c>
      <c r="M96" s="548"/>
      <c r="N96" s="549">
        <v>-38</v>
      </c>
      <c r="O96" s="544" t="s">
        <v>1674</v>
      </c>
      <c r="P96" s="544" t="s">
        <v>1674</v>
      </c>
      <c r="Q96" s="544" t="s">
        <v>4178</v>
      </c>
      <c r="R96" s="544" t="s">
        <v>1674</v>
      </c>
      <c r="S96" s="544" t="s">
        <v>1674</v>
      </c>
      <c r="T96" s="550">
        <v>19</v>
      </c>
      <c r="U96" s="544" t="s">
        <v>3328</v>
      </c>
      <c r="V96" s="547">
        <v>1304</v>
      </c>
      <c r="W96" s="548"/>
      <c r="Y96" s="544" t="s">
        <v>1674</v>
      </c>
      <c r="AA96" s="544" t="s">
        <v>1674</v>
      </c>
      <c r="AB96" s="542">
        <v>3</v>
      </c>
      <c r="AE96" s="551"/>
      <c r="AF96" s="544" t="s">
        <v>1674</v>
      </c>
      <c r="AG96" s="544" t="s">
        <v>1674</v>
      </c>
      <c r="AH96" s="544" t="s">
        <v>1674</v>
      </c>
      <c r="AI96" s="544" t="s">
        <v>1674</v>
      </c>
      <c r="AJ96" s="544" t="s">
        <v>1674</v>
      </c>
      <c r="AK96" s="544" t="s">
        <v>1674</v>
      </c>
      <c r="AL96" s="544" t="s">
        <v>1674</v>
      </c>
      <c r="AM96" s="544" t="s">
        <v>4179</v>
      </c>
      <c r="AN96" s="544" t="s">
        <v>1674</v>
      </c>
      <c r="AP96" s="542">
        <f t="shared" si="3"/>
        <v>23</v>
      </c>
      <c r="AR96" s="593">
        <f t="shared" si="2"/>
        <v>17.37</v>
      </c>
    </row>
    <row r="97" spans="1:44" outlineLevel="1" x14ac:dyDescent="0.25">
      <c r="A97" s="544" t="s">
        <v>1674</v>
      </c>
      <c r="B97" s="545">
        <v>71800</v>
      </c>
      <c r="C97" s="544" t="s">
        <v>4386</v>
      </c>
      <c r="D97" s="544" t="s">
        <v>4387</v>
      </c>
      <c r="E97" s="542" t="s">
        <v>3783</v>
      </c>
      <c r="F97" s="542" t="s">
        <v>3784</v>
      </c>
      <c r="G97" s="546"/>
      <c r="H97" s="546">
        <v>195.09</v>
      </c>
      <c r="I97" s="546">
        <v>195.09</v>
      </c>
      <c r="J97" s="542" t="s">
        <v>2584</v>
      </c>
      <c r="K97" s="547">
        <v>4800</v>
      </c>
      <c r="L97" s="542" t="s">
        <v>806</v>
      </c>
      <c r="M97" s="548"/>
      <c r="N97" s="549">
        <v>-38</v>
      </c>
      <c r="O97" s="544" t="s">
        <v>1674</v>
      </c>
      <c r="P97" s="544" t="s">
        <v>1674</v>
      </c>
      <c r="Q97" s="544" t="s">
        <v>4388</v>
      </c>
      <c r="R97" s="544" t="s">
        <v>1674</v>
      </c>
      <c r="S97" s="544" t="s">
        <v>1674</v>
      </c>
      <c r="T97" s="550">
        <v>19</v>
      </c>
      <c r="U97" s="544" t="s">
        <v>3328</v>
      </c>
      <c r="V97" s="547">
        <v>1308</v>
      </c>
      <c r="W97" s="548"/>
      <c r="Y97" s="544" t="s">
        <v>1674</v>
      </c>
      <c r="AA97" s="544" t="s">
        <v>1674</v>
      </c>
      <c r="AB97" s="542">
        <v>3</v>
      </c>
      <c r="AE97" s="551"/>
      <c r="AF97" s="544" t="s">
        <v>1674</v>
      </c>
      <c r="AG97" s="544" t="s">
        <v>1674</v>
      </c>
      <c r="AH97" s="544" t="s">
        <v>1674</v>
      </c>
      <c r="AI97" s="544" t="s">
        <v>1674</v>
      </c>
      <c r="AJ97" s="544" t="s">
        <v>1674</v>
      </c>
      <c r="AK97" s="544" t="s">
        <v>1674</v>
      </c>
      <c r="AL97" s="544" t="s">
        <v>1674</v>
      </c>
      <c r="AM97" s="544" t="s">
        <v>4386</v>
      </c>
      <c r="AN97" s="544" t="s">
        <v>1674</v>
      </c>
      <c r="AP97" s="542">
        <f t="shared" si="3"/>
        <v>23</v>
      </c>
      <c r="AR97" s="593">
        <f t="shared" si="2"/>
        <v>195.09</v>
      </c>
    </row>
    <row r="98" spans="1:44" outlineLevel="1" x14ac:dyDescent="0.25">
      <c r="A98" s="544" t="s">
        <v>1674</v>
      </c>
      <c r="B98" s="545">
        <v>70200</v>
      </c>
      <c r="C98" s="544" t="s">
        <v>2774</v>
      </c>
      <c r="D98" s="544" t="s">
        <v>4389</v>
      </c>
      <c r="E98" s="542" t="s">
        <v>3649</v>
      </c>
      <c r="F98" s="542" t="s">
        <v>3804</v>
      </c>
      <c r="G98" s="546"/>
      <c r="H98" s="546">
        <v>2099.16</v>
      </c>
      <c r="I98" s="546">
        <v>2099.16</v>
      </c>
      <c r="J98" s="542" t="s">
        <v>2584</v>
      </c>
      <c r="K98" s="547">
        <v>3401</v>
      </c>
      <c r="L98" s="542" t="s">
        <v>806</v>
      </c>
      <c r="M98" s="548"/>
      <c r="N98" s="549">
        <v>-37</v>
      </c>
      <c r="O98" s="544" t="s">
        <v>1674</v>
      </c>
      <c r="P98" s="544" t="s">
        <v>1674</v>
      </c>
      <c r="Q98" s="544" t="s">
        <v>4390</v>
      </c>
      <c r="R98" s="544" t="s">
        <v>1674</v>
      </c>
      <c r="S98" s="544" t="s">
        <v>1674</v>
      </c>
      <c r="T98" s="550">
        <v>19</v>
      </c>
      <c r="U98" s="544" t="s">
        <v>3328</v>
      </c>
      <c r="V98" s="547">
        <v>1373</v>
      </c>
      <c r="W98" s="548"/>
      <c r="Y98" s="544" t="s">
        <v>1674</v>
      </c>
      <c r="AA98" s="544" t="s">
        <v>1674</v>
      </c>
      <c r="AB98" s="542">
        <v>3</v>
      </c>
      <c r="AE98" s="551"/>
      <c r="AF98" s="544" t="s">
        <v>1674</v>
      </c>
      <c r="AG98" s="544" t="s">
        <v>1674</v>
      </c>
      <c r="AH98" s="544" t="s">
        <v>1674</v>
      </c>
      <c r="AI98" s="544" t="s">
        <v>1674</v>
      </c>
      <c r="AJ98" s="544" t="s">
        <v>1674</v>
      </c>
      <c r="AK98" s="544" t="s">
        <v>1674</v>
      </c>
      <c r="AL98" s="544" t="s">
        <v>1674</v>
      </c>
      <c r="AM98" s="544" t="s">
        <v>2774</v>
      </c>
      <c r="AN98" s="544" t="s">
        <v>1674</v>
      </c>
      <c r="AP98" s="542">
        <f t="shared" si="3"/>
        <v>24</v>
      </c>
      <c r="AR98" s="593">
        <f t="shared" si="2"/>
        <v>2099.16</v>
      </c>
    </row>
    <row r="99" spans="1:44" outlineLevel="1" x14ac:dyDescent="0.25">
      <c r="A99" s="544" t="s">
        <v>1674</v>
      </c>
      <c r="B99" s="545">
        <v>70300</v>
      </c>
      <c r="C99" s="544" t="s">
        <v>4135</v>
      </c>
      <c r="D99" s="544" t="s">
        <v>4391</v>
      </c>
      <c r="E99" s="542" t="s">
        <v>3649</v>
      </c>
      <c r="F99" s="542" t="s">
        <v>3804</v>
      </c>
      <c r="G99" s="546"/>
      <c r="H99" s="546">
        <v>2639.42</v>
      </c>
      <c r="I99" s="546">
        <v>2639.42</v>
      </c>
      <c r="J99" s="542" t="s">
        <v>2584</v>
      </c>
      <c r="K99" s="547">
        <v>4620</v>
      </c>
      <c r="L99" s="542" t="s">
        <v>806</v>
      </c>
      <c r="M99" s="548"/>
      <c r="N99" s="549">
        <v>-37</v>
      </c>
      <c r="O99" s="544" t="s">
        <v>1674</v>
      </c>
      <c r="P99" s="544" t="s">
        <v>1674</v>
      </c>
      <c r="Q99" s="544" t="s">
        <v>4392</v>
      </c>
      <c r="R99" s="544" t="s">
        <v>1674</v>
      </c>
      <c r="S99" s="544" t="s">
        <v>1674</v>
      </c>
      <c r="T99" s="550">
        <v>19</v>
      </c>
      <c r="U99" s="544" t="s">
        <v>3328</v>
      </c>
      <c r="V99" s="547">
        <v>1362</v>
      </c>
      <c r="W99" s="548"/>
      <c r="Y99" s="544" t="s">
        <v>1674</v>
      </c>
      <c r="AA99" s="544" t="s">
        <v>1674</v>
      </c>
      <c r="AB99" s="542">
        <v>3</v>
      </c>
      <c r="AE99" s="551"/>
      <c r="AF99" s="544" t="s">
        <v>1674</v>
      </c>
      <c r="AG99" s="544" t="s">
        <v>1674</v>
      </c>
      <c r="AH99" s="544" t="s">
        <v>1674</v>
      </c>
      <c r="AI99" s="544" t="s">
        <v>1674</v>
      </c>
      <c r="AJ99" s="544" t="s">
        <v>1674</v>
      </c>
      <c r="AK99" s="544" t="s">
        <v>1674</v>
      </c>
      <c r="AL99" s="544" t="s">
        <v>1674</v>
      </c>
      <c r="AM99" s="544" t="s">
        <v>4135</v>
      </c>
      <c r="AN99" s="544" t="s">
        <v>1674</v>
      </c>
      <c r="AP99" s="542">
        <f t="shared" si="3"/>
        <v>24</v>
      </c>
      <c r="AR99" s="593">
        <f t="shared" si="2"/>
        <v>2639.42</v>
      </c>
    </row>
    <row r="100" spans="1:44" outlineLevel="1" x14ac:dyDescent="0.25">
      <c r="A100" s="544" t="s">
        <v>1674</v>
      </c>
      <c r="B100" s="545">
        <v>0</v>
      </c>
      <c r="C100" s="544" t="s">
        <v>1674</v>
      </c>
      <c r="D100" s="544" t="s">
        <v>4393</v>
      </c>
      <c r="E100" s="542" t="s">
        <v>3649</v>
      </c>
      <c r="F100" s="542" t="s">
        <v>3804</v>
      </c>
      <c r="G100" s="546"/>
      <c r="H100" s="546">
        <v>197.89</v>
      </c>
      <c r="I100" s="546">
        <v>197.89</v>
      </c>
      <c r="J100" s="542" t="s">
        <v>2584</v>
      </c>
      <c r="K100" s="547">
        <v>4640</v>
      </c>
      <c r="L100" s="542" t="s">
        <v>806</v>
      </c>
      <c r="M100" s="548"/>
      <c r="N100" s="549">
        <v>-37</v>
      </c>
      <c r="O100" s="544" t="s">
        <v>1674</v>
      </c>
      <c r="P100" s="544" t="s">
        <v>1674</v>
      </c>
      <c r="Q100" s="544" t="s">
        <v>4137</v>
      </c>
      <c r="R100" s="544" t="s">
        <v>1674</v>
      </c>
      <c r="S100" s="544" t="s">
        <v>1674</v>
      </c>
      <c r="T100" s="550">
        <v>19</v>
      </c>
      <c r="U100" s="544" t="s">
        <v>3328</v>
      </c>
      <c r="V100" s="547">
        <v>1363</v>
      </c>
      <c r="W100" s="548"/>
      <c r="Y100" s="544" t="s">
        <v>1674</v>
      </c>
      <c r="AA100" s="544" t="s">
        <v>1674</v>
      </c>
      <c r="AB100" s="542">
        <v>3</v>
      </c>
      <c r="AE100" s="551"/>
      <c r="AF100" s="544" t="s">
        <v>1674</v>
      </c>
      <c r="AG100" s="544" t="s">
        <v>1674</v>
      </c>
      <c r="AH100" s="544" t="s">
        <v>1674</v>
      </c>
      <c r="AI100" s="544" t="s">
        <v>1674</v>
      </c>
      <c r="AJ100" s="544" t="s">
        <v>1674</v>
      </c>
      <c r="AK100" s="544" t="s">
        <v>1674</v>
      </c>
      <c r="AL100" s="544" t="s">
        <v>1674</v>
      </c>
      <c r="AM100" s="544" t="s">
        <v>1674</v>
      </c>
      <c r="AN100" s="544" t="s">
        <v>1674</v>
      </c>
      <c r="AP100" s="542">
        <f t="shared" si="3"/>
        <v>24</v>
      </c>
      <c r="AR100" s="593">
        <f t="shared" si="2"/>
        <v>197.89</v>
      </c>
    </row>
    <row r="101" spans="1:44" outlineLevel="1" x14ac:dyDescent="0.25">
      <c r="A101" s="544" t="s">
        <v>1674</v>
      </c>
      <c r="B101" s="545">
        <v>0</v>
      </c>
      <c r="C101" s="544" t="s">
        <v>1674</v>
      </c>
      <c r="D101" s="544" t="s">
        <v>4394</v>
      </c>
      <c r="E101" s="542" t="s">
        <v>3649</v>
      </c>
      <c r="F101" s="542" t="s">
        <v>3804</v>
      </c>
      <c r="G101" s="546"/>
      <c r="H101" s="546">
        <v>16184</v>
      </c>
      <c r="I101" s="546">
        <v>16184</v>
      </c>
      <c r="J101" s="542" t="s">
        <v>2584</v>
      </c>
      <c r="K101" s="547">
        <v>4952</v>
      </c>
      <c r="L101" s="542" t="s">
        <v>806</v>
      </c>
      <c r="M101" s="548"/>
      <c r="N101" s="549">
        <v>-37</v>
      </c>
      <c r="O101" s="544" t="s">
        <v>1674</v>
      </c>
      <c r="P101" s="544" t="s">
        <v>1674</v>
      </c>
      <c r="Q101" s="544" t="s">
        <v>4395</v>
      </c>
      <c r="R101" s="544" t="s">
        <v>1674</v>
      </c>
      <c r="S101" s="544" t="s">
        <v>1674</v>
      </c>
      <c r="T101" s="550">
        <v>19</v>
      </c>
      <c r="U101" s="544" t="s">
        <v>3328</v>
      </c>
      <c r="V101" s="547">
        <v>1369</v>
      </c>
      <c r="W101" s="548"/>
      <c r="Y101" s="544" t="s">
        <v>1674</v>
      </c>
      <c r="AA101" s="544" t="s">
        <v>1674</v>
      </c>
      <c r="AB101" s="542">
        <v>3</v>
      </c>
      <c r="AE101" s="551"/>
      <c r="AF101" s="544" t="s">
        <v>1674</v>
      </c>
      <c r="AG101" s="544" t="s">
        <v>1674</v>
      </c>
      <c r="AH101" s="544" t="s">
        <v>1674</v>
      </c>
      <c r="AI101" s="544" t="s">
        <v>1674</v>
      </c>
      <c r="AJ101" s="544" t="s">
        <v>1674</v>
      </c>
      <c r="AK101" s="544" t="s">
        <v>1674</v>
      </c>
      <c r="AL101" s="544" t="s">
        <v>1674</v>
      </c>
      <c r="AM101" s="544" t="s">
        <v>1674</v>
      </c>
      <c r="AN101" s="544" t="s">
        <v>1674</v>
      </c>
      <c r="AP101" s="542">
        <f t="shared" si="3"/>
        <v>24</v>
      </c>
      <c r="AR101" s="593">
        <f t="shared" si="2"/>
        <v>16184</v>
      </c>
    </row>
    <row r="102" spans="1:44" outlineLevel="1" x14ac:dyDescent="0.25">
      <c r="A102" s="544" t="s">
        <v>1674</v>
      </c>
      <c r="B102" s="545">
        <v>70400</v>
      </c>
      <c r="C102" s="544" t="s">
        <v>2730</v>
      </c>
      <c r="D102" s="544" t="s">
        <v>4396</v>
      </c>
      <c r="E102" s="542" t="s">
        <v>3649</v>
      </c>
      <c r="F102" s="542" t="s">
        <v>3804</v>
      </c>
      <c r="G102" s="546"/>
      <c r="H102" s="546">
        <v>983.14</v>
      </c>
      <c r="I102" s="546"/>
      <c r="J102" s="542" t="s">
        <v>806</v>
      </c>
      <c r="K102" s="547">
        <v>4730</v>
      </c>
      <c r="L102" s="542" t="s">
        <v>806</v>
      </c>
      <c r="M102" s="548"/>
      <c r="N102" s="549">
        <v>-37</v>
      </c>
      <c r="O102" s="544" t="s">
        <v>1674</v>
      </c>
      <c r="P102" s="544" t="s">
        <v>1674</v>
      </c>
      <c r="Q102" s="544" t="s">
        <v>4119</v>
      </c>
      <c r="R102" s="544" t="s">
        <v>1674</v>
      </c>
      <c r="S102" s="544" t="s">
        <v>1674</v>
      </c>
      <c r="T102" s="550">
        <v>19</v>
      </c>
      <c r="U102" s="544" t="s">
        <v>3328</v>
      </c>
      <c r="V102" s="547">
        <v>1364</v>
      </c>
      <c r="W102" s="548"/>
      <c r="Y102" s="544" t="s">
        <v>1674</v>
      </c>
      <c r="AA102" s="544" t="s">
        <v>1674</v>
      </c>
      <c r="AB102" s="542">
        <v>3</v>
      </c>
      <c r="AE102" s="551"/>
      <c r="AF102" s="544" t="s">
        <v>1674</v>
      </c>
      <c r="AG102" s="544" t="s">
        <v>1674</v>
      </c>
      <c r="AH102" s="544" t="s">
        <v>1674</v>
      </c>
      <c r="AI102" s="544" t="s">
        <v>1674</v>
      </c>
      <c r="AJ102" s="544" t="s">
        <v>1674</v>
      </c>
      <c r="AK102" s="544" t="s">
        <v>1674</v>
      </c>
      <c r="AL102" s="544" t="s">
        <v>1674</v>
      </c>
      <c r="AM102" s="544" t="s">
        <v>2730</v>
      </c>
      <c r="AN102" s="544" t="s">
        <v>1674</v>
      </c>
      <c r="AP102" s="542">
        <f t="shared" si="3"/>
        <v>24</v>
      </c>
      <c r="AR102" s="593">
        <f t="shared" si="2"/>
        <v>0</v>
      </c>
    </row>
    <row r="103" spans="1:44" outlineLevel="1" x14ac:dyDescent="0.25">
      <c r="A103" s="544" t="s">
        <v>1674</v>
      </c>
      <c r="B103" s="545">
        <v>0</v>
      </c>
      <c r="C103" s="544" t="s">
        <v>1674</v>
      </c>
      <c r="D103" s="544" t="s">
        <v>4396</v>
      </c>
      <c r="E103" s="542" t="s">
        <v>3649</v>
      </c>
      <c r="F103" s="542" t="s">
        <v>3804</v>
      </c>
      <c r="G103" s="546"/>
      <c r="H103" s="546">
        <v>297.87</v>
      </c>
      <c r="I103" s="546">
        <v>1281.01</v>
      </c>
      <c r="J103" s="542" t="s">
        <v>2584</v>
      </c>
      <c r="K103" s="547">
        <v>4730</v>
      </c>
      <c r="L103" s="542" t="s">
        <v>806</v>
      </c>
      <c r="M103" s="548"/>
      <c r="N103" s="549">
        <v>-37</v>
      </c>
      <c r="O103" s="544" t="s">
        <v>1674</v>
      </c>
      <c r="P103" s="544" t="s">
        <v>1674</v>
      </c>
      <c r="Q103" s="544" t="s">
        <v>4119</v>
      </c>
      <c r="R103" s="544" t="s">
        <v>1674</v>
      </c>
      <c r="S103" s="544" t="s">
        <v>1674</v>
      </c>
      <c r="T103" s="550">
        <v>19</v>
      </c>
      <c r="U103" s="544" t="s">
        <v>3328</v>
      </c>
      <c r="V103" s="547">
        <v>1365</v>
      </c>
      <c r="W103" s="548"/>
      <c r="Y103" s="544" t="s">
        <v>1674</v>
      </c>
      <c r="AA103" s="544" t="s">
        <v>1674</v>
      </c>
      <c r="AB103" s="542">
        <v>3</v>
      </c>
      <c r="AE103" s="551"/>
      <c r="AF103" s="544" t="s">
        <v>1674</v>
      </c>
      <c r="AG103" s="544" t="s">
        <v>1674</v>
      </c>
      <c r="AH103" s="544" t="s">
        <v>1674</v>
      </c>
      <c r="AI103" s="544" t="s">
        <v>1674</v>
      </c>
      <c r="AJ103" s="544" t="s">
        <v>1674</v>
      </c>
      <c r="AK103" s="544" t="s">
        <v>1674</v>
      </c>
      <c r="AL103" s="544" t="s">
        <v>1674</v>
      </c>
      <c r="AM103" s="544" t="s">
        <v>1674</v>
      </c>
      <c r="AN103" s="544" t="s">
        <v>1674</v>
      </c>
      <c r="AP103" s="542">
        <f t="shared" si="3"/>
        <v>24</v>
      </c>
      <c r="AR103" s="593">
        <f t="shared" si="2"/>
        <v>1281.01</v>
      </c>
    </row>
    <row r="104" spans="1:44" outlineLevel="1" x14ac:dyDescent="0.25">
      <c r="A104" s="544" t="s">
        <v>1674</v>
      </c>
      <c r="B104" s="545">
        <v>0</v>
      </c>
      <c r="C104" s="544" t="s">
        <v>1674</v>
      </c>
      <c r="D104" s="544" t="s">
        <v>4397</v>
      </c>
      <c r="E104" s="542" t="s">
        <v>3649</v>
      </c>
      <c r="F104" s="542" t="s">
        <v>3804</v>
      </c>
      <c r="G104" s="546"/>
      <c r="H104" s="546">
        <v>182.32</v>
      </c>
      <c r="I104" s="546">
        <v>182.32</v>
      </c>
      <c r="J104" s="542" t="s">
        <v>2584</v>
      </c>
      <c r="K104" s="547">
        <v>4730</v>
      </c>
      <c r="L104" s="542" t="s">
        <v>806</v>
      </c>
      <c r="M104" s="548"/>
      <c r="N104" s="549">
        <v>-37</v>
      </c>
      <c r="O104" s="544" t="s">
        <v>1674</v>
      </c>
      <c r="P104" s="544" t="s">
        <v>1674</v>
      </c>
      <c r="Q104" s="544" t="s">
        <v>4119</v>
      </c>
      <c r="R104" s="544" t="s">
        <v>1674</v>
      </c>
      <c r="S104" s="544" t="s">
        <v>1674</v>
      </c>
      <c r="T104" s="550">
        <v>19</v>
      </c>
      <c r="U104" s="544" t="s">
        <v>3328</v>
      </c>
      <c r="V104" s="547">
        <v>1370</v>
      </c>
      <c r="W104" s="548"/>
      <c r="Y104" s="544" t="s">
        <v>1674</v>
      </c>
      <c r="AA104" s="544" t="s">
        <v>1674</v>
      </c>
      <c r="AB104" s="542">
        <v>3</v>
      </c>
      <c r="AE104" s="551"/>
      <c r="AF104" s="544" t="s">
        <v>1674</v>
      </c>
      <c r="AG104" s="544" t="s">
        <v>1674</v>
      </c>
      <c r="AH104" s="544" t="s">
        <v>1674</v>
      </c>
      <c r="AI104" s="544" t="s">
        <v>1674</v>
      </c>
      <c r="AJ104" s="544" t="s">
        <v>1674</v>
      </c>
      <c r="AK104" s="544" t="s">
        <v>1674</v>
      </c>
      <c r="AL104" s="544" t="s">
        <v>1674</v>
      </c>
      <c r="AM104" s="544" t="s">
        <v>1674</v>
      </c>
      <c r="AN104" s="544" t="s">
        <v>1674</v>
      </c>
      <c r="AP104" s="542">
        <f t="shared" si="3"/>
        <v>24</v>
      </c>
      <c r="AR104" s="593">
        <f t="shared" si="2"/>
        <v>182.32</v>
      </c>
    </row>
    <row r="105" spans="1:44" outlineLevel="1" x14ac:dyDescent="0.25">
      <c r="A105" s="544" t="s">
        <v>1674</v>
      </c>
      <c r="B105" s="545">
        <v>0</v>
      </c>
      <c r="C105" s="544" t="s">
        <v>1674</v>
      </c>
      <c r="D105" s="544" t="s">
        <v>4398</v>
      </c>
      <c r="E105" s="542" t="s">
        <v>3649</v>
      </c>
      <c r="F105" s="542" t="s">
        <v>3804</v>
      </c>
      <c r="G105" s="546"/>
      <c r="H105" s="546">
        <v>538.70000000000005</v>
      </c>
      <c r="I105" s="546"/>
      <c r="J105" s="542" t="s">
        <v>806</v>
      </c>
      <c r="K105" s="547">
        <v>4730</v>
      </c>
      <c r="L105" s="542" t="s">
        <v>806</v>
      </c>
      <c r="M105" s="548"/>
      <c r="N105" s="549">
        <v>-37</v>
      </c>
      <c r="O105" s="544" t="s">
        <v>1674</v>
      </c>
      <c r="P105" s="544" t="s">
        <v>1674</v>
      </c>
      <c r="Q105" s="544" t="s">
        <v>4119</v>
      </c>
      <c r="R105" s="544" t="s">
        <v>1674</v>
      </c>
      <c r="S105" s="544" t="s">
        <v>1674</v>
      </c>
      <c r="T105" s="550">
        <v>19</v>
      </c>
      <c r="U105" s="544" t="s">
        <v>3328</v>
      </c>
      <c r="V105" s="547">
        <v>1371</v>
      </c>
      <c r="W105" s="548"/>
      <c r="Y105" s="544" t="s">
        <v>1674</v>
      </c>
      <c r="AA105" s="544" t="s">
        <v>1674</v>
      </c>
      <c r="AB105" s="542">
        <v>3</v>
      </c>
      <c r="AE105" s="551"/>
      <c r="AF105" s="544" t="s">
        <v>1674</v>
      </c>
      <c r="AG105" s="544" t="s">
        <v>1674</v>
      </c>
      <c r="AH105" s="544" t="s">
        <v>1674</v>
      </c>
      <c r="AI105" s="544" t="s">
        <v>1674</v>
      </c>
      <c r="AJ105" s="544" t="s">
        <v>1674</v>
      </c>
      <c r="AK105" s="544" t="s">
        <v>1674</v>
      </c>
      <c r="AL105" s="544" t="s">
        <v>1674</v>
      </c>
      <c r="AM105" s="544" t="s">
        <v>1674</v>
      </c>
      <c r="AN105" s="544" t="s">
        <v>1674</v>
      </c>
      <c r="AP105" s="542">
        <f t="shared" si="3"/>
        <v>24</v>
      </c>
      <c r="AR105" s="593">
        <f t="shared" si="2"/>
        <v>0</v>
      </c>
    </row>
    <row r="106" spans="1:44" outlineLevel="1" x14ac:dyDescent="0.25">
      <c r="A106" s="544" t="s">
        <v>1674</v>
      </c>
      <c r="B106" s="545">
        <v>0</v>
      </c>
      <c r="C106" s="544" t="s">
        <v>1674</v>
      </c>
      <c r="D106" s="544" t="s">
        <v>4398</v>
      </c>
      <c r="E106" s="542" t="s">
        <v>3649</v>
      </c>
      <c r="F106" s="542" t="s">
        <v>3804</v>
      </c>
      <c r="G106" s="546"/>
      <c r="H106" s="546">
        <v>558.38</v>
      </c>
      <c r="I106" s="546">
        <v>1097.08</v>
      </c>
      <c r="J106" s="542" t="s">
        <v>2584</v>
      </c>
      <c r="K106" s="547">
        <v>4730</v>
      </c>
      <c r="L106" s="542" t="s">
        <v>806</v>
      </c>
      <c r="M106" s="548"/>
      <c r="N106" s="549">
        <v>-37</v>
      </c>
      <c r="O106" s="544" t="s">
        <v>1674</v>
      </c>
      <c r="P106" s="544" t="s">
        <v>1674</v>
      </c>
      <c r="Q106" s="544" t="s">
        <v>4119</v>
      </c>
      <c r="R106" s="544" t="s">
        <v>1674</v>
      </c>
      <c r="S106" s="544" t="s">
        <v>1674</v>
      </c>
      <c r="T106" s="550">
        <v>19</v>
      </c>
      <c r="U106" s="544" t="s">
        <v>3328</v>
      </c>
      <c r="V106" s="547">
        <v>1372</v>
      </c>
      <c r="W106" s="548"/>
      <c r="Y106" s="544" t="s">
        <v>1674</v>
      </c>
      <c r="AA106" s="544" t="s">
        <v>1674</v>
      </c>
      <c r="AB106" s="542">
        <v>3</v>
      </c>
      <c r="AE106" s="551"/>
      <c r="AF106" s="544" t="s">
        <v>1674</v>
      </c>
      <c r="AG106" s="544" t="s">
        <v>1674</v>
      </c>
      <c r="AH106" s="544" t="s">
        <v>1674</v>
      </c>
      <c r="AI106" s="544" t="s">
        <v>1674</v>
      </c>
      <c r="AJ106" s="544" t="s">
        <v>1674</v>
      </c>
      <c r="AK106" s="544" t="s">
        <v>1674</v>
      </c>
      <c r="AL106" s="544" t="s">
        <v>1674</v>
      </c>
      <c r="AM106" s="544" t="s">
        <v>1674</v>
      </c>
      <c r="AN106" s="544" t="s">
        <v>1674</v>
      </c>
      <c r="AP106" s="542">
        <f t="shared" si="3"/>
        <v>24</v>
      </c>
      <c r="AR106" s="593">
        <f t="shared" si="2"/>
        <v>1097.08</v>
      </c>
    </row>
    <row r="107" spans="1:44" outlineLevel="1" x14ac:dyDescent="0.25">
      <c r="A107" s="544" t="s">
        <v>1674</v>
      </c>
      <c r="B107" s="545">
        <v>70500</v>
      </c>
      <c r="C107" s="544" t="s">
        <v>2918</v>
      </c>
      <c r="D107" s="544" t="s">
        <v>4399</v>
      </c>
      <c r="E107" s="542" t="s">
        <v>3649</v>
      </c>
      <c r="F107" s="542" t="s">
        <v>3804</v>
      </c>
      <c r="G107" s="546"/>
      <c r="H107" s="546">
        <v>387.27</v>
      </c>
      <c r="I107" s="546">
        <v>387.27</v>
      </c>
      <c r="J107" s="542" t="s">
        <v>2584</v>
      </c>
      <c r="K107" s="547">
        <v>3400</v>
      </c>
      <c r="L107" s="542" t="s">
        <v>806</v>
      </c>
      <c r="M107" s="548"/>
      <c r="N107" s="549">
        <v>-37</v>
      </c>
      <c r="O107" s="544" t="s">
        <v>1674</v>
      </c>
      <c r="P107" s="544" t="s">
        <v>1674</v>
      </c>
      <c r="Q107" s="544" t="s">
        <v>4400</v>
      </c>
      <c r="R107" s="544" t="s">
        <v>1674</v>
      </c>
      <c r="S107" s="544" t="s">
        <v>1674</v>
      </c>
      <c r="T107" s="550">
        <v>19</v>
      </c>
      <c r="U107" s="544" t="s">
        <v>3328</v>
      </c>
      <c r="V107" s="547">
        <v>1368</v>
      </c>
      <c r="W107" s="548"/>
      <c r="Y107" s="544" t="s">
        <v>1674</v>
      </c>
      <c r="AA107" s="544" t="s">
        <v>1674</v>
      </c>
      <c r="AB107" s="542">
        <v>3</v>
      </c>
      <c r="AE107" s="551"/>
      <c r="AF107" s="544" t="s">
        <v>1674</v>
      </c>
      <c r="AG107" s="544" t="s">
        <v>1674</v>
      </c>
      <c r="AH107" s="544" t="s">
        <v>1674</v>
      </c>
      <c r="AI107" s="544" t="s">
        <v>1674</v>
      </c>
      <c r="AJ107" s="544" t="s">
        <v>1674</v>
      </c>
      <c r="AK107" s="544" t="s">
        <v>1674</v>
      </c>
      <c r="AL107" s="544" t="s">
        <v>1674</v>
      </c>
      <c r="AM107" s="544" t="s">
        <v>2918</v>
      </c>
      <c r="AN107" s="544" t="s">
        <v>1674</v>
      </c>
      <c r="AP107" s="542">
        <f t="shared" si="3"/>
        <v>24</v>
      </c>
      <c r="AR107" s="593">
        <f t="shared" si="2"/>
        <v>387.27</v>
      </c>
    </row>
    <row r="108" spans="1:44" outlineLevel="1" x14ac:dyDescent="0.25">
      <c r="A108" s="544" t="s">
        <v>1674</v>
      </c>
      <c r="B108" s="545">
        <v>71201</v>
      </c>
      <c r="C108" s="544" t="s">
        <v>4401</v>
      </c>
      <c r="D108" s="544" t="s">
        <v>4402</v>
      </c>
      <c r="E108" s="542" t="s">
        <v>3649</v>
      </c>
      <c r="F108" s="542" t="s">
        <v>3804</v>
      </c>
      <c r="G108" s="546"/>
      <c r="H108" s="546">
        <v>23.51</v>
      </c>
      <c r="I108" s="546">
        <v>23.51</v>
      </c>
      <c r="J108" s="542" t="s">
        <v>2584</v>
      </c>
      <c r="K108" s="547">
        <v>4800</v>
      </c>
      <c r="L108" s="542" t="s">
        <v>806</v>
      </c>
      <c r="M108" s="548"/>
      <c r="N108" s="549">
        <v>-37</v>
      </c>
      <c r="O108" s="544" t="s">
        <v>1674</v>
      </c>
      <c r="P108" s="544" t="s">
        <v>1674</v>
      </c>
      <c r="Q108" s="544" t="s">
        <v>4403</v>
      </c>
      <c r="R108" s="544" t="s">
        <v>1674</v>
      </c>
      <c r="S108" s="544" t="s">
        <v>1674</v>
      </c>
      <c r="T108" s="550">
        <v>19</v>
      </c>
      <c r="U108" s="544" t="s">
        <v>3328</v>
      </c>
      <c r="V108" s="547">
        <v>1366</v>
      </c>
      <c r="W108" s="548"/>
      <c r="Y108" s="544" t="s">
        <v>1674</v>
      </c>
      <c r="AA108" s="544" t="s">
        <v>1674</v>
      </c>
      <c r="AB108" s="542">
        <v>3</v>
      </c>
      <c r="AE108" s="551"/>
      <c r="AF108" s="544" t="s">
        <v>1674</v>
      </c>
      <c r="AG108" s="544" t="s">
        <v>1674</v>
      </c>
      <c r="AH108" s="544" t="s">
        <v>1674</v>
      </c>
      <c r="AI108" s="544" t="s">
        <v>1674</v>
      </c>
      <c r="AJ108" s="544" t="s">
        <v>1674</v>
      </c>
      <c r="AK108" s="544" t="s">
        <v>1674</v>
      </c>
      <c r="AL108" s="544" t="s">
        <v>1674</v>
      </c>
      <c r="AM108" s="544" t="s">
        <v>4404</v>
      </c>
      <c r="AN108" s="544" t="s">
        <v>1674</v>
      </c>
      <c r="AP108" s="542">
        <f t="shared" si="3"/>
        <v>24</v>
      </c>
      <c r="AR108" s="593">
        <f t="shared" si="2"/>
        <v>23.51</v>
      </c>
    </row>
    <row r="109" spans="1:44" outlineLevel="1" x14ac:dyDescent="0.25">
      <c r="A109" s="544" t="s">
        <v>1674</v>
      </c>
      <c r="B109" s="545">
        <v>72100</v>
      </c>
      <c r="C109" s="544" t="s">
        <v>2955</v>
      </c>
      <c r="D109" s="544" t="s">
        <v>4405</v>
      </c>
      <c r="E109" s="542" t="s">
        <v>3649</v>
      </c>
      <c r="F109" s="542" t="s">
        <v>3804</v>
      </c>
      <c r="G109" s="546"/>
      <c r="H109" s="546">
        <v>12.91</v>
      </c>
      <c r="I109" s="546">
        <v>12.91</v>
      </c>
      <c r="J109" s="542" t="s">
        <v>2584</v>
      </c>
      <c r="K109" s="547">
        <v>4980</v>
      </c>
      <c r="L109" s="542" t="s">
        <v>806</v>
      </c>
      <c r="M109" s="548"/>
      <c r="N109" s="549">
        <v>-37</v>
      </c>
      <c r="O109" s="544" t="s">
        <v>1674</v>
      </c>
      <c r="P109" s="544" t="s">
        <v>1674</v>
      </c>
      <c r="Q109" s="544" t="s">
        <v>4406</v>
      </c>
      <c r="R109" s="544" t="s">
        <v>1674</v>
      </c>
      <c r="S109" s="544" t="s">
        <v>1674</v>
      </c>
      <c r="T109" s="550">
        <v>19</v>
      </c>
      <c r="U109" s="544" t="s">
        <v>3328</v>
      </c>
      <c r="V109" s="547">
        <v>1367</v>
      </c>
      <c r="W109" s="548"/>
      <c r="Y109" s="544" t="s">
        <v>1674</v>
      </c>
      <c r="AA109" s="544" t="s">
        <v>1674</v>
      </c>
      <c r="AB109" s="542">
        <v>3</v>
      </c>
      <c r="AE109" s="551"/>
      <c r="AF109" s="544" t="s">
        <v>1674</v>
      </c>
      <c r="AG109" s="544" t="s">
        <v>1674</v>
      </c>
      <c r="AH109" s="544" t="s">
        <v>1674</v>
      </c>
      <c r="AI109" s="544" t="s">
        <v>1674</v>
      </c>
      <c r="AJ109" s="544" t="s">
        <v>1674</v>
      </c>
      <c r="AK109" s="544" t="s">
        <v>1674</v>
      </c>
      <c r="AL109" s="544" t="s">
        <v>1674</v>
      </c>
      <c r="AM109" s="544" t="s">
        <v>2955</v>
      </c>
      <c r="AN109" s="544" t="s">
        <v>1674</v>
      </c>
      <c r="AP109" s="542">
        <f t="shared" si="3"/>
        <v>24</v>
      </c>
      <c r="AR109" s="593">
        <f t="shared" si="2"/>
        <v>12.91</v>
      </c>
    </row>
    <row r="110" spans="1:44" outlineLevel="1" x14ac:dyDescent="0.25">
      <c r="A110" s="544" t="s">
        <v>1674</v>
      </c>
      <c r="B110" s="545">
        <v>70210</v>
      </c>
      <c r="C110" s="544" t="s">
        <v>4096</v>
      </c>
      <c r="D110" s="544" t="s">
        <v>4407</v>
      </c>
      <c r="E110" s="542" t="s">
        <v>3653</v>
      </c>
      <c r="F110" s="542" t="s">
        <v>3826</v>
      </c>
      <c r="G110" s="546"/>
      <c r="H110" s="546">
        <v>2327.4499999999998</v>
      </c>
      <c r="I110" s="546">
        <v>2327.4499999999998</v>
      </c>
      <c r="J110" s="542" t="s">
        <v>2584</v>
      </c>
      <c r="K110" s="547">
        <v>3106</v>
      </c>
      <c r="L110" s="542" t="s">
        <v>806</v>
      </c>
      <c r="M110" s="548"/>
      <c r="N110" s="549">
        <v>-36</v>
      </c>
      <c r="O110" s="544" t="s">
        <v>1674</v>
      </c>
      <c r="P110" s="544" t="s">
        <v>1674</v>
      </c>
      <c r="Q110" s="544" t="s">
        <v>4096</v>
      </c>
      <c r="R110" s="544" t="s">
        <v>1674</v>
      </c>
      <c r="S110" s="544" t="s">
        <v>1674</v>
      </c>
      <c r="T110" s="550">
        <v>19</v>
      </c>
      <c r="U110" s="544" t="s">
        <v>3328</v>
      </c>
      <c r="V110" s="547">
        <v>1426</v>
      </c>
      <c r="W110" s="548"/>
      <c r="Y110" s="544" t="s">
        <v>1674</v>
      </c>
      <c r="AA110" s="544" t="s">
        <v>1674</v>
      </c>
      <c r="AB110" s="542">
        <v>3</v>
      </c>
      <c r="AE110" s="551"/>
      <c r="AF110" s="544" t="s">
        <v>1674</v>
      </c>
      <c r="AG110" s="544" t="s">
        <v>1674</v>
      </c>
      <c r="AH110" s="544" t="s">
        <v>1674</v>
      </c>
      <c r="AI110" s="544" t="s">
        <v>1674</v>
      </c>
      <c r="AJ110" s="544" t="s">
        <v>1674</v>
      </c>
      <c r="AK110" s="544" t="s">
        <v>1674</v>
      </c>
      <c r="AL110" s="544" t="s">
        <v>1674</v>
      </c>
      <c r="AM110" s="544" t="s">
        <v>4096</v>
      </c>
      <c r="AN110" s="544" t="s">
        <v>1674</v>
      </c>
      <c r="AP110" s="542">
        <f t="shared" si="3"/>
        <v>25</v>
      </c>
      <c r="AR110" s="593">
        <f t="shared" si="2"/>
        <v>2327.4499999999998</v>
      </c>
    </row>
    <row r="111" spans="1:44" outlineLevel="1" x14ac:dyDescent="0.25">
      <c r="A111" s="544" t="s">
        <v>1674</v>
      </c>
      <c r="B111" s="545">
        <v>70400</v>
      </c>
      <c r="C111" s="544" t="s">
        <v>2730</v>
      </c>
      <c r="D111" s="544" t="s">
        <v>4408</v>
      </c>
      <c r="E111" s="542" t="s">
        <v>3653</v>
      </c>
      <c r="F111" s="542" t="s">
        <v>3826</v>
      </c>
      <c r="G111" s="546"/>
      <c r="H111" s="546">
        <v>1218.56</v>
      </c>
      <c r="I111" s="546">
        <v>1218.56</v>
      </c>
      <c r="J111" s="542" t="s">
        <v>2584</v>
      </c>
      <c r="K111" s="547">
        <v>3401</v>
      </c>
      <c r="L111" s="542" t="s">
        <v>806</v>
      </c>
      <c r="M111" s="548"/>
      <c r="N111" s="549">
        <v>-36</v>
      </c>
      <c r="O111" s="544" t="s">
        <v>1674</v>
      </c>
      <c r="P111" s="544" t="s">
        <v>1674</v>
      </c>
      <c r="Q111" s="544" t="s">
        <v>4194</v>
      </c>
      <c r="R111" s="544" t="s">
        <v>1674</v>
      </c>
      <c r="S111" s="544" t="s">
        <v>1674</v>
      </c>
      <c r="T111" s="550">
        <v>19</v>
      </c>
      <c r="U111" s="544" t="s">
        <v>3328</v>
      </c>
      <c r="V111" s="547">
        <v>1435</v>
      </c>
      <c r="W111" s="548"/>
      <c r="Y111" s="544" t="s">
        <v>1674</v>
      </c>
      <c r="AA111" s="544" t="s">
        <v>1674</v>
      </c>
      <c r="AB111" s="542">
        <v>3</v>
      </c>
      <c r="AE111" s="551"/>
      <c r="AF111" s="544" t="s">
        <v>1674</v>
      </c>
      <c r="AG111" s="544" t="s">
        <v>1674</v>
      </c>
      <c r="AH111" s="544" t="s">
        <v>1674</v>
      </c>
      <c r="AI111" s="544" t="s">
        <v>1674</v>
      </c>
      <c r="AJ111" s="544" t="s">
        <v>1674</v>
      </c>
      <c r="AK111" s="544" t="s">
        <v>1674</v>
      </c>
      <c r="AL111" s="544" t="s">
        <v>1674</v>
      </c>
      <c r="AM111" s="544" t="s">
        <v>2730</v>
      </c>
      <c r="AN111" s="544" t="s">
        <v>1674</v>
      </c>
      <c r="AP111" s="542">
        <f t="shared" si="3"/>
        <v>25</v>
      </c>
      <c r="AR111" s="593">
        <f t="shared" si="2"/>
        <v>1218.56</v>
      </c>
    </row>
    <row r="112" spans="1:44" outlineLevel="1" x14ac:dyDescent="0.25">
      <c r="A112" s="544" t="s">
        <v>1674</v>
      </c>
      <c r="B112" s="545">
        <v>0</v>
      </c>
      <c r="C112" s="544" t="s">
        <v>1674</v>
      </c>
      <c r="D112" s="544" t="s">
        <v>4409</v>
      </c>
      <c r="E112" s="542" t="s">
        <v>3653</v>
      </c>
      <c r="F112" s="542" t="s">
        <v>3826</v>
      </c>
      <c r="G112" s="546"/>
      <c r="H112" s="546">
        <v>260.27999999999997</v>
      </c>
      <c r="I112" s="546">
        <v>260.27999999999997</v>
      </c>
      <c r="J112" s="542" t="s">
        <v>2584</v>
      </c>
      <c r="K112" s="547">
        <v>4730</v>
      </c>
      <c r="L112" s="542" t="s">
        <v>806</v>
      </c>
      <c r="M112" s="548"/>
      <c r="N112" s="549">
        <v>-36</v>
      </c>
      <c r="O112" s="544" t="s">
        <v>1674</v>
      </c>
      <c r="P112" s="544" t="s">
        <v>1674</v>
      </c>
      <c r="Q112" s="544" t="s">
        <v>4119</v>
      </c>
      <c r="R112" s="544" t="s">
        <v>1674</v>
      </c>
      <c r="S112" s="544" t="s">
        <v>1674</v>
      </c>
      <c r="T112" s="550">
        <v>19</v>
      </c>
      <c r="U112" s="544" t="s">
        <v>3328</v>
      </c>
      <c r="V112" s="547">
        <v>1434</v>
      </c>
      <c r="W112" s="548"/>
      <c r="Y112" s="544" t="s">
        <v>1674</v>
      </c>
      <c r="AA112" s="544" t="s">
        <v>1674</v>
      </c>
      <c r="AB112" s="542">
        <v>3</v>
      </c>
      <c r="AE112" s="551"/>
      <c r="AF112" s="544" t="s">
        <v>1674</v>
      </c>
      <c r="AG112" s="544" t="s">
        <v>1674</v>
      </c>
      <c r="AH112" s="544" t="s">
        <v>1674</v>
      </c>
      <c r="AI112" s="544" t="s">
        <v>1674</v>
      </c>
      <c r="AJ112" s="544" t="s">
        <v>1674</v>
      </c>
      <c r="AK112" s="544" t="s">
        <v>1674</v>
      </c>
      <c r="AL112" s="544" t="s">
        <v>1674</v>
      </c>
      <c r="AM112" s="544" t="s">
        <v>1674</v>
      </c>
      <c r="AN112" s="544" t="s">
        <v>1674</v>
      </c>
      <c r="AP112" s="542">
        <f t="shared" si="3"/>
        <v>25</v>
      </c>
      <c r="AR112" s="593">
        <f t="shared" si="2"/>
        <v>260.27999999999997</v>
      </c>
    </row>
    <row r="113" spans="1:44" outlineLevel="1" x14ac:dyDescent="0.25">
      <c r="A113" s="544" t="s">
        <v>1674</v>
      </c>
      <c r="B113" s="545">
        <v>70606</v>
      </c>
      <c r="C113" s="544" t="s">
        <v>4410</v>
      </c>
      <c r="D113" s="544" t="s">
        <v>4411</v>
      </c>
      <c r="E113" s="542" t="s">
        <v>3653</v>
      </c>
      <c r="F113" s="542" t="s">
        <v>3826</v>
      </c>
      <c r="G113" s="546"/>
      <c r="H113" s="546">
        <v>1397.87</v>
      </c>
      <c r="I113" s="546">
        <v>1397.87</v>
      </c>
      <c r="J113" s="542" t="s">
        <v>2584</v>
      </c>
      <c r="K113" s="547">
        <v>3400</v>
      </c>
      <c r="L113" s="542" t="s">
        <v>806</v>
      </c>
      <c r="M113" s="548"/>
      <c r="N113" s="549">
        <v>-36</v>
      </c>
      <c r="O113" s="544" t="s">
        <v>1674</v>
      </c>
      <c r="P113" s="544" t="s">
        <v>1674</v>
      </c>
      <c r="Q113" s="544" t="s">
        <v>3929</v>
      </c>
      <c r="R113" s="544" t="s">
        <v>1674</v>
      </c>
      <c r="S113" s="544" t="s">
        <v>1674</v>
      </c>
      <c r="T113" s="550">
        <v>19</v>
      </c>
      <c r="U113" s="544" t="s">
        <v>3328</v>
      </c>
      <c r="V113" s="547">
        <v>1429</v>
      </c>
      <c r="W113" s="548"/>
      <c r="Y113" s="544" t="s">
        <v>1674</v>
      </c>
      <c r="AA113" s="544" t="s">
        <v>1674</v>
      </c>
      <c r="AB113" s="542">
        <v>3</v>
      </c>
      <c r="AE113" s="551"/>
      <c r="AF113" s="544" t="s">
        <v>1674</v>
      </c>
      <c r="AG113" s="544" t="s">
        <v>1674</v>
      </c>
      <c r="AH113" s="544" t="s">
        <v>1674</v>
      </c>
      <c r="AI113" s="544" t="s">
        <v>1674</v>
      </c>
      <c r="AJ113" s="544" t="s">
        <v>1674</v>
      </c>
      <c r="AK113" s="544" t="s">
        <v>1674</v>
      </c>
      <c r="AL113" s="544" t="s">
        <v>1674</v>
      </c>
      <c r="AM113" s="544" t="s">
        <v>4410</v>
      </c>
      <c r="AN113" s="544" t="s">
        <v>1674</v>
      </c>
      <c r="AP113" s="542">
        <f t="shared" si="3"/>
        <v>25</v>
      </c>
      <c r="AR113" s="593">
        <f t="shared" si="2"/>
        <v>1397.87</v>
      </c>
    </row>
    <row r="114" spans="1:44" outlineLevel="1" x14ac:dyDescent="0.25">
      <c r="A114" s="544" t="s">
        <v>1674</v>
      </c>
      <c r="B114" s="545">
        <v>0</v>
      </c>
      <c r="C114" s="544" t="s">
        <v>1674</v>
      </c>
      <c r="D114" s="544" t="s">
        <v>4412</v>
      </c>
      <c r="E114" s="542" t="s">
        <v>3653</v>
      </c>
      <c r="F114" s="542" t="s">
        <v>3826</v>
      </c>
      <c r="G114" s="546"/>
      <c r="H114" s="546">
        <v>499.8</v>
      </c>
      <c r="I114" s="546">
        <v>499.8</v>
      </c>
      <c r="J114" s="542" t="s">
        <v>2584</v>
      </c>
      <c r="K114" s="547">
        <v>4730</v>
      </c>
      <c r="L114" s="542" t="s">
        <v>806</v>
      </c>
      <c r="M114" s="548"/>
      <c r="N114" s="549">
        <v>-36</v>
      </c>
      <c r="O114" s="544" t="s">
        <v>1674</v>
      </c>
      <c r="P114" s="544" t="s">
        <v>1674</v>
      </c>
      <c r="Q114" s="544" t="s">
        <v>3929</v>
      </c>
      <c r="R114" s="544" t="s">
        <v>1674</v>
      </c>
      <c r="S114" s="544" t="s">
        <v>1674</v>
      </c>
      <c r="T114" s="550">
        <v>19</v>
      </c>
      <c r="U114" s="544" t="s">
        <v>3328</v>
      </c>
      <c r="V114" s="547">
        <v>1430</v>
      </c>
      <c r="W114" s="548"/>
      <c r="Y114" s="544" t="s">
        <v>1674</v>
      </c>
      <c r="AA114" s="544" t="s">
        <v>1674</v>
      </c>
      <c r="AB114" s="542">
        <v>3</v>
      </c>
      <c r="AE114" s="551"/>
      <c r="AF114" s="544" t="s">
        <v>1674</v>
      </c>
      <c r="AG114" s="544" t="s">
        <v>1674</v>
      </c>
      <c r="AH114" s="544" t="s">
        <v>1674</v>
      </c>
      <c r="AI114" s="544" t="s">
        <v>1674</v>
      </c>
      <c r="AJ114" s="544" t="s">
        <v>1674</v>
      </c>
      <c r="AK114" s="544" t="s">
        <v>1674</v>
      </c>
      <c r="AL114" s="544" t="s">
        <v>1674</v>
      </c>
      <c r="AM114" s="544" t="s">
        <v>1674</v>
      </c>
      <c r="AN114" s="544" t="s">
        <v>1674</v>
      </c>
      <c r="AP114" s="542">
        <f t="shared" si="3"/>
        <v>25</v>
      </c>
      <c r="AR114" s="593">
        <f t="shared" si="2"/>
        <v>499.8</v>
      </c>
    </row>
    <row r="115" spans="1:44" outlineLevel="1" x14ac:dyDescent="0.25">
      <c r="A115" s="544" t="s">
        <v>1674</v>
      </c>
      <c r="B115" s="545">
        <v>70700</v>
      </c>
      <c r="C115" s="544" t="s">
        <v>2836</v>
      </c>
      <c r="D115" s="544" t="s">
        <v>4413</v>
      </c>
      <c r="E115" s="542" t="s">
        <v>3653</v>
      </c>
      <c r="F115" s="542" t="s">
        <v>3826</v>
      </c>
      <c r="G115" s="546"/>
      <c r="H115" s="546">
        <v>274.18</v>
      </c>
      <c r="I115" s="546">
        <v>274.18</v>
      </c>
      <c r="J115" s="542" t="s">
        <v>2584</v>
      </c>
      <c r="K115" s="547">
        <v>3400</v>
      </c>
      <c r="L115" s="542" t="s">
        <v>806</v>
      </c>
      <c r="M115" s="548"/>
      <c r="N115" s="549">
        <v>-36</v>
      </c>
      <c r="O115" s="544" t="s">
        <v>1674</v>
      </c>
      <c r="P115" s="544" t="s">
        <v>1674</v>
      </c>
      <c r="Q115" s="544" t="s">
        <v>4414</v>
      </c>
      <c r="R115" s="544" t="s">
        <v>1674</v>
      </c>
      <c r="S115" s="544" t="s">
        <v>1674</v>
      </c>
      <c r="T115" s="550">
        <v>19</v>
      </c>
      <c r="U115" s="544" t="s">
        <v>3328</v>
      </c>
      <c r="V115" s="547">
        <v>1438</v>
      </c>
      <c r="W115" s="548"/>
      <c r="Y115" s="544" t="s">
        <v>1674</v>
      </c>
      <c r="AA115" s="544" t="s">
        <v>1674</v>
      </c>
      <c r="AB115" s="542">
        <v>3</v>
      </c>
      <c r="AE115" s="551"/>
      <c r="AF115" s="544" t="s">
        <v>1674</v>
      </c>
      <c r="AG115" s="544" t="s">
        <v>1674</v>
      </c>
      <c r="AH115" s="544" t="s">
        <v>1674</v>
      </c>
      <c r="AI115" s="544" t="s">
        <v>1674</v>
      </c>
      <c r="AJ115" s="544" t="s">
        <v>1674</v>
      </c>
      <c r="AK115" s="544" t="s">
        <v>1674</v>
      </c>
      <c r="AL115" s="544" t="s">
        <v>1674</v>
      </c>
      <c r="AM115" s="544" t="s">
        <v>2836</v>
      </c>
      <c r="AN115" s="544" t="s">
        <v>1674</v>
      </c>
      <c r="AP115" s="542">
        <f t="shared" si="3"/>
        <v>25</v>
      </c>
      <c r="AR115" s="593">
        <f t="shared" si="2"/>
        <v>274.18</v>
      </c>
    </row>
    <row r="116" spans="1:44" outlineLevel="1" x14ac:dyDescent="0.25">
      <c r="A116" s="544" t="s">
        <v>1674</v>
      </c>
      <c r="B116" s="545">
        <v>71300</v>
      </c>
      <c r="C116" s="544" t="s">
        <v>3550</v>
      </c>
      <c r="D116" s="544" t="s">
        <v>4415</v>
      </c>
      <c r="E116" s="542" t="s">
        <v>3653</v>
      </c>
      <c r="F116" s="542" t="s">
        <v>3826</v>
      </c>
      <c r="G116" s="546"/>
      <c r="H116" s="546">
        <v>1215.18</v>
      </c>
      <c r="I116" s="546">
        <v>1215.18</v>
      </c>
      <c r="J116" s="542" t="s">
        <v>2584</v>
      </c>
      <c r="K116" s="547">
        <v>4400</v>
      </c>
      <c r="L116" s="542" t="s">
        <v>806</v>
      </c>
      <c r="M116" s="548"/>
      <c r="N116" s="549">
        <v>-36</v>
      </c>
      <c r="O116" s="544" t="s">
        <v>1674</v>
      </c>
      <c r="P116" s="544" t="s">
        <v>1674</v>
      </c>
      <c r="Q116" s="544" t="s">
        <v>4229</v>
      </c>
      <c r="R116" s="544" t="s">
        <v>1674</v>
      </c>
      <c r="S116" s="544" t="s">
        <v>1674</v>
      </c>
      <c r="T116" s="550">
        <v>19</v>
      </c>
      <c r="U116" s="544" t="s">
        <v>3328</v>
      </c>
      <c r="V116" s="547">
        <v>1431</v>
      </c>
      <c r="W116" s="548"/>
      <c r="Y116" s="544" t="s">
        <v>1674</v>
      </c>
      <c r="AA116" s="544" t="s">
        <v>1674</v>
      </c>
      <c r="AB116" s="542">
        <v>3</v>
      </c>
      <c r="AE116" s="551"/>
      <c r="AF116" s="544" t="s">
        <v>1674</v>
      </c>
      <c r="AG116" s="544" t="s">
        <v>1674</v>
      </c>
      <c r="AH116" s="544" t="s">
        <v>1674</v>
      </c>
      <c r="AI116" s="544" t="s">
        <v>1674</v>
      </c>
      <c r="AJ116" s="544" t="s">
        <v>1674</v>
      </c>
      <c r="AK116" s="544" t="s">
        <v>1674</v>
      </c>
      <c r="AL116" s="544" t="s">
        <v>1674</v>
      </c>
      <c r="AM116" s="544" t="s">
        <v>3550</v>
      </c>
      <c r="AN116" s="544" t="s">
        <v>1674</v>
      </c>
      <c r="AP116" s="542">
        <f t="shared" si="3"/>
        <v>25</v>
      </c>
      <c r="AR116" s="593">
        <f t="shared" si="2"/>
        <v>1215.18</v>
      </c>
    </row>
    <row r="117" spans="1:44" outlineLevel="1" x14ac:dyDescent="0.25">
      <c r="A117" s="544" t="s">
        <v>1674</v>
      </c>
      <c r="B117" s="545">
        <v>72200</v>
      </c>
      <c r="C117" s="544" t="s">
        <v>3260</v>
      </c>
      <c r="D117" s="544" t="s">
        <v>4416</v>
      </c>
      <c r="E117" s="542" t="s">
        <v>3653</v>
      </c>
      <c r="F117" s="542" t="s">
        <v>3826</v>
      </c>
      <c r="G117" s="546"/>
      <c r="H117" s="546">
        <v>269.64999999999998</v>
      </c>
      <c r="I117" s="546">
        <v>269.64999999999998</v>
      </c>
      <c r="J117" s="542" t="s">
        <v>2584</v>
      </c>
      <c r="K117" s="547">
        <v>4800</v>
      </c>
      <c r="L117" s="542" t="s">
        <v>806</v>
      </c>
      <c r="M117" s="548"/>
      <c r="N117" s="549">
        <v>-36</v>
      </c>
      <c r="O117" s="544" t="s">
        <v>1674</v>
      </c>
      <c r="P117" s="544" t="s">
        <v>1674</v>
      </c>
      <c r="Q117" s="544" t="s">
        <v>4182</v>
      </c>
      <c r="R117" s="544" t="s">
        <v>1674</v>
      </c>
      <c r="S117" s="544" t="s">
        <v>1674</v>
      </c>
      <c r="T117" s="550">
        <v>19</v>
      </c>
      <c r="U117" s="544" t="s">
        <v>3328</v>
      </c>
      <c r="V117" s="547">
        <v>1436</v>
      </c>
      <c r="W117" s="548"/>
      <c r="Y117" s="544" t="s">
        <v>1674</v>
      </c>
      <c r="AA117" s="544" t="s">
        <v>1674</v>
      </c>
      <c r="AB117" s="542">
        <v>3</v>
      </c>
      <c r="AE117" s="551"/>
      <c r="AF117" s="544" t="s">
        <v>1674</v>
      </c>
      <c r="AG117" s="544" t="s">
        <v>1674</v>
      </c>
      <c r="AH117" s="544" t="s">
        <v>1674</v>
      </c>
      <c r="AI117" s="544" t="s">
        <v>1674</v>
      </c>
      <c r="AJ117" s="544" t="s">
        <v>1674</v>
      </c>
      <c r="AK117" s="544" t="s">
        <v>1674</v>
      </c>
      <c r="AL117" s="544" t="s">
        <v>1674</v>
      </c>
      <c r="AM117" s="544" t="s">
        <v>3260</v>
      </c>
      <c r="AN117" s="544" t="s">
        <v>1674</v>
      </c>
      <c r="AP117" s="542">
        <f t="shared" si="3"/>
        <v>25</v>
      </c>
      <c r="AR117" s="593">
        <f t="shared" si="2"/>
        <v>269.64999999999998</v>
      </c>
    </row>
    <row r="118" spans="1:44" outlineLevel="1" x14ac:dyDescent="0.25">
      <c r="A118" s="544" t="s">
        <v>1674</v>
      </c>
      <c r="B118" s="545">
        <v>0</v>
      </c>
      <c r="C118" s="544" t="s">
        <v>1674</v>
      </c>
      <c r="D118" s="544" t="s">
        <v>4417</v>
      </c>
      <c r="E118" s="542" t="s">
        <v>3653</v>
      </c>
      <c r="F118" s="542" t="s">
        <v>3826</v>
      </c>
      <c r="G118" s="546"/>
      <c r="H118" s="546">
        <v>158.27000000000001</v>
      </c>
      <c r="I118" s="546">
        <v>158.27000000000001</v>
      </c>
      <c r="J118" s="542" t="s">
        <v>2584</v>
      </c>
      <c r="K118" s="547">
        <v>4800</v>
      </c>
      <c r="L118" s="542" t="s">
        <v>806</v>
      </c>
      <c r="M118" s="548"/>
      <c r="N118" s="549">
        <v>-36</v>
      </c>
      <c r="O118" s="544" t="s">
        <v>1674</v>
      </c>
      <c r="P118" s="544" t="s">
        <v>1674</v>
      </c>
      <c r="Q118" s="544" t="s">
        <v>4182</v>
      </c>
      <c r="R118" s="544" t="s">
        <v>1674</v>
      </c>
      <c r="S118" s="544" t="s">
        <v>1674</v>
      </c>
      <c r="T118" s="550">
        <v>19</v>
      </c>
      <c r="U118" s="544" t="s">
        <v>3328</v>
      </c>
      <c r="V118" s="547">
        <v>1437</v>
      </c>
      <c r="W118" s="548"/>
      <c r="Y118" s="544" t="s">
        <v>1674</v>
      </c>
      <c r="AA118" s="544" t="s">
        <v>1674</v>
      </c>
      <c r="AB118" s="542">
        <v>3</v>
      </c>
      <c r="AE118" s="551"/>
      <c r="AF118" s="544" t="s">
        <v>1674</v>
      </c>
      <c r="AG118" s="544" t="s">
        <v>1674</v>
      </c>
      <c r="AH118" s="544" t="s">
        <v>1674</v>
      </c>
      <c r="AI118" s="544" t="s">
        <v>1674</v>
      </c>
      <c r="AJ118" s="544" t="s">
        <v>1674</v>
      </c>
      <c r="AK118" s="544" t="s">
        <v>1674</v>
      </c>
      <c r="AL118" s="544" t="s">
        <v>1674</v>
      </c>
      <c r="AM118" s="544" t="s">
        <v>1674</v>
      </c>
      <c r="AN118" s="544" t="s">
        <v>1674</v>
      </c>
      <c r="AP118" s="542">
        <f t="shared" si="3"/>
        <v>25</v>
      </c>
      <c r="AR118" s="593">
        <f t="shared" si="2"/>
        <v>158.27000000000001</v>
      </c>
    </row>
    <row r="119" spans="1:44" outlineLevel="1" x14ac:dyDescent="0.25">
      <c r="A119" s="544" t="s">
        <v>1674</v>
      </c>
      <c r="B119" s="545">
        <v>80107</v>
      </c>
      <c r="C119" s="544" t="s">
        <v>4020</v>
      </c>
      <c r="D119" s="544" t="s">
        <v>4418</v>
      </c>
      <c r="E119" s="542" t="s">
        <v>3653</v>
      </c>
      <c r="F119" s="542" t="s">
        <v>3826</v>
      </c>
      <c r="G119" s="546"/>
      <c r="H119" s="546">
        <v>18.27</v>
      </c>
      <c r="I119" s="546">
        <v>18.27</v>
      </c>
      <c r="J119" s="542" t="s">
        <v>2584</v>
      </c>
      <c r="K119" s="547">
        <v>4980</v>
      </c>
      <c r="L119" s="542" t="s">
        <v>806</v>
      </c>
      <c r="M119" s="548"/>
      <c r="N119" s="549">
        <v>-36</v>
      </c>
      <c r="O119" s="544" t="s">
        <v>1674</v>
      </c>
      <c r="P119" s="544" t="s">
        <v>1674</v>
      </c>
      <c r="Q119" s="544" t="s">
        <v>4020</v>
      </c>
      <c r="R119" s="544" t="s">
        <v>1674</v>
      </c>
      <c r="S119" s="544" t="s">
        <v>1674</v>
      </c>
      <c r="T119" s="550"/>
      <c r="U119" s="544" t="s">
        <v>3328</v>
      </c>
      <c r="V119" s="547">
        <v>1433</v>
      </c>
      <c r="W119" s="548"/>
      <c r="Y119" s="544" t="s">
        <v>1674</v>
      </c>
      <c r="AA119" s="544" t="s">
        <v>1674</v>
      </c>
      <c r="AB119" s="542">
        <v>3</v>
      </c>
      <c r="AE119" s="551"/>
      <c r="AF119" s="544" t="s">
        <v>1674</v>
      </c>
      <c r="AG119" s="544" t="s">
        <v>1674</v>
      </c>
      <c r="AH119" s="544" t="s">
        <v>1674</v>
      </c>
      <c r="AI119" s="544" t="s">
        <v>1674</v>
      </c>
      <c r="AJ119" s="544" t="s">
        <v>1674</v>
      </c>
      <c r="AK119" s="544" t="s">
        <v>1674</v>
      </c>
      <c r="AL119" s="544" t="s">
        <v>1674</v>
      </c>
      <c r="AM119" s="544" t="s">
        <v>4023</v>
      </c>
      <c r="AN119" s="544" t="s">
        <v>1674</v>
      </c>
      <c r="AP119" s="542">
        <f t="shared" si="3"/>
        <v>25</v>
      </c>
      <c r="AR119" s="593">
        <f t="shared" si="2"/>
        <v>18.27</v>
      </c>
    </row>
    <row r="120" spans="1:44" outlineLevel="1" x14ac:dyDescent="0.25">
      <c r="A120" s="544" t="s">
        <v>1674</v>
      </c>
      <c r="B120" s="545">
        <v>90805</v>
      </c>
      <c r="C120" s="544" t="s">
        <v>4419</v>
      </c>
      <c r="D120" s="544" t="s">
        <v>4420</v>
      </c>
      <c r="E120" s="542" t="s">
        <v>3653</v>
      </c>
      <c r="F120" s="542" t="s">
        <v>3826</v>
      </c>
      <c r="G120" s="546"/>
      <c r="H120" s="546">
        <v>923.46</v>
      </c>
      <c r="I120" s="546">
        <v>923.46</v>
      </c>
      <c r="J120" s="542" t="s">
        <v>2584</v>
      </c>
      <c r="K120" s="547">
        <v>3200</v>
      </c>
      <c r="L120" s="542" t="s">
        <v>806</v>
      </c>
      <c r="M120" s="548"/>
      <c r="N120" s="549">
        <v>-36</v>
      </c>
      <c r="O120" s="544" t="s">
        <v>1674</v>
      </c>
      <c r="P120" s="544" t="s">
        <v>1674</v>
      </c>
      <c r="Q120" s="544" t="s">
        <v>4421</v>
      </c>
      <c r="R120" s="544" t="s">
        <v>1674</v>
      </c>
      <c r="S120" s="544" t="s">
        <v>1674</v>
      </c>
      <c r="T120" s="550"/>
      <c r="U120" s="544" t="s">
        <v>3328</v>
      </c>
      <c r="V120" s="547">
        <v>1432</v>
      </c>
      <c r="W120" s="548"/>
      <c r="Y120" s="544" t="s">
        <v>1674</v>
      </c>
      <c r="AA120" s="544" t="s">
        <v>1674</v>
      </c>
      <c r="AB120" s="542">
        <v>3</v>
      </c>
      <c r="AE120" s="551"/>
      <c r="AF120" s="544" t="s">
        <v>1674</v>
      </c>
      <c r="AG120" s="544" t="s">
        <v>1674</v>
      </c>
      <c r="AH120" s="544" t="s">
        <v>1674</v>
      </c>
      <c r="AI120" s="544" t="s">
        <v>1674</v>
      </c>
      <c r="AJ120" s="544" t="s">
        <v>1674</v>
      </c>
      <c r="AK120" s="544" t="s">
        <v>1674</v>
      </c>
      <c r="AL120" s="544" t="s">
        <v>1674</v>
      </c>
      <c r="AM120" s="544" t="s">
        <v>4422</v>
      </c>
      <c r="AN120" s="544" t="s">
        <v>1674</v>
      </c>
      <c r="AP120" s="542">
        <f t="shared" si="3"/>
        <v>25</v>
      </c>
      <c r="AR120" s="593">
        <f t="shared" si="2"/>
        <v>923.46</v>
      </c>
    </row>
    <row r="121" spans="1:44" outlineLevel="1" x14ac:dyDescent="0.25">
      <c r="A121" s="544" t="s">
        <v>1674</v>
      </c>
      <c r="B121" s="545">
        <v>70100</v>
      </c>
      <c r="C121" s="544" t="s">
        <v>2864</v>
      </c>
      <c r="D121" s="544" t="s">
        <v>4423</v>
      </c>
      <c r="E121" s="542" t="s">
        <v>3657</v>
      </c>
      <c r="F121" s="542" t="s">
        <v>3843</v>
      </c>
      <c r="G121" s="546"/>
      <c r="H121" s="546">
        <v>1493.85</v>
      </c>
      <c r="I121" s="546">
        <v>1493.85</v>
      </c>
      <c r="J121" s="542" t="s">
        <v>2584</v>
      </c>
      <c r="K121" s="547">
        <v>4730</v>
      </c>
      <c r="L121" s="542" t="s">
        <v>806</v>
      </c>
      <c r="M121" s="548"/>
      <c r="N121" s="549">
        <v>-35</v>
      </c>
      <c r="O121" s="544" t="s">
        <v>1674</v>
      </c>
      <c r="P121" s="544" t="s">
        <v>1674</v>
      </c>
      <c r="Q121" s="544" t="s">
        <v>4133</v>
      </c>
      <c r="R121" s="544" t="s">
        <v>1674</v>
      </c>
      <c r="S121" s="544" t="s">
        <v>1674</v>
      </c>
      <c r="T121" s="550">
        <v>19</v>
      </c>
      <c r="U121" s="544" t="s">
        <v>3328</v>
      </c>
      <c r="V121" s="547">
        <v>1503</v>
      </c>
      <c r="W121" s="548"/>
      <c r="Y121" s="544" t="s">
        <v>1674</v>
      </c>
      <c r="AA121" s="544" t="s">
        <v>1674</v>
      </c>
      <c r="AB121" s="542">
        <v>3</v>
      </c>
      <c r="AE121" s="551"/>
      <c r="AF121" s="544" t="s">
        <v>1674</v>
      </c>
      <c r="AG121" s="544" t="s">
        <v>1674</v>
      </c>
      <c r="AH121" s="544" t="s">
        <v>1674</v>
      </c>
      <c r="AI121" s="544" t="s">
        <v>1674</v>
      </c>
      <c r="AJ121" s="544" t="s">
        <v>1674</v>
      </c>
      <c r="AK121" s="544" t="s">
        <v>1674</v>
      </c>
      <c r="AL121" s="544" t="s">
        <v>1674</v>
      </c>
      <c r="AM121" s="544" t="s">
        <v>2864</v>
      </c>
      <c r="AN121" s="544" t="s">
        <v>1674</v>
      </c>
      <c r="AP121" s="542">
        <f t="shared" si="3"/>
        <v>26</v>
      </c>
      <c r="AR121" s="593">
        <f t="shared" si="2"/>
        <v>1493.85</v>
      </c>
    </row>
    <row r="122" spans="1:44" outlineLevel="1" x14ac:dyDescent="0.25">
      <c r="A122" s="544" t="s">
        <v>1674</v>
      </c>
      <c r="B122" s="545">
        <v>70200</v>
      </c>
      <c r="C122" s="544" t="s">
        <v>2774</v>
      </c>
      <c r="D122" s="544" t="s">
        <v>4424</v>
      </c>
      <c r="E122" s="542" t="s">
        <v>3657</v>
      </c>
      <c r="F122" s="542" t="s">
        <v>3843</v>
      </c>
      <c r="G122" s="546"/>
      <c r="H122" s="546">
        <v>2099.16</v>
      </c>
      <c r="I122" s="546">
        <v>2099.16</v>
      </c>
      <c r="J122" s="542" t="s">
        <v>2584</v>
      </c>
      <c r="K122" s="547">
        <v>3401</v>
      </c>
      <c r="L122" s="542" t="s">
        <v>806</v>
      </c>
      <c r="M122" s="548"/>
      <c r="N122" s="549">
        <v>-35</v>
      </c>
      <c r="O122" s="544" t="s">
        <v>1674</v>
      </c>
      <c r="P122" s="544" t="s">
        <v>1674</v>
      </c>
      <c r="Q122" s="544" t="s">
        <v>4390</v>
      </c>
      <c r="R122" s="544" t="s">
        <v>1674</v>
      </c>
      <c r="S122" s="544" t="s">
        <v>1674</v>
      </c>
      <c r="T122" s="550">
        <v>19</v>
      </c>
      <c r="U122" s="544" t="s">
        <v>3328</v>
      </c>
      <c r="V122" s="547">
        <v>1506</v>
      </c>
      <c r="W122" s="548"/>
      <c r="Y122" s="544" t="s">
        <v>1674</v>
      </c>
      <c r="AA122" s="544" t="s">
        <v>1674</v>
      </c>
      <c r="AB122" s="542">
        <v>3</v>
      </c>
      <c r="AE122" s="551"/>
      <c r="AF122" s="544" t="s">
        <v>1674</v>
      </c>
      <c r="AG122" s="544" t="s">
        <v>1674</v>
      </c>
      <c r="AH122" s="544" t="s">
        <v>1674</v>
      </c>
      <c r="AI122" s="544" t="s">
        <v>1674</v>
      </c>
      <c r="AJ122" s="544" t="s">
        <v>1674</v>
      </c>
      <c r="AK122" s="544" t="s">
        <v>1674</v>
      </c>
      <c r="AL122" s="544" t="s">
        <v>1674</v>
      </c>
      <c r="AM122" s="544" t="s">
        <v>2774</v>
      </c>
      <c r="AN122" s="544" t="s">
        <v>1674</v>
      </c>
      <c r="AP122" s="542">
        <f t="shared" si="3"/>
        <v>26</v>
      </c>
      <c r="AR122" s="593">
        <f t="shared" si="2"/>
        <v>2099.16</v>
      </c>
    </row>
    <row r="123" spans="1:44" outlineLevel="1" x14ac:dyDescent="0.25">
      <c r="A123" s="544" t="s">
        <v>1674</v>
      </c>
      <c r="B123" s="545">
        <v>70400</v>
      </c>
      <c r="C123" s="544" t="s">
        <v>2730</v>
      </c>
      <c r="D123" s="544" t="s">
        <v>4425</v>
      </c>
      <c r="E123" s="542" t="s">
        <v>3657</v>
      </c>
      <c r="F123" s="542" t="s">
        <v>3843</v>
      </c>
      <c r="G123" s="546"/>
      <c r="H123" s="546">
        <v>6657.34</v>
      </c>
      <c r="I123" s="546">
        <v>6657.34</v>
      </c>
      <c r="J123" s="542" t="s">
        <v>2584</v>
      </c>
      <c r="K123" s="547">
        <v>3401</v>
      </c>
      <c r="L123" s="542" t="s">
        <v>806</v>
      </c>
      <c r="M123" s="548"/>
      <c r="N123" s="549">
        <v>-35</v>
      </c>
      <c r="O123" s="544" t="s">
        <v>1674</v>
      </c>
      <c r="P123" s="544" t="s">
        <v>1674</v>
      </c>
      <c r="Q123" s="544" t="s">
        <v>4194</v>
      </c>
      <c r="R123" s="544" t="s">
        <v>1674</v>
      </c>
      <c r="S123" s="544" t="s">
        <v>1674</v>
      </c>
      <c r="T123" s="550">
        <v>19</v>
      </c>
      <c r="U123" s="544" t="s">
        <v>3328</v>
      </c>
      <c r="V123" s="547">
        <v>1499</v>
      </c>
      <c r="W123" s="548"/>
      <c r="Y123" s="544" t="s">
        <v>1674</v>
      </c>
      <c r="AA123" s="544" t="s">
        <v>1674</v>
      </c>
      <c r="AB123" s="542">
        <v>3</v>
      </c>
      <c r="AE123" s="551"/>
      <c r="AF123" s="544" t="s">
        <v>1674</v>
      </c>
      <c r="AG123" s="544" t="s">
        <v>1674</v>
      </c>
      <c r="AH123" s="544" t="s">
        <v>1674</v>
      </c>
      <c r="AI123" s="544" t="s">
        <v>1674</v>
      </c>
      <c r="AJ123" s="544" t="s">
        <v>1674</v>
      </c>
      <c r="AK123" s="544" t="s">
        <v>1674</v>
      </c>
      <c r="AL123" s="544" t="s">
        <v>1674</v>
      </c>
      <c r="AM123" s="544" t="s">
        <v>2730</v>
      </c>
      <c r="AN123" s="544" t="s">
        <v>1674</v>
      </c>
      <c r="AP123" s="542">
        <f t="shared" si="3"/>
        <v>26</v>
      </c>
      <c r="AR123" s="593">
        <f t="shared" si="2"/>
        <v>6657.34</v>
      </c>
    </row>
    <row r="124" spans="1:44" outlineLevel="1" x14ac:dyDescent="0.25">
      <c r="A124" s="544" t="s">
        <v>1674</v>
      </c>
      <c r="B124" s="545">
        <v>70700</v>
      </c>
      <c r="C124" s="544" t="s">
        <v>2836</v>
      </c>
      <c r="D124" s="544" t="s">
        <v>4426</v>
      </c>
      <c r="E124" s="542" t="s">
        <v>3657</v>
      </c>
      <c r="F124" s="542" t="s">
        <v>3843</v>
      </c>
      <c r="G124" s="546"/>
      <c r="H124" s="546">
        <v>273.91000000000003</v>
      </c>
      <c r="I124" s="546">
        <v>273.91000000000003</v>
      </c>
      <c r="J124" s="542" t="s">
        <v>2584</v>
      </c>
      <c r="K124" s="547">
        <v>3400</v>
      </c>
      <c r="L124" s="542" t="s">
        <v>806</v>
      </c>
      <c r="M124" s="548"/>
      <c r="N124" s="549">
        <v>-35</v>
      </c>
      <c r="O124" s="544" t="s">
        <v>1674</v>
      </c>
      <c r="P124" s="544" t="s">
        <v>1674</v>
      </c>
      <c r="Q124" s="544" t="s">
        <v>4414</v>
      </c>
      <c r="R124" s="544" t="s">
        <v>1674</v>
      </c>
      <c r="S124" s="544" t="s">
        <v>1674</v>
      </c>
      <c r="T124" s="550">
        <v>19</v>
      </c>
      <c r="U124" s="544" t="s">
        <v>3328</v>
      </c>
      <c r="V124" s="547">
        <v>1500</v>
      </c>
      <c r="W124" s="548"/>
      <c r="Y124" s="544" t="s">
        <v>1674</v>
      </c>
      <c r="AA124" s="544" t="s">
        <v>1674</v>
      </c>
      <c r="AB124" s="542">
        <v>3</v>
      </c>
      <c r="AE124" s="551"/>
      <c r="AF124" s="544" t="s">
        <v>1674</v>
      </c>
      <c r="AG124" s="544" t="s">
        <v>1674</v>
      </c>
      <c r="AH124" s="544" t="s">
        <v>1674</v>
      </c>
      <c r="AI124" s="544" t="s">
        <v>1674</v>
      </c>
      <c r="AJ124" s="544" t="s">
        <v>1674</v>
      </c>
      <c r="AK124" s="544" t="s">
        <v>1674</v>
      </c>
      <c r="AL124" s="544" t="s">
        <v>1674</v>
      </c>
      <c r="AM124" s="544" t="s">
        <v>2836</v>
      </c>
      <c r="AN124" s="544" t="s">
        <v>1674</v>
      </c>
      <c r="AP124" s="542">
        <f t="shared" si="3"/>
        <v>26</v>
      </c>
      <c r="AR124" s="593">
        <f t="shared" si="2"/>
        <v>273.91000000000003</v>
      </c>
    </row>
    <row r="125" spans="1:44" outlineLevel="1" x14ac:dyDescent="0.25">
      <c r="A125" s="544" t="s">
        <v>1674</v>
      </c>
      <c r="B125" s="545">
        <v>0</v>
      </c>
      <c r="C125" s="544" t="s">
        <v>1674</v>
      </c>
      <c r="D125" s="544" t="s">
        <v>4427</v>
      </c>
      <c r="E125" s="542" t="s">
        <v>3657</v>
      </c>
      <c r="G125" s="546">
        <v>249.46</v>
      </c>
      <c r="H125" s="546"/>
      <c r="I125" s="546">
        <v>249.46</v>
      </c>
      <c r="J125" s="542" t="s">
        <v>2701</v>
      </c>
      <c r="K125" s="547">
        <v>3400</v>
      </c>
      <c r="L125" s="542" t="s">
        <v>806</v>
      </c>
      <c r="M125" s="548"/>
      <c r="N125" s="549"/>
      <c r="O125" s="544" t="s">
        <v>1674</v>
      </c>
      <c r="P125" s="544" t="s">
        <v>1674</v>
      </c>
      <c r="Q125" s="544" t="s">
        <v>4414</v>
      </c>
      <c r="R125" s="544" t="s">
        <v>1674</v>
      </c>
      <c r="S125" s="544" t="s">
        <v>1674</v>
      </c>
      <c r="T125" s="550">
        <v>19</v>
      </c>
      <c r="U125" s="544" t="s">
        <v>3328</v>
      </c>
      <c r="V125" s="547">
        <v>1501</v>
      </c>
      <c r="W125" s="548"/>
      <c r="Y125" s="544" t="s">
        <v>1674</v>
      </c>
      <c r="AA125" s="544" t="s">
        <v>1674</v>
      </c>
      <c r="AE125" s="551"/>
      <c r="AF125" s="544" t="s">
        <v>1674</v>
      </c>
      <c r="AG125" s="544" t="s">
        <v>1674</v>
      </c>
      <c r="AH125" s="544" t="s">
        <v>1674</v>
      </c>
      <c r="AI125" s="544" t="s">
        <v>1674</v>
      </c>
      <c r="AJ125" s="544" t="s">
        <v>1674</v>
      </c>
      <c r="AK125" s="544" t="s">
        <v>1674</v>
      </c>
      <c r="AL125" s="544" t="s">
        <v>1674</v>
      </c>
      <c r="AM125" s="544" t="s">
        <v>1674</v>
      </c>
      <c r="AN125" s="544" t="s">
        <v>1674</v>
      </c>
      <c r="AP125" s="542">
        <f t="shared" si="3"/>
        <v>0</v>
      </c>
      <c r="AR125" s="593">
        <f t="shared" si="2"/>
        <v>-249.46</v>
      </c>
    </row>
    <row r="126" spans="1:44" outlineLevel="1" x14ac:dyDescent="0.25">
      <c r="A126" s="544" t="s">
        <v>1674</v>
      </c>
      <c r="B126" s="545">
        <v>71300</v>
      </c>
      <c r="C126" s="544" t="s">
        <v>3550</v>
      </c>
      <c r="D126" s="544" t="s">
        <v>4428</v>
      </c>
      <c r="E126" s="542" t="s">
        <v>3657</v>
      </c>
      <c r="F126" s="542" t="s">
        <v>3843</v>
      </c>
      <c r="G126" s="546"/>
      <c r="H126" s="546">
        <v>1506.02</v>
      </c>
      <c r="I126" s="546">
        <v>1506.02</v>
      </c>
      <c r="J126" s="542" t="s">
        <v>2584</v>
      </c>
      <c r="K126" s="547">
        <v>4980</v>
      </c>
      <c r="L126" s="542" t="s">
        <v>806</v>
      </c>
      <c r="M126" s="548"/>
      <c r="N126" s="549">
        <v>-35</v>
      </c>
      <c r="O126" s="544" t="s">
        <v>1674</v>
      </c>
      <c r="P126" s="544" t="s">
        <v>1674</v>
      </c>
      <c r="Q126" s="544" t="s">
        <v>4187</v>
      </c>
      <c r="R126" s="544" t="s">
        <v>1674</v>
      </c>
      <c r="S126" s="544" t="s">
        <v>1674</v>
      </c>
      <c r="T126" s="550">
        <v>19</v>
      </c>
      <c r="U126" s="544" t="s">
        <v>3328</v>
      </c>
      <c r="V126" s="547">
        <v>1495</v>
      </c>
      <c r="W126" s="548"/>
      <c r="Y126" s="544" t="s">
        <v>1674</v>
      </c>
      <c r="AA126" s="544" t="s">
        <v>1674</v>
      </c>
      <c r="AB126" s="542">
        <v>3</v>
      </c>
      <c r="AE126" s="551"/>
      <c r="AF126" s="544" t="s">
        <v>1674</v>
      </c>
      <c r="AG126" s="544" t="s">
        <v>1674</v>
      </c>
      <c r="AH126" s="544" t="s">
        <v>1674</v>
      </c>
      <c r="AI126" s="544" t="s">
        <v>1674</v>
      </c>
      <c r="AJ126" s="544" t="s">
        <v>1674</v>
      </c>
      <c r="AK126" s="544" t="s">
        <v>1674</v>
      </c>
      <c r="AL126" s="544" t="s">
        <v>1674</v>
      </c>
      <c r="AM126" s="544" t="s">
        <v>3550</v>
      </c>
      <c r="AN126" s="544" t="s">
        <v>1674</v>
      </c>
      <c r="AP126" s="542">
        <f t="shared" si="3"/>
        <v>26</v>
      </c>
      <c r="AR126" s="593">
        <f t="shared" si="2"/>
        <v>1506.02</v>
      </c>
    </row>
    <row r="127" spans="1:44" outlineLevel="1" x14ac:dyDescent="0.25">
      <c r="A127" s="544" t="s">
        <v>1674</v>
      </c>
      <c r="B127" s="545">
        <v>71303</v>
      </c>
      <c r="C127" s="544" t="s">
        <v>4362</v>
      </c>
      <c r="D127" s="544" t="s">
        <v>4429</v>
      </c>
      <c r="E127" s="542" t="s">
        <v>3657</v>
      </c>
      <c r="F127" s="542" t="s">
        <v>3843</v>
      </c>
      <c r="G127" s="546"/>
      <c r="H127" s="546">
        <v>2236.25</v>
      </c>
      <c r="I127" s="546">
        <v>2236.25</v>
      </c>
      <c r="J127" s="542" t="s">
        <v>2584</v>
      </c>
      <c r="K127" s="547">
        <v>3106</v>
      </c>
      <c r="L127" s="542" t="s">
        <v>806</v>
      </c>
      <c r="M127" s="548"/>
      <c r="N127" s="549">
        <v>-35</v>
      </c>
      <c r="O127" s="544" t="s">
        <v>1674</v>
      </c>
      <c r="P127" s="544" t="s">
        <v>1674</v>
      </c>
      <c r="Q127" s="544" t="s">
        <v>4364</v>
      </c>
      <c r="R127" s="544" t="s">
        <v>1674</v>
      </c>
      <c r="S127" s="544" t="s">
        <v>1674</v>
      </c>
      <c r="T127" s="550">
        <v>19</v>
      </c>
      <c r="U127" s="544" t="s">
        <v>3328</v>
      </c>
      <c r="V127" s="547">
        <v>1496</v>
      </c>
      <c r="W127" s="548"/>
      <c r="Y127" s="544" t="s">
        <v>1674</v>
      </c>
      <c r="AA127" s="544" t="s">
        <v>1674</v>
      </c>
      <c r="AB127" s="542">
        <v>3</v>
      </c>
      <c r="AE127" s="551"/>
      <c r="AF127" s="544" t="s">
        <v>1674</v>
      </c>
      <c r="AG127" s="544" t="s">
        <v>1674</v>
      </c>
      <c r="AH127" s="544" t="s">
        <v>1674</v>
      </c>
      <c r="AI127" s="544" t="s">
        <v>1674</v>
      </c>
      <c r="AJ127" s="544" t="s">
        <v>1674</v>
      </c>
      <c r="AK127" s="544" t="s">
        <v>1674</v>
      </c>
      <c r="AL127" s="544" t="s">
        <v>1674</v>
      </c>
      <c r="AM127" s="544" t="s">
        <v>4365</v>
      </c>
      <c r="AN127" s="544" t="s">
        <v>1674</v>
      </c>
      <c r="AP127" s="542">
        <f t="shared" si="3"/>
        <v>26</v>
      </c>
      <c r="AR127" s="593">
        <f t="shared" si="2"/>
        <v>2236.25</v>
      </c>
    </row>
    <row r="128" spans="1:44" outlineLevel="1" x14ac:dyDescent="0.25">
      <c r="A128" s="544" t="s">
        <v>1674</v>
      </c>
      <c r="B128" s="545">
        <v>72200</v>
      </c>
      <c r="C128" s="544" t="s">
        <v>3260</v>
      </c>
      <c r="D128" s="544" t="s">
        <v>4430</v>
      </c>
      <c r="E128" s="542" t="s">
        <v>3657</v>
      </c>
      <c r="F128" s="542" t="s">
        <v>3843</v>
      </c>
      <c r="G128" s="546"/>
      <c r="H128" s="546">
        <v>69.06</v>
      </c>
      <c r="I128" s="546"/>
      <c r="J128" s="542" t="s">
        <v>806</v>
      </c>
      <c r="K128" s="547">
        <v>1588</v>
      </c>
      <c r="L128" s="542" t="s">
        <v>806</v>
      </c>
      <c r="M128" s="548"/>
      <c r="N128" s="549">
        <v>-35</v>
      </c>
      <c r="O128" s="544" t="s">
        <v>1674</v>
      </c>
      <c r="P128" s="544" t="s">
        <v>1674</v>
      </c>
      <c r="Q128" s="544" t="s">
        <v>4040</v>
      </c>
      <c r="R128" s="544" t="s">
        <v>1674</v>
      </c>
      <c r="S128" s="544" t="s">
        <v>1674</v>
      </c>
      <c r="T128" s="550"/>
      <c r="U128" s="544" t="s">
        <v>3328</v>
      </c>
      <c r="V128" s="547">
        <v>1504</v>
      </c>
      <c r="W128" s="548"/>
      <c r="Y128" s="544" t="s">
        <v>1674</v>
      </c>
      <c r="AA128" s="544" t="s">
        <v>1674</v>
      </c>
      <c r="AB128" s="542">
        <v>3</v>
      </c>
      <c r="AE128" s="551"/>
      <c r="AF128" s="544" t="s">
        <v>1674</v>
      </c>
      <c r="AG128" s="544" t="s">
        <v>1674</v>
      </c>
      <c r="AH128" s="544" t="s">
        <v>1674</v>
      </c>
      <c r="AI128" s="544" t="s">
        <v>1674</v>
      </c>
      <c r="AJ128" s="544" t="s">
        <v>1674</v>
      </c>
      <c r="AK128" s="544" t="s">
        <v>1674</v>
      </c>
      <c r="AL128" s="544" t="s">
        <v>1674</v>
      </c>
      <c r="AM128" s="544" t="s">
        <v>3260</v>
      </c>
      <c r="AN128" s="544" t="s">
        <v>1674</v>
      </c>
      <c r="AP128" s="542">
        <f t="shared" si="3"/>
        <v>26</v>
      </c>
      <c r="AR128" s="593">
        <f t="shared" si="2"/>
        <v>0</v>
      </c>
    </row>
    <row r="129" spans="1:44" outlineLevel="1" x14ac:dyDescent="0.25">
      <c r="A129" s="544" t="s">
        <v>1674</v>
      </c>
      <c r="B129" s="545">
        <v>0</v>
      </c>
      <c r="C129" s="544" t="s">
        <v>1674</v>
      </c>
      <c r="D129" s="544" t="s">
        <v>4430</v>
      </c>
      <c r="E129" s="542" t="s">
        <v>3657</v>
      </c>
      <c r="F129" s="542" t="s">
        <v>3843</v>
      </c>
      <c r="G129" s="546"/>
      <c r="H129" s="546">
        <v>17.850000000000001</v>
      </c>
      <c r="I129" s="546">
        <v>86.91</v>
      </c>
      <c r="J129" s="542" t="s">
        <v>2584</v>
      </c>
      <c r="K129" s="547">
        <v>4730</v>
      </c>
      <c r="L129" s="542" t="s">
        <v>806</v>
      </c>
      <c r="M129" s="548"/>
      <c r="N129" s="549">
        <v>-35</v>
      </c>
      <c r="O129" s="544" t="s">
        <v>1674</v>
      </c>
      <c r="P129" s="544" t="s">
        <v>1674</v>
      </c>
      <c r="Q129" s="544" t="s">
        <v>4040</v>
      </c>
      <c r="R129" s="544" t="s">
        <v>1674</v>
      </c>
      <c r="S129" s="544" t="s">
        <v>1674</v>
      </c>
      <c r="T129" s="550">
        <v>19</v>
      </c>
      <c r="U129" s="544" t="s">
        <v>3328</v>
      </c>
      <c r="V129" s="547">
        <v>1505</v>
      </c>
      <c r="W129" s="548"/>
      <c r="Y129" s="544" t="s">
        <v>1674</v>
      </c>
      <c r="AA129" s="544" t="s">
        <v>1674</v>
      </c>
      <c r="AB129" s="542">
        <v>3</v>
      </c>
      <c r="AE129" s="551"/>
      <c r="AF129" s="544" t="s">
        <v>1674</v>
      </c>
      <c r="AG129" s="544" t="s">
        <v>1674</v>
      </c>
      <c r="AH129" s="544" t="s">
        <v>1674</v>
      </c>
      <c r="AI129" s="544" t="s">
        <v>1674</v>
      </c>
      <c r="AJ129" s="544" t="s">
        <v>1674</v>
      </c>
      <c r="AK129" s="544" t="s">
        <v>1674</v>
      </c>
      <c r="AL129" s="544" t="s">
        <v>1674</v>
      </c>
      <c r="AM129" s="544" t="s">
        <v>1674</v>
      </c>
      <c r="AN129" s="544" t="s">
        <v>1674</v>
      </c>
      <c r="AP129" s="542">
        <f t="shared" si="3"/>
        <v>26</v>
      </c>
      <c r="AR129" s="593">
        <f t="shared" si="2"/>
        <v>86.91</v>
      </c>
    </row>
    <row r="130" spans="1:44" outlineLevel="1" x14ac:dyDescent="0.25">
      <c r="A130" s="544" t="s">
        <v>1674</v>
      </c>
      <c r="B130" s="545">
        <v>72500</v>
      </c>
      <c r="C130" s="544" t="s">
        <v>3757</v>
      </c>
      <c r="D130" s="544" t="s">
        <v>4431</v>
      </c>
      <c r="E130" s="542" t="s">
        <v>3657</v>
      </c>
      <c r="F130" s="542" t="s">
        <v>3843</v>
      </c>
      <c r="G130" s="546"/>
      <c r="H130" s="546">
        <v>1166.2</v>
      </c>
      <c r="I130" s="546">
        <v>1166.2</v>
      </c>
      <c r="J130" s="542" t="s">
        <v>2584</v>
      </c>
      <c r="K130" s="547">
        <v>4960</v>
      </c>
      <c r="L130" s="542" t="s">
        <v>806</v>
      </c>
      <c r="M130" s="548"/>
      <c r="N130" s="549">
        <v>-35</v>
      </c>
      <c r="O130" s="544" t="s">
        <v>1674</v>
      </c>
      <c r="P130" s="544" t="s">
        <v>1674</v>
      </c>
      <c r="Q130" s="544" t="s">
        <v>4128</v>
      </c>
      <c r="R130" s="544" t="s">
        <v>1674</v>
      </c>
      <c r="S130" s="544" t="s">
        <v>1674</v>
      </c>
      <c r="T130" s="550">
        <v>19</v>
      </c>
      <c r="U130" s="544" t="s">
        <v>3328</v>
      </c>
      <c r="V130" s="547">
        <v>1498</v>
      </c>
      <c r="W130" s="548"/>
      <c r="Y130" s="544" t="s">
        <v>1674</v>
      </c>
      <c r="AA130" s="544" t="s">
        <v>1674</v>
      </c>
      <c r="AB130" s="542">
        <v>3</v>
      </c>
      <c r="AE130" s="551"/>
      <c r="AF130" s="544" t="s">
        <v>1674</v>
      </c>
      <c r="AG130" s="544" t="s">
        <v>1674</v>
      </c>
      <c r="AH130" s="544" t="s">
        <v>1674</v>
      </c>
      <c r="AI130" s="544" t="s">
        <v>1674</v>
      </c>
      <c r="AJ130" s="544" t="s">
        <v>1674</v>
      </c>
      <c r="AK130" s="544" t="s">
        <v>1674</v>
      </c>
      <c r="AL130" s="544" t="s">
        <v>1674</v>
      </c>
      <c r="AM130" s="544" t="s">
        <v>3757</v>
      </c>
      <c r="AN130" s="544" t="s">
        <v>1674</v>
      </c>
      <c r="AP130" s="542">
        <f t="shared" si="3"/>
        <v>26</v>
      </c>
      <c r="AR130" s="593">
        <f t="shared" si="2"/>
        <v>1166.2</v>
      </c>
    </row>
    <row r="131" spans="1:44" outlineLevel="1" x14ac:dyDescent="0.25">
      <c r="A131" s="544" t="s">
        <v>1674</v>
      </c>
      <c r="B131" s="545">
        <v>0</v>
      </c>
      <c r="C131" s="544" t="s">
        <v>1674</v>
      </c>
      <c r="D131" s="544" t="s">
        <v>4432</v>
      </c>
      <c r="E131" s="542" t="s">
        <v>3657</v>
      </c>
      <c r="F131" s="542" t="s">
        <v>3843</v>
      </c>
      <c r="G131" s="546"/>
      <c r="H131" s="546">
        <v>710.62</v>
      </c>
      <c r="I131" s="546">
        <v>710.62</v>
      </c>
      <c r="J131" s="542" t="s">
        <v>2584</v>
      </c>
      <c r="K131" s="547">
        <v>4800</v>
      </c>
      <c r="L131" s="542" t="s">
        <v>806</v>
      </c>
      <c r="M131" s="548"/>
      <c r="N131" s="549">
        <v>-35</v>
      </c>
      <c r="O131" s="544" t="s">
        <v>1674</v>
      </c>
      <c r="P131" s="544" t="s">
        <v>1674</v>
      </c>
      <c r="Q131" s="544" t="s">
        <v>4128</v>
      </c>
      <c r="R131" s="544" t="s">
        <v>1674</v>
      </c>
      <c r="S131" s="544" t="s">
        <v>1674</v>
      </c>
      <c r="T131" s="550">
        <v>19</v>
      </c>
      <c r="U131" s="544" t="s">
        <v>3328</v>
      </c>
      <c r="V131" s="547">
        <v>1497</v>
      </c>
      <c r="W131" s="548"/>
      <c r="Y131" s="544" t="s">
        <v>1674</v>
      </c>
      <c r="AA131" s="544" t="s">
        <v>1674</v>
      </c>
      <c r="AB131" s="542">
        <v>3</v>
      </c>
      <c r="AE131" s="551"/>
      <c r="AF131" s="544" t="s">
        <v>1674</v>
      </c>
      <c r="AG131" s="544" t="s">
        <v>1674</v>
      </c>
      <c r="AH131" s="544" t="s">
        <v>1674</v>
      </c>
      <c r="AI131" s="544" t="s">
        <v>1674</v>
      </c>
      <c r="AJ131" s="544" t="s">
        <v>1674</v>
      </c>
      <c r="AK131" s="544" t="s">
        <v>1674</v>
      </c>
      <c r="AL131" s="544" t="s">
        <v>1674</v>
      </c>
      <c r="AM131" s="544" t="s">
        <v>1674</v>
      </c>
      <c r="AN131" s="544" t="s">
        <v>1674</v>
      </c>
      <c r="AP131" s="542">
        <f t="shared" si="3"/>
        <v>26</v>
      </c>
      <c r="AR131" s="593">
        <f t="shared" si="2"/>
        <v>710.62</v>
      </c>
    </row>
    <row r="132" spans="1:44" outlineLevel="1" x14ac:dyDescent="0.25">
      <c r="A132" s="544" t="s">
        <v>1674</v>
      </c>
      <c r="B132" s="545">
        <v>82502</v>
      </c>
      <c r="C132" s="544" t="s">
        <v>4028</v>
      </c>
      <c r="D132" s="544" t="s">
        <v>4433</v>
      </c>
      <c r="E132" s="542" t="s">
        <v>3657</v>
      </c>
      <c r="F132" s="542" t="s">
        <v>3843</v>
      </c>
      <c r="G132" s="546"/>
      <c r="H132" s="546">
        <v>4136.3999999999996</v>
      </c>
      <c r="I132" s="546">
        <v>4136.3999999999996</v>
      </c>
      <c r="J132" s="542" t="s">
        <v>2584</v>
      </c>
      <c r="K132" s="547">
        <v>3425</v>
      </c>
      <c r="L132" s="542" t="s">
        <v>806</v>
      </c>
      <c r="M132" s="548"/>
      <c r="N132" s="549">
        <v>-35</v>
      </c>
      <c r="O132" s="544" t="s">
        <v>1674</v>
      </c>
      <c r="P132" s="544" t="s">
        <v>1674</v>
      </c>
      <c r="Q132" s="544" t="s">
        <v>4351</v>
      </c>
      <c r="R132" s="544" t="s">
        <v>1674</v>
      </c>
      <c r="S132" s="544" t="s">
        <v>1674</v>
      </c>
      <c r="T132" s="550">
        <v>19</v>
      </c>
      <c r="U132" s="544" t="s">
        <v>3328</v>
      </c>
      <c r="V132" s="547">
        <v>1502</v>
      </c>
      <c r="W132" s="548"/>
      <c r="Y132" s="544" t="s">
        <v>1674</v>
      </c>
      <c r="AA132" s="544" t="s">
        <v>1674</v>
      </c>
      <c r="AB132" s="542">
        <v>3</v>
      </c>
      <c r="AE132" s="551"/>
      <c r="AF132" s="544" t="s">
        <v>1674</v>
      </c>
      <c r="AG132" s="544" t="s">
        <v>1674</v>
      </c>
      <c r="AH132" s="544" t="s">
        <v>1674</v>
      </c>
      <c r="AI132" s="544" t="s">
        <v>1674</v>
      </c>
      <c r="AJ132" s="544" t="s">
        <v>1674</v>
      </c>
      <c r="AK132" s="544" t="s">
        <v>1674</v>
      </c>
      <c r="AL132" s="544" t="s">
        <v>1674</v>
      </c>
      <c r="AM132" s="544" t="s">
        <v>4031</v>
      </c>
      <c r="AN132" s="544" t="s">
        <v>1674</v>
      </c>
      <c r="AP132" s="542">
        <f t="shared" si="3"/>
        <v>26</v>
      </c>
      <c r="AR132" s="593">
        <f t="shared" ref="AR132:AR143" si="4">IF(J132="H",+I132,-I132)</f>
        <v>4136.3999999999996</v>
      </c>
    </row>
    <row r="133" spans="1:44" outlineLevel="1" x14ac:dyDescent="0.25">
      <c r="A133" s="544" t="s">
        <v>1674</v>
      </c>
      <c r="B133" s="545">
        <v>72200</v>
      </c>
      <c r="C133" s="544" t="s">
        <v>3260</v>
      </c>
      <c r="D133" s="544" t="s">
        <v>4434</v>
      </c>
      <c r="E133" s="542" t="s">
        <v>4435</v>
      </c>
      <c r="F133" s="542" t="s">
        <v>4436</v>
      </c>
      <c r="G133" s="546"/>
      <c r="H133" s="546">
        <v>1843</v>
      </c>
      <c r="I133" s="546">
        <v>1843</v>
      </c>
      <c r="J133" s="542" t="s">
        <v>2584</v>
      </c>
      <c r="K133" s="547">
        <v>4730</v>
      </c>
      <c r="L133" s="542" t="s">
        <v>806</v>
      </c>
      <c r="M133" s="548"/>
      <c r="N133" s="549">
        <v>-33</v>
      </c>
      <c r="O133" s="544" t="s">
        <v>1674</v>
      </c>
      <c r="P133" s="544" t="s">
        <v>1674</v>
      </c>
      <c r="Q133" s="544" t="s">
        <v>4040</v>
      </c>
      <c r="R133" s="544" t="s">
        <v>1674</v>
      </c>
      <c r="S133" s="544" t="s">
        <v>1674</v>
      </c>
      <c r="T133" s="550"/>
      <c r="U133" s="544" t="s">
        <v>3328</v>
      </c>
      <c r="V133" s="547">
        <v>1540</v>
      </c>
      <c r="W133" s="548"/>
      <c r="Y133" s="544" t="s">
        <v>1674</v>
      </c>
      <c r="AA133" s="544" t="s">
        <v>1674</v>
      </c>
      <c r="AB133" s="542">
        <v>3</v>
      </c>
      <c r="AE133" s="551"/>
      <c r="AF133" s="544" t="s">
        <v>1674</v>
      </c>
      <c r="AG133" s="544" t="s">
        <v>1674</v>
      </c>
      <c r="AH133" s="544" t="s">
        <v>1674</v>
      </c>
      <c r="AI133" s="544" t="s">
        <v>1674</v>
      </c>
      <c r="AJ133" s="544" t="s">
        <v>1674</v>
      </c>
      <c r="AK133" s="544" t="s">
        <v>1674</v>
      </c>
      <c r="AL133" s="544" t="s">
        <v>1674</v>
      </c>
      <c r="AM133" s="544" t="s">
        <v>3260</v>
      </c>
      <c r="AN133" s="544" t="s">
        <v>1674</v>
      </c>
      <c r="AP133" s="542">
        <f t="shared" ref="AP133:AP159" si="5">IF(F133&lt;&gt;0,($AP$2-$F133)*-1,0)</f>
        <v>28</v>
      </c>
      <c r="AR133" s="593">
        <f t="shared" si="4"/>
        <v>1843</v>
      </c>
    </row>
    <row r="134" spans="1:44" outlineLevel="1" x14ac:dyDescent="0.25">
      <c r="A134" s="544" t="s">
        <v>1674</v>
      </c>
      <c r="B134" s="545">
        <v>90100</v>
      </c>
      <c r="C134" s="544" t="s">
        <v>4188</v>
      </c>
      <c r="D134" s="544" t="s">
        <v>4437</v>
      </c>
      <c r="E134" s="542" t="s">
        <v>4435</v>
      </c>
      <c r="F134" s="542" t="s">
        <v>4436</v>
      </c>
      <c r="G134" s="546"/>
      <c r="H134" s="546">
        <v>3200</v>
      </c>
      <c r="I134" s="546">
        <v>3200</v>
      </c>
      <c r="J134" s="542" t="s">
        <v>2584</v>
      </c>
      <c r="K134" s="547">
        <v>4951</v>
      </c>
      <c r="L134" s="542" t="s">
        <v>806</v>
      </c>
      <c r="M134" s="548"/>
      <c r="N134" s="549">
        <v>-33</v>
      </c>
      <c r="O134" s="544" t="s">
        <v>1674</v>
      </c>
      <c r="P134" s="544" t="s">
        <v>1674</v>
      </c>
      <c r="Q134" s="544" t="s">
        <v>4192</v>
      </c>
      <c r="R134" s="544" t="s">
        <v>1674</v>
      </c>
      <c r="S134" s="544" t="s">
        <v>1674</v>
      </c>
      <c r="T134" s="550">
        <v>19</v>
      </c>
      <c r="U134" s="544" t="s">
        <v>3328</v>
      </c>
      <c r="V134" s="547">
        <v>1539</v>
      </c>
      <c r="W134" s="548"/>
      <c r="Y134" s="544" t="s">
        <v>1674</v>
      </c>
      <c r="AA134" s="544" t="s">
        <v>1674</v>
      </c>
      <c r="AB134" s="542">
        <v>3</v>
      </c>
      <c r="AE134" s="551"/>
      <c r="AF134" s="544" t="s">
        <v>1674</v>
      </c>
      <c r="AG134" s="544" t="s">
        <v>1674</v>
      </c>
      <c r="AH134" s="544" t="s">
        <v>1674</v>
      </c>
      <c r="AI134" s="544" t="s">
        <v>1674</v>
      </c>
      <c r="AJ134" s="544" t="s">
        <v>1674</v>
      </c>
      <c r="AK134" s="544" t="s">
        <v>1674</v>
      </c>
      <c r="AL134" s="544" t="s">
        <v>1674</v>
      </c>
      <c r="AM134" s="544" t="s">
        <v>4188</v>
      </c>
      <c r="AN134" s="544" t="s">
        <v>1674</v>
      </c>
      <c r="AP134" s="542">
        <f t="shared" si="5"/>
        <v>28</v>
      </c>
      <c r="AR134" s="593">
        <f t="shared" si="4"/>
        <v>3200</v>
      </c>
    </row>
    <row r="135" spans="1:44" outlineLevel="1" x14ac:dyDescent="0.25">
      <c r="A135" s="544" t="s">
        <v>1674</v>
      </c>
      <c r="B135" s="545">
        <v>70300</v>
      </c>
      <c r="C135" s="544" t="s">
        <v>4135</v>
      </c>
      <c r="D135" s="544" t="s">
        <v>4438</v>
      </c>
      <c r="E135" s="542" t="s">
        <v>3858</v>
      </c>
      <c r="F135" s="542" t="s">
        <v>3859</v>
      </c>
      <c r="G135" s="546"/>
      <c r="H135" s="546">
        <v>927</v>
      </c>
      <c r="I135" s="546"/>
      <c r="J135" s="542" t="s">
        <v>806</v>
      </c>
      <c r="K135" s="547">
        <v>4640</v>
      </c>
      <c r="L135" s="542" t="s">
        <v>806</v>
      </c>
      <c r="M135" s="548"/>
      <c r="N135" s="549">
        <v>-32</v>
      </c>
      <c r="O135" s="544" t="s">
        <v>1674</v>
      </c>
      <c r="P135" s="544" t="s">
        <v>1674</v>
      </c>
      <c r="Q135" s="544" t="s">
        <v>4137</v>
      </c>
      <c r="R135" s="544" t="s">
        <v>1674</v>
      </c>
      <c r="S135" s="544" t="s">
        <v>1674</v>
      </c>
      <c r="T135" s="550">
        <v>19</v>
      </c>
      <c r="U135" s="544" t="s">
        <v>3328</v>
      </c>
      <c r="V135" s="547">
        <v>1541</v>
      </c>
      <c r="W135" s="548"/>
      <c r="Y135" s="544" t="s">
        <v>1674</v>
      </c>
      <c r="AA135" s="544" t="s">
        <v>1674</v>
      </c>
      <c r="AB135" s="542">
        <v>3</v>
      </c>
      <c r="AE135" s="551"/>
      <c r="AF135" s="544" t="s">
        <v>1674</v>
      </c>
      <c r="AG135" s="544" t="s">
        <v>1674</v>
      </c>
      <c r="AH135" s="544" t="s">
        <v>1674</v>
      </c>
      <c r="AI135" s="544" t="s">
        <v>1674</v>
      </c>
      <c r="AJ135" s="544" t="s">
        <v>1674</v>
      </c>
      <c r="AK135" s="544" t="s">
        <v>1674</v>
      </c>
      <c r="AL135" s="544" t="s">
        <v>1674</v>
      </c>
      <c r="AM135" s="544" t="s">
        <v>4135</v>
      </c>
      <c r="AN135" s="544" t="s">
        <v>1674</v>
      </c>
      <c r="AP135" s="542">
        <f t="shared" si="5"/>
        <v>29</v>
      </c>
      <c r="AR135" s="593">
        <f t="shared" si="4"/>
        <v>0</v>
      </c>
    </row>
    <row r="136" spans="1:44" outlineLevel="1" x14ac:dyDescent="0.25">
      <c r="A136" s="544" t="s">
        <v>1674</v>
      </c>
      <c r="B136" s="545">
        <v>0</v>
      </c>
      <c r="C136" s="544" t="s">
        <v>1674</v>
      </c>
      <c r="D136" s="544" t="s">
        <v>4438</v>
      </c>
      <c r="E136" s="542" t="s">
        <v>3858</v>
      </c>
      <c r="F136" s="542" t="s">
        <v>3859</v>
      </c>
      <c r="G136" s="546"/>
      <c r="H136" s="546">
        <v>104.4</v>
      </c>
      <c r="I136" s="546">
        <v>1031.4000000000001</v>
      </c>
      <c r="J136" s="542" t="s">
        <v>2584</v>
      </c>
      <c r="K136" s="547">
        <v>4640</v>
      </c>
      <c r="L136" s="542" t="s">
        <v>806</v>
      </c>
      <c r="M136" s="548"/>
      <c r="N136" s="549">
        <v>-32</v>
      </c>
      <c r="O136" s="544" t="s">
        <v>1674</v>
      </c>
      <c r="P136" s="544" t="s">
        <v>1674</v>
      </c>
      <c r="Q136" s="544" t="s">
        <v>4137</v>
      </c>
      <c r="R136" s="544" t="s">
        <v>1674</v>
      </c>
      <c r="S136" s="544" t="s">
        <v>1674</v>
      </c>
      <c r="T136" s="550">
        <v>7</v>
      </c>
      <c r="U136" s="544" t="s">
        <v>3328</v>
      </c>
      <c r="V136" s="547">
        <v>1542</v>
      </c>
      <c r="W136" s="548"/>
      <c r="Y136" s="544" t="s">
        <v>1674</v>
      </c>
      <c r="AA136" s="544" t="s">
        <v>1674</v>
      </c>
      <c r="AB136" s="542">
        <v>3</v>
      </c>
      <c r="AE136" s="551"/>
      <c r="AF136" s="544" t="s">
        <v>1674</v>
      </c>
      <c r="AG136" s="544" t="s">
        <v>1674</v>
      </c>
      <c r="AH136" s="544" t="s">
        <v>1674</v>
      </c>
      <c r="AI136" s="544" t="s">
        <v>1674</v>
      </c>
      <c r="AJ136" s="544" t="s">
        <v>1674</v>
      </c>
      <c r="AK136" s="544" t="s">
        <v>1674</v>
      </c>
      <c r="AL136" s="544" t="s">
        <v>1674</v>
      </c>
      <c r="AM136" s="544" t="s">
        <v>1674</v>
      </c>
      <c r="AN136" s="544" t="s">
        <v>1674</v>
      </c>
      <c r="AP136" s="542">
        <f t="shared" si="5"/>
        <v>29</v>
      </c>
      <c r="AR136" s="593">
        <f t="shared" si="4"/>
        <v>1031.4000000000001</v>
      </c>
    </row>
    <row r="137" spans="1:44" outlineLevel="1" x14ac:dyDescent="0.25">
      <c r="A137" s="544" t="s">
        <v>1674</v>
      </c>
      <c r="B137" s="545">
        <v>70400</v>
      </c>
      <c r="C137" s="544" t="s">
        <v>2730</v>
      </c>
      <c r="D137" s="544" t="s">
        <v>4439</v>
      </c>
      <c r="E137" s="542" t="s">
        <v>3858</v>
      </c>
      <c r="F137" s="542" t="s">
        <v>3859</v>
      </c>
      <c r="G137" s="546"/>
      <c r="H137" s="546">
        <v>248.26</v>
      </c>
      <c r="I137" s="546">
        <v>248.26</v>
      </c>
      <c r="J137" s="542" t="s">
        <v>2584</v>
      </c>
      <c r="K137" s="547">
        <v>4730</v>
      </c>
      <c r="L137" s="542" t="s">
        <v>806</v>
      </c>
      <c r="M137" s="548"/>
      <c r="N137" s="549">
        <v>-32</v>
      </c>
      <c r="O137" s="544" t="s">
        <v>1674</v>
      </c>
      <c r="P137" s="544" t="s">
        <v>1674</v>
      </c>
      <c r="Q137" s="544" t="s">
        <v>4119</v>
      </c>
      <c r="R137" s="544" t="s">
        <v>1674</v>
      </c>
      <c r="S137" s="544" t="s">
        <v>1674</v>
      </c>
      <c r="T137" s="550"/>
      <c r="U137" s="544" t="s">
        <v>3328</v>
      </c>
      <c r="V137" s="547">
        <v>1545</v>
      </c>
      <c r="W137" s="548"/>
      <c r="Y137" s="544" t="s">
        <v>1674</v>
      </c>
      <c r="AA137" s="544" t="s">
        <v>1674</v>
      </c>
      <c r="AB137" s="542">
        <v>3</v>
      </c>
      <c r="AE137" s="551"/>
      <c r="AF137" s="544" t="s">
        <v>1674</v>
      </c>
      <c r="AG137" s="544" t="s">
        <v>1674</v>
      </c>
      <c r="AH137" s="544" t="s">
        <v>1674</v>
      </c>
      <c r="AI137" s="544" t="s">
        <v>1674</v>
      </c>
      <c r="AJ137" s="544" t="s">
        <v>1674</v>
      </c>
      <c r="AK137" s="544" t="s">
        <v>1674</v>
      </c>
      <c r="AL137" s="544" t="s">
        <v>1674</v>
      </c>
      <c r="AM137" s="544" t="s">
        <v>2730</v>
      </c>
      <c r="AN137" s="544" t="s">
        <v>1674</v>
      </c>
      <c r="AP137" s="542">
        <f t="shared" si="5"/>
        <v>29</v>
      </c>
      <c r="AR137" s="593">
        <f t="shared" si="4"/>
        <v>248.26</v>
      </c>
    </row>
    <row r="138" spans="1:44" outlineLevel="1" x14ac:dyDescent="0.25">
      <c r="A138" s="544" t="s">
        <v>1674</v>
      </c>
      <c r="B138" s="545">
        <v>0</v>
      </c>
      <c r="C138" s="544" t="s">
        <v>1674</v>
      </c>
      <c r="D138" s="544" t="s">
        <v>4440</v>
      </c>
      <c r="E138" s="542" t="s">
        <v>3858</v>
      </c>
      <c r="F138" s="542" t="s">
        <v>3859</v>
      </c>
      <c r="G138" s="546"/>
      <c r="H138" s="546">
        <v>59.38</v>
      </c>
      <c r="I138" s="546">
        <v>59.38</v>
      </c>
      <c r="J138" s="542" t="s">
        <v>2584</v>
      </c>
      <c r="K138" s="547">
        <v>4730</v>
      </c>
      <c r="L138" s="542" t="s">
        <v>806</v>
      </c>
      <c r="M138" s="548"/>
      <c r="N138" s="549">
        <v>-32</v>
      </c>
      <c r="O138" s="544" t="s">
        <v>1674</v>
      </c>
      <c r="P138" s="544" t="s">
        <v>1674</v>
      </c>
      <c r="Q138" s="544" t="s">
        <v>4119</v>
      </c>
      <c r="R138" s="544" t="s">
        <v>1674</v>
      </c>
      <c r="S138" s="544" t="s">
        <v>1674</v>
      </c>
      <c r="T138" s="550">
        <v>19</v>
      </c>
      <c r="U138" s="544" t="s">
        <v>3328</v>
      </c>
      <c r="V138" s="547">
        <v>1546</v>
      </c>
      <c r="W138" s="548"/>
      <c r="Y138" s="544" t="s">
        <v>1674</v>
      </c>
      <c r="AA138" s="544" t="s">
        <v>1674</v>
      </c>
      <c r="AB138" s="542">
        <v>3</v>
      </c>
      <c r="AE138" s="551"/>
      <c r="AF138" s="544" t="s">
        <v>1674</v>
      </c>
      <c r="AG138" s="544" t="s">
        <v>1674</v>
      </c>
      <c r="AH138" s="544" t="s">
        <v>1674</v>
      </c>
      <c r="AI138" s="544" t="s">
        <v>1674</v>
      </c>
      <c r="AJ138" s="544" t="s">
        <v>1674</v>
      </c>
      <c r="AK138" s="544" t="s">
        <v>1674</v>
      </c>
      <c r="AL138" s="544" t="s">
        <v>1674</v>
      </c>
      <c r="AM138" s="544" t="s">
        <v>1674</v>
      </c>
      <c r="AN138" s="544" t="s">
        <v>1674</v>
      </c>
      <c r="AP138" s="542">
        <f t="shared" si="5"/>
        <v>29</v>
      </c>
      <c r="AR138" s="593">
        <f t="shared" si="4"/>
        <v>59.38</v>
      </c>
    </row>
    <row r="139" spans="1:44" outlineLevel="1" x14ac:dyDescent="0.25">
      <c r="A139" s="544" t="s">
        <v>1674</v>
      </c>
      <c r="B139" s="545">
        <v>70802</v>
      </c>
      <c r="C139" s="544" t="s">
        <v>4381</v>
      </c>
      <c r="D139" s="544" t="s">
        <v>4441</v>
      </c>
      <c r="E139" s="542" t="s">
        <v>3858</v>
      </c>
      <c r="F139" s="542" t="s">
        <v>3859</v>
      </c>
      <c r="G139" s="546"/>
      <c r="H139" s="546">
        <v>10468.86</v>
      </c>
      <c r="I139" s="546">
        <v>10468.86</v>
      </c>
      <c r="J139" s="542" t="s">
        <v>2584</v>
      </c>
      <c r="K139" s="547">
        <v>3400</v>
      </c>
      <c r="L139" s="542" t="s">
        <v>806</v>
      </c>
      <c r="M139" s="548"/>
      <c r="N139" s="549">
        <v>-32</v>
      </c>
      <c r="O139" s="544" t="s">
        <v>1674</v>
      </c>
      <c r="P139" s="544" t="s">
        <v>1674</v>
      </c>
      <c r="Q139" s="544" t="s">
        <v>4383</v>
      </c>
      <c r="R139" s="544" t="s">
        <v>1674</v>
      </c>
      <c r="S139" s="544" t="s">
        <v>1674</v>
      </c>
      <c r="T139" s="550">
        <v>19</v>
      </c>
      <c r="U139" s="544" t="s">
        <v>3328</v>
      </c>
      <c r="V139" s="547">
        <v>1544</v>
      </c>
      <c r="W139" s="548"/>
      <c r="Y139" s="544" t="s">
        <v>1674</v>
      </c>
      <c r="AA139" s="544" t="s">
        <v>1674</v>
      </c>
      <c r="AB139" s="542">
        <v>3</v>
      </c>
      <c r="AE139" s="551"/>
      <c r="AF139" s="544" t="s">
        <v>1674</v>
      </c>
      <c r="AG139" s="544" t="s">
        <v>1674</v>
      </c>
      <c r="AH139" s="544" t="s">
        <v>1674</v>
      </c>
      <c r="AI139" s="544" t="s">
        <v>1674</v>
      </c>
      <c r="AJ139" s="544" t="s">
        <v>1674</v>
      </c>
      <c r="AK139" s="544" t="s">
        <v>1674</v>
      </c>
      <c r="AL139" s="544" t="s">
        <v>1674</v>
      </c>
      <c r="AM139" s="544" t="s">
        <v>4384</v>
      </c>
      <c r="AN139" s="544" t="s">
        <v>1674</v>
      </c>
      <c r="AP139" s="542">
        <f>IF(F139&lt;&gt;0,($AP$2-$F139)*-1,0)</f>
        <v>29</v>
      </c>
      <c r="AR139" s="593">
        <f t="shared" si="4"/>
        <v>10468.86</v>
      </c>
    </row>
    <row r="140" spans="1:44" outlineLevel="1" x14ac:dyDescent="0.25">
      <c r="A140" s="544" t="s">
        <v>1674</v>
      </c>
      <c r="B140" s="545">
        <v>71300</v>
      </c>
      <c r="C140" s="544" t="s">
        <v>3550</v>
      </c>
      <c r="D140" s="544" t="s">
        <v>4442</v>
      </c>
      <c r="E140" s="542" t="s">
        <v>3858</v>
      </c>
      <c r="F140" s="542" t="s">
        <v>3859</v>
      </c>
      <c r="G140" s="546"/>
      <c r="H140" s="546">
        <v>2289.2600000000002</v>
      </c>
      <c r="I140" s="546">
        <v>2289.2600000000002</v>
      </c>
      <c r="J140" s="542" t="s">
        <v>2584</v>
      </c>
      <c r="K140" s="547">
        <v>4400</v>
      </c>
      <c r="L140" s="542" t="s">
        <v>806</v>
      </c>
      <c r="M140" s="548"/>
      <c r="N140" s="549">
        <v>-32</v>
      </c>
      <c r="O140" s="544" t="s">
        <v>1674</v>
      </c>
      <c r="P140" s="544" t="s">
        <v>1674</v>
      </c>
      <c r="Q140" s="544" t="s">
        <v>4229</v>
      </c>
      <c r="R140" s="544" t="s">
        <v>1674</v>
      </c>
      <c r="S140" s="544" t="s">
        <v>1674</v>
      </c>
      <c r="T140" s="550">
        <v>19</v>
      </c>
      <c r="U140" s="544" t="s">
        <v>3328</v>
      </c>
      <c r="V140" s="547">
        <v>1543</v>
      </c>
      <c r="W140" s="548"/>
      <c r="Y140" s="544" t="s">
        <v>1674</v>
      </c>
      <c r="AA140" s="544" t="s">
        <v>1674</v>
      </c>
      <c r="AB140" s="542">
        <v>3</v>
      </c>
      <c r="AE140" s="551"/>
      <c r="AF140" s="544" t="s">
        <v>1674</v>
      </c>
      <c r="AG140" s="544" t="s">
        <v>1674</v>
      </c>
      <c r="AH140" s="544" t="s">
        <v>1674</v>
      </c>
      <c r="AI140" s="544" t="s">
        <v>1674</v>
      </c>
      <c r="AJ140" s="544" t="s">
        <v>1674</v>
      </c>
      <c r="AK140" s="544" t="s">
        <v>1674</v>
      </c>
      <c r="AL140" s="544" t="s">
        <v>1674</v>
      </c>
      <c r="AM140" s="544" t="s">
        <v>3550</v>
      </c>
      <c r="AN140" s="544" t="s">
        <v>1674</v>
      </c>
      <c r="AP140" s="542">
        <f t="shared" si="5"/>
        <v>29</v>
      </c>
      <c r="AR140" s="593">
        <f t="shared" si="4"/>
        <v>2289.2600000000002</v>
      </c>
    </row>
    <row r="141" spans="1:44" outlineLevel="1" x14ac:dyDescent="0.25">
      <c r="A141" s="544" t="s">
        <v>1674</v>
      </c>
      <c r="B141" s="545">
        <v>70200</v>
      </c>
      <c r="C141" s="544" t="s">
        <v>2774</v>
      </c>
      <c r="D141" s="544" t="s">
        <v>4443</v>
      </c>
      <c r="E141" s="542" t="s">
        <v>3899</v>
      </c>
      <c r="F141" s="542" t="s">
        <v>3900</v>
      </c>
      <c r="G141" s="546"/>
      <c r="H141" s="546">
        <v>201.59</v>
      </c>
      <c r="I141" s="546"/>
      <c r="J141" s="542" t="s">
        <v>806</v>
      </c>
      <c r="K141" s="547">
        <v>3400</v>
      </c>
      <c r="L141" s="542" t="s">
        <v>806</v>
      </c>
      <c r="M141" s="548"/>
      <c r="N141" s="549">
        <v>-31</v>
      </c>
      <c r="O141" s="544" t="s">
        <v>1674</v>
      </c>
      <c r="P141" s="544" t="s">
        <v>1674</v>
      </c>
      <c r="Q141" s="544" t="s">
        <v>4207</v>
      </c>
      <c r="R141" s="544" t="s">
        <v>1674</v>
      </c>
      <c r="S141" s="544" t="s">
        <v>1674</v>
      </c>
      <c r="T141" s="550">
        <v>19</v>
      </c>
      <c r="U141" s="544" t="s">
        <v>3328</v>
      </c>
      <c r="V141" s="547">
        <v>1680</v>
      </c>
      <c r="W141" s="548"/>
      <c r="Y141" s="544" t="s">
        <v>1674</v>
      </c>
      <c r="AA141" s="544" t="s">
        <v>1674</v>
      </c>
      <c r="AB141" s="542">
        <v>3</v>
      </c>
      <c r="AE141" s="551"/>
      <c r="AF141" s="544" t="s">
        <v>1674</v>
      </c>
      <c r="AG141" s="544" t="s">
        <v>1674</v>
      </c>
      <c r="AH141" s="544" t="s">
        <v>1674</v>
      </c>
      <c r="AI141" s="544" t="s">
        <v>1674</v>
      </c>
      <c r="AJ141" s="544" t="s">
        <v>1674</v>
      </c>
      <c r="AK141" s="544" t="s">
        <v>1674</v>
      </c>
      <c r="AL141" s="544" t="s">
        <v>1674</v>
      </c>
      <c r="AM141" s="544" t="s">
        <v>2774</v>
      </c>
      <c r="AN141" s="544" t="s">
        <v>1674</v>
      </c>
      <c r="AP141" s="542">
        <f t="shared" si="5"/>
        <v>30</v>
      </c>
      <c r="AR141" s="593">
        <f t="shared" si="4"/>
        <v>0</v>
      </c>
    </row>
    <row r="142" spans="1:44" outlineLevel="1" x14ac:dyDescent="0.25">
      <c r="A142" s="544" t="s">
        <v>1674</v>
      </c>
      <c r="B142" s="545">
        <v>0</v>
      </c>
      <c r="C142" s="544" t="s">
        <v>1674</v>
      </c>
      <c r="D142" s="544" t="s">
        <v>4443</v>
      </c>
      <c r="E142" s="542" t="s">
        <v>3899</v>
      </c>
      <c r="F142" s="542" t="s">
        <v>3900</v>
      </c>
      <c r="G142" s="546"/>
      <c r="H142" s="546">
        <v>246.72</v>
      </c>
      <c r="I142" s="546"/>
      <c r="J142" s="542" t="s">
        <v>806</v>
      </c>
      <c r="K142" s="547">
        <v>4930</v>
      </c>
      <c r="L142" s="542" t="s">
        <v>806</v>
      </c>
      <c r="M142" s="548"/>
      <c r="N142" s="549">
        <v>-31</v>
      </c>
      <c r="O142" s="544" t="s">
        <v>1674</v>
      </c>
      <c r="P142" s="544" t="s">
        <v>1674</v>
      </c>
      <c r="Q142" s="544" t="s">
        <v>4207</v>
      </c>
      <c r="R142" s="544" t="s">
        <v>1674</v>
      </c>
      <c r="S142" s="544" t="s">
        <v>1674</v>
      </c>
      <c r="T142" s="550">
        <v>19</v>
      </c>
      <c r="U142" s="544" t="s">
        <v>3328</v>
      </c>
      <c r="V142" s="547">
        <v>1681</v>
      </c>
      <c r="W142" s="548"/>
      <c r="Y142" s="544" t="s">
        <v>1674</v>
      </c>
      <c r="AA142" s="544" t="s">
        <v>1674</v>
      </c>
      <c r="AB142" s="542">
        <v>3</v>
      </c>
      <c r="AE142" s="551"/>
      <c r="AF142" s="544" t="s">
        <v>1674</v>
      </c>
      <c r="AG142" s="544" t="s">
        <v>1674</v>
      </c>
      <c r="AH142" s="544" t="s">
        <v>1674</v>
      </c>
      <c r="AI142" s="544" t="s">
        <v>1674</v>
      </c>
      <c r="AJ142" s="544" t="s">
        <v>1674</v>
      </c>
      <c r="AK142" s="544" t="s">
        <v>1674</v>
      </c>
      <c r="AL142" s="544" t="s">
        <v>1674</v>
      </c>
      <c r="AM142" s="544" t="s">
        <v>1674</v>
      </c>
      <c r="AN142" s="544" t="s">
        <v>1674</v>
      </c>
      <c r="AP142" s="542">
        <f t="shared" si="5"/>
        <v>30</v>
      </c>
      <c r="AR142" s="593">
        <f t="shared" si="4"/>
        <v>0</v>
      </c>
    </row>
    <row r="143" spans="1:44" outlineLevel="1" x14ac:dyDescent="0.25">
      <c r="A143" s="544" t="s">
        <v>1674</v>
      </c>
      <c r="B143" s="545">
        <v>0</v>
      </c>
      <c r="C143" s="544" t="s">
        <v>1674</v>
      </c>
      <c r="D143" s="544" t="s">
        <v>4443</v>
      </c>
      <c r="E143" s="542" t="s">
        <v>3899</v>
      </c>
      <c r="F143" s="542" t="s">
        <v>3900</v>
      </c>
      <c r="G143" s="546"/>
      <c r="H143" s="546">
        <v>3.78</v>
      </c>
      <c r="I143" s="546">
        <v>452.09</v>
      </c>
      <c r="J143" s="542" t="s">
        <v>2584</v>
      </c>
      <c r="K143" s="547">
        <v>4980</v>
      </c>
      <c r="L143" s="542" t="s">
        <v>806</v>
      </c>
      <c r="M143" s="548"/>
      <c r="N143" s="549">
        <v>-31</v>
      </c>
      <c r="O143" s="544" t="s">
        <v>1674</v>
      </c>
      <c r="P143" s="544" t="s">
        <v>1674</v>
      </c>
      <c r="Q143" s="544" t="s">
        <v>4207</v>
      </c>
      <c r="R143" s="544" t="s">
        <v>1674</v>
      </c>
      <c r="S143" s="544" t="s">
        <v>1674</v>
      </c>
      <c r="T143" s="550">
        <v>19</v>
      </c>
      <c r="U143" s="544" t="s">
        <v>3328</v>
      </c>
      <c r="V143" s="547">
        <v>1682</v>
      </c>
      <c r="W143" s="548"/>
      <c r="Y143" s="544" t="s">
        <v>1674</v>
      </c>
      <c r="AA143" s="544" t="s">
        <v>1674</v>
      </c>
      <c r="AB143" s="542">
        <v>3</v>
      </c>
      <c r="AE143" s="551"/>
      <c r="AF143" s="544" t="s">
        <v>1674</v>
      </c>
      <c r="AG143" s="544" t="s">
        <v>1674</v>
      </c>
      <c r="AH143" s="544" t="s">
        <v>1674</v>
      </c>
      <c r="AI143" s="544" t="s">
        <v>1674</v>
      </c>
      <c r="AJ143" s="544" t="s">
        <v>1674</v>
      </c>
      <c r="AK143" s="544" t="s">
        <v>1674</v>
      </c>
      <c r="AL143" s="544" t="s">
        <v>1674</v>
      </c>
      <c r="AM143" s="544" t="s">
        <v>1674</v>
      </c>
      <c r="AN143" s="544" t="s">
        <v>1674</v>
      </c>
      <c r="AP143" s="542">
        <f t="shared" si="5"/>
        <v>30</v>
      </c>
      <c r="AR143" s="593">
        <f t="shared" si="4"/>
        <v>452.09</v>
      </c>
    </row>
    <row r="144" spans="1:44" outlineLevel="1" x14ac:dyDescent="0.25">
      <c r="A144" s="544" t="s">
        <v>1674</v>
      </c>
      <c r="B144" s="545">
        <v>70400</v>
      </c>
      <c r="C144" s="544" t="s">
        <v>2730</v>
      </c>
      <c r="D144" s="544" t="s">
        <v>4444</v>
      </c>
      <c r="E144" s="542" t="s">
        <v>3899</v>
      </c>
      <c r="F144" s="542" t="s">
        <v>3900</v>
      </c>
      <c r="G144" s="546"/>
      <c r="H144" s="546">
        <v>1874.17</v>
      </c>
      <c r="I144" s="546">
        <v>1874.17</v>
      </c>
      <c r="J144" s="542" t="s">
        <v>2584</v>
      </c>
      <c r="K144" s="547">
        <v>4800</v>
      </c>
      <c r="L144" s="542" t="s">
        <v>806</v>
      </c>
      <c r="M144" s="548"/>
      <c r="N144" s="549">
        <v>-31</v>
      </c>
      <c r="O144" s="544" t="s">
        <v>1674</v>
      </c>
      <c r="P144" s="544" t="s">
        <v>1674</v>
      </c>
      <c r="Q144" s="544" t="s">
        <v>4211</v>
      </c>
      <c r="R144" s="544" t="s">
        <v>1674</v>
      </c>
      <c r="S144" s="544" t="s">
        <v>1674</v>
      </c>
      <c r="T144" s="550">
        <v>19</v>
      </c>
      <c r="U144" s="544" t="s">
        <v>3328</v>
      </c>
      <c r="V144" s="547">
        <v>1675</v>
      </c>
      <c r="W144" s="548"/>
      <c r="Y144" s="544" t="s">
        <v>1674</v>
      </c>
      <c r="AA144" s="544" t="s">
        <v>1674</v>
      </c>
      <c r="AB144" s="542">
        <v>3</v>
      </c>
      <c r="AE144" s="551"/>
      <c r="AF144" s="544" t="s">
        <v>1674</v>
      </c>
      <c r="AG144" s="544" t="s">
        <v>1674</v>
      </c>
      <c r="AH144" s="544" t="s">
        <v>1674</v>
      </c>
      <c r="AI144" s="544" t="s">
        <v>1674</v>
      </c>
      <c r="AJ144" s="544" t="s">
        <v>1674</v>
      </c>
      <c r="AK144" s="544" t="s">
        <v>1674</v>
      </c>
      <c r="AL144" s="544" t="s">
        <v>1674</v>
      </c>
      <c r="AM144" s="544" t="s">
        <v>2730</v>
      </c>
      <c r="AN144" s="544" t="s">
        <v>1674</v>
      </c>
      <c r="AP144" s="542">
        <f t="shared" si="5"/>
        <v>30</v>
      </c>
      <c r="AR144" s="593">
        <f>IF(J144="H",+I144,-I144)</f>
        <v>1874.17</v>
      </c>
    </row>
    <row r="145" spans="1:44" outlineLevel="1" x14ac:dyDescent="0.25">
      <c r="A145" s="544" t="s">
        <v>1674</v>
      </c>
      <c r="B145" s="545">
        <v>0</v>
      </c>
      <c r="C145" s="544" t="s">
        <v>1674</v>
      </c>
      <c r="D145" s="544" t="s">
        <v>4445</v>
      </c>
      <c r="E145" s="542" t="s">
        <v>3899</v>
      </c>
      <c r="F145" s="542" t="s">
        <v>3900</v>
      </c>
      <c r="G145" s="546"/>
      <c r="H145" s="546">
        <v>2180.73</v>
      </c>
      <c r="I145" s="546">
        <v>2180.73</v>
      </c>
      <c r="J145" s="542" t="s">
        <v>2584</v>
      </c>
      <c r="K145" s="547">
        <v>4730</v>
      </c>
      <c r="L145" s="542" t="s">
        <v>806</v>
      </c>
      <c r="M145" s="548"/>
      <c r="N145" s="549">
        <v>-31</v>
      </c>
      <c r="O145" s="544" t="s">
        <v>1674</v>
      </c>
      <c r="P145" s="544" t="s">
        <v>1674</v>
      </c>
      <c r="Q145" s="544" t="s">
        <v>4119</v>
      </c>
      <c r="R145" s="544" t="s">
        <v>1674</v>
      </c>
      <c r="S145" s="544" t="s">
        <v>1674</v>
      </c>
      <c r="T145" s="550">
        <v>19</v>
      </c>
      <c r="U145" s="544" t="s">
        <v>3328</v>
      </c>
      <c r="V145" s="547">
        <v>1670</v>
      </c>
      <c r="W145" s="548"/>
      <c r="Y145" s="544" t="s">
        <v>1674</v>
      </c>
      <c r="AA145" s="544" t="s">
        <v>1674</v>
      </c>
      <c r="AB145" s="542">
        <v>3</v>
      </c>
      <c r="AE145" s="551"/>
      <c r="AF145" s="544" t="s">
        <v>1674</v>
      </c>
      <c r="AG145" s="544" t="s">
        <v>1674</v>
      </c>
      <c r="AH145" s="544" t="s">
        <v>1674</v>
      </c>
      <c r="AI145" s="544" t="s">
        <v>1674</v>
      </c>
      <c r="AJ145" s="544" t="s">
        <v>1674</v>
      </c>
      <c r="AK145" s="544" t="s">
        <v>1674</v>
      </c>
      <c r="AL145" s="544" t="s">
        <v>1674</v>
      </c>
      <c r="AM145" s="544" t="s">
        <v>1674</v>
      </c>
      <c r="AN145" s="544" t="s">
        <v>1674</v>
      </c>
      <c r="AP145" s="542">
        <f t="shared" si="5"/>
        <v>30</v>
      </c>
      <c r="AR145" s="593">
        <f t="shared" ref="AR145:AR159" si="6">IF(J145="H",+I145,-I145)</f>
        <v>2180.73</v>
      </c>
    </row>
    <row r="146" spans="1:44" outlineLevel="1" x14ac:dyDescent="0.25">
      <c r="A146" s="544" t="s">
        <v>1674</v>
      </c>
      <c r="B146" s="545">
        <v>0</v>
      </c>
      <c r="C146" s="544" t="s">
        <v>1674</v>
      </c>
      <c r="D146" s="544" t="s">
        <v>4446</v>
      </c>
      <c r="E146" s="542" t="s">
        <v>3899</v>
      </c>
      <c r="F146" s="542" t="s">
        <v>3900</v>
      </c>
      <c r="G146" s="546"/>
      <c r="H146" s="546">
        <v>480.37</v>
      </c>
      <c r="I146" s="546">
        <v>480.37</v>
      </c>
      <c r="J146" s="542" t="s">
        <v>2584</v>
      </c>
      <c r="K146" s="547">
        <v>3800</v>
      </c>
      <c r="L146" s="542" t="s">
        <v>806</v>
      </c>
      <c r="M146" s="548"/>
      <c r="N146" s="549">
        <v>-31</v>
      </c>
      <c r="O146" s="544" t="s">
        <v>1674</v>
      </c>
      <c r="P146" s="544" t="s">
        <v>1674</v>
      </c>
      <c r="Q146" s="544" t="s">
        <v>4119</v>
      </c>
      <c r="R146" s="544" t="s">
        <v>1674</v>
      </c>
      <c r="S146" s="544" t="s">
        <v>1674</v>
      </c>
      <c r="T146" s="550">
        <v>19</v>
      </c>
      <c r="U146" s="544" t="s">
        <v>3328</v>
      </c>
      <c r="V146" s="547">
        <v>1671</v>
      </c>
      <c r="W146" s="548"/>
      <c r="Y146" s="544" t="s">
        <v>1674</v>
      </c>
      <c r="AA146" s="544" t="s">
        <v>1674</v>
      </c>
      <c r="AB146" s="542">
        <v>3</v>
      </c>
      <c r="AE146" s="551"/>
      <c r="AF146" s="544" t="s">
        <v>1674</v>
      </c>
      <c r="AG146" s="544" t="s">
        <v>1674</v>
      </c>
      <c r="AH146" s="544" t="s">
        <v>1674</v>
      </c>
      <c r="AI146" s="544" t="s">
        <v>1674</v>
      </c>
      <c r="AJ146" s="544" t="s">
        <v>1674</v>
      </c>
      <c r="AK146" s="544" t="s">
        <v>1674</v>
      </c>
      <c r="AL146" s="544" t="s">
        <v>1674</v>
      </c>
      <c r="AM146" s="544" t="s">
        <v>1674</v>
      </c>
      <c r="AN146" s="544" t="s">
        <v>1674</v>
      </c>
      <c r="AP146" s="542">
        <f t="shared" si="5"/>
        <v>30</v>
      </c>
      <c r="AR146" s="593">
        <f t="shared" si="6"/>
        <v>480.37</v>
      </c>
    </row>
    <row r="147" spans="1:44" outlineLevel="1" x14ac:dyDescent="0.25">
      <c r="A147" s="544" t="s">
        <v>1674</v>
      </c>
      <c r="B147" s="545">
        <v>0</v>
      </c>
      <c r="C147" s="544" t="s">
        <v>1674</v>
      </c>
      <c r="D147" s="544" t="s">
        <v>4447</v>
      </c>
      <c r="E147" s="542" t="s">
        <v>3899</v>
      </c>
      <c r="F147" s="542" t="s">
        <v>3900</v>
      </c>
      <c r="G147" s="546"/>
      <c r="H147" s="546">
        <v>440.84</v>
      </c>
      <c r="I147" s="546">
        <v>440.84</v>
      </c>
      <c r="J147" s="542" t="s">
        <v>2584</v>
      </c>
      <c r="K147" s="547">
        <v>4920</v>
      </c>
      <c r="L147" s="542" t="s">
        <v>806</v>
      </c>
      <c r="M147" s="548"/>
      <c r="N147" s="549">
        <v>-31</v>
      </c>
      <c r="O147" s="544" t="s">
        <v>1674</v>
      </c>
      <c r="P147" s="544" t="s">
        <v>1674</v>
      </c>
      <c r="Q147" s="544" t="s">
        <v>4213</v>
      </c>
      <c r="R147" s="544" t="s">
        <v>1674</v>
      </c>
      <c r="S147" s="544" t="s">
        <v>1674</v>
      </c>
      <c r="T147" s="550">
        <v>19</v>
      </c>
      <c r="U147" s="544" t="s">
        <v>3328</v>
      </c>
      <c r="V147" s="547">
        <v>1677</v>
      </c>
      <c r="W147" s="548"/>
      <c r="Y147" s="544" t="s">
        <v>1674</v>
      </c>
      <c r="AA147" s="544" t="s">
        <v>1674</v>
      </c>
      <c r="AB147" s="542">
        <v>3</v>
      </c>
      <c r="AE147" s="551"/>
      <c r="AF147" s="544" t="s">
        <v>1674</v>
      </c>
      <c r="AG147" s="544" t="s">
        <v>1674</v>
      </c>
      <c r="AH147" s="544" t="s">
        <v>1674</v>
      </c>
      <c r="AI147" s="544" t="s">
        <v>1674</v>
      </c>
      <c r="AJ147" s="544" t="s">
        <v>1674</v>
      </c>
      <c r="AK147" s="544" t="s">
        <v>1674</v>
      </c>
      <c r="AL147" s="544" t="s">
        <v>1674</v>
      </c>
      <c r="AM147" s="544" t="s">
        <v>1674</v>
      </c>
      <c r="AN147" s="544" t="s">
        <v>1674</v>
      </c>
      <c r="AP147" s="542">
        <f t="shared" si="5"/>
        <v>30</v>
      </c>
      <c r="AR147" s="593">
        <f t="shared" si="6"/>
        <v>440.84</v>
      </c>
    </row>
    <row r="148" spans="1:44" outlineLevel="1" x14ac:dyDescent="0.25">
      <c r="A148" s="544" t="s">
        <v>1674</v>
      </c>
      <c r="B148" s="545">
        <v>70500</v>
      </c>
      <c r="C148" s="544" t="s">
        <v>2918</v>
      </c>
      <c r="D148" s="544" t="s">
        <v>4448</v>
      </c>
      <c r="E148" s="542" t="s">
        <v>3899</v>
      </c>
      <c r="F148" s="542" t="s">
        <v>3900</v>
      </c>
      <c r="G148" s="546"/>
      <c r="H148" s="546">
        <v>117.26</v>
      </c>
      <c r="I148" s="546">
        <v>117.26</v>
      </c>
      <c r="J148" s="542" t="s">
        <v>2584</v>
      </c>
      <c r="K148" s="547">
        <v>4980</v>
      </c>
      <c r="L148" s="542" t="s">
        <v>806</v>
      </c>
      <c r="M148" s="548"/>
      <c r="N148" s="549">
        <v>-31</v>
      </c>
      <c r="O148" s="544" t="s">
        <v>1674</v>
      </c>
      <c r="P148" s="544" t="s">
        <v>1674</v>
      </c>
      <c r="Q148" s="544" t="s">
        <v>4224</v>
      </c>
      <c r="R148" s="544" t="s">
        <v>1674</v>
      </c>
      <c r="S148" s="544" t="s">
        <v>1674</v>
      </c>
      <c r="T148" s="550">
        <v>19</v>
      </c>
      <c r="U148" s="544" t="s">
        <v>3328</v>
      </c>
      <c r="V148" s="547">
        <v>1674</v>
      </c>
      <c r="W148" s="548"/>
      <c r="Y148" s="544" t="s">
        <v>1674</v>
      </c>
      <c r="AA148" s="544" t="s">
        <v>1674</v>
      </c>
      <c r="AB148" s="542">
        <v>3</v>
      </c>
      <c r="AE148" s="551"/>
      <c r="AF148" s="544" t="s">
        <v>1674</v>
      </c>
      <c r="AG148" s="544" t="s">
        <v>1674</v>
      </c>
      <c r="AH148" s="544" t="s">
        <v>1674</v>
      </c>
      <c r="AI148" s="544" t="s">
        <v>1674</v>
      </c>
      <c r="AJ148" s="544" t="s">
        <v>1674</v>
      </c>
      <c r="AK148" s="544" t="s">
        <v>1674</v>
      </c>
      <c r="AL148" s="544" t="s">
        <v>1674</v>
      </c>
      <c r="AM148" s="544" t="s">
        <v>2918</v>
      </c>
      <c r="AN148" s="544" t="s">
        <v>1674</v>
      </c>
      <c r="AP148" s="542">
        <f t="shared" si="5"/>
        <v>30</v>
      </c>
      <c r="AR148" s="593">
        <f t="shared" si="6"/>
        <v>117.26</v>
      </c>
    </row>
    <row r="149" spans="1:44" outlineLevel="1" x14ac:dyDescent="0.25">
      <c r="A149" s="544" t="s">
        <v>1674</v>
      </c>
      <c r="B149" s="545">
        <v>0</v>
      </c>
      <c r="C149" s="544" t="s">
        <v>1674</v>
      </c>
      <c r="D149" s="544" t="s">
        <v>4449</v>
      </c>
      <c r="E149" s="542" t="s">
        <v>3899</v>
      </c>
      <c r="F149" s="542" t="s">
        <v>3900</v>
      </c>
      <c r="G149" s="546"/>
      <c r="H149" s="546">
        <v>329.01</v>
      </c>
      <c r="I149" s="546"/>
      <c r="J149" s="542" t="s">
        <v>806</v>
      </c>
      <c r="K149" s="547">
        <v>3400</v>
      </c>
      <c r="L149" s="542" t="s">
        <v>806</v>
      </c>
      <c r="M149" s="548"/>
      <c r="N149" s="549">
        <v>-31</v>
      </c>
      <c r="O149" s="544" t="s">
        <v>1674</v>
      </c>
      <c r="P149" s="544" t="s">
        <v>1674</v>
      </c>
      <c r="Q149" s="544" t="s">
        <v>4400</v>
      </c>
      <c r="R149" s="544" t="s">
        <v>1674</v>
      </c>
      <c r="S149" s="544" t="s">
        <v>1674</v>
      </c>
      <c r="T149" s="550">
        <v>19</v>
      </c>
      <c r="U149" s="544" t="s">
        <v>3328</v>
      </c>
      <c r="V149" s="547">
        <v>1668</v>
      </c>
      <c r="W149" s="548"/>
      <c r="Y149" s="544" t="s">
        <v>1674</v>
      </c>
      <c r="AA149" s="544" t="s">
        <v>1674</v>
      </c>
      <c r="AB149" s="542">
        <v>3</v>
      </c>
      <c r="AE149" s="551"/>
      <c r="AF149" s="544" t="s">
        <v>1674</v>
      </c>
      <c r="AG149" s="544" t="s">
        <v>1674</v>
      </c>
      <c r="AH149" s="544" t="s">
        <v>1674</v>
      </c>
      <c r="AI149" s="544" t="s">
        <v>1674</v>
      </c>
      <c r="AJ149" s="544" t="s">
        <v>1674</v>
      </c>
      <c r="AK149" s="544" t="s">
        <v>1674</v>
      </c>
      <c r="AL149" s="544" t="s">
        <v>1674</v>
      </c>
      <c r="AM149" s="544" t="s">
        <v>1674</v>
      </c>
      <c r="AN149" s="544" t="s">
        <v>1674</v>
      </c>
      <c r="AP149" s="542">
        <f t="shared" si="5"/>
        <v>30</v>
      </c>
      <c r="AR149" s="593">
        <f t="shared" si="6"/>
        <v>0</v>
      </c>
    </row>
    <row r="150" spans="1:44" outlineLevel="1" x14ac:dyDescent="0.25">
      <c r="A150" s="544" t="s">
        <v>1674</v>
      </c>
      <c r="B150" s="545">
        <v>0</v>
      </c>
      <c r="C150" s="544" t="s">
        <v>1674</v>
      </c>
      <c r="D150" s="544" t="s">
        <v>4449</v>
      </c>
      <c r="E150" s="542" t="s">
        <v>3899</v>
      </c>
      <c r="F150" s="542" t="s">
        <v>3900</v>
      </c>
      <c r="G150" s="546"/>
      <c r="H150" s="546">
        <v>4.26</v>
      </c>
      <c r="I150" s="546">
        <v>333.27</v>
      </c>
      <c r="J150" s="542" t="s">
        <v>2584</v>
      </c>
      <c r="K150" s="547">
        <v>3800</v>
      </c>
      <c r="L150" s="542" t="s">
        <v>806</v>
      </c>
      <c r="M150" s="548"/>
      <c r="N150" s="549">
        <v>-31</v>
      </c>
      <c r="O150" s="544" t="s">
        <v>1674</v>
      </c>
      <c r="P150" s="544" t="s">
        <v>1674</v>
      </c>
      <c r="Q150" s="544" t="s">
        <v>4450</v>
      </c>
      <c r="R150" s="544" t="s">
        <v>1674</v>
      </c>
      <c r="S150" s="544" t="s">
        <v>1674</v>
      </c>
      <c r="T150" s="550">
        <v>19</v>
      </c>
      <c r="U150" s="544" t="s">
        <v>3328</v>
      </c>
      <c r="V150" s="547">
        <v>1669</v>
      </c>
      <c r="W150" s="548"/>
      <c r="Y150" s="544" t="s">
        <v>1674</v>
      </c>
      <c r="AA150" s="544" t="s">
        <v>1674</v>
      </c>
      <c r="AB150" s="542">
        <v>3</v>
      </c>
      <c r="AE150" s="551"/>
      <c r="AF150" s="544" t="s">
        <v>1674</v>
      </c>
      <c r="AG150" s="544" t="s">
        <v>1674</v>
      </c>
      <c r="AH150" s="544" t="s">
        <v>1674</v>
      </c>
      <c r="AI150" s="544" t="s">
        <v>1674</v>
      </c>
      <c r="AJ150" s="544" t="s">
        <v>1674</v>
      </c>
      <c r="AK150" s="544" t="s">
        <v>1674</v>
      </c>
      <c r="AL150" s="544" t="s">
        <v>1674</v>
      </c>
      <c r="AM150" s="544" t="s">
        <v>1674</v>
      </c>
      <c r="AN150" s="544" t="s">
        <v>1674</v>
      </c>
      <c r="AP150" s="542">
        <f t="shared" si="5"/>
        <v>30</v>
      </c>
      <c r="AR150" s="593">
        <f t="shared" si="6"/>
        <v>333.27</v>
      </c>
    </row>
    <row r="151" spans="1:44" outlineLevel="1" x14ac:dyDescent="0.25">
      <c r="A151" s="544" t="s">
        <v>1674</v>
      </c>
      <c r="B151" s="545">
        <v>0</v>
      </c>
      <c r="C151" s="544" t="s">
        <v>1674</v>
      </c>
      <c r="D151" s="544" t="s">
        <v>4451</v>
      </c>
      <c r="E151" s="542" t="s">
        <v>3899</v>
      </c>
      <c r="F151" s="542" t="s">
        <v>3900</v>
      </c>
      <c r="G151" s="546"/>
      <c r="H151" s="546">
        <v>2302.0500000000002</v>
      </c>
      <c r="I151" s="546">
        <v>2302.0500000000002</v>
      </c>
      <c r="J151" s="542" t="s">
        <v>2584</v>
      </c>
      <c r="K151" s="547">
        <v>4400</v>
      </c>
      <c r="L151" s="542" t="s">
        <v>806</v>
      </c>
      <c r="M151" s="548"/>
      <c r="N151" s="549">
        <v>-31</v>
      </c>
      <c r="O151" s="544" t="s">
        <v>1674</v>
      </c>
      <c r="P151" s="544" t="s">
        <v>1674</v>
      </c>
      <c r="Q151" s="544" t="s">
        <v>4215</v>
      </c>
      <c r="R151" s="544" t="s">
        <v>1674</v>
      </c>
      <c r="S151" s="544" t="s">
        <v>1674</v>
      </c>
      <c r="T151" s="550">
        <v>7</v>
      </c>
      <c r="U151" s="544" t="s">
        <v>3328</v>
      </c>
      <c r="V151" s="547">
        <v>1683</v>
      </c>
      <c r="W151" s="548"/>
      <c r="Y151" s="544" t="s">
        <v>1674</v>
      </c>
      <c r="AA151" s="544" t="s">
        <v>1674</v>
      </c>
      <c r="AB151" s="542">
        <v>3</v>
      </c>
      <c r="AE151" s="551"/>
      <c r="AF151" s="544" t="s">
        <v>1674</v>
      </c>
      <c r="AG151" s="544" t="s">
        <v>1674</v>
      </c>
      <c r="AH151" s="544" t="s">
        <v>1674</v>
      </c>
      <c r="AI151" s="544" t="s">
        <v>1674</v>
      </c>
      <c r="AJ151" s="544" t="s">
        <v>1674</v>
      </c>
      <c r="AK151" s="544" t="s">
        <v>1674</v>
      </c>
      <c r="AL151" s="544" t="s">
        <v>1674</v>
      </c>
      <c r="AM151" s="544" t="s">
        <v>1674</v>
      </c>
      <c r="AN151" s="544" t="s">
        <v>1674</v>
      </c>
      <c r="AP151" s="542">
        <f t="shared" si="5"/>
        <v>30</v>
      </c>
      <c r="AR151" s="593">
        <f t="shared" si="6"/>
        <v>2302.0500000000002</v>
      </c>
    </row>
    <row r="152" spans="1:44" outlineLevel="1" x14ac:dyDescent="0.25">
      <c r="A152" s="544" t="s">
        <v>1674</v>
      </c>
      <c r="B152" s="545">
        <v>70600</v>
      </c>
      <c r="C152" s="544" t="s">
        <v>2946</v>
      </c>
      <c r="D152" s="544" t="s">
        <v>4452</v>
      </c>
      <c r="E152" s="542" t="s">
        <v>3899</v>
      </c>
      <c r="F152" s="542" t="s">
        <v>3900</v>
      </c>
      <c r="G152" s="546"/>
      <c r="H152" s="546">
        <v>370.22</v>
      </c>
      <c r="I152" s="546">
        <v>370.22</v>
      </c>
      <c r="J152" s="542" t="s">
        <v>2584</v>
      </c>
      <c r="K152" s="547">
        <v>4640</v>
      </c>
      <c r="L152" s="542" t="s">
        <v>806</v>
      </c>
      <c r="M152" s="548"/>
      <c r="N152" s="549">
        <v>-31</v>
      </c>
      <c r="O152" s="544" t="s">
        <v>1674</v>
      </c>
      <c r="P152" s="544" t="s">
        <v>1674</v>
      </c>
      <c r="Q152" s="544" t="s">
        <v>4217</v>
      </c>
      <c r="R152" s="544" t="s">
        <v>1674</v>
      </c>
      <c r="S152" s="544" t="s">
        <v>1674</v>
      </c>
      <c r="T152" s="550">
        <v>7</v>
      </c>
      <c r="U152" s="544" t="s">
        <v>3328</v>
      </c>
      <c r="V152" s="547">
        <v>1673</v>
      </c>
      <c r="W152" s="548"/>
      <c r="Y152" s="544" t="s">
        <v>1674</v>
      </c>
      <c r="AA152" s="544" t="s">
        <v>1674</v>
      </c>
      <c r="AB152" s="542">
        <v>3</v>
      </c>
      <c r="AE152" s="551"/>
      <c r="AF152" s="544" t="s">
        <v>1674</v>
      </c>
      <c r="AG152" s="544" t="s">
        <v>1674</v>
      </c>
      <c r="AH152" s="544" t="s">
        <v>1674</v>
      </c>
      <c r="AI152" s="544" t="s">
        <v>1674</v>
      </c>
      <c r="AJ152" s="544" t="s">
        <v>1674</v>
      </c>
      <c r="AK152" s="544" t="s">
        <v>1674</v>
      </c>
      <c r="AL152" s="544" t="s">
        <v>1674</v>
      </c>
      <c r="AM152" s="544" t="s">
        <v>2946</v>
      </c>
      <c r="AN152" s="544" t="s">
        <v>1674</v>
      </c>
      <c r="AP152" s="542">
        <f t="shared" si="5"/>
        <v>30</v>
      </c>
      <c r="AR152" s="593">
        <f t="shared" si="6"/>
        <v>370.22</v>
      </c>
    </row>
    <row r="153" spans="1:44" outlineLevel="1" x14ac:dyDescent="0.25">
      <c r="A153" s="544" t="s">
        <v>1674</v>
      </c>
      <c r="B153" s="545">
        <v>0</v>
      </c>
      <c r="C153" s="544" t="s">
        <v>1674</v>
      </c>
      <c r="D153" s="544" t="s">
        <v>4453</v>
      </c>
      <c r="E153" s="542" t="s">
        <v>3899</v>
      </c>
      <c r="F153" s="542" t="s">
        <v>3900</v>
      </c>
      <c r="G153" s="546"/>
      <c r="H153" s="546">
        <v>1155.49</v>
      </c>
      <c r="I153" s="546">
        <v>1155.49</v>
      </c>
      <c r="J153" s="542" t="s">
        <v>2584</v>
      </c>
      <c r="K153" s="547">
        <v>4600</v>
      </c>
      <c r="L153" s="542" t="s">
        <v>806</v>
      </c>
      <c r="M153" s="548"/>
      <c r="N153" s="549">
        <v>-31</v>
      </c>
      <c r="O153" s="544" t="s">
        <v>1674</v>
      </c>
      <c r="P153" s="544" t="s">
        <v>1674</v>
      </c>
      <c r="Q153" s="544" t="s">
        <v>4219</v>
      </c>
      <c r="R153" s="544" t="s">
        <v>1674</v>
      </c>
      <c r="S153" s="544" t="s">
        <v>1674</v>
      </c>
      <c r="T153" s="550">
        <v>19</v>
      </c>
      <c r="U153" s="544" t="s">
        <v>3328</v>
      </c>
      <c r="V153" s="547">
        <v>1684</v>
      </c>
      <c r="W153" s="548"/>
      <c r="Y153" s="544" t="s">
        <v>1674</v>
      </c>
      <c r="AA153" s="544" t="s">
        <v>1674</v>
      </c>
      <c r="AB153" s="542">
        <v>3</v>
      </c>
      <c r="AE153" s="551"/>
      <c r="AF153" s="544" t="s">
        <v>1674</v>
      </c>
      <c r="AG153" s="544" t="s">
        <v>1674</v>
      </c>
      <c r="AH153" s="544" t="s">
        <v>1674</v>
      </c>
      <c r="AI153" s="544" t="s">
        <v>1674</v>
      </c>
      <c r="AJ153" s="544" t="s">
        <v>1674</v>
      </c>
      <c r="AK153" s="544" t="s">
        <v>1674</v>
      </c>
      <c r="AL153" s="544" t="s">
        <v>1674</v>
      </c>
      <c r="AM153" s="544" t="s">
        <v>1674</v>
      </c>
      <c r="AN153" s="544" t="s">
        <v>1674</v>
      </c>
      <c r="AP153" s="542">
        <f t="shared" si="5"/>
        <v>30</v>
      </c>
      <c r="AR153" s="593">
        <f t="shared" si="6"/>
        <v>1155.49</v>
      </c>
    </row>
    <row r="154" spans="1:44" outlineLevel="1" x14ac:dyDescent="0.25">
      <c r="A154" s="544" t="s">
        <v>1674</v>
      </c>
      <c r="B154" s="545">
        <v>70606</v>
      </c>
      <c r="C154" s="544" t="s">
        <v>4410</v>
      </c>
      <c r="D154" s="544" t="s">
        <v>4454</v>
      </c>
      <c r="E154" s="542" t="s">
        <v>3899</v>
      </c>
      <c r="F154" s="542" t="s">
        <v>3900</v>
      </c>
      <c r="G154" s="546"/>
      <c r="H154" s="546">
        <v>1500.11</v>
      </c>
      <c r="I154" s="546">
        <v>1500.11</v>
      </c>
      <c r="J154" s="542" t="s">
        <v>2584</v>
      </c>
      <c r="K154" s="547">
        <v>3400</v>
      </c>
      <c r="L154" s="542" t="s">
        <v>806</v>
      </c>
      <c r="M154" s="548"/>
      <c r="N154" s="549">
        <v>-31</v>
      </c>
      <c r="O154" s="544" t="s">
        <v>1674</v>
      </c>
      <c r="P154" s="544" t="s">
        <v>1674</v>
      </c>
      <c r="Q154" s="544" t="s">
        <v>3929</v>
      </c>
      <c r="R154" s="544" t="s">
        <v>1674</v>
      </c>
      <c r="S154" s="544" t="s">
        <v>1674</v>
      </c>
      <c r="T154" s="550">
        <v>19</v>
      </c>
      <c r="U154" s="544" t="s">
        <v>3328</v>
      </c>
      <c r="V154" s="547">
        <v>1667</v>
      </c>
      <c r="W154" s="548"/>
      <c r="Y154" s="544" t="s">
        <v>1674</v>
      </c>
      <c r="AA154" s="544" t="s">
        <v>1674</v>
      </c>
      <c r="AB154" s="542">
        <v>3</v>
      </c>
      <c r="AE154" s="551"/>
      <c r="AF154" s="544" t="s">
        <v>1674</v>
      </c>
      <c r="AG154" s="544" t="s">
        <v>1674</v>
      </c>
      <c r="AH154" s="544" t="s">
        <v>1674</v>
      </c>
      <c r="AI154" s="544" t="s">
        <v>1674</v>
      </c>
      <c r="AJ154" s="544" t="s">
        <v>1674</v>
      </c>
      <c r="AK154" s="544" t="s">
        <v>1674</v>
      </c>
      <c r="AL154" s="544" t="s">
        <v>1674</v>
      </c>
      <c r="AM154" s="544" t="s">
        <v>4410</v>
      </c>
      <c r="AN154" s="544" t="s">
        <v>1674</v>
      </c>
      <c r="AP154" s="542">
        <f t="shared" si="5"/>
        <v>30</v>
      </c>
      <c r="AR154" s="593">
        <f t="shared" si="6"/>
        <v>1500.11</v>
      </c>
    </row>
    <row r="155" spans="1:44" outlineLevel="1" x14ac:dyDescent="0.25">
      <c r="A155" s="544" t="s">
        <v>1674</v>
      </c>
      <c r="B155" s="545">
        <v>71900</v>
      </c>
      <c r="C155" s="544" t="s">
        <v>2854</v>
      </c>
      <c r="D155" s="544" t="s">
        <v>4455</v>
      </c>
      <c r="E155" s="542" t="s">
        <v>3899</v>
      </c>
      <c r="F155" s="542" t="s">
        <v>3900</v>
      </c>
      <c r="G155" s="546"/>
      <c r="H155" s="546">
        <v>1015.31</v>
      </c>
      <c r="I155" s="546">
        <v>1015.31</v>
      </c>
      <c r="J155" s="542" t="s">
        <v>2584</v>
      </c>
      <c r="K155" s="547">
        <v>4548</v>
      </c>
      <c r="L155" s="542" t="s">
        <v>806</v>
      </c>
      <c r="M155" s="548"/>
      <c r="N155" s="549">
        <v>-31</v>
      </c>
      <c r="O155" s="544" t="s">
        <v>1674</v>
      </c>
      <c r="P155" s="544" t="s">
        <v>1674</v>
      </c>
      <c r="Q155" s="544" t="s">
        <v>4456</v>
      </c>
      <c r="R155" s="544" t="s">
        <v>1674</v>
      </c>
      <c r="S155" s="544" t="s">
        <v>1674</v>
      </c>
      <c r="T155" s="550">
        <v>19</v>
      </c>
      <c r="U155" s="544" t="s">
        <v>3328</v>
      </c>
      <c r="V155" s="547">
        <v>1685</v>
      </c>
      <c r="W155" s="548"/>
      <c r="Y155" s="544" t="s">
        <v>1674</v>
      </c>
      <c r="AA155" s="544" t="s">
        <v>1674</v>
      </c>
      <c r="AB155" s="542">
        <v>3</v>
      </c>
      <c r="AE155" s="551"/>
      <c r="AF155" s="544" t="s">
        <v>1674</v>
      </c>
      <c r="AG155" s="544" t="s">
        <v>1674</v>
      </c>
      <c r="AH155" s="544" t="s">
        <v>1674</v>
      </c>
      <c r="AI155" s="544" t="s">
        <v>1674</v>
      </c>
      <c r="AJ155" s="544" t="s">
        <v>1674</v>
      </c>
      <c r="AK155" s="544" t="s">
        <v>1674</v>
      </c>
      <c r="AL155" s="544" t="s">
        <v>1674</v>
      </c>
      <c r="AM155" s="544" t="s">
        <v>2854</v>
      </c>
      <c r="AN155" s="544" t="s">
        <v>1674</v>
      </c>
      <c r="AP155" s="542">
        <f t="shared" si="5"/>
        <v>30</v>
      </c>
      <c r="AR155" s="593">
        <f t="shared" si="6"/>
        <v>1015.31</v>
      </c>
    </row>
    <row r="156" spans="1:44" outlineLevel="1" x14ac:dyDescent="0.25">
      <c r="A156" s="544" t="s">
        <v>1674</v>
      </c>
      <c r="B156" s="545">
        <v>72100</v>
      </c>
      <c r="C156" s="544" t="s">
        <v>2955</v>
      </c>
      <c r="D156" s="544" t="s">
        <v>4457</v>
      </c>
      <c r="E156" s="542" t="s">
        <v>3899</v>
      </c>
      <c r="F156" s="542" t="s">
        <v>3900</v>
      </c>
      <c r="G156" s="546"/>
      <c r="H156" s="546">
        <v>50</v>
      </c>
      <c r="I156" s="546">
        <v>50</v>
      </c>
      <c r="J156" s="542" t="s">
        <v>2584</v>
      </c>
      <c r="K156" s="547">
        <v>4595</v>
      </c>
      <c r="L156" s="542" t="s">
        <v>806</v>
      </c>
      <c r="M156" s="548"/>
      <c r="N156" s="549">
        <v>-31</v>
      </c>
      <c r="O156" s="544" t="s">
        <v>1674</v>
      </c>
      <c r="P156" s="544" t="s">
        <v>1674</v>
      </c>
      <c r="Q156" s="544" t="s">
        <v>4458</v>
      </c>
      <c r="R156" s="544" t="s">
        <v>1674</v>
      </c>
      <c r="S156" s="544" t="s">
        <v>1674</v>
      </c>
      <c r="T156" s="550">
        <v>19</v>
      </c>
      <c r="U156" s="544" t="s">
        <v>3328</v>
      </c>
      <c r="V156" s="547">
        <v>1676</v>
      </c>
      <c r="W156" s="548"/>
      <c r="Y156" s="544" t="s">
        <v>1674</v>
      </c>
      <c r="AA156" s="544" t="s">
        <v>1674</v>
      </c>
      <c r="AB156" s="542">
        <v>3</v>
      </c>
      <c r="AE156" s="551"/>
      <c r="AF156" s="544" t="s">
        <v>1674</v>
      </c>
      <c r="AG156" s="544" t="s">
        <v>1674</v>
      </c>
      <c r="AH156" s="544" t="s">
        <v>1674</v>
      </c>
      <c r="AI156" s="544" t="s">
        <v>1674</v>
      </c>
      <c r="AJ156" s="544" t="s">
        <v>1674</v>
      </c>
      <c r="AK156" s="544" t="s">
        <v>1674</v>
      </c>
      <c r="AL156" s="544" t="s">
        <v>1674</v>
      </c>
      <c r="AM156" s="544" t="s">
        <v>2955</v>
      </c>
      <c r="AN156" s="544" t="s">
        <v>1674</v>
      </c>
      <c r="AP156" s="542">
        <f t="shared" si="5"/>
        <v>30</v>
      </c>
      <c r="AR156" s="593">
        <f t="shared" si="6"/>
        <v>50</v>
      </c>
    </row>
    <row r="157" spans="1:44" outlineLevel="1" x14ac:dyDescent="0.25">
      <c r="A157" s="544" t="s">
        <v>1674</v>
      </c>
      <c r="B157" s="545">
        <v>72400</v>
      </c>
      <c r="C157" s="544" t="s">
        <v>4459</v>
      </c>
      <c r="D157" s="544" t="s">
        <v>4460</v>
      </c>
      <c r="E157" s="542" t="s">
        <v>3899</v>
      </c>
      <c r="F157" s="542" t="s">
        <v>3900</v>
      </c>
      <c r="G157" s="546"/>
      <c r="H157" s="546">
        <v>357</v>
      </c>
      <c r="I157" s="546">
        <v>357</v>
      </c>
      <c r="J157" s="542" t="s">
        <v>2584</v>
      </c>
      <c r="K157" s="547">
        <v>4950</v>
      </c>
      <c r="L157" s="542" t="s">
        <v>806</v>
      </c>
      <c r="M157" s="548"/>
      <c r="N157" s="549">
        <v>-31</v>
      </c>
      <c r="O157" s="544" t="s">
        <v>1674</v>
      </c>
      <c r="P157" s="544" t="s">
        <v>1674</v>
      </c>
      <c r="Q157" s="544" t="s">
        <v>4461</v>
      </c>
      <c r="R157" s="544" t="s">
        <v>1674</v>
      </c>
      <c r="S157" s="544" t="s">
        <v>1674</v>
      </c>
      <c r="T157" s="550">
        <v>19</v>
      </c>
      <c r="U157" s="544" t="s">
        <v>3328</v>
      </c>
      <c r="V157" s="547">
        <v>1672</v>
      </c>
      <c r="W157" s="548"/>
      <c r="Y157" s="544" t="s">
        <v>1674</v>
      </c>
      <c r="AA157" s="544" t="s">
        <v>1674</v>
      </c>
      <c r="AB157" s="542">
        <v>3</v>
      </c>
      <c r="AE157" s="551"/>
      <c r="AF157" s="544" t="s">
        <v>1674</v>
      </c>
      <c r="AG157" s="544" t="s">
        <v>1674</v>
      </c>
      <c r="AH157" s="544" t="s">
        <v>1674</v>
      </c>
      <c r="AI157" s="544" t="s">
        <v>1674</v>
      </c>
      <c r="AJ157" s="544" t="s">
        <v>1674</v>
      </c>
      <c r="AK157" s="544" t="s">
        <v>1674</v>
      </c>
      <c r="AL157" s="544" t="s">
        <v>1674</v>
      </c>
      <c r="AM157" s="544" t="s">
        <v>4459</v>
      </c>
      <c r="AN157" s="544" t="s">
        <v>1674</v>
      </c>
      <c r="AP157" s="542">
        <f t="shared" si="5"/>
        <v>30</v>
      </c>
      <c r="AR157" s="593">
        <f t="shared" si="6"/>
        <v>357</v>
      </c>
    </row>
    <row r="158" spans="1:44" outlineLevel="1" x14ac:dyDescent="0.25">
      <c r="A158" s="544" t="s">
        <v>1674</v>
      </c>
      <c r="B158" s="545">
        <v>81303</v>
      </c>
      <c r="C158" s="544" t="s">
        <v>3971</v>
      </c>
      <c r="D158" s="544" t="s">
        <v>4462</v>
      </c>
      <c r="E158" s="542" t="s">
        <v>3899</v>
      </c>
      <c r="G158" s="546">
        <v>25</v>
      </c>
      <c r="H158" s="546"/>
      <c r="I158" s="546">
        <v>25</v>
      </c>
      <c r="J158" s="542" t="s">
        <v>2701</v>
      </c>
      <c r="K158" s="547">
        <v>3425</v>
      </c>
      <c r="L158" s="542" t="s">
        <v>806</v>
      </c>
      <c r="M158" s="548"/>
      <c r="N158" s="549"/>
      <c r="O158" s="544" t="s">
        <v>1674</v>
      </c>
      <c r="P158" s="544" t="s">
        <v>1674</v>
      </c>
      <c r="Q158" s="544" t="s">
        <v>4012</v>
      </c>
      <c r="R158" s="544" t="s">
        <v>1674</v>
      </c>
      <c r="S158" s="544" t="s">
        <v>1674</v>
      </c>
      <c r="T158" s="550">
        <v>19</v>
      </c>
      <c r="U158" s="544" t="s">
        <v>3328</v>
      </c>
      <c r="V158" s="547">
        <v>1678</v>
      </c>
      <c r="W158" s="548"/>
      <c r="Y158" s="544" t="s">
        <v>1674</v>
      </c>
      <c r="AA158" s="544" t="s">
        <v>1674</v>
      </c>
      <c r="AE158" s="551"/>
      <c r="AF158" s="544" t="s">
        <v>1674</v>
      </c>
      <c r="AG158" s="544" t="s">
        <v>1674</v>
      </c>
      <c r="AH158" s="544" t="s">
        <v>1674</v>
      </c>
      <c r="AI158" s="544" t="s">
        <v>1674</v>
      </c>
      <c r="AJ158" s="544" t="s">
        <v>1674</v>
      </c>
      <c r="AK158" s="544" t="s">
        <v>1674</v>
      </c>
      <c r="AL158" s="544" t="s">
        <v>1674</v>
      </c>
      <c r="AM158" s="544" t="s">
        <v>3976</v>
      </c>
      <c r="AN158" s="544" t="s">
        <v>1674</v>
      </c>
      <c r="AP158" s="542">
        <f t="shared" si="5"/>
        <v>0</v>
      </c>
      <c r="AR158" s="593">
        <f t="shared" si="6"/>
        <v>-25</v>
      </c>
    </row>
    <row r="159" spans="1:44" outlineLevel="1" x14ac:dyDescent="0.25">
      <c r="A159" s="544" t="s">
        <v>1674</v>
      </c>
      <c r="B159" s="545">
        <v>0</v>
      </c>
      <c r="C159" s="544" t="s">
        <v>1674</v>
      </c>
      <c r="D159" s="544" t="s">
        <v>4463</v>
      </c>
      <c r="E159" s="542" t="s">
        <v>3899</v>
      </c>
      <c r="G159" s="546">
        <v>502.4</v>
      </c>
      <c r="H159" s="546"/>
      <c r="I159" s="546">
        <v>502.4</v>
      </c>
      <c r="J159" s="542" t="s">
        <v>2701</v>
      </c>
      <c r="K159" s="547">
        <v>3425</v>
      </c>
      <c r="L159" s="542" t="s">
        <v>806</v>
      </c>
      <c r="M159" s="548"/>
      <c r="N159" s="549"/>
      <c r="O159" s="544" t="s">
        <v>1674</v>
      </c>
      <c r="P159" s="544" t="s">
        <v>1674</v>
      </c>
      <c r="Q159" s="544" t="s">
        <v>4012</v>
      </c>
      <c r="R159" s="544" t="s">
        <v>1674</v>
      </c>
      <c r="S159" s="544" t="s">
        <v>1674</v>
      </c>
      <c r="T159" s="550">
        <v>19</v>
      </c>
      <c r="U159" s="544" t="s">
        <v>3328</v>
      </c>
      <c r="V159" s="547">
        <v>1679</v>
      </c>
      <c r="W159" s="548"/>
      <c r="Y159" s="544" t="s">
        <v>1674</v>
      </c>
      <c r="AA159" s="544" t="s">
        <v>1674</v>
      </c>
      <c r="AE159" s="551"/>
      <c r="AF159" s="544" t="s">
        <v>1674</v>
      </c>
      <c r="AG159" s="544" t="s">
        <v>1674</v>
      </c>
      <c r="AH159" s="544" t="s">
        <v>1674</v>
      </c>
      <c r="AI159" s="544" t="s">
        <v>1674</v>
      </c>
      <c r="AJ159" s="544" t="s">
        <v>1674</v>
      </c>
      <c r="AK159" s="544" t="s">
        <v>1674</v>
      </c>
      <c r="AL159" s="544" t="s">
        <v>1674</v>
      </c>
      <c r="AM159" s="544" t="s">
        <v>1674</v>
      </c>
      <c r="AN159" s="544" t="s">
        <v>1674</v>
      </c>
      <c r="AP159" s="542">
        <f t="shared" si="5"/>
        <v>0</v>
      </c>
      <c r="AR159" s="593">
        <f t="shared" si="6"/>
        <v>-502.4</v>
      </c>
    </row>
    <row r="163" spans="7:44" x14ac:dyDescent="0.25">
      <c r="G163" s="552">
        <f>SUM(G3:G159)</f>
        <v>114440.97</v>
      </c>
      <c r="H163" s="552">
        <f>SUM(H3:H159)</f>
        <v>496363.8600000001</v>
      </c>
      <c r="I163" s="563">
        <f>H163-G163</f>
        <v>381922.89000000013</v>
      </c>
      <c r="AR163" s="562">
        <f>SUM(AR3:AR159)</f>
        <v>381922.89000000007</v>
      </c>
    </row>
    <row r="166" spans="7:44" x14ac:dyDescent="0.25">
      <c r="AQ166" s="542" t="s">
        <v>233</v>
      </c>
      <c r="AR166" s="562">
        <v>381922.89</v>
      </c>
    </row>
  </sheetData>
  <conditionalFormatting sqref="A1:XFD1048576">
    <cfRule type="containsText" dxfId="8" priority="2" operator="containsText" text="Medica S.P.A">
      <formula>NOT(ISERROR(SEARCH("Medica S.P.A",A1)))</formula>
    </cfRule>
  </conditionalFormatting>
  <conditionalFormatting sqref="H3:H159">
    <cfRule type="colorScale" priority="1">
      <colorScale>
        <cfvo type="min"/>
        <cfvo type="max"/>
        <color rgb="FFFCFCFF"/>
        <color rgb="FFF8696B"/>
      </colorScale>
    </cfRule>
  </conditionalFormatting>
  <conditionalFormatting sqref="AU10">
    <cfRule type="cellIs" dxfId="7" priority="3" operator="equal">
      <formula>0</formula>
    </cfRule>
  </conditionalFormatting>
  <pageMargins left="0.7" right="0.7" top="0.78740157499999996" bottom="0.78740157499999996"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0F017-1BA0-431A-9C40-5B3BC0906F00}">
  <sheetPr>
    <tabColor rgb="FF7030A0"/>
    <outlinePr summaryBelow="0"/>
  </sheetPr>
  <dimension ref="A1:AX64"/>
  <sheetViews>
    <sheetView workbookViewId="0"/>
  </sheetViews>
  <sheetFormatPr defaultColWidth="11.42578125" defaultRowHeight="15" outlineLevelRow="1" outlineLevelCol="1" x14ac:dyDescent="0.25"/>
  <cols>
    <col min="1" max="1" width="7.140625" customWidth="1"/>
    <col min="2" max="2" width="9.85546875" customWidth="1" outlineLevel="1"/>
    <col min="3" max="3" width="40.28515625" customWidth="1" outlineLevel="1"/>
    <col min="4" max="4" width="20.140625" customWidth="1" outlineLevel="1"/>
    <col min="5" max="6" width="13.85546875" customWidth="1"/>
    <col min="7" max="7" width="13.7109375" customWidth="1"/>
    <col min="8" max="8" width="16" customWidth="1"/>
    <col min="9" max="9" width="12.85546875" customWidth="1"/>
    <col min="10" max="10" width="13" customWidth="1"/>
    <col min="11" max="11" width="14.5703125" hidden="1" customWidth="1" outlineLevel="1"/>
    <col min="12" max="12" width="6.28515625" hidden="1" customWidth="1" outlineLevel="1"/>
    <col min="13" max="13" width="9.85546875" hidden="1" customWidth="1" outlineLevel="1"/>
    <col min="14" max="14" width="8.42578125" hidden="1" customWidth="1" outlineLevel="1"/>
    <col min="15" max="15" width="13.85546875" hidden="1" customWidth="1" outlineLevel="1"/>
    <col min="16" max="16" width="7.140625" hidden="1" customWidth="1" outlineLevel="1"/>
    <col min="17" max="17" width="49" customWidth="1" collapsed="1"/>
    <col min="18" max="19" width="11" hidden="1" customWidth="1" outlineLevel="1"/>
    <col min="20" max="20" width="9.42578125" hidden="1" customWidth="1" outlineLevel="1"/>
    <col min="21" max="21" width="16" hidden="1" customWidth="1" outlineLevel="1"/>
    <col min="22" max="22" width="9.7109375" hidden="1" customWidth="1" outlineLevel="1"/>
    <col min="23" max="23" width="6.28515625" hidden="1" customWidth="1" outlineLevel="1"/>
    <col min="24" max="24" width="12.28515625" hidden="1" customWidth="1" outlineLevel="1"/>
    <col min="25" max="25" width="15.28515625" hidden="1" customWidth="1" outlineLevel="1"/>
    <col min="26" max="26" width="12.42578125" hidden="1" customWidth="1" outlineLevel="1"/>
    <col min="27" max="27" width="24.140625" hidden="1" customWidth="1" outlineLevel="1"/>
    <col min="28" max="28" width="19.42578125" hidden="1" customWidth="1" outlineLevel="1"/>
    <col min="29" max="29" width="14.42578125" hidden="1" customWidth="1" outlineLevel="1"/>
    <col min="30" max="30" width="13.42578125" hidden="1" customWidth="1" outlineLevel="1"/>
    <col min="31" max="31" width="12.85546875" hidden="1" customWidth="1" outlineLevel="1"/>
    <col min="32" max="32" width="10.42578125" hidden="1" customWidth="1" outlineLevel="1"/>
    <col min="33" max="33" width="8.140625" hidden="1" customWidth="1" outlineLevel="1"/>
    <col min="34" max="34" width="7.42578125" hidden="1" customWidth="1" outlineLevel="1"/>
    <col min="35" max="35" width="8.85546875" hidden="1" customWidth="1" outlineLevel="1"/>
    <col min="36" max="36" width="26.5703125" hidden="1" customWidth="1" outlineLevel="1"/>
    <col min="37" max="37" width="18.5703125" hidden="1" customWidth="1" outlineLevel="1"/>
    <col min="38" max="38" width="24" hidden="1" customWidth="1" outlineLevel="1"/>
    <col min="39" max="39" width="20" hidden="1" customWidth="1" outlineLevel="1"/>
    <col min="40" max="40" width="10.85546875" hidden="1" customWidth="1" outlineLevel="1"/>
    <col min="41" max="41" width="11.42578125" collapsed="1"/>
    <col min="43" max="43" width="12.140625" bestFit="1" customWidth="1"/>
    <col min="45" max="45" width="16.28515625" bestFit="1" customWidth="1"/>
    <col min="46" max="46" width="13.42578125" bestFit="1" customWidth="1"/>
    <col min="48" max="48" width="32" bestFit="1" customWidth="1"/>
    <col min="49" max="49" width="14.42578125" bestFit="1" customWidth="1"/>
    <col min="50" max="50" width="5.28515625" bestFit="1" customWidth="1"/>
  </cols>
  <sheetData>
    <row r="1" spans="1:50" x14ac:dyDescent="0.25">
      <c r="A1" s="629" t="s">
        <v>4886</v>
      </c>
    </row>
    <row r="2" spans="1:50" outlineLevel="1" x14ac:dyDescent="0.25">
      <c r="A2" s="609" t="s">
        <v>2541</v>
      </c>
      <c r="B2" s="609" t="s">
        <v>2542</v>
      </c>
      <c r="C2" s="609" t="s">
        <v>2543</v>
      </c>
      <c r="D2" s="609" t="s">
        <v>2544</v>
      </c>
      <c r="E2" s="609" t="s">
        <v>2545</v>
      </c>
      <c r="F2" s="609" t="s">
        <v>2546</v>
      </c>
      <c r="G2" s="609" t="s">
        <v>2547</v>
      </c>
      <c r="H2" s="609" t="s">
        <v>2548</v>
      </c>
      <c r="I2" s="609" t="s">
        <v>2549</v>
      </c>
      <c r="J2" s="609" t="s">
        <v>2550</v>
      </c>
      <c r="K2" s="609" t="s">
        <v>2551</v>
      </c>
      <c r="L2" s="609" t="s">
        <v>2552</v>
      </c>
      <c r="M2" s="609" t="s">
        <v>2553</v>
      </c>
      <c r="N2" s="609" t="s">
        <v>2554</v>
      </c>
      <c r="O2" s="609" t="s">
        <v>2555</v>
      </c>
      <c r="P2" s="609" t="s">
        <v>2556</v>
      </c>
      <c r="Q2" s="609" t="s">
        <v>2557</v>
      </c>
      <c r="R2" s="609" t="s">
        <v>2558</v>
      </c>
      <c r="S2" s="609" t="s">
        <v>2559</v>
      </c>
      <c r="T2" s="609" t="s">
        <v>2560</v>
      </c>
      <c r="U2" s="609" t="s">
        <v>2561</v>
      </c>
      <c r="V2" s="609" t="s">
        <v>2562</v>
      </c>
      <c r="W2" s="609" t="s">
        <v>2563</v>
      </c>
      <c r="X2" s="609" t="s">
        <v>2564</v>
      </c>
      <c r="Y2" s="609" t="s">
        <v>2565</v>
      </c>
      <c r="Z2" s="609" t="s">
        <v>2566</v>
      </c>
      <c r="AA2" s="609" t="s">
        <v>2567</v>
      </c>
      <c r="AB2" s="609" t="s">
        <v>2568</v>
      </c>
      <c r="AC2" s="609" t="s">
        <v>2569</v>
      </c>
      <c r="AD2" s="609" t="s">
        <v>2570</v>
      </c>
      <c r="AE2" s="609" t="s">
        <v>2571</v>
      </c>
      <c r="AF2" s="609" t="s">
        <v>2572</v>
      </c>
      <c r="AG2" s="609" t="s">
        <v>2573</v>
      </c>
      <c r="AH2" s="609" t="s">
        <v>2574</v>
      </c>
      <c r="AI2" s="609" t="s">
        <v>2575</v>
      </c>
      <c r="AJ2" s="609" t="s">
        <v>2576</v>
      </c>
      <c r="AK2" s="609" t="s">
        <v>2577</v>
      </c>
      <c r="AL2" s="609" t="s">
        <v>2578</v>
      </c>
      <c r="AM2" s="609" t="s">
        <v>2579</v>
      </c>
      <c r="AN2" s="609" t="s">
        <v>2580</v>
      </c>
      <c r="AO2" s="783">
        <v>46022</v>
      </c>
      <c r="AP2" s="609" t="s">
        <v>4887</v>
      </c>
      <c r="AQ2" s="609" t="s">
        <v>2549</v>
      </c>
      <c r="AS2" s="784" t="s">
        <v>2587</v>
      </c>
      <c r="AT2" s="785" t="s">
        <v>4888</v>
      </c>
      <c r="AV2" t="s">
        <v>4889</v>
      </c>
      <c r="AW2" s="623">
        <f>SUM(AQ3:AQ462)</f>
        <v>246823.06000000003</v>
      </c>
    </row>
    <row r="3" spans="1:50" outlineLevel="1" x14ac:dyDescent="0.25">
      <c r="A3" s="612" t="s">
        <v>1674</v>
      </c>
      <c r="B3" s="786">
        <v>70100</v>
      </c>
      <c r="C3" s="612" t="s">
        <v>2864</v>
      </c>
      <c r="D3" s="612" t="s">
        <v>4890</v>
      </c>
      <c r="E3" t="s">
        <v>4891</v>
      </c>
      <c r="F3" t="s">
        <v>4892</v>
      </c>
      <c r="G3" s="787"/>
      <c r="H3" s="787">
        <v>3484.32</v>
      </c>
      <c r="I3" s="787">
        <v>3484.32</v>
      </c>
      <c r="J3" t="s">
        <v>2584</v>
      </c>
      <c r="K3" s="611">
        <v>4950</v>
      </c>
      <c r="L3" t="s">
        <v>806</v>
      </c>
      <c r="M3" s="614"/>
      <c r="N3" s="788">
        <v>42</v>
      </c>
      <c r="O3" s="612" t="s">
        <v>1674</v>
      </c>
      <c r="P3" s="612" t="s">
        <v>1674</v>
      </c>
      <c r="Q3" s="612" t="s">
        <v>4893</v>
      </c>
      <c r="R3" s="612" t="s">
        <v>1674</v>
      </c>
      <c r="S3" s="612" t="s">
        <v>1674</v>
      </c>
      <c r="T3" s="789">
        <v>19</v>
      </c>
      <c r="U3" s="612" t="s">
        <v>4894</v>
      </c>
      <c r="V3" s="611">
        <v>52</v>
      </c>
      <c r="W3" s="614"/>
      <c r="Y3" s="612" t="s">
        <v>1674</v>
      </c>
      <c r="AA3" s="612" t="s">
        <v>1674</v>
      </c>
      <c r="AB3">
        <v>3</v>
      </c>
      <c r="AE3" s="790"/>
      <c r="AF3" s="612" t="s">
        <v>1674</v>
      </c>
      <c r="AG3" s="612" t="s">
        <v>1674</v>
      </c>
      <c r="AH3" s="612" t="s">
        <v>1674</v>
      </c>
      <c r="AI3" s="612" t="s">
        <v>1674</v>
      </c>
      <c r="AJ3" s="612" t="s">
        <v>1674</v>
      </c>
      <c r="AK3" s="612" t="s">
        <v>1674</v>
      </c>
      <c r="AL3" s="612" t="s">
        <v>1674</v>
      </c>
      <c r="AM3" s="612" t="s">
        <v>2864</v>
      </c>
      <c r="AN3" s="612" t="s">
        <v>1674</v>
      </c>
      <c r="AP3">
        <f t="shared" ref="AP3:AP64" si="0">IF(F3="",0,$AO$2-F3)</f>
        <v>-42</v>
      </c>
      <c r="AQ3" s="552">
        <f>IF(J3="H",+I3,-I3)</f>
        <v>3484.32</v>
      </c>
      <c r="AS3" s="791" t="s">
        <v>503</v>
      </c>
      <c r="AT3" s="623">
        <f>SUMIFS($AQ$3:$AQ$532,$AP$3:$AP$532,"&lt;=0")</f>
        <v>242486.51</v>
      </c>
      <c r="AV3" t="s">
        <v>4895</v>
      </c>
      <c r="AW3" s="623">
        <f>'Lead NA'!$I$18*1000</f>
        <v>-243489.74</v>
      </c>
    </row>
    <row r="4" spans="1:50" outlineLevel="1" x14ac:dyDescent="0.25">
      <c r="A4" s="612" t="s">
        <v>1674</v>
      </c>
      <c r="B4" s="786">
        <v>0</v>
      </c>
      <c r="C4" s="612" t="s">
        <v>1674</v>
      </c>
      <c r="D4" s="612" t="s">
        <v>4896</v>
      </c>
      <c r="E4" t="s">
        <v>4897</v>
      </c>
      <c r="F4" t="s">
        <v>4898</v>
      </c>
      <c r="G4" s="787"/>
      <c r="H4" s="787">
        <v>744.5</v>
      </c>
      <c r="I4" s="787">
        <v>744.5</v>
      </c>
      <c r="J4" t="s">
        <v>2584</v>
      </c>
      <c r="K4" s="611">
        <v>4950</v>
      </c>
      <c r="L4" t="s">
        <v>806</v>
      </c>
      <c r="M4" s="614"/>
      <c r="N4" s="788">
        <v>15</v>
      </c>
      <c r="O4" s="612" t="s">
        <v>1674</v>
      </c>
      <c r="P4" s="612" t="s">
        <v>1674</v>
      </c>
      <c r="Q4" s="612" t="s">
        <v>4899</v>
      </c>
      <c r="R4" s="612" t="s">
        <v>1674</v>
      </c>
      <c r="S4" s="612" t="s">
        <v>1674</v>
      </c>
      <c r="T4" s="789">
        <v>19</v>
      </c>
      <c r="U4" s="612" t="s">
        <v>4900</v>
      </c>
      <c r="V4" s="611">
        <v>983</v>
      </c>
      <c r="W4" s="614"/>
      <c r="Y4" s="612" t="s">
        <v>1674</v>
      </c>
      <c r="AA4" s="612" t="s">
        <v>1674</v>
      </c>
      <c r="AB4">
        <v>3</v>
      </c>
      <c r="AE4" s="790"/>
      <c r="AF4" s="612" t="s">
        <v>1674</v>
      </c>
      <c r="AG4" s="612" t="s">
        <v>1674</v>
      </c>
      <c r="AH4" s="612" t="s">
        <v>1674</v>
      </c>
      <c r="AI4" s="612" t="s">
        <v>1674</v>
      </c>
      <c r="AJ4" s="612" t="s">
        <v>1674</v>
      </c>
      <c r="AK4" s="612" t="s">
        <v>1674</v>
      </c>
      <c r="AL4" s="612" t="s">
        <v>1674</v>
      </c>
      <c r="AM4" s="612" t="s">
        <v>1674</v>
      </c>
      <c r="AN4" s="612" t="s">
        <v>1674</v>
      </c>
      <c r="AP4">
        <f t="shared" si="0"/>
        <v>-15</v>
      </c>
      <c r="AQ4" s="552">
        <f t="shared" ref="AQ4:AQ64" si="1">IF(J4="H",+I4,-I4)</f>
        <v>744.5</v>
      </c>
      <c r="AS4" s="791" t="s">
        <v>4901</v>
      </c>
      <c r="AT4" s="623">
        <f>SUMIFS($AQ$3:$AQ$532,$AP$3:$AP$532,"&gt;0",$AP$3:$AP$532,"&lt;=30")</f>
        <v>1434.25</v>
      </c>
      <c r="AV4" t="s">
        <v>4902</v>
      </c>
      <c r="AW4" s="623">
        <f>AW2+AW3</f>
        <v>3333.3200000000361</v>
      </c>
      <c r="AX4" s="792" t="s">
        <v>4903</v>
      </c>
    </row>
    <row r="5" spans="1:50" outlineLevel="1" x14ac:dyDescent="0.25">
      <c r="A5" s="612" t="s">
        <v>1674</v>
      </c>
      <c r="B5" s="786">
        <v>0</v>
      </c>
      <c r="C5" s="612" t="s">
        <v>1674</v>
      </c>
      <c r="D5" s="612" t="s">
        <v>4904</v>
      </c>
      <c r="E5" t="s">
        <v>4905</v>
      </c>
      <c r="F5" t="s">
        <v>4906</v>
      </c>
      <c r="G5" s="787"/>
      <c r="H5" s="787">
        <v>69.95</v>
      </c>
      <c r="I5" s="787">
        <v>69.95</v>
      </c>
      <c r="J5" t="s">
        <v>2584</v>
      </c>
      <c r="K5" s="611">
        <v>4640</v>
      </c>
      <c r="L5" t="s">
        <v>806</v>
      </c>
      <c r="M5" s="614"/>
      <c r="N5" s="788">
        <v>3</v>
      </c>
      <c r="O5" s="612" t="s">
        <v>1674</v>
      </c>
      <c r="P5" s="612" t="s">
        <v>1674</v>
      </c>
      <c r="Q5" s="612" t="s">
        <v>4027</v>
      </c>
      <c r="R5" s="612" t="s">
        <v>1674</v>
      </c>
      <c r="S5" s="612" t="s">
        <v>1674</v>
      </c>
      <c r="T5" s="789">
        <v>19</v>
      </c>
      <c r="U5" s="612" t="s">
        <v>4900</v>
      </c>
      <c r="V5" s="611">
        <v>282</v>
      </c>
      <c r="W5" s="614"/>
      <c r="Y5" s="612" t="s">
        <v>1674</v>
      </c>
      <c r="AA5" s="612" t="s">
        <v>1674</v>
      </c>
      <c r="AB5">
        <v>3</v>
      </c>
      <c r="AE5" s="790"/>
      <c r="AF5" s="612" t="s">
        <v>1674</v>
      </c>
      <c r="AG5" s="612" t="s">
        <v>1674</v>
      </c>
      <c r="AH5" s="612" t="s">
        <v>1674</v>
      </c>
      <c r="AI5" s="612" t="s">
        <v>1674</v>
      </c>
      <c r="AJ5" s="612" t="s">
        <v>1674</v>
      </c>
      <c r="AK5" s="612" t="s">
        <v>1674</v>
      </c>
      <c r="AL5" s="612" t="s">
        <v>1674</v>
      </c>
      <c r="AM5" s="612" t="s">
        <v>1674</v>
      </c>
      <c r="AN5" s="612" t="s">
        <v>1674</v>
      </c>
      <c r="AP5">
        <f t="shared" si="0"/>
        <v>-3</v>
      </c>
      <c r="AQ5" s="552">
        <f t="shared" si="1"/>
        <v>69.95</v>
      </c>
      <c r="AS5" s="791" t="s">
        <v>4907</v>
      </c>
      <c r="AT5" s="623">
        <f>SUMIFS($AQ$3:$AQ$532,$AP$3:$AP$532,"&gt;30",$AP$3:$AP$532,"&lt;=60")</f>
        <v>2902.3</v>
      </c>
    </row>
    <row r="6" spans="1:50" outlineLevel="1" x14ac:dyDescent="0.25">
      <c r="A6" s="612" t="s">
        <v>1674</v>
      </c>
      <c r="B6" s="786">
        <v>0</v>
      </c>
      <c r="C6" s="612" t="s">
        <v>1674</v>
      </c>
      <c r="D6" s="612" t="s">
        <v>4908</v>
      </c>
      <c r="E6" t="s">
        <v>4897</v>
      </c>
      <c r="F6" t="s">
        <v>4898</v>
      </c>
      <c r="G6" s="787"/>
      <c r="H6" s="787">
        <v>25</v>
      </c>
      <c r="I6" s="787">
        <v>25</v>
      </c>
      <c r="J6" t="s">
        <v>2584</v>
      </c>
      <c r="K6" s="611">
        <v>4640</v>
      </c>
      <c r="L6" t="s">
        <v>806</v>
      </c>
      <c r="M6" s="614"/>
      <c r="N6" s="788">
        <v>15</v>
      </c>
      <c r="O6" s="612" t="s">
        <v>1674</v>
      </c>
      <c r="P6" s="612" t="s">
        <v>1674</v>
      </c>
      <c r="Q6" s="612" t="s">
        <v>4027</v>
      </c>
      <c r="R6" s="612" t="s">
        <v>1674</v>
      </c>
      <c r="S6" s="612" t="s">
        <v>1674</v>
      </c>
      <c r="T6" s="789"/>
      <c r="U6" s="612" t="s">
        <v>4900</v>
      </c>
      <c r="V6" s="611">
        <v>990</v>
      </c>
      <c r="W6" s="614"/>
      <c r="Y6" s="612" t="s">
        <v>1674</v>
      </c>
      <c r="AA6" s="612" t="s">
        <v>1674</v>
      </c>
      <c r="AB6">
        <v>3</v>
      </c>
      <c r="AE6" s="790"/>
      <c r="AF6" s="612" t="s">
        <v>1674</v>
      </c>
      <c r="AG6" s="612" t="s">
        <v>1674</v>
      </c>
      <c r="AH6" s="612" t="s">
        <v>1674</v>
      </c>
      <c r="AI6" s="612" t="s">
        <v>1674</v>
      </c>
      <c r="AJ6" s="612" t="s">
        <v>1674</v>
      </c>
      <c r="AK6" s="612" t="s">
        <v>1674</v>
      </c>
      <c r="AL6" s="612" t="s">
        <v>1674</v>
      </c>
      <c r="AM6" s="612" t="s">
        <v>1674</v>
      </c>
      <c r="AN6" s="612" t="s">
        <v>1674</v>
      </c>
      <c r="AP6">
        <f t="shared" si="0"/>
        <v>-15</v>
      </c>
      <c r="AQ6" s="552">
        <f t="shared" si="1"/>
        <v>25</v>
      </c>
      <c r="AS6" s="791" t="s">
        <v>4909</v>
      </c>
      <c r="AT6" s="623">
        <f>SUMIFS($AQ$3:$AQ$532,$AP$3:$AP$532,"&gt;60",$AP$3:$AP$532,"&lt;=90")</f>
        <v>0</v>
      </c>
    </row>
    <row r="7" spans="1:50" outlineLevel="1" x14ac:dyDescent="0.25">
      <c r="A7" s="612" t="s">
        <v>1674</v>
      </c>
      <c r="B7" s="786">
        <v>0</v>
      </c>
      <c r="C7" s="612" t="s">
        <v>1674</v>
      </c>
      <c r="D7" s="612" t="s">
        <v>4910</v>
      </c>
      <c r="E7" t="s">
        <v>4911</v>
      </c>
      <c r="F7" t="s">
        <v>4912</v>
      </c>
      <c r="G7" s="787"/>
      <c r="H7" s="787">
        <v>50</v>
      </c>
      <c r="I7" s="787">
        <v>50</v>
      </c>
      <c r="J7" t="s">
        <v>2584</v>
      </c>
      <c r="K7" s="611">
        <v>4640</v>
      </c>
      <c r="L7" t="s">
        <v>806</v>
      </c>
      <c r="M7" s="614"/>
      <c r="N7" s="788">
        <v>17</v>
      </c>
      <c r="O7" s="612" t="s">
        <v>1674</v>
      </c>
      <c r="P7" s="612" t="s">
        <v>1674</v>
      </c>
      <c r="Q7" s="612" t="s">
        <v>4027</v>
      </c>
      <c r="R7" s="612" t="s">
        <v>1674</v>
      </c>
      <c r="S7" s="612" t="s">
        <v>1674</v>
      </c>
      <c r="T7" s="789"/>
      <c r="U7" s="612" t="s">
        <v>4900</v>
      </c>
      <c r="V7" s="611">
        <v>1203</v>
      </c>
      <c r="W7" s="614"/>
      <c r="Y7" s="612" t="s">
        <v>1674</v>
      </c>
      <c r="AA7" s="612" t="s">
        <v>1674</v>
      </c>
      <c r="AB7">
        <v>3</v>
      </c>
      <c r="AE7" s="790"/>
      <c r="AF7" s="612" t="s">
        <v>1674</v>
      </c>
      <c r="AG7" s="612" t="s">
        <v>1674</v>
      </c>
      <c r="AH7" s="612" t="s">
        <v>1674</v>
      </c>
      <c r="AI7" s="612" t="s">
        <v>1674</v>
      </c>
      <c r="AJ7" s="612" t="s">
        <v>1674</v>
      </c>
      <c r="AK7" s="612" t="s">
        <v>1674</v>
      </c>
      <c r="AL7" s="612" t="s">
        <v>1674</v>
      </c>
      <c r="AM7" s="612" t="s">
        <v>1674</v>
      </c>
      <c r="AN7" s="612" t="s">
        <v>1674</v>
      </c>
      <c r="AP7">
        <f t="shared" si="0"/>
        <v>-17</v>
      </c>
      <c r="AQ7" s="552">
        <f t="shared" si="1"/>
        <v>50</v>
      </c>
      <c r="AS7" s="793" t="s">
        <v>4913</v>
      </c>
      <c r="AT7" s="794">
        <f>SUMIFS($AQ$3:$AQ$532,$AP$3:$AP$532,"&gt;90")</f>
        <v>0</v>
      </c>
    </row>
    <row r="8" spans="1:50" outlineLevel="1" x14ac:dyDescent="0.25">
      <c r="A8" s="612" t="s">
        <v>1674</v>
      </c>
      <c r="B8" s="786">
        <v>0</v>
      </c>
      <c r="C8" s="612" t="s">
        <v>1674</v>
      </c>
      <c r="D8" s="612" t="s">
        <v>4914</v>
      </c>
      <c r="E8" t="s">
        <v>4915</v>
      </c>
      <c r="F8" t="s">
        <v>4916</v>
      </c>
      <c r="G8" s="787"/>
      <c r="H8" s="787">
        <v>23.9</v>
      </c>
      <c r="I8" s="787">
        <v>23.9</v>
      </c>
      <c r="J8" t="s">
        <v>2584</v>
      </c>
      <c r="K8" s="611">
        <v>4940</v>
      </c>
      <c r="L8" t="s">
        <v>806</v>
      </c>
      <c r="M8" s="614"/>
      <c r="N8" s="788">
        <v>18</v>
      </c>
      <c r="O8" s="612" t="s">
        <v>1674</v>
      </c>
      <c r="P8" s="612" t="s">
        <v>1674</v>
      </c>
      <c r="Q8" s="612" t="s">
        <v>4027</v>
      </c>
      <c r="R8" s="612" t="s">
        <v>1674</v>
      </c>
      <c r="S8" s="612" t="s">
        <v>1674</v>
      </c>
      <c r="T8" s="789">
        <v>7</v>
      </c>
      <c r="U8" s="612" t="s">
        <v>4900</v>
      </c>
      <c r="V8" s="611">
        <v>1318</v>
      </c>
      <c r="W8" s="614"/>
      <c r="Y8" s="612" t="s">
        <v>1674</v>
      </c>
      <c r="AA8" s="612" t="s">
        <v>1674</v>
      </c>
      <c r="AB8">
        <v>3</v>
      </c>
      <c r="AE8" s="790"/>
      <c r="AF8" s="612" t="s">
        <v>1674</v>
      </c>
      <c r="AG8" s="612" t="s">
        <v>1674</v>
      </c>
      <c r="AH8" s="612" t="s">
        <v>1674</v>
      </c>
      <c r="AI8" s="612" t="s">
        <v>1674</v>
      </c>
      <c r="AJ8" s="612" t="s">
        <v>1674</v>
      </c>
      <c r="AK8" s="612" t="s">
        <v>1674</v>
      </c>
      <c r="AL8" s="612" t="s">
        <v>1674</v>
      </c>
      <c r="AM8" s="612" t="s">
        <v>1674</v>
      </c>
      <c r="AN8" s="612" t="s">
        <v>1674</v>
      </c>
      <c r="AP8">
        <f t="shared" si="0"/>
        <v>-18</v>
      </c>
      <c r="AQ8" s="552">
        <f t="shared" si="1"/>
        <v>23.9</v>
      </c>
      <c r="AS8" s="795" t="s">
        <v>640</v>
      </c>
      <c r="AT8" s="796">
        <f>SUM(AT3:AT7)</f>
        <v>246823.06</v>
      </c>
    </row>
    <row r="9" spans="1:50" outlineLevel="1" x14ac:dyDescent="0.25">
      <c r="A9" s="612" t="s">
        <v>1674</v>
      </c>
      <c r="B9" s="786">
        <v>0</v>
      </c>
      <c r="C9" s="612" t="s">
        <v>1674</v>
      </c>
      <c r="D9" s="612" t="s">
        <v>4917</v>
      </c>
      <c r="E9" t="s">
        <v>4918</v>
      </c>
      <c r="F9" t="s">
        <v>4919</v>
      </c>
      <c r="G9" s="787"/>
      <c r="H9" s="787">
        <v>42.32</v>
      </c>
      <c r="I9" s="787">
        <v>42.32</v>
      </c>
      <c r="J9" t="s">
        <v>2584</v>
      </c>
      <c r="K9" s="611">
        <v>4980</v>
      </c>
      <c r="L9" t="s">
        <v>806</v>
      </c>
      <c r="M9" s="614"/>
      <c r="N9" s="788">
        <v>8</v>
      </c>
      <c r="O9" s="612" t="s">
        <v>1674</v>
      </c>
      <c r="P9" s="612" t="s">
        <v>1674</v>
      </c>
      <c r="Q9" s="612" t="s">
        <v>4920</v>
      </c>
      <c r="R9" s="612" t="s">
        <v>1674</v>
      </c>
      <c r="S9" s="612" t="s">
        <v>1674</v>
      </c>
      <c r="T9" s="789">
        <v>19</v>
      </c>
      <c r="U9" s="612" t="s">
        <v>4900</v>
      </c>
      <c r="V9" s="611">
        <v>557</v>
      </c>
      <c r="W9" s="614"/>
      <c r="Y9" s="612" t="s">
        <v>1674</v>
      </c>
      <c r="AA9" s="612" t="s">
        <v>1674</v>
      </c>
      <c r="AB9">
        <v>3</v>
      </c>
      <c r="AE9" s="790"/>
      <c r="AF9" s="612" t="s">
        <v>1674</v>
      </c>
      <c r="AG9" s="612" t="s">
        <v>1674</v>
      </c>
      <c r="AH9" s="612" t="s">
        <v>1674</v>
      </c>
      <c r="AI9" s="612" t="s">
        <v>1674</v>
      </c>
      <c r="AJ9" s="612" t="s">
        <v>1674</v>
      </c>
      <c r="AK9" s="612" t="s">
        <v>1674</v>
      </c>
      <c r="AL9" s="612" t="s">
        <v>1674</v>
      </c>
      <c r="AM9" s="612" t="s">
        <v>1674</v>
      </c>
      <c r="AN9" s="612" t="s">
        <v>1674</v>
      </c>
      <c r="AP9">
        <f t="shared" si="0"/>
        <v>-8</v>
      </c>
      <c r="AQ9" s="552">
        <f t="shared" si="1"/>
        <v>42.32</v>
      </c>
    </row>
    <row r="10" spans="1:50" outlineLevel="1" x14ac:dyDescent="0.25">
      <c r="A10" s="612" t="s">
        <v>1674</v>
      </c>
      <c r="B10" s="786">
        <v>0</v>
      </c>
      <c r="C10" s="612" t="s">
        <v>1674</v>
      </c>
      <c r="D10" s="612" t="s">
        <v>4921</v>
      </c>
      <c r="E10" t="s">
        <v>4922</v>
      </c>
      <c r="F10" t="s">
        <v>4923</v>
      </c>
      <c r="G10" s="787"/>
      <c r="H10" s="787">
        <v>1874.25</v>
      </c>
      <c r="I10" s="787">
        <v>1874.25</v>
      </c>
      <c r="J10" t="s">
        <v>2584</v>
      </c>
      <c r="K10" s="611">
        <v>4951</v>
      </c>
      <c r="L10" t="s">
        <v>806</v>
      </c>
      <c r="M10" s="614"/>
      <c r="N10" s="788">
        <v>6</v>
      </c>
      <c r="O10" s="612" t="s">
        <v>1674</v>
      </c>
      <c r="P10" s="612" t="s">
        <v>1674</v>
      </c>
      <c r="Q10" s="612" t="s">
        <v>4299</v>
      </c>
      <c r="R10" s="612" t="s">
        <v>1674</v>
      </c>
      <c r="S10" s="612" t="s">
        <v>1674</v>
      </c>
      <c r="T10" s="789">
        <v>19</v>
      </c>
      <c r="U10" s="612" t="s">
        <v>4900</v>
      </c>
      <c r="V10" s="611">
        <v>449</v>
      </c>
      <c r="W10" s="614"/>
      <c r="Y10" s="612" t="s">
        <v>1674</v>
      </c>
      <c r="AA10" s="612" t="s">
        <v>1674</v>
      </c>
      <c r="AB10">
        <v>3</v>
      </c>
      <c r="AE10" s="790"/>
      <c r="AF10" s="612" t="s">
        <v>1674</v>
      </c>
      <c r="AG10" s="612" t="s">
        <v>1674</v>
      </c>
      <c r="AH10" s="612" t="s">
        <v>1674</v>
      </c>
      <c r="AI10" s="612" t="s">
        <v>1674</v>
      </c>
      <c r="AJ10" s="612" t="s">
        <v>1674</v>
      </c>
      <c r="AK10" s="612" t="s">
        <v>1674</v>
      </c>
      <c r="AL10" s="612" t="s">
        <v>1674</v>
      </c>
      <c r="AM10" s="612" t="s">
        <v>1674</v>
      </c>
      <c r="AN10" s="612" t="s">
        <v>1674</v>
      </c>
      <c r="AP10">
        <f t="shared" si="0"/>
        <v>-6</v>
      </c>
      <c r="AQ10" s="552">
        <f t="shared" si="1"/>
        <v>1874.25</v>
      </c>
    </row>
    <row r="11" spans="1:50" outlineLevel="1" x14ac:dyDescent="0.25">
      <c r="A11" s="612" t="s">
        <v>1674</v>
      </c>
      <c r="B11" s="786">
        <v>70200</v>
      </c>
      <c r="C11" s="612" t="s">
        <v>2774</v>
      </c>
      <c r="D11" s="612" t="s">
        <v>4924</v>
      </c>
      <c r="E11" t="s">
        <v>4915</v>
      </c>
      <c r="F11" t="s">
        <v>4916</v>
      </c>
      <c r="G11" s="787"/>
      <c r="H11" s="787">
        <v>2099.16</v>
      </c>
      <c r="I11" s="787">
        <v>2099.16</v>
      </c>
      <c r="J11" t="s">
        <v>2584</v>
      </c>
      <c r="K11" s="611">
        <v>3401</v>
      </c>
      <c r="L11" t="s">
        <v>806</v>
      </c>
      <c r="M11" s="614"/>
      <c r="N11" s="788">
        <v>18</v>
      </c>
      <c r="O11" s="612" t="s">
        <v>1674</v>
      </c>
      <c r="P11" s="612" t="s">
        <v>1674</v>
      </c>
      <c r="Q11" s="612" t="s">
        <v>4390</v>
      </c>
      <c r="R11" s="612" t="s">
        <v>1674</v>
      </c>
      <c r="S11" s="612" t="s">
        <v>1674</v>
      </c>
      <c r="T11" s="789">
        <v>19</v>
      </c>
      <c r="U11" s="612" t="s">
        <v>4900</v>
      </c>
      <c r="V11" s="611">
        <v>1263</v>
      </c>
      <c r="W11" s="614"/>
      <c r="Y11" s="612" t="s">
        <v>1674</v>
      </c>
      <c r="AA11" s="612" t="s">
        <v>1674</v>
      </c>
      <c r="AB11">
        <v>3</v>
      </c>
      <c r="AE11" s="790"/>
      <c r="AF11" s="612" t="s">
        <v>1674</v>
      </c>
      <c r="AG11" s="612" t="s">
        <v>1674</v>
      </c>
      <c r="AH11" s="612" t="s">
        <v>1674</v>
      </c>
      <c r="AI11" s="612" t="s">
        <v>1674</v>
      </c>
      <c r="AJ11" s="612" t="s">
        <v>1674</v>
      </c>
      <c r="AK11" s="612" t="s">
        <v>1674</v>
      </c>
      <c r="AL11" s="612" t="s">
        <v>1674</v>
      </c>
      <c r="AM11" s="612" t="s">
        <v>2774</v>
      </c>
      <c r="AN11" s="612" t="s">
        <v>1674</v>
      </c>
      <c r="AP11">
        <f t="shared" si="0"/>
        <v>-18</v>
      </c>
      <c r="AQ11" s="552">
        <f t="shared" si="1"/>
        <v>2099.16</v>
      </c>
    </row>
    <row r="12" spans="1:50" outlineLevel="1" x14ac:dyDescent="0.25">
      <c r="A12" s="612" t="s">
        <v>1674</v>
      </c>
      <c r="B12" s="786">
        <v>0</v>
      </c>
      <c r="C12" s="612" t="s">
        <v>1674</v>
      </c>
      <c r="D12" s="612" t="s">
        <v>4925</v>
      </c>
      <c r="E12" t="s">
        <v>4926</v>
      </c>
      <c r="F12" t="s">
        <v>4927</v>
      </c>
      <c r="G12" s="787"/>
      <c r="H12" s="787">
        <v>11579.5</v>
      </c>
      <c r="I12" s="787">
        <v>11579.5</v>
      </c>
      <c r="J12" t="s">
        <v>2584</v>
      </c>
      <c r="K12" s="611">
        <v>400</v>
      </c>
      <c r="L12" t="s">
        <v>806</v>
      </c>
      <c r="M12" s="614"/>
      <c r="N12" s="788">
        <v>43</v>
      </c>
      <c r="O12" s="612" t="s">
        <v>1674</v>
      </c>
      <c r="P12" s="612" t="s">
        <v>1674</v>
      </c>
      <c r="Q12" s="612" t="s">
        <v>4928</v>
      </c>
      <c r="R12" s="612" t="s">
        <v>1674</v>
      </c>
      <c r="S12" s="612" t="s">
        <v>1674</v>
      </c>
      <c r="T12" s="789">
        <v>19</v>
      </c>
      <c r="U12" s="612" t="s">
        <v>4929</v>
      </c>
      <c r="V12" s="611">
        <v>34</v>
      </c>
      <c r="W12" s="614" t="s">
        <v>2563</v>
      </c>
      <c r="Y12" s="612" t="s">
        <v>1674</v>
      </c>
      <c r="AA12" s="612" t="s">
        <v>1674</v>
      </c>
      <c r="AB12">
        <v>3</v>
      </c>
      <c r="AE12" s="790"/>
      <c r="AF12" s="612" t="s">
        <v>1674</v>
      </c>
      <c r="AG12" s="612" t="s">
        <v>1674</v>
      </c>
      <c r="AH12" s="612" t="s">
        <v>1674</v>
      </c>
      <c r="AI12" s="612" t="s">
        <v>1674</v>
      </c>
      <c r="AJ12" s="612" t="s">
        <v>1674</v>
      </c>
      <c r="AK12" s="612" t="s">
        <v>1674</v>
      </c>
      <c r="AL12" s="612" t="s">
        <v>1674</v>
      </c>
      <c r="AM12" s="612" t="s">
        <v>1674</v>
      </c>
      <c r="AN12" s="612" t="s">
        <v>1674</v>
      </c>
      <c r="AP12">
        <f t="shared" si="0"/>
        <v>-43</v>
      </c>
      <c r="AQ12" s="552">
        <f t="shared" si="1"/>
        <v>11579.5</v>
      </c>
    </row>
    <row r="13" spans="1:50" outlineLevel="1" x14ac:dyDescent="0.25">
      <c r="A13" s="612" t="s">
        <v>1674</v>
      </c>
      <c r="B13" s="786">
        <v>70210</v>
      </c>
      <c r="C13" s="612" t="s">
        <v>4096</v>
      </c>
      <c r="D13" s="612" t="s">
        <v>4930</v>
      </c>
      <c r="E13" t="s">
        <v>4931</v>
      </c>
      <c r="F13" t="s">
        <v>4932</v>
      </c>
      <c r="G13" s="787"/>
      <c r="H13" s="787">
        <v>1812.94</v>
      </c>
      <c r="I13" s="787">
        <v>1812.94</v>
      </c>
      <c r="J13" t="s">
        <v>2584</v>
      </c>
      <c r="K13" s="611">
        <v>3106</v>
      </c>
      <c r="L13" t="s">
        <v>806</v>
      </c>
      <c r="M13" s="614"/>
      <c r="N13" s="788">
        <v>21</v>
      </c>
      <c r="O13" s="612" t="s">
        <v>1674</v>
      </c>
      <c r="P13" s="612" t="s">
        <v>1674</v>
      </c>
      <c r="Q13" s="612" t="s">
        <v>4096</v>
      </c>
      <c r="R13" s="612" t="s">
        <v>1674</v>
      </c>
      <c r="S13" s="612" t="s">
        <v>1674</v>
      </c>
      <c r="T13" s="789">
        <v>19</v>
      </c>
      <c r="U13" s="612" t="s">
        <v>4900</v>
      </c>
      <c r="V13" s="611">
        <v>1406</v>
      </c>
      <c r="W13" s="614"/>
      <c r="Y13" s="612" t="s">
        <v>1674</v>
      </c>
      <c r="AA13" s="612" t="s">
        <v>1674</v>
      </c>
      <c r="AB13">
        <v>3</v>
      </c>
      <c r="AE13" s="790"/>
      <c r="AF13" s="612" t="s">
        <v>1674</v>
      </c>
      <c r="AG13" s="612" t="s">
        <v>1674</v>
      </c>
      <c r="AH13" s="612" t="s">
        <v>1674</v>
      </c>
      <c r="AI13" s="612" t="s">
        <v>1674</v>
      </c>
      <c r="AJ13" s="612" t="s">
        <v>1674</v>
      </c>
      <c r="AK13" s="612" t="s">
        <v>1674</v>
      </c>
      <c r="AL13" s="612" t="s">
        <v>1674</v>
      </c>
      <c r="AM13" s="612" t="s">
        <v>4096</v>
      </c>
      <c r="AN13" s="612" t="s">
        <v>1674</v>
      </c>
      <c r="AP13">
        <f t="shared" si="0"/>
        <v>-21</v>
      </c>
      <c r="AQ13" s="552">
        <f t="shared" si="1"/>
        <v>1812.94</v>
      </c>
    </row>
    <row r="14" spans="1:50" outlineLevel="1" x14ac:dyDescent="0.25">
      <c r="A14" s="612" t="s">
        <v>1674</v>
      </c>
      <c r="B14" s="786">
        <v>70400</v>
      </c>
      <c r="C14" s="612" t="s">
        <v>2730</v>
      </c>
      <c r="D14" s="612" t="s">
        <v>4933</v>
      </c>
      <c r="E14" t="s">
        <v>4934</v>
      </c>
      <c r="F14" t="s">
        <v>4935</v>
      </c>
      <c r="G14" s="787"/>
      <c r="H14" s="787">
        <v>565.85</v>
      </c>
      <c r="I14" s="787">
        <v>565.85</v>
      </c>
      <c r="J14" t="s">
        <v>2584</v>
      </c>
      <c r="K14" s="611">
        <v>3101</v>
      </c>
      <c r="L14" t="s">
        <v>806</v>
      </c>
      <c r="M14" s="614"/>
      <c r="N14" s="788">
        <v>22</v>
      </c>
      <c r="O14" s="612" t="s">
        <v>1674</v>
      </c>
      <c r="P14" s="612" t="s">
        <v>1674</v>
      </c>
      <c r="Q14" s="612" t="s">
        <v>4174</v>
      </c>
      <c r="R14" s="612" t="s">
        <v>1674</v>
      </c>
      <c r="S14" s="612" t="s">
        <v>1674</v>
      </c>
      <c r="T14" s="789">
        <v>19</v>
      </c>
      <c r="U14" s="612" t="s">
        <v>4900</v>
      </c>
      <c r="V14" s="611">
        <v>1572</v>
      </c>
      <c r="W14" s="614"/>
      <c r="Y14" s="612" t="s">
        <v>1674</v>
      </c>
      <c r="AA14" s="612" t="s">
        <v>1674</v>
      </c>
      <c r="AB14">
        <v>3</v>
      </c>
      <c r="AE14" s="790"/>
      <c r="AF14" s="612" t="s">
        <v>1674</v>
      </c>
      <c r="AG14" s="612" t="s">
        <v>1674</v>
      </c>
      <c r="AH14" s="612" t="s">
        <v>1674</v>
      </c>
      <c r="AI14" s="612" t="s">
        <v>1674</v>
      </c>
      <c r="AJ14" s="612" t="s">
        <v>1674</v>
      </c>
      <c r="AK14" s="612" t="s">
        <v>1674</v>
      </c>
      <c r="AL14" s="612" t="s">
        <v>1674</v>
      </c>
      <c r="AM14" s="612" t="s">
        <v>2730</v>
      </c>
      <c r="AN14" s="612" t="s">
        <v>1674</v>
      </c>
      <c r="AP14">
        <f t="shared" si="0"/>
        <v>-22</v>
      </c>
      <c r="AQ14" s="552">
        <f t="shared" si="1"/>
        <v>565.85</v>
      </c>
    </row>
    <row r="15" spans="1:50" outlineLevel="1" x14ac:dyDescent="0.25">
      <c r="A15" s="612" t="s">
        <v>1674</v>
      </c>
      <c r="B15" s="786">
        <v>0</v>
      </c>
      <c r="C15" s="612" t="s">
        <v>1674</v>
      </c>
      <c r="D15" s="612" t="s">
        <v>4936</v>
      </c>
      <c r="E15" t="s">
        <v>4937</v>
      </c>
      <c r="F15" t="s">
        <v>4938</v>
      </c>
      <c r="G15" s="787"/>
      <c r="H15" s="787">
        <v>562.87</v>
      </c>
      <c r="I15" s="787">
        <v>562.87</v>
      </c>
      <c r="J15" t="s">
        <v>2584</v>
      </c>
      <c r="K15" s="611">
        <v>3102</v>
      </c>
      <c r="L15" t="s">
        <v>806</v>
      </c>
      <c r="M15" s="614"/>
      <c r="N15" s="788">
        <v>28</v>
      </c>
      <c r="O15" s="612" t="s">
        <v>1674</v>
      </c>
      <c r="P15" s="612" t="s">
        <v>1674</v>
      </c>
      <c r="Q15" s="612" t="s">
        <v>4174</v>
      </c>
      <c r="R15" s="612" t="s">
        <v>1674</v>
      </c>
      <c r="S15" s="612" t="s">
        <v>1674</v>
      </c>
      <c r="T15" s="789">
        <v>19</v>
      </c>
      <c r="U15" s="612" t="s">
        <v>4900</v>
      </c>
      <c r="V15" s="611">
        <v>1603</v>
      </c>
      <c r="W15" s="614"/>
      <c r="Y15" s="612" t="s">
        <v>1674</v>
      </c>
      <c r="AA15" s="612" t="s">
        <v>1674</v>
      </c>
      <c r="AB15">
        <v>3</v>
      </c>
      <c r="AE15" s="790"/>
      <c r="AF15" s="612" t="s">
        <v>1674</v>
      </c>
      <c r="AG15" s="612" t="s">
        <v>1674</v>
      </c>
      <c r="AH15" s="612" t="s">
        <v>1674</v>
      </c>
      <c r="AI15" s="612" t="s">
        <v>1674</v>
      </c>
      <c r="AJ15" s="612" t="s">
        <v>1674</v>
      </c>
      <c r="AK15" s="612" t="s">
        <v>1674</v>
      </c>
      <c r="AL15" s="612" t="s">
        <v>1674</v>
      </c>
      <c r="AM15" s="612" t="s">
        <v>1674</v>
      </c>
      <c r="AN15" s="612" t="s">
        <v>1674</v>
      </c>
      <c r="AP15">
        <f t="shared" si="0"/>
        <v>-28</v>
      </c>
      <c r="AQ15" s="552">
        <f t="shared" si="1"/>
        <v>562.87</v>
      </c>
    </row>
    <row r="16" spans="1:50" outlineLevel="1" x14ac:dyDescent="0.25">
      <c r="A16" s="612" t="s">
        <v>1674</v>
      </c>
      <c r="B16" s="786">
        <v>0</v>
      </c>
      <c r="C16" s="612" t="s">
        <v>1674</v>
      </c>
      <c r="D16" s="612" t="s">
        <v>4939</v>
      </c>
      <c r="E16" t="s">
        <v>4918</v>
      </c>
      <c r="F16" t="s">
        <v>4919</v>
      </c>
      <c r="G16" s="787"/>
      <c r="H16" s="787">
        <v>4091.22</v>
      </c>
      <c r="I16" s="787">
        <v>4091.22</v>
      </c>
      <c r="J16" t="s">
        <v>2584</v>
      </c>
      <c r="K16" s="611">
        <v>4800</v>
      </c>
      <c r="L16" t="s">
        <v>806</v>
      </c>
      <c r="M16" s="614"/>
      <c r="N16" s="788">
        <v>8</v>
      </c>
      <c r="O16" s="612" t="s">
        <v>1674</v>
      </c>
      <c r="P16" s="612" t="s">
        <v>1674</v>
      </c>
      <c r="Q16" s="612" t="s">
        <v>4940</v>
      </c>
      <c r="R16" s="612" t="s">
        <v>1674</v>
      </c>
      <c r="S16" s="612" t="s">
        <v>1674</v>
      </c>
      <c r="T16" s="789">
        <v>19</v>
      </c>
      <c r="U16" s="612" t="s">
        <v>4900</v>
      </c>
      <c r="V16" s="611">
        <v>562</v>
      </c>
      <c r="W16" s="614"/>
      <c r="Y16" s="612" t="s">
        <v>1674</v>
      </c>
      <c r="AA16" s="612" t="s">
        <v>1674</v>
      </c>
      <c r="AB16">
        <v>3</v>
      </c>
      <c r="AE16" s="790"/>
      <c r="AF16" s="612" t="s">
        <v>1674</v>
      </c>
      <c r="AG16" s="612" t="s">
        <v>1674</v>
      </c>
      <c r="AH16" s="612" t="s">
        <v>1674</v>
      </c>
      <c r="AI16" s="612" t="s">
        <v>1674</v>
      </c>
      <c r="AJ16" s="612" t="s">
        <v>1674</v>
      </c>
      <c r="AK16" s="612" t="s">
        <v>1674</v>
      </c>
      <c r="AL16" s="612" t="s">
        <v>1674</v>
      </c>
      <c r="AM16" s="612" t="s">
        <v>1674</v>
      </c>
      <c r="AN16" s="612" t="s">
        <v>1674</v>
      </c>
      <c r="AP16">
        <f t="shared" si="0"/>
        <v>-8</v>
      </c>
      <c r="AQ16" s="552">
        <f t="shared" si="1"/>
        <v>4091.22</v>
      </c>
    </row>
    <row r="17" spans="1:43" outlineLevel="1" x14ac:dyDescent="0.25">
      <c r="A17" s="612" t="s">
        <v>1674</v>
      </c>
      <c r="B17" s="786">
        <v>0</v>
      </c>
      <c r="C17" s="612" t="s">
        <v>1674</v>
      </c>
      <c r="D17" s="612" t="s">
        <v>4941</v>
      </c>
      <c r="E17" t="s">
        <v>4937</v>
      </c>
      <c r="F17" t="s">
        <v>4938</v>
      </c>
      <c r="G17" s="787"/>
      <c r="H17" s="787">
        <v>913.92</v>
      </c>
      <c r="I17" s="787">
        <v>913.92</v>
      </c>
      <c r="J17" t="s">
        <v>2584</v>
      </c>
      <c r="K17" s="611">
        <v>3401</v>
      </c>
      <c r="L17" t="s">
        <v>806</v>
      </c>
      <c r="M17" s="614"/>
      <c r="N17" s="788">
        <v>28</v>
      </c>
      <c r="O17" s="612" t="s">
        <v>1674</v>
      </c>
      <c r="P17" s="612" t="s">
        <v>1674</v>
      </c>
      <c r="Q17" s="612" t="s">
        <v>4194</v>
      </c>
      <c r="R17" s="612" t="s">
        <v>1674</v>
      </c>
      <c r="S17" s="612" t="s">
        <v>1674</v>
      </c>
      <c r="T17" s="789">
        <v>19</v>
      </c>
      <c r="U17" s="612" t="s">
        <v>4900</v>
      </c>
      <c r="V17" s="611">
        <v>1602</v>
      </c>
      <c r="W17" s="614"/>
      <c r="Y17" s="612" t="s">
        <v>1674</v>
      </c>
      <c r="AA17" s="612" t="s">
        <v>1674</v>
      </c>
      <c r="AB17">
        <v>3</v>
      </c>
      <c r="AE17" s="790"/>
      <c r="AF17" s="612" t="s">
        <v>1674</v>
      </c>
      <c r="AG17" s="612" t="s">
        <v>1674</v>
      </c>
      <c r="AH17" s="612" t="s">
        <v>1674</v>
      </c>
      <c r="AI17" s="612" t="s">
        <v>1674</v>
      </c>
      <c r="AJ17" s="612" t="s">
        <v>1674</v>
      </c>
      <c r="AK17" s="612" t="s">
        <v>1674</v>
      </c>
      <c r="AL17" s="612" t="s">
        <v>1674</v>
      </c>
      <c r="AM17" s="612" t="s">
        <v>1674</v>
      </c>
      <c r="AN17" s="612" t="s">
        <v>1674</v>
      </c>
      <c r="AP17">
        <f t="shared" si="0"/>
        <v>-28</v>
      </c>
      <c r="AQ17" s="552">
        <f t="shared" si="1"/>
        <v>913.92</v>
      </c>
    </row>
    <row r="18" spans="1:43" outlineLevel="1" x14ac:dyDescent="0.25">
      <c r="A18" s="612" t="s">
        <v>1674</v>
      </c>
      <c r="B18" s="786">
        <v>0</v>
      </c>
      <c r="C18" s="612" t="s">
        <v>1674</v>
      </c>
      <c r="D18" s="612" t="s">
        <v>4942</v>
      </c>
      <c r="E18" t="s">
        <v>4943</v>
      </c>
      <c r="F18" t="s">
        <v>4944</v>
      </c>
      <c r="G18" s="787"/>
      <c r="H18" s="787">
        <v>6878.2</v>
      </c>
      <c r="I18" s="787">
        <v>6878.2</v>
      </c>
      <c r="J18" t="s">
        <v>2584</v>
      </c>
      <c r="K18" s="611" t="s">
        <v>4945</v>
      </c>
      <c r="L18" t="s">
        <v>2552</v>
      </c>
      <c r="M18" s="614"/>
      <c r="N18" s="788">
        <v>30</v>
      </c>
      <c r="O18" s="612" t="s">
        <v>1674</v>
      </c>
      <c r="P18" s="612" t="s">
        <v>1674</v>
      </c>
      <c r="Q18" s="612" t="s">
        <v>4194</v>
      </c>
      <c r="R18" s="612" t="s">
        <v>1674</v>
      </c>
      <c r="S18" s="612" t="s">
        <v>1674</v>
      </c>
      <c r="T18" s="789">
        <v>19</v>
      </c>
      <c r="U18" s="612" t="s">
        <v>4900</v>
      </c>
      <c r="V18" s="611">
        <v>1753</v>
      </c>
      <c r="W18" s="614"/>
      <c r="Y18" s="612" t="s">
        <v>1674</v>
      </c>
      <c r="AA18" s="612" t="s">
        <v>1674</v>
      </c>
      <c r="AB18">
        <v>3</v>
      </c>
      <c r="AE18" s="790"/>
      <c r="AF18" s="612" t="s">
        <v>1674</v>
      </c>
      <c r="AG18" s="612" t="s">
        <v>1674</v>
      </c>
      <c r="AH18" s="612" t="s">
        <v>1674</v>
      </c>
      <c r="AI18" s="612" t="s">
        <v>1674</v>
      </c>
      <c r="AJ18" s="612" t="s">
        <v>1674</v>
      </c>
      <c r="AK18" s="612" t="s">
        <v>1674</v>
      </c>
      <c r="AL18" s="612" t="s">
        <v>1674</v>
      </c>
      <c r="AM18" s="612" t="s">
        <v>1674</v>
      </c>
      <c r="AN18" s="612" t="s">
        <v>1674</v>
      </c>
      <c r="AP18">
        <f t="shared" si="0"/>
        <v>-30</v>
      </c>
      <c r="AQ18" s="552">
        <f t="shared" si="1"/>
        <v>6878.2</v>
      </c>
    </row>
    <row r="19" spans="1:43" outlineLevel="1" x14ac:dyDescent="0.25">
      <c r="A19" s="612" t="s">
        <v>1674</v>
      </c>
      <c r="B19" s="786">
        <v>0</v>
      </c>
      <c r="C19" s="612" t="s">
        <v>1674</v>
      </c>
      <c r="D19" s="612" t="s">
        <v>4946</v>
      </c>
      <c r="E19" t="s">
        <v>4943</v>
      </c>
      <c r="F19" t="s">
        <v>4944</v>
      </c>
      <c r="G19" s="787"/>
      <c r="H19" s="787">
        <v>417.23</v>
      </c>
      <c r="I19" s="787">
        <v>417.23</v>
      </c>
      <c r="J19" t="s">
        <v>2584</v>
      </c>
      <c r="K19" s="611">
        <v>4920</v>
      </c>
      <c r="L19" t="s">
        <v>806</v>
      </c>
      <c r="M19" s="614"/>
      <c r="N19" s="788">
        <v>30</v>
      </c>
      <c r="O19" s="612" t="s">
        <v>1674</v>
      </c>
      <c r="P19" s="612" t="s">
        <v>1674</v>
      </c>
      <c r="Q19" s="612" t="s">
        <v>4213</v>
      </c>
      <c r="R19" s="612" t="s">
        <v>1674</v>
      </c>
      <c r="S19" s="612" t="s">
        <v>1674</v>
      </c>
      <c r="T19" s="789">
        <v>19</v>
      </c>
      <c r="U19" s="612" t="s">
        <v>4900</v>
      </c>
      <c r="V19" s="611">
        <v>1756</v>
      </c>
      <c r="W19" s="614"/>
      <c r="Y19" s="612" t="s">
        <v>1674</v>
      </c>
      <c r="AA19" s="612" t="s">
        <v>1674</v>
      </c>
      <c r="AB19">
        <v>3</v>
      </c>
      <c r="AE19" s="790"/>
      <c r="AF19" s="612" t="s">
        <v>1674</v>
      </c>
      <c r="AG19" s="612" t="s">
        <v>1674</v>
      </c>
      <c r="AH19" s="612" t="s">
        <v>1674</v>
      </c>
      <c r="AI19" s="612" t="s">
        <v>1674</v>
      </c>
      <c r="AJ19" s="612" t="s">
        <v>1674</v>
      </c>
      <c r="AK19" s="612" t="s">
        <v>1674</v>
      </c>
      <c r="AL19" s="612" t="s">
        <v>1674</v>
      </c>
      <c r="AM19" s="612" t="s">
        <v>1674</v>
      </c>
      <c r="AN19" s="612" t="s">
        <v>1674</v>
      </c>
      <c r="AP19">
        <f t="shared" si="0"/>
        <v>-30</v>
      </c>
      <c r="AQ19" s="552">
        <f t="shared" si="1"/>
        <v>417.23</v>
      </c>
    </row>
    <row r="20" spans="1:43" outlineLevel="1" x14ac:dyDescent="0.25">
      <c r="A20" s="612" t="s">
        <v>1674</v>
      </c>
      <c r="B20" s="786">
        <v>0</v>
      </c>
      <c r="C20" s="612" t="s">
        <v>1674</v>
      </c>
      <c r="D20" s="612" t="s">
        <v>4947</v>
      </c>
      <c r="E20" t="s">
        <v>4897</v>
      </c>
      <c r="F20" t="s">
        <v>4898</v>
      </c>
      <c r="G20" s="787"/>
      <c r="H20" s="787">
        <v>190</v>
      </c>
      <c r="I20" s="787">
        <v>190</v>
      </c>
      <c r="J20" t="s">
        <v>2584</v>
      </c>
      <c r="K20" s="611">
        <v>4910</v>
      </c>
      <c r="L20" t="s">
        <v>806</v>
      </c>
      <c r="M20" s="614"/>
      <c r="N20" s="788">
        <v>15</v>
      </c>
      <c r="O20" s="612" t="s">
        <v>1674</v>
      </c>
      <c r="P20" s="612" t="s">
        <v>1674</v>
      </c>
      <c r="Q20" s="612" t="s">
        <v>4948</v>
      </c>
      <c r="R20" s="612" t="s">
        <v>1674</v>
      </c>
      <c r="S20" s="612" t="s">
        <v>1674</v>
      </c>
      <c r="T20" s="789"/>
      <c r="U20" s="612" t="s">
        <v>4900</v>
      </c>
      <c r="V20" s="611">
        <v>989</v>
      </c>
      <c r="W20" s="614"/>
      <c r="Y20" s="612" t="s">
        <v>1674</v>
      </c>
      <c r="AA20" s="612" t="s">
        <v>1674</v>
      </c>
      <c r="AB20">
        <v>3</v>
      </c>
      <c r="AE20" s="790"/>
      <c r="AF20" s="612" t="s">
        <v>1674</v>
      </c>
      <c r="AG20" s="612" t="s">
        <v>1674</v>
      </c>
      <c r="AH20" s="612" t="s">
        <v>1674</v>
      </c>
      <c r="AI20" s="612" t="s">
        <v>1674</v>
      </c>
      <c r="AJ20" s="612" t="s">
        <v>1674</v>
      </c>
      <c r="AK20" s="612" t="s">
        <v>1674</v>
      </c>
      <c r="AL20" s="612" t="s">
        <v>1674</v>
      </c>
      <c r="AM20" s="612" t="s">
        <v>1674</v>
      </c>
      <c r="AN20" s="612" t="s">
        <v>1674</v>
      </c>
      <c r="AP20">
        <f t="shared" si="0"/>
        <v>-15</v>
      </c>
      <c r="AQ20" s="552">
        <f t="shared" si="1"/>
        <v>190</v>
      </c>
    </row>
    <row r="21" spans="1:43" outlineLevel="1" x14ac:dyDescent="0.25">
      <c r="A21" s="612" t="s">
        <v>1674</v>
      </c>
      <c r="B21" s="786">
        <v>70500</v>
      </c>
      <c r="C21" s="612" t="s">
        <v>2918</v>
      </c>
      <c r="D21" s="612" t="s">
        <v>4949</v>
      </c>
      <c r="E21" t="s">
        <v>4943</v>
      </c>
      <c r="F21" t="s">
        <v>4944</v>
      </c>
      <c r="G21" s="787"/>
      <c r="H21" s="787">
        <v>110.44</v>
      </c>
      <c r="I21" s="787">
        <v>110.44</v>
      </c>
      <c r="J21" t="s">
        <v>2584</v>
      </c>
      <c r="K21" s="611">
        <v>4980</v>
      </c>
      <c r="L21" t="s">
        <v>806</v>
      </c>
      <c r="M21" s="614"/>
      <c r="N21" s="788">
        <v>30</v>
      </c>
      <c r="O21" s="612" t="s">
        <v>1674</v>
      </c>
      <c r="P21" s="612" t="s">
        <v>1674</v>
      </c>
      <c r="Q21" s="612" t="s">
        <v>4224</v>
      </c>
      <c r="R21" s="612" t="s">
        <v>1674</v>
      </c>
      <c r="S21" s="612" t="s">
        <v>1674</v>
      </c>
      <c r="T21" s="789">
        <v>19</v>
      </c>
      <c r="U21" s="612" t="s">
        <v>4900</v>
      </c>
      <c r="V21" s="611">
        <v>1755</v>
      </c>
      <c r="W21" s="614"/>
      <c r="Y21" s="612" t="s">
        <v>1674</v>
      </c>
      <c r="AA21" s="612" t="s">
        <v>1674</v>
      </c>
      <c r="AB21">
        <v>3</v>
      </c>
      <c r="AE21" s="790"/>
      <c r="AF21" s="612" t="s">
        <v>1674</v>
      </c>
      <c r="AG21" s="612" t="s">
        <v>1674</v>
      </c>
      <c r="AH21" s="612" t="s">
        <v>1674</v>
      </c>
      <c r="AI21" s="612" t="s">
        <v>1674</v>
      </c>
      <c r="AJ21" s="612" t="s">
        <v>1674</v>
      </c>
      <c r="AK21" s="612" t="s">
        <v>1674</v>
      </c>
      <c r="AL21" s="612" t="s">
        <v>1674</v>
      </c>
      <c r="AM21" s="612" t="s">
        <v>2918</v>
      </c>
      <c r="AN21" s="612" t="s">
        <v>1674</v>
      </c>
      <c r="AP21">
        <f t="shared" si="0"/>
        <v>-30</v>
      </c>
      <c r="AQ21" s="552">
        <f t="shared" si="1"/>
        <v>110.44</v>
      </c>
    </row>
    <row r="22" spans="1:43" outlineLevel="1" x14ac:dyDescent="0.25">
      <c r="A22" s="612" t="s">
        <v>1674</v>
      </c>
      <c r="B22" s="786">
        <v>0</v>
      </c>
      <c r="C22" s="612" t="s">
        <v>1674</v>
      </c>
      <c r="D22" s="612" t="s">
        <v>4950</v>
      </c>
      <c r="E22" t="s">
        <v>4943</v>
      </c>
      <c r="F22" t="s">
        <v>4944</v>
      </c>
      <c r="G22" s="787"/>
      <c r="H22" s="787">
        <v>464.17</v>
      </c>
      <c r="I22" s="787">
        <v>464.17</v>
      </c>
      <c r="J22" t="s">
        <v>2584</v>
      </c>
      <c r="K22" s="611">
        <v>4400</v>
      </c>
      <c r="L22" t="s">
        <v>806</v>
      </c>
      <c r="M22" s="614"/>
      <c r="N22" s="788">
        <v>30</v>
      </c>
      <c r="O22" s="612" t="s">
        <v>1674</v>
      </c>
      <c r="P22" s="612" t="s">
        <v>1674</v>
      </c>
      <c r="Q22" s="612" t="s">
        <v>4215</v>
      </c>
      <c r="R22" s="612" t="s">
        <v>1674</v>
      </c>
      <c r="S22" s="612" t="s">
        <v>1674</v>
      </c>
      <c r="T22" s="789">
        <v>7</v>
      </c>
      <c r="U22" s="612" t="s">
        <v>4900</v>
      </c>
      <c r="V22" s="611">
        <v>1757</v>
      </c>
      <c r="W22" s="614"/>
      <c r="Y22" s="612" t="s">
        <v>1674</v>
      </c>
      <c r="AA22" s="612" t="s">
        <v>1674</v>
      </c>
      <c r="AB22">
        <v>3</v>
      </c>
      <c r="AE22" s="790"/>
      <c r="AF22" s="612" t="s">
        <v>1674</v>
      </c>
      <c r="AG22" s="612" t="s">
        <v>1674</v>
      </c>
      <c r="AH22" s="612" t="s">
        <v>1674</v>
      </c>
      <c r="AI22" s="612" t="s">
        <v>1674</v>
      </c>
      <c r="AJ22" s="612" t="s">
        <v>1674</v>
      </c>
      <c r="AK22" s="612" t="s">
        <v>1674</v>
      </c>
      <c r="AL22" s="612" t="s">
        <v>1674</v>
      </c>
      <c r="AM22" s="612" t="s">
        <v>1674</v>
      </c>
      <c r="AN22" s="612" t="s">
        <v>1674</v>
      </c>
      <c r="AP22">
        <f t="shared" si="0"/>
        <v>-30</v>
      </c>
      <c r="AQ22" s="552">
        <f t="shared" si="1"/>
        <v>464.17</v>
      </c>
    </row>
    <row r="23" spans="1:43" outlineLevel="1" x14ac:dyDescent="0.25">
      <c r="A23" s="612" t="s">
        <v>1674</v>
      </c>
      <c r="B23" s="786">
        <v>70600</v>
      </c>
      <c r="C23" s="612" t="s">
        <v>2946</v>
      </c>
      <c r="D23" s="612" t="s">
        <v>4951</v>
      </c>
      <c r="E23" t="s">
        <v>4934</v>
      </c>
      <c r="F23" t="s">
        <v>4935</v>
      </c>
      <c r="G23" s="787"/>
      <c r="H23" s="787">
        <v>120.65</v>
      </c>
      <c r="I23" s="787">
        <v>120.65</v>
      </c>
      <c r="J23" t="s">
        <v>2584</v>
      </c>
      <c r="K23" s="611">
        <v>4800</v>
      </c>
      <c r="L23" t="s">
        <v>806</v>
      </c>
      <c r="M23" s="614"/>
      <c r="N23" s="788">
        <v>22</v>
      </c>
      <c r="O23" s="612" t="s">
        <v>1674</v>
      </c>
      <c r="P23" s="612" t="s">
        <v>1674</v>
      </c>
      <c r="Q23" s="612" t="s">
        <v>4952</v>
      </c>
      <c r="R23" s="612" t="s">
        <v>1674</v>
      </c>
      <c r="S23" s="612" t="s">
        <v>1674</v>
      </c>
      <c r="T23" s="789">
        <v>19</v>
      </c>
      <c r="U23" s="612" t="s">
        <v>4900</v>
      </c>
      <c r="V23" s="611">
        <v>1571</v>
      </c>
      <c r="W23" s="614"/>
      <c r="Y23" s="612" t="s">
        <v>1674</v>
      </c>
      <c r="AA23" s="612" t="s">
        <v>1674</v>
      </c>
      <c r="AB23">
        <v>3</v>
      </c>
      <c r="AE23" s="790"/>
      <c r="AF23" s="612" t="s">
        <v>1674</v>
      </c>
      <c r="AG23" s="612" t="s">
        <v>1674</v>
      </c>
      <c r="AH23" s="612" t="s">
        <v>1674</v>
      </c>
      <c r="AI23" s="612" t="s">
        <v>1674</v>
      </c>
      <c r="AJ23" s="612" t="s">
        <v>1674</v>
      </c>
      <c r="AK23" s="612" t="s">
        <v>1674</v>
      </c>
      <c r="AL23" s="612" t="s">
        <v>1674</v>
      </c>
      <c r="AM23" s="612" t="s">
        <v>2946</v>
      </c>
      <c r="AN23" s="612" t="s">
        <v>1674</v>
      </c>
      <c r="AP23">
        <f t="shared" si="0"/>
        <v>-22</v>
      </c>
      <c r="AQ23" s="552">
        <f t="shared" si="1"/>
        <v>120.65</v>
      </c>
    </row>
    <row r="24" spans="1:43" outlineLevel="1" x14ac:dyDescent="0.25">
      <c r="A24" s="612" t="s">
        <v>1674</v>
      </c>
      <c r="B24" s="786">
        <v>0</v>
      </c>
      <c r="C24" s="612" t="s">
        <v>1674</v>
      </c>
      <c r="D24" s="612" t="s">
        <v>4953</v>
      </c>
      <c r="E24" t="s">
        <v>4918</v>
      </c>
      <c r="F24" t="s">
        <v>4919</v>
      </c>
      <c r="G24" s="787"/>
      <c r="H24" s="787">
        <v>755.04</v>
      </c>
      <c r="I24" s="787">
        <v>755.04</v>
      </c>
      <c r="J24" t="s">
        <v>2584</v>
      </c>
      <c r="K24" s="611" t="s">
        <v>4945</v>
      </c>
      <c r="L24" t="s">
        <v>2552</v>
      </c>
      <c r="M24" s="614"/>
      <c r="N24" s="788">
        <v>8</v>
      </c>
      <c r="O24" s="612" t="s">
        <v>1674</v>
      </c>
      <c r="P24" s="612" t="s">
        <v>1674</v>
      </c>
      <c r="Q24" s="612" t="s">
        <v>4954</v>
      </c>
      <c r="R24" s="612" t="s">
        <v>1674</v>
      </c>
      <c r="S24" s="612" t="s">
        <v>1674</v>
      </c>
      <c r="T24" s="789" t="s">
        <v>4945</v>
      </c>
      <c r="U24" s="612" t="s">
        <v>4900</v>
      </c>
      <c r="V24" s="611">
        <v>563</v>
      </c>
      <c r="W24" s="614"/>
      <c r="Y24" s="612" t="s">
        <v>1674</v>
      </c>
      <c r="AA24" s="612" t="s">
        <v>1674</v>
      </c>
      <c r="AB24">
        <v>3</v>
      </c>
      <c r="AE24" s="790"/>
      <c r="AF24" s="612" t="s">
        <v>1674</v>
      </c>
      <c r="AG24" s="612" t="s">
        <v>1674</v>
      </c>
      <c r="AH24" s="612" t="s">
        <v>1674</v>
      </c>
      <c r="AI24" s="612" t="s">
        <v>1674</v>
      </c>
      <c r="AJ24" s="612" t="s">
        <v>1674</v>
      </c>
      <c r="AK24" s="612" t="s">
        <v>1674</v>
      </c>
      <c r="AL24" s="612" t="s">
        <v>1674</v>
      </c>
      <c r="AM24" s="612" t="s">
        <v>1674</v>
      </c>
      <c r="AN24" s="612" t="s">
        <v>1674</v>
      </c>
      <c r="AP24">
        <f t="shared" si="0"/>
        <v>-8</v>
      </c>
      <c r="AQ24" s="552">
        <f t="shared" si="1"/>
        <v>755.04</v>
      </c>
    </row>
    <row r="25" spans="1:43" outlineLevel="1" x14ac:dyDescent="0.25">
      <c r="A25" s="612" t="s">
        <v>1674</v>
      </c>
      <c r="B25" s="786">
        <v>0</v>
      </c>
      <c r="C25" s="612" t="s">
        <v>1674</v>
      </c>
      <c r="D25" s="612" t="s">
        <v>4955</v>
      </c>
      <c r="E25" t="s">
        <v>4915</v>
      </c>
      <c r="F25" t="s">
        <v>4916</v>
      </c>
      <c r="G25" s="787"/>
      <c r="H25" s="787">
        <v>222.13</v>
      </c>
      <c r="I25" s="787">
        <v>222.13</v>
      </c>
      <c r="J25" t="s">
        <v>2584</v>
      </c>
      <c r="K25" s="611">
        <v>4640</v>
      </c>
      <c r="L25" t="s">
        <v>806</v>
      </c>
      <c r="M25" s="614"/>
      <c r="N25" s="788">
        <v>18</v>
      </c>
      <c r="O25" s="612" t="s">
        <v>1674</v>
      </c>
      <c r="P25" s="612" t="s">
        <v>1674</v>
      </c>
      <c r="Q25" s="612" t="s">
        <v>4217</v>
      </c>
      <c r="R25" s="612" t="s">
        <v>1674</v>
      </c>
      <c r="S25" s="612" t="s">
        <v>1674</v>
      </c>
      <c r="T25" s="789">
        <v>7</v>
      </c>
      <c r="U25" s="612" t="s">
        <v>4900</v>
      </c>
      <c r="V25" s="611">
        <v>1313</v>
      </c>
      <c r="W25" s="614"/>
      <c r="Y25" s="612" t="s">
        <v>1674</v>
      </c>
      <c r="AA25" s="612" t="s">
        <v>1674</v>
      </c>
      <c r="AB25">
        <v>3</v>
      </c>
      <c r="AE25" s="790"/>
      <c r="AF25" s="612" t="s">
        <v>1674</v>
      </c>
      <c r="AG25" s="612" t="s">
        <v>1674</v>
      </c>
      <c r="AH25" s="612" t="s">
        <v>1674</v>
      </c>
      <c r="AI25" s="612" t="s">
        <v>1674</v>
      </c>
      <c r="AJ25" s="612" t="s">
        <v>1674</v>
      </c>
      <c r="AK25" s="612" t="s">
        <v>1674</v>
      </c>
      <c r="AL25" s="612" t="s">
        <v>1674</v>
      </c>
      <c r="AM25" s="612" t="s">
        <v>1674</v>
      </c>
      <c r="AN25" s="612" t="s">
        <v>1674</v>
      </c>
      <c r="AP25">
        <f t="shared" si="0"/>
        <v>-18</v>
      </c>
      <c r="AQ25" s="552">
        <f t="shared" si="1"/>
        <v>222.13</v>
      </c>
    </row>
    <row r="26" spans="1:43" outlineLevel="1" x14ac:dyDescent="0.25">
      <c r="A26" s="612" t="s">
        <v>1674</v>
      </c>
      <c r="B26" s="786">
        <v>0</v>
      </c>
      <c r="C26" s="612" t="s">
        <v>1674</v>
      </c>
      <c r="D26" s="612" t="s">
        <v>4956</v>
      </c>
      <c r="E26" t="s">
        <v>4931</v>
      </c>
      <c r="F26" t="s">
        <v>4932</v>
      </c>
      <c r="G26" s="787"/>
      <c r="H26" s="787">
        <v>249.25</v>
      </c>
      <c r="I26" s="787">
        <v>249.25</v>
      </c>
      <c r="J26" t="s">
        <v>2584</v>
      </c>
      <c r="K26" s="611">
        <v>4600</v>
      </c>
      <c r="L26" t="s">
        <v>806</v>
      </c>
      <c r="M26" s="614"/>
      <c r="N26" s="788">
        <v>21</v>
      </c>
      <c r="O26" s="612" t="s">
        <v>1674</v>
      </c>
      <c r="P26" s="612" t="s">
        <v>1674</v>
      </c>
      <c r="Q26" s="612" t="s">
        <v>4219</v>
      </c>
      <c r="R26" s="612" t="s">
        <v>1674</v>
      </c>
      <c r="S26" s="612" t="s">
        <v>1674</v>
      </c>
      <c r="T26" s="789">
        <v>19</v>
      </c>
      <c r="U26" s="612" t="s">
        <v>4900</v>
      </c>
      <c r="V26" s="611">
        <v>1409</v>
      </c>
      <c r="W26" s="614"/>
      <c r="Y26" s="612" t="s">
        <v>1674</v>
      </c>
      <c r="AA26" s="612" t="s">
        <v>1674</v>
      </c>
      <c r="AB26">
        <v>3</v>
      </c>
      <c r="AE26" s="790"/>
      <c r="AF26" s="612" t="s">
        <v>1674</v>
      </c>
      <c r="AG26" s="612" t="s">
        <v>1674</v>
      </c>
      <c r="AH26" s="612" t="s">
        <v>1674</v>
      </c>
      <c r="AI26" s="612" t="s">
        <v>1674</v>
      </c>
      <c r="AJ26" s="612" t="s">
        <v>1674</v>
      </c>
      <c r="AK26" s="612" t="s">
        <v>1674</v>
      </c>
      <c r="AL26" s="612" t="s">
        <v>1674</v>
      </c>
      <c r="AM26" s="612" t="s">
        <v>1674</v>
      </c>
      <c r="AN26" s="612" t="s">
        <v>1674</v>
      </c>
      <c r="AP26">
        <f t="shared" si="0"/>
        <v>-21</v>
      </c>
      <c r="AQ26" s="552">
        <f t="shared" si="1"/>
        <v>249.25</v>
      </c>
    </row>
    <row r="27" spans="1:43" outlineLevel="1" x14ac:dyDescent="0.25">
      <c r="A27" s="612" t="s">
        <v>1674</v>
      </c>
      <c r="B27" s="786">
        <v>70800</v>
      </c>
      <c r="C27" s="612" t="s">
        <v>2967</v>
      </c>
      <c r="D27" s="612" t="s">
        <v>4957</v>
      </c>
      <c r="E27" t="s">
        <v>4958</v>
      </c>
      <c r="F27" t="s">
        <v>4959</v>
      </c>
      <c r="G27" s="787"/>
      <c r="H27" s="787">
        <v>5982.78</v>
      </c>
      <c r="I27" s="787">
        <v>5982.78</v>
      </c>
      <c r="J27" t="s">
        <v>2584</v>
      </c>
      <c r="K27" s="611" t="s">
        <v>4945</v>
      </c>
      <c r="L27" t="s">
        <v>2552</v>
      </c>
      <c r="M27" s="614"/>
      <c r="N27" s="788">
        <v>9</v>
      </c>
      <c r="O27" s="612" t="s">
        <v>1674</v>
      </c>
      <c r="P27" s="612" t="s">
        <v>1674</v>
      </c>
      <c r="Q27" s="612" t="s">
        <v>4960</v>
      </c>
      <c r="R27" s="612" t="s">
        <v>1674</v>
      </c>
      <c r="S27" s="612" t="s">
        <v>1674</v>
      </c>
      <c r="T27" s="789">
        <v>19</v>
      </c>
      <c r="U27" s="612" t="s">
        <v>4900</v>
      </c>
      <c r="V27" s="611">
        <v>627</v>
      </c>
      <c r="W27" s="614"/>
      <c r="Y27" s="612" t="s">
        <v>1674</v>
      </c>
      <c r="AA27" s="612" t="s">
        <v>1674</v>
      </c>
      <c r="AB27">
        <v>3</v>
      </c>
      <c r="AE27" s="790"/>
      <c r="AF27" s="612" t="s">
        <v>1674</v>
      </c>
      <c r="AG27" s="612" t="s">
        <v>1674</v>
      </c>
      <c r="AH27" s="612" t="s">
        <v>1674</v>
      </c>
      <c r="AI27" s="612" t="s">
        <v>1674</v>
      </c>
      <c r="AJ27" s="612" t="s">
        <v>1674</v>
      </c>
      <c r="AK27" s="612" t="s">
        <v>1674</v>
      </c>
      <c r="AL27" s="612" t="s">
        <v>1674</v>
      </c>
      <c r="AM27" s="612" t="s">
        <v>2967</v>
      </c>
      <c r="AN27" s="612" t="s">
        <v>1674</v>
      </c>
      <c r="AP27">
        <f t="shared" si="0"/>
        <v>-9</v>
      </c>
      <c r="AQ27" s="552">
        <f t="shared" si="1"/>
        <v>5982.78</v>
      </c>
    </row>
    <row r="28" spans="1:43" outlineLevel="1" x14ac:dyDescent="0.25">
      <c r="A28" s="612" t="s">
        <v>1674</v>
      </c>
      <c r="B28" s="786">
        <v>0</v>
      </c>
      <c r="C28" s="612" t="s">
        <v>1674</v>
      </c>
      <c r="D28" s="612" t="s">
        <v>4961</v>
      </c>
      <c r="E28" t="s">
        <v>4962</v>
      </c>
      <c r="G28" s="787">
        <v>973.85</v>
      </c>
      <c r="H28" s="787"/>
      <c r="I28" s="787">
        <v>973.85</v>
      </c>
      <c r="J28" t="s">
        <v>2701</v>
      </c>
      <c r="K28" s="611">
        <v>4240</v>
      </c>
      <c r="L28" t="s">
        <v>806</v>
      </c>
      <c r="M28" s="614"/>
      <c r="N28" s="788"/>
      <c r="O28" s="612" t="s">
        <v>1674</v>
      </c>
      <c r="P28" s="612" t="s">
        <v>1674</v>
      </c>
      <c r="Q28" s="612" t="s">
        <v>4196</v>
      </c>
      <c r="R28" s="612" t="s">
        <v>1674</v>
      </c>
      <c r="S28" s="612" t="s">
        <v>1674</v>
      </c>
      <c r="T28" s="789">
        <v>19</v>
      </c>
      <c r="U28" s="612" t="s">
        <v>4900</v>
      </c>
      <c r="V28" s="611">
        <v>1751</v>
      </c>
      <c r="W28" s="614"/>
      <c r="Y28" s="612" t="s">
        <v>1674</v>
      </c>
      <c r="AA28" s="612" t="s">
        <v>1674</v>
      </c>
      <c r="AE28" s="790"/>
      <c r="AF28" s="612" t="s">
        <v>1674</v>
      </c>
      <c r="AG28" s="612" t="s">
        <v>1674</v>
      </c>
      <c r="AH28" s="612" t="s">
        <v>1674</v>
      </c>
      <c r="AI28" s="612" t="s">
        <v>1674</v>
      </c>
      <c r="AJ28" s="612" t="s">
        <v>1674</v>
      </c>
      <c r="AK28" s="612" t="s">
        <v>1674</v>
      </c>
      <c r="AL28" s="612" t="s">
        <v>1674</v>
      </c>
      <c r="AM28" s="612" t="s">
        <v>1674</v>
      </c>
      <c r="AN28" s="612" t="s">
        <v>1674</v>
      </c>
      <c r="AP28">
        <f t="shared" si="0"/>
        <v>0</v>
      </c>
      <c r="AQ28" s="552"/>
    </row>
    <row r="29" spans="1:43" outlineLevel="1" x14ac:dyDescent="0.25">
      <c r="A29" s="612" t="s">
        <v>1674</v>
      </c>
      <c r="B29" s="786">
        <v>0</v>
      </c>
      <c r="C29" s="612" t="s">
        <v>1674</v>
      </c>
      <c r="D29" s="612" t="s">
        <v>4963</v>
      </c>
      <c r="E29" t="s">
        <v>4962</v>
      </c>
      <c r="G29" s="787">
        <v>2359.4699999999998</v>
      </c>
      <c r="H29" s="787"/>
      <c r="I29" s="787">
        <v>2359.4699999999998</v>
      </c>
      <c r="J29" t="s">
        <v>2701</v>
      </c>
      <c r="K29" s="611">
        <v>4228</v>
      </c>
      <c r="L29" t="s">
        <v>806</v>
      </c>
      <c r="M29" s="614"/>
      <c r="N29" s="788"/>
      <c r="O29" s="612" t="s">
        <v>1674</v>
      </c>
      <c r="P29" s="612" t="s">
        <v>1674</v>
      </c>
      <c r="Q29" s="612" t="s">
        <v>4196</v>
      </c>
      <c r="R29" s="612" t="s">
        <v>1674</v>
      </c>
      <c r="S29" s="612" t="s">
        <v>1674</v>
      </c>
      <c r="T29" s="789">
        <v>19</v>
      </c>
      <c r="U29" s="612" t="s">
        <v>4900</v>
      </c>
      <c r="V29" s="611">
        <v>1752</v>
      </c>
      <c r="W29" s="614"/>
      <c r="Y29" s="612" t="s">
        <v>1674</v>
      </c>
      <c r="AA29" s="612" t="s">
        <v>1674</v>
      </c>
      <c r="AE29" s="790"/>
      <c r="AF29" s="612" t="s">
        <v>1674</v>
      </c>
      <c r="AG29" s="612" t="s">
        <v>1674</v>
      </c>
      <c r="AH29" s="612" t="s">
        <v>1674</v>
      </c>
      <c r="AI29" s="612" t="s">
        <v>1674</v>
      </c>
      <c r="AJ29" s="612" t="s">
        <v>1674</v>
      </c>
      <c r="AK29" s="612" t="s">
        <v>1674</v>
      </c>
      <c r="AL29" s="612" t="s">
        <v>1674</v>
      </c>
      <c r="AM29" s="612" t="s">
        <v>1674</v>
      </c>
      <c r="AN29" s="612" t="s">
        <v>1674</v>
      </c>
      <c r="AP29">
        <f t="shared" si="0"/>
        <v>0</v>
      </c>
      <c r="AQ29" s="552"/>
    </row>
    <row r="30" spans="1:43" outlineLevel="1" x14ac:dyDescent="0.25">
      <c r="A30" s="612" t="s">
        <v>1674</v>
      </c>
      <c r="B30" s="786">
        <v>0</v>
      </c>
      <c r="C30" s="612" t="s">
        <v>1674</v>
      </c>
      <c r="D30" s="612" t="s">
        <v>4964</v>
      </c>
      <c r="E30" t="s">
        <v>4962</v>
      </c>
      <c r="F30" t="s">
        <v>4965</v>
      </c>
      <c r="G30" s="787"/>
      <c r="H30" s="787">
        <v>310.58999999999997</v>
      </c>
      <c r="I30" s="787">
        <v>310.58999999999997</v>
      </c>
      <c r="J30" t="s">
        <v>2584</v>
      </c>
      <c r="K30" s="611">
        <v>4950</v>
      </c>
      <c r="L30" t="s">
        <v>806</v>
      </c>
      <c r="M30" s="614"/>
      <c r="N30" s="788">
        <v>29</v>
      </c>
      <c r="O30" s="612" t="s">
        <v>1674</v>
      </c>
      <c r="P30" s="612" t="s">
        <v>1674</v>
      </c>
      <c r="Q30" s="612" t="s">
        <v>4966</v>
      </c>
      <c r="R30" s="612" t="s">
        <v>1674</v>
      </c>
      <c r="S30" s="612" t="s">
        <v>1674</v>
      </c>
      <c r="T30" s="789">
        <v>19</v>
      </c>
      <c r="U30" s="612" t="s">
        <v>4900</v>
      </c>
      <c r="V30" s="611">
        <v>1750</v>
      </c>
      <c r="W30" s="614"/>
      <c r="Y30" s="612" t="s">
        <v>1674</v>
      </c>
      <c r="AA30" s="612" t="s">
        <v>1674</v>
      </c>
      <c r="AB30">
        <v>3</v>
      </c>
      <c r="AE30" s="790"/>
      <c r="AF30" s="612" t="s">
        <v>1674</v>
      </c>
      <c r="AG30" s="612" t="s">
        <v>1674</v>
      </c>
      <c r="AH30" s="612" t="s">
        <v>1674</v>
      </c>
      <c r="AI30" s="612" t="s">
        <v>1674</v>
      </c>
      <c r="AJ30" s="612" t="s">
        <v>1674</v>
      </c>
      <c r="AK30" s="612" t="s">
        <v>1674</v>
      </c>
      <c r="AL30" s="612" t="s">
        <v>1674</v>
      </c>
      <c r="AM30" s="612" t="s">
        <v>1674</v>
      </c>
      <c r="AN30" s="612" t="s">
        <v>1674</v>
      </c>
      <c r="AP30">
        <f t="shared" si="0"/>
        <v>-29</v>
      </c>
      <c r="AQ30" s="552">
        <f t="shared" si="1"/>
        <v>310.58999999999997</v>
      </c>
    </row>
    <row r="31" spans="1:43" outlineLevel="1" x14ac:dyDescent="0.25">
      <c r="A31" s="612" t="s">
        <v>1674</v>
      </c>
      <c r="B31" s="786">
        <v>70900</v>
      </c>
      <c r="C31" s="612" t="s">
        <v>3129</v>
      </c>
      <c r="D31" s="612" t="s">
        <v>4967</v>
      </c>
      <c r="E31" t="s">
        <v>4968</v>
      </c>
      <c r="F31" t="s">
        <v>4969</v>
      </c>
      <c r="G31" s="787"/>
      <c r="H31" s="787">
        <v>1785</v>
      </c>
      <c r="I31" s="787">
        <v>1785</v>
      </c>
      <c r="J31" t="s">
        <v>2584</v>
      </c>
      <c r="K31" s="611">
        <v>4800</v>
      </c>
      <c r="L31" t="s">
        <v>806</v>
      </c>
      <c r="M31" s="614"/>
      <c r="N31" s="788">
        <v>1</v>
      </c>
      <c r="O31" s="612" t="s">
        <v>1674</v>
      </c>
      <c r="P31" s="612" t="s">
        <v>1674</v>
      </c>
      <c r="Q31" s="612" t="s">
        <v>4057</v>
      </c>
      <c r="R31" s="612" t="s">
        <v>1674</v>
      </c>
      <c r="S31" s="612" t="s">
        <v>1674</v>
      </c>
      <c r="T31" s="789">
        <v>19</v>
      </c>
      <c r="U31" s="612" t="s">
        <v>4900</v>
      </c>
      <c r="V31" s="611">
        <v>152</v>
      </c>
      <c r="W31" s="614"/>
      <c r="Y31" s="612" t="s">
        <v>1674</v>
      </c>
      <c r="AA31" s="612" t="s">
        <v>1674</v>
      </c>
      <c r="AB31">
        <v>3</v>
      </c>
      <c r="AE31" s="790"/>
      <c r="AF31" s="612" t="s">
        <v>1674</v>
      </c>
      <c r="AG31" s="612" t="s">
        <v>1674</v>
      </c>
      <c r="AH31" s="612" t="s">
        <v>1674</v>
      </c>
      <c r="AI31" s="612" t="s">
        <v>1674</v>
      </c>
      <c r="AJ31" s="612" t="s">
        <v>1674</v>
      </c>
      <c r="AK31" s="612" t="s">
        <v>1674</v>
      </c>
      <c r="AL31" s="612" t="s">
        <v>1674</v>
      </c>
      <c r="AM31" s="612" t="s">
        <v>3129</v>
      </c>
      <c r="AN31" s="612" t="s">
        <v>1674</v>
      </c>
      <c r="AP31">
        <f t="shared" si="0"/>
        <v>-1</v>
      </c>
      <c r="AQ31" s="552">
        <f t="shared" si="1"/>
        <v>1785</v>
      </c>
    </row>
    <row r="32" spans="1:43" outlineLevel="1" x14ac:dyDescent="0.25">
      <c r="A32" s="612" t="s">
        <v>1674</v>
      </c>
      <c r="B32" s="786">
        <v>0</v>
      </c>
      <c r="C32" s="612" t="s">
        <v>1674</v>
      </c>
      <c r="D32" s="612" t="s">
        <v>4970</v>
      </c>
      <c r="E32" t="s">
        <v>4915</v>
      </c>
      <c r="F32" t="s">
        <v>4916</v>
      </c>
      <c r="G32" s="787"/>
      <c r="H32" s="787">
        <v>340</v>
      </c>
      <c r="I32" s="787">
        <v>340</v>
      </c>
      <c r="J32" t="s">
        <v>2584</v>
      </c>
      <c r="K32" s="611">
        <v>4945</v>
      </c>
      <c r="L32" t="s">
        <v>806</v>
      </c>
      <c r="M32" s="614"/>
      <c r="N32" s="788">
        <v>18</v>
      </c>
      <c r="O32" s="612" t="s">
        <v>1674</v>
      </c>
      <c r="P32" s="612" t="s">
        <v>1674</v>
      </c>
      <c r="Q32" s="612" t="s">
        <v>4971</v>
      </c>
      <c r="R32" s="612" t="s">
        <v>1674</v>
      </c>
      <c r="S32" s="612" t="s">
        <v>1674</v>
      </c>
      <c r="T32" s="789"/>
      <c r="U32" s="612" t="s">
        <v>4900</v>
      </c>
      <c r="V32" s="611">
        <v>1320</v>
      </c>
      <c r="W32" s="614"/>
      <c r="Y32" s="612" t="s">
        <v>1674</v>
      </c>
      <c r="AA32" s="612" t="s">
        <v>1674</v>
      </c>
      <c r="AB32">
        <v>3</v>
      </c>
      <c r="AE32" s="790"/>
      <c r="AF32" s="612" t="s">
        <v>1674</v>
      </c>
      <c r="AG32" s="612" t="s">
        <v>1674</v>
      </c>
      <c r="AH32" s="612" t="s">
        <v>1674</v>
      </c>
      <c r="AI32" s="612" t="s">
        <v>1674</v>
      </c>
      <c r="AJ32" s="612" t="s">
        <v>1674</v>
      </c>
      <c r="AK32" s="612" t="s">
        <v>1674</v>
      </c>
      <c r="AL32" s="612" t="s">
        <v>1674</v>
      </c>
      <c r="AM32" s="612" t="s">
        <v>1674</v>
      </c>
      <c r="AN32" s="612" t="s">
        <v>1674</v>
      </c>
      <c r="AP32">
        <f t="shared" si="0"/>
        <v>-18</v>
      </c>
      <c r="AQ32" s="552">
        <f t="shared" si="1"/>
        <v>340</v>
      </c>
    </row>
    <row r="33" spans="1:43" outlineLevel="1" x14ac:dyDescent="0.25">
      <c r="A33" s="612" t="s">
        <v>1674</v>
      </c>
      <c r="B33" s="786">
        <v>71000</v>
      </c>
      <c r="C33" s="612" t="s">
        <v>2900</v>
      </c>
      <c r="D33" s="612" t="s">
        <v>4972</v>
      </c>
      <c r="E33" t="s">
        <v>4911</v>
      </c>
      <c r="F33" t="s">
        <v>4912</v>
      </c>
      <c r="G33" s="787"/>
      <c r="H33" s="787">
        <v>33915</v>
      </c>
      <c r="I33" s="787">
        <v>33915</v>
      </c>
      <c r="J33" t="s">
        <v>2584</v>
      </c>
      <c r="K33" s="611">
        <v>4951</v>
      </c>
      <c r="L33" t="s">
        <v>806</v>
      </c>
      <c r="M33" s="614"/>
      <c r="N33" s="788">
        <v>17</v>
      </c>
      <c r="O33" s="612" t="s">
        <v>1674</v>
      </c>
      <c r="P33" s="612" t="s">
        <v>1674</v>
      </c>
      <c r="Q33" s="612" t="s">
        <v>4973</v>
      </c>
      <c r="R33" s="612" t="s">
        <v>1674</v>
      </c>
      <c r="S33" s="612" t="s">
        <v>1674</v>
      </c>
      <c r="T33" s="789">
        <v>19</v>
      </c>
      <c r="U33" s="612" t="s">
        <v>4900</v>
      </c>
      <c r="V33" s="611">
        <v>1199</v>
      </c>
      <c r="W33" s="614"/>
      <c r="Y33" s="612" t="s">
        <v>1674</v>
      </c>
      <c r="AA33" s="612" t="s">
        <v>1674</v>
      </c>
      <c r="AB33">
        <v>3</v>
      </c>
      <c r="AE33" s="790"/>
      <c r="AF33" s="612" t="s">
        <v>1674</v>
      </c>
      <c r="AG33" s="612" t="s">
        <v>1674</v>
      </c>
      <c r="AH33" s="612" t="s">
        <v>1674</v>
      </c>
      <c r="AI33" s="612" t="s">
        <v>1674</v>
      </c>
      <c r="AJ33" s="612" t="s">
        <v>1674</v>
      </c>
      <c r="AK33" s="612" t="s">
        <v>1674</v>
      </c>
      <c r="AL33" s="612" t="s">
        <v>1674</v>
      </c>
      <c r="AM33" s="612" t="s">
        <v>2900</v>
      </c>
      <c r="AN33" s="612" t="s">
        <v>1674</v>
      </c>
      <c r="AP33">
        <f t="shared" si="0"/>
        <v>-17</v>
      </c>
      <c r="AQ33" s="552">
        <f t="shared" si="1"/>
        <v>33915</v>
      </c>
    </row>
    <row r="34" spans="1:43" outlineLevel="1" x14ac:dyDescent="0.25">
      <c r="A34" s="612" t="s">
        <v>1674</v>
      </c>
      <c r="B34" s="786">
        <v>71300</v>
      </c>
      <c r="C34" s="612" t="s">
        <v>3550</v>
      </c>
      <c r="D34" s="612" t="s">
        <v>4974</v>
      </c>
      <c r="E34" t="s">
        <v>4975</v>
      </c>
      <c r="F34" t="s">
        <v>4976</v>
      </c>
      <c r="G34" s="787"/>
      <c r="H34" s="787">
        <v>1501.59</v>
      </c>
      <c r="I34" s="787">
        <v>1501.59</v>
      </c>
      <c r="J34" t="s">
        <v>2584</v>
      </c>
      <c r="K34" s="611">
        <v>4980</v>
      </c>
      <c r="L34" t="s">
        <v>806</v>
      </c>
      <c r="M34" s="614"/>
      <c r="N34" s="788">
        <v>25</v>
      </c>
      <c r="O34" s="612" t="s">
        <v>1674</v>
      </c>
      <c r="P34" s="612" t="s">
        <v>1674</v>
      </c>
      <c r="Q34" s="612" t="s">
        <v>4977</v>
      </c>
      <c r="R34" s="612" t="s">
        <v>1674</v>
      </c>
      <c r="S34" s="612" t="s">
        <v>1674</v>
      </c>
      <c r="T34" s="789">
        <v>19</v>
      </c>
      <c r="U34" s="612" t="s">
        <v>4900</v>
      </c>
      <c r="V34" s="611">
        <v>1591</v>
      </c>
      <c r="W34" s="614"/>
      <c r="Y34" s="612" t="s">
        <v>1674</v>
      </c>
      <c r="AA34" s="612" t="s">
        <v>1674</v>
      </c>
      <c r="AB34">
        <v>3</v>
      </c>
      <c r="AE34" s="790"/>
      <c r="AF34" s="612" t="s">
        <v>1674</v>
      </c>
      <c r="AG34" s="612" t="s">
        <v>1674</v>
      </c>
      <c r="AH34" s="612" t="s">
        <v>1674</v>
      </c>
      <c r="AI34" s="612" t="s">
        <v>1674</v>
      </c>
      <c r="AJ34" s="612" t="s">
        <v>1674</v>
      </c>
      <c r="AK34" s="612" t="s">
        <v>1674</v>
      </c>
      <c r="AL34" s="612" t="s">
        <v>1674</v>
      </c>
      <c r="AM34" s="612" t="s">
        <v>3550</v>
      </c>
      <c r="AN34" s="612" t="s">
        <v>1674</v>
      </c>
      <c r="AP34">
        <f t="shared" si="0"/>
        <v>-25</v>
      </c>
      <c r="AQ34" s="552">
        <f t="shared" si="1"/>
        <v>1501.59</v>
      </c>
    </row>
    <row r="35" spans="1:43" outlineLevel="1" x14ac:dyDescent="0.25">
      <c r="A35" s="612" t="s">
        <v>1674</v>
      </c>
      <c r="B35" s="786">
        <v>71304</v>
      </c>
      <c r="C35" s="612" t="s">
        <v>4366</v>
      </c>
      <c r="D35" s="612" t="s">
        <v>4978</v>
      </c>
      <c r="E35" t="s">
        <v>4979</v>
      </c>
      <c r="G35" s="787">
        <v>281.10000000000002</v>
      </c>
      <c r="H35" s="787"/>
      <c r="I35" s="787">
        <v>281.10000000000002</v>
      </c>
      <c r="J35" t="s">
        <v>2701</v>
      </c>
      <c r="K35" s="611">
        <v>3400</v>
      </c>
      <c r="L35" t="s">
        <v>806</v>
      </c>
      <c r="M35" s="614"/>
      <c r="N35" s="788"/>
      <c r="O35" s="612" t="s">
        <v>1674</v>
      </c>
      <c r="P35" s="612" t="s">
        <v>1674</v>
      </c>
      <c r="Q35" s="612" t="s">
        <v>4368</v>
      </c>
      <c r="R35" s="612" t="s">
        <v>1674</v>
      </c>
      <c r="S35" s="612" t="s">
        <v>1674</v>
      </c>
      <c r="T35" s="789">
        <v>19</v>
      </c>
      <c r="U35" s="612" t="s">
        <v>4900</v>
      </c>
      <c r="V35" s="611">
        <v>880</v>
      </c>
      <c r="W35" s="614"/>
      <c r="Y35" s="612" t="s">
        <v>1674</v>
      </c>
      <c r="AA35" s="612" t="s">
        <v>1674</v>
      </c>
      <c r="AE35" s="790"/>
      <c r="AF35" s="612" t="s">
        <v>1674</v>
      </c>
      <c r="AG35" s="612" t="s">
        <v>1674</v>
      </c>
      <c r="AH35" s="612" t="s">
        <v>1674</v>
      </c>
      <c r="AI35" s="612" t="s">
        <v>1674</v>
      </c>
      <c r="AJ35" s="612" t="s">
        <v>1674</v>
      </c>
      <c r="AK35" s="612" t="s">
        <v>1674</v>
      </c>
      <c r="AL35" s="612" t="s">
        <v>1674</v>
      </c>
      <c r="AM35" s="612" t="s">
        <v>4366</v>
      </c>
      <c r="AN35" s="612" t="s">
        <v>1674</v>
      </c>
      <c r="AP35">
        <f t="shared" si="0"/>
        <v>0</v>
      </c>
      <c r="AQ35" s="552">
        <f t="shared" si="1"/>
        <v>-281.10000000000002</v>
      </c>
    </row>
    <row r="36" spans="1:43" outlineLevel="1" x14ac:dyDescent="0.25">
      <c r="A36" s="612" t="s">
        <v>1674</v>
      </c>
      <c r="B36" s="786">
        <v>71501</v>
      </c>
      <c r="C36" s="612" t="s">
        <v>4067</v>
      </c>
      <c r="D36" s="612" t="s">
        <v>4980</v>
      </c>
      <c r="E36" t="s">
        <v>4905</v>
      </c>
      <c r="F36" t="s">
        <v>4906</v>
      </c>
      <c r="G36" s="787"/>
      <c r="H36" s="787">
        <v>89.86</v>
      </c>
      <c r="I36" s="787">
        <v>89.86</v>
      </c>
      <c r="J36" t="s">
        <v>2584</v>
      </c>
      <c r="K36" s="611" t="s">
        <v>4945</v>
      </c>
      <c r="L36" t="s">
        <v>2552</v>
      </c>
      <c r="M36" s="614"/>
      <c r="N36" s="788">
        <v>3</v>
      </c>
      <c r="O36" s="612" t="s">
        <v>1674</v>
      </c>
      <c r="P36" s="612" t="s">
        <v>1674</v>
      </c>
      <c r="Q36" s="612" t="s">
        <v>4067</v>
      </c>
      <c r="R36" s="612" t="s">
        <v>1674</v>
      </c>
      <c r="S36" s="612" t="s">
        <v>1674</v>
      </c>
      <c r="T36" s="789">
        <v>19</v>
      </c>
      <c r="U36" s="612" t="s">
        <v>4900</v>
      </c>
      <c r="V36" s="611">
        <v>276</v>
      </c>
      <c r="W36" s="614"/>
      <c r="Y36" s="612" t="s">
        <v>1674</v>
      </c>
      <c r="AA36" s="612" t="s">
        <v>1674</v>
      </c>
      <c r="AB36">
        <v>3</v>
      </c>
      <c r="AE36" s="790"/>
      <c r="AF36" s="612" t="s">
        <v>1674</v>
      </c>
      <c r="AG36" s="612" t="s">
        <v>1674</v>
      </c>
      <c r="AH36" s="612" t="s">
        <v>1674</v>
      </c>
      <c r="AI36" s="612" t="s">
        <v>1674</v>
      </c>
      <c r="AJ36" s="612" t="s">
        <v>1674</v>
      </c>
      <c r="AK36" s="612" t="s">
        <v>1674</v>
      </c>
      <c r="AL36" s="612" t="s">
        <v>1674</v>
      </c>
      <c r="AM36" s="612" t="s">
        <v>4067</v>
      </c>
      <c r="AN36" s="612" t="s">
        <v>1674</v>
      </c>
      <c r="AP36">
        <f t="shared" si="0"/>
        <v>-3</v>
      </c>
      <c r="AQ36" s="552">
        <f t="shared" si="1"/>
        <v>89.86</v>
      </c>
    </row>
    <row r="37" spans="1:43" outlineLevel="1" x14ac:dyDescent="0.25">
      <c r="A37" s="612" t="s">
        <v>1674</v>
      </c>
      <c r="B37" s="786">
        <v>71700</v>
      </c>
      <c r="C37" s="612" t="s">
        <v>4981</v>
      </c>
      <c r="D37" s="612" t="s">
        <v>4982</v>
      </c>
      <c r="E37" t="s">
        <v>4962</v>
      </c>
      <c r="F37" t="s">
        <v>4965</v>
      </c>
      <c r="G37" s="787"/>
      <c r="H37" s="787">
        <v>1606.5</v>
      </c>
      <c r="I37" s="787">
        <v>1606.5</v>
      </c>
      <c r="J37" t="s">
        <v>2584</v>
      </c>
      <c r="K37" s="611">
        <v>4950</v>
      </c>
      <c r="L37" t="s">
        <v>806</v>
      </c>
      <c r="M37" s="614"/>
      <c r="N37" s="788">
        <v>29</v>
      </c>
      <c r="O37" s="612" t="s">
        <v>1674</v>
      </c>
      <c r="P37" s="612" t="s">
        <v>1674</v>
      </c>
      <c r="Q37" s="612" t="s">
        <v>4983</v>
      </c>
      <c r="R37" s="612" t="s">
        <v>1674</v>
      </c>
      <c r="S37" s="612" t="s">
        <v>1674</v>
      </c>
      <c r="T37" s="789">
        <v>19</v>
      </c>
      <c r="U37" s="612" t="s">
        <v>4900</v>
      </c>
      <c r="V37" s="611">
        <v>1749</v>
      </c>
      <c r="W37" s="614"/>
      <c r="Y37" s="612" t="s">
        <v>1674</v>
      </c>
      <c r="AA37" s="612" t="s">
        <v>1674</v>
      </c>
      <c r="AB37">
        <v>3</v>
      </c>
      <c r="AE37" s="790"/>
      <c r="AF37" s="612" t="s">
        <v>1674</v>
      </c>
      <c r="AG37" s="612" t="s">
        <v>1674</v>
      </c>
      <c r="AH37" s="612" t="s">
        <v>1674</v>
      </c>
      <c r="AI37" s="612" t="s">
        <v>1674</v>
      </c>
      <c r="AJ37" s="612" t="s">
        <v>1674</v>
      </c>
      <c r="AK37" s="612" t="s">
        <v>1674</v>
      </c>
      <c r="AL37" s="612" t="s">
        <v>1674</v>
      </c>
      <c r="AM37" s="612" t="s">
        <v>4981</v>
      </c>
      <c r="AN37" s="612" t="s">
        <v>1674</v>
      </c>
      <c r="AP37">
        <f t="shared" si="0"/>
        <v>-29</v>
      </c>
      <c r="AQ37" s="552">
        <f t="shared" si="1"/>
        <v>1606.5</v>
      </c>
    </row>
    <row r="38" spans="1:43" outlineLevel="1" x14ac:dyDescent="0.25">
      <c r="A38" s="612" t="s">
        <v>1674</v>
      </c>
      <c r="B38" s="786">
        <v>71900</v>
      </c>
      <c r="C38" s="612" t="s">
        <v>2854</v>
      </c>
      <c r="D38" s="612" t="s">
        <v>4984</v>
      </c>
      <c r="E38" t="s">
        <v>4985</v>
      </c>
      <c r="F38" t="s">
        <v>4943</v>
      </c>
      <c r="G38" s="787"/>
      <c r="H38" s="787">
        <v>5904.38</v>
      </c>
      <c r="I38" s="787">
        <v>5904.38</v>
      </c>
      <c r="J38" t="s">
        <v>2584</v>
      </c>
      <c r="K38" s="611">
        <v>3400</v>
      </c>
      <c r="L38" t="s">
        <v>806</v>
      </c>
      <c r="M38" s="614"/>
      <c r="N38" s="788"/>
      <c r="O38" s="612" t="s">
        <v>1674</v>
      </c>
      <c r="P38" s="612" t="s">
        <v>1674</v>
      </c>
      <c r="Q38" s="612" t="s">
        <v>4986</v>
      </c>
      <c r="R38" s="612" t="s">
        <v>1674</v>
      </c>
      <c r="S38" s="612" t="s">
        <v>1674</v>
      </c>
      <c r="T38" s="789">
        <v>19</v>
      </c>
      <c r="U38" s="612" t="s">
        <v>4900</v>
      </c>
      <c r="V38" s="611">
        <v>11</v>
      </c>
      <c r="W38" s="614"/>
      <c r="Y38" s="612" t="s">
        <v>1674</v>
      </c>
      <c r="AA38" s="612" t="s">
        <v>1674</v>
      </c>
      <c r="AB38">
        <v>3</v>
      </c>
      <c r="AE38" s="790"/>
      <c r="AF38" s="612" t="s">
        <v>1674</v>
      </c>
      <c r="AG38" s="612" t="s">
        <v>1674</v>
      </c>
      <c r="AH38" s="612" t="s">
        <v>1674</v>
      </c>
      <c r="AI38" s="612" t="s">
        <v>1674</v>
      </c>
      <c r="AJ38" s="612" t="s">
        <v>1674</v>
      </c>
      <c r="AK38" s="612" t="s">
        <v>1674</v>
      </c>
      <c r="AL38" s="612" t="s">
        <v>1674</v>
      </c>
      <c r="AM38" s="612" t="s">
        <v>2854</v>
      </c>
      <c r="AN38" s="612" t="s">
        <v>1674</v>
      </c>
      <c r="AP38">
        <f t="shared" si="0"/>
        <v>0</v>
      </c>
      <c r="AQ38" s="552">
        <f t="shared" si="1"/>
        <v>5904.38</v>
      </c>
    </row>
    <row r="39" spans="1:43" outlineLevel="1" x14ac:dyDescent="0.25">
      <c r="A39" s="612" t="s">
        <v>1674</v>
      </c>
      <c r="B39" s="786">
        <v>72000</v>
      </c>
      <c r="C39" s="612" t="s">
        <v>4230</v>
      </c>
      <c r="D39" s="612" t="s">
        <v>4987</v>
      </c>
      <c r="E39" t="s">
        <v>4969</v>
      </c>
      <c r="F39" t="s">
        <v>4988</v>
      </c>
      <c r="G39" s="787"/>
      <c r="H39" s="787">
        <v>509.92</v>
      </c>
      <c r="I39" s="787">
        <v>509.92</v>
      </c>
      <c r="J39" t="s">
        <v>2584</v>
      </c>
      <c r="K39" s="611">
        <v>2350</v>
      </c>
      <c r="L39" t="s">
        <v>806</v>
      </c>
      <c r="M39" s="614"/>
      <c r="N39" s="788">
        <v>31</v>
      </c>
      <c r="O39" s="612" t="s">
        <v>1674</v>
      </c>
      <c r="P39" s="612" t="s">
        <v>1674</v>
      </c>
      <c r="Q39" s="612" t="s">
        <v>4232</v>
      </c>
      <c r="R39" s="612" t="s">
        <v>1674</v>
      </c>
      <c r="S39" s="612" t="s">
        <v>1674</v>
      </c>
      <c r="T39" s="789">
        <v>19</v>
      </c>
      <c r="U39" s="612" t="s">
        <v>4929</v>
      </c>
      <c r="V39" s="611">
        <v>47</v>
      </c>
      <c r="W39" s="614"/>
      <c r="Y39" s="612" t="s">
        <v>1674</v>
      </c>
      <c r="AA39" s="612" t="s">
        <v>1674</v>
      </c>
      <c r="AB39">
        <v>3</v>
      </c>
      <c r="AE39" s="790"/>
      <c r="AF39" s="612" t="s">
        <v>1674</v>
      </c>
      <c r="AG39" s="612" t="s">
        <v>1674</v>
      </c>
      <c r="AH39" s="612" t="s">
        <v>1674</v>
      </c>
      <c r="AI39" s="612" t="s">
        <v>1674</v>
      </c>
      <c r="AJ39" s="612" t="s">
        <v>1674</v>
      </c>
      <c r="AK39" s="612" t="s">
        <v>1674</v>
      </c>
      <c r="AL39" s="612" t="s">
        <v>1674</v>
      </c>
      <c r="AM39" s="612" t="s">
        <v>4230</v>
      </c>
      <c r="AN39" s="612" t="s">
        <v>1674</v>
      </c>
      <c r="AP39">
        <f t="shared" si="0"/>
        <v>-31</v>
      </c>
      <c r="AQ39" s="552">
        <f t="shared" si="1"/>
        <v>509.92</v>
      </c>
    </row>
    <row r="40" spans="1:43" outlineLevel="1" x14ac:dyDescent="0.25">
      <c r="A40" s="612" t="s">
        <v>1674</v>
      </c>
      <c r="B40" s="786">
        <v>72200</v>
      </c>
      <c r="C40" s="612" t="s">
        <v>3260</v>
      </c>
      <c r="D40" s="612" t="s">
        <v>4989</v>
      </c>
      <c r="E40" t="s">
        <v>4990</v>
      </c>
      <c r="F40" t="s">
        <v>4991</v>
      </c>
      <c r="G40" s="787"/>
      <c r="H40" s="787">
        <v>217.19</v>
      </c>
      <c r="I40" s="787">
        <v>217.19</v>
      </c>
      <c r="J40" t="s">
        <v>2584</v>
      </c>
      <c r="K40" s="611" t="s">
        <v>4945</v>
      </c>
      <c r="L40" t="s">
        <v>2552</v>
      </c>
      <c r="M40" s="614"/>
      <c r="N40" s="788">
        <v>7</v>
      </c>
      <c r="O40" s="612" t="s">
        <v>1674</v>
      </c>
      <c r="P40" s="612" t="s">
        <v>1674</v>
      </c>
      <c r="Q40" s="612" t="s">
        <v>4040</v>
      </c>
      <c r="R40" s="612" t="s">
        <v>1674</v>
      </c>
      <c r="S40" s="612" t="s">
        <v>1674</v>
      </c>
      <c r="T40" s="789" t="s">
        <v>4945</v>
      </c>
      <c r="U40" s="612" t="s">
        <v>4900</v>
      </c>
      <c r="V40" s="611">
        <v>454</v>
      </c>
      <c r="W40" s="614"/>
      <c r="Y40" s="612" t="s">
        <v>1674</v>
      </c>
      <c r="AA40" s="612" t="s">
        <v>1674</v>
      </c>
      <c r="AB40">
        <v>3</v>
      </c>
      <c r="AE40" s="790"/>
      <c r="AF40" s="612" t="s">
        <v>1674</v>
      </c>
      <c r="AG40" s="612" t="s">
        <v>1674</v>
      </c>
      <c r="AH40" s="612" t="s">
        <v>1674</v>
      </c>
      <c r="AI40" s="612" t="s">
        <v>1674</v>
      </c>
      <c r="AJ40" s="612" t="s">
        <v>1674</v>
      </c>
      <c r="AK40" s="612" t="s">
        <v>1674</v>
      </c>
      <c r="AL40" s="612" t="s">
        <v>1674</v>
      </c>
      <c r="AM40" s="612" t="s">
        <v>3260</v>
      </c>
      <c r="AN40" s="612" t="s">
        <v>1674</v>
      </c>
      <c r="AP40">
        <f t="shared" si="0"/>
        <v>-7</v>
      </c>
      <c r="AQ40" s="552">
        <f t="shared" si="1"/>
        <v>217.19</v>
      </c>
    </row>
    <row r="41" spans="1:43" outlineLevel="1" x14ac:dyDescent="0.25">
      <c r="A41" s="612" t="s">
        <v>1674</v>
      </c>
      <c r="B41" s="786">
        <v>0</v>
      </c>
      <c r="C41" s="612" t="s">
        <v>1674</v>
      </c>
      <c r="D41" s="612" t="s">
        <v>4992</v>
      </c>
      <c r="E41" t="s">
        <v>4915</v>
      </c>
      <c r="F41" t="s">
        <v>4916</v>
      </c>
      <c r="G41" s="787"/>
      <c r="H41" s="787">
        <v>181.08</v>
      </c>
      <c r="I41" s="787">
        <v>181.08</v>
      </c>
      <c r="J41" t="s">
        <v>2584</v>
      </c>
      <c r="K41" s="611" t="s">
        <v>4945</v>
      </c>
      <c r="L41" t="s">
        <v>2552</v>
      </c>
      <c r="M41" s="614"/>
      <c r="N41" s="788">
        <v>18</v>
      </c>
      <c r="O41" s="612" t="s">
        <v>1674</v>
      </c>
      <c r="P41" s="612" t="s">
        <v>1674</v>
      </c>
      <c r="Q41" s="612" t="s">
        <v>4040</v>
      </c>
      <c r="R41" s="612" t="s">
        <v>1674</v>
      </c>
      <c r="S41" s="612" t="s">
        <v>1674</v>
      </c>
      <c r="T41" s="789" t="s">
        <v>4945</v>
      </c>
      <c r="U41" s="612" t="s">
        <v>4900</v>
      </c>
      <c r="V41" s="611">
        <v>1321</v>
      </c>
      <c r="W41" s="614"/>
      <c r="Y41" s="612" t="s">
        <v>1674</v>
      </c>
      <c r="AA41" s="612" t="s">
        <v>1674</v>
      </c>
      <c r="AB41">
        <v>3</v>
      </c>
      <c r="AE41" s="790"/>
      <c r="AF41" s="612" t="s">
        <v>1674</v>
      </c>
      <c r="AG41" s="612" t="s">
        <v>1674</v>
      </c>
      <c r="AH41" s="612" t="s">
        <v>1674</v>
      </c>
      <c r="AI41" s="612" t="s">
        <v>1674</v>
      </c>
      <c r="AJ41" s="612" t="s">
        <v>1674</v>
      </c>
      <c r="AK41" s="612" t="s">
        <v>1674</v>
      </c>
      <c r="AL41" s="612" t="s">
        <v>1674</v>
      </c>
      <c r="AM41" s="612" t="s">
        <v>1674</v>
      </c>
      <c r="AN41" s="612" t="s">
        <v>1674</v>
      </c>
      <c r="AP41">
        <f t="shared" si="0"/>
        <v>-18</v>
      </c>
      <c r="AQ41" s="552">
        <f t="shared" si="1"/>
        <v>181.08</v>
      </c>
    </row>
    <row r="42" spans="1:43" outlineLevel="1" x14ac:dyDescent="0.25">
      <c r="A42" s="612" t="s">
        <v>1674</v>
      </c>
      <c r="B42" s="786">
        <v>0</v>
      </c>
      <c r="C42" s="612" t="s">
        <v>1674</v>
      </c>
      <c r="D42" s="612" t="s">
        <v>4993</v>
      </c>
      <c r="E42" t="s">
        <v>4934</v>
      </c>
      <c r="F42" t="s">
        <v>4935</v>
      </c>
      <c r="G42" s="787"/>
      <c r="H42" s="787">
        <v>190.63</v>
      </c>
      <c r="I42" s="787">
        <v>190.63</v>
      </c>
      <c r="J42" t="s">
        <v>2584</v>
      </c>
      <c r="K42" s="611">
        <v>4730</v>
      </c>
      <c r="L42" t="s">
        <v>806</v>
      </c>
      <c r="M42" s="614"/>
      <c r="N42" s="788">
        <v>22</v>
      </c>
      <c r="O42" s="612" t="s">
        <v>1674</v>
      </c>
      <c r="P42" s="612" t="s">
        <v>1674</v>
      </c>
      <c r="Q42" s="612" t="s">
        <v>4040</v>
      </c>
      <c r="R42" s="612" t="s">
        <v>1674</v>
      </c>
      <c r="S42" s="612" t="s">
        <v>1674</v>
      </c>
      <c r="T42" s="789"/>
      <c r="U42" s="612" t="s">
        <v>4900</v>
      </c>
      <c r="V42" s="611">
        <v>1570</v>
      </c>
      <c r="W42" s="614"/>
      <c r="Y42" s="612" t="s">
        <v>1674</v>
      </c>
      <c r="AA42" s="612" t="s">
        <v>1674</v>
      </c>
      <c r="AB42">
        <v>3</v>
      </c>
      <c r="AE42" s="790"/>
      <c r="AF42" s="612" t="s">
        <v>1674</v>
      </c>
      <c r="AG42" s="612" t="s">
        <v>1674</v>
      </c>
      <c r="AH42" s="612" t="s">
        <v>1674</v>
      </c>
      <c r="AI42" s="612" t="s">
        <v>1674</v>
      </c>
      <c r="AJ42" s="612" t="s">
        <v>1674</v>
      </c>
      <c r="AK42" s="612" t="s">
        <v>1674</v>
      </c>
      <c r="AL42" s="612" t="s">
        <v>1674</v>
      </c>
      <c r="AM42" s="612" t="s">
        <v>1674</v>
      </c>
      <c r="AN42" s="612" t="s">
        <v>1674</v>
      </c>
      <c r="AP42">
        <f t="shared" si="0"/>
        <v>-22</v>
      </c>
      <c r="AQ42" s="552">
        <f t="shared" si="1"/>
        <v>190.63</v>
      </c>
    </row>
    <row r="43" spans="1:43" outlineLevel="1" x14ac:dyDescent="0.25">
      <c r="A43" s="612" t="s">
        <v>1674</v>
      </c>
      <c r="B43" s="786">
        <v>72300</v>
      </c>
      <c r="C43" s="612" t="s">
        <v>4013</v>
      </c>
      <c r="D43" s="612" t="s">
        <v>4994</v>
      </c>
      <c r="E43" t="s">
        <v>4995</v>
      </c>
      <c r="F43" t="s">
        <v>4962</v>
      </c>
      <c r="G43" s="787"/>
      <c r="H43" s="787">
        <v>1434.25</v>
      </c>
      <c r="I43" s="787">
        <v>1434.25</v>
      </c>
      <c r="J43" t="s">
        <v>2584</v>
      </c>
      <c r="K43" s="611">
        <v>4800</v>
      </c>
      <c r="L43" t="s">
        <v>806</v>
      </c>
      <c r="M43" s="614"/>
      <c r="N43" s="788">
        <v>-1</v>
      </c>
      <c r="O43" s="612" t="s">
        <v>1674</v>
      </c>
      <c r="P43" s="612" t="s">
        <v>1674</v>
      </c>
      <c r="Q43" s="612" t="s">
        <v>4016</v>
      </c>
      <c r="R43" s="612" t="s">
        <v>1674</v>
      </c>
      <c r="S43" s="612" t="s">
        <v>1674</v>
      </c>
      <c r="T43" s="789">
        <v>19</v>
      </c>
      <c r="U43" s="612" t="s">
        <v>4900</v>
      </c>
      <c r="V43" s="611">
        <v>4</v>
      </c>
      <c r="W43" s="614"/>
      <c r="Y43" s="612" t="s">
        <v>1674</v>
      </c>
      <c r="AA43" s="612" t="s">
        <v>1674</v>
      </c>
      <c r="AB43">
        <v>3</v>
      </c>
      <c r="AE43" s="790"/>
      <c r="AF43" s="612" t="s">
        <v>1674</v>
      </c>
      <c r="AG43" s="612" t="s">
        <v>1674</v>
      </c>
      <c r="AH43" s="612" t="s">
        <v>1674</v>
      </c>
      <c r="AI43" s="612" t="s">
        <v>1674</v>
      </c>
      <c r="AJ43" s="612" t="s">
        <v>1674</v>
      </c>
      <c r="AK43" s="612" t="s">
        <v>1674</v>
      </c>
      <c r="AL43" s="612" t="s">
        <v>1674</v>
      </c>
      <c r="AM43" s="612" t="s">
        <v>4013</v>
      </c>
      <c r="AN43" s="612" t="s">
        <v>1674</v>
      </c>
      <c r="AP43">
        <f t="shared" si="0"/>
        <v>1</v>
      </c>
      <c r="AQ43" s="552">
        <f t="shared" si="1"/>
        <v>1434.25</v>
      </c>
    </row>
    <row r="44" spans="1:43" outlineLevel="1" x14ac:dyDescent="0.25">
      <c r="A44" s="612" t="s">
        <v>1674</v>
      </c>
      <c r="B44" s="786">
        <v>72301</v>
      </c>
      <c r="C44" s="612" t="s">
        <v>3977</v>
      </c>
      <c r="D44" s="612" t="s">
        <v>4996</v>
      </c>
      <c r="E44" t="s">
        <v>4931</v>
      </c>
      <c r="F44" t="s">
        <v>4932</v>
      </c>
      <c r="G44" s="787"/>
      <c r="H44" s="787">
        <v>7.32</v>
      </c>
      <c r="I44" s="787">
        <v>7.32</v>
      </c>
      <c r="J44" t="s">
        <v>2584</v>
      </c>
      <c r="K44" s="611">
        <v>3800</v>
      </c>
      <c r="L44" t="s">
        <v>806</v>
      </c>
      <c r="M44" s="614"/>
      <c r="N44" s="788">
        <v>21</v>
      </c>
      <c r="O44" s="612" t="s">
        <v>1674</v>
      </c>
      <c r="P44" s="612" t="s">
        <v>1674</v>
      </c>
      <c r="Q44" s="612" t="s">
        <v>3977</v>
      </c>
      <c r="R44" s="612" t="s">
        <v>1674</v>
      </c>
      <c r="S44" s="612" t="s">
        <v>1674</v>
      </c>
      <c r="T44" s="789">
        <v>19</v>
      </c>
      <c r="U44" s="612" t="s">
        <v>4900</v>
      </c>
      <c r="V44" s="611">
        <v>1412</v>
      </c>
      <c r="W44" s="614"/>
      <c r="Y44" s="612" t="s">
        <v>1674</v>
      </c>
      <c r="AA44" s="612" t="s">
        <v>1674</v>
      </c>
      <c r="AB44">
        <v>3</v>
      </c>
      <c r="AE44" s="790"/>
      <c r="AF44" s="612" t="s">
        <v>1674</v>
      </c>
      <c r="AG44" s="612" t="s">
        <v>1674</v>
      </c>
      <c r="AH44" s="612" t="s">
        <v>1674</v>
      </c>
      <c r="AI44" s="612" t="s">
        <v>1674</v>
      </c>
      <c r="AJ44" s="612" t="s">
        <v>1674</v>
      </c>
      <c r="AK44" s="612" t="s">
        <v>1674</v>
      </c>
      <c r="AL44" s="612" t="s">
        <v>1674</v>
      </c>
      <c r="AM44" s="612" t="s">
        <v>3981</v>
      </c>
      <c r="AN44" s="612" t="s">
        <v>1674</v>
      </c>
      <c r="AP44">
        <f t="shared" si="0"/>
        <v>-21</v>
      </c>
      <c r="AQ44" s="552">
        <f t="shared" si="1"/>
        <v>7.32</v>
      </c>
    </row>
    <row r="45" spans="1:43" outlineLevel="1" x14ac:dyDescent="0.25">
      <c r="A45" s="612" t="s">
        <v>1674</v>
      </c>
      <c r="B45" s="786">
        <v>72800</v>
      </c>
      <c r="C45" s="612" t="s">
        <v>3150</v>
      </c>
      <c r="D45" s="612" t="s">
        <v>4997</v>
      </c>
      <c r="E45" t="s">
        <v>4943</v>
      </c>
      <c r="F45" t="s">
        <v>4944</v>
      </c>
      <c r="G45" s="787"/>
      <c r="H45" s="787">
        <v>2616.69</v>
      </c>
      <c r="I45" s="787">
        <v>2616.69</v>
      </c>
      <c r="J45" t="s">
        <v>2584</v>
      </c>
      <c r="K45" s="611" t="s">
        <v>4945</v>
      </c>
      <c r="L45" t="s">
        <v>2552</v>
      </c>
      <c r="M45" s="614"/>
      <c r="N45" s="788">
        <v>30</v>
      </c>
      <c r="O45" s="612" t="s">
        <v>1674</v>
      </c>
      <c r="P45" s="612" t="s">
        <v>1674</v>
      </c>
      <c r="Q45" s="612" t="s">
        <v>4227</v>
      </c>
      <c r="R45" s="612" t="s">
        <v>1674</v>
      </c>
      <c r="S45" s="612" t="s">
        <v>1674</v>
      </c>
      <c r="T45" s="789">
        <v>19</v>
      </c>
      <c r="U45" s="612" t="s">
        <v>4900</v>
      </c>
      <c r="V45" s="611">
        <v>1758</v>
      </c>
      <c r="W45" s="614"/>
      <c r="Y45" s="612" t="s">
        <v>1674</v>
      </c>
      <c r="AA45" s="612" t="s">
        <v>1674</v>
      </c>
      <c r="AB45">
        <v>3</v>
      </c>
      <c r="AE45" s="790"/>
      <c r="AF45" s="612" t="s">
        <v>1674</v>
      </c>
      <c r="AG45" s="612" t="s">
        <v>1674</v>
      </c>
      <c r="AH45" s="612" t="s">
        <v>1674</v>
      </c>
      <c r="AI45" s="612" t="s">
        <v>1674</v>
      </c>
      <c r="AJ45" s="612" t="s">
        <v>1674</v>
      </c>
      <c r="AK45" s="612" t="s">
        <v>1674</v>
      </c>
      <c r="AL45" s="612" t="s">
        <v>1674</v>
      </c>
      <c r="AM45" s="612" t="s">
        <v>3150</v>
      </c>
      <c r="AN45" s="612" t="s">
        <v>1674</v>
      </c>
      <c r="AP45">
        <f t="shared" si="0"/>
        <v>-30</v>
      </c>
      <c r="AQ45" s="552">
        <f t="shared" si="1"/>
        <v>2616.69</v>
      </c>
    </row>
    <row r="46" spans="1:43" outlineLevel="1" x14ac:dyDescent="0.25">
      <c r="A46" s="612" t="s">
        <v>1674</v>
      </c>
      <c r="B46" s="786">
        <v>80107</v>
      </c>
      <c r="C46" s="612" t="s">
        <v>4020</v>
      </c>
      <c r="D46" s="612" t="s">
        <v>4998</v>
      </c>
      <c r="E46" t="s">
        <v>4915</v>
      </c>
      <c r="F46" t="s">
        <v>4916</v>
      </c>
      <c r="G46" s="787"/>
      <c r="H46" s="787">
        <v>100.26</v>
      </c>
      <c r="I46" s="787">
        <v>100.26</v>
      </c>
      <c r="J46" t="s">
        <v>2584</v>
      </c>
      <c r="K46" s="611">
        <v>4980</v>
      </c>
      <c r="L46" t="s">
        <v>806</v>
      </c>
      <c r="M46" s="614"/>
      <c r="N46" s="788">
        <v>18</v>
      </c>
      <c r="O46" s="612" t="s">
        <v>1674</v>
      </c>
      <c r="P46" s="612" t="s">
        <v>1674</v>
      </c>
      <c r="Q46" s="612" t="s">
        <v>4020</v>
      </c>
      <c r="R46" s="612" t="s">
        <v>1674</v>
      </c>
      <c r="S46" s="612" t="s">
        <v>1674</v>
      </c>
      <c r="T46" s="789"/>
      <c r="U46" s="612" t="s">
        <v>4900</v>
      </c>
      <c r="V46" s="611">
        <v>1319</v>
      </c>
      <c r="W46" s="614"/>
      <c r="Y46" s="612" t="s">
        <v>1674</v>
      </c>
      <c r="AA46" s="612" t="s">
        <v>1674</v>
      </c>
      <c r="AB46">
        <v>3</v>
      </c>
      <c r="AE46" s="790"/>
      <c r="AF46" s="612" t="s">
        <v>1674</v>
      </c>
      <c r="AG46" s="612" t="s">
        <v>1674</v>
      </c>
      <c r="AH46" s="612" t="s">
        <v>1674</v>
      </c>
      <c r="AI46" s="612" t="s">
        <v>1674</v>
      </c>
      <c r="AJ46" s="612" t="s">
        <v>1674</v>
      </c>
      <c r="AK46" s="612" t="s">
        <v>1674</v>
      </c>
      <c r="AL46" s="612" t="s">
        <v>1674</v>
      </c>
      <c r="AM46" s="612" t="s">
        <v>4023</v>
      </c>
      <c r="AN46" s="612" t="s">
        <v>1674</v>
      </c>
      <c r="AP46">
        <f t="shared" si="0"/>
        <v>-18</v>
      </c>
      <c r="AQ46" s="552">
        <f t="shared" si="1"/>
        <v>100.26</v>
      </c>
    </row>
    <row r="47" spans="1:43" outlineLevel="1" x14ac:dyDescent="0.25">
      <c r="A47" s="612" t="s">
        <v>1674</v>
      </c>
      <c r="B47" s="786">
        <v>80505</v>
      </c>
      <c r="C47" s="612" t="s">
        <v>3982</v>
      </c>
      <c r="D47" s="612" t="s">
        <v>4999</v>
      </c>
      <c r="E47" t="s">
        <v>3727</v>
      </c>
      <c r="F47" t="s">
        <v>5000</v>
      </c>
      <c r="G47" s="787"/>
      <c r="H47" s="787">
        <v>2902.3</v>
      </c>
      <c r="I47" s="787">
        <v>2902.3</v>
      </c>
      <c r="J47" t="s">
        <v>2584</v>
      </c>
      <c r="K47" s="611">
        <v>4950</v>
      </c>
      <c r="L47" t="s">
        <v>806</v>
      </c>
      <c r="M47" s="614"/>
      <c r="N47" s="788">
        <v>-47</v>
      </c>
      <c r="O47" s="612" t="s">
        <v>1674</v>
      </c>
      <c r="P47" s="612" t="s">
        <v>1674</v>
      </c>
      <c r="Q47" s="612" t="s">
        <v>3985</v>
      </c>
      <c r="R47" s="612" t="s">
        <v>1674</v>
      </c>
      <c r="S47" s="612" t="s">
        <v>1674</v>
      </c>
      <c r="T47" s="789">
        <v>19</v>
      </c>
      <c r="U47" s="612" t="s">
        <v>4894</v>
      </c>
      <c r="V47" s="611">
        <v>51</v>
      </c>
      <c r="W47" s="614"/>
      <c r="Y47" s="612" t="s">
        <v>1674</v>
      </c>
      <c r="AA47" s="612" t="s">
        <v>1674</v>
      </c>
      <c r="AB47">
        <v>3</v>
      </c>
      <c r="AE47" s="790"/>
      <c r="AF47" s="612" t="s">
        <v>1674</v>
      </c>
      <c r="AG47" s="612" t="s">
        <v>1674</v>
      </c>
      <c r="AH47" s="612" t="s">
        <v>1674</v>
      </c>
      <c r="AI47" s="612" t="s">
        <v>1674</v>
      </c>
      <c r="AJ47" s="612" t="s">
        <v>1674</v>
      </c>
      <c r="AK47" s="612" t="s">
        <v>1674</v>
      </c>
      <c r="AL47" s="612" t="s">
        <v>1674</v>
      </c>
      <c r="AM47" s="612" t="s">
        <v>3986</v>
      </c>
      <c r="AN47" s="612" t="s">
        <v>1674</v>
      </c>
      <c r="AP47">
        <f t="shared" si="0"/>
        <v>47</v>
      </c>
      <c r="AQ47" s="552">
        <f t="shared" si="1"/>
        <v>2902.3</v>
      </c>
    </row>
    <row r="48" spans="1:43" outlineLevel="1" x14ac:dyDescent="0.25">
      <c r="A48" s="612" t="s">
        <v>1674</v>
      </c>
      <c r="B48" s="786">
        <v>80601</v>
      </c>
      <c r="C48" s="612" t="s">
        <v>3987</v>
      </c>
      <c r="D48" s="612" t="s">
        <v>5001</v>
      </c>
      <c r="E48" t="s">
        <v>3666</v>
      </c>
      <c r="F48" t="s">
        <v>4943</v>
      </c>
      <c r="G48" s="787"/>
      <c r="H48" s="787">
        <v>744.34</v>
      </c>
      <c r="I48" s="787">
        <v>744.34</v>
      </c>
      <c r="J48" t="s">
        <v>2584</v>
      </c>
      <c r="K48" s="611">
        <v>3425</v>
      </c>
      <c r="L48" t="s">
        <v>2552</v>
      </c>
      <c r="M48" s="614"/>
      <c r="N48" s="788"/>
      <c r="O48" s="612" t="s">
        <v>1674</v>
      </c>
      <c r="P48" s="612" t="s">
        <v>1674</v>
      </c>
      <c r="Q48" s="612" t="s">
        <v>2983</v>
      </c>
      <c r="R48" s="612" t="s">
        <v>1674</v>
      </c>
      <c r="S48" s="612" t="s">
        <v>1674</v>
      </c>
      <c r="T48" s="789">
        <v>19</v>
      </c>
      <c r="U48" s="612" t="s">
        <v>5002</v>
      </c>
      <c r="V48" s="611">
        <v>107</v>
      </c>
      <c r="W48" s="614"/>
      <c r="Y48" s="612" t="s">
        <v>1674</v>
      </c>
      <c r="AA48" s="612" t="s">
        <v>1674</v>
      </c>
      <c r="AB48">
        <v>3</v>
      </c>
      <c r="AE48" s="790"/>
      <c r="AF48" s="612" t="s">
        <v>1674</v>
      </c>
      <c r="AG48" s="612" t="s">
        <v>1674</v>
      </c>
      <c r="AH48" s="612" t="s">
        <v>1674</v>
      </c>
      <c r="AI48" s="612" t="s">
        <v>1674</v>
      </c>
      <c r="AJ48" s="612" t="s">
        <v>1674</v>
      </c>
      <c r="AK48" s="612" t="s">
        <v>1674</v>
      </c>
      <c r="AL48" s="612" t="s">
        <v>1674</v>
      </c>
      <c r="AM48" s="612" t="s">
        <v>3989</v>
      </c>
      <c r="AN48" s="612" t="s">
        <v>1674</v>
      </c>
      <c r="AP48">
        <f t="shared" si="0"/>
        <v>0</v>
      </c>
      <c r="AQ48" s="552">
        <f t="shared" si="1"/>
        <v>744.34</v>
      </c>
    </row>
    <row r="49" spans="1:43" outlineLevel="1" x14ac:dyDescent="0.25">
      <c r="A49" s="612" t="s">
        <v>1674</v>
      </c>
      <c r="B49" s="786">
        <v>0</v>
      </c>
      <c r="C49" s="612" t="s">
        <v>1674</v>
      </c>
      <c r="D49" s="612" t="s">
        <v>5003</v>
      </c>
      <c r="E49" t="s">
        <v>3705</v>
      </c>
      <c r="F49" t="s">
        <v>4919</v>
      </c>
      <c r="G49" s="787"/>
      <c r="H49" s="787">
        <v>49036.15</v>
      </c>
      <c r="I49" s="787">
        <v>49036.15</v>
      </c>
      <c r="J49" t="s">
        <v>2584</v>
      </c>
      <c r="K49" s="611">
        <v>3425</v>
      </c>
      <c r="L49" t="s">
        <v>2552</v>
      </c>
      <c r="M49" s="614"/>
      <c r="N49" s="788">
        <v>8</v>
      </c>
      <c r="O49" s="612" t="s">
        <v>1674</v>
      </c>
      <c r="P49" s="612" t="s">
        <v>1674</v>
      </c>
      <c r="Q49" s="612" t="s">
        <v>2983</v>
      </c>
      <c r="R49" s="612" t="s">
        <v>4945</v>
      </c>
      <c r="S49" s="612" t="s">
        <v>1674</v>
      </c>
      <c r="T49" s="789">
        <v>19</v>
      </c>
      <c r="U49" s="612" t="s">
        <v>5002</v>
      </c>
      <c r="V49" s="611">
        <v>574</v>
      </c>
      <c r="W49" s="614"/>
      <c r="Y49" s="612" t="s">
        <v>1674</v>
      </c>
      <c r="AA49" s="612" t="s">
        <v>1674</v>
      </c>
      <c r="AB49">
        <v>3</v>
      </c>
      <c r="AE49" s="790"/>
      <c r="AF49" s="612" t="s">
        <v>1674</v>
      </c>
      <c r="AG49" s="612" t="s">
        <v>1674</v>
      </c>
      <c r="AH49" s="612" t="s">
        <v>1674</v>
      </c>
      <c r="AI49" s="612" t="s">
        <v>1674</v>
      </c>
      <c r="AJ49" s="612" t="s">
        <v>1674</v>
      </c>
      <c r="AK49" s="612" t="s">
        <v>1674</v>
      </c>
      <c r="AL49" s="612" t="s">
        <v>1674</v>
      </c>
      <c r="AM49" s="612" t="s">
        <v>1674</v>
      </c>
      <c r="AN49" s="612" t="s">
        <v>1674</v>
      </c>
      <c r="AP49">
        <f t="shared" si="0"/>
        <v>-8</v>
      </c>
      <c r="AQ49" s="552">
        <f t="shared" si="1"/>
        <v>49036.15</v>
      </c>
    </row>
    <row r="50" spans="1:43" outlineLevel="1" x14ac:dyDescent="0.25">
      <c r="A50" s="612" t="s">
        <v>1674</v>
      </c>
      <c r="B50" s="786">
        <v>0</v>
      </c>
      <c r="C50" s="612" t="s">
        <v>1674</v>
      </c>
      <c r="D50" s="612" t="s">
        <v>5004</v>
      </c>
      <c r="E50" t="s">
        <v>5005</v>
      </c>
      <c r="F50" t="s">
        <v>4976</v>
      </c>
      <c r="G50" s="787"/>
      <c r="H50" s="787">
        <v>5700</v>
      </c>
      <c r="I50" s="787">
        <v>5700</v>
      </c>
      <c r="J50" t="s">
        <v>2584</v>
      </c>
      <c r="K50" s="611">
        <v>3425</v>
      </c>
      <c r="L50" t="s">
        <v>806</v>
      </c>
      <c r="M50" s="614"/>
      <c r="N50" s="788">
        <v>25</v>
      </c>
      <c r="O50" s="612" t="s">
        <v>1674</v>
      </c>
      <c r="P50" s="612" t="s">
        <v>1674</v>
      </c>
      <c r="Q50" s="612" t="s">
        <v>2983</v>
      </c>
      <c r="R50" s="612" t="s">
        <v>1674</v>
      </c>
      <c r="S50" s="612" t="s">
        <v>1674</v>
      </c>
      <c r="T50" s="789">
        <v>19</v>
      </c>
      <c r="U50" s="612" t="s">
        <v>5002</v>
      </c>
      <c r="V50" s="611">
        <v>1364</v>
      </c>
      <c r="W50" s="614"/>
      <c r="Y50" s="612" t="s">
        <v>1674</v>
      </c>
      <c r="AA50" s="612" t="s">
        <v>1674</v>
      </c>
      <c r="AB50">
        <v>3</v>
      </c>
      <c r="AE50" s="790"/>
      <c r="AF50" s="612" t="s">
        <v>1674</v>
      </c>
      <c r="AG50" s="612" t="s">
        <v>1674</v>
      </c>
      <c r="AH50" s="612" t="s">
        <v>1674</v>
      </c>
      <c r="AI50" s="612" t="s">
        <v>1674</v>
      </c>
      <c r="AJ50" s="612" t="s">
        <v>1674</v>
      </c>
      <c r="AK50" s="612" t="s">
        <v>1674</v>
      </c>
      <c r="AL50" s="612" t="s">
        <v>1674</v>
      </c>
      <c r="AM50" s="612" t="s">
        <v>1674</v>
      </c>
      <c r="AN50" s="612" t="s">
        <v>1674</v>
      </c>
      <c r="AP50">
        <f t="shared" si="0"/>
        <v>-25</v>
      </c>
      <c r="AQ50" s="552">
        <f t="shared" si="1"/>
        <v>5700</v>
      </c>
    </row>
    <row r="51" spans="1:43" outlineLevel="1" x14ac:dyDescent="0.25">
      <c r="A51" s="612" t="s">
        <v>1674</v>
      </c>
      <c r="B51" s="786">
        <v>0</v>
      </c>
      <c r="C51" s="612" t="s">
        <v>1674</v>
      </c>
      <c r="D51" s="612" t="s">
        <v>5006</v>
      </c>
      <c r="E51" t="s">
        <v>5007</v>
      </c>
      <c r="F51" t="s">
        <v>4965</v>
      </c>
      <c r="G51" s="787"/>
      <c r="H51" s="787">
        <v>7807.03</v>
      </c>
      <c r="I51" s="787">
        <v>7807.03</v>
      </c>
      <c r="J51" t="s">
        <v>2584</v>
      </c>
      <c r="K51" s="611">
        <v>3425</v>
      </c>
      <c r="L51" t="s">
        <v>806</v>
      </c>
      <c r="M51" s="614"/>
      <c r="N51" s="788">
        <v>29</v>
      </c>
      <c r="O51" s="612" t="s">
        <v>1674</v>
      </c>
      <c r="P51" s="612" t="s">
        <v>1674</v>
      </c>
      <c r="Q51" s="612" t="s">
        <v>2983</v>
      </c>
      <c r="R51" s="612" t="s">
        <v>3992</v>
      </c>
      <c r="S51" s="612" t="s">
        <v>1674</v>
      </c>
      <c r="T51" s="789">
        <v>19</v>
      </c>
      <c r="U51" s="612" t="s">
        <v>5002</v>
      </c>
      <c r="V51" s="611">
        <v>1630</v>
      </c>
      <c r="W51" s="614"/>
      <c r="Y51" s="612" t="s">
        <v>1674</v>
      </c>
      <c r="AA51" s="612" t="s">
        <v>1674</v>
      </c>
      <c r="AB51">
        <v>3</v>
      </c>
      <c r="AE51" s="790"/>
      <c r="AF51" s="612" t="s">
        <v>1674</v>
      </c>
      <c r="AG51" s="612" t="s">
        <v>1674</v>
      </c>
      <c r="AH51" s="612" t="s">
        <v>1674</v>
      </c>
      <c r="AI51" s="612" t="s">
        <v>1674</v>
      </c>
      <c r="AJ51" s="612" t="s">
        <v>1674</v>
      </c>
      <c r="AK51" s="612" t="s">
        <v>1674</v>
      </c>
      <c r="AL51" s="612" t="s">
        <v>1674</v>
      </c>
      <c r="AM51" s="612" t="s">
        <v>1674</v>
      </c>
      <c r="AN51" s="612" t="s">
        <v>1674</v>
      </c>
      <c r="AP51">
        <f t="shared" si="0"/>
        <v>-29</v>
      </c>
      <c r="AQ51" s="552">
        <f t="shared" si="1"/>
        <v>7807.03</v>
      </c>
    </row>
    <row r="52" spans="1:43" outlineLevel="1" x14ac:dyDescent="0.25">
      <c r="A52" s="612" t="s">
        <v>1674</v>
      </c>
      <c r="B52" s="786">
        <v>0</v>
      </c>
      <c r="C52" s="612" t="s">
        <v>1674</v>
      </c>
      <c r="D52" s="612" t="s">
        <v>5008</v>
      </c>
      <c r="E52" t="s">
        <v>4283</v>
      </c>
      <c r="F52" t="s">
        <v>5009</v>
      </c>
      <c r="G52" s="787"/>
      <c r="H52" s="787">
        <v>51236.71</v>
      </c>
      <c r="I52" s="787">
        <v>51236.71</v>
      </c>
      <c r="J52" t="s">
        <v>2584</v>
      </c>
      <c r="K52" s="611">
        <v>3425</v>
      </c>
      <c r="L52" t="s">
        <v>2552</v>
      </c>
      <c r="M52" s="614"/>
      <c r="N52" s="788">
        <v>36</v>
      </c>
      <c r="O52" s="612" t="s">
        <v>1674</v>
      </c>
      <c r="P52" s="612" t="s">
        <v>1674</v>
      </c>
      <c r="Q52" s="612" t="s">
        <v>2983</v>
      </c>
      <c r="R52" s="612" t="s">
        <v>4945</v>
      </c>
      <c r="S52" s="612" t="s">
        <v>1674</v>
      </c>
      <c r="T52" s="789">
        <v>19</v>
      </c>
      <c r="U52" s="612" t="s">
        <v>5010</v>
      </c>
      <c r="V52" s="611">
        <v>480</v>
      </c>
      <c r="W52" s="614"/>
      <c r="Y52" s="612" t="s">
        <v>1674</v>
      </c>
      <c r="AA52" s="612" t="s">
        <v>1674</v>
      </c>
      <c r="AB52">
        <v>3</v>
      </c>
      <c r="AE52" s="790"/>
      <c r="AF52" s="612" t="s">
        <v>1674</v>
      </c>
      <c r="AG52" s="612" t="s">
        <v>1674</v>
      </c>
      <c r="AH52" s="612" t="s">
        <v>1674</v>
      </c>
      <c r="AI52" s="612" t="s">
        <v>1674</v>
      </c>
      <c r="AJ52" s="612" t="s">
        <v>1674</v>
      </c>
      <c r="AK52" s="612" t="s">
        <v>1674</v>
      </c>
      <c r="AL52" s="612" t="s">
        <v>1674</v>
      </c>
      <c r="AM52" s="612" t="s">
        <v>1674</v>
      </c>
      <c r="AN52" s="612" t="s">
        <v>1674</v>
      </c>
      <c r="AP52">
        <f t="shared" si="0"/>
        <v>-36</v>
      </c>
      <c r="AQ52" s="552">
        <f t="shared" si="1"/>
        <v>51236.71</v>
      </c>
    </row>
    <row r="53" spans="1:43" outlineLevel="1" x14ac:dyDescent="0.25">
      <c r="A53" s="612" t="s">
        <v>1674</v>
      </c>
      <c r="B53" s="786">
        <v>0</v>
      </c>
      <c r="C53" s="612" t="s">
        <v>1674</v>
      </c>
      <c r="D53" s="612" t="s">
        <v>5011</v>
      </c>
      <c r="E53" t="s">
        <v>5012</v>
      </c>
      <c r="F53" t="s">
        <v>5013</v>
      </c>
      <c r="G53" s="787"/>
      <c r="H53" s="787">
        <v>283.33999999999997</v>
      </c>
      <c r="I53" s="787">
        <v>283.33999999999997</v>
      </c>
      <c r="J53" t="s">
        <v>2584</v>
      </c>
      <c r="K53" s="611">
        <v>3425</v>
      </c>
      <c r="L53" t="s">
        <v>806</v>
      </c>
      <c r="M53" s="614"/>
      <c r="N53" s="788">
        <v>53</v>
      </c>
      <c r="O53" s="612" t="s">
        <v>1674</v>
      </c>
      <c r="P53" s="612" t="s">
        <v>1674</v>
      </c>
      <c r="Q53" s="612" t="s">
        <v>2983</v>
      </c>
      <c r="R53" s="612" t="s">
        <v>1674</v>
      </c>
      <c r="S53" s="612" t="s">
        <v>1674</v>
      </c>
      <c r="T53" s="789">
        <v>19</v>
      </c>
      <c r="U53" s="612" t="s">
        <v>5010</v>
      </c>
      <c r="V53" s="611">
        <v>1340</v>
      </c>
      <c r="W53" s="614"/>
      <c r="Y53" s="612" t="s">
        <v>1674</v>
      </c>
      <c r="AA53" s="612" t="s">
        <v>1674</v>
      </c>
      <c r="AB53">
        <v>3</v>
      </c>
      <c r="AE53" s="790"/>
      <c r="AF53" s="612" t="s">
        <v>1674</v>
      </c>
      <c r="AG53" s="612" t="s">
        <v>1674</v>
      </c>
      <c r="AH53" s="612" t="s">
        <v>1674</v>
      </c>
      <c r="AI53" s="612" t="s">
        <v>1674</v>
      </c>
      <c r="AJ53" s="612" t="s">
        <v>1674</v>
      </c>
      <c r="AK53" s="612" t="s">
        <v>1674</v>
      </c>
      <c r="AL53" s="612" t="s">
        <v>1674</v>
      </c>
      <c r="AM53" s="612" t="s">
        <v>1674</v>
      </c>
      <c r="AN53" s="612" t="s">
        <v>1674</v>
      </c>
      <c r="AP53">
        <f t="shared" si="0"/>
        <v>-53</v>
      </c>
      <c r="AQ53" s="552">
        <f t="shared" si="1"/>
        <v>283.33999999999997</v>
      </c>
    </row>
    <row r="54" spans="1:43" outlineLevel="1" x14ac:dyDescent="0.25">
      <c r="A54" s="612" t="s">
        <v>1674</v>
      </c>
      <c r="B54" s="786">
        <v>80803</v>
      </c>
      <c r="C54" s="612" t="s">
        <v>4281</v>
      </c>
      <c r="D54" s="612" t="s">
        <v>5014</v>
      </c>
      <c r="E54" t="s">
        <v>5015</v>
      </c>
      <c r="F54" t="s">
        <v>5016</v>
      </c>
      <c r="G54" s="787"/>
      <c r="H54" s="787">
        <v>144.19999999999999</v>
      </c>
      <c r="I54" s="787">
        <v>144.19999999999999</v>
      </c>
      <c r="J54" t="s">
        <v>2584</v>
      </c>
      <c r="K54" s="611">
        <v>3425</v>
      </c>
      <c r="L54" t="s">
        <v>806</v>
      </c>
      <c r="M54" s="614"/>
      <c r="N54" s="788">
        <v>5</v>
      </c>
      <c r="O54" s="612" t="s">
        <v>1674</v>
      </c>
      <c r="P54" s="612" t="s">
        <v>1674</v>
      </c>
      <c r="Q54" s="612" t="s">
        <v>4284</v>
      </c>
      <c r="R54" s="612" t="s">
        <v>1674</v>
      </c>
      <c r="S54" s="612" t="s">
        <v>1674</v>
      </c>
      <c r="T54" s="789">
        <v>19</v>
      </c>
      <c r="U54" s="612" t="s">
        <v>5010</v>
      </c>
      <c r="V54" s="611">
        <v>253</v>
      </c>
      <c r="W54" s="614"/>
      <c r="Y54" s="612" t="s">
        <v>1674</v>
      </c>
      <c r="AA54" s="612" t="s">
        <v>1674</v>
      </c>
      <c r="AB54">
        <v>3</v>
      </c>
      <c r="AE54" s="790"/>
      <c r="AF54" s="612" t="s">
        <v>1674</v>
      </c>
      <c r="AG54" s="612" t="s">
        <v>1674</v>
      </c>
      <c r="AH54" s="612" t="s">
        <v>1674</v>
      </c>
      <c r="AI54" s="612" t="s">
        <v>1674</v>
      </c>
      <c r="AJ54" s="612" t="s">
        <v>1674</v>
      </c>
      <c r="AK54" s="612" t="s">
        <v>1674</v>
      </c>
      <c r="AL54" s="612" t="s">
        <v>1674</v>
      </c>
      <c r="AM54" s="612" t="s">
        <v>4285</v>
      </c>
      <c r="AN54" s="612" t="s">
        <v>1674</v>
      </c>
      <c r="AP54">
        <f t="shared" si="0"/>
        <v>-5</v>
      </c>
      <c r="AQ54" s="552">
        <f t="shared" si="1"/>
        <v>144.19999999999999</v>
      </c>
    </row>
    <row r="55" spans="1:43" outlineLevel="1" x14ac:dyDescent="0.25">
      <c r="A55" s="612" t="s">
        <v>1674</v>
      </c>
      <c r="B55" s="798">
        <v>80906</v>
      </c>
      <c r="C55" s="799" t="s">
        <v>4273</v>
      </c>
      <c r="D55" s="799" t="s">
        <v>5017</v>
      </c>
      <c r="E55" s="525" t="s">
        <v>5000</v>
      </c>
      <c r="F55" s="525"/>
      <c r="G55" s="800"/>
      <c r="H55" s="800">
        <v>-98418</v>
      </c>
      <c r="I55" s="800">
        <v>98418</v>
      </c>
      <c r="J55" s="525" t="s">
        <v>2701</v>
      </c>
      <c r="K55" s="801">
        <v>3425</v>
      </c>
      <c r="L55" s="525" t="s">
        <v>806</v>
      </c>
      <c r="M55" s="802"/>
      <c r="N55" s="803"/>
      <c r="O55" s="799" t="s">
        <v>1674</v>
      </c>
      <c r="P55" s="799" t="s">
        <v>1674</v>
      </c>
      <c r="Q55" s="799" t="s">
        <v>5018</v>
      </c>
      <c r="R55" s="799" t="s">
        <v>1674</v>
      </c>
      <c r="S55" s="799" t="s">
        <v>1674</v>
      </c>
      <c r="T55" s="804">
        <v>19</v>
      </c>
      <c r="U55" s="799" t="s">
        <v>4929</v>
      </c>
      <c r="V55" s="801">
        <v>53</v>
      </c>
      <c r="W55" s="802"/>
      <c r="X55" s="525"/>
      <c r="Y55" s="799" t="s">
        <v>1674</v>
      </c>
      <c r="Z55" s="525"/>
      <c r="AA55" s="799" t="s">
        <v>1674</v>
      </c>
      <c r="AB55" s="525"/>
      <c r="AC55" s="525"/>
      <c r="AD55" s="525"/>
      <c r="AE55" s="805"/>
      <c r="AF55" s="799" t="s">
        <v>1674</v>
      </c>
      <c r="AG55" s="799" t="s">
        <v>1674</v>
      </c>
      <c r="AH55" s="799" t="s">
        <v>1674</v>
      </c>
      <c r="AI55" s="799" t="s">
        <v>1674</v>
      </c>
      <c r="AJ55" s="799" t="s">
        <v>1674</v>
      </c>
      <c r="AK55" s="799" t="s">
        <v>1674</v>
      </c>
      <c r="AL55" s="799" t="s">
        <v>1674</v>
      </c>
      <c r="AM55" s="799" t="s">
        <v>4276</v>
      </c>
      <c r="AN55" s="799" t="s">
        <v>1674</v>
      </c>
      <c r="AO55" s="525"/>
      <c r="AP55" s="525">
        <f t="shared" si="0"/>
        <v>0</v>
      </c>
      <c r="AQ55" s="806"/>
    </row>
    <row r="56" spans="1:43" outlineLevel="1" x14ac:dyDescent="0.25">
      <c r="A56" s="612" t="s">
        <v>1674</v>
      </c>
      <c r="B56" s="798">
        <v>0</v>
      </c>
      <c r="C56" s="799" t="s">
        <v>1674</v>
      </c>
      <c r="D56" s="799" t="s">
        <v>5019</v>
      </c>
      <c r="E56" s="525" t="s">
        <v>5000</v>
      </c>
      <c r="F56" s="525"/>
      <c r="G56" s="800"/>
      <c r="H56" s="800">
        <v>-82527</v>
      </c>
      <c r="I56" s="800">
        <v>82527</v>
      </c>
      <c r="J56" s="525" t="s">
        <v>2701</v>
      </c>
      <c r="K56" s="801">
        <v>3425</v>
      </c>
      <c r="L56" s="525" t="s">
        <v>806</v>
      </c>
      <c r="M56" s="802"/>
      <c r="N56" s="803"/>
      <c r="O56" s="799" t="s">
        <v>1674</v>
      </c>
      <c r="P56" s="799" t="s">
        <v>1674</v>
      </c>
      <c r="Q56" s="799" t="s">
        <v>5018</v>
      </c>
      <c r="R56" s="799" t="s">
        <v>1674</v>
      </c>
      <c r="S56" s="799" t="s">
        <v>1674</v>
      </c>
      <c r="T56" s="804">
        <v>19</v>
      </c>
      <c r="U56" s="799" t="s">
        <v>4929</v>
      </c>
      <c r="V56" s="801">
        <v>54</v>
      </c>
      <c r="W56" s="802"/>
      <c r="X56" s="525"/>
      <c r="Y56" s="799" t="s">
        <v>1674</v>
      </c>
      <c r="Z56" s="525"/>
      <c r="AA56" s="799" t="s">
        <v>1674</v>
      </c>
      <c r="AB56" s="525"/>
      <c r="AC56" s="525"/>
      <c r="AD56" s="525"/>
      <c r="AE56" s="805"/>
      <c r="AF56" s="799" t="s">
        <v>1674</v>
      </c>
      <c r="AG56" s="799" t="s">
        <v>1674</v>
      </c>
      <c r="AH56" s="799" t="s">
        <v>1674</v>
      </c>
      <c r="AI56" s="799" t="s">
        <v>1674</v>
      </c>
      <c r="AJ56" s="799" t="s">
        <v>1674</v>
      </c>
      <c r="AK56" s="799" t="s">
        <v>1674</v>
      </c>
      <c r="AL56" s="799" t="s">
        <v>1674</v>
      </c>
      <c r="AM56" s="799" t="s">
        <v>1674</v>
      </c>
      <c r="AN56" s="799" t="s">
        <v>1674</v>
      </c>
      <c r="AO56" s="525"/>
      <c r="AP56" s="525">
        <f t="shared" si="0"/>
        <v>0</v>
      </c>
      <c r="AQ56" s="806"/>
    </row>
    <row r="57" spans="1:43" outlineLevel="1" x14ac:dyDescent="0.25">
      <c r="A57" s="612" t="s">
        <v>1674</v>
      </c>
      <c r="B57" s="786">
        <v>81201</v>
      </c>
      <c r="C57" s="612" t="s">
        <v>5020</v>
      </c>
      <c r="D57" s="612" t="s">
        <v>5021</v>
      </c>
      <c r="E57" t="s">
        <v>5022</v>
      </c>
      <c r="F57" t="s">
        <v>5023</v>
      </c>
      <c r="G57" s="787"/>
      <c r="H57" s="787">
        <v>1300</v>
      </c>
      <c r="I57" s="787">
        <v>1300</v>
      </c>
      <c r="J57" t="s">
        <v>2584</v>
      </c>
      <c r="K57" s="611">
        <v>3425</v>
      </c>
      <c r="L57" t="s">
        <v>806</v>
      </c>
      <c r="M57" s="614"/>
      <c r="N57" s="788">
        <v>16</v>
      </c>
      <c r="O57" s="612" t="s">
        <v>1674</v>
      </c>
      <c r="P57" s="612" t="s">
        <v>1674</v>
      </c>
      <c r="Q57" s="612" t="s">
        <v>5024</v>
      </c>
      <c r="R57" s="612" t="s">
        <v>1674</v>
      </c>
      <c r="S57" s="612" t="s">
        <v>1674</v>
      </c>
      <c r="T57" s="789">
        <v>19</v>
      </c>
      <c r="U57" s="612" t="s">
        <v>4900</v>
      </c>
      <c r="V57" s="611">
        <v>1069</v>
      </c>
      <c r="W57" s="614"/>
      <c r="Y57" s="612" t="s">
        <v>1674</v>
      </c>
      <c r="AA57" s="612" t="s">
        <v>1674</v>
      </c>
      <c r="AB57">
        <v>3</v>
      </c>
      <c r="AE57" s="790"/>
      <c r="AF57" s="612" t="s">
        <v>1674</v>
      </c>
      <c r="AG57" s="612" t="s">
        <v>1674</v>
      </c>
      <c r="AH57" s="612" t="s">
        <v>1674</v>
      </c>
      <c r="AI57" s="612" t="s">
        <v>1674</v>
      </c>
      <c r="AJ57" s="612" t="s">
        <v>1674</v>
      </c>
      <c r="AK57" s="612" t="s">
        <v>1674</v>
      </c>
      <c r="AL57" s="612" t="s">
        <v>1674</v>
      </c>
      <c r="AM57" s="612" t="s">
        <v>5025</v>
      </c>
      <c r="AN57" s="612" t="s">
        <v>1674</v>
      </c>
      <c r="AP57">
        <f t="shared" si="0"/>
        <v>-16</v>
      </c>
      <c r="AQ57" s="552">
        <f t="shared" si="1"/>
        <v>1300</v>
      </c>
    </row>
    <row r="58" spans="1:43" outlineLevel="1" x14ac:dyDescent="0.25">
      <c r="A58" s="612" t="s">
        <v>1674</v>
      </c>
      <c r="B58" s="786">
        <v>81202</v>
      </c>
      <c r="C58" s="612" t="s">
        <v>5026</v>
      </c>
      <c r="D58" s="612" t="s">
        <v>5027</v>
      </c>
      <c r="E58" t="s">
        <v>4308</v>
      </c>
      <c r="F58" t="s">
        <v>5028</v>
      </c>
      <c r="G58" s="787"/>
      <c r="H58" s="787">
        <v>1256.4000000000001</v>
      </c>
      <c r="I58" s="787">
        <v>1256.4000000000001</v>
      </c>
      <c r="J58" t="s">
        <v>2584</v>
      </c>
      <c r="K58" s="611">
        <v>3425</v>
      </c>
      <c r="L58" t="s">
        <v>806</v>
      </c>
      <c r="M58" s="614"/>
      <c r="N58" s="788">
        <v>40</v>
      </c>
      <c r="O58" s="612" t="s">
        <v>1674</v>
      </c>
      <c r="P58" s="612" t="s">
        <v>1674</v>
      </c>
      <c r="Q58" s="612" t="s">
        <v>5029</v>
      </c>
      <c r="R58" s="612" t="s">
        <v>1674</v>
      </c>
      <c r="S58" s="612" t="s">
        <v>1674</v>
      </c>
      <c r="T58" s="789">
        <v>19</v>
      </c>
      <c r="U58" s="612" t="s">
        <v>4900</v>
      </c>
      <c r="V58" s="611">
        <v>714</v>
      </c>
      <c r="W58" s="614"/>
      <c r="Y58" s="612" t="s">
        <v>1674</v>
      </c>
      <c r="AA58" s="612" t="s">
        <v>1674</v>
      </c>
      <c r="AB58">
        <v>3</v>
      </c>
      <c r="AE58" s="790"/>
      <c r="AF58" s="612" t="s">
        <v>1674</v>
      </c>
      <c r="AG58" s="612" t="s">
        <v>1674</v>
      </c>
      <c r="AH58" s="612" t="s">
        <v>1674</v>
      </c>
      <c r="AI58" s="612" t="s">
        <v>1674</v>
      </c>
      <c r="AJ58" s="612" t="s">
        <v>1674</v>
      </c>
      <c r="AK58" s="612" t="s">
        <v>1674</v>
      </c>
      <c r="AL58" s="612" t="s">
        <v>1674</v>
      </c>
      <c r="AM58" s="612" t="s">
        <v>5030</v>
      </c>
      <c r="AN58" s="612" t="s">
        <v>1674</v>
      </c>
      <c r="AP58">
        <f t="shared" si="0"/>
        <v>-40</v>
      </c>
      <c r="AQ58" s="552">
        <f t="shared" si="1"/>
        <v>1256.4000000000001</v>
      </c>
    </row>
    <row r="59" spans="1:43" outlineLevel="1" x14ac:dyDescent="0.25">
      <c r="A59" s="612" t="s">
        <v>1674</v>
      </c>
      <c r="B59" s="786">
        <v>81303</v>
      </c>
      <c r="C59" s="612" t="s">
        <v>3971</v>
      </c>
      <c r="D59" s="612" t="s">
        <v>4462</v>
      </c>
      <c r="E59" t="s">
        <v>3899</v>
      </c>
      <c r="G59" s="787">
        <v>25</v>
      </c>
      <c r="H59" s="787"/>
      <c r="I59" s="787">
        <v>25</v>
      </c>
      <c r="J59" t="s">
        <v>2701</v>
      </c>
      <c r="K59" s="611">
        <v>3425</v>
      </c>
      <c r="L59" t="s">
        <v>806</v>
      </c>
      <c r="M59" s="614"/>
      <c r="N59" s="788"/>
      <c r="O59" s="612" t="s">
        <v>1674</v>
      </c>
      <c r="P59" s="612" t="s">
        <v>1674</v>
      </c>
      <c r="Q59" s="612" t="s">
        <v>4012</v>
      </c>
      <c r="R59" s="612" t="s">
        <v>1674</v>
      </c>
      <c r="S59" s="612" t="s">
        <v>1674</v>
      </c>
      <c r="T59" s="789">
        <v>19</v>
      </c>
      <c r="U59" s="612" t="s">
        <v>3328</v>
      </c>
      <c r="V59" s="611">
        <v>1678</v>
      </c>
      <c r="W59" s="614"/>
      <c r="Y59" s="612" t="s">
        <v>1674</v>
      </c>
      <c r="AA59" s="612" t="s">
        <v>1674</v>
      </c>
      <c r="AE59" s="790"/>
      <c r="AF59" s="612" t="s">
        <v>1674</v>
      </c>
      <c r="AG59" s="612" t="s">
        <v>1674</v>
      </c>
      <c r="AH59" s="612" t="s">
        <v>1674</v>
      </c>
      <c r="AI59" s="612" t="s">
        <v>1674</v>
      </c>
      <c r="AJ59" s="612" t="s">
        <v>1674</v>
      </c>
      <c r="AK59" s="612" t="s">
        <v>1674</v>
      </c>
      <c r="AL59" s="612" t="s">
        <v>1674</v>
      </c>
      <c r="AM59" s="612" t="s">
        <v>3976</v>
      </c>
      <c r="AN59" s="612" t="s">
        <v>1674</v>
      </c>
      <c r="AP59">
        <f t="shared" si="0"/>
        <v>0</v>
      </c>
      <c r="AQ59" s="552">
        <f t="shared" si="1"/>
        <v>-25</v>
      </c>
    </row>
    <row r="60" spans="1:43" outlineLevel="1" x14ac:dyDescent="0.25">
      <c r="A60" s="612" t="s">
        <v>1674</v>
      </c>
      <c r="B60" s="786">
        <v>0</v>
      </c>
      <c r="C60" s="612" t="s">
        <v>1674</v>
      </c>
      <c r="D60" s="612" t="s">
        <v>4463</v>
      </c>
      <c r="E60" t="s">
        <v>3899</v>
      </c>
      <c r="G60" s="787">
        <v>502.4</v>
      </c>
      <c r="H60" s="787"/>
      <c r="I60" s="787">
        <v>502.4</v>
      </c>
      <c r="J60" t="s">
        <v>2701</v>
      </c>
      <c r="K60" s="611">
        <v>3425</v>
      </c>
      <c r="L60" t="s">
        <v>806</v>
      </c>
      <c r="M60" s="614"/>
      <c r="N60" s="788"/>
      <c r="O60" s="612" t="s">
        <v>1674</v>
      </c>
      <c r="P60" s="612" t="s">
        <v>1674</v>
      </c>
      <c r="Q60" s="612" t="s">
        <v>4012</v>
      </c>
      <c r="R60" s="612" t="s">
        <v>1674</v>
      </c>
      <c r="S60" s="612" t="s">
        <v>1674</v>
      </c>
      <c r="T60" s="789">
        <v>19</v>
      </c>
      <c r="U60" s="612" t="s">
        <v>3328</v>
      </c>
      <c r="V60" s="611">
        <v>1679</v>
      </c>
      <c r="W60" s="614"/>
      <c r="Y60" s="612" t="s">
        <v>1674</v>
      </c>
      <c r="AA60" s="612" t="s">
        <v>1674</v>
      </c>
      <c r="AE60" s="790"/>
      <c r="AF60" s="612" t="s">
        <v>1674</v>
      </c>
      <c r="AG60" s="612" t="s">
        <v>1674</v>
      </c>
      <c r="AH60" s="612" t="s">
        <v>1674</v>
      </c>
      <c r="AI60" s="612" t="s">
        <v>1674</v>
      </c>
      <c r="AJ60" s="612" t="s">
        <v>1674</v>
      </c>
      <c r="AK60" s="612" t="s">
        <v>1674</v>
      </c>
      <c r="AL60" s="612" t="s">
        <v>1674</v>
      </c>
      <c r="AM60" s="612" t="s">
        <v>1674</v>
      </c>
      <c r="AN60" s="612" t="s">
        <v>1674</v>
      </c>
      <c r="AP60">
        <f t="shared" si="0"/>
        <v>0</v>
      </c>
      <c r="AQ60" s="552">
        <f t="shared" si="1"/>
        <v>-502.4</v>
      </c>
    </row>
    <row r="61" spans="1:43" outlineLevel="1" x14ac:dyDescent="0.25">
      <c r="A61" s="612" t="s">
        <v>1674</v>
      </c>
      <c r="B61" s="786">
        <v>0</v>
      </c>
      <c r="C61" s="612" t="s">
        <v>1674</v>
      </c>
      <c r="D61" s="612" t="s">
        <v>5031</v>
      </c>
      <c r="E61" t="s">
        <v>3859</v>
      </c>
      <c r="G61" s="787">
        <v>90.33</v>
      </c>
      <c r="H61" s="787"/>
      <c r="I61" s="787">
        <v>90.33</v>
      </c>
      <c r="J61" t="s">
        <v>2701</v>
      </c>
      <c r="K61" s="611">
        <v>3425</v>
      </c>
      <c r="L61" t="s">
        <v>806</v>
      </c>
      <c r="M61" s="614"/>
      <c r="N61" s="788"/>
      <c r="O61" s="612" t="s">
        <v>1674</v>
      </c>
      <c r="P61" s="612" t="s">
        <v>1674</v>
      </c>
      <c r="Q61" s="612" t="s">
        <v>4012</v>
      </c>
      <c r="R61" s="612" t="s">
        <v>1674</v>
      </c>
      <c r="S61" s="612" t="s">
        <v>1674</v>
      </c>
      <c r="T61" s="789">
        <v>19</v>
      </c>
      <c r="U61" s="612" t="s">
        <v>5002</v>
      </c>
      <c r="V61" s="611">
        <v>1473</v>
      </c>
      <c r="W61" s="614"/>
      <c r="Y61" s="612" t="s">
        <v>1674</v>
      </c>
      <c r="AA61" s="612" t="s">
        <v>1674</v>
      </c>
      <c r="AE61" s="790"/>
      <c r="AF61" s="612" t="s">
        <v>1674</v>
      </c>
      <c r="AG61" s="612" t="s">
        <v>1674</v>
      </c>
      <c r="AH61" s="612" t="s">
        <v>1674</v>
      </c>
      <c r="AI61" s="612" t="s">
        <v>1674</v>
      </c>
      <c r="AJ61" s="612" t="s">
        <v>1674</v>
      </c>
      <c r="AK61" s="612" t="s">
        <v>1674</v>
      </c>
      <c r="AL61" s="612" t="s">
        <v>1674</v>
      </c>
      <c r="AM61" s="612" t="s">
        <v>1674</v>
      </c>
      <c r="AN61" s="612" t="s">
        <v>1674</v>
      </c>
      <c r="AP61">
        <f t="shared" si="0"/>
        <v>0</v>
      </c>
      <c r="AQ61" s="552">
        <f t="shared" si="1"/>
        <v>-90.33</v>
      </c>
    </row>
    <row r="62" spans="1:43" outlineLevel="1" x14ac:dyDescent="0.25">
      <c r="A62" s="612" t="s">
        <v>1674</v>
      </c>
      <c r="B62" s="786">
        <v>0</v>
      </c>
      <c r="C62" s="612" t="s">
        <v>1674</v>
      </c>
      <c r="D62" s="612" t="s">
        <v>5032</v>
      </c>
      <c r="E62" t="s">
        <v>5022</v>
      </c>
      <c r="F62" t="s">
        <v>5033</v>
      </c>
      <c r="G62" s="787"/>
      <c r="H62" s="787">
        <v>28129.599999999999</v>
      </c>
      <c r="I62" s="787">
        <v>28129.599999999999</v>
      </c>
      <c r="J62" t="s">
        <v>2584</v>
      </c>
      <c r="K62" s="611" t="s">
        <v>4945</v>
      </c>
      <c r="L62" t="s">
        <v>2552</v>
      </c>
      <c r="M62" s="614"/>
      <c r="N62" s="788">
        <v>46</v>
      </c>
      <c r="O62" s="612" t="s">
        <v>1674</v>
      </c>
      <c r="P62" s="612" t="s">
        <v>1674</v>
      </c>
      <c r="Q62" s="612" t="s">
        <v>4012</v>
      </c>
      <c r="R62" s="612" t="s">
        <v>1674</v>
      </c>
      <c r="S62" s="612" t="s">
        <v>1674</v>
      </c>
      <c r="T62" s="789">
        <v>19</v>
      </c>
      <c r="U62" s="612" t="s">
        <v>4900</v>
      </c>
      <c r="V62" s="611">
        <v>1070</v>
      </c>
      <c r="W62" s="614"/>
      <c r="Y62" s="612" t="s">
        <v>1674</v>
      </c>
      <c r="AA62" s="612" t="s">
        <v>1674</v>
      </c>
      <c r="AB62">
        <v>3</v>
      </c>
      <c r="AE62" s="790"/>
      <c r="AF62" s="612" t="s">
        <v>1674</v>
      </c>
      <c r="AG62" s="612" t="s">
        <v>1674</v>
      </c>
      <c r="AH62" s="612" t="s">
        <v>1674</v>
      </c>
      <c r="AI62" s="612" t="s">
        <v>1674</v>
      </c>
      <c r="AJ62" s="612" t="s">
        <v>1674</v>
      </c>
      <c r="AK62" s="612" t="s">
        <v>1674</v>
      </c>
      <c r="AL62" s="612" t="s">
        <v>1674</v>
      </c>
      <c r="AM62" s="612" t="s">
        <v>1674</v>
      </c>
      <c r="AN62" s="612" t="s">
        <v>1674</v>
      </c>
      <c r="AP62">
        <f t="shared" si="0"/>
        <v>-46</v>
      </c>
      <c r="AQ62" s="552">
        <f t="shared" si="1"/>
        <v>28129.599999999999</v>
      </c>
    </row>
    <row r="63" spans="1:43" outlineLevel="1" x14ac:dyDescent="0.25">
      <c r="A63" s="612" t="s">
        <v>1674</v>
      </c>
      <c r="B63" s="786">
        <v>81901</v>
      </c>
      <c r="C63" s="612" t="s">
        <v>5034</v>
      </c>
      <c r="D63" s="612" t="s">
        <v>5035</v>
      </c>
      <c r="E63" t="s">
        <v>5036</v>
      </c>
      <c r="F63" t="s">
        <v>4916</v>
      </c>
      <c r="G63" s="787"/>
      <c r="H63" s="787">
        <v>2592.9</v>
      </c>
      <c r="I63" s="787">
        <v>2592.9</v>
      </c>
      <c r="J63" t="s">
        <v>2584</v>
      </c>
      <c r="K63" s="611">
        <v>3425</v>
      </c>
      <c r="L63" t="s">
        <v>806</v>
      </c>
      <c r="M63" s="614"/>
      <c r="N63" s="788">
        <v>18</v>
      </c>
      <c r="O63" s="612" t="s">
        <v>1674</v>
      </c>
      <c r="P63" s="612" t="s">
        <v>1674</v>
      </c>
      <c r="Q63" s="612" t="s">
        <v>5037</v>
      </c>
      <c r="R63" s="612" t="s">
        <v>1674</v>
      </c>
      <c r="S63" s="612" t="s">
        <v>1674</v>
      </c>
      <c r="T63" s="789">
        <v>19</v>
      </c>
      <c r="U63" s="612" t="s">
        <v>5010</v>
      </c>
      <c r="V63" s="611">
        <v>1136</v>
      </c>
      <c r="W63" s="614"/>
      <c r="Y63" s="612" t="s">
        <v>1674</v>
      </c>
      <c r="AA63" s="612" t="s">
        <v>1674</v>
      </c>
      <c r="AB63">
        <v>3</v>
      </c>
      <c r="AE63" s="790"/>
      <c r="AF63" s="612" t="s">
        <v>1674</v>
      </c>
      <c r="AG63" s="612" t="s">
        <v>1674</v>
      </c>
      <c r="AH63" s="612" t="s">
        <v>1674</v>
      </c>
      <c r="AI63" s="612" t="s">
        <v>1674</v>
      </c>
      <c r="AJ63" s="612" t="s">
        <v>1674</v>
      </c>
      <c r="AK63" s="612" t="s">
        <v>1674</v>
      </c>
      <c r="AL63" s="612" t="s">
        <v>1674</v>
      </c>
      <c r="AM63" s="612" t="s">
        <v>5038</v>
      </c>
      <c r="AN63" s="612" t="s">
        <v>1674</v>
      </c>
      <c r="AP63">
        <f t="shared" si="0"/>
        <v>-18</v>
      </c>
      <c r="AQ63" s="552">
        <f t="shared" si="1"/>
        <v>2592.9</v>
      </c>
    </row>
    <row r="64" spans="1:43" outlineLevel="1" x14ac:dyDescent="0.25">
      <c r="A64" s="612" t="s">
        <v>1674</v>
      </c>
      <c r="B64" s="786">
        <v>90503</v>
      </c>
      <c r="C64" s="612" t="s">
        <v>5039</v>
      </c>
      <c r="D64" s="612" t="s">
        <v>5040</v>
      </c>
      <c r="E64" t="s">
        <v>5041</v>
      </c>
      <c r="F64" t="s">
        <v>5042</v>
      </c>
      <c r="G64" s="787"/>
      <c r="H64" s="787">
        <v>2549.0700000000002</v>
      </c>
      <c r="I64" s="787">
        <v>2549.0700000000002</v>
      </c>
      <c r="J64" t="s">
        <v>2584</v>
      </c>
      <c r="K64" s="611">
        <v>4950</v>
      </c>
      <c r="L64" t="s">
        <v>806</v>
      </c>
      <c r="M64" s="614"/>
      <c r="N64" s="788">
        <v>27</v>
      </c>
      <c r="O64" s="612" t="s">
        <v>1674</v>
      </c>
      <c r="P64" s="612" t="s">
        <v>1674</v>
      </c>
      <c r="Q64" s="612" t="s">
        <v>5043</v>
      </c>
      <c r="R64" s="612" t="s">
        <v>1674</v>
      </c>
      <c r="S64" s="612" t="s">
        <v>1674</v>
      </c>
      <c r="T64" s="789">
        <v>19</v>
      </c>
      <c r="U64" s="612" t="s">
        <v>4900</v>
      </c>
      <c r="V64" s="611">
        <v>1592</v>
      </c>
      <c r="W64" s="614"/>
      <c r="Y64" s="612" t="s">
        <v>1674</v>
      </c>
      <c r="AA64" s="612" t="s">
        <v>1674</v>
      </c>
      <c r="AB64">
        <v>3</v>
      </c>
      <c r="AE64" s="790"/>
      <c r="AF64" s="612" t="s">
        <v>1674</v>
      </c>
      <c r="AG64" s="612" t="s">
        <v>1674</v>
      </c>
      <c r="AH64" s="612" t="s">
        <v>1674</v>
      </c>
      <c r="AI64" s="612" t="s">
        <v>1674</v>
      </c>
      <c r="AJ64" s="612" t="s">
        <v>1674</v>
      </c>
      <c r="AK64" s="612" t="s">
        <v>1674</v>
      </c>
      <c r="AL64" s="612" t="s">
        <v>1674</v>
      </c>
      <c r="AM64" s="612" t="s">
        <v>5044</v>
      </c>
      <c r="AN64" s="612" t="s">
        <v>1674</v>
      </c>
      <c r="AP64">
        <f t="shared" si="0"/>
        <v>-27</v>
      </c>
      <c r="AQ64" s="552">
        <f t="shared" si="1"/>
        <v>2549.0700000000002</v>
      </c>
    </row>
  </sheetData>
  <conditionalFormatting sqref="Q1:Q1048576">
    <cfRule type="containsText" dxfId="6" priority="1" operator="containsText" text="HzMs Invest GmbH &amp; Co. KG">
      <formula>NOT(ISERROR(SEARCH("HzMs Invest GmbH &amp; Co. KG",Q1)))</formula>
    </cfRule>
  </conditionalFormatting>
  <pageMargins left="0.7" right="0.7" top="0.78740157499999996" bottom="0.78740157499999996"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B3663-6E03-45D4-9AC1-B111799973D3}">
  <sheetPr>
    <tabColor theme="1" tint="0.499984740745262"/>
  </sheetPr>
  <dimension ref="A1:C106"/>
  <sheetViews>
    <sheetView workbookViewId="0"/>
  </sheetViews>
  <sheetFormatPr defaultColWidth="8.85546875" defaultRowHeight="15" x14ac:dyDescent="0.25"/>
  <cols>
    <col min="1" max="1" width="92.42578125" bestFit="1" customWidth="1"/>
    <col min="3" max="3" width="63.7109375" customWidth="1"/>
  </cols>
  <sheetData>
    <row r="1" spans="1:3" x14ac:dyDescent="0.25">
      <c r="A1" s="366" t="s">
        <v>680</v>
      </c>
      <c r="C1" s="366" t="s">
        <v>681</v>
      </c>
    </row>
    <row r="2" spans="1:3" x14ac:dyDescent="0.25">
      <c r="A2" t="s">
        <v>682</v>
      </c>
      <c r="C2" t="s">
        <v>764</v>
      </c>
    </row>
    <row r="3" spans="1:3" x14ac:dyDescent="0.25">
      <c r="A3" t="s">
        <v>683</v>
      </c>
      <c r="C3" t="s">
        <v>765</v>
      </c>
    </row>
    <row r="4" spans="1:3" x14ac:dyDescent="0.25">
      <c r="A4" t="s">
        <v>677</v>
      </c>
      <c r="C4" t="s">
        <v>766</v>
      </c>
    </row>
    <row r="5" spans="1:3" x14ac:dyDescent="0.25">
      <c r="A5" t="s">
        <v>684</v>
      </c>
      <c r="C5" t="s">
        <v>767</v>
      </c>
    </row>
    <row r="6" spans="1:3" x14ac:dyDescent="0.25">
      <c r="A6" t="s">
        <v>685</v>
      </c>
      <c r="C6" t="s">
        <v>768</v>
      </c>
    </row>
    <row r="7" spans="1:3" x14ac:dyDescent="0.25">
      <c r="A7" t="s">
        <v>686</v>
      </c>
      <c r="C7" t="s">
        <v>769</v>
      </c>
    </row>
    <row r="8" spans="1:3" x14ac:dyDescent="0.25">
      <c r="A8" t="s">
        <v>687</v>
      </c>
      <c r="C8" t="s">
        <v>770</v>
      </c>
    </row>
    <row r="9" spans="1:3" x14ac:dyDescent="0.25">
      <c r="A9" t="s">
        <v>688</v>
      </c>
      <c r="C9" t="s">
        <v>771</v>
      </c>
    </row>
    <row r="10" spans="1:3" x14ac:dyDescent="0.25">
      <c r="A10" t="s">
        <v>689</v>
      </c>
      <c r="C10" t="s">
        <v>772</v>
      </c>
    </row>
    <row r="11" spans="1:3" x14ac:dyDescent="0.25">
      <c r="A11" t="s">
        <v>690</v>
      </c>
      <c r="C11" t="s">
        <v>773</v>
      </c>
    </row>
    <row r="12" spans="1:3" x14ac:dyDescent="0.25">
      <c r="A12" t="s">
        <v>691</v>
      </c>
      <c r="C12" t="s">
        <v>791</v>
      </c>
    </row>
    <row r="13" spans="1:3" x14ac:dyDescent="0.25">
      <c r="A13" t="s">
        <v>692</v>
      </c>
      <c r="C13" t="s">
        <v>792</v>
      </c>
    </row>
    <row r="14" spans="1:3" x14ac:dyDescent="0.25">
      <c r="A14" t="s">
        <v>693</v>
      </c>
      <c r="C14" t="s">
        <v>793</v>
      </c>
    </row>
    <row r="15" spans="1:3" x14ac:dyDescent="0.25">
      <c r="A15" t="s">
        <v>694</v>
      </c>
      <c r="C15" t="s">
        <v>794</v>
      </c>
    </row>
    <row r="16" spans="1:3" x14ac:dyDescent="0.25">
      <c r="A16" t="s">
        <v>695</v>
      </c>
      <c r="C16" t="s">
        <v>795</v>
      </c>
    </row>
    <row r="17" spans="1:3" x14ac:dyDescent="0.25">
      <c r="A17" t="s">
        <v>696</v>
      </c>
      <c r="C17" t="s">
        <v>808</v>
      </c>
    </row>
    <row r="18" spans="1:3" x14ac:dyDescent="0.25">
      <c r="A18" t="s">
        <v>697</v>
      </c>
      <c r="C18" t="s">
        <v>809</v>
      </c>
    </row>
    <row r="19" spans="1:3" x14ac:dyDescent="0.25">
      <c r="A19" t="s">
        <v>698</v>
      </c>
      <c r="C19" t="s">
        <v>810</v>
      </c>
    </row>
    <row r="20" spans="1:3" x14ac:dyDescent="0.25">
      <c r="A20" t="s">
        <v>699</v>
      </c>
      <c r="C20" t="s">
        <v>811</v>
      </c>
    </row>
    <row r="21" spans="1:3" x14ac:dyDescent="0.25">
      <c r="A21" t="s">
        <v>1352</v>
      </c>
      <c r="C21" t="s">
        <v>812</v>
      </c>
    </row>
    <row r="22" spans="1:3" x14ac:dyDescent="0.25">
      <c r="A22" t="s">
        <v>700</v>
      </c>
      <c r="C22" t="s">
        <v>813</v>
      </c>
    </row>
    <row r="23" spans="1:3" x14ac:dyDescent="0.25">
      <c r="A23" t="s">
        <v>701</v>
      </c>
      <c r="C23" t="s">
        <v>807</v>
      </c>
    </row>
    <row r="24" spans="1:3" x14ac:dyDescent="0.25">
      <c r="A24" t="s">
        <v>702</v>
      </c>
      <c r="C24" t="s">
        <v>814</v>
      </c>
    </row>
    <row r="25" spans="1:3" x14ac:dyDescent="0.25">
      <c r="A25" t="s">
        <v>703</v>
      </c>
      <c r="C25" t="s">
        <v>815</v>
      </c>
    </row>
    <row r="26" spans="1:3" x14ac:dyDescent="0.25">
      <c r="A26" t="s">
        <v>704</v>
      </c>
      <c r="C26" t="s">
        <v>816</v>
      </c>
    </row>
    <row r="27" spans="1:3" x14ac:dyDescent="0.25">
      <c r="A27" t="s">
        <v>705</v>
      </c>
      <c r="C27" t="s">
        <v>817</v>
      </c>
    </row>
    <row r="28" spans="1:3" x14ac:dyDescent="0.25">
      <c r="A28" t="s">
        <v>706</v>
      </c>
      <c r="C28" t="s">
        <v>818</v>
      </c>
    </row>
    <row r="29" spans="1:3" x14ac:dyDescent="0.25">
      <c r="A29" t="s">
        <v>2391</v>
      </c>
      <c r="C29" t="s">
        <v>781</v>
      </c>
    </row>
    <row r="30" spans="1:3" x14ac:dyDescent="0.25">
      <c r="A30" t="s">
        <v>2392</v>
      </c>
      <c r="C30" t="s">
        <v>782</v>
      </c>
    </row>
    <row r="31" spans="1:3" x14ac:dyDescent="0.25">
      <c r="A31" t="s">
        <v>2390</v>
      </c>
      <c r="C31" t="s">
        <v>783</v>
      </c>
    </row>
    <row r="32" spans="1:3" x14ac:dyDescent="0.25">
      <c r="A32" t="s">
        <v>1814</v>
      </c>
      <c r="C32" t="s">
        <v>856</v>
      </c>
    </row>
    <row r="33" spans="1:3" x14ac:dyDescent="0.25">
      <c r="A33" t="s">
        <v>2388</v>
      </c>
      <c r="C33" t="s">
        <v>857</v>
      </c>
    </row>
    <row r="34" spans="1:3" x14ac:dyDescent="0.25">
      <c r="A34" t="s">
        <v>2389</v>
      </c>
      <c r="C34" t="s">
        <v>858</v>
      </c>
    </row>
    <row r="35" spans="1:3" x14ac:dyDescent="0.25">
      <c r="A35" t="s">
        <v>707</v>
      </c>
      <c r="C35" t="s">
        <v>788</v>
      </c>
    </row>
    <row r="36" spans="1:3" x14ac:dyDescent="0.25">
      <c r="A36" t="s">
        <v>708</v>
      </c>
      <c r="C36" t="s">
        <v>789</v>
      </c>
    </row>
    <row r="37" spans="1:3" x14ac:dyDescent="0.25">
      <c r="A37" t="s">
        <v>709</v>
      </c>
      <c r="C37" t="s">
        <v>790</v>
      </c>
    </row>
    <row r="38" spans="1:3" x14ac:dyDescent="0.25">
      <c r="A38" t="s">
        <v>710</v>
      </c>
      <c r="C38" t="s">
        <v>796</v>
      </c>
    </row>
    <row r="39" spans="1:3" x14ac:dyDescent="0.25">
      <c r="A39" t="s">
        <v>711</v>
      </c>
      <c r="C39" t="s">
        <v>797</v>
      </c>
    </row>
    <row r="40" spans="1:3" x14ac:dyDescent="0.25">
      <c r="A40" t="s">
        <v>712</v>
      </c>
      <c r="C40" t="s">
        <v>798</v>
      </c>
    </row>
    <row r="41" spans="1:3" x14ac:dyDescent="0.25">
      <c r="A41" t="s">
        <v>751</v>
      </c>
      <c r="C41" t="s">
        <v>860</v>
      </c>
    </row>
    <row r="42" spans="1:3" x14ac:dyDescent="0.25">
      <c r="A42" t="s">
        <v>752</v>
      </c>
      <c r="C42" t="s">
        <v>861</v>
      </c>
    </row>
    <row r="43" spans="1:3" x14ac:dyDescent="0.25">
      <c r="A43" t="s">
        <v>753</v>
      </c>
      <c r="C43" t="s">
        <v>862</v>
      </c>
    </row>
    <row r="44" spans="1:3" x14ac:dyDescent="0.25">
      <c r="A44" t="s">
        <v>754</v>
      </c>
      <c r="C44" t="s">
        <v>799</v>
      </c>
    </row>
    <row r="45" spans="1:3" x14ac:dyDescent="0.25">
      <c r="A45" t="s">
        <v>755</v>
      </c>
      <c r="C45" t="s">
        <v>800</v>
      </c>
    </row>
    <row r="46" spans="1:3" x14ac:dyDescent="0.25">
      <c r="A46" t="s">
        <v>756</v>
      </c>
      <c r="C46" t="s">
        <v>801</v>
      </c>
    </row>
    <row r="47" spans="1:3" x14ac:dyDescent="0.25">
      <c r="A47" t="s">
        <v>757</v>
      </c>
      <c r="C47" t="s">
        <v>802</v>
      </c>
    </row>
    <row r="48" spans="1:3" x14ac:dyDescent="0.25">
      <c r="A48" t="s">
        <v>713</v>
      </c>
      <c r="C48" t="s">
        <v>803</v>
      </c>
    </row>
    <row r="49" spans="1:3" x14ac:dyDescent="0.25">
      <c r="A49" t="s">
        <v>714</v>
      </c>
      <c r="C49" t="s">
        <v>804</v>
      </c>
    </row>
    <row r="50" spans="1:3" x14ac:dyDescent="0.25">
      <c r="A50" t="s">
        <v>715</v>
      </c>
    </row>
    <row r="51" spans="1:3" x14ac:dyDescent="0.25">
      <c r="A51" t="s">
        <v>716</v>
      </c>
    </row>
    <row r="52" spans="1:3" x14ac:dyDescent="0.25">
      <c r="A52" t="s">
        <v>717</v>
      </c>
    </row>
    <row r="53" spans="1:3" x14ac:dyDescent="0.25">
      <c r="A53" t="s">
        <v>718</v>
      </c>
    </row>
    <row r="54" spans="1:3" x14ac:dyDescent="0.25">
      <c r="A54" t="s">
        <v>719</v>
      </c>
    </row>
    <row r="55" spans="1:3" x14ac:dyDescent="0.25">
      <c r="A55" t="s">
        <v>720</v>
      </c>
    </row>
    <row r="56" spans="1:3" x14ac:dyDescent="0.25">
      <c r="A56" t="s">
        <v>721</v>
      </c>
    </row>
    <row r="57" spans="1:3" x14ac:dyDescent="0.25">
      <c r="A57" t="s">
        <v>722</v>
      </c>
    </row>
    <row r="58" spans="1:3" x14ac:dyDescent="0.25">
      <c r="A58" t="s">
        <v>723</v>
      </c>
    </row>
    <row r="59" spans="1:3" x14ac:dyDescent="0.25">
      <c r="A59" t="s">
        <v>724</v>
      </c>
    </row>
    <row r="60" spans="1:3" x14ac:dyDescent="0.25">
      <c r="A60" t="s">
        <v>725</v>
      </c>
    </row>
    <row r="61" spans="1:3" x14ac:dyDescent="0.25">
      <c r="A61" t="s">
        <v>726</v>
      </c>
    </row>
    <row r="62" spans="1:3" x14ac:dyDescent="0.25">
      <c r="A62" t="s">
        <v>727</v>
      </c>
    </row>
    <row r="63" spans="1:3" x14ac:dyDescent="0.25">
      <c r="A63" t="s">
        <v>728</v>
      </c>
    </row>
    <row r="64" spans="1:3" x14ac:dyDescent="0.25">
      <c r="A64" t="s">
        <v>729</v>
      </c>
    </row>
    <row r="65" spans="1:1" x14ac:dyDescent="0.25">
      <c r="A65" t="s">
        <v>730</v>
      </c>
    </row>
    <row r="66" spans="1:1" x14ac:dyDescent="0.25">
      <c r="A66" t="s">
        <v>731</v>
      </c>
    </row>
    <row r="67" spans="1:1" x14ac:dyDescent="0.25">
      <c r="A67" t="s">
        <v>732</v>
      </c>
    </row>
    <row r="68" spans="1:1" x14ac:dyDescent="0.25">
      <c r="A68" t="s">
        <v>733</v>
      </c>
    </row>
    <row r="69" spans="1:1" x14ac:dyDescent="0.25">
      <c r="A69" t="s">
        <v>734</v>
      </c>
    </row>
    <row r="70" spans="1:1" x14ac:dyDescent="0.25">
      <c r="A70" t="s">
        <v>735</v>
      </c>
    </row>
    <row r="71" spans="1:1" x14ac:dyDescent="0.25">
      <c r="A71" t="s">
        <v>736</v>
      </c>
    </row>
    <row r="72" spans="1:1" x14ac:dyDescent="0.25">
      <c r="A72" t="s">
        <v>737</v>
      </c>
    </row>
    <row r="73" spans="1:1" x14ac:dyDescent="0.25">
      <c r="A73" t="s">
        <v>738</v>
      </c>
    </row>
    <row r="74" spans="1:1" x14ac:dyDescent="0.25">
      <c r="A74" t="s">
        <v>739</v>
      </c>
    </row>
    <row r="75" spans="1:1" x14ac:dyDescent="0.25">
      <c r="A75" t="s">
        <v>740</v>
      </c>
    </row>
    <row r="76" spans="1:1" x14ac:dyDescent="0.25">
      <c r="A76" t="s">
        <v>741</v>
      </c>
    </row>
    <row r="77" spans="1:1" x14ac:dyDescent="0.25">
      <c r="A77" t="s">
        <v>742</v>
      </c>
    </row>
    <row r="78" spans="1:1" x14ac:dyDescent="0.25">
      <c r="A78" t="s">
        <v>743</v>
      </c>
    </row>
    <row r="79" spans="1:1" x14ac:dyDescent="0.25">
      <c r="A79" t="s">
        <v>744</v>
      </c>
    </row>
    <row r="80" spans="1:1" x14ac:dyDescent="0.25">
      <c r="A80" t="s">
        <v>745</v>
      </c>
    </row>
    <row r="81" spans="1:1" x14ac:dyDescent="0.25">
      <c r="A81" t="s">
        <v>746</v>
      </c>
    </row>
    <row r="82" spans="1:1" x14ac:dyDescent="0.25">
      <c r="A82" t="s">
        <v>747</v>
      </c>
    </row>
    <row r="83" spans="1:1" x14ac:dyDescent="0.25">
      <c r="A83" t="s">
        <v>748</v>
      </c>
    </row>
    <row r="84" spans="1:1" x14ac:dyDescent="0.25">
      <c r="A84" t="s">
        <v>749</v>
      </c>
    </row>
    <row r="85" spans="1:1" x14ac:dyDescent="0.25">
      <c r="A85" t="s">
        <v>750</v>
      </c>
    </row>
    <row r="86" spans="1:1" x14ac:dyDescent="0.25">
      <c r="A86" t="s">
        <v>1373</v>
      </c>
    </row>
    <row r="87" spans="1:1" x14ac:dyDescent="0.25">
      <c r="A87" t="s">
        <v>1384</v>
      </c>
    </row>
    <row r="88" spans="1:1" x14ac:dyDescent="0.25">
      <c r="A88" t="s">
        <v>1391</v>
      </c>
    </row>
    <row r="89" spans="1:1" x14ac:dyDescent="0.25">
      <c r="A89" t="s">
        <v>1566</v>
      </c>
    </row>
    <row r="90" spans="1:1" x14ac:dyDescent="0.25">
      <c r="A90" t="s">
        <v>1593</v>
      </c>
    </row>
    <row r="91" spans="1:1" x14ac:dyDescent="0.25">
      <c r="A91" t="s">
        <v>1596</v>
      </c>
    </row>
    <row r="92" spans="1:1" x14ac:dyDescent="0.25">
      <c r="A92" t="s">
        <v>1601</v>
      </c>
    </row>
    <row r="93" spans="1:1" x14ac:dyDescent="0.25">
      <c r="A93" t="s">
        <v>758</v>
      </c>
    </row>
    <row r="94" spans="1:1" x14ac:dyDescent="0.25">
      <c r="A94" t="s">
        <v>2407</v>
      </c>
    </row>
    <row r="98" spans="1:1" x14ac:dyDescent="0.25">
      <c r="A98" s="1"/>
    </row>
    <row r="99" spans="1:1" x14ac:dyDescent="0.25">
      <c r="A99" s="1"/>
    </row>
    <row r="100" spans="1:1" x14ac:dyDescent="0.25">
      <c r="A100" s="1"/>
    </row>
    <row r="101" spans="1:1" x14ac:dyDescent="0.25">
      <c r="A101" s="1"/>
    </row>
    <row r="103" spans="1:1" x14ac:dyDescent="0.25">
      <c r="A103" s="1"/>
    </row>
    <row r="104" spans="1:1" x14ac:dyDescent="0.25">
      <c r="A104" s="1"/>
    </row>
    <row r="105" spans="1:1" x14ac:dyDescent="0.25">
      <c r="A105" s="1"/>
    </row>
    <row r="106" spans="1:1" x14ac:dyDescent="0.25">
      <c r="A106" s="1"/>
    </row>
  </sheetData>
  <conditionalFormatting sqref="A114:A1048576 A1:A94">
    <cfRule type="duplicateValues" dxfId="5" priority="3"/>
  </conditionalFormatting>
  <conditionalFormatting sqref="C1:C1048576">
    <cfRule type="duplicateValues" dxfId="4" priority="61"/>
  </conditionalFormatting>
  <dataValidations count="1">
    <dataValidation type="list" allowBlank="1" showInputMessage="1" showErrorMessage="1" sqref="A94" xr:uid="{237A2ABB-59E9-4BE6-8FCF-BAE39EE0DBF6}">
      <formula1>$A$2:$A$305</formula1>
    </dataValidation>
  </dataValidations>
  <pageMargins left="0.7" right="0.7" top="0.75" bottom="0.75" header="0.3" footer="0.3"/>
  <pageSetup orientation="portrait" horizontalDpi="4294967295" verticalDpi="4294967295"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CFF1C-533E-49FD-A336-5E398F32C276}">
  <sheetPr>
    <tabColor rgb="FFB1905F"/>
    <pageSetUpPr fitToPage="1"/>
  </sheetPr>
  <dimension ref="A1:AZ49"/>
  <sheetViews>
    <sheetView workbookViewId="0"/>
  </sheetViews>
  <sheetFormatPr defaultColWidth="11.5703125" defaultRowHeight="14.25" outlineLevelRow="1" outlineLevelCol="2" x14ac:dyDescent="0.25"/>
  <cols>
    <col min="1" max="1" width="2.5703125" style="632" customWidth="1"/>
    <col min="2" max="2" width="6.28515625" style="632" customWidth="1"/>
    <col min="3" max="3" width="39.28515625" style="632" customWidth="1"/>
    <col min="4" max="4" width="9.7109375" style="632" hidden="1" customWidth="1" outlineLevel="1"/>
    <col min="5" max="5" width="7.7109375" style="632" hidden="1" customWidth="1" outlineLevel="2"/>
    <col min="6" max="6" width="9.7109375" style="632" hidden="1" customWidth="1" collapsed="1"/>
    <col min="7" max="7" width="7.7109375" style="632" hidden="1" customWidth="1" outlineLevel="2"/>
    <col min="8" max="8" width="9.7109375" style="632" customWidth="1" outlineLevel="1" collapsed="1"/>
    <col min="9" max="9" width="7.7109375" style="632" customWidth="1" outlineLevel="2"/>
    <col min="10" max="10" width="9.7109375" style="632" customWidth="1"/>
    <col min="11" max="11" width="7.7109375" style="632" customWidth="1" outlineLevel="2"/>
    <col min="12" max="12" width="9.7109375" style="632" customWidth="1" outlineLevel="1"/>
    <col min="13" max="13" width="7.7109375" style="632" customWidth="1" outlineLevel="2"/>
    <col min="14" max="14" width="9.7109375" style="632" customWidth="1"/>
    <col min="15" max="15" width="7.7109375" style="632" customWidth="1" outlineLevel="2"/>
    <col min="16" max="16" width="9.7109375" style="632" customWidth="1" outlineLevel="1"/>
    <col min="17" max="17" width="7.7109375" style="632" customWidth="1" outlineLevel="2"/>
    <col min="18" max="18" width="9.7109375" style="632" customWidth="1"/>
    <col min="19" max="19" width="7.7109375" style="632" customWidth="1" outlineLevel="2"/>
    <col min="20" max="20" width="9.7109375" style="632" customWidth="1" outlineLevel="1"/>
    <col min="21" max="21" width="7.7109375" style="632" customWidth="1" outlineLevel="2"/>
    <col min="22" max="22" width="9.7109375" style="632" customWidth="1"/>
    <col min="23" max="23" width="7.7109375" style="632" customWidth="1" outlineLevel="2"/>
    <col min="24" max="24" width="9.7109375" style="632" customWidth="1" outlineLevel="1"/>
    <col min="25" max="25" width="7.7109375" style="632" customWidth="1" outlineLevel="2"/>
    <col min="26" max="26" width="9.7109375" style="632" customWidth="1"/>
    <col min="27" max="27" width="7.7109375" style="632" customWidth="1" outlineLevel="2"/>
    <col min="28" max="28" width="9.7109375" style="632" hidden="1" customWidth="1"/>
    <col min="29" max="29" width="7.7109375" style="733" hidden="1" customWidth="1" outlineLevel="2"/>
    <col min="30" max="30" width="9.7109375" style="632" hidden="1" customWidth="1" collapsed="1"/>
    <col min="31" max="31" width="7.7109375" style="733" hidden="1" customWidth="1" outlineLevel="2"/>
    <col min="32" max="32" width="9.7109375" style="632" hidden="1" customWidth="1" collapsed="1"/>
    <col min="33" max="33" width="7.7109375" style="733" hidden="1" customWidth="1" outlineLevel="2"/>
    <col min="34" max="34" width="9.7109375" style="632" hidden="1" customWidth="1" collapsed="1"/>
    <col min="35" max="35" width="7.7109375" style="733" hidden="1" customWidth="1" outlineLevel="2"/>
    <col min="36" max="36" width="3.7109375" style="632" customWidth="1" collapsed="1"/>
    <col min="37" max="42" width="3.7109375" style="632" customWidth="1"/>
    <col min="43" max="43" width="6.28515625" style="632" customWidth="1"/>
    <col min="44" max="44" width="39.42578125" style="632" customWidth="1"/>
    <col min="45" max="51" width="11.5703125" style="632"/>
    <col min="52" max="52" width="201.85546875" style="632" bestFit="1" customWidth="1"/>
    <col min="53" max="16384" width="11.5703125" style="632"/>
  </cols>
  <sheetData>
    <row r="1" spans="1:52" s="633" customFormat="1" ht="15" customHeight="1" x14ac:dyDescent="0.25">
      <c r="A1" s="630"/>
      <c r="B1" s="1029" t="s">
        <v>4794</v>
      </c>
      <c r="C1" s="1030"/>
      <c r="D1" s="1026">
        <v>2019</v>
      </c>
      <c r="E1" s="1027"/>
      <c r="F1" s="1027"/>
      <c r="G1" s="1028"/>
      <c r="H1" s="1026">
        <v>2020</v>
      </c>
      <c r="I1" s="1027"/>
      <c r="J1" s="1027"/>
      <c r="K1" s="1028"/>
      <c r="L1" s="1026">
        <v>2021</v>
      </c>
      <c r="M1" s="1027"/>
      <c r="N1" s="1027"/>
      <c r="O1" s="1028"/>
      <c r="P1" s="1026">
        <v>2022</v>
      </c>
      <c r="Q1" s="1027"/>
      <c r="R1" s="1027"/>
      <c r="S1" s="1028"/>
      <c r="T1" s="1026">
        <v>2023</v>
      </c>
      <c r="U1" s="1027"/>
      <c r="V1" s="1027"/>
      <c r="W1" s="1028"/>
      <c r="X1" s="1026">
        <v>2024</v>
      </c>
      <c r="Y1" s="1027"/>
      <c r="Z1" s="1027"/>
      <c r="AA1" s="1028"/>
      <c r="AB1" s="1026">
        <v>2025</v>
      </c>
      <c r="AC1" s="1028"/>
      <c r="AD1" s="1026">
        <v>2026</v>
      </c>
      <c r="AE1" s="1028"/>
      <c r="AF1" s="1026">
        <v>2027</v>
      </c>
      <c r="AG1" s="1028"/>
      <c r="AH1" s="1026">
        <v>2028</v>
      </c>
      <c r="AI1" s="1028"/>
      <c r="AJ1" s="631"/>
      <c r="AK1" s="632"/>
      <c r="AL1" s="632"/>
      <c r="AM1" s="632"/>
      <c r="AN1" s="632"/>
      <c r="AO1" s="632"/>
      <c r="AQ1" s="1029" t="s">
        <v>4794</v>
      </c>
      <c r="AR1" s="1040"/>
      <c r="AS1" s="1026" t="s">
        <v>4795</v>
      </c>
      <c r="AT1" s="1027"/>
      <c r="AU1" s="1027"/>
      <c r="AV1" s="1027"/>
      <c r="AW1" s="1027"/>
      <c r="AX1" s="1028"/>
      <c r="AZ1" s="1031" t="s">
        <v>4796</v>
      </c>
    </row>
    <row r="2" spans="1:52" s="633" customFormat="1" ht="15" customHeight="1" x14ac:dyDescent="0.25">
      <c r="A2" s="630"/>
      <c r="B2" s="1033" t="s">
        <v>4797</v>
      </c>
      <c r="C2" s="1034"/>
      <c r="D2" s="634" t="s">
        <v>4798</v>
      </c>
      <c r="E2" s="635" t="s">
        <v>4799</v>
      </c>
      <c r="F2" s="635" t="s">
        <v>4800</v>
      </c>
      <c r="G2" s="636" t="s">
        <v>4799</v>
      </c>
      <c r="H2" s="634" t="s">
        <v>4798</v>
      </c>
      <c r="I2" s="635" t="s">
        <v>4799</v>
      </c>
      <c r="J2" s="635" t="s">
        <v>4800</v>
      </c>
      <c r="K2" s="636" t="s">
        <v>4799</v>
      </c>
      <c r="L2" s="634" t="s">
        <v>4798</v>
      </c>
      <c r="M2" s="635" t="s">
        <v>4799</v>
      </c>
      <c r="N2" s="635" t="s">
        <v>4800</v>
      </c>
      <c r="O2" s="636" t="s">
        <v>4799</v>
      </c>
      <c r="P2" s="634" t="s">
        <v>4798</v>
      </c>
      <c r="Q2" s="635" t="s">
        <v>4799</v>
      </c>
      <c r="R2" s="635" t="s">
        <v>4800</v>
      </c>
      <c r="S2" s="636" t="s">
        <v>4799</v>
      </c>
      <c r="T2" s="634" t="s">
        <v>4798</v>
      </c>
      <c r="U2" s="635" t="s">
        <v>4799</v>
      </c>
      <c r="V2" s="635" t="s">
        <v>4800</v>
      </c>
      <c r="W2" s="636" t="s">
        <v>4799</v>
      </c>
      <c r="X2" s="634" t="s">
        <v>4801</v>
      </c>
      <c r="Y2" s="635" t="s">
        <v>4799</v>
      </c>
      <c r="Z2" s="635" t="s">
        <v>4800</v>
      </c>
      <c r="AA2" s="636" t="s">
        <v>4799</v>
      </c>
      <c r="AB2" s="634" t="s">
        <v>11</v>
      </c>
      <c r="AC2" s="636" t="s">
        <v>4799</v>
      </c>
      <c r="AD2" s="634" t="s">
        <v>11</v>
      </c>
      <c r="AE2" s="636" t="s">
        <v>4799</v>
      </c>
      <c r="AF2" s="634" t="s">
        <v>11</v>
      </c>
      <c r="AG2" s="636" t="s">
        <v>4799</v>
      </c>
      <c r="AH2" s="634" t="s">
        <v>11</v>
      </c>
      <c r="AI2" s="636" t="s">
        <v>4799</v>
      </c>
      <c r="AJ2" s="631"/>
      <c r="AK2" s="632"/>
      <c r="AL2" s="632"/>
      <c r="AM2" s="632"/>
      <c r="AN2" s="632"/>
      <c r="AO2" s="632"/>
      <c r="AQ2" s="1033" t="s">
        <v>4797</v>
      </c>
      <c r="AR2" s="1035"/>
      <c r="AS2" s="634">
        <v>2019</v>
      </c>
      <c r="AT2" s="635">
        <v>2020</v>
      </c>
      <c r="AU2" s="635">
        <v>2021</v>
      </c>
      <c r="AV2" s="635">
        <v>2022</v>
      </c>
      <c r="AW2" s="635">
        <v>2023</v>
      </c>
      <c r="AX2" s="636">
        <v>2024</v>
      </c>
      <c r="AZ2" s="1032"/>
    </row>
    <row r="3" spans="1:52" ht="15" x14ac:dyDescent="0.25">
      <c r="A3" s="637"/>
      <c r="B3" s="638" t="s">
        <v>4802</v>
      </c>
      <c r="C3" s="639" t="s">
        <v>267</v>
      </c>
      <c r="D3" s="640"/>
      <c r="E3" s="641" t="s">
        <v>1674</v>
      </c>
      <c r="F3" s="640">
        <v>0</v>
      </c>
      <c r="G3" s="641" t="s">
        <v>1674</v>
      </c>
      <c r="H3" s="642">
        <v>11162910.48</v>
      </c>
      <c r="I3" s="641">
        <v>1.0003651949221837</v>
      </c>
      <c r="J3" s="640">
        <v>11162910.48</v>
      </c>
      <c r="K3" s="641">
        <v>1.0003651949221837</v>
      </c>
      <c r="L3" s="642">
        <v>13952108.970000001</v>
      </c>
      <c r="M3" s="641">
        <v>0.98560035076360908</v>
      </c>
      <c r="N3" s="640">
        <v>13952108.970000001</v>
      </c>
      <c r="O3" s="641">
        <v>0.98560035076360908</v>
      </c>
      <c r="P3" s="642">
        <v>16709024.73</v>
      </c>
      <c r="Q3" s="641">
        <v>1.017803770108924</v>
      </c>
      <c r="R3" s="640">
        <v>16709024.73</v>
      </c>
      <c r="S3" s="641">
        <v>1.017803770108924</v>
      </c>
      <c r="T3" s="642">
        <v>15317638.98</v>
      </c>
      <c r="U3" s="641">
        <v>0.98713834178855164</v>
      </c>
      <c r="V3" s="640">
        <v>15317638.98</v>
      </c>
      <c r="W3" s="641">
        <v>0.98713834178855164</v>
      </c>
      <c r="X3" s="642">
        <v>16660593.460000001</v>
      </c>
      <c r="Y3" s="641">
        <v>0.97937880626629148</v>
      </c>
      <c r="Z3" s="640">
        <v>16660593.460000001</v>
      </c>
      <c r="AA3" s="641">
        <v>0.97937880626629148</v>
      </c>
      <c r="AB3" s="640">
        <v>17393659.572240002</v>
      </c>
      <c r="AC3" s="641">
        <v>0.99476291876134459</v>
      </c>
      <c r="AD3" s="640">
        <v>18472066.465718884</v>
      </c>
      <c r="AE3" s="643">
        <v>0.99506715355070985</v>
      </c>
      <c r="AF3" s="640">
        <v>22203423.891794097</v>
      </c>
      <c r="AG3" s="643">
        <v>0.99589272955303898</v>
      </c>
      <c r="AH3" s="640">
        <v>25778175.138372947</v>
      </c>
      <c r="AI3" s="643">
        <v>0.99646028324084346</v>
      </c>
      <c r="AJ3" s="631"/>
      <c r="AQ3" s="644" t="s">
        <v>4802</v>
      </c>
      <c r="AR3" s="645" t="s">
        <v>267</v>
      </c>
      <c r="AS3" s="646"/>
      <c r="AT3" s="646"/>
      <c r="AU3" s="646"/>
      <c r="AV3" s="646"/>
      <c r="AW3" s="646"/>
      <c r="AX3" s="646"/>
      <c r="AZ3" s="647"/>
    </row>
    <row r="4" spans="1:52" x14ac:dyDescent="0.25">
      <c r="A4" s="637"/>
      <c r="B4" s="648" t="s">
        <v>4803</v>
      </c>
      <c r="C4" s="649" t="s">
        <v>4804</v>
      </c>
      <c r="D4" s="650"/>
      <c r="E4" s="651" t="s">
        <v>1674</v>
      </c>
      <c r="F4" s="650">
        <v>0</v>
      </c>
      <c r="G4" s="651" t="s">
        <v>1674</v>
      </c>
      <c r="H4" s="652">
        <v>-4075.15</v>
      </c>
      <c r="I4" s="651">
        <v>-3.651949221836935E-4</v>
      </c>
      <c r="J4" s="650">
        <v>-4075.15</v>
      </c>
      <c r="K4" s="651">
        <v>-3.651949221836935E-4</v>
      </c>
      <c r="L4" s="652">
        <v>203840.71</v>
      </c>
      <c r="M4" s="651">
        <v>1.4399649236390897E-2</v>
      </c>
      <c r="N4" s="650">
        <v>203840.71</v>
      </c>
      <c r="O4" s="651">
        <v>1.4399649236390897E-2</v>
      </c>
      <c r="P4" s="652">
        <v>-292279.95</v>
      </c>
      <c r="Q4" s="651">
        <v>-1.7803770108924116E-2</v>
      </c>
      <c r="R4" s="650">
        <v>-292279.95</v>
      </c>
      <c r="S4" s="651">
        <v>-1.7803770108924116E-2</v>
      </c>
      <c r="T4" s="652">
        <v>199577.13</v>
      </c>
      <c r="U4" s="651">
        <v>1.2861658211448341E-2</v>
      </c>
      <c r="V4" s="650">
        <v>199577.13</v>
      </c>
      <c r="W4" s="651">
        <v>1.2861658211448341E-2</v>
      </c>
      <c r="X4" s="652">
        <v>350795.14</v>
      </c>
      <c r="Y4" s="651">
        <v>2.0621193733708486E-2</v>
      </c>
      <c r="Z4" s="650">
        <v>350795.14</v>
      </c>
      <c r="AA4" s="651">
        <v>2.0621193733708486E-2</v>
      </c>
      <c r="AB4" s="650">
        <v>91571.576000000001</v>
      </c>
      <c r="AC4" s="651">
        <v>5.2370812386553578E-3</v>
      </c>
      <c r="AD4" s="650">
        <v>91571.576000000001</v>
      </c>
      <c r="AE4" s="653">
        <v>4.9328464492901201E-3</v>
      </c>
      <c r="AF4" s="650">
        <v>91571.576000000001</v>
      </c>
      <c r="AG4" s="653">
        <v>4.1072704469609939E-3</v>
      </c>
      <c r="AH4" s="650">
        <v>91571.576000000001</v>
      </c>
      <c r="AI4" s="653">
        <v>3.5397167591565107E-3</v>
      </c>
      <c r="AJ4" s="631"/>
      <c r="AQ4" s="654" t="s">
        <v>4803</v>
      </c>
      <c r="AR4" s="655" t="s">
        <v>4804</v>
      </c>
      <c r="AS4" s="656"/>
      <c r="AT4" s="656"/>
      <c r="AU4" s="656"/>
      <c r="AV4" s="656"/>
      <c r="AW4" s="656"/>
      <c r="AX4" s="650"/>
      <c r="AZ4" s="657"/>
    </row>
    <row r="5" spans="1:52" ht="15" x14ac:dyDescent="0.25">
      <c r="A5" s="637"/>
      <c r="B5" s="638" t="s">
        <v>4805</v>
      </c>
      <c r="C5" s="639" t="s">
        <v>265</v>
      </c>
      <c r="D5" s="640">
        <v>0</v>
      </c>
      <c r="E5" s="641" t="s">
        <v>1674</v>
      </c>
      <c r="F5" s="640">
        <v>0</v>
      </c>
      <c r="G5" s="641" t="s">
        <v>1674</v>
      </c>
      <c r="H5" s="642">
        <v>11158835.33</v>
      </c>
      <c r="I5" s="641">
        <v>1</v>
      </c>
      <c r="J5" s="640">
        <v>11158835.33</v>
      </c>
      <c r="K5" s="641">
        <v>1</v>
      </c>
      <c r="L5" s="642">
        <v>14155949.680000002</v>
      </c>
      <c r="M5" s="641">
        <v>1</v>
      </c>
      <c r="N5" s="640">
        <v>14155949.680000002</v>
      </c>
      <c r="O5" s="641">
        <v>1</v>
      </c>
      <c r="P5" s="642">
        <v>16416744.780000001</v>
      </c>
      <c r="Q5" s="641">
        <v>1</v>
      </c>
      <c r="R5" s="640">
        <v>16416744.780000001</v>
      </c>
      <c r="S5" s="641">
        <v>1</v>
      </c>
      <c r="T5" s="642">
        <v>15517216.110000001</v>
      </c>
      <c r="U5" s="641">
        <v>1</v>
      </c>
      <c r="V5" s="640">
        <v>15517216.110000001</v>
      </c>
      <c r="W5" s="641">
        <v>1</v>
      </c>
      <c r="X5" s="642">
        <v>17011388.600000001</v>
      </c>
      <c r="Y5" s="641">
        <v>1</v>
      </c>
      <c r="Z5" s="640">
        <v>17011388.600000001</v>
      </c>
      <c r="AA5" s="641">
        <v>1</v>
      </c>
      <c r="AB5" s="640">
        <v>17485231.148240004</v>
      </c>
      <c r="AC5" s="641">
        <v>1</v>
      </c>
      <c r="AD5" s="640">
        <v>18563638.041718885</v>
      </c>
      <c r="AE5" s="643">
        <v>1</v>
      </c>
      <c r="AF5" s="640">
        <v>22294995.467794098</v>
      </c>
      <c r="AG5" s="643">
        <v>1</v>
      </c>
      <c r="AH5" s="640">
        <v>25869746.714372948</v>
      </c>
      <c r="AI5" s="643">
        <v>1</v>
      </c>
      <c r="AJ5" s="631"/>
      <c r="AQ5" s="658" t="s">
        <v>4805</v>
      </c>
      <c r="AR5" s="659" t="s">
        <v>265</v>
      </c>
      <c r="AS5" s="660">
        <v>0</v>
      </c>
      <c r="AT5" s="660">
        <v>0</v>
      </c>
      <c r="AU5" s="660">
        <v>0</v>
      </c>
      <c r="AV5" s="660">
        <v>0</v>
      </c>
      <c r="AW5" s="660">
        <v>0</v>
      </c>
      <c r="AX5" s="660">
        <v>0</v>
      </c>
      <c r="AZ5" s="657"/>
    </row>
    <row r="6" spans="1:52" s="669" customFormat="1" ht="15" x14ac:dyDescent="0.25">
      <c r="A6" s="661"/>
      <c r="B6" s="662" t="s">
        <v>4806</v>
      </c>
      <c r="C6" s="663" t="s">
        <v>260</v>
      </c>
      <c r="D6" s="664">
        <v>0</v>
      </c>
      <c r="E6" s="665" t="s">
        <v>1674</v>
      </c>
      <c r="F6" s="664">
        <v>0</v>
      </c>
      <c r="G6" s="665" t="s">
        <v>1674</v>
      </c>
      <c r="H6" s="666">
        <v>243966.05</v>
      </c>
      <c r="I6" s="665">
        <v>2.1863038819482247E-2</v>
      </c>
      <c r="J6" s="664">
        <v>243966.05</v>
      </c>
      <c r="K6" s="665">
        <v>2.1863038819482247E-2</v>
      </c>
      <c r="L6" s="666">
        <v>131073.77000000002</v>
      </c>
      <c r="M6" s="665">
        <v>9.2592706927452154E-3</v>
      </c>
      <c r="N6" s="664">
        <v>131073.77000000002</v>
      </c>
      <c r="O6" s="665">
        <v>9.2592706927452154E-3</v>
      </c>
      <c r="P6" s="666">
        <v>243105.59999999998</v>
      </c>
      <c r="Q6" s="665">
        <v>1.4808392483275236E-2</v>
      </c>
      <c r="R6" s="664">
        <v>243105.59999999998</v>
      </c>
      <c r="S6" s="665">
        <v>1.4808392483275236E-2</v>
      </c>
      <c r="T6" s="666">
        <v>185564.45</v>
      </c>
      <c r="U6" s="665">
        <v>1.1958617363098644E-2</v>
      </c>
      <c r="V6" s="664">
        <v>185564.45</v>
      </c>
      <c r="W6" s="665">
        <v>1.1958617363098644E-2</v>
      </c>
      <c r="X6" s="666">
        <v>262751.2</v>
      </c>
      <c r="Y6" s="665">
        <v>1.5445605657377081E-2</v>
      </c>
      <c r="Z6" s="664">
        <v>262751.2</v>
      </c>
      <c r="AA6" s="665">
        <v>1.5445605657377081E-2</v>
      </c>
      <c r="AB6" s="664">
        <v>213292.21399999998</v>
      </c>
      <c r="AC6" s="665">
        <v>1.2198421181379072E-2</v>
      </c>
      <c r="AD6" s="664">
        <v>213292.21399999998</v>
      </c>
      <c r="AE6" s="667">
        <v>1.1489785219936897E-2</v>
      </c>
      <c r="AF6" s="664">
        <v>213292.21399999998</v>
      </c>
      <c r="AG6" s="667">
        <v>9.5668202448440983E-3</v>
      </c>
      <c r="AH6" s="664">
        <v>213292.21399999998</v>
      </c>
      <c r="AI6" s="667">
        <v>8.2448512679676594E-3</v>
      </c>
      <c r="AJ6" s="668"/>
      <c r="AQ6" s="658" t="s">
        <v>4806</v>
      </c>
      <c r="AR6" s="670" t="s">
        <v>260</v>
      </c>
      <c r="AS6" s="671">
        <v>0</v>
      </c>
      <c r="AT6" s="671">
        <v>0</v>
      </c>
      <c r="AU6" s="671">
        <v>0</v>
      </c>
      <c r="AV6" s="671">
        <v>0</v>
      </c>
      <c r="AW6" s="671">
        <v>0</v>
      </c>
      <c r="AX6" s="671">
        <v>0</v>
      </c>
      <c r="AZ6" s="672"/>
    </row>
    <row r="7" spans="1:52" ht="25.5" x14ac:dyDescent="0.25">
      <c r="A7" s="637"/>
      <c r="B7" s="673" t="s">
        <v>4807</v>
      </c>
      <c r="C7" s="674" t="s">
        <v>4808</v>
      </c>
      <c r="D7" s="675"/>
      <c r="E7" s="676" t="s">
        <v>1674</v>
      </c>
      <c r="F7" s="675">
        <v>0</v>
      </c>
      <c r="G7" s="676" t="s">
        <v>1674</v>
      </c>
      <c r="H7" s="677">
        <v>1516</v>
      </c>
      <c r="I7" s="676">
        <v>1.3585647203918368E-4</v>
      </c>
      <c r="J7" s="675">
        <v>1516</v>
      </c>
      <c r="K7" s="676">
        <v>1.3585647203918368E-4</v>
      </c>
      <c r="L7" s="677">
        <v>2742</v>
      </c>
      <c r="M7" s="676">
        <v>1.9369947350646416E-4</v>
      </c>
      <c r="N7" s="675">
        <v>2742</v>
      </c>
      <c r="O7" s="676">
        <v>1.9369947350646416E-4</v>
      </c>
      <c r="P7" s="677"/>
      <c r="Q7" s="676">
        <v>0</v>
      </c>
      <c r="R7" s="675">
        <v>0</v>
      </c>
      <c r="S7" s="676">
        <v>0</v>
      </c>
      <c r="T7" s="677">
        <v>1692</v>
      </c>
      <c r="U7" s="676">
        <v>1.0904017756829449E-4</v>
      </c>
      <c r="V7" s="675">
        <v>1692</v>
      </c>
      <c r="W7" s="676">
        <v>1.0904017756829449E-4</v>
      </c>
      <c r="X7" s="677"/>
      <c r="Y7" s="676">
        <v>0</v>
      </c>
      <c r="Z7" s="675">
        <v>0</v>
      </c>
      <c r="AA7" s="676">
        <v>0</v>
      </c>
      <c r="AB7" s="1036">
        <v>213292.21399999998</v>
      </c>
      <c r="AC7" s="1038">
        <v>1.2198421181379072E-2</v>
      </c>
      <c r="AD7" s="1036">
        <v>213292.21399999998</v>
      </c>
      <c r="AE7" s="1038">
        <v>1.1489785219936897E-2</v>
      </c>
      <c r="AF7" s="1036">
        <v>213292.21399999998</v>
      </c>
      <c r="AG7" s="1038">
        <v>9.5668202448440983E-3</v>
      </c>
      <c r="AH7" s="1036">
        <v>213292.21399999998</v>
      </c>
      <c r="AI7" s="1038">
        <v>8.2448512679676594E-3</v>
      </c>
      <c r="AJ7" s="631"/>
      <c r="AQ7" s="679" t="s">
        <v>4807</v>
      </c>
      <c r="AR7" s="674" t="s">
        <v>4808</v>
      </c>
      <c r="AS7" s="680"/>
      <c r="AT7" s="680"/>
      <c r="AU7" s="680"/>
      <c r="AV7" s="680"/>
      <c r="AW7" s="680"/>
      <c r="AX7" s="680"/>
      <c r="AZ7" s="681"/>
    </row>
    <row r="8" spans="1:52" x14ac:dyDescent="0.25">
      <c r="A8" s="637"/>
      <c r="B8" s="673" t="s">
        <v>4809</v>
      </c>
      <c r="C8" s="682" t="s">
        <v>4810</v>
      </c>
      <c r="D8" s="675"/>
      <c r="E8" s="676" t="s">
        <v>1674</v>
      </c>
      <c r="F8" s="675">
        <v>0</v>
      </c>
      <c r="G8" s="676" t="s">
        <v>1674</v>
      </c>
      <c r="H8" s="677">
        <v>732</v>
      </c>
      <c r="I8" s="676">
        <v>6.5598243755067581E-5</v>
      </c>
      <c r="J8" s="675">
        <v>732</v>
      </c>
      <c r="K8" s="676">
        <v>6.5598243755067581E-5</v>
      </c>
      <c r="L8" s="677"/>
      <c r="M8" s="676">
        <v>0</v>
      </c>
      <c r="N8" s="675">
        <v>0</v>
      </c>
      <c r="O8" s="676">
        <v>0</v>
      </c>
      <c r="P8" s="677"/>
      <c r="Q8" s="676">
        <v>0</v>
      </c>
      <c r="R8" s="675">
        <v>0</v>
      </c>
      <c r="S8" s="676">
        <v>0</v>
      </c>
      <c r="T8" s="677"/>
      <c r="U8" s="676">
        <v>0</v>
      </c>
      <c r="V8" s="675">
        <v>0</v>
      </c>
      <c r="W8" s="676">
        <v>0</v>
      </c>
      <c r="X8" s="677"/>
      <c r="Y8" s="676">
        <v>0</v>
      </c>
      <c r="Z8" s="675">
        <v>0</v>
      </c>
      <c r="AA8" s="676">
        <v>0</v>
      </c>
      <c r="AB8" s="1036"/>
      <c r="AC8" s="1038"/>
      <c r="AD8" s="1036"/>
      <c r="AE8" s="1038"/>
      <c r="AF8" s="1036"/>
      <c r="AG8" s="1038"/>
      <c r="AH8" s="1036"/>
      <c r="AI8" s="1038"/>
      <c r="AJ8" s="631"/>
      <c r="AQ8" s="679" t="s">
        <v>4809</v>
      </c>
      <c r="AR8" s="682" t="s">
        <v>4810</v>
      </c>
      <c r="AS8" s="680"/>
      <c r="AT8" s="680"/>
      <c r="AU8" s="680"/>
      <c r="AV8" s="680"/>
      <c r="AW8" s="680"/>
      <c r="AX8" s="680"/>
      <c r="AZ8" s="681"/>
    </row>
    <row r="9" spans="1:52" ht="38.25" hidden="1" x14ac:dyDescent="0.25">
      <c r="A9" s="637"/>
      <c r="B9" s="673" t="s">
        <v>4811</v>
      </c>
      <c r="C9" s="674" t="s">
        <v>4812</v>
      </c>
      <c r="D9" s="675"/>
      <c r="E9" s="676" t="s">
        <v>1674</v>
      </c>
      <c r="F9" s="675">
        <v>0</v>
      </c>
      <c r="G9" s="676" t="s">
        <v>1674</v>
      </c>
      <c r="H9" s="677"/>
      <c r="I9" s="676">
        <v>0</v>
      </c>
      <c r="J9" s="675">
        <v>0</v>
      </c>
      <c r="K9" s="676">
        <v>0</v>
      </c>
      <c r="L9" s="677"/>
      <c r="M9" s="676">
        <v>0</v>
      </c>
      <c r="N9" s="675">
        <v>0</v>
      </c>
      <c r="O9" s="676">
        <v>0</v>
      </c>
      <c r="P9" s="677"/>
      <c r="Q9" s="676">
        <v>0</v>
      </c>
      <c r="R9" s="675">
        <v>0</v>
      </c>
      <c r="S9" s="676">
        <v>0</v>
      </c>
      <c r="T9" s="677"/>
      <c r="U9" s="676">
        <v>0</v>
      </c>
      <c r="V9" s="675">
        <v>0</v>
      </c>
      <c r="W9" s="676">
        <v>0</v>
      </c>
      <c r="X9" s="677"/>
      <c r="Y9" s="676">
        <v>0</v>
      </c>
      <c r="Z9" s="675">
        <v>0</v>
      </c>
      <c r="AA9" s="676">
        <v>0</v>
      </c>
      <c r="AB9" s="1036"/>
      <c r="AC9" s="1038"/>
      <c r="AD9" s="1036"/>
      <c r="AE9" s="1038"/>
      <c r="AF9" s="1036"/>
      <c r="AG9" s="1038"/>
      <c r="AH9" s="1036"/>
      <c r="AI9" s="1038"/>
      <c r="AJ9" s="631"/>
      <c r="AQ9" s="679" t="s">
        <v>4811</v>
      </c>
      <c r="AR9" s="674" t="s">
        <v>4812</v>
      </c>
      <c r="AS9" s="680"/>
      <c r="AT9" s="680"/>
      <c r="AU9" s="680"/>
      <c r="AV9" s="680"/>
      <c r="AW9" s="680"/>
      <c r="AX9" s="680"/>
      <c r="AZ9" s="681"/>
    </row>
    <row r="10" spans="1:52" ht="14.25" customHeight="1" x14ac:dyDescent="0.25">
      <c r="A10" s="637"/>
      <c r="B10" s="673" t="s">
        <v>4813</v>
      </c>
      <c r="C10" s="674" t="s">
        <v>4814</v>
      </c>
      <c r="D10" s="675"/>
      <c r="E10" s="676" t="s">
        <v>1674</v>
      </c>
      <c r="F10" s="675">
        <v>0</v>
      </c>
      <c r="G10" s="676" t="s">
        <v>1674</v>
      </c>
      <c r="H10" s="677">
        <v>7107</v>
      </c>
      <c r="I10" s="676">
        <v>6.3689442399899633E-4</v>
      </c>
      <c r="J10" s="675">
        <v>7107</v>
      </c>
      <c r="K10" s="676">
        <v>6.3689442399899633E-4</v>
      </c>
      <c r="L10" s="677">
        <v>17222</v>
      </c>
      <c r="M10" s="676">
        <v>1.2165909309731311E-3</v>
      </c>
      <c r="N10" s="675">
        <v>17222</v>
      </c>
      <c r="O10" s="676">
        <v>1.2165909309731311E-3</v>
      </c>
      <c r="P10" s="677">
        <v>67348.92</v>
      </c>
      <c r="Q10" s="676">
        <v>4.1024527640856701E-3</v>
      </c>
      <c r="R10" s="675">
        <v>67348.92</v>
      </c>
      <c r="S10" s="676">
        <v>4.1024527640856701E-3</v>
      </c>
      <c r="T10" s="677">
        <v>82708.289999999994</v>
      </c>
      <c r="U10" s="676">
        <v>5.3300984798877035E-3</v>
      </c>
      <c r="V10" s="675">
        <v>82708.289999999994</v>
      </c>
      <c r="W10" s="676">
        <v>5.3300984798877035E-3</v>
      </c>
      <c r="X10" s="677">
        <v>120580</v>
      </c>
      <c r="Y10" s="676">
        <v>7.0881926711144549E-3</v>
      </c>
      <c r="Z10" s="675">
        <v>120580</v>
      </c>
      <c r="AA10" s="676">
        <v>7.0881926711144549E-3</v>
      </c>
      <c r="AB10" s="1036"/>
      <c r="AC10" s="1038"/>
      <c r="AD10" s="1036"/>
      <c r="AE10" s="1038"/>
      <c r="AF10" s="1036"/>
      <c r="AG10" s="1038"/>
      <c r="AH10" s="1036"/>
      <c r="AI10" s="1038"/>
      <c r="AJ10" s="631"/>
      <c r="AQ10" s="679" t="s">
        <v>4813</v>
      </c>
      <c r="AR10" s="674" t="s">
        <v>4814</v>
      </c>
      <c r="AS10" s="680"/>
      <c r="AT10" s="680"/>
      <c r="AU10" s="680"/>
      <c r="AV10" s="680"/>
      <c r="AW10" s="680"/>
      <c r="AX10" s="680"/>
      <c r="AZ10" s="681"/>
    </row>
    <row r="11" spans="1:52" x14ac:dyDescent="0.25">
      <c r="A11" s="637"/>
      <c r="B11" s="673" t="s">
        <v>4815</v>
      </c>
      <c r="C11" s="682" t="s">
        <v>4816</v>
      </c>
      <c r="D11" s="675"/>
      <c r="E11" s="676" t="s">
        <v>1674</v>
      </c>
      <c r="F11" s="675">
        <v>0</v>
      </c>
      <c r="G11" s="676" t="s">
        <v>1674</v>
      </c>
      <c r="H11" s="677">
        <v>234611.05</v>
      </c>
      <c r="I11" s="676">
        <v>2.1024689679688999E-2</v>
      </c>
      <c r="J11" s="675">
        <v>234611.05</v>
      </c>
      <c r="K11" s="676">
        <v>2.1024689679688999E-2</v>
      </c>
      <c r="L11" s="677">
        <v>111109.77</v>
      </c>
      <c r="M11" s="676">
        <v>7.8489802882656182E-3</v>
      </c>
      <c r="N11" s="675">
        <v>111109.77</v>
      </c>
      <c r="O11" s="676">
        <v>7.8489802882656182E-3</v>
      </c>
      <c r="P11" s="677">
        <v>175756.68</v>
      </c>
      <c r="Q11" s="676">
        <v>1.0705939719189567E-2</v>
      </c>
      <c r="R11" s="675">
        <v>175756.68</v>
      </c>
      <c r="S11" s="676">
        <v>1.0705939719189567E-2</v>
      </c>
      <c r="T11" s="677">
        <v>101164.16</v>
      </c>
      <c r="U11" s="676">
        <v>6.5194787056426446E-3</v>
      </c>
      <c r="V11" s="675">
        <v>101164.16</v>
      </c>
      <c r="W11" s="676">
        <v>6.5194787056426446E-3</v>
      </c>
      <c r="X11" s="677">
        <v>142171.20000000001</v>
      </c>
      <c r="Y11" s="676">
        <v>8.3574129862626269E-3</v>
      </c>
      <c r="Z11" s="675">
        <v>142171.20000000001</v>
      </c>
      <c r="AA11" s="676">
        <v>8.3574129862626269E-3</v>
      </c>
      <c r="AB11" s="1037"/>
      <c r="AC11" s="1039"/>
      <c r="AD11" s="1037"/>
      <c r="AE11" s="1039"/>
      <c r="AF11" s="1037"/>
      <c r="AG11" s="1039"/>
      <c r="AH11" s="1037"/>
      <c r="AI11" s="1039"/>
      <c r="AJ11" s="631"/>
      <c r="AQ11" s="679" t="s">
        <v>4815</v>
      </c>
      <c r="AR11" s="682" t="s">
        <v>4816</v>
      </c>
      <c r="AS11" s="680"/>
      <c r="AT11" s="680"/>
      <c r="AU11" s="680"/>
      <c r="AV11" s="680"/>
      <c r="AW11" s="680"/>
      <c r="AX11" s="680"/>
      <c r="AZ11" s="657"/>
    </row>
    <row r="12" spans="1:52" ht="15" x14ac:dyDescent="0.25">
      <c r="A12" s="637"/>
      <c r="B12" s="684" t="s">
        <v>4817</v>
      </c>
      <c r="C12" s="659" t="s">
        <v>264</v>
      </c>
      <c r="D12" s="685">
        <v>0</v>
      </c>
      <c r="E12" s="686" t="s">
        <v>1674</v>
      </c>
      <c r="F12" s="685">
        <v>0</v>
      </c>
      <c r="G12" s="686" t="s">
        <v>1674</v>
      </c>
      <c r="H12" s="687">
        <v>5173296.82</v>
      </c>
      <c r="I12" s="686">
        <v>0.46360544510338253</v>
      </c>
      <c r="J12" s="685">
        <v>5173296.82</v>
      </c>
      <c r="K12" s="686">
        <v>0.46360544510338253</v>
      </c>
      <c r="L12" s="687">
        <v>6778652</v>
      </c>
      <c r="M12" s="686">
        <v>0.47885533314498185</v>
      </c>
      <c r="N12" s="685">
        <v>6778652</v>
      </c>
      <c r="O12" s="686">
        <v>0.47885533314498185</v>
      </c>
      <c r="P12" s="687">
        <v>7633126.1900000004</v>
      </c>
      <c r="Q12" s="686">
        <v>0.46495978906239654</v>
      </c>
      <c r="R12" s="685">
        <v>7633126.1900000004</v>
      </c>
      <c r="S12" s="686">
        <v>0.46495978906239654</v>
      </c>
      <c r="T12" s="687">
        <v>8086502.3799999999</v>
      </c>
      <c r="U12" s="686">
        <v>0.52113100202224349</v>
      </c>
      <c r="V12" s="685">
        <v>8086502.3799999999</v>
      </c>
      <c r="W12" s="686">
        <v>0.52113100202224349</v>
      </c>
      <c r="X12" s="687">
        <v>8371405.1900000004</v>
      </c>
      <c r="Y12" s="686">
        <v>0.49210592896572825</v>
      </c>
      <c r="Z12" s="685">
        <v>8371405.1900000004</v>
      </c>
      <c r="AA12" s="686">
        <v>0.49210592896572825</v>
      </c>
      <c r="AB12" s="685">
        <v>8480337.1068964023</v>
      </c>
      <c r="AC12" s="686">
        <v>0.48500000000000004</v>
      </c>
      <c r="AD12" s="685">
        <v>8910546.2600250654</v>
      </c>
      <c r="AE12" s="688">
        <v>0.48000000000000004</v>
      </c>
      <c r="AF12" s="685">
        <v>10478647.869863225</v>
      </c>
      <c r="AG12" s="688">
        <v>0.47</v>
      </c>
      <c r="AH12" s="685">
        <v>12158780.955755284</v>
      </c>
      <c r="AI12" s="688">
        <v>0.46999999999999992</v>
      </c>
      <c r="AJ12" s="631"/>
      <c r="AQ12" s="658" t="s">
        <v>4817</v>
      </c>
      <c r="AR12" s="659" t="s">
        <v>264</v>
      </c>
      <c r="AS12" s="689">
        <v>0</v>
      </c>
      <c r="AT12" s="689">
        <v>0</v>
      </c>
      <c r="AU12" s="689">
        <v>0</v>
      </c>
      <c r="AV12" s="689">
        <v>0</v>
      </c>
      <c r="AW12" s="689">
        <v>0</v>
      </c>
      <c r="AX12" s="689">
        <v>0</v>
      </c>
      <c r="AZ12" s="681"/>
    </row>
    <row r="13" spans="1:52" x14ac:dyDescent="0.25">
      <c r="A13" s="637"/>
      <c r="B13" s="673" t="s">
        <v>4807</v>
      </c>
      <c r="C13" s="690" t="s">
        <v>4818</v>
      </c>
      <c r="D13" s="675"/>
      <c r="E13" s="676" t="s">
        <v>1674</v>
      </c>
      <c r="F13" s="675">
        <v>0</v>
      </c>
      <c r="G13" s="676" t="s">
        <v>1674</v>
      </c>
      <c r="H13" s="677">
        <v>4841196.63</v>
      </c>
      <c r="I13" s="676">
        <v>0.43384425765157336</v>
      </c>
      <c r="J13" s="675">
        <v>4841196.63</v>
      </c>
      <c r="K13" s="676">
        <v>0.43384425765157336</v>
      </c>
      <c r="L13" s="677">
        <v>6471592.7599999998</v>
      </c>
      <c r="M13" s="676">
        <v>0.45716415403364158</v>
      </c>
      <c r="N13" s="675">
        <v>6471592.7599999998</v>
      </c>
      <c r="O13" s="676">
        <v>0.45716415403364158</v>
      </c>
      <c r="P13" s="677">
        <v>7148926.5700000003</v>
      </c>
      <c r="Q13" s="676">
        <v>0.43546553630469487</v>
      </c>
      <c r="R13" s="675">
        <v>7148926.5700000003</v>
      </c>
      <c r="S13" s="676">
        <v>0.43546553630469487</v>
      </c>
      <c r="T13" s="677">
        <v>7440488.4699999997</v>
      </c>
      <c r="U13" s="676">
        <v>0.47949892669246319</v>
      </c>
      <c r="V13" s="675">
        <v>7440488.4699999997</v>
      </c>
      <c r="W13" s="676">
        <v>0.47949892669246319</v>
      </c>
      <c r="X13" s="677">
        <v>7714362.9400000004</v>
      </c>
      <c r="Y13" s="676">
        <v>0.45348225952583315</v>
      </c>
      <c r="Z13" s="675">
        <v>7714362.9400000004</v>
      </c>
      <c r="AA13" s="676">
        <v>0.45348225952583315</v>
      </c>
      <c r="AB13" s="1036">
        <v>8480337.1068964023</v>
      </c>
      <c r="AC13" s="1038">
        <v>0.48500000000000004</v>
      </c>
      <c r="AD13" s="1036">
        <v>8910546.2600250654</v>
      </c>
      <c r="AE13" s="1038">
        <v>0.48000000000000004</v>
      </c>
      <c r="AF13" s="1036">
        <v>10478647.869863225</v>
      </c>
      <c r="AG13" s="1038">
        <v>0.47</v>
      </c>
      <c r="AH13" s="1036">
        <v>12158780.955755284</v>
      </c>
      <c r="AI13" s="1038">
        <v>0.46999999999999992</v>
      </c>
      <c r="AJ13" s="631"/>
      <c r="AQ13" s="679" t="s">
        <v>4807</v>
      </c>
      <c r="AR13" s="690" t="s">
        <v>4818</v>
      </c>
      <c r="AS13" s="680"/>
      <c r="AT13" s="680"/>
      <c r="AU13" s="680"/>
      <c r="AV13" s="680"/>
      <c r="AW13" s="680"/>
      <c r="AX13" s="680"/>
      <c r="AZ13" s="681"/>
    </row>
    <row r="14" spans="1:52" ht="14.25" customHeight="1" x14ac:dyDescent="0.25">
      <c r="A14" s="637"/>
      <c r="B14" s="673" t="s">
        <v>4809</v>
      </c>
      <c r="C14" s="690" t="s">
        <v>4819</v>
      </c>
      <c r="D14" s="675"/>
      <c r="E14" s="676" t="s">
        <v>1674</v>
      </c>
      <c r="F14" s="675">
        <v>0</v>
      </c>
      <c r="G14" s="676" t="s">
        <v>1674</v>
      </c>
      <c r="H14" s="677">
        <v>332100.19</v>
      </c>
      <c r="I14" s="676">
        <v>2.9761187451809095E-2</v>
      </c>
      <c r="J14" s="675">
        <v>332100.19</v>
      </c>
      <c r="K14" s="676">
        <v>2.9761187451809095E-2</v>
      </c>
      <c r="L14" s="677">
        <v>307059.24</v>
      </c>
      <c r="M14" s="676">
        <v>2.1691179111340268E-2</v>
      </c>
      <c r="N14" s="675">
        <v>307059.24</v>
      </c>
      <c r="O14" s="676">
        <v>2.1691179111340268E-2</v>
      </c>
      <c r="P14" s="677">
        <v>484199.62</v>
      </c>
      <c r="Q14" s="676">
        <v>2.9494252757701699E-2</v>
      </c>
      <c r="R14" s="675">
        <v>484199.62</v>
      </c>
      <c r="S14" s="676">
        <v>2.9494252757701699E-2</v>
      </c>
      <c r="T14" s="677">
        <v>646013.91</v>
      </c>
      <c r="U14" s="676">
        <v>4.163207532978027E-2</v>
      </c>
      <c r="V14" s="675">
        <v>646013.91</v>
      </c>
      <c r="W14" s="676">
        <v>4.163207532978027E-2</v>
      </c>
      <c r="X14" s="677">
        <v>657042.25</v>
      </c>
      <c r="Y14" s="676">
        <v>3.8623669439895106E-2</v>
      </c>
      <c r="Z14" s="675">
        <v>657042.25</v>
      </c>
      <c r="AA14" s="676">
        <v>3.8623669439895106E-2</v>
      </c>
      <c r="AB14" s="1036"/>
      <c r="AC14" s="1039"/>
      <c r="AD14" s="1036"/>
      <c r="AE14" s="1039"/>
      <c r="AF14" s="1036"/>
      <c r="AG14" s="1039"/>
      <c r="AH14" s="1036"/>
      <c r="AI14" s="1039"/>
      <c r="AJ14" s="631"/>
      <c r="AQ14" s="691" t="s">
        <v>4809</v>
      </c>
      <c r="AR14" s="692" t="s">
        <v>4819</v>
      </c>
      <c r="AS14" s="646"/>
      <c r="AT14" s="646"/>
      <c r="AU14" s="646"/>
      <c r="AV14" s="646"/>
      <c r="AW14" s="646"/>
      <c r="AX14" s="646"/>
      <c r="AZ14" s="657"/>
    </row>
    <row r="15" spans="1:52" ht="15" x14ac:dyDescent="0.25">
      <c r="A15" s="637"/>
      <c r="B15" s="638" t="s">
        <v>4820</v>
      </c>
      <c r="C15" s="639" t="s">
        <v>4821</v>
      </c>
      <c r="D15" s="640">
        <v>0</v>
      </c>
      <c r="E15" s="641" t="s">
        <v>1674</v>
      </c>
      <c r="F15" s="640">
        <v>0</v>
      </c>
      <c r="G15" s="641" t="s">
        <v>1674</v>
      </c>
      <c r="H15" s="642">
        <v>6229504.5600000005</v>
      </c>
      <c r="I15" s="641">
        <v>0.55825759371609984</v>
      </c>
      <c r="J15" s="640">
        <v>6229504.5600000005</v>
      </c>
      <c r="K15" s="641">
        <v>0.55825759371609984</v>
      </c>
      <c r="L15" s="642">
        <v>7508371.4500000011</v>
      </c>
      <c r="M15" s="641">
        <v>0.53040393754776338</v>
      </c>
      <c r="N15" s="640">
        <v>7508371.4500000011</v>
      </c>
      <c r="O15" s="641">
        <v>0.53040393754776338</v>
      </c>
      <c r="P15" s="642">
        <v>9026724.1900000013</v>
      </c>
      <c r="Q15" s="641">
        <v>0.54984860342087871</v>
      </c>
      <c r="R15" s="640">
        <v>9026724.1900000013</v>
      </c>
      <c r="S15" s="641">
        <v>0.54984860342087871</v>
      </c>
      <c r="T15" s="642">
        <v>7616278.1800000006</v>
      </c>
      <c r="U15" s="641">
        <v>0.49082761534085512</v>
      </c>
      <c r="V15" s="640">
        <v>7616278.1800000006</v>
      </c>
      <c r="W15" s="641">
        <v>0.49082761534085512</v>
      </c>
      <c r="X15" s="642">
        <v>8902734.6099999994</v>
      </c>
      <c r="Y15" s="641">
        <v>0.52333967669164871</v>
      </c>
      <c r="Z15" s="640">
        <v>8902734.6099999994</v>
      </c>
      <c r="AA15" s="641">
        <v>0.52333967669164871</v>
      </c>
      <c r="AB15" s="640">
        <v>9218186.255343603</v>
      </c>
      <c r="AC15" s="641">
        <v>0.52719842118137916</v>
      </c>
      <c r="AD15" s="640">
        <v>9866383.9956938215</v>
      </c>
      <c r="AE15" s="643">
        <v>0.53148978521993695</v>
      </c>
      <c r="AF15" s="640">
        <v>12029639.811930874</v>
      </c>
      <c r="AG15" s="643">
        <v>0.53956682024484426</v>
      </c>
      <c r="AH15" s="640">
        <v>13924257.972617665</v>
      </c>
      <c r="AI15" s="643">
        <v>0.53824485126796773</v>
      </c>
      <c r="AJ15" s="631"/>
      <c r="AQ15" s="644" t="s">
        <v>4820</v>
      </c>
      <c r="AR15" s="645" t="s">
        <v>4821</v>
      </c>
      <c r="AS15" s="646">
        <v>0</v>
      </c>
      <c r="AT15" s="646">
        <v>0</v>
      </c>
      <c r="AU15" s="646">
        <v>0</v>
      </c>
      <c r="AV15" s="646">
        <v>0</v>
      </c>
      <c r="AW15" s="646">
        <v>0</v>
      </c>
      <c r="AX15" s="646">
        <v>0</v>
      </c>
      <c r="AZ15" s="657"/>
    </row>
    <row r="16" spans="1:52" ht="15" x14ac:dyDescent="0.25">
      <c r="A16" s="637"/>
      <c r="B16" s="684" t="s">
        <v>4822</v>
      </c>
      <c r="C16" s="659" t="s">
        <v>259</v>
      </c>
      <c r="D16" s="685">
        <v>0</v>
      </c>
      <c r="E16" s="686" t="s">
        <v>1674</v>
      </c>
      <c r="F16" s="685">
        <v>-337440</v>
      </c>
      <c r="G16" s="686" t="s">
        <v>1674</v>
      </c>
      <c r="H16" s="687">
        <v>2966735.8</v>
      </c>
      <c r="I16" s="686">
        <v>0.26586428711104565</v>
      </c>
      <c r="J16" s="685">
        <v>2629295.7999999998</v>
      </c>
      <c r="K16" s="686">
        <v>0.23562457212100466</v>
      </c>
      <c r="L16" s="687">
        <v>3302160.29</v>
      </c>
      <c r="M16" s="686">
        <v>0.23327013479465827</v>
      </c>
      <c r="N16" s="685">
        <v>2964720.29</v>
      </c>
      <c r="O16" s="686">
        <v>0.20943280790187152</v>
      </c>
      <c r="P16" s="687">
        <v>3564197.2</v>
      </c>
      <c r="Q16" s="686">
        <v>0.21710742584864623</v>
      </c>
      <c r="R16" s="685">
        <v>3226757.2</v>
      </c>
      <c r="S16" s="686">
        <v>0.19655280283890725</v>
      </c>
      <c r="T16" s="687">
        <v>3758984.2600000002</v>
      </c>
      <c r="U16" s="686">
        <v>0.24224604680072345</v>
      </c>
      <c r="V16" s="685">
        <v>3421544.2600000002</v>
      </c>
      <c r="W16" s="686">
        <v>0.22049987805447918</v>
      </c>
      <c r="X16" s="687">
        <v>4542934.7</v>
      </c>
      <c r="Y16" s="686">
        <v>0.26705254972542336</v>
      </c>
      <c r="Z16" s="685">
        <v>4130403.4220000003</v>
      </c>
      <c r="AA16" s="686">
        <v>0.24280224966467465</v>
      </c>
      <c r="AB16" s="685">
        <v>4213940.7067258405</v>
      </c>
      <c r="AC16" s="686">
        <v>0.24099999999999996</v>
      </c>
      <c r="AD16" s="685">
        <v>4269636.7495953441</v>
      </c>
      <c r="AE16" s="688">
        <v>0.23000000000000004</v>
      </c>
      <c r="AF16" s="685">
        <v>4458999.09355882</v>
      </c>
      <c r="AG16" s="688">
        <v>0.2</v>
      </c>
      <c r="AH16" s="685">
        <v>6234608.9581638798</v>
      </c>
      <c r="AI16" s="688">
        <v>0.24099999999999996</v>
      </c>
      <c r="AJ16" s="631"/>
      <c r="AQ16" s="658" t="s">
        <v>4822</v>
      </c>
      <c r="AR16" s="693" t="s">
        <v>259</v>
      </c>
      <c r="AS16" s="680">
        <f t="shared" ref="AS16:AX16" si="0">SUM(AS17,AS19,AS21)</f>
        <v>-337440</v>
      </c>
      <c r="AT16" s="680">
        <f t="shared" si="0"/>
        <v>-337440</v>
      </c>
      <c r="AU16" s="680">
        <f t="shared" si="0"/>
        <v>-337440</v>
      </c>
      <c r="AV16" s="680">
        <f t="shared" si="0"/>
        <v>-337440</v>
      </c>
      <c r="AW16" s="680">
        <f t="shared" si="0"/>
        <v>-337440</v>
      </c>
      <c r="AX16" s="680">
        <f t="shared" si="0"/>
        <v>-412531.27799999999</v>
      </c>
      <c r="AZ16" s="681"/>
    </row>
    <row r="17" spans="1:52" x14ac:dyDescent="0.25">
      <c r="A17" s="637"/>
      <c r="B17" s="673" t="s">
        <v>4807</v>
      </c>
      <c r="C17" s="690" t="s">
        <v>4823</v>
      </c>
      <c r="D17" s="675"/>
      <c r="E17" s="676" t="s">
        <v>1674</v>
      </c>
      <c r="F17" s="675">
        <v>-304000</v>
      </c>
      <c r="G17" s="676" t="s">
        <v>1674</v>
      </c>
      <c r="H17" s="677">
        <v>2486808.0099999998</v>
      </c>
      <c r="I17" s="676">
        <v>0.22285551640988324</v>
      </c>
      <c r="J17" s="675">
        <v>2182808.0099999998</v>
      </c>
      <c r="K17" s="676">
        <v>0.19561252993236883</v>
      </c>
      <c r="L17" s="677">
        <v>2779580.06</v>
      </c>
      <c r="M17" s="676">
        <v>0.19635419190046172</v>
      </c>
      <c r="N17" s="675">
        <v>2475580.06</v>
      </c>
      <c r="O17" s="676">
        <v>0.17487912262768088</v>
      </c>
      <c r="P17" s="677">
        <v>3013467.65</v>
      </c>
      <c r="Q17" s="676">
        <v>0.18356060780522165</v>
      </c>
      <c r="R17" s="675">
        <v>2709467.65</v>
      </c>
      <c r="S17" s="676">
        <v>0.16504292941806942</v>
      </c>
      <c r="T17" s="677">
        <v>3152685.47</v>
      </c>
      <c r="U17" s="676">
        <v>0.20317339448332269</v>
      </c>
      <c r="V17" s="675">
        <v>2848685.47</v>
      </c>
      <c r="W17" s="676">
        <v>0.18358225146868823</v>
      </c>
      <c r="X17" s="677">
        <v>3800351.15</v>
      </c>
      <c r="Y17" s="676">
        <v>0.2234004077715325</v>
      </c>
      <c r="Z17" s="675">
        <v>3428701.35</v>
      </c>
      <c r="AA17" s="676">
        <v>0.20155329059968682</v>
      </c>
      <c r="AB17" s="1036">
        <v>4213940.7067258405</v>
      </c>
      <c r="AC17" s="1038">
        <v>0.24099999999999996</v>
      </c>
      <c r="AD17" s="1036">
        <v>4269636.7495953441</v>
      </c>
      <c r="AE17" s="1038">
        <v>0.23000000000000004</v>
      </c>
      <c r="AF17" s="1036">
        <v>4458999.09355882</v>
      </c>
      <c r="AG17" s="1038">
        <v>0.2</v>
      </c>
      <c r="AH17" s="1036">
        <v>6234608.9581638798</v>
      </c>
      <c r="AI17" s="1038">
        <v>0.24099999999999996</v>
      </c>
      <c r="AJ17" s="631"/>
      <c r="AQ17" s="679" t="s">
        <v>4807</v>
      </c>
      <c r="AR17" s="694" t="s">
        <v>4823</v>
      </c>
      <c r="AS17" s="695">
        <f>AS18</f>
        <v>-304000</v>
      </c>
      <c r="AT17" s="695">
        <f>AT18</f>
        <v>-304000</v>
      </c>
      <c r="AU17" s="695">
        <f>AU18</f>
        <v>-304000</v>
      </c>
      <c r="AV17" s="695">
        <f>AV18</f>
        <v>-304000</v>
      </c>
      <c r="AW17" s="695">
        <f>AW18</f>
        <v>-304000</v>
      </c>
      <c r="AX17" s="696">
        <f>-67649.8+AX18</f>
        <v>-371649.8</v>
      </c>
      <c r="AZ17" s="681" t="s">
        <v>4824</v>
      </c>
    </row>
    <row r="18" spans="1:52" ht="14.25" customHeight="1" outlineLevel="1" x14ac:dyDescent="0.25">
      <c r="A18" s="637"/>
      <c r="B18" s="673"/>
      <c r="C18" s="697" t="s">
        <v>4825</v>
      </c>
      <c r="D18" s="698">
        <v>304000</v>
      </c>
      <c r="E18" s="699"/>
      <c r="F18" s="698">
        <v>0</v>
      </c>
      <c r="G18" s="699"/>
      <c r="H18" s="677">
        <v>304000</v>
      </c>
      <c r="I18" s="699"/>
      <c r="J18" s="698">
        <v>0</v>
      </c>
      <c r="K18" s="699"/>
      <c r="L18" s="677">
        <v>304000</v>
      </c>
      <c r="M18" s="699"/>
      <c r="N18" s="698">
        <v>0</v>
      </c>
      <c r="O18" s="699"/>
      <c r="P18" s="677">
        <v>304000</v>
      </c>
      <c r="Q18" s="699"/>
      <c r="R18" s="698">
        <v>0</v>
      </c>
      <c r="S18" s="699"/>
      <c r="T18" s="677">
        <v>304000</v>
      </c>
      <c r="U18" s="699"/>
      <c r="V18" s="698">
        <v>0</v>
      </c>
      <c r="W18" s="699"/>
      <c r="X18" s="677">
        <v>304000</v>
      </c>
      <c r="Y18" s="699">
        <v>1.7870381257412461E-2</v>
      </c>
      <c r="Z18" s="698"/>
      <c r="AA18" s="699"/>
      <c r="AB18" s="1036"/>
      <c r="AC18" s="1038"/>
      <c r="AD18" s="1036"/>
      <c r="AE18" s="1038"/>
      <c r="AF18" s="1036"/>
      <c r="AG18" s="1038"/>
      <c r="AH18" s="1036"/>
      <c r="AI18" s="1038"/>
      <c r="AJ18" s="631"/>
      <c r="AQ18" s="679">
        <v>0</v>
      </c>
      <c r="AR18" s="697" t="s">
        <v>4825</v>
      </c>
      <c r="AS18" s="700">
        <f>F18-D18</f>
        <v>-304000</v>
      </c>
      <c r="AT18" s="700">
        <f>J18-H18</f>
        <v>-304000</v>
      </c>
      <c r="AU18" s="700">
        <f>N18-L18</f>
        <v>-304000</v>
      </c>
      <c r="AV18" s="700">
        <f>R18-P18</f>
        <v>-304000</v>
      </c>
      <c r="AW18" s="700">
        <f>V18-T18</f>
        <v>-304000</v>
      </c>
      <c r="AX18" s="701">
        <f>Z18-X18</f>
        <v>-304000</v>
      </c>
      <c r="AZ18" s="681"/>
    </row>
    <row r="19" spans="1:52" ht="14.25" customHeight="1" x14ac:dyDescent="0.25">
      <c r="A19" s="637"/>
      <c r="B19" s="673" t="s">
        <v>4809</v>
      </c>
      <c r="C19" s="690" t="s">
        <v>4826</v>
      </c>
      <c r="D19" s="675"/>
      <c r="E19" s="676" t="s">
        <v>1674</v>
      </c>
      <c r="F19" s="675">
        <v>-33440</v>
      </c>
      <c r="G19" s="676" t="s">
        <v>1674</v>
      </c>
      <c r="H19" s="677">
        <v>479927.79</v>
      </c>
      <c r="I19" s="676">
        <v>4.3008770701162408E-2</v>
      </c>
      <c r="J19" s="675">
        <v>446487.79</v>
      </c>
      <c r="K19" s="676">
        <v>4.0012042188635827E-2</v>
      </c>
      <c r="L19" s="677">
        <v>522580.23</v>
      </c>
      <c r="M19" s="676">
        <v>3.691594289419655E-2</v>
      </c>
      <c r="N19" s="675">
        <v>489140.23</v>
      </c>
      <c r="O19" s="676">
        <v>3.4553685274190657E-2</v>
      </c>
      <c r="P19" s="677">
        <v>550729.55000000005</v>
      </c>
      <c r="Q19" s="676">
        <v>3.3546818043424562E-2</v>
      </c>
      <c r="R19" s="675">
        <v>517289.55000000005</v>
      </c>
      <c r="S19" s="676">
        <v>3.1509873420837817E-2</v>
      </c>
      <c r="T19" s="677">
        <v>606298.79</v>
      </c>
      <c r="U19" s="676">
        <v>3.9072652317400765E-2</v>
      </c>
      <c r="V19" s="675">
        <v>572858.79</v>
      </c>
      <c r="W19" s="676">
        <v>3.6917626585790973E-2</v>
      </c>
      <c r="X19" s="677">
        <v>742583.55</v>
      </c>
      <c r="Y19" s="676">
        <v>4.3652141953890819E-2</v>
      </c>
      <c r="Z19" s="675">
        <v>701702.07200000004</v>
      </c>
      <c r="AA19" s="676">
        <v>4.1248959064987795E-2</v>
      </c>
      <c r="AB19" s="1036"/>
      <c r="AC19" s="1038"/>
      <c r="AD19" s="1036"/>
      <c r="AE19" s="1038"/>
      <c r="AF19" s="1036"/>
      <c r="AG19" s="1038"/>
      <c r="AH19" s="1036"/>
      <c r="AI19" s="1038"/>
      <c r="AJ19" s="631"/>
      <c r="AQ19" s="679" t="s">
        <v>4809</v>
      </c>
      <c r="AR19" s="694" t="s">
        <v>4826</v>
      </c>
      <c r="AS19" s="695">
        <f t="shared" ref="AS19:AX19" si="1">AS17*0.11</f>
        <v>-33440</v>
      </c>
      <c r="AT19" s="695">
        <f t="shared" si="1"/>
        <v>-33440</v>
      </c>
      <c r="AU19" s="695">
        <f t="shared" si="1"/>
        <v>-33440</v>
      </c>
      <c r="AV19" s="695">
        <f t="shared" si="1"/>
        <v>-33440</v>
      </c>
      <c r="AW19" s="695">
        <f t="shared" si="1"/>
        <v>-33440</v>
      </c>
      <c r="AX19" s="695">
        <f t="shared" si="1"/>
        <v>-40881.477999999996</v>
      </c>
      <c r="AZ19" s="681" t="s">
        <v>4827</v>
      </c>
    </row>
    <row r="20" spans="1:52" ht="14.25" customHeight="1" outlineLevel="1" x14ac:dyDescent="0.25">
      <c r="A20" s="637"/>
      <c r="B20" s="673"/>
      <c r="C20" s="697" t="s">
        <v>4828</v>
      </c>
      <c r="D20" s="698"/>
      <c r="E20" s="699"/>
      <c r="F20" s="698"/>
      <c r="G20" s="699"/>
      <c r="H20" s="677"/>
      <c r="I20" s="699"/>
      <c r="J20" s="698"/>
      <c r="K20" s="699"/>
      <c r="L20" s="677"/>
      <c r="M20" s="699"/>
      <c r="N20" s="698"/>
      <c r="O20" s="699"/>
      <c r="P20" s="677"/>
      <c r="Q20" s="699"/>
      <c r="R20" s="698"/>
      <c r="S20" s="699"/>
      <c r="T20" s="677"/>
      <c r="U20" s="699"/>
      <c r="V20" s="698"/>
      <c r="W20" s="699"/>
      <c r="X20" s="677">
        <v>0</v>
      </c>
      <c r="Y20" s="699"/>
      <c r="Z20" s="698"/>
      <c r="AA20" s="699"/>
      <c r="AB20" s="1036"/>
      <c r="AC20" s="1038"/>
      <c r="AD20" s="1036"/>
      <c r="AE20" s="1038"/>
      <c r="AF20" s="1036"/>
      <c r="AG20" s="1038"/>
      <c r="AH20" s="1036"/>
      <c r="AI20" s="678"/>
      <c r="AJ20" s="631"/>
      <c r="AQ20" s="679">
        <v>0</v>
      </c>
      <c r="AR20" s="697" t="s">
        <v>4828</v>
      </c>
      <c r="AS20" s="700">
        <f>F20-D20</f>
        <v>0</v>
      </c>
      <c r="AT20" s="700">
        <f>J20-H20</f>
        <v>0</v>
      </c>
      <c r="AU20" s="700">
        <f>N20-L20</f>
        <v>0</v>
      </c>
      <c r="AV20" s="700">
        <f>R20-P20</f>
        <v>0</v>
      </c>
      <c r="AW20" s="700">
        <f>V20-T20</f>
        <v>0</v>
      </c>
      <c r="AX20" s="701">
        <f>Z20-X20</f>
        <v>0</v>
      </c>
      <c r="AZ20" s="681"/>
    </row>
    <row r="21" spans="1:52" x14ac:dyDescent="0.25">
      <c r="A21" s="637"/>
      <c r="B21" s="702" t="s">
        <v>4811</v>
      </c>
      <c r="C21" s="692" t="s">
        <v>4829</v>
      </c>
      <c r="D21" s="675"/>
      <c r="E21" s="703" t="s">
        <v>1674</v>
      </c>
      <c r="F21" s="675">
        <v>0</v>
      </c>
      <c r="G21" s="703" t="s">
        <v>1674</v>
      </c>
      <c r="H21" s="704"/>
      <c r="I21" s="703">
        <v>0</v>
      </c>
      <c r="J21" s="675"/>
      <c r="K21" s="703">
        <v>0</v>
      </c>
      <c r="L21" s="704"/>
      <c r="M21" s="703">
        <v>0</v>
      </c>
      <c r="N21" s="675"/>
      <c r="O21" s="703">
        <v>0</v>
      </c>
      <c r="P21" s="704"/>
      <c r="Q21" s="703">
        <v>0</v>
      </c>
      <c r="R21" s="675"/>
      <c r="S21" s="703">
        <v>0</v>
      </c>
      <c r="T21" s="704"/>
      <c r="U21" s="703">
        <v>0</v>
      </c>
      <c r="V21" s="675"/>
      <c r="W21" s="703">
        <v>0</v>
      </c>
      <c r="X21" s="704"/>
      <c r="Y21" s="703">
        <v>0</v>
      </c>
      <c r="Z21" s="675"/>
      <c r="AA21" s="703">
        <v>0</v>
      </c>
      <c r="AB21" s="1037"/>
      <c r="AC21" s="1039"/>
      <c r="AD21" s="1037"/>
      <c r="AE21" s="1039"/>
      <c r="AF21" s="1037"/>
      <c r="AG21" s="1039"/>
      <c r="AH21" s="1037"/>
      <c r="AI21" s="683">
        <v>0</v>
      </c>
      <c r="AJ21" s="631"/>
      <c r="AQ21" s="691" t="s">
        <v>4811</v>
      </c>
      <c r="AR21" s="705" t="s">
        <v>4829</v>
      </c>
      <c r="AS21" s="706"/>
      <c r="AT21" s="706"/>
      <c r="AU21" s="706"/>
      <c r="AV21" s="706"/>
      <c r="AW21" s="706"/>
      <c r="AX21" s="706"/>
      <c r="AZ21" s="657"/>
    </row>
    <row r="22" spans="1:52" ht="15" x14ac:dyDescent="0.25">
      <c r="A22" s="637"/>
      <c r="B22" s="638" t="s">
        <v>4830</v>
      </c>
      <c r="C22" s="639" t="s">
        <v>4831</v>
      </c>
      <c r="D22" s="640">
        <v>0</v>
      </c>
      <c r="E22" s="641" t="s">
        <v>1674</v>
      </c>
      <c r="F22" s="640">
        <v>337440</v>
      </c>
      <c r="G22" s="641" t="s">
        <v>1674</v>
      </c>
      <c r="H22" s="642">
        <v>3262768.7600000007</v>
      </c>
      <c r="I22" s="641">
        <v>0.29239330660505414</v>
      </c>
      <c r="J22" s="640">
        <v>3600208.7600000007</v>
      </c>
      <c r="K22" s="641">
        <v>0.32263302159509516</v>
      </c>
      <c r="L22" s="642">
        <v>4206211.1600000011</v>
      </c>
      <c r="M22" s="641">
        <v>0.29713380275310508</v>
      </c>
      <c r="N22" s="640">
        <v>4543651.1600000011</v>
      </c>
      <c r="O22" s="641">
        <v>0.32097112964589181</v>
      </c>
      <c r="P22" s="642">
        <v>5462526.9900000012</v>
      </c>
      <c r="Q22" s="641">
        <v>0.33274117757223248</v>
      </c>
      <c r="R22" s="640">
        <v>5799966.9900000012</v>
      </c>
      <c r="S22" s="641">
        <v>0.35329580058197146</v>
      </c>
      <c r="T22" s="642">
        <v>3857293.9200000004</v>
      </c>
      <c r="U22" s="641">
        <v>0.24858156854013166</v>
      </c>
      <c r="V22" s="640">
        <v>4194733.92</v>
      </c>
      <c r="W22" s="641">
        <v>0.27032773728637588</v>
      </c>
      <c r="X22" s="642">
        <v>4359799.9099999992</v>
      </c>
      <c r="Y22" s="641">
        <v>0.25628712696622535</v>
      </c>
      <c r="Z22" s="640">
        <v>4772331.1879999992</v>
      </c>
      <c r="AA22" s="641">
        <v>0.2805374270269741</v>
      </c>
      <c r="AB22" s="640">
        <v>5004245.5486177625</v>
      </c>
      <c r="AC22" s="641">
        <v>0.28619842118137917</v>
      </c>
      <c r="AD22" s="640">
        <v>5596747.2460984774</v>
      </c>
      <c r="AE22" s="643">
        <v>0.30148978521993691</v>
      </c>
      <c r="AF22" s="640">
        <v>7570640.7183720544</v>
      </c>
      <c r="AG22" s="643">
        <v>0.33956682024484419</v>
      </c>
      <c r="AH22" s="640">
        <v>7689649.0144537855</v>
      </c>
      <c r="AI22" s="643">
        <v>0.29724485126796779</v>
      </c>
      <c r="AJ22" s="631"/>
      <c r="AQ22" s="644" t="s">
        <v>4830</v>
      </c>
      <c r="AR22" s="645" t="s">
        <v>4831</v>
      </c>
      <c r="AS22" s="646">
        <f t="shared" ref="AS22:AX22" si="2">AS15-AS16</f>
        <v>337440</v>
      </c>
      <c r="AT22" s="646">
        <f t="shared" si="2"/>
        <v>337440</v>
      </c>
      <c r="AU22" s="646">
        <f t="shared" si="2"/>
        <v>337440</v>
      </c>
      <c r="AV22" s="646">
        <f t="shared" si="2"/>
        <v>337440</v>
      </c>
      <c r="AW22" s="646">
        <f t="shared" si="2"/>
        <v>337440</v>
      </c>
      <c r="AX22" s="646">
        <f t="shared" si="2"/>
        <v>412531.27799999999</v>
      </c>
      <c r="AZ22" s="657"/>
    </row>
    <row r="23" spans="1:52" ht="15" x14ac:dyDescent="0.25">
      <c r="A23" s="637"/>
      <c r="B23" s="684" t="s">
        <v>4832</v>
      </c>
      <c r="C23" s="659" t="s">
        <v>257</v>
      </c>
      <c r="D23" s="685">
        <v>0</v>
      </c>
      <c r="E23" s="686" t="s">
        <v>1674</v>
      </c>
      <c r="F23" s="685">
        <v>0</v>
      </c>
      <c r="G23" s="686" t="s">
        <v>1674</v>
      </c>
      <c r="H23" s="687">
        <v>1572710.0500000003</v>
      </c>
      <c r="I23" s="686">
        <v>0.14093854810921386</v>
      </c>
      <c r="J23" s="685">
        <v>1572710.0500000003</v>
      </c>
      <c r="K23" s="686">
        <v>0.14093854810921386</v>
      </c>
      <c r="L23" s="687">
        <v>1716299.0700000003</v>
      </c>
      <c r="M23" s="686">
        <v>0.12124224151664265</v>
      </c>
      <c r="N23" s="685">
        <v>1716299.0700000003</v>
      </c>
      <c r="O23" s="686">
        <v>0.12124224151664265</v>
      </c>
      <c r="P23" s="687">
        <v>2216102.9700000002</v>
      </c>
      <c r="Q23" s="686">
        <v>0.13499040155023961</v>
      </c>
      <c r="R23" s="685">
        <v>2210585.9300000002</v>
      </c>
      <c r="S23" s="686">
        <v>0.13465433979902561</v>
      </c>
      <c r="T23" s="687">
        <v>2262133.9300000002</v>
      </c>
      <c r="U23" s="686">
        <v>0.14578220177923396</v>
      </c>
      <c r="V23" s="685">
        <v>2160154.9</v>
      </c>
      <c r="W23" s="686">
        <v>0.13921020914362967</v>
      </c>
      <c r="X23" s="687">
        <v>2767749.0500000003</v>
      </c>
      <c r="Y23" s="686">
        <v>0.16269977219849061</v>
      </c>
      <c r="Z23" s="685">
        <v>2417028.34</v>
      </c>
      <c r="AA23" s="686">
        <v>0.14208295376898272</v>
      </c>
      <c r="AB23" s="685">
        <v>2447932.360753601</v>
      </c>
      <c r="AC23" s="686">
        <v>0.14000000000000001</v>
      </c>
      <c r="AD23" s="685">
        <v>2598909.3258406441</v>
      </c>
      <c r="AE23" s="688">
        <v>0.14000000000000001</v>
      </c>
      <c r="AF23" s="685">
        <v>2898349.4108132329</v>
      </c>
      <c r="AG23" s="688">
        <v>0.13</v>
      </c>
      <c r="AH23" s="685">
        <v>3621764.5400122129</v>
      </c>
      <c r="AI23" s="688">
        <v>0.14000000000000001</v>
      </c>
      <c r="AJ23" s="631"/>
      <c r="AQ23" s="658" t="s">
        <v>4832</v>
      </c>
      <c r="AR23" s="693" t="s">
        <v>257</v>
      </c>
      <c r="AS23" s="680">
        <f t="shared" ref="AS23:AX23" si="3">SUM(AS24:AS34)</f>
        <v>0</v>
      </c>
      <c r="AT23" s="680">
        <f t="shared" si="3"/>
        <v>0</v>
      </c>
      <c r="AU23" s="680">
        <f t="shared" si="3"/>
        <v>0</v>
      </c>
      <c r="AV23" s="680">
        <f t="shared" si="3"/>
        <v>-5517.04</v>
      </c>
      <c r="AW23" s="680">
        <f t="shared" si="3"/>
        <v>-101979.03</v>
      </c>
      <c r="AX23" s="680">
        <f t="shared" si="3"/>
        <v>-350720.70999999996</v>
      </c>
      <c r="AZ23" s="681"/>
    </row>
    <row r="24" spans="1:52" ht="15" customHeight="1" x14ac:dyDescent="0.25">
      <c r="A24" s="637"/>
      <c r="B24" s="673" t="s">
        <v>4807</v>
      </c>
      <c r="C24" s="690" t="s">
        <v>4762</v>
      </c>
      <c r="D24" s="675"/>
      <c r="E24" s="676" t="s">
        <v>1674</v>
      </c>
      <c r="F24" s="675">
        <v>0</v>
      </c>
      <c r="G24" s="676" t="s">
        <v>1674</v>
      </c>
      <c r="H24" s="677">
        <v>274691.08</v>
      </c>
      <c r="I24" s="676">
        <v>2.4616465058992856E-2</v>
      </c>
      <c r="J24" s="675">
        <v>274691.08</v>
      </c>
      <c r="K24" s="676">
        <v>2.4616465058992856E-2</v>
      </c>
      <c r="L24" s="677">
        <v>277348.40999999997</v>
      </c>
      <c r="M24" s="676">
        <v>1.9592356307386927E-2</v>
      </c>
      <c r="N24" s="675">
        <v>277348.40999999997</v>
      </c>
      <c r="O24" s="676">
        <v>1.9592356307386927E-2</v>
      </c>
      <c r="P24" s="677">
        <v>325493.14</v>
      </c>
      <c r="Q24" s="676">
        <v>1.9826898959685233E-2</v>
      </c>
      <c r="R24" s="675">
        <v>325493.14</v>
      </c>
      <c r="S24" s="676">
        <v>1.9826898959685233E-2</v>
      </c>
      <c r="T24" s="677">
        <v>332591.65000000002</v>
      </c>
      <c r="U24" s="676">
        <v>2.1433719015208071E-2</v>
      </c>
      <c r="V24" s="675">
        <v>332591.65000000002</v>
      </c>
      <c r="W24" s="676">
        <v>2.1433719015208071E-2</v>
      </c>
      <c r="X24" s="677">
        <v>402455.02</v>
      </c>
      <c r="Y24" s="676">
        <v>2.3657975810393278E-2</v>
      </c>
      <c r="Z24" s="675">
        <v>402455.02</v>
      </c>
      <c r="AA24" s="676">
        <v>2.3657975810393278E-2</v>
      </c>
      <c r="AB24" s="1036">
        <v>2447932.360753601</v>
      </c>
      <c r="AC24" s="1038">
        <v>0.14000000000000001</v>
      </c>
      <c r="AD24" s="1036">
        <v>2598909.3258406441</v>
      </c>
      <c r="AE24" s="1038">
        <v>0.14000000000000001</v>
      </c>
      <c r="AF24" s="1036">
        <v>2898349.4108132329</v>
      </c>
      <c r="AG24" s="1038">
        <v>0.13</v>
      </c>
      <c r="AH24" s="1036">
        <v>3621764.5400122129</v>
      </c>
      <c r="AI24" s="1038">
        <v>0.14000000000000001</v>
      </c>
      <c r="AJ24" s="631"/>
      <c r="AQ24" s="679" t="s">
        <v>4807</v>
      </c>
      <c r="AR24" s="694" t="s">
        <v>4762</v>
      </c>
      <c r="AS24" s="680"/>
      <c r="AT24" s="680"/>
      <c r="AU24" s="680"/>
      <c r="AV24" s="680"/>
      <c r="AW24" s="680"/>
      <c r="AX24" s="680"/>
      <c r="AZ24" s="681"/>
    </row>
    <row r="25" spans="1:52" x14ac:dyDescent="0.25">
      <c r="A25" s="637"/>
      <c r="B25" s="673" t="s">
        <v>4809</v>
      </c>
      <c r="C25" s="690" t="s">
        <v>4833</v>
      </c>
      <c r="D25" s="675"/>
      <c r="E25" s="676" t="s">
        <v>1674</v>
      </c>
      <c r="F25" s="675">
        <v>0</v>
      </c>
      <c r="G25" s="676" t="s">
        <v>1674</v>
      </c>
      <c r="H25" s="677">
        <v>35207.89</v>
      </c>
      <c r="I25" s="676">
        <v>3.1551581288546534E-3</v>
      </c>
      <c r="J25" s="675">
        <v>35207.89</v>
      </c>
      <c r="K25" s="676">
        <v>3.1551581288546534E-3</v>
      </c>
      <c r="L25" s="677">
        <v>38774.26</v>
      </c>
      <c r="M25" s="676">
        <v>2.7390786825684729E-3</v>
      </c>
      <c r="N25" s="675">
        <v>38774.26</v>
      </c>
      <c r="O25" s="676">
        <v>2.7390786825684729E-3</v>
      </c>
      <c r="P25" s="677">
        <v>62466.09</v>
      </c>
      <c r="Q25" s="676">
        <v>3.8050229102727143E-3</v>
      </c>
      <c r="R25" s="675">
        <v>62466.09</v>
      </c>
      <c r="S25" s="676">
        <v>3.8050229102727143E-3</v>
      </c>
      <c r="T25" s="677">
        <v>73243.100000000006</v>
      </c>
      <c r="U25" s="676">
        <v>4.7201185754446517E-3</v>
      </c>
      <c r="V25" s="675">
        <v>73243.100000000006</v>
      </c>
      <c r="W25" s="676">
        <v>4.7201185754446517E-3</v>
      </c>
      <c r="X25" s="677">
        <v>69683.399999999994</v>
      </c>
      <c r="Y25" s="676">
        <v>4.0962793595814978E-3</v>
      </c>
      <c r="Z25" s="675">
        <v>69683.399999999994</v>
      </c>
      <c r="AA25" s="676">
        <v>4.0962793595814978E-3</v>
      </c>
      <c r="AB25" s="1036"/>
      <c r="AC25" s="1038"/>
      <c r="AD25" s="1036"/>
      <c r="AE25" s="1038"/>
      <c r="AF25" s="1036"/>
      <c r="AG25" s="1038"/>
      <c r="AH25" s="1036"/>
      <c r="AI25" s="1038"/>
      <c r="AJ25" s="631"/>
      <c r="AQ25" s="679" t="s">
        <v>4809</v>
      </c>
      <c r="AR25" s="694" t="s">
        <v>4833</v>
      </c>
      <c r="AS25" s="680"/>
      <c r="AT25" s="680"/>
      <c r="AU25" s="680"/>
      <c r="AV25" s="680"/>
      <c r="AW25" s="680"/>
      <c r="AX25" s="680"/>
      <c r="AZ25" s="681"/>
    </row>
    <row r="26" spans="1:52" ht="14.25" customHeight="1" x14ac:dyDescent="0.25">
      <c r="A26" s="637"/>
      <c r="B26" s="673" t="s">
        <v>4811</v>
      </c>
      <c r="C26" s="690" t="s">
        <v>448</v>
      </c>
      <c r="D26" s="675"/>
      <c r="E26" s="676" t="s">
        <v>1674</v>
      </c>
      <c r="F26" s="675">
        <v>0</v>
      </c>
      <c r="G26" s="676" t="s">
        <v>1674</v>
      </c>
      <c r="H26" s="677">
        <v>125782.88</v>
      </c>
      <c r="I26" s="676">
        <v>1.1272043746522424E-2</v>
      </c>
      <c r="J26" s="675">
        <v>125782.88</v>
      </c>
      <c r="K26" s="676">
        <v>1.1272043746522424E-2</v>
      </c>
      <c r="L26" s="677">
        <v>189573.68</v>
      </c>
      <c r="M26" s="676">
        <v>1.3391802336499968E-2</v>
      </c>
      <c r="N26" s="675">
        <v>189573.68</v>
      </c>
      <c r="O26" s="676">
        <v>1.3391802336499968E-2</v>
      </c>
      <c r="P26" s="677">
        <v>117492.03</v>
      </c>
      <c r="Q26" s="676">
        <v>7.1568408703738158E-3</v>
      </c>
      <c r="R26" s="675">
        <v>117492.03</v>
      </c>
      <c r="S26" s="676">
        <v>7.1568408703738158E-3</v>
      </c>
      <c r="T26" s="677">
        <v>124281.49</v>
      </c>
      <c r="U26" s="676">
        <v>8.0092646205982363E-3</v>
      </c>
      <c r="V26" s="675">
        <v>124281.49</v>
      </c>
      <c r="W26" s="676">
        <v>8.0092646205982363E-3</v>
      </c>
      <c r="X26" s="677">
        <v>133312.81</v>
      </c>
      <c r="Y26" s="676">
        <v>7.8366800697269347E-3</v>
      </c>
      <c r="Z26" s="675">
        <v>133312.81</v>
      </c>
      <c r="AA26" s="676">
        <v>7.8366800697269347E-3</v>
      </c>
      <c r="AB26" s="1042"/>
      <c r="AC26" s="1038"/>
      <c r="AD26" s="1042"/>
      <c r="AE26" s="1038"/>
      <c r="AF26" s="1042"/>
      <c r="AG26" s="1038"/>
      <c r="AH26" s="1042"/>
      <c r="AI26" s="1038"/>
      <c r="AJ26" s="631"/>
      <c r="AQ26" s="679" t="s">
        <v>4811</v>
      </c>
      <c r="AR26" s="694" t="s">
        <v>448</v>
      </c>
      <c r="AS26" s="680"/>
      <c r="AT26" s="680"/>
      <c r="AU26" s="680"/>
      <c r="AV26" s="680"/>
      <c r="AW26" s="680"/>
      <c r="AX26" s="680"/>
      <c r="AZ26" s="681"/>
    </row>
    <row r="27" spans="1:52" ht="14.25" customHeight="1" x14ac:dyDescent="0.25">
      <c r="A27" s="637"/>
      <c r="B27" s="673" t="s">
        <v>4813</v>
      </c>
      <c r="C27" s="690" t="s">
        <v>446</v>
      </c>
      <c r="D27" s="675"/>
      <c r="E27" s="676" t="s">
        <v>1674</v>
      </c>
      <c r="F27" s="675">
        <v>0</v>
      </c>
      <c r="G27" s="676" t="s">
        <v>1674</v>
      </c>
      <c r="H27" s="677">
        <v>150852.5</v>
      </c>
      <c r="I27" s="676">
        <v>1.3518659926313296E-2</v>
      </c>
      <c r="J27" s="675">
        <v>150852.5</v>
      </c>
      <c r="K27" s="676">
        <v>1.3518659926313296E-2</v>
      </c>
      <c r="L27" s="677">
        <v>172527.15</v>
      </c>
      <c r="M27" s="676">
        <v>1.2187606900281096E-2</v>
      </c>
      <c r="N27" s="675">
        <v>172527.15</v>
      </c>
      <c r="O27" s="676">
        <v>1.2187606900281096E-2</v>
      </c>
      <c r="P27" s="677">
        <v>184667.53</v>
      </c>
      <c r="Q27" s="676">
        <v>1.1248730029900605E-2</v>
      </c>
      <c r="R27" s="675">
        <v>184667.53</v>
      </c>
      <c r="S27" s="676">
        <v>1.1248730029900605E-2</v>
      </c>
      <c r="T27" s="677">
        <v>194668.08</v>
      </c>
      <c r="U27" s="676">
        <v>1.2545296696264158E-2</v>
      </c>
      <c r="V27" s="675">
        <v>194668.08</v>
      </c>
      <c r="W27" s="676">
        <v>1.2545296696264158E-2</v>
      </c>
      <c r="X27" s="677">
        <v>246061.81</v>
      </c>
      <c r="Y27" s="676">
        <v>1.44645340710164E-2</v>
      </c>
      <c r="Z27" s="675">
        <v>246061.81</v>
      </c>
      <c r="AA27" s="676">
        <v>1.44645340710164E-2</v>
      </c>
      <c r="AB27" s="1042"/>
      <c r="AC27" s="1038"/>
      <c r="AD27" s="1042"/>
      <c r="AE27" s="1038"/>
      <c r="AF27" s="1042"/>
      <c r="AG27" s="1038"/>
      <c r="AH27" s="1042"/>
      <c r="AI27" s="1038"/>
      <c r="AJ27" s="631"/>
      <c r="AQ27" s="679" t="s">
        <v>4813</v>
      </c>
      <c r="AR27" s="694" t="s">
        <v>446</v>
      </c>
      <c r="AS27" s="680"/>
      <c r="AT27" s="680"/>
      <c r="AU27" s="680"/>
      <c r="AV27" s="680"/>
      <c r="AW27" s="680"/>
      <c r="AX27" s="680"/>
      <c r="AZ27" s="681"/>
    </row>
    <row r="28" spans="1:52" ht="14.25" customHeight="1" x14ac:dyDescent="0.25">
      <c r="A28" s="637"/>
      <c r="B28" s="673" t="s">
        <v>4815</v>
      </c>
      <c r="C28" s="690" t="s">
        <v>444</v>
      </c>
      <c r="D28" s="675"/>
      <c r="E28" s="676" t="s">
        <v>1674</v>
      </c>
      <c r="F28" s="675">
        <v>0</v>
      </c>
      <c r="G28" s="676" t="s">
        <v>1674</v>
      </c>
      <c r="H28" s="677">
        <v>70866.570000000007</v>
      </c>
      <c r="I28" s="676">
        <v>6.3507138428218037E-3</v>
      </c>
      <c r="J28" s="675">
        <v>70866.570000000007</v>
      </c>
      <c r="K28" s="676">
        <v>6.3507138428218037E-3</v>
      </c>
      <c r="L28" s="677">
        <v>84948.66</v>
      </c>
      <c r="M28" s="676">
        <v>6.0009156517431186E-3</v>
      </c>
      <c r="N28" s="675">
        <v>84948.66</v>
      </c>
      <c r="O28" s="676">
        <v>6.0009156517431186E-3</v>
      </c>
      <c r="P28" s="677">
        <v>140851.26</v>
      </c>
      <c r="Q28" s="676">
        <v>8.5797313588985447E-3</v>
      </c>
      <c r="R28" s="675">
        <v>140851.26</v>
      </c>
      <c r="S28" s="676">
        <v>8.5797313588985447E-3</v>
      </c>
      <c r="T28" s="677">
        <v>177419.94</v>
      </c>
      <c r="U28" s="676">
        <v>1.1433748086144299E-2</v>
      </c>
      <c r="V28" s="675">
        <v>145113.19</v>
      </c>
      <c r="W28" s="676">
        <v>9.3517541401310026E-3</v>
      </c>
      <c r="X28" s="677">
        <v>153834.63</v>
      </c>
      <c r="Y28" s="676">
        <v>9.0430377917532258E-3</v>
      </c>
      <c r="Z28" s="675">
        <v>153834.63</v>
      </c>
      <c r="AA28" s="676">
        <v>9.0430377917532258E-3</v>
      </c>
      <c r="AB28" s="1042"/>
      <c r="AC28" s="1038"/>
      <c r="AD28" s="1042"/>
      <c r="AE28" s="1038"/>
      <c r="AF28" s="1042"/>
      <c r="AG28" s="1038"/>
      <c r="AH28" s="1042"/>
      <c r="AI28" s="1038"/>
      <c r="AJ28" s="631"/>
      <c r="AQ28" s="679" t="s">
        <v>4815</v>
      </c>
      <c r="AR28" s="694" t="s">
        <v>444</v>
      </c>
      <c r="AS28" s="680"/>
      <c r="AT28" s="680"/>
      <c r="AU28" s="680"/>
      <c r="AV28" s="680"/>
      <c r="AW28" s="680">
        <v>-32306.75</v>
      </c>
      <c r="AX28" s="680"/>
      <c r="AZ28" s="681" t="s">
        <v>4834</v>
      </c>
    </row>
    <row r="29" spans="1:52" ht="14.25" customHeight="1" x14ac:dyDescent="0.25">
      <c r="A29" s="637"/>
      <c r="B29" s="673" t="s">
        <v>4835</v>
      </c>
      <c r="C29" s="690" t="s">
        <v>662</v>
      </c>
      <c r="D29" s="675"/>
      <c r="E29" s="676" t="s">
        <v>1674</v>
      </c>
      <c r="F29" s="675">
        <v>0</v>
      </c>
      <c r="G29" s="676" t="s">
        <v>1674</v>
      </c>
      <c r="H29" s="677">
        <v>495811</v>
      </c>
      <c r="I29" s="676">
        <v>4.4432145948693734E-2</v>
      </c>
      <c r="J29" s="675">
        <v>495811</v>
      </c>
      <c r="K29" s="676">
        <v>4.4432145948693734E-2</v>
      </c>
      <c r="L29" s="677">
        <v>296959.71000000002</v>
      </c>
      <c r="M29" s="676">
        <v>2.0977731393009586E-2</v>
      </c>
      <c r="N29" s="675">
        <v>296959.71000000002</v>
      </c>
      <c r="O29" s="676">
        <v>2.0977731393009586E-2</v>
      </c>
      <c r="P29" s="677">
        <v>978741.32</v>
      </c>
      <c r="Q29" s="676">
        <v>5.9618476934134315E-2</v>
      </c>
      <c r="R29" s="675">
        <v>978741.32</v>
      </c>
      <c r="S29" s="676">
        <v>5.9618476934134315E-2</v>
      </c>
      <c r="T29" s="677">
        <v>285427.81</v>
      </c>
      <c r="U29" s="676">
        <v>1.8394266598894458E-2</v>
      </c>
      <c r="V29" s="675">
        <v>285427.81</v>
      </c>
      <c r="W29" s="676">
        <v>1.8394266598894458E-2</v>
      </c>
      <c r="X29" s="677">
        <v>301383.43</v>
      </c>
      <c r="Y29" s="676">
        <v>1.7716568416995659E-2</v>
      </c>
      <c r="Z29" s="675">
        <v>301383.43</v>
      </c>
      <c r="AA29" s="676">
        <v>1.7716568416995659E-2</v>
      </c>
      <c r="AB29" s="1042"/>
      <c r="AC29" s="1038"/>
      <c r="AD29" s="1042"/>
      <c r="AE29" s="1038"/>
      <c r="AF29" s="1042"/>
      <c r="AG29" s="1038"/>
      <c r="AH29" s="1042"/>
      <c r="AI29" s="1038"/>
      <c r="AJ29" s="631"/>
      <c r="AQ29" s="679" t="s">
        <v>4835</v>
      </c>
      <c r="AR29" s="694" t="s">
        <v>662</v>
      </c>
      <c r="AS29" s="680"/>
      <c r="AT29" s="680"/>
      <c r="AU29" s="680"/>
      <c r="AV29" s="680"/>
      <c r="AW29" s="680"/>
      <c r="AX29" s="680"/>
      <c r="AZ29" s="681"/>
    </row>
    <row r="30" spans="1:52" ht="14.25" customHeight="1" x14ac:dyDescent="0.25">
      <c r="A30" s="637"/>
      <c r="B30" s="673" t="s">
        <v>4836</v>
      </c>
      <c r="C30" s="690" t="s">
        <v>4837</v>
      </c>
      <c r="D30" s="675"/>
      <c r="E30" s="676" t="s">
        <v>1674</v>
      </c>
      <c r="F30" s="675">
        <v>0</v>
      </c>
      <c r="G30" s="676" t="s">
        <v>1674</v>
      </c>
      <c r="H30" s="677">
        <v>9447.11</v>
      </c>
      <c r="I30" s="676">
        <v>8.4660358546576032E-4</v>
      </c>
      <c r="J30" s="675">
        <v>9447.11</v>
      </c>
      <c r="K30" s="676">
        <v>8.4660358546576032E-4</v>
      </c>
      <c r="L30" s="677">
        <v>16732.11</v>
      </c>
      <c r="M30" s="676">
        <v>1.1819842806900962E-3</v>
      </c>
      <c r="N30" s="675">
        <v>16732.11</v>
      </c>
      <c r="O30" s="676">
        <v>1.1819842806900962E-3</v>
      </c>
      <c r="P30" s="677">
        <v>20614.95</v>
      </c>
      <c r="Q30" s="676">
        <v>1.2557270199579724E-3</v>
      </c>
      <c r="R30" s="675">
        <v>20614.95</v>
      </c>
      <c r="S30" s="676">
        <v>1.2557270199579724E-3</v>
      </c>
      <c r="T30" s="677">
        <v>8739.2900000000009</v>
      </c>
      <c r="U30" s="676">
        <v>5.6319960604067404E-4</v>
      </c>
      <c r="V30" s="675">
        <v>8739.2900000000009</v>
      </c>
      <c r="W30" s="676">
        <v>5.6319960604067404E-4</v>
      </c>
      <c r="X30" s="677">
        <v>18447.509999999998</v>
      </c>
      <c r="Y30" s="676">
        <v>1.0844211741773977E-3</v>
      </c>
      <c r="Z30" s="675">
        <v>18447.509999999998</v>
      </c>
      <c r="AA30" s="676">
        <v>1.0844211741773977E-3</v>
      </c>
      <c r="AB30" s="1042"/>
      <c r="AC30" s="1038"/>
      <c r="AD30" s="1042"/>
      <c r="AE30" s="1038"/>
      <c r="AF30" s="1042"/>
      <c r="AG30" s="1038"/>
      <c r="AH30" s="1042"/>
      <c r="AI30" s="1038"/>
      <c r="AJ30" s="631"/>
      <c r="AQ30" s="679" t="s">
        <v>4836</v>
      </c>
      <c r="AR30" s="694" t="s">
        <v>4837</v>
      </c>
      <c r="AS30" s="680"/>
      <c r="AT30" s="680"/>
      <c r="AU30" s="680"/>
      <c r="AV30" s="680"/>
      <c r="AW30" s="680"/>
      <c r="AX30" s="680"/>
      <c r="AZ30" s="681"/>
    </row>
    <row r="31" spans="1:52" ht="14.25" customHeight="1" x14ac:dyDescent="0.25">
      <c r="A31" s="637"/>
      <c r="B31" s="673" t="s">
        <v>4838</v>
      </c>
      <c r="C31" s="690" t="s">
        <v>4839</v>
      </c>
      <c r="D31" s="675"/>
      <c r="E31" s="676" t="s">
        <v>1674</v>
      </c>
      <c r="F31" s="675">
        <v>0</v>
      </c>
      <c r="G31" s="676" t="s">
        <v>1674</v>
      </c>
      <c r="H31" s="677">
        <v>138</v>
      </c>
      <c r="I31" s="676">
        <v>1.2366882019397987E-5</v>
      </c>
      <c r="J31" s="675">
        <v>138</v>
      </c>
      <c r="K31" s="676">
        <v>1.2366882019397987E-5</v>
      </c>
      <c r="L31" s="677">
        <v>1406</v>
      </c>
      <c r="M31" s="676">
        <v>9.9322195386611454E-5</v>
      </c>
      <c r="N31" s="675">
        <v>1406</v>
      </c>
      <c r="O31" s="676">
        <v>9.9322195386611454E-5</v>
      </c>
      <c r="P31" s="677">
        <v>2686</v>
      </c>
      <c r="Q31" s="676">
        <v>1.6361343469700938E-4</v>
      </c>
      <c r="R31" s="675">
        <v>2686</v>
      </c>
      <c r="S31" s="676">
        <v>1.6361343469700938E-4</v>
      </c>
      <c r="T31" s="677">
        <v>1356</v>
      </c>
      <c r="U31" s="676">
        <v>8.7386808973172176E-5</v>
      </c>
      <c r="V31" s="675">
        <v>1356</v>
      </c>
      <c r="W31" s="676">
        <v>8.7386808973172176E-5</v>
      </c>
      <c r="X31" s="677">
        <v>706</v>
      </c>
      <c r="Y31" s="676">
        <v>4.1501609104385515E-5</v>
      </c>
      <c r="Z31" s="675">
        <v>706</v>
      </c>
      <c r="AA31" s="676">
        <v>4.1501609104385515E-5</v>
      </c>
      <c r="AB31" s="1042"/>
      <c r="AC31" s="1038"/>
      <c r="AD31" s="1042"/>
      <c r="AE31" s="1038"/>
      <c r="AF31" s="1042"/>
      <c r="AG31" s="1038"/>
      <c r="AH31" s="1042"/>
      <c r="AI31" s="1038"/>
      <c r="AJ31" s="631"/>
      <c r="AQ31" s="679" t="s">
        <v>4838</v>
      </c>
      <c r="AR31" s="694" t="s">
        <v>4839</v>
      </c>
      <c r="AS31" s="680"/>
      <c r="AT31" s="680"/>
      <c r="AU31" s="680"/>
      <c r="AV31" s="680"/>
      <c r="AW31" s="680"/>
      <c r="AX31" s="680"/>
      <c r="AZ31" s="681"/>
    </row>
    <row r="32" spans="1:52" ht="14.25" customHeight="1" x14ac:dyDescent="0.25">
      <c r="A32" s="637"/>
      <c r="B32" s="673" t="s">
        <v>4840</v>
      </c>
      <c r="C32" s="690" t="s">
        <v>442</v>
      </c>
      <c r="D32" s="675"/>
      <c r="E32" s="676" t="s">
        <v>1674</v>
      </c>
      <c r="F32" s="675">
        <v>0</v>
      </c>
      <c r="G32" s="676" t="s">
        <v>1674</v>
      </c>
      <c r="H32" s="677">
        <v>361356.3</v>
      </c>
      <c r="I32" s="676">
        <v>3.2382976297581051E-2</v>
      </c>
      <c r="J32" s="675">
        <v>361356.3</v>
      </c>
      <c r="K32" s="676">
        <v>3.2382976297581051E-2</v>
      </c>
      <c r="L32" s="677">
        <v>632410.09</v>
      </c>
      <c r="M32" s="676">
        <v>4.4674508195906494E-2</v>
      </c>
      <c r="N32" s="675">
        <v>632410.09</v>
      </c>
      <c r="O32" s="676">
        <v>4.4674508195906494E-2</v>
      </c>
      <c r="P32" s="677">
        <v>341112.15</v>
      </c>
      <c r="Q32" s="676">
        <v>2.0778306209375083E-2</v>
      </c>
      <c r="R32" s="675">
        <v>335595.11000000004</v>
      </c>
      <c r="S32" s="676">
        <v>2.0442244458161091E-2</v>
      </c>
      <c r="T32" s="677">
        <v>1005202.57</v>
      </c>
      <c r="U32" s="676">
        <v>6.4779826669566179E-2</v>
      </c>
      <c r="V32" s="675">
        <v>935530.28999999992</v>
      </c>
      <c r="W32" s="676">
        <v>6.0289827979975195E-2</v>
      </c>
      <c r="X32" s="677">
        <v>1400681.04</v>
      </c>
      <c r="Y32" s="676">
        <v>8.2337842779042741E-2</v>
      </c>
      <c r="Z32" s="675">
        <v>1071790.73</v>
      </c>
      <c r="AA32" s="676">
        <v>6.300430583309348E-2</v>
      </c>
      <c r="AB32" s="1042"/>
      <c r="AC32" s="1038"/>
      <c r="AD32" s="1042"/>
      <c r="AE32" s="1038"/>
      <c r="AF32" s="1042"/>
      <c r="AG32" s="1038"/>
      <c r="AH32" s="1042"/>
      <c r="AI32" s="1038"/>
      <c r="AJ32" s="631"/>
      <c r="AQ32" s="679" t="s">
        <v>4840</v>
      </c>
      <c r="AR32" s="694" t="s">
        <v>442</v>
      </c>
      <c r="AS32" s="680"/>
      <c r="AT32" s="680"/>
      <c r="AU32" s="680"/>
      <c r="AV32" s="680">
        <v>-5517.04</v>
      </c>
      <c r="AW32" s="680">
        <f>-64500-5172.28</f>
        <v>-69672.28</v>
      </c>
      <c r="AX32" s="680">
        <f>-152202.5-176687.81</f>
        <v>-328890.31</v>
      </c>
      <c r="AZ32" s="681" t="s">
        <v>4841</v>
      </c>
    </row>
    <row r="33" spans="1:52" ht="14.25" customHeight="1" x14ac:dyDescent="0.25">
      <c r="A33" s="637"/>
      <c r="B33" s="673" t="s">
        <v>4842</v>
      </c>
      <c r="C33" s="690" t="s">
        <v>4843</v>
      </c>
      <c r="D33" s="675"/>
      <c r="E33" s="676" t="s">
        <v>1674</v>
      </c>
      <c r="F33" s="675">
        <v>0</v>
      </c>
      <c r="G33" s="676" t="s">
        <v>1674</v>
      </c>
      <c r="H33" s="677">
        <v>41549.72</v>
      </c>
      <c r="I33" s="676">
        <v>3.723481776659572E-3</v>
      </c>
      <c r="J33" s="675">
        <v>41549.72</v>
      </c>
      <c r="K33" s="676">
        <v>3.723481776659572E-3</v>
      </c>
      <c r="L33" s="677"/>
      <c r="M33" s="676">
        <v>0</v>
      </c>
      <c r="N33" s="675">
        <v>0</v>
      </c>
      <c r="O33" s="676">
        <v>0</v>
      </c>
      <c r="P33" s="677">
        <v>19740.5</v>
      </c>
      <c r="Q33" s="676">
        <v>1.2024612835578234E-3</v>
      </c>
      <c r="R33" s="675">
        <v>19740.5</v>
      </c>
      <c r="S33" s="676">
        <v>1.2024612835578234E-3</v>
      </c>
      <c r="T33" s="677">
        <v>27177</v>
      </c>
      <c r="U33" s="676">
        <v>1.7514095187786875E-3</v>
      </c>
      <c r="V33" s="675">
        <v>27177</v>
      </c>
      <c r="W33" s="676">
        <v>1.7514095187786875E-3</v>
      </c>
      <c r="X33" s="677">
        <v>2534</v>
      </c>
      <c r="Y33" s="676">
        <v>1.4895903324435255E-4</v>
      </c>
      <c r="Z33" s="675">
        <v>2534</v>
      </c>
      <c r="AA33" s="676">
        <v>1.4895903324435255E-4</v>
      </c>
      <c r="AB33" s="1042"/>
      <c r="AC33" s="1038"/>
      <c r="AD33" s="1042"/>
      <c r="AE33" s="1038"/>
      <c r="AF33" s="1042"/>
      <c r="AG33" s="1038"/>
      <c r="AH33" s="1042"/>
      <c r="AI33" s="1038"/>
      <c r="AJ33" s="631"/>
      <c r="AQ33" s="679" t="s">
        <v>4842</v>
      </c>
      <c r="AR33" s="694" t="s">
        <v>4843</v>
      </c>
      <c r="AS33" s="680"/>
      <c r="AT33" s="680"/>
      <c r="AU33" s="680"/>
      <c r="AV33" s="680"/>
      <c r="AW33" s="680"/>
      <c r="AX33" s="680"/>
      <c r="AZ33" s="681"/>
    </row>
    <row r="34" spans="1:52" x14ac:dyDescent="0.25">
      <c r="A34" s="637"/>
      <c r="B34" s="702" t="s">
        <v>4844</v>
      </c>
      <c r="C34" s="707" t="s">
        <v>4845</v>
      </c>
      <c r="D34" s="675"/>
      <c r="E34" s="676" t="s">
        <v>1674</v>
      </c>
      <c r="F34" s="675">
        <v>0</v>
      </c>
      <c r="G34" s="676" t="s">
        <v>1674</v>
      </c>
      <c r="H34" s="704">
        <v>7007</v>
      </c>
      <c r="I34" s="676">
        <v>6.279329152892876E-4</v>
      </c>
      <c r="J34" s="675">
        <v>7007</v>
      </c>
      <c r="K34" s="676">
        <v>6.279329152892876E-4</v>
      </c>
      <c r="L34" s="704">
        <v>5619</v>
      </c>
      <c r="M34" s="676">
        <v>3.9693557317024874E-4</v>
      </c>
      <c r="N34" s="675">
        <v>5619</v>
      </c>
      <c r="O34" s="676">
        <v>3.9693557317024874E-4</v>
      </c>
      <c r="P34" s="704">
        <v>22238</v>
      </c>
      <c r="Q34" s="676">
        <v>1.3545925393864836E-3</v>
      </c>
      <c r="R34" s="675">
        <v>22238</v>
      </c>
      <c r="S34" s="676">
        <v>1.3545925393864836E-3</v>
      </c>
      <c r="T34" s="704">
        <v>32027</v>
      </c>
      <c r="U34" s="676">
        <v>2.0639655833213756E-3</v>
      </c>
      <c r="V34" s="675">
        <v>32027</v>
      </c>
      <c r="W34" s="676">
        <v>2.0639655833213756E-3</v>
      </c>
      <c r="X34" s="704">
        <v>38649.4</v>
      </c>
      <c r="Y34" s="676">
        <v>2.2719720834547272E-3</v>
      </c>
      <c r="Z34" s="675">
        <v>16819.000000000007</v>
      </c>
      <c r="AA34" s="676">
        <v>9.8869059989611929E-4</v>
      </c>
      <c r="AB34" s="1043"/>
      <c r="AC34" s="1039"/>
      <c r="AD34" s="1043"/>
      <c r="AE34" s="1039"/>
      <c r="AF34" s="1043"/>
      <c r="AG34" s="1039"/>
      <c r="AH34" s="1043"/>
      <c r="AI34" s="1039"/>
      <c r="AJ34" s="631"/>
      <c r="AQ34" s="679" t="s">
        <v>4844</v>
      </c>
      <c r="AR34" s="694" t="s">
        <v>4845</v>
      </c>
      <c r="AS34" s="646"/>
      <c r="AT34" s="646"/>
      <c r="AU34" s="646"/>
      <c r="AV34" s="646"/>
      <c r="AW34" s="646"/>
      <c r="AX34" s="646">
        <f>-102680+80849.6</f>
        <v>-21830.399999999994</v>
      </c>
      <c r="AZ34" s="657" t="s">
        <v>4846</v>
      </c>
    </row>
    <row r="35" spans="1:52" ht="15" x14ac:dyDescent="0.25">
      <c r="A35" s="637"/>
      <c r="B35" s="684" t="s">
        <v>4847</v>
      </c>
      <c r="C35" s="659" t="s">
        <v>225</v>
      </c>
      <c r="D35" s="685">
        <v>0</v>
      </c>
      <c r="E35" s="686" t="s">
        <v>1674</v>
      </c>
      <c r="F35" s="685">
        <v>337440</v>
      </c>
      <c r="G35" s="686" t="s">
        <v>1674</v>
      </c>
      <c r="H35" s="687">
        <v>1690058.7100000004</v>
      </c>
      <c r="I35" s="686">
        <v>0.15145475849584031</v>
      </c>
      <c r="J35" s="685">
        <v>2027498.7100000004</v>
      </c>
      <c r="K35" s="686">
        <v>0.1816944734858813</v>
      </c>
      <c r="L35" s="687">
        <v>2489912.0900000008</v>
      </c>
      <c r="M35" s="686">
        <v>0.17589156123646241</v>
      </c>
      <c r="N35" s="685">
        <v>2827352.0900000008</v>
      </c>
      <c r="O35" s="686">
        <v>0.19972888812924916</v>
      </c>
      <c r="P35" s="687">
        <v>3246424.0200000009</v>
      </c>
      <c r="Q35" s="686">
        <v>0.19775077602199287</v>
      </c>
      <c r="R35" s="685">
        <v>3589381.060000001</v>
      </c>
      <c r="S35" s="686">
        <v>0.21864146078294583</v>
      </c>
      <c r="T35" s="687">
        <v>1595159.9900000002</v>
      </c>
      <c r="U35" s="686">
        <v>0.10279936676089768</v>
      </c>
      <c r="V35" s="685">
        <v>2034579.02</v>
      </c>
      <c r="W35" s="686">
        <v>0.13111752814274621</v>
      </c>
      <c r="X35" s="687">
        <v>1592050.8599999989</v>
      </c>
      <c r="Y35" s="686">
        <v>9.3587354767734762E-2</v>
      </c>
      <c r="Z35" s="685">
        <v>2355302.8479999993</v>
      </c>
      <c r="AA35" s="686">
        <v>0.13845447325799137</v>
      </c>
      <c r="AB35" s="685">
        <v>2556313.1878641616</v>
      </c>
      <c r="AC35" s="686">
        <v>0.14619842118137913</v>
      </c>
      <c r="AD35" s="685">
        <v>2997837.9202578333</v>
      </c>
      <c r="AE35" s="688">
        <v>0.16148978521993693</v>
      </c>
      <c r="AF35" s="685">
        <v>4672291.3075588215</v>
      </c>
      <c r="AG35" s="688">
        <v>0.20956682024484419</v>
      </c>
      <c r="AH35" s="685">
        <v>4067884.4744415726</v>
      </c>
      <c r="AI35" s="688">
        <v>0.15724485126796778</v>
      </c>
      <c r="AJ35" s="631"/>
      <c r="AQ35" s="658" t="s">
        <v>4847</v>
      </c>
      <c r="AR35" s="693" t="s">
        <v>225</v>
      </c>
      <c r="AS35" s="646">
        <f t="shared" ref="AS35:AX35" si="4">AS22-AS23</f>
        <v>337440</v>
      </c>
      <c r="AT35" s="646">
        <f t="shared" si="4"/>
        <v>337440</v>
      </c>
      <c r="AU35" s="646">
        <f t="shared" si="4"/>
        <v>337440</v>
      </c>
      <c r="AV35" s="646">
        <f t="shared" si="4"/>
        <v>342957.04</v>
      </c>
      <c r="AW35" s="646">
        <f t="shared" si="4"/>
        <v>439419.03</v>
      </c>
      <c r="AX35" s="646">
        <f t="shared" si="4"/>
        <v>763251.9879999999</v>
      </c>
      <c r="AZ35" s="657"/>
    </row>
    <row r="36" spans="1:52" x14ac:dyDescent="0.25">
      <c r="A36" s="637"/>
      <c r="B36" s="648" t="s">
        <v>4848</v>
      </c>
      <c r="C36" s="708" t="s">
        <v>255</v>
      </c>
      <c r="D36" s="650"/>
      <c r="E36" s="651" t="s">
        <v>1674</v>
      </c>
      <c r="F36" s="650">
        <v>0</v>
      </c>
      <c r="G36" s="651" t="s">
        <v>1674</v>
      </c>
      <c r="H36" s="652">
        <v>214780.39</v>
      </c>
      <c r="I36" s="651">
        <v>1.9247563356596286E-2</v>
      </c>
      <c r="J36" s="650">
        <v>214780.39</v>
      </c>
      <c r="K36" s="651">
        <v>1.9247563356596286E-2</v>
      </c>
      <c r="L36" s="652">
        <v>332417.98</v>
      </c>
      <c r="M36" s="651">
        <v>2.3482562986900921E-2</v>
      </c>
      <c r="N36" s="650">
        <v>332417.98</v>
      </c>
      <c r="O36" s="651">
        <v>2.3482562986900921E-2</v>
      </c>
      <c r="P36" s="652">
        <v>355341.7</v>
      </c>
      <c r="Q36" s="651">
        <v>2.1645076704420813E-2</v>
      </c>
      <c r="R36" s="650">
        <v>223585.61000000002</v>
      </c>
      <c r="S36" s="651">
        <v>1.3619363217023832E-2</v>
      </c>
      <c r="T36" s="652">
        <v>324639.92</v>
      </c>
      <c r="U36" s="651">
        <v>2.0921273358485176E-2</v>
      </c>
      <c r="V36" s="650">
        <v>289561.42</v>
      </c>
      <c r="W36" s="651">
        <v>1.8660655232699466E-2</v>
      </c>
      <c r="X36" s="652">
        <v>315499.71000000002</v>
      </c>
      <c r="Y36" s="651">
        <v>1.8546381922049562E-2</v>
      </c>
      <c r="Z36" s="650">
        <v>315499.71000000002</v>
      </c>
      <c r="AA36" s="651">
        <v>1.8546381922049562E-2</v>
      </c>
      <c r="AB36" s="650">
        <v>308109.44</v>
      </c>
      <c r="AC36" s="651">
        <v>1.7621124787418844E-2</v>
      </c>
      <c r="AD36" s="650">
        <v>307687.55200000003</v>
      </c>
      <c r="AE36" s="653">
        <v>1.6574744201999638E-2</v>
      </c>
      <c r="AF36" s="650">
        <v>307750.0416</v>
      </c>
      <c r="AG36" s="653">
        <v>1.3803548067303073E-2</v>
      </c>
      <c r="AH36" s="650">
        <v>307200.03327999997</v>
      </c>
      <c r="AI36" s="653">
        <v>1.187487595730201E-2</v>
      </c>
      <c r="AJ36" s="631"/>
      <c r="AQ36" s="654" t="s">
        <v>4848</v>
      </c>
      <c r="AR36" s="709" t="s">
        <v>255</v>
      </c>
      <c r="AS36" s="646"/>
      <c r="AT36" s="646"/>
      <c r="AU36" s="646"/>
      <c r="AV36" s="646">
        <v>-131756.09</v>
      </c>
      <c r="AW36" s="646">
        <v>-35078.5</v>
      </c>
      <c r="AX36" s="646"/>
      <c r="AZ36" s="657" t="s">
        <v>4849</v>
      </c>
    </row>
    <row r="37" spans="1:52" ht="15" x14ac:dyDescent="0.25">
      <c r="A37" s="637"/>
      <c r="B37" s="638" t="s">
        <v>4850</v>
      </c>
      <c r="C37" s="639" t="s">
        <v>156</v>
      </c>
      <c r="D37" s="640">
        <v>0</v>
      </c>
      <c r="E37" s="641" t="s">
        <v>1674</v>
      </c>
      <c r="F37" s="640">
        <v>337440</v>
      </c>
      <c r="G37" s="641" t="s">
        <v>1674</v>
      </c>
      <c r="H37" s="642">
        <v>1475278.3200000003</v>
      </c>
      <c r="I37" s="641">
        <v>0.132207195139244</v>
      </c>
      <c r="J37" s="640">
        <v>1812718.3200000003</v>
      </c>
      <c r="K37" s="641">
        <v>0.162446910129285</v>
      </c>
      <c r="L37" s="642">
        <v>2157494.1100000008</v>
      </c>
      <c r="M37" s="641">
        <v>0.1524089982495615</v>
      </c>
      <c r="N37" s="640">
        <v>2494934.1100000008</v>
      </c>
      <c r="O37" s="641">
        <v>0.17624632514234825</v>
      </c>
      <c r="P37" s="642">
        <v>2891082.3200000008</v>
      </c>
      <c r="Q37" s="641">
        <v>0.17610569931757206</v>
      </c>
      <c r="R37" s="640">
        <v>3365795.4500000011</v>
      </c>
      <c r="S37" s="641">
        <v>0.20502209756592202</v>
      </c>
      <c r="T37" s="642">
        <v>1270520.0700000003</v>
      </c>
      <c r="U37" s="641">
        <v>8.1878093402412519E-2</v>
      </c>
      <c r="V37" s="640">
        <v>1745017.6</v>
      </c>
      <c r="W37" s="641">
        <v>0.11245687291004675</v>
      </c>
      <c r="X37" s="642">
        <v>1276551.149999999</v>
      </c>
      <c r="Y37" s="641">
        <v>7.50409728456852E-2</v>
      </c>
      <c r="Z37" s="640">
        <v>2039803.1379999993</v>
      </c>
      <c r="AA37" s="641">
        <v>0.1199080913359418</v>
      </c>
      <c r="AB37" s="640">
        <v>2248203.7478641616</v>
      </c>
      <c r="AC37" s="641">
        <v>0.12857729639396029</v>
      </c>
      <c r="AD37" s="640">
        <v>2690150.3682578332</v>
      </c>
      <c r="AE37" s="643">
        <v>0.14491504101793728</v>
      </c>
      <c r="AF37" s="640">
        <v>4364541.2659588214</v>
      </c>
      <c r="AG37" s="643">
        <v>0.19576327217754111</v>
      </c>
      <c r="AH37" s="640">
        <v>3760684.4411615725</v>
      </c>
      <c r="AI37" s="643">
        <v>0.14536997531066578</v>
      </c>
      <c r="AJ37" s="631"/>
      <c r="AQ37" s="644" t="s">
        <v>4850</v>
      </c>
      <c r="AR37" s="645" t="s">
        <v>156</v>
      </c>
      <c r="AS37" s="646">
        <f t="shared" ref="AS37:AX37" si="5">AS35-AS36</f>
        <v>337440</v>
      </c>
      <c r="AT37" s="646">
        <f t="shared" si="5"/>
        <v>337440</v>
      </c>
      <c r="AU37" s="646">
        <f t="shared" si="5"/>
        <v>337440</v>
      </c>
      <c r="AV37" s="646">
        <f t="shared" si="5"/>
        <v>474713.13</v>
      </c>
      <c r="AW37" s="646">
        <f t="shared" si="5"/>
        <v>474497.53</v>
      </c>
      <c r="AX37" s="646">
        <f t="shared" si="5"/>
        <v>763251.9879999999</v>
      </c>
      <c r="AZ37" s="657"/>
    </row>
    <row r="38" spans="1:52" x14ac:dyDescent="0.25">
      <c r="A38" s="637"/>
      <c r="B38" s="710" t="s">
        <v>4851</v>
      </c>
      <c r="C38" s="711" t="s">
        <v>4852</v>
      </c>
      <c r="D38" s="712"/>
      <c r="E38" s="713" t="s">
        <v>1674</v>
      </c>
      <c r="F38" s="712">
        <v>0</v>
      </c>
      <c r="G38" s="713" t="s">
        <v>1674</v>
      </c>
      <c r="H38" s="714">
        <v>2929.98</v>
      </c>
      <c r="I38" s="713">
        <v>2.6257041289272256E-4</v>
      </c>
      <c r="J38" s="712">
        <v>2929.98</v>
      </c>
      <c r="K38" s="713">
        <v>2.6257041289272256E-4</v>
      </c>
      <c r="L38" s="714">
        <v>10793.19</v>
      </c>
      <c r="M38" s="713">
        <v>7.6244902277725524E-4</v>
      </c>
      <c r="N38" s="712">
        <v>10793.19</v>
      </c>
      <c r="O38" s="713">
        <v>7.6244902277725524E-4</v>
      </c>
      <c r="P38" s="714">
        <v>5336.52</v>
      </c>
      <c r="Q38" s="713">
        <v>3.2506566140330775E-4</v>
      </c>
      <c r="R38" s="712">
        <v>5336.52</v>
      </c>
      <c r="S38" s="713">
        <v>3.2506566140330775E-4</v>
      </c>
      <c r="T38" s="714">
        <v>4425</v>
      </c>
      <c r="U38" s="713">
        <v>2.8516713105183401E-4</v>
      </c>
      <c r="V38" s="712">
        <v>4425</v>
      </c>
      <c r="W38" s="713">
        <v>2.8516713105183401E-4</v>
      </c>
      <c r="X38" s="714">
        <v>3226.91</v>
      </c>
      <c r="Y38" s="713">
        <v>1.8969115783998958E-4</v>
      </c>
      <c r="Z38" s="712">
        <v>3226.91</v>
      </c>
      <c r="AA38" s="713">
        <v>1.8969115783998958E-4</v>
      </c>
      <c r="AB38" s="712">
        <v>3316.7937416094969</v>
      </c>
      <c r="AC38" s="713">
        <v>1.8969115783998958E-4</v>
      </c>
      <c r="AD38" s="712">
        <v>3521.357993856132</v>
      </c>
      <c r="AE38" s="715">
        <v>1.8969115783998958E-4</v>
      </c>
      <c r="AF38" s="712">
        <v>4229.1635043231827</v>
      </c>
      <c r="AG38" s="715">
        <v>1.8969115783998958E-4</v>
      </c>
      <c r="AH38" s="712">
        <v>4907.2622072766708</v>
      </c>
      <c r="AI38" s="715">
        <v>1.8969115783998958E-4</v>
      </c>
      <c r="AJ38" s="631"/>
      <c r="AQ38" s="716" t="s">
        <v>4851</v>
      </c>
      <c r="AR38" s="717" t="s">
        <v>4852</v>
      </c>
      <c r="AS38" s="680"/>
      <c r="AT38" s="680"/>
      <c r="AU38" s="680"/>
      <c r="AV38" s="680"/>
      <c r="AW38" s="680"/>
      <c r="AX38" s="680"/>
      <c r="AZ38" s="681"/>
    </row>
    <row r="39" spans="1:52" x14ac:dyDescent="0.25">
      <c r="A39" s="637"/>
      <c r="B39" s="718" t="s">
        <v>4853</v>
      </c>
      <c r="C39" s="674" t="s">
        <v>1151</v>
      </c>
      <c r="D39" s="675"/>
      <c r="E39" s="676" t="s">
        <v>1674</v>
      </c>
      <c r="F39" s="675">
        <v>0</v>
      </c>
      <c r="G39" s="676" t="s">
        <v>1674</v>
      </c>
      <c r="H39" s="677">
        <v>9791.06</v>
      </c>
      <c r="I39" s="676">
        <v>8.7742669467280327E-4</v>
      </c>
      <c r="J39" s="675">
        <v>9791.06</v>
      </c>
      <c r="K39" s="676">
        <v>8.7742669467280327E-4</v>
      </c>
      <c r="L39" s="677">
        <v>5630.67</v>
      </c>
      <c r="M39" s="676">
        <v>3.9775996152029266E-4</v>
      </c>
      <c r="N39" s="675">
        <v>5630.67</v>
      </c>
      <c r="O39" s="676">
        <v>3.9775996152029266E-4</v>
      </c>
      <c r="P39" s="677">
        <v>140827.47999999998</v>
      </c>
      <c r="Q39" s="676">
        <v>8.5782828378720751E-3</v>
      </c>
      <c r="R39" s="675">
        <v>140827.47999999998</v>
      </c>
      <c r="S39" s="676">
        <v>8.5782828378720751E-3</v>
      </c>
      <c r="T39" s="677">
        <v>38768.639999999999</v>
      </c>
      <c r="U39" s="676">
        <v>2.4984275352726267E-3</v>
      </c>
      <c r="V39" s="675">
        <v>38768.639999999999</v>
      </c>
      <c r="W39" s="676">
        <v>2.4984275352726267E-3</v>
      </c>
      <c r="X39" s="677">
        <v>3506.52</v>
      </c>
      <c r="Y39" s="676">
        <v>2.0612779370638795E-4</v>
      </c>
      <c r="Z39" s="675">
        <v>3506.52</v>
      </c>
      <c r="AA39" s="676">
        <v>2.0612779370638795E-4</v>
      </c>
      <c r="AB39" s="675">
        <v>3604.1921190329244</v>
      </c>
      <c r="AC39" s="676">
        <v>2.0612779370638795E-4</v>
      </c>
      <c r="AD39" s="675">
        <v>3826.4817527034861</v>
      </c>
      <c r="AE39" s="678">
        <v>2.0612779370638795E-4</v>
      </c>
      <c r="AF39" s="675">
        <v>4595.6182264703166</v>
      </c>
      <c r="AG39" s="678">
        <v>2.0612779370638798E-4</v>
      </c>
      <c r="AH39" s="675">
        <v>5332.4738139767742</v>
      </c>
      <c r="AI39" s="678">
        <v>2.0612779370638793E-4</v>
      </c>
      <c r="AJ39" s="631"/>
      <c r="AQ39" s="719" t="s">
        <v>4853</v>
      </c>
      <c r="AR39" s="720" t="s">
        <v>1151</v>
      </c>
      <c r="AS39" s="646"/>
      <c r="AT39" s="646"/>
      <c r="AU39" s="646"/>
      <c r="AV39" s="646"/>
      <c r="AW39" s="646"/>
      <c r="AX39" s="646"/>
      <c r="AZ39" s="657"/>
    </row>
    <row r="40" spans="1:52" ht="15" x14ac:dyDescent="0.25">
      <c r="A40" s="637"/>
      <c r="B40" s="638" t="s">
        <v>4854</v>
      </c>
      <c r="C40" s="639" t="s">
        <v>4855</v>
      </c>
      <c r="D40" s="640">
        <v>0</v>
      </c>
      <c r="E40" s="641" t="s">
        <v>1674</v>
      </c>
      <c r="F40" s="640">
        <v>337440</v>
      </c>
      <c r="G40" s="641" t="s">
        <v>1674</v>
      </c>
      <c r="H40" s="642">
        <v>1468417.2400000002</v>
      </c>
      <c r="I40" s="641">
        <v>0.13159233885746391</v>
      </c>
      <c r="J40" s="640">
        <v>1805857.2400000002</v>
      </c>
      <c r="K40" s="641">
        <v>0.1618320538475049</v>
      </c>
      <c r="L40" s="642">
        <v>2162656.6300000008</v>
      </c>
      <c r="M40" s="641">
        <v>0.15277368731081845</v>
      </c>
      <c r="N40" s="640">
        <v>2500096.6300000008</v>
      </c>
      <c r="O40" s="641">
        <v>0.1766110142036052</v>
      </c>
      <c r="P40" s="642">
        <v>2755591.3600000008</v>
      </c>
      <c r="Q40" s="641">
        <v>0.16785248214110329</v>
      </c>
      <c r="R40" s="640">
        <v>3230304.4900000012</v>
      </c>
      <c r="S40" s="641">
        <v>0.19676888038945325</v>
      </c>
      <c r="T40" s="642">
        <v>1236176.4300000004</v>
      </c>
      <c r="U40" s="641">
        <v>7.9664832998191729E-2</v>
      </c>
      <c r="V40" s="640">
        <v>1710673.9600000002</v>
      </c>
      <c r="W40" s="641">
        <v>0.11024361250582596</v>
      </c>
      <c r="X40" s="642">
        <v>1276271.5399999989</v>
      </c>
      <c r="Y40" s="641">
        <v>7.5024536209818804E-2</v>
      </c>
      <c r="Z40" s="640">
        <v>2039523.5279999992</v>
      </c>
      <c r="AA40" s="641">
        <v>0.1198916547000754</v>
      </c>
      <c r="AB40" s="640">
        <v>2247916.349486738</v>
      </c>
      <c r="AC40" s="641">
        <v>0.12856085975809389</v>
      </c>
      <c r="AD40" s="640">
        <v>2689845.2444989858</v>
      </c>
      <c r="AE40" s="643">
        <v>0.14489860438207089</v>
      </c>
      <c r="AF40" s="640">
        <v>4364174.811236674</v>
      </c>
      <c r="AG40" s="643">
        <v>0.19574683554167469</v>
      </c>
      <c r="AH40" s="640">
        <v>3760259.2295548725</v>
      </c>
      <c r="AI40" s="643">
        <v>0.14535353867479939</v>
      </c>
      <c r="AJ40" s="631"/>
      <c r="AQ40" s="644" t="s">
        <v>4854</v>
      </c>
      <c r="AR40" s="645" t="s">
        <v>4855</v>
      </c>
      <c r="AS40" s="646">
        <f t="shared" ref="AS40:AX40" si="6">AS37+AS38-AS39</f>
        <v>337440</v>
      </c>
      <c r="AT40" s="646">
        <f t="shared" si="6"/>
        <v>337440</v>
      </c>
      <c r="AU40" s="646">
        <f t="shared" si="6"/>
        <v>337440</v>
      </c>
      <c r="AV40" s="646">
        <f t="shared" si="6"/>
        <v>474713.13</v>
      </c>
      <c r="AW40" s="646">
        <f t="shared" si="6"/>
        <v>474497.53</v>
      </c>
      <c r="AX40" s="646">
        <f t="shared" si="6"/>
        <v>763251.9879999999</v>
      </c>
      <c r="AZ40" s="657"/>
    </row>
    <row r="41" spans="1:52" x14ac:dyDescent="0.25">
      <c r="A41" s="637"/>
      <c r="B41" s="710" t="s">
        <v>4856</v>
      </c>
      <c r="C41" s="711" t="s">
        <v>4857</v>
      </c>
      <c r="D41" s="712"/>
      <c r="E41" s="713" t="s">
        <v>1674</v>
      </c>
      <c r="F41" s="712">
        <v>101232</v>
      </c>
      <c r="G41" s="713" t="s">
        <v>1674</v>
      </c>
      <c r="H41" s="714">
        <v>457328.96</v>
      </c>
      <c r="I41" s="713">
        <v>4.0983574582420156E-2</v>
      </c>
      <c r="J41" s="712">
        <v>541757.17200000002</v>
      </c>
      <c r="K41" s="713">
        <v>4.854961615425147E-2</v>
      </c>
      <c r="L41" s="714">
        <v>673436.3</v>
      </c>
      <c r="M41" s="713">
        <v>4.7572668399030363E-2</v>
      </c>
      <c r="N41" s="712">
        <v>750028.98900000018</v>
      </c>
      <c r="O41" s="713">
        <v>5.2983304261081554E-2</v>
      </c>
      <c r="P41" s="714">
        <v>898386.28</v>
      </c>
      <c r="Q41" s="713">
        <v>5.472377697523053E-2</v>
      </c>
      <c r="R41" s="712">
        <v>969091.3470000003</v>
      </c>
      <c r="S41" s="713">
        <v>5.9030664116835968E-2</v>
      </c>
      <c r="T41" s="714">
        <v>390617.59</v>
      </c>
      <c r="U41" s="713">
        <v>2.517317457145346E-2</v>
      </c>
      <c r="V41" s="712">
        <v>513202.18800000002</v>
      </c>
      <c r="W41" s="713">
        <v>3.3073083751747785E-2</v>
      </c>
      <c r="X41" s="714">
        <v>394308.94</v>
      </c>
      <c r="Y41" s="713">
        <v>2.3179115430941363E-2</v>
      </c>
      <c r="Z41" s="712">
        <v>611857.05839999975</v>
      </c>
      <c r="AA41" s="713">
        <v>3.5967496410022622E-2</v>
      </c>
      <c r="AB41" s="712">
        <v>674374.90484602132</v>
      </c>
      <c r="AC41" s="713">
        <v>3.8568257927428164E-2</v>
      </c>
      <c r="AD41" s="712">
        <v>806953.57334969577</v>
      </c>
      <c r="AE41" s="715">
        <v>4.3469581314621267E-2</v>
      </c>
      <c r="AF41" s="712">
        <v>1309252.4433710021</v>
      </c>
      <c r="AG41" s="715">
        <v>5.8724050662502407E-2</v>
      </c>
      <c r="AH41" s="712">
        <v>1128077.7688664617</v>
      </c>
      <c r="AI41" s="715">
        <v>4.3606061602439815E-2</v>
      </c>
      <c r="AJ41" s="631"/>
      <c r="AQ41" s="716" t="s">
        <v>4856</v>
      </c>
      <c r="AR41" s="717" t="s">
        <v>4857</v>
      </c>
      <c r="AS41" s="680">
        <f>F41-D41</f>
        <v>101232</v>
      </c>
      <c r="AT41" s="680">
        <f>J41-H41</f>
        <v>84428.212</v>
      </c>
      <c r="AU41" s="680">
        <f>N41-L41</f>
        <v>76592.689000000129</v>
      </c>
      <c r="AV41" s="680">
        <f>R41-P41</f>
        <v>70705.067000000272</v>
      </c>
      <c r="AW41" s="680">
        <f>V41-T41</f>
        <v>122584.598</v>
      </c>
      <c r="AX41" s="680">
        <f>Z41-X41</f>
        <v>217548.11839999974</v>
      </c>
      <c r="AZ41" s="681"/>
    </row>
    <row r="42" spans="1:52" x14ac:dyDescent="0.25">
      <c r="A42" s="637"/>
      <c r="B42" s="721" t="s">
        <v>4858</v>
      </c>
      <c r="C42" s="722" t="s">
        <v>4859</v>
      </c>
      <c r="D42" s="723"/>
      <c r="E42" s="703" t="s">
        <v>1674</v>
      </c>
      <c r="F42" s="723">
        <v>0</v>
      </c>
      <c r="G42" s="703" t="s">
        <v>1674</v>
      </c>
      <c r="H42" s="704">
        <v>4558.26</v>
      </c>
      <c r="I42" s="703">
        <v>4.0848886691116718E-4</v>
      </c>
      <c r="J42" s="723">
        <v>4558.26</v>
      </c>
      <c r="K42" s="703">
        <v>4.0848886691116718E-4</v>
      </c>
      <c r="L42" s="704">
        <v>3391</v>
      </c>
      <c r="M42" s="703">
        <v>2.3954592073684169E-4</v>
      </c>
      <c r="N42" s="723">
        <v>3391</v>
      </c>
      <c r="O42" s="703">
        <v>2.3954592073684169E-4</v>
      </c>
      <c r="P42" s="704">
        <v>3077</v>
      </c>
      <c r="Q42" s="703">
        <v>1.8743058025416897E-4</v>
      </c>
      <c r="R42" s="723">
        <v>3077</v>
      </c>
      <c r="S42" s="703">
        <v>1.8743058025416897E-4</v>
      </c>
      <c r="T42" s="704">
        <v>2922</v>
      </c>
      <c r="U42" s="703">
        <v>1.8830697331829579E-4</v>
      </c>
      <c r="V42" s="723">
        <v>2922</v>
      </c>
      <c r="W42" s="703">
        <v>1.8830697331829579E-4</v>
      </c>
      <c r="X42" s="704">
        <v>3002</v>
      </c>
      <c r="Y42" s="703">
        <v>1.7647001491694804E-4</v>
      </c>
      <c r="Z42" s="723">
        <v>3002</v>
      </c>
      <c r="AA42" s="703">
        <v>1.7647001491694804E-4</v>
      </c>
      <c r="AB42" s="723">
        <v>3085.6190015561979</v>
      </c>
      <c r="AC42" s="703">
        <v>1.7647001491694804E-4</v>
      </c>
      <c r="AD42" s="723">
        <v>3275.9254821349559</v>
      </c>
      <c r="AE42" s="683">
        <v>1.7647001491694804E-4</v>
      </c>
      <c r="AF42" s="723">
        <v>3934.3981827749135</v>
      </c>
      <c r="AG42" s="683">
        <v>1.7647001491694804E-4</v>
      </c>
      <c r="AH42" s="723">
        <v>4565.2345885830618</v>
      </c>
      <c r="AI42" s="683">
        <v>1.7647001491694804E-4</v>
      </c>
      <c r="AJ42" s="631"/>
      <c r="AQ42" s="724" t="s">
        <v>4858</v>
      </c>
      <c r="AR42" s="725" t="s">
        <v>4859</v>
      </c>
      <c r="AS42" s="646"/>
      <c r="AT42" s="646"/>
      <c r="AU42" s="646"/>
      <c r="AV42" s="646"/>
      <c r="AW42" s="646"/>
      <c r="AX42" s="646"/>
      <c r="AZ42" s="657"/>
    </row>
    <row r="43" spans="1:52" ht="15" x14ac:dyDescent="0.25">
      <c r="A43" s="637"/>
      <c r="B43" s="638" t="s">
        <v>4860</v>
      </c>
      <c r="C43" s="639" t="s">
        <v>241</v>
      </c>
      <c r="D43" s="640">
        <v>0</v>
      </c>
      <c r="E43" s="641" t="s">
        <v>1674</v>
      </c>
      <c r="F43" s="640">
        <v>236208</v>
      </c>
      <c r="G43" s="641" t="s">
        <v>1674</v>
      </c>
      <c r="H43" s="642">
        <v>1006530.0200000003</v>
      </c>
      <c r="I43" s="641">
        <v>9.0200275408132607E-2</v>
      </c>
      <c r="J43" s="640">
        <v>1259541.8080000002</v>
      </c>
      <c r="K43" s="641">
        <v>0.11287394882634227</v>
      </c>
      <c r="L43" s="642">
        <v>1485829.3300000008</v>
      </c>
      <c r="M43" s="641">
        <v>0.10496147299105126</v>
      </c>
      <c r="N43" s="640">
        <v>1746676.6410000008</v>
      </c>
      <c r="O43" s="641">
        <v>0.12338816402178682</v>
      </c>
      <c r="P43" s="642">
        <v>1854128.0800000008</v>
      </c>
      <c r="Q43" s="641">
        <v>0.11294127458561859</v>
      </c>
      <c r="R43" s="640">
        <v>2258136.1430000011</v>
      </c>
      <c r="S43" s="641">
        <v>0.13755078569236312</v>
      </c>
      <c r="T43" s="642">
        <v>842636.84000000032</v>
      </c>
      <c r="U43" s="641">
        <v>5.4303351453419968E-2</v>
      </c>
      <c r="V43" s="640">
        <v>1194549.7720000001</v>
      </c>
      <c r="W43" s="641">
        <v>7.6982221780759877E-2</v>
      </c>
      <c r="X43" s="642">
        <v>878960.59999999893</v>
      </c>
      <c r="Y43" s="641">
        <v>5.1668950763960497E-2</v>
      </c>
      <c r="Z43" s="640">
        <v>1424664.4695999995</v>
      </c>
      <c r="AA43" s="641">
        <v>8.3747688275135831E-2</v>
      </c>
      <c r="AB43" s="640">
        <v>1570455.8256391603</v>
      </c>
      <c r="AC43" s="641">
        <v>8.9816131815748768E-2</v>
      </c>
      <c r="AD43" s="640">
        <v>1879615.7456671551</v>
      </c>
      <c r="AE43" s="643">
        <v>0.10125255305253267</v>
      </c>
      <c r="AF43" s="640">
        <v>3050987.969682897</v>
      </c>
      <c r="AG43" s="643">
        <v>0.13684631486425533</v>
      </c>
      <c r="AH43" s="640">
        <v>2627616.2260998278</v>
      </c>
      <c r="AI43" s="643">
        <v>0.10157100705744262</v>
      </c>
      <c r="AJ43" s="631"/>
      <c r="AQ43" s="644" t="s">
        <v>4860</v>
      </c>
      <c r="AR43" s="645" t="s">
        <v>241</v>
      </c>
      <c r="AS43" s="646">
        <f t="shared" ref="AS43:AX43" si="7">AS40-AS41-AS42</f>
        <v>236208</v>
      </c>
      <c r="AT43" s="646">
        <f t="shared" si="7"/>
        <v>253011.788</v>
      </c>
      <c r="AU43" s="646">
        <f>AU40-AU41-AU42</f>
        <v>260847.31099999987</v>
      </c>
      <c r="AV43" s="646">
        <f t="shared" si="7"/>
        <v>404008.06299999973</v>
      </c>
      <c r="AW43" s="646">
        <f t="shared" si="7"/>
        <v>351912.93200000003</v>
      </c>
      <c r="AX43" s="646">
        <f t="shared" si="7"/>
        <v>545703.86960000009</v>
      </c>
      <c r="AZ43" s="657"/>
    </row>
    <row r="44" spans="1:52" x14ac:dyDescent="0.25">
      <c r="C44" s="726"/>
      <c r="D44" s="727">
        <v>0</v>
      </c>
      <c r="E44" s="728"/>
      <c r="F44" s="728"/>
      <c r="G44" s="728"/>
      <c r="H44" s="727">
        <v>0</v>
      </c>
      <c r="I44" s="728"/>
      <c r="J44" s="728"/>
      <c r="K44" s="728"/>
      <c r="L44" s="727">
        <v>0</v>
      </c>
      <c r="M44" s="728"/>
      <c r="N44" s="728"/>
      <c r="O44" s="728"/>
      <c r="P44" s="727">
        <v>0</v>
      </c>
      <c r="Q44" s="728"/>
      <c r="R44" s="728"/>
      <c r="S44" s="728"/>
      <c r="T44" s="727">
        <v>0</v>
      </c>
      <c r="U44" s="728"/>
      <c r="V44" s="728"/>
      <c r="W44" s="728"/>
      <c r="X44" s="727"/>
      <c r="Y44" s="728"/>
      <c r="Z44" s="728"/>
      <c r="AA44" s="728"/>
      <c r="AB44" s="728"/>
      <c r="AC44" s="729"/>
      <c r="AD44" s="728"/>
      <c r="AE44" s="729"/>
      <c r="AF44" s="728"/>
      <c r="AG44" s="729"/>
      <c r="AH44" s="728"/>
      <c r="AI44" s="729"/>
      <c r="AR44" s="726"/>
      <c r="AX44" s="730"/>
    </row>
    <row r="46" spans="1:52" x14ac:dyDescent="0.25">
      <c r="AB46" s="1041" t="s">
        <v>4861</v>
      </c>
      <c r="AC46" s="1041"/>
      <c r="AD46" s="1041"/>
      <c r="AE46" s="1041"/>
      <c r="AF46" s="1041"/>
      <c r="AG46" s="1041"/>
      <c r="AH46" s="1041"/>
      <c r="AI46" s="1041"/>
    </row>
    <row r="47" spans="1:52" x14ac:dyDescent="0.25">
      <c r="C47" s="731"/>
      <c r="AB47" s="1041"/>
      <c r="AC47" s="1041"/>
      <c r="AD47" s="1041"/>
      <c r="AE47" s="1041"/>
      <c r="AF47" s="1041"/>
      <c r="AG47" s="1041"/>
      <c r="AH47" s="1041"/>
      <c r="AI47" s="1041"/>
      <c r="AR47" s="731"/>
    </row>
    <row r="49" spans="28:28" x14ac:dyDescent="0.25">
      <c r="AB49" s="732"/>
    </row>
  </sheetData>
  <mergeCells count="49">
    <mergeCell ref="AB46:AI47"/>
    <mergeCell ref="AH17:AH21"/>
    <mergeCell ref="AI17:AI19"/>
    <mergeCell ref="AB24:AB34"/>
    <mergeCell ref="AC24:AC34"/>
    <mergeCell ref="AD24:AD34"/>
    <mergeCell ref="AE24:AE34"/>
    <mergeCell ref="AF24:AF34"/>
    <mergeCell ref="AG24:AG34"/>
    <mergeCell ref="AH24:AH34"/>
    <mergeCell ref="AI24:AI34"/>
    <mergeCell ref="AB17:AB21"/>
    <mergeCell ref="AC17:AC21"/>
    <mergeCell ref="AD17:AD21"/>
    <mergeCell ref="AE17:AE21"/>
    <mergeCell ref="AF17:AF21"/>
    <mergeCell ref="AG17:AG21"/>
    <mergeCell ref="AH7:AH11"/>
    <mergeCell ref="AI7:AI11"/>
    <mergeCell ref="AB13:AB14"/>
    <mergeCell ref="AC13:AC14"/>
    <mergeCell ref="AD13:AD14"/>
    <mergeCell ref="AE13:AE14"/>
    <mergeCell ref="AF13:AF14"/>
    <mergeCell ref="AG13:AG14"/>
    <mergeCell ref="AH13:AH14"/>
    <mergeCell ref="AI13:AI14"/>
    <mergeCell ref="AS1:AX1"/>
    <mergeCell ref="AZ1:AZ2"/>
    <mergeCell ref="B2:C2"/>
    <mergeCell ref="AQ2:AR2"/>
    <mergeCell ref="AB7:AB11"/>
    <mergeCell ref="AC7:AC11"/>
    <mergeCell ref="AD7:AD11"/>
    <mergeCell ref="AE7:AE11"/>
    <mergeCell ref="AF7:AF11"/>
    <mergeCell ref="AG7:AG11"/>
    <mergeCell ref="X1:AA1"/>
    <mergeCell ref="AB1:AC1"/>
    <mergeCell ref="AD1:AE1"/>
    <mergeCell ref="AF1:AG1"/>
    <mergeCell ref="AH1:AI1"/>
    <mergeCell ref="AQ1:AR1"/>
    <mergeCell ref="T1:W1"/>
    <mergeCell ref="B1:C1"/>
    <mergeCell ref="D1:G1"/>
    <mergeCell ref="H1:K1"/>
    <mergeCell ref="L1:O1"/>
    <mergeCell ref="P1:S1"/>
  </mergeCells>
  <pageMargins left="0.7" right="0.7" top="0.78740157499999996" bottom="0.78740157499999996" header="0.3" footer="0.3"/>
  <pageSetup paperSize="9" scale="23"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37679-DC18-4F93-BD8D-09BE3D363A94}">
  <sheetPr>
    <tabColor rgb="FFB1905F"/>
    <pageSetUpPr fitToPage="1"/>
  </sheetPr>
  <dimension ref="A1:AX49"/>
  <sheetViews>
    <sheetView workbookViewId="0"/>
  </sheetViews>
  <sheetFormatPr defaultColWidth="11.5703125" defaultRowHeight="14.25" outlineLevelRow="1" outlineLevelCol="2" x14ac:dyDescent="0.25"/>
  <cols>
    <col min="1" max="1" width="2.5703125" style="632" customWidth="1"/>
    <col min="2" max="2" width="6.28515625" style="632" customWidth="1"/>
    <col min="3" max="3" width="39.28515625" style="632" customWidth="1"/>
    <col min="4" max="4" width="9.7109375" style="632" hidden="1" customWidth="1" outlineLevel="1"/>
    <col min="5" max="5" width="7.7109375" style="632" hidden="1" customWidth="1" outlineLevel="2"/>
    <col min="6" max="6" width="9.7109375" style="632" hidden="1" customWidth="1" collapsed="1"/>
    <col min="7" max="7" width="7.7109375" style="632" hidden="1" customWidth="1" outlineLevel="2"/>
    <col min="8" max="8" width="9.7109375" style="632" hidden="1" customWidth="1" outlineLevel="1" collapsed="1"/>
    <col min="9" max="9" width="7.7109375" style="632" hidden="1" customWidth="1" outlineLevel="2"/>
    <col min="10" max="10" width="9.7109375" style="632" hidden="1" customWidth="1" collapsed="1"/>
    <col min="11" max="11" width="7.7109375" style="632" hidden="1" customWidth="1" outlineLevel="2"/>
    <col min="12" max="12" width="9.7109375" style="632" hidden="1" customWidth="1" outlineLevel="1"/>
    <col min="13" max="13" width="7.7109375" style="632" hidden="1" customWidth="1" outlineLevel="2"/>
    <col min="14" max="14" width="9.7109375" style="632" hidden="1" customWidth="1" collapsed="1"/>
    <col min="15" max="15" width="7.7109375" style="632" hidden="1" customWidth="1" outlineLevel="2"/>
    <col min="16" max="16" width="9.7109375" style="632" hidden="1" customWidth="1" outlineLevel="1"/>
    <col min="17" max="17" width="7.7109375" style="632" hidden="1" customWidth="1" outlineLevel="2"/>
    <col min="18" max="18" width="9.7109375" style="632" hidden="1" customWidth="1" collapsed="1"/>
    <col min="19" max="19" width="7.7109375" style="632" hidden="1" customWidth="1" outlineLevel="2"/>
    <col min="20" max="20" width="9.7109375" style="632" hidden="1" customWidth="1" outlineLevel="1"/>
    <col min="21" max="21" width="7.7109375" style="632" hidden="1" customWidth="1" outlineLevel="2"/>
    <col min="22" max="22" width="9.7109375" style="632" hidden="1" customWidth="1" collapsed="1"/>
    <col min="23" max="23" width="7.7109375" style="632" hidden="1" customWidth="1" outlineLevel="2"/>
    <col min="24" max="24" width="9.7109375" style="632" hidden="1" customWidth="1" outlineLevel="1" collapsed="1"/>
    <col min="25" max="25" width="7.7109375" style="632" hidden="1" customWidth="1" outlineLevel="2"/>
    <col min="26" max="26" width="9.7109375" style="632" customWidth="1" collapsed="1"/>
    <col min="27" max="27" width="7.7109375" style="632" hidden="1" customWidth="1" outlineLevel="2"/>
    <col min="28" max="28" width="7.28515625" style="632" hidden="1" customWidth="1" outlineLevel="1"/>
    <col min="29" max="29" width="7.7109375" style="632" hidden="1" customWidth="1" outlineLevel="2"/>
    <col min="30" max="30" width="9.7109375" style="632" customWidth="1" collapsed="1"/>
    <col min="31" max="31" width="7.7109375" style="632" hidden="1" customWidth="1" outlineLevel="2"/>
    <col min="32" max="32" width="9.7109375" style="632" hidden="1" customWidth="1" collapsed="1"/>
    <col min="33" max="33" width="7.7109375" style="733" hidden="1" customWidth="1" outlineLevel="2"/>
    <col min="34" max="34" width="9.7109375" style="632" hidden="1" customWidth="1" collapsed="1"/>
    <col min="35" max="35" width="7.7109375" style="733" hidden="1" customWidth="1" outlineLevel="2"/>
    <col min="36" max="36" width="9.7109375" style="632" hidden="1" customWidth="1" collapsed="1"/>
    <col min="37" max="37" width="7.7109375" style="733" hidden="1" customWidth="1" outlineLevel="2"/>
    <col min="38" max="38" width="3.7109375" style="632" customWidth="1" collapsed="1"/>
    <col min="39" max="39" width="3.7109375" style="632" customWidth="1"/>
    <col min="40" max="40" width="6.28515625" style="632" customWidth="1"/>
    <col min="41" max="41" width="39.42578125" style="632" customWidth="1"/>
    <col min="42" max="46" width="11.5703125" style="632" customWidth="1"/>
    <col min="47" max="49" width="11.5703125" style="632"/>
    <col min="50" max="50" width="201.85546875" style="632" bestFit="1" customWidth="1"/>
    <col min="51" max="16384" width="11.5703125" style="632"/>
  </cols>
  <sheetData>
    <row r="1" spans="1:50" s="633" customFormat="1" ht="15" customHeight="1" x14ac:dyDescent="0.25">
      <c r="A1" s="630"/>
      <c r="B1" s="1029" t="s">
        <v>4794</v>
      </c>
      <c r="C1" s="1030"/>
      <c r="D1" s="1026">
        <v>2019</v>
      </c>
      <c r="E1" s="1027"/>
      <c r="F1" s="1027"/>
      <c r="G1" s="1028"/>
      <c r="H1" s="1026">
        <v>2020</v>
      </c>
      <c r="I1" s="1027"/>
      <c r="J1" s="1027"/>
      <c r="K1" s="1028"/>
      <c r="L1" s="1026">
        <v>2021</v>
      </c>
      <c r="M1" s="1027"/>
      <c r="N1" s="1027"/>
      <c r="O1" s="1028"/>
      <c r="P1" s="1026">
        <v>2022</v>
      </c>
      <c r="Q1" s="1027"/>
      <c r="R1" s="1027"/>
      <c r="S1" s="1028"/>
      <c r="T1" s="1026">
        <v>2023</v>
      </c>
      <c r="U1" s="1027"/>
      <c r="V1" s="1027"/>
      <c r="W1" s="1028"/>
      <c r="X1" s="1026">
        <v>2024</v>
      </c>
      <c r="Y1" s="1027"/>
      <c r="Z1" s="1027"/>
      <c r="AA1" s="1028"/>
      <c r="AB1" s="1026">
        <v>2025</v>
      </c>
      <c r="AC1" s="1027"/>
      <c r="AD1" s="1027"/>
      <c r="AE1" s="1028"/>
      <c r="AF1" s="1026">
        <v>2026</v>
      </c>
      <c r="AG1" s="1028"/>
      <c r="AH1" s="1026">
        <v>2027</v>
      </c>
      <c r="AI1" s="1028"/>
      <c r="AJ1" s="1026">
        <v>2028</v>
      </c>
      <c r="AK1" s="1028"/>
      <c r="AN1" s="1029" t="s">
        <v>4794</v>
      </c>
      <c r="AO1" s="1040"/>
      <c r="AP1" s="1046" t="s">
        <v>4795</v>
      </c>
      <c r="AQ1" s="1047"/>
      <c r="AR1" s="1047"/>
      <c r="AS1" s="1047"/>
      <c r="AT1" s="1047"/>
      <c r="AU1" s="1047"/>
      <c r="AV1" s="1047"/>
      <c r="AX1" s="1031" t="s">
        <v>4796</v>
      </c>
    </row>
    <row r="2" spans="1:50" s="633" customFormat="1" ht="15" customHeight="1" x14ac:dyDescent="0.25">
      <c r="A2" s="630"/>
      <c r="B2" s="1033" t="s">
        <v>4797</v>
      </c>
      <c r="C2" s="1034"/>
      <c r="D2" s="634" t="s">
        <v>4798</v>
      </c>
      <c r="E2" s="635" t="s">
        <v>4799</v>
      </c>
      <c r="F2" s="635" t="s">
        <v>4800</v>
      </c>
      <c r="G2" s="636" t="s">
        <v>4799</v>
      </c>
      <c r="H2" s="634" t="s">
        <v>4798</v>
      </c>
      <c r="I2" s="635" t="s">
        <v>4799</v>
      </c>
      <c r="J2" s="635" t="s">
        <v>4800</v>
      </c>
      <c r="K2" s="636" t="s">
        <v>4799</v>
      </c>
      <c r="L2" s="634" t="s">
        <v>4798</v>
      </c>
      <c r="M2" s="635" t="s">
        <v>4799</v>
      </c>
      <c r="N2" s="635" t="s">
        <v>4800</v>
      </c>
      <c r="O2" s="636" t="s">
        <v>4799</v>
      </c>
      <c r="P2" s="634" t="s">
        <v>4798</v>
      </c>
      <c r="Q2" s="635" t="s">
        <v>4799</v>
      </c>
      <c r="R2" s="635" t="s">
        <v>4800</v>
      </c>
      <c r="S2" s="636" t="s">
        <v>4799</v>
      </c>
      <c r="T2" s="634" t="s">
        <v>4798</v>
      </c>
      <c r="U2" s="635" t="s">
        <v>4799</v>
      </c>
      <c r="V2" s="635" t="s">
        <v>4800</v>
      </c>
      <c r="W2" s="636" t="s">
        <v>4799</v>
      </c>
      <c r="X2" s="634" t="s">
        <v>4798</v>
      </c>
      <c r="Y2" s="635" t="s">
        <v>4799</v>
      </c>
      <c r="Z2" s="635" t="s">
        <v>4800</v>
      </c>
      <c r="AA2" s="636" t="s">
        <v>4799</v>
      </c>
      <c r="AB2" s="634" t="s">
        <v>4801</v>
      </c>
      <c r="AC2" s="635" t="s">
        <v>4799</v>
      </c>
      <c r="AD2" s="635" t="s">
        <v>4800</v>
      </c>
      <c r="AE2" s="636" t="s">
        <v>4799</v>
      </c>
      <c r="AF2" s="634" t="s">
        <v>11</v>
      </c>
      <c r="AG2" s="636" t="s">
        <v>4799</v>
      </c>
      <c r="AH2" s="634" t="s">
        <v>11</v>
      </c>
      <c r="AI2" s="636" t="s">
        <v>4799</v>
      </c>
      <c r="AJ2" s="634" t="s">
        <v>11</v>
      </c>
      <c r="AK2" s="636" t="s">
        <v>4799</v>
      </c>
      <c r="AN2" s="1033" t="s">
        <v>4797</v>
      </c>
      <c r="AO2" s="1035"/>
      <c r="AP2" s="634">
        <v>2019</v>
      </c>
      <c r="AQ2" s="635">
        <v>2020</v>
      </c>
      <c r="AR2" s="635">
        <v>2021</v>
      </c>
      <c r="AS2" s="635">
        <v>2022</v>
      </c>
      <c r="AT2" s="635">
        <v>2023</v>
      </c>
      <c r="AU2" s="636">
        <v>2024</v>
      </c>
      <c r="AV2" s="636">
        <v>2025</v>
      </c>
      <c r="AX2" s="1032"/>
    </row>
    <row r="3" spans="1:50" ht="15" x14ac:dyDescent="0.25">
      <c r="A3" s="637"/>
      <c r="B3" s="638" t="s">
        <v>4802</v>
      </c>
      <c r="C3" s="639" t="s">
        <v>267</v>
      </c>
      <c r="D3" s="640"/>
      <c r="E3" s="641" t="s">
        <v>1674</v>
      </c>
      <c r="F3" s="640">
        <v>0</v>
      </c>
      <c r="G3" s="641" t="s">
        <v>1674</v>
      </c>
      <c r="H3" s="642">
        <v>11162910.48</v>
      </c>
      <c r="I3" s="734">
        <v>1.0003651949221837</v>
      </c>
      <c r="J3" s="640">
        <v>11162910.48</v>
      </c>
      <c r="K3" s="641">
        <v>1.0003651949221837</v>
      </c>
      <c r="L3" s="642">
        <v>13952108.970000001</v>
      </c>
      <c r="M3" s="734">
        <v>0.98560035076360908</v>
      </c>
      <c r="N3" s="640">
        <v>13952108.970000001</v>
      </c>
      <c r="O3" s="641">
        <v>0.98560035076360908</v>
      </c>
      <c r="P3" s="642">
        <v>16709024.73</v>
      </c>
      <c r="Q3" s="734">
        <v>1.017803770108924</v>
      </c>
      <c r="R3" s="640">
        <v>16709024.73</v>
      </c>
      <c r="S3" s="641">
        <v>1.017803770108924</v>
      </c>
      <c r="T3" s="642">
        <v>15317638.98</v>
      </c>
      <c r="U3" s="734">
        <v>0.98713834178855164</v>
      </c>
      <c r="V3" s="640">
        <v>15317638.98</v>
      </c>
      <c r="W3" s="641">
        <v>0.98713834178855164</v>
      </c>
      <c r="X3" s="642">
        <v>16663420.859999999</v>
      </c>
      <c r="Y3" s="734">
        <v>0.97938223306909933</v>
      </c>
      <c r="Z3" s="735">
        <v>16663420.859999999</v>
      </c>
      <c r="AA3" s="641">
        <v>0.97938223306909933</v>
      </c>
      <c r="AB3" s="642">
        <v>15009728.289999999</v>
      </c>
      <c r="AC3" s="734">
        <v>0.98515414999481044</v>
      </c>
      <c r="AD3" s="640">
        <v>15009728.289999999</v>
      </c>
      <c r="AE3" s="641">
        <v>0.98515414999481044</v>
      </c>
      <c r="AF3" s="640"/>
      <c r="AG3" s="643"/>
      <c r="AH3" s="640"/>
      <c r="AI3" s="643"/>
      <c r="AJ3" s="640"/>
      <c r="AK3" s="643"/>
      <c r="AM3" s="732"/>
      <c r="AN3" s="644" t="s">
        <v>4802</v>
      </c>
      <c r="AO3" s="645" t="s">
        <v>267</v>
      </c>
      <c r="AP3" s="646"/>
      <c r="AQ3" s="646"/>
      <c r="AR3" s="646"/>
      <c r="AS3" s="646"/>
      <c r="AT3" s="646"/>
      <c r="AU3" s="646"/>
      <c r="AV3" s="646"/>
      <c r="AX3" s="647"/>
    </row>
    <row r="4" spans="1:50" x14ac:dyDescent="0.25">
      <c r="A4" s="637"/>
      <c r="B4" s="648" t="s">
        <v>4803</v>
      </c>
      <c r="C4" s="649" t="s">
        <v>4804</v>
      </c>
      <c r="D4" s="650"/>
      <c r="E4" s="651" t="s">
        <v>1674</v>
      </c>
      <c r="F4" s="650">
        <v>0</v>
      </c>
      <c r="G4" s="651" t="s">
        <v>1674</v>
      </c>
      <c r="H4" s="652">
        <v>-4075.15</v>
      </c>
      <c r="I4" s="736">
        <v>-3.651949221836935E-4</v>
      </c>
      <c r="J4" s="650">
        <v>-4075.15</v>
      </c>
      <c r="K4" s="651">
        <v>-3.651949221836935E-4</v>
      </c>
      <c r="L4" s="652">
        <v>203840.71</v>
      </c>
      <c r="M4" s="736">
        <v>1.4399649236390897E-2</v>
      </c>
      <c r="N4" s="650">
        <v>203840.71</v>
      </c>
      <c r="O4" s="651">
        <v>1.4399649236390897E-2</v>
      </c>
      <c r="P4" s="652">
        <v>-292279.95</v>
      </c>
      <c r="Q4" s="736">
        <v>-1.7803770108924116E-2</v>
      </c>
      <c r="R4" s="650">
        <v>-292279.95</v>
      </c>
      <c r="S4" s="651">
        <v>-1.7803770108924116E-2</v>
      </c>
      <c r="T4" s="652">
        <v>199577.13</v>
      </c>
      <c r="U4" s="736">
        <v>1.2861658211448341E-2</v>
      </c>
      <c r="V4" s="650">
        <v>199577.13</v>
      </c>
      <c r="W4" s="651">
        <v>1.2861658211448341E-2</v>
      </c>
      <c r="X4" s="652">
        <v>350795.14</v>
      </c>
      <c r="Y4" s="736">
        <v>2.0617766930900609E-2</v>
      </c>
      <c r="Z4" s="737">
        <v>350795.14</v>
      </c>
      <c r="AA4" s="651">
        <v>2.0617766930900609E-2</v>
      </c>
      <c r="AB4" s="652">
        <v>226190.16</v>
      </c>
      <c r="AC4" s="736">
        <v>1.4845850005189547E-2</v>
      </c>
      <c r="AD4" s="650">
        <v>226190.16</v>
      </c>
      <c r="AE4" s="651">
        <v>1.4845850005189547E-2</v>
      </c>
      <c r="AF4" s="650"/>
      <c r="AG4" s="653"/>
      <c r="AH4" s="650"/>
      <c r="AI4" s="653"/>
      <c r="AJ4" s="650"/>
      <c r="AK4" s="653"/>
      <c r="AN4" s="654" t="s">
        <v>4803</v>
      </c>
      <c r="AO4" s="655" t="s">
        <v>4804</v>
      </c>
      <c r="AP4" s="656"/>
      <c r="AQ4" s="656"/>
      <c r="AR4" s="656"/>
      <c r="AS4" s="656"/>
      <c r="AT4" s="656"/>
      <c r="AU4" s="737"/>
      <c r="AV4" s="737"/>
      <c r="AX4" s="657"/>
    </row>
    <row r="5" spans="1:50" ht="15" x14ac:dyDescent="0.25">
      <c r="A5" s="637"/>
      <c r="B5" s="638" t="s">
        <v>4805</v>
      </c>
      <c r="C5" s="639" t="s">
        <v>265</v>
      </c>
      <c r="D5" s="640">
        <v>0</v>
      </c>
      <c r="E5" s="641" t="s">
        <v>1674</v>
      </c>
      <c r="F5" s="640">
        <v>0</v>
      </c>
      <c r="G5" s="641" t="s">
        <v>1674</v>
      </c>
      <c r="H5" s="642">
        <v>11158835.33</v>
      </c>
      <c r="I5" s="734">
        <v>1</v>
      </c>
      <c r="J5" s="640">
        <v>11158835.33</v>
      </c>
      <c r="K5" s="641">
        <v>1</v>
      </c>
      <c r="L5" s="642">
        <v>14155949.680000002</v>
      </c>
      <c r="M5" s="734">
        <v>1</v>
      </c>
      <c r="N5" s="640">
        <v>14155949.680000002</v>
      </c>
      <c r="O5" s="641">
        <v>1</v>
      </c>
      <c r="P5" s="642">
        <v>16416744.780000001</v>
      </c>
      <c r="Q5" s="734">
        <v>1</v>
      </c>
      <c r="R5" s="640">
        <v>16416744.780000001</v>
      </c>
      <c r="S5" s="641">
        <v>1</v>
      </c>
      <c r="T5" s="642">
        <v>15517216.110000001</v>
      </c>
      <c r="U5" s="734">
        <v>1</v>
      </c>
      <c r="V5" s="640">
        <v>15517216.110000001</v>
      </c>
      <c r="W5" s="641">
        <v>1</v>
      </c>
      <c r="X5" s="642">
        <v>17014216</v>
      </c>
      <c r="Y5" s="734">
        <v>1</v>
      </c>
      <c r="Z5" s="735">
        <v>17014216</v>
      </c>
      <c r="AA5" s="641">
        <v>1</v>
      </c>
      <c r="AB5" s="642">
        <v>15235918.449999999</v>
      </c>
      <c r="AC5" s="734">
        <v>1</v>
      </c>
      <c r="AD5" s="640">
        <v>15235918.449999999</v>
      </c>
      <c r="AE5" s="641">
        <v>1</v>
      </c>
      <c r="AF5" s="640"/>
      <c r="AG5" s="643"/>
      <c r="AH5" s="640"/>
      <c r="AI5" s="643"/>
      <c r="AJ5" s="640"/>
      <c r="AK5" s="643"/>
      <c r="AM5" s="732"/>
      <c r="AN5" s="658" t="s">
        <v>4805</v>
      </c>
      <c r="AO5" s="659" t="s">
        <v>265</v>
      </c>
      <c r="AP5" s="660">
        <v>0</v>
      </c>
      <c r="AQ5" s="660">
        <v>0</v>
      </c>
      <c r="AR5" s="660">
        <v>0</v>
      </c>
      <c r="AS5" s="660">
        <v>0</v>
      </c>
      <c r="AT5" s="660">
        <v>0</v>
      </c>
      <c r="AU5" s="738">
        <v>0</v>
      </c>
      <c r="AV5" s="738">
        <v>0</v>
      </c>
      <c r="AX5" s="657"/>
    </row>
    <row r="6" spans="1:50" s="669" customFormat="1" ht="15" x14ac:dyDescent="0.25">
      <c r="A6" s="661"/>
      <c r="B6" s="662" t="s">
        <v>4806</v>
      </c>
      <c r="C6" s="663" t="s">
        <v>260</v>
      </c>
      <c r="D6" s="664">
        <v>0</v>
      </c>
      <c r="E6" s="665" t="s">
        <v>1674</v>
      </c>
      <c r="F6" s="664">
        <v>0</v>
      </c>
      <c r="G6" s="665" t="s">
        <v>1674</v>
      </c>
      <c r="H6" s="666">
        <v>243966.05</v>
      </c>
      <c r="I6" s="739">
        <v>2.1863038819482247E-2</v>
      </c>
      <c r="J6" s="664">
        <v>243966.05</v>
      </c>
      <c r="K6" s="665">
        <v>2.1863038819482247E-2</v>
      </c>
      <c r="L6" s="666">
        <v>131073.77000000002</v>
      </c>
      <c r="M6" s="739">
        <v>9.2592706927452154E-3</v>
      </c>
      <c r="N6" s="664">
        <v>131073.77000000002</v>
      </c>
      <c r="O6" s="665">
        <v>9.2592706927452154E-3</v>
      </c>
      <c r="P6" s="666">
        <v>243105.59999999998</v>
      </c>
      <c r="Q6" s="739">
        <v>1.4808392483275236E-2</v>
      </c>
      <c r="R6" s="664">
        <v>243105.59999999998</v>
      </c>
      <c r="S6" s="665">
        <v>1.4808392483275236E-2</v>
      </c>
      <c r="T6" s="666">
        <v>185564.45</v>
      </c>
      <c r="U6" s="739">
        <v>1.1958617363098644E-2</v>
      </c>
      <c r="V6" s="664">
        <v>185564.45</v>
      </c>
      <c r="W6" s="665">
        <v>1.1958617363098644E-2</v>
      </c>
      <c r="X6" s="666">
        <v>261114.2</v>
      </c>
      <c r="Y6" s="739">
        <v>1.5346825266588834E-2</v>
      </c>
      <c r="Z6" s="740">
        <v>261114.2</v>
      </c>
      <c r="AA6" s="665">
        <v>1.5346825266588834E-2</v>
      </c>
      <c r="AB6" s="666">
        <v>185385.33</v>
      </c>
      <c r="AC6" s="739">
        <v>1.2167650451030078E-2</v>
      </c>
      <c r="AD6" s="664">
        <v>183022.44999999998</v>
      </c>
      <c r="AE6" s="665">
        <v>1.2012564296706378E-2</v>
      </c>
      <c r="AF6" s="664"/>
      <c r="AG6" s="667"/>
      <c r="AH6" s="664"/>
      <c r="AI6" s="667"/>
      <c r="AJ6" s="664"/>
      <c r="AK6" s="667"/>
      <c r="AN6" s="658" t="s">
        <v>4806</v>
      </c>
      <c r="AO6" s="670" t="s">
        <v>260</v>
      </c>
      <c r="AP6" s="671">
        <v>0</v>
      </c>
      <c r="AQ6" s="671">
        <v>0</v>
      </c>
      <c r="AR6" s="671">
        <v>0</v>
      </c>
      <c r="AS6" s="671">
        <v>0</v>
      </c>
      <c r="AT6" s="671">
        <v>0</v>
      </c>
      <c r="AU6" s="671">
        <v>0</v>
      </c>
      <c r="AV6" s="763">
        <v>-2362.88</v>
      </c>
      <c r="AX6" s="672"/>
    </row>
    <row r="7" spans="1:50" ht="25.5" hidden="1" x14ac:dyDescent="0.25">
      <c r="A7" s="637"/>
      <c r="B7" s="673" t="s">
        <v>4807</v>
      </c>
      <c r="C7" s="674" t="s">
        <v>4808</v>
      </c>
      <c r="D7" s="675"/>
      <c r="E7" s="676" t="s">
        <v>1674</v>
      </c>
      <c r="F7" s="675">
        <v>0</v>
      </c>
      <c r="G7" s="676" t="s">
        <v>1674</v>
      </c>
      <c r="H7" s="677">
        <v>1516</v>
      </c>
      <c r="I7" s="741">
        <v>1.3585647203918368E-4</v>
      </c>
      <c r="J7" s="675">
        <v>1516</v>
      </c>
      <c r="K7" s="676">
        <v>1.3585647203918368E-4</v>
      </c>
      <c r="L7" s="677">
        <v>2742</v>
      </c>
      <c r="M7" s="741">
        <v>1.9369947350646416E-4</v>
      </c>
      <c r="N7" s="675">
        <v>2742</v>
      </c>
      <c r="O7" s="676">
        <v>1.9369947350646416E-4</v>
      </c>
      <c r="P7" s="677"/>
      <c r="Q7" s="741">
        <v>0</v>
      </c>
      <c r="R7" s="675">
        <v>0</v>
      </c>
      <c r="S7" s="676">
        <v>0</v>
      </c>
      <c r="T7" s="677">
        <v>1692</v>
      </c>
      <c r="U7" s="741">
        <v>1.0904017756829449E-4</v>
      </c>
      <c r="V7" s="675">
        <v>1692</v>
      </c>
      <c r="W7" s="676">
        <v>1.0904017756829449E-4</v>
      </c>
      <c r="X7" s="677"/>
      <c r="Y7" s="741">
        <v>0</v>
      </c>
      <c r="Z7" s="742">
        <v>0</v>
      </c>
      <c r="AA7" s="676">
        <v>0</v>
      </c>
      <c r="AB7" s="677"/>
      <c r="AC7" s="741">
        <v>0</v>
      </c>
      <c r="AD7" s="675">
        <v>0</v>
      </c>
      <c r="AE7" s="676">
        <v>0</v>
      </c>
      <c r="AF7" s="1036"/>
      <c r="AG7" s="1038"/>
      <c r="AH7" s="1036"/>
      <c r="AI7" s="1044"/>
      <c r="AJ7" s="1036"/>
      <c r="AK7" s="1044"/>
      <c r="AN7" s="679" t="s">
        <v>4807</v>
      </c>
      <c r="AO7" s="674" t="s">
        <v>4808</v>
      </c>
      <c r="AP7" s="680"/>
      <c r="AQ7" s="680"/>
      <c r="AR7" s="680"/>
      <c r="AS7" s="680"/>
      <c r="AT7" s="680"/>
      <c r="AU7" s="680"/>
      <c r="AV7" s="680"/>
      <c r="AX7" s="681"/>
    </row>
    <row r="8" spans="1:50" hidden="1" x14ac:dyDescent="0.25">
      <c r="A8" s="637"/>
      <c r="B8" s="673" t="s">
        <v>4809</v>
      </c>
      <c r="C8" s="682" t="s">
        <v>4810</v>
      </c>
      <c r="D8" s="675"/>
      <c r="E8" s="676" t="s">
        <v>1674</v>
      </c>
      <c r="F8" s="675">
        <v>0</v>
      </c>
      <c r="G8" s="676" t="s">
        <v>1674</v>
      </c>
      <c r="H8" s="677">
        <v>732</v>
      </c>
      <c r="I8" s="741">
        <v>6.5598243755067581E-5</v>
      </c>
      <c r="J8" s="675">
        <v>732</v>
      </c>
      <c r="K8" s="676">
        <v>6.5598243755067581E-5</v>
      </c>
      <c r="L8" s="677"/>
      <c r="M8" s="741">
        <v>0</v>
      </c>
      <c r="N8" s="675">
        <v>0</v>
      </c>
      <c r="O8" s="676">
        <v>0</v>
      </c>
      <c r="P8" s="677"/>
      <c r="Q8" s="741">
        <v>0</v>
      </c>
      <c r="R8" s="675">
        <v>0</v>
      </c>
      <c r="S8" s="676">
        <v>0</v>
      </c>
      <c r="T8" s="677"/>
      <c r="U8" s="741">
        <v>0</v>
      </c>
      <c r="V8" s="675">
        <v>0</v>
      </c>
      <c r="W8" s="676">
        <v>0</v>
      </c>
      <c r="X8" s="677"/>
      <c r="Y8" s="741">
        <v>0</v>
      </c>
      <c r="Z8" s="742">
        <v>0</v>
      </c>
      <c r="AA8" s="676">
        <v>0</v>
      </c>
      <c r="AB8" s="677"/>
      <c r="AC8" s="741"/>
      <c r="AD8" s="675">
        <v>0</v>
      </c>
      <c r="AE8" s="676">
        <v>0</v>
      </c>
      <c r="AF8" s="1036"/>
      <c r="AG8" s="1038"/>
      <c r="AH8" s="1036"/>
      <c r="AI8" s="1044"/>
      <c r="AJ8" s="1036"/>
      <c r="AK8" s="1044"/>
      <c r="AN8" s="679" t="s">
        <v>4809</v>
      </c>
      <c r="AO8" s="682" t="s">
        <v>4810</v>
      </c>
      <c r="AP8" s="680"/>
      <c r="AQ8" s="680"/>
      <c r="AR8" s="680"/>
      <c r="AS8" s="680"/>
      <c r="AT8" s="680"/>
      <c r="AU8" s="680"/>
      <c r="AV8" s="680"/>
      <c r="AX8" s="681"/>
    </row>
    <row r="9" spans="1:50" ht="38.25" hidden="1" x14ac:dyDescent="0.25">
      <c r="A9" s="637"/>
      <c r="B9" s="673" t="s">
        <v>4811</v>
      </c>
      <c r="C9" s="674" t="s">
        <v>4812</v>
      </c>
      <c r="D9" s="675"/>
      <c r="E9" s="676" t="s">
        <v>1674</v>
      </c>
      <c r="F9" s="675">
        <v>0</v>
      </c>
      <c r="G9" s="676" t="s">
        <v>1674</v>
      </c>
      <c r="H9" s="677"/>
      <c r="I9" s="741">
        <v>0</v>
      </c>
      <c r="J9" s="675">
        <v>0</v>
      </c>
      <c r="K9" s="676">
        <v>0</v>
      </c>
      <c r="L9" s="677"/>
      <c r="M9" s="741">
        <v>0</v>
      </c>
      <c r="N9" s="675">
        <v>0</v>
      </c>
      <c r="O9" s="676">
        <v>0</v>
      </c>
      <c r="P9" s="677"/>
      <c r="Q9" s="741">
        <v>0</v>
      </c>
      <c r="R9" s="675">
        <v>0</v>
      </c>
      <c r="S9" s="676">
        <v>0</v>
      </c>
      <c r="T9" s="677"/>
      <c r="U9" s="741">
        <v>0</v>
      </c>
      <c r="V9" s="675">
        <v>0</v>
      </c>
      <c r="W9" s="676">
        <v>0</v>
      </c>
      <c r="X9" s="677"/>
      <c r="Y9" s="741">
        <v>0</v>
      </c>
      <c r="Z9" s="742">
        <v>0</v>
      </c>
      <c r="AA9" s="676">
        <v>0</v>
      </c>
      <c r="AB9" s="677"/>
      <c r="AC9" s="741">
        <v>0</v>
      </c>
      <c r="AD9" s="675">
        <v>0</v>
      </c>
      <c r="AE9" s="676">
        <v>0</v>
      </c>
      <c r="AF9" s="1036"/>
      <c r="AG9" s="1038"/>
      <c r="AH9" s="1036"/>
      <c r="AI9" s="1044"/>
      <c r="AJ9" s="1036"/>
      <c r="AK9" s="1044"/>
      <c r="AN9" s="679" t="s">
        <v>4811</v>
      </c>
      <c r="AO9" s="674" t="s">
        <v>4812</v>
      </c>
      <c r="AP9" s="680"/>
      <c r="AQ9" s="680"/>
      <c r="AR9" s="680"/>
      <c r="AS9" s="680"/>
      <c r="AT9" s="680"/>
      <c r="AU9" s="680"/>
      <c r="AV9" s="680"/>
      <c r="AX9" s="681"/>
    </row>
    <row r="10" spans="1:50" ht="25.5" x14ac:dyDescent="0.25">
      <c r="A10" s="637"/>
      <c r="B10" s="673" t="s">
        <v>4807</v>
      </c>
      <c r="C10" s="674" t="s">
        <v>4814</v>
      </c>
      <c r="D10" s="675"/>
      <c r="E10" s="676" t="s">
        <v>1674</v>
      </c>
      <c r="F10" s="675">
        <v>0</v>
      </c>
      <c r="G10" s="676" t="s">
        <v>1674</v>
      </c>
      <c r="H10" s="677">
        <v>7107</v>
      </c>
      <c r="I10" s="741">
        <v>6.3689442399899633E-4</v>
      </c>
      <c r="J10" s="675">
        <v>7107</v>
      </c>
      <c r="K10" s="676">
        <v>6.3689442399899633E-4</v>
      </c>
      <c r="L10" s="677">
        <v>17222</v>
      </c>
      <c r="M10" s="741">
        <v>1.2165909309731311E-3</v>
      </c>
      <c r="N10" s="675">
        <v>17222</v>
      </c>
      <c r="O10" s="676">
        <v>1.2165909309731311E-3</v>
      </c>
      <c r="P10" s="677">
        <v>67348.92</v>
      </c>
      <c r="Q10" s="741">
        <v>4.1024527640856701E-3</v>
      </c>
      <c r="R10" s="675">
        <v>67348.92</v>
      </c>
      <c r="S10" s="676">
        <v>4.1024527640856701E-3</v>
      </c>
      <c r="T10" s="677">
        <v>82708.289999999994</v>
      </c>
      <c r="U10" s="741">
        <v>5.3300984798877035E-3</v>
      </c>
      <c r="V10" s="675">
        <v>82708.289999999994</v>
      </c>
      <c r="W10" s="676">
        <v>5.3300984798877035E-3</v>
      </c>
      <c r="X10" s="677">
        <v>118943</v>
      </c>
      <c r="Y10" s="741">
        <v>6.9908011042060358E-3</v>
      </c>
      <c r="Z10" s="742">
        <v>118943</v>
      </c>
      <c r="AA10" s="676">
        <v>6.9908011042060358E-3</v>
      </c>
      <c r="AB10" s="677">
        <v>37866.46</v>
      </c>
      <c r="AC10" s="741">
        <v>2.4853414728010703E-3</v>
      </c>
      <c r="AD10" s="675">
        <v>37866.46</v>
      </c>
      <c r="AE10" s="676">
        <v>2.4853414728010703E-3</v>
      </c>
      <c r="AF10" s="1036"/>
      <c r="AG10" s="1038"/>
      <c r="AH10" s="1036"/>
      <c r="AI10" s="1044"/>
      <c r="AJ10" s="1036"/>
      <c r="AK10" s="1044"/>
      <c r="AN10" s="679" t="s">
        <v>4807</v>
      </c>
      <c r="AO10" s="674" t="s">
        <v>4814</v>
      </c>
      <c r="AP10" s="680"/>
      <c r="AQ10" s="680"/>
      <c r="AR10" s="680"/>
      <c r="AS10" s="680"/>
      <c r="AT10" s="680"/>
      <c r="AU10" s="680"/>
      <c r="AV10" s="680"/>
      <c r="AX10" s="681"/>
    </row>
    <row r="11" spans="1:50" x14ac:dyDescent="0.25">
      <c r="A11" s="637"/>
      <c r="B11" s="673" t="s">
        <v>4809</v>
      </c>
      <c r="C11" s="682" t="s">
        <v>4816</v>
      </c>
      <c r="D11" s="675"/>
      <c r="E11" s="676" t="s">
        <v>1674</v>
      </c>
      <c r="F11" s="675">
        <v>0</v>
      </c>
      <c r="G11" s="676" t="s">
        <v>1674</v>
      </c>
      <c r="H11" s="677">
        <v>234611.05</v>
      </c>
      <c r="I11" s="741">
        <v>2.1024689679688999E-2</v>
      </c>
      <c r="J11" s="675">
        <v>234611.05</v>
      </c>
      <c r="K11" s="676">
        <v>2.1024689679688999E-2</v>
      </c>
      <c r="L11" s="677">
        <v>111109.77</v>
      </c>
      <c r="M11" s="741">
        <v>7.8489802882656182E-3</v>
      </c>
      <c r="N11" s="675">
        <v>111109.77</v>
      </c>
      <c r="O11" s="676">
        <v>7.8489802882656182E-3</v>
      </c>
      <c r="P11" s="677">
        <v>175756.68</v>
      </c>
      <c r="Q11" s="741">
        <v>1.0705939719189567E-2</v>
      </c>
      <c r="R11" s="675">
        <v>175756.68</v>
      </c>
      <c r="S11" s="676">
        <v>1.0705939719189567E-2</v>
      </c>
      <c r="T11" s="677">
        <v>101164.16</v>
      </c>
      <c r="U11" s="741">
        <v>6.5194787056426446E-3</v>
      </c>
      <c r="V11" s="675">
        <v>101164.16</v>
      </c>
      <c r="W11" s="676">
        <v>6.5194787056426446E-3</v>
      </c>
      <c r="X11" s="677">
        <v>142171.20000000001</v>
      </c>
      <c r="Y11" s="741">
        <v>8.3560241623827983E-3</v>
      </c>
      <c r="Z11" s="742">
        <v>142171.20000000001</v>
      </c>
      <c r="AA11" s="676">
        <v>8.3560241623827983E-3</v>
      </c>
      <c r="AB11" s="743">
        <v>147518.87</v>
      </c>
      <c r="AC11" s="741">
        <v>9.6823089782290088E-3</v>
      </c>
      <c r="AD11" s="675">
        <v>145155.99</v>
      </c>
      <c r="AE11" s="676">
        <v>9.5272228239053087E-3</v>
      </c>
      <c r="AF11" s="1037"/>
      <c r="AG11" s="1039"/>
      <c r="AH11" s="1037"/>
      <c r="AI11" s="1045"/>
      <c r="AJ11" s="1037"/>
      <c r="AK11" s="1045"/>
      <c r="AN11" s="679" t="s">
        <v>4809</v>
      </c>
      <c r="AO11" s="682" t="s">
        <v>4816</v>
      </c>
      <c r="AP11" s="680"/>
      <c r="AQ11" s="680"/>
      <c r="AR11" s="680"/>
      <c r="AS11" s="680"/>
      <c r="AT11" s="680"/>
      <c r="AU11" s="680"/>
      <c r="AV11" s="680">
        <v>-2362.88</v>
      </c>
      <c r="AX11" s="760" t="s">
        <v>4870</v>
      </c>
    </row>
    <row r="12" spans="1:50" ht="15" x14ac:dyDescent="0.25">
      <c r="A12" s="637"/>
      <c r="B12" s="684" t="s">
        <v>4817</v>
      </c>
      <c r="C12" s="659" t="s">
        <v>264</v>
      </c>
      <c r="D12" s="685">
        <v>0</v>
      </c>
      <c r="E12" s="686" t="s">
        <v>1674</v>
      </c>
      <c r="F12" s="685">
        <v>0</v>
      </c>
      <c r="G12" s="686" t="s">
        <v>1674</v>
      </c>
      <c r="H12" s="687">
        <v>5173296.82</v>
      </c>
      <c r="I12" s="744">
        <v>0.46360544510338253</v>
      </c>
      <c r="J12" s="685">
        <v>5173296.82</v>
      </c>
      <c r="K12" s="686">
        <v>0.46360544510338253</v>
      </c>
      <c r="L12" s="687">
        <v>6778652</v>
      </c>
      <c r="M12" s="744">
        <v>0.47885533314498185</v>
      </c>
      <c r="N12" s="685">
        <v>6778652</v>
      </c>
      <c r="O12" s="686">
        <v>0.47885533314498185</v>
      </c>
      <c r="P12" s="687">
        <v>7633126.1900000004</v>
      </c>
      <c r="Q12" s="744">
        <v>0.46495978906239654</v>
      </c>
      <c r="R12" s="685">
        <v>7633126.1900000004</v>
      </c>
      <c r="S12" s="686">
        <v>0.46495978906239654</v>
      </c>
      <c r="T12" s="687">
        <v>8086502.3799999999</v>
      </c>
      <c r="U12" s="744">
        <v>0.52113100202224349</v>
      </c>
      <c r="V12" s="685">
        <v>8086502.3799999999</v>
      </c>
      <c r="W12" s="686">
        <v>0.52113100202224349</v>
      </c>
      <c r="X12" s="687">
        <v>8397887.3900000006</v>
      </c>
      <c r="Y12" s="744">
        <v>0.49358062634211303</v>
      </c>
      <c r="Z12" s="745">
        <v>8397887.3900000006</v>
      </c>
      <c r="AA12" s="686">
        <v>0.49358062634211303</v>
      </c>
      <c r="AB12" s="746">
        <v>7361784.6900000004</v>
      </c>
      <c r="AC12" s="744">
        <v>0.48318614425243267</v>
      </c>
      <c r="AD12" s="685">
        <v>7361784.6900000004</v>
      </c>
      <c r="AE12" s="686">
        <v>0.48318614425243267</v>
      </c>
      <c r="AF12" s="685"/>
      <c r="AG12" s="688"/>
      <c r="AH12" s="685"/>
      <c r="AI12" s="688"/>
      <c r="AJ12" s="685"/>
      <c r="AK12" s="688"/>
      <c r="AN12" s="658" t="s">
        <v>4817</v>
      </c>
      <c r="AO12" s="659" t="s">
        <v>264</v>
      </c>
      <c r="AP12" s="689">
        <v>0</v>
      </c>
      <c r="AQ12" s="689">
        <v>0</v>
      </c>
      <c r="AR12" s="689">
        <v>0</v>
      </c>
      <c r="AS12" s="689">
        <v>0</v>
      </c>
      <c r="AT12" s="689">
        <v>0</v>
      </c>
      <c r="AU12" s="689">
        <v>0</v>
      </c>
      <c r="AV12" s="689">
        <v>0</v>
      </c>
      <c r="AX12" s="681"/>
    </row>
    <row r="13" spans="1:50" x14ac:dyDescent="0.25">
      <c r="A13" s="637"/>
      <c r="B13" s="673" t="s">
        <v>4807</v>
      </c>
      <c r="C13" s="690" t="s">
        <v>4818</v>
      </c>
      <c r="D13" s="675"/>
      <c r="E13" s="676" t="s">
        <v>1674</v>
      </c>
      <c r="F13" s="675">
        <v>0</v>
      </c>
      <c r="G13" s="676" t="s">
        <v>1674</v>
      </c>
      <c r="H13" s="677">
        <v>4841196.63</v>
      </c>
      <c r="I13" s="741">
        <v>0.43384425765157336</v>
      </c>
      <c r="J13" s="675">
        <v>4841196.63</v>
      </c>
      <c r="K13" s="676">
        <v>0.43384425765157336</v>
      </c>
      <c r="L13" s="677">
        <v>6471592.7599999998</v>
      </c>
      <c r="M13" s="741">
        <v>0.45716415403364158</v>
      </c>
      <c r="N13" s="675">
        <v>6471592.7599999998</v>
      </c>
      <c r="O13" s="676">
        <v>0.45716415403364158</v>
      </c>
      <c r="P13" s="677">
        <v>7148926.5700000003</v>
      </c>
      <c r="Q13" s="741">
        <v>0.43546553630469487</v>
      </c>
      <c r="R13" s="675">
        <v>7148926.5700000003</v>
      </c>
      <c r="S13" s="676">
        <v>0.43546553630469487</v>
      </c>
      <c r="T13" s="677">
        <v>7440488.4699999997</v>
      </c>
      <c r="U13" s="741">
        <v>0.47949892669246319</v>
      </c>
      <c r="V13" s="675">
        <v>7440488.4699999997</v>
      </c>
      <c r="W13" s="676">
        <v>0.47949892669246319</v>
      </c>
      <c r="X13" s="677">
        <v>7745916.3399999999</v>
      </c>
      <c r="Y13" s="741">
        <v>0.45526143196959529</v>
      </c>
      <c r="Z13" s="742">
        <v>7745916.3399999999</v>
      </c>
      <c r="AA13" s="676">
        <v>0.45526143196959529</v>
      </c>
      <c r="AB13" s="743">
        <v>6854708.0999999996</v>
      </c>
      <c r="AC13" s="741" t="s">
        <v>1674</v>
      </c>
      <c r="AD13" s="675"/>
      <c r="AE13" s="676">
        <v>0</v>
      </c>
      <c r="AF13" s="1036"/>
      <c r="AG13" s="1038"/>
      <c r="AH13" s="1036"/>
      <c r="AI13" s="1044"/>
      <c r="AJ13" s="1036"/>
      <c r="AK13" s="1044"/>
      <c r="AN13" s="679" t="s">
        <v>4807</v>
      </c>
      <c r="AO13" s="690" t="s">
        <v>4818</v>
      </c>
      <c r="AP13" s="680"/>
      <c r="AQ13" s="680"/>
      <c r="AR13" s="680"/>
      <c r="AS13" s="680"/>
      <c r="AT13" s="680"/>
      <c r="AU13" s="680"/>
      <c r="AV13" s="680"/>
      <c r="AX13" s="681"/>
    </row>
    <row r="14" spans="1:50" ht="14.25" customHeight="1" x14ac:dyDescent="0.25">
      <c r="A14" s="637"/>
      <c r="B14" s="673" t="s">
        <v>4809</v>
      </c>
      <c r="C14" s="690" t="s">
        <v>4819</v>
      </c>
      <c r="D14" s="675"/>
      <c r="E14" s="676" t="s">
        <v>1674</v>
      </c>
      <c r="F14" s="675">
        <v>0</v>
      </c>
      <c r="G14" s="676" t="s">
        <v>1674</v>
      </c>
      <c r="H14" s="677">
        <v>332100.19</v>
      </c>
      <c r="I14" s="741">
        <v>2.9761187451809095E-2</v>
      </c>
      <c r="J14" s="675">
        <v>332100.19</v>
      </c>
      <c r="K14" s="676">
        <v>2.9761187451809095E-2</v>
      </c>
      <c r="L14" s="677">
        <v>307059.24</v>
      </c>
      <c r="M14" s="741">
        <v>2.1691179111340268E-2</v>
      </c>
      <c r="N14" s="675">
        <v>307059.24</v>
      </c>
      <c r="O14" s="676">
        <v>2.1691179111340268E-2</v>
      </c>
      <c r="P14" s="677">
        <v>484199.62</v>
      </c>
      <c r="Q14" s="741">
        <v>2.9494252757701699E-2</v>
      </c>
      <c r="R14" s="675">
        <v>484199.62</v>
      </c>
      <c r="S14" s="676">
        <v>2.9494252757701699E-2</v>
      </c>
      <c r="T14" s="677">
        <v>646013.91</v>
      </c>
      <c r="U14" s="741">
        <v>4.163207532978027E-2</v>
      </c>
      <c r="V14" s="675">
        <v>646013.91</v>
      </c>
      <c r="W14" s="676">
        <v>4.163207532978027E-2</v>
      </c>
      <c r="X14" s="677">
        <v>651971.05000000005</v>
      </c>
      <c r="Y14" s="741">
        <v>3.8319194372517663E-2</v>
      </c>
      <c r="Z14" s="742">
        <v>651971.05000000005</v>
      </c>
      <c r="AA14" s="676">
        <v>3.8319194372517663E-2</v>
      </c>
      <c r="AB14" s="743">
        <v>507076.59</v>
      </c>
      <c r="AC14" s="741">
        <v>0</v>
      </c>
      <c r="AD14" s="675">
        <v>0</v>
      </c>
      <c r="AE14" s="676">
        <v>0</v>
      </c>
      <c r="AF14" s="1036"/>
      <c r="AG14" s="1039"/>
      <c r="AH14" s="1037"/>
      <c r="AI14" s="1045"/>
      <c r="AJ14" s="1037"/>
      <c r="AK14" s="1045"/>
      <c r="AN14" s="691" t="s">
        <v>4809</v>
      </c>
      <c r="AO14" s="692" t="s">
        <v>4819</v>
      </c>
      <c r="AP14" s="646"/>
      <c r="AQ14" s="646"/>
      <c r="AR14" s="646"/>
      <c r="AS14" s="646"/>
      <c r="AT14" s="646"/>
      <c r="AU14" s="646"/>
      <c r="AV14" s="646"/>
      <c r="AX14" s="657"/>
    </row>
    <row r="15" spans="1:50" ht="15" x14ac:dyDescent="0.25">
      <c r="A15" s="637"/>
      <c r="B15" s="638" t="s">
        <v>4820</v>
      </c>
      <c r="C15" s="639" t="s">
        <v>4821</v>
      </c>
      <c r="D15" s="640">
        <v>0</v>
      </c>
      <c r="E15" s="641" t="s">
        <v>1674</v>
      </c>
      <c r="F15" s="640">
        <v>0</v>
      </c>
      <c r="G15" s="641" t="s">
        <v>1674</v>
      </c>
      <c r="H15" s="642">
        <v>6229504.5600000005</v>
      </c>
      <c r="I15" s="734">
        <v>0.55825759371609984</v>
      </c>
      <c r="J15" s="640">
        <v>6229504.5600000005</v>
      </c>
      <c r="K15" s="641">
        <v>0.55825759371609984</v>
      </c>
      <c r="L15" s="642">
        <v>7508371.4500000011</v>
      </c>
      <c r="M15" s="734">
        <v>0.53040393754776338</v>
      </c>
      <c r="N15" s="640">
        <v>7508371.4500000011</v>
      </c>
      <c r="O15" s="641">
        <v>0.53040393754776338</v>
      </c>
      <c r="P15" s="642">
        <v>9026724.1900000013</v>
      </c>
      <c r="Q15" s="734">
        <v>0.54984860342087871</v>
      </c>
      <c r="R15" s="640">
        <v>9026724.1900000013</v>
      </c>
      <c r="S15" s="641">
        <v>0.54984860342087871</v>
      </c>
      <c r="T15" s="642">
        <v>7616278.1800000006</v>
      </c>
      <c r="U15" s="734">
        <v>0.49082761534085512</v>
      </c>
      <c r="V15" s="640">
        <v>7616278.1800000006</v>
      </c>
      <c r="W15" s="641">
        <v>0.49082761534085512</v>
      </c>
      <c r="X15" s="642">
        <v>8877442.8099999987</v>
      </c>
      <c r="Y15" s="734">
        <v>0.52176619892447573</v>
      </c>
      <c r="Z15" s="735">
        <v>8877442.8099999987</v>
      </c>
      <c r="AA15" s="641">
        <v>0.52176619892447573</v>
      </c>
      <c r="AB15" s="642">
        <v>8059519.0899999989</v>
      </c>
      <c r="AC15" s="734">
        <v>0.52898150619859741</v>
      </c>
      <c r="AD15" s="640">
        <v>8057156.209999999</v>
      </c>
      <c r="AE15" s="641">
        <v>0.52882642004427372</v>
      </c>
      <c r="AF15" s="640"/>
      <c r="AG15" s="643"/>
      <c r="AH15" s="640"/>
      <c r="AI15" s="643"/>
      <c r="AJ15" s="640"/>
      <c r="AK15" s="643"/>
      <c r="AN15" s="644" t="s">
        <v>4820</v>
      </c>
      <c r="AO15" s="645" t="s">
        <v>4821</v>
      </c>
      <c r="AP15" s="646">
        <v>0</v>
      </c>
      <c r="AQ15" s="646">
        <v>0</v>
      </c>
      <c r="AR15" s="646">
        <v>0</v>
      </c>
      <c r="AS15" s="646">
        <v>0</v>
      </c>
      <c r="AT15" s="646">
        <v>0</v>
      </c>
      <c r="AU15" s="646">
        <v>0</v>
      </c>
      <c r="AV15" s="646">
        <v>-2362.88</v>
      </c>
      <c r="AX15" s="657"/>
    </row>
    <row r="16" spans="1:50" ht="15" x14ac:dyDescent="0.25">
      <c r="A16" s="637"/>
      <c r="B16" s="684" t="s">
        <v>4822</v>
      </c>
      <c r="C16" s="659" t="s">
        <v>259</v>
      </c>
      <c r="D16" s="685">
        <v>0</v>
      </c>
      <c r="E16" s="686" t="s">
        <v>1674</v>
      </c>
      <c r="F16" s="685">
        <v>-337440</v>
      </c>
      <c r="G16" s="686" t="s">
        <v>1674</v>
      </c>
      <c r="H16" s="687">
        <v>2966735.8</v>
      </c>
      <c r="I16" s="744">
        <v>0.26586428711104565</v>
      </c>
      <c r="J16" s="685">
        <v>2629295.7999999998</v>
      </c>
      <c r="K16" s="686">
        <v>0.23562457212100466</v>
      </c>
      <c r="L16" s="687">
        <v>3302160.29</v>
      </c>
      <c r="M16" s="744">
        <v>0.23327013479465827</v>
      </c>
      <c r="N16" s="685">
        <v>2964720.29</v>
      </c>
      <c r="O16" s="686">
        <v>0.20943280790187152</v>
      </c>
      <c r="P16" s="687">
        <v>3564197.2</v>
      </c>
      <c r="Q16" s="744">
        <v>0.21710742584864623</v>
      </c>
      <c r="R16" s="685">
        <v>3226757.2</v>
      </c>
      <c r="S16" s="686">
        <v>0.19655280283890725</v>
      </c>
      <c r="T16" s="687">
        <v>3758984.2600000002</v>
      </c>
      <c r="U16" s="744">
        <v>0.24224604680072345</v>
      </c>
      <c r="V16" s="685">
        <v>3421544.2600000002</v>
      </c>
      <c r="W16" s="686">
        <v>0.22049987805447918</v>
      </c>
      <c r="X16" s="687">
        <v>4522351.05</v>
      </c>
      <c r="Y16" s="744">
        <v>0.26579838001351341</v>
      </c>
      <c r="Z16" s="745">
        <v>4109819.7719999999</v>
      </c>
      <c r="AA16" s="686">
        <v>0.24596555315860572</v>
      </c>
      <c r="AB16" s="746">
        <v>4225827.03</v>
      </c>
      <c r="AC16" s="744">
        <v>0.27735952012791198</v>
      </c>
      <c r="AD16" s="685">
        <v>3888387.0300000003</v>
      </c>
      <c r="AE16" s="686">
        <v>0.2552118562960673</v>
      </c>
      <c r="AF16" s="685"/>
      <c r="AG16" s="688"/>
      <c r="AH16" s="685"/>
      <c r="AI16" s="688"/>
      <c r="AJ16" s="685"/>
      <c r="AK16" s="688"/>
      <c r="AN16" s="658" t="s">
        <v>4822</v>
      </c>
      <c r="AO16" s="693" t="s">
        <v>259</v>
      </c>
      <c r="AP16" s="680">
        <v>-337440</v>
      </c>
      <c r="AQ16" s="680">
        <v>-337440</v>
      </c>
      <c r="AR16" s="680">
        <v>-337440</v>
      </c>
      <c r="AS16" s="680">
        <v>-337440</v>
      </c>
      <c r="AT16" s="680">
        <v>-337440</v>
      </c>
      <c r="AU16" s="680">
        <f>SUM(AU17,AU19,AU21)</f>
        <v>-412531.27799999999</v>
      </c>
      <c r="AV16" s="680">
        <v>-337440</v>
      </c>
      <c r="AX16" s="681"/>
    </row>
    <row r="17" spans="1:50" x14ac:dyDescent="0.25">
      <c r="A17" s="637"/>
      <c r="B17" s="673" t="s">
        <v>4807</v>
      </c>
      <c r="C17" s="690" t="s">
        <v>4823</v>
      </c>
      <c r="D17" s="675"/>
      <c r="E17" s="676" t="s">
        <v>1674</v>
      </c>
      <c r="F17" s="675">
        <v>-304000</v>
      </c>
      <c r="G17" s="676" t="s">
        <v>1674</v>
      </c>
      <c r="H17" s="677">
        <v>2486808.0099999998</v>
      </c>
      <c r="I17" s="741">
        <v>0.22285551640988324</v>
      </c>
      <c r="J17" s="675">
        <v>2182808.0099999998</v>
      </c>
      <c r="K17" s="676">
        <v>0.19561252993236883</v>
      </c>
      <c r="L17" s="677">
        <v>2779580.06</v>
      </c>
      <c r="M17" s="741">
        <v>0.19635419190046172</v>
      </c>
      <c r="N17" s="675">
        <v>2475580.06</v>
      </c>
      <c r="O17" s="676">
        <v>0.17487912262768088</v>
      </c>
      <c r="P17" s="677">
        <v>3013467.65</v>
      </c>
      <c r="Q17" s="741">
        <v>0.18356060780522165</v>
      </c>
      <c r="R17" s="675">
        <v>2709467.65</v>
      </c>
      <c r="S17" s="676">
        <v>0.16504292941806942</v>
      </c>
      <c r="T17" s="677">
        <v>3152685.47</v>
      </c>
      <c r="U17" s="741">
        <v>0.20317339448332269</v>
      </c>
      <c r="V17" s="675">
        <v>2848685.47</v>
      </c>
      <c r="W17" s="676">
        <v>0.18358225146868823</v>
      </c>
      <c r="X17" s="677">
        <v>3776718.15</v>
      </c>
      <c r="Y17" s="741">
        <v>0.22197426845879939</v>
      </c>
      <c r="Z17" s="742">
        <v>3405068.35</v>
      </c>
      <c r="AA17" s="676">
        <v>0.20410685687780147</v>
      </c>
      <c r="AB17" s="743">
        <v>3519655.95</v>
      </c>
      <c r="AC17" s="741" t="s">
        <v>1674</v>
      </c>
      <c r="AD17" s="675"/>
      <c r="AE17" s="676">
        <v>0</v>
      </c>
      <c r="AF17" s="1036"/>
      <c r="AG17" s="1038"/>
      <c r="AH17" s="1036"/>
      <c r="AI17" s="1044"/>
      <c r="AJ17" s="1036"/>
      <c r="AK17" s="1044"/>
      <c r="AN17" s="679" t="s">
        <v>4807</v>
      </c>
      <c r="AO17" s="694" t="s">
        <v>4823</v>
      </c>
      <c r="AP17" s="695">
        <v>-304000</v>
      </c>
      <c r="AQ17" s="695">
        <v>-304000</v>
      </c>
      <c r="AR17" s="695">
        <v>-304000</v>
      </c>
      <c r="AS17" s="695">
        <v>-304000</v>
      </c>
      <c r="AT17" s="695">
        <v>-304000</v>
      </c>
      <c r="AU17" s="696">
        <f>-67649.8+AU18</f>
        <v>-371649.8</v>
      </c>
      <c r="AV17" s="747">
        <v>-304000</v>
      </c>
      <c r="AX17" s="761" t="s">
        <v>4824</v>
      </c>
    </row>
    <row r="18" spans="1:50" ht="14.25" customHeight="1" outlineLevel="1" x14ac:dyDescent="0.25">
      <c r="A18" s="637"/>
      <c r="B18" s="673"/>
      <c r="C18" s="697" t="s">
        <v>4825</v>
      </c>
      <c r="D18" s="698">
        <v>304000</v>
      </c>
      <c r="E18" s="699"/>
      <c r="F18" s="698">
        <v>0</v>
      </c>
      <c r="G18" s="699"/>
      <c r="H18" s="677">
        <v>304000</v>
      </c>
      <c r="I18" s="741"/>
      <c r="J18" s="698">
        <v>0</v>
      </c>
      <c r="K18" s="699"/>
      <c r="L18" s="677">
        <v>304000</v>
      </c>
      <c r="M18" s="741"/>
      <c r="N18" s="698">
        <v>0</v>
      </c>
      <c r="O18" s="699"/>
      <c r="P18" s="677">
        <v>304000</v>
      </c>
      <c r="Q18" s="741"/>
      <c r="R18" s="698">
        <v>0</v>
      </c>
      <c r="S18" s="699"/>
      <c r="T18" s="677">
        <v>304000</v>
      </c>
      <c r="U18" s="741"/>
      <c r="V18" s="698">
        <v>0</v>
      </c>
      <c r="W18" s="699"/>
      <c r="X18" s="743">
        <v>304000</v>
      </c>
      <c r="Y18" s="741">
        <v>1.7867411580997913E-2</v>
      </c>
      <c r="Z18" s="748"/>
      <c r="AA18" s="699"/>
      <c r="AB18" s="743">
        <v>304000</v>
      </c>
      <c r="AC18" s="741">
        <v>1.9952850298959168E-2</v>
      </c>
      <c r="AD18" s="698">
        <v>0</v>
      </c>
      <c r="AE18" s="699">
        <v>0</v>
      </c>
      <c r="AF18" s="1036"/>
      <c r="AG18" s="1038"/>
      <c r="AH18" s="1036"/>
      <c r="AI18" s="1044"/>
      <c r="AJ18" s="1036"/>
      <c r="AK18" s="1044"/>
      <c r="AN18" s="679">
        <v>0</v>
      </c>
      <c r="AO18" s="697" t="s">
        <v>4825</v>
      </c>
      <c r="AP18" s="700">
        <v>-304000</v>
      </c>
      <c r="AQ18" s="700">
        <v>-304000</v>
      </c>
      <c r="AR18" s="700">
        <v>-304000</v>
      </c>
      <c r="AS18" s="700">
        <v>-304000</v>
      </c>
      <c r="AT18" s="700">
        <v>-304000</v>
      </c>
      <c r="AU18" s="700">
        <f>Z18-X18</f>
        <v>-304000</v>
      </c>
      <c r="AV18" s="700">
        <f>AD18-AB18</f>
        <v>-304000</v>
      </c>
      <c r="AX18" s="681"/>
    </row>
    <row r="19" spans="1:50" ht="14.25" customHeight="1" x14ac:dyDescent="0.25">
      <c r="A19" s="637"/>
      <c r="B19" s="673" t="s">
        <v>4809</v>
      </c>
      <c r="C19" s="690" t="s">
        <v>4826</v>
      </c>
      <c r="D19" s="675"/>
      <c r="E19" s="676" t="s">
        <v>1674</v>
      </c>
      <c r="F19" s="675">
        <v>-33440</v>
      </c>
      <c r="G19" s="676" t="s">
        <v>1674</v>
      </c>
      <c r="H19" s="677">
        <v>479927.79</v>
      </c>
      <c r="I19" s="741">
        <v>4.3008770701162408E-2</v>
      </c>
      <c r="J19" s="675">
        <v>446487.79</v>
      </c>
      <c r="K19" s="676">
        <v>4.0012042188635827E-2</v>
      </c>
      <c r="L19" s="677">
        <v>522580.23</v>
      </c>
      <c r="M19" s="741">
        <v>3.691594289419655E-2</v>
      </c>
      <c r="N19" s="675">
        <v>489140.23</v>
      </c>
      <c r="O19" s="676">
        <v>3.4553685274190657E-2</v>
      </c>
      <c r="P19" s="677">
        <v>550729.55000000005</v>
      </c>
      <c r="Q19" s="741">
        <v>3.3546818043424562E-2</v>
      </c>
      <c r="R19" s="675">
        <v>517289.55000000005</v>
      </c>
      <c r="S19" s="676">
        <v>3.1509873420837817E-2</v>
      </c>
      <c r="T19" s="677">
        <v>606298.79</v>
      </c>
      <c r="U19" s="741">
        <v>3.9072652317400765E-2</v>
      </c>
      <c r="V19" s="675">
        <v>572858.79</v>
      </c>
      <c r="W19" s="676">
        <v>3.6917626585790973E-2</v>
      </c>
      <c r="X19" s="677">
        <v>745632.9</v>
      </c>
      <c r="Y19" s="741">
        <v>4.382411155471401E-2</v>
      </c>
      <c r="Z19" s="742">
        <v>704751.42200000002</v>
      </c>
      <c r="AA19" s="676">
        <v>4.1858696280804242E-2</v>
      </c>
      <c r="AB19" s="743">
        <v>706171.08</v>
      </c>
      <c r="AC19" s="741">
        <v>0</v>
      </c>
      <c r="AD19" s="675">
        <v>-33440</v>
      </c>
      <c r="AE19" s="676">
        <v>-2.1948135328855086E-3</v>
      </c>
      <c r="AF19" s="1036"/>
      <c r="AG19" s="1038"/>
      <c r="AH19" s="1036"/>
      <c r="AI19" s="1044"/>
      <c r="AJ19" s="1036"/>
      <c r="AK19" s="1044"/>
      <c r="AN19" s="691" t="s">
        <v>4809</v>
      </c>
      <c r="AO19" s="705" t="s">
        <v>4826</v>
      </c>
      <c r="AP19" s="706">
        <v>-33440</v>
      </c>
      <c r="AQ19" s="706">
        <v>-33440</v>
      </c>
      <c r="AR19" s="706">
        <v>-33440</v>
      </c>
      <c r="AS19" s="706">
        <v>-33440</v>
      </c>
      <c r="AT19" s="706">
        <v>-33440</v>
      </c>
      <c r="AU19" s="706">
        <f>AU17*0.11</f>
        <v>-40881.477999999996</v>
      </c>
      <c r="AV19" s="646">
        <v>-33440</v>
      </c>
      <c r="AX19" s="761" t="s">
        <v>4871</v>
      </c>
    </row>
    <row r="20" spans="1:50" ht="14.25" hidden="1" customHeight="1" outlineLevel="1" x14ac:dyDescent="0.25">
      <c r="A20" s="637"/>
      <c r="B20" s="673"/>
      <c r="C20" s="697" t="s">
        <v>4828</v>
      </c>
      <c r="D20" s="698"/>
      <c r="E20" s="699"/>
      <c r="F20" s="698"/>
      <c r="G20" s="699"/>
      <c r="H20" s="677"/>
      <c r="I20" s="741"/>
      <c r="J20" s="698"/>
      <c r="K20" s="699"/>
      <c r="L20" s="677"/>
      <c r="M20" s="741"/>
      <c r="N20" s="698"/>
      <c r="O20" s="699"/>
      <c r="P20" s="677"/>
      <c r="Q20" s="741"/>
      <c r="R20" s="698"/>
      <c r="S20" s="699"/>
      <c r="T20" s="677"/>
      <c r="U20" s="741"/>
      <c r="V20" s="698"/>
      <c r="W20" s="699"/>
      <c r="X20" s="677">
        <v>0</v>
      </c>
      <c r="Y20" s="741"/>
      <c r="Z20" s="748"/>
      <c r="AA20" s="699"/>
      <c r="AB20" s="743"/>
      <c r="AC20" s="741">
        <v>0</v>
      </c>
      <c r="AD20" s="698">
        <v>0</v>
      </c>
      <c r="AE20" s="699">
        <v>0</v>
      </c>
      <c r="AF20" s="1036"/>
      <c r="AG20" s="1038"/>
      <c r="AH20" s="1036"/>
      <c r="AI20" s="1044"/>
      <c r="AJ20" s="1036"/>
      <c r="AK20" s="678"/>
      <c r="AN20" s="679">
        <v>0</v>
      </c>
      <c r="AO20" s="697" t="s">
        <v>4828</v>
      </c>
      <c r="AP20" s="700">
        <v>0</v>
      </c>
      <c r="AQ20" s="700">
        <v>0</v>
      </c>
      <c r="AR20" s="700">
        <v>0</v>
      </c>
      <c r="AS20" s="700">
        <v>0</v>
      </c>
      <c r="AT20" s="700">
        <v>0</v>
      </c>
      <c r="AU20" s="701">
        <f>W20-U20</f>
        <v>0</v>
      </c>
      <c r="AV20" s="749">
        <v>0</v>
      </c>
      <c r="AX20" s="681"/>
    </row>
    <row r="21" spans="1:50" hidden="1" collapsed="1" x14ac:dyDescent="0.25">
      <c r="A21" s="637"/>
      <c r="B21" s="702" t="s">
        <v>4811</v>
      </c>
      <c r="C21" s="692" t="s">
        <v>4829</v>
      </c>
      <c r="D21" s="675"/>
      <c r="E21" s="703" t="s">
        <v>1674</v>
      </c>
      <c r="F21" s="675">
        <v>0</v>
      </c>
      <c r="G21" s="703" t="s">
        <v>1674</v>
      </c>
      <c r="H21" s="704"/>
      <c r="I21" s="750">
        <v>0</v>
      </c>
      <c r="J21" s="675"/>
      <c r="K21" s="703">
        <v>0</v>
      </c>
      <c r="L21" s="704"/>
      <c r="M21" s="750">
        <v>0</v>
      </c>
      <c r="N21" s="675"/>
      <c r="O21" s="703">
        <v>0</v>
      </c>
      <c r="P21" s="704"/>
      <c r="Q21" s="750">
        <v>0</v>
      </c>
      <c r="R21" s="675"/>
      <c r="S21" s="703">
        <v>0</v>
      </c>
      <c r="T21" s="704"/>
      <c r="U21" s="750">
        <v>0</v>
      </c>
      <c r="V21" s="675"/>
      <c r="W21" s="703">
        <v>0</v>
      </c>
      <c r="X21" s="704"/>
      <c r="Y21" s="750">
        <v>0</v>
      </c>
      <c r="Z21" s="742"/>
      <c r="AA21" s="703">
        <v>0</v>
      </c>
      <c r="AB21" s="751"/>
      <c r="AC21" s="750">
        <v>0</v>
      </c>
      <c r="AD21" s="675">
        <v>0</v>
      </c>
      <c r="AE21" s="703">
        <v>0</v>
      </c>
      <c r="AF21" s="1037"/>
      <c r="AG21" s="1039"/>
      <c r="AH21" s="1037"/>
      <c r="AI21" s="1045"/>
      <c r="AJ21" s="1037"/>
      <c r="AK21" s="683"/>
      <c r="AN21" s="691" t="s">
        <v>4811</v>
      </c>
      <c r="AO21" s="705" t="s">
        <v>4829</v>
      </c>
      <c r="AP21" s="706"/>
      <c r="AQ21" s="706"/>
      <c r="AR21" s="706"/>
      <c r="AS21" s="706"/>
      <c r="AT21" s="706"/>
      <c r="AU21" s="646"/>
      <c r="AV21" s="646"/>
      <c r="AX21" s="657"/>
    </row>
    <row r="22" spans="1:50" ht="15" x14ac:dyDescent="0.25">
      <c r="A22" s="637"/>
      <c r="B22" s="638" t="s">
        <v>4830</v>
      </c>
      <c r="C22" s="639" t="s">
        <v>4831</v>
      </c>
      <c r="D22" s="640">
        <v>0</v>
      </c>
      <c r="E22" s="641" t="s">
        <v>1674</v>
      </c>
      <c r="F22" s="640">
        <v>337440</v>
      </c>
      <c r="G22" s="641" t="s">
        <v>1674</v>
      </c>
      <c r="H22" s="642">
        <v>3262768.7600000007</v>
      </c>
      <c r="I22" s="734">
        <v>0.29239330660505414</v>
      </c>
      <c r="J22" s="640">
        <v>3600208.7600000007</v>
      </c>
      <c r="K22" s="641">
        <v>0.32263302159509516</v>
      </c>
      <c r="L22" s="642">
        <v>4206211.1600000011</v>
      </c>
      <c r="M22" s="734">
        <v>0.29713380275310508</v>
      </c>
      <c r="N22" s="640">
        <v>4543651.1600000011</v>
      </c>
      <c r="O22" s="641">
        <v>0.32097112964589181</v>
      </c>
      <c r="P22" s="642">
        <v>5462526.9900000012</v>
      </c>
      <c r="Q22" s="734">
        <v>0.33274117757223248</v>
      </c>
      <c r="R22" s="640">
        <v>5799966.9900000012</v>
      </c>
      <c r="S22" s="641">
        <v>0.35329580058197146</v>
      </c>
      <c r="T22" s="642">
        <v>3857293.9200000004</v>
      </c>
      <c r="U22" s="734">
        <v>0.24858156854013166</v>
      </c>
      <c r="V22" s="640">
        <v>4194733.92</v>
      </c>
      <c r="W22" s="641">
        <v>0.27032773728637588</v>
      </c>
      <c r="X22" s="642">
        <v>4355091.7599999988</v>
      </c>
      <c r="Y22" s="734">
        <v>0.25596781891096237</v>
      </c>
      <c r="Z22" s="735">
        <v>4767623.0379999988</v>
      </c>
      <c r="AA22" s="641">
        <v>0.27580064576587004</v>
      </c>
      <c r="AB22" s="642">
        <v>3833692.0599999987</v>
      </c>
      <c r="AC22" s="734">
        <v>0.25162198607068542</v>
      </c>
      <c r="AD22" s="640">
        <v>4168769.1799999988</v>
      </c>
      <c r="AE22" s="641">
        <v>0.27361456374820642</v>
      </c>
      <c r="AF22" s="640"/>
      <c r="AG22" s="643"/>
      <c r="AH22" s="640"/>
      <c r="AI22" s="643"/>
      <c r="AJ22" s="640"/>
      <c r="AK22" s="643"/>
      <c r="AN22" s="644" t="s">
        <v>4830</v>
      </c>
      <c r="AO22" s="645" t="s">
        <v>4831</v>
      </c>
      <c r="AP22" s="646">
        <v>337440</v>
      </c>
      <c r="AQ22" s="646">
        <v>337440</v>
      </c>
      <c r="AR22" s="646">
        <v>337440</v>
      </c>
      <c r="AS22" s="646">
        <v>337440</v>
      </c>
      <c r="AT22" s="646">
        <v>337440</v>
      </c>
      <c r="AU22" s="646">
        <f>AU15-AU16</f>
        <v>412531.27799999999</v>
      </c>
      <c r="AV22" s="646">
        <v>335077.12</v>
      </c>
      <c r="AX22" s="657"/>
    </row>
    <row r="23" spans="1:50" ht="15" x14ac:dyDescent="0.25">
      <c r="A23" s="637"/>
      <c r="B23" s="684" t="s">
        <v>4832</v>
      </c>
      <c r="C23" s="659" t="s">
        <v>257</v>
      </c>
      <c r="D23" s="685">
        <v>0</v>
      </c>
      <c r="E23" s="686" t="s">
        <v>1674</v>
      </c>
      <c r="F23" s="685">
        <v>0</v>
      </c>
      <c r="G23" s="686" t="s">
        <v>1674</v>
      </c>
      <c r="H23" s="687">
        <v>1572710.0500000003</v>
      </c>
      <c r="I23" s="744">
        <v>0.14093854810921386</v>
      </c>
      <c r="J23" s="685">
        <v>1572710.0500000003</v>
      </c>
      <c r="K23" s="686">
        <v>0.14093854810921386</v>
      </c>
      <c r="L23" s="687">
        <v>1716299.0700000003</v>
      </c>
      <c r="M23" s="744">
        <v>0.12124224151664265</v>
      </c>
      <c r="N23" s="685">
        <v>1716299.0700000003</v>
      </c>
      <c r="O23" s="686">
        <v>0.12124224151664265</v>
      </c>
      <c r="P23" s="687">
        <v>2216102.9700000002</v>
      </c>
      <c r="Q23" s="744">
        <v>0.13499040155023961</v>
      </c>
      <c r="R23" s="685">
        <v>2210585.9300000002</v>
      </c>
      <c r="S23" s="686">
        <v>0.13465433979902561</v>
      </c>
      <c r="T23" s="687">
        <v>2262133.9300000002</v>
      </c>
      <c r="U23" s="744">
        <v>0.14578220177923396</v>
      </c>
      <c r="V23" s="685">
        <v>2160154.9</v>
      </c>
      <c r="W23" s="686">
        <v>0.13921020914362967</v>
      </c>
      <c r="X23" s="687">
        <v>2594750.9899999998</v>
      </c>
      <c r="Y23" s="744">
        <v>0.15250488121227565</v>
      </c>
      <c r="Z23" s="745">
        <v>2415543.2000000002</v>
      </c>
      <c r="AA23" s="686">
        <v>0.14197205442789726</v>
      </c>
      <c r="AB23" s="687">
        <v>2517117.2200000002</v>
      </c>
      <c r="AC23" s="744">
        <v>0.16520941801181668</v>
      </c>
      <c r="AD23" s="685">
        <v>2365824.3600000003</v>
      </c>
      <c r="AE23" s="686">
        <v>0.15527940555497002</v>
      </c>
      <c r="AF23" s="685"/>
      <c r="AG23" s="688"/>
      <c r="AH23" s="685"/>
      <c r="AI23" s="688"/>
      <c r="AJ23" s="685"/>
      <c r="AK23" s="688"/>
      <c r="AN23" s="658" t="s">
        <v>4832</v>
      </c>
      <c r="AO23" s="693" t="s">
        <v>257</v>
      </c>
      <c r="AP23" s="680">
        <v>0</v>
      </c>
      <c r="AQ23" s="680">
        <v>0</v>
      </c>
      <c r="AR23" s="680">
        <v>0</v>
      </c>
      <c r="AS23" s="680">
        <v>-5517.04</v>
      </c>
      <c r="AT23" s="680">
        <v>-101979.03</v>
      </c>
      <c r="AU23" s="680">
        <f>SUM(AU24:AU34)</f>
        <v>-179207.79</v>
      </c>
      <c r="AV23" s="680">
        <f>SUM(AV24:AV34)</f>
        <v>-151292.86000000002</v>
      </c>
      <c r="AX23" s="681"/>
    </row>
    <row r="24" spans="1:50" ht="15" customHeight="1" x14ac:dyDescent="0.25">
      <c r="A24" s="637"/>
      <c r="B24" s="673" t="s">
        <v>4807</v>
      </c>
      <c r="C24" s="690" t="s">
        <v>4762</v>
      </c>
      <c r="D24" s="675"/>
      <c r="E24" s="676" t="s">
        <v>1674</v>
      </c>
      <c r="F24" s="675">
        <v>0</v>
      </c>
      <c r="G24" s="676" t="s">
        <v>1674</v>
      </c>
      <c r="H24" s="677">
        <v>274691.08</v>
      </c>
      <c r="I24" s="741">
        <v>2.4616465058992856E-2</v>
      </c>
      <c r="J24" s="675">
        <v>274691.08</v>
      </c>
      <c r="K24" s="676">
        <v>2.4616465058992856E-2</v>
      </c>
      <c r="L24" s="677">
        <v>277348.40999999997</v>
      </c>
      <c r="M24" s="741">
        <v>1.9592356307386927E-2</v>
      </c>
      <c r="N24" s="675">
        <v>277348.40999999997</v>
      </c>
      <c r="O24" s="676">
        <v>1.9592356307386927E-2</v>
      </c>
      <c r="P24" s="677">
        <v>325493.14</v>
      </c>
      <c r="Q24" s="741">
        <v>1.9826898959685233E-2</v>
      </c>
      <c r="R24" s="675">
        <v>325493.14</v>
      </c>
      <c r="S24" s="676">
        <v>1.9826898959685233E-2</v>
      </c>
      <c r="T24" s="677">
        <v>332591.65000000002</v>
      </c>
      <c r="U24" s="741">
        <v>2.1433719015208071E-2</v>
      </c>
      <c r="V24" s="675">
        <v>332591.65000000002</v>
      </c>
      <c r="W24" s="676">
        <v>2.1433719015208071E-2</v>
      </c>
      <c r="X24" s="677">
        <v>402595.02</v>
      </c>
      <c r="Y24" s="741">
        <v>2.3662272772368709E-2</v>
      </c>
      <c r="Z24" s="742">
        <v>402595.02</v>
      </c>
      <c r="AA24" s="676">
        <v>2.3662272772368709E-2</v>
      </c>
      <c r="AB24" s="677">
        <v>344876.68</v>
      </c>
      <c r="AC24" s="741">
        <v>2.2635765683033045E-2</v>
      </c>
      <c r="AD24" s="675">
        <v>344876.68</v>
      </c>
      <c r="AE24" s="676">
        <v>2.2635765683033045E-2</v>
      </c>
      <c r="AF24" s="1036"/>
      <c r="AG24" s="1038"/>
      <c r="AH24" s="1036"/>
      <c r="AI24" s="1044"/>
      <c r="AJ24" s="1036"/>
      <c r="AK24" s="1044"/>
      <c r="AN24" s="679" t="s">
        <v>4807</v>
      </c>
      <c r="AO24" s="694" t="s">
        <v>4762</v>
      </c>
      <c r="AP24" s="680"/>
      <c r="AQ24" s="680"/>
      <c r="AR24" s="680"/>
      <c r="AS24" s="680"/>
      <c r="AT24" s="680"/>
      <c r="AU24" s="680"/>
      <c r="AV24" s="680"/>
      <c r="AX24" s="681"/>
    </row>
    <row r="25" spans="1:50" x14ac:dyDescent="0.25">
      <c r="A25" s="637"/>
      <c r="B25" s="673" t="s">
        <v>4809</v>
      </c>
      <c r="C25" s="690" t="s">
        <v>4833</v>
      </c>
      <c r="D25" s="675"/>
      <c r="E25" s="676" t="s">
        <v>1674</v>
      </c>
      <c r="F25" s="675">
        <v>0</v>
      </c>
      <c r="G25" s="676" t="s">
        <v>1674</v>
      </c>
      <c r="H25" s="677">
        <v>35207.89</v>
      </c>
      <c r="I25" s="741">
        <v>3.1551581288546534E-3</v>
      </c>
      <c r="J25" s="675">
        <v>35207.89</v>
      </c>
      <c r="K25" s="676">
        <v>3.1551581288546534E-3</v>
      </c>
      <c r="L25" s="677">
        <v>38774.26</v>
      </c>
      <c r="M25" s="741">
        <v>2.7390786825684729E-3</v>
      </c>
      <c r="N25" s="675">
        <v>38774.26</v>
      </c>
      <c r="O25" s="676">
        <v>2.7390786825684729E-3</v>
      </c>
      <c r="P25" s="677">
        <v>62466.09</v>
      </c>
      <c r="Q25" s="741">
        <v>3.8050229102727143E-3</v>
      </c>
      <c r="R25" s="675">
        <v>62466.09</v>
      </c>
      <c r="S25" s="676">
        <v>3.8050229102727143E-3</v>
      </c>
      <c r="T25" s="677">
        <v>73243.100000000006</v>
      </c>
      <c r="U25" s="741">
        <v>4.7201185754446517E-3</v>
      </c>
      <c r="V25" s="675">
        <v>73243.100000000006</v>
      </c>
      <c r="W25" s="676">
        <v>4.7201185754446517E-3</v>
      </c>
      <c r="X25" s="677">
        <v>69683.399999999994</v>
      </c>
      <c r="Y25" s="741">
        <v>4.0955986452740458E-3</v>
      </c>
      <c r="Z25" s="742">
        <v>69683.399999999994</v>
      </c>
      <c r="AA25" s="676">
        <v>4.0955986452740458E-3</v>
      </c>
      <c r="AB25" s="677">
        <v>69770.789999999994</v>
      </c>
      <c r="AC25" s="741">
        <v>4.5793622635201224E-3</v>
      </c>
      <c r="AD25" s="675">
        <v>69770.789999999994</v>
      </c>
      <c r="AE25" s="676">
        <v>4.5793622635201224E-3</v>
      </c>
      <c r="AF25" s="1036"/>
      <c r="AG25" s="1038"/>
      <c r="AH25" s="1036"/>
      <c r="AI25" s="1044"/>
      <c r="AJ25" s="1036"/>
      <c r="AK25" s="1044"/>
      <c r="AN25" s="679" t="s">
        <v>4809</v>
      </c>
      <c r="AO25" s="694" t="s">
        <v>4833</v>
      </c>
      <c r="AP25" s="680"/>
      <c r="AQ25" s="680"/>
      <c r="AR25" s="680"/>
      <c r="AS25" s="680"/>
      <c r="AT25" s="680"/>
      <c r="AU25" s="680"/>
      <c r="AV25" s="680"/>
      <c r="AX25" s="681"/>
    </row>
    <row r="26" spans="1:50" ht="14.25" customHeight="1" x14ac:dyDescent="0.25">
      <c r="A26" s="637"/>
      <c r="B26" s="673" t="s">
        <v>4811</v>
      </c>
      <c r="C26" s="690" t="s">
        <v>448</v>
      </c>
      <c r="D26" s="675"/>
      <c r="E26" s="676" t="s">
        <v>1674</v>
      </c>
      <c r="F26" s="675">
        <v>0</v>
      </c>
      <c r="G26" s="676" t="s">
        <v>1674</v>
      </c>
      <c r="H26" s="677">
        <v>125782.88</v>
      </c>
      <c r="I26" s="741">
        <v>1.1272043746522424E-2</v>
      </c>
      <c r="J26" s="675">
        <v>125782.88</v>
      </c>
      <c r="K26" s="676">
        <v>1.1272043746522424E-2</v>
      </c>
      <c r="L26" s="677">
        <v>189573.68</v>
      </c>
      <c r="M26" s="741">
        <v>1.3391802336499968E-2</v>
      </c>
      <c r="N26" s="675">
        <v>189573.68</v>
      </c>
      <c r="O26" s="676">
        <v>1.3391802336499968E-2</v>
      </c>
      <c r="P26" s="677">
        <v>117492.03</v>
      </c>
      <c r="Q26" s="741">
        <v>7.1568408703738158E-3</v>
      </c>
      <c r="R26" s="675">
        <v>117492.03</v>
      </c>
      <c r="S26" s="676">
        <v>7.1568408703738158E-3</v>
      </c>
      <c r="T26" s="677">
        <v>124281.49</v>
      </c>
      <c r="U26" s="741">
        <v>8.0092646205982363E-3</v>
      </c>
      <c r="V26" s="675">
        <v>124281.49</v>
      </c>
      <c r="W26" s="676">
        <v>8.0092646205982363E-3</v>
      </c>
      <c r="X26" s="677">
        <v>133312.81</v>
      </c>
      <c r="Y26" s="741">
        <v>7.8353777805571529E-3</v>
      </c>
      <c r="Z26" s="742">
        <v>133312.81</v>
      </c>
      <c r="AA26" s="676">
        <v>7.8353777805571529E-3</v>
      </c>
      <c r="AB26" s="677">
        <v>112533.49</v>
      </c>
      <c r="AC26" s="741">
        <v>7.3860653933862461E-3</v>
      </c>
      <c r="AD26" s="675">
        <v>112533.49</v>
      </c>
      <c r="AE26" s="676">
        <v>7.3860653933862461E-3</v>
      </c>
      <c r="AF26" s="1042"/>
      <c r="AG26" s="1038"/>
      <c r="AH26" s="1036"/>
      <c r="AI26" s="1044"/>
      <c r="AJ26" s="1036"/>
      <c r="AK26" s="1044"/>
      <c r="AN26" s="679" t="s">
        <v>4811</v>
      </c>
      <c r="AO26" s="694" t="s">
        <v>448</v>
      </c>
      <c r="AP26" s="680"/>
      <c r="AQ26" s="680"/>
      <c r="AR26" s="680"/>
      <c r="AS26" s="680"/>
      <c r="AT26" s="680"/>
      <c r="AU26" s="680"/>
      <c r="AV26" s="680"/>
      <c r="AX26" s="681"/>
    </row>
    <row r="27" spans="1:50" ht="14.25" customHeight="1" x14ac:dyDescent="0.25">
      <c r="A27" s="637"/>
      <c r="B27" s="673" t="s">
        <v>4813</v>
      </c>
      <c r="C27" s="690" t="s">
        <v>446</v>
      </c>
      <c r="D27" s="675"/>
      <c r="E27" s="676" t="s">
        <v>1674</v>
      </c>
      <c r="F27" s="675">
        <v>0</v>
      </c>
      <c r="G27" s="676" t="s">
        <v>1674</v>
      </c>
      <c r="H27" s="677">
        <v>150852.5</v>
      </c>
      <c r="I27" s="741">
        <v>1.3518659926313296E-2</v>
      </c>
      <c r="J27" s="675">
        <v>150852.5</v>
      </c>
      <c r="K27" s="676">
        <v>1.3518659926313296E-2</v>
      </c>
      <c r="L27" s="677">
        <v>172527.15</v>
      </c>
      <c r="M27" s="741">
        <v>1.2187606900281096E-2</v>
      </c>
      <c r="N27" s="675">
        <v>172527.15</v>
      </c>
      <c r="O27" s="676">
        <v>1.2187606900281096E-2</v>
      </c>
      <c r="P27" s="677">
        <v>184667.53</v>
      </c>
      <c r="Q27" s="741">
        <v>1.1248730029900605E-2</v>
      </c>
      <c r="R27" s="675">
        <v>184667.53</v>
      </c>
      <c r="S27" s="676">
        <v>1.1248730029900605E-2</v>
      </c>
      <c r="T27" s="677">
        <v>194668.08</v>
      </c>
      <c r="U27" s="741">
        <v>1.2545296696264158E-2</v>
      </c>
      <c r="V27" s="675">
        <v>194668.08</v>
      </c>
      <c r="W27" s="676">
        <v>1.2545296696264158E-2</v>
      </c>
      <c r="X27" s="677">
        <v>246061.81</v>
      </c>
      <c r="Y27" s="741">
        <v>1.4462130373800355E-2</v>
      </c>
      <c r="Z27" s="742">
        <v>246061.81</v>
      </c>
      <c r="AA27" s="676">
        <v>1.4462130373800355E-2</v>
      </c>
      <c r="AB27" s="677">
        <v>239949.03</v>
      </c>
      <c r="AC27" s="741">
        <v>1.5748904851876522E-2</v>
      </c>
      <c r="AD27" s="675">
        <v>239949.03</v>
      </c>
      <c r="AE27" s="676">
        <v>1.5748904851876522E-2</v>
      </c>
      <c r="AF27" s="1042"/>
      <c r="AG27" s="1038"/>
      <c r="AH27" s="1036"/>
      <c r="AI27" s="1044"/>
      <c r="AJ27" s="1036"/>
      <c r="AK27" s="1044"/>
      <c r="AN27" s="679" t="s">
        <v>4813</v>
      </c>
      <c r="AO27" s="694" t="s">
        <v>446</v>
      </c>
      <c r="AP27" s="680"/>
      <c r="AQ27" s="680"/>
      <c r="AR27" s="680"/>
      <c r="AS27" s="680"/>
      <c r="AT27" s="680"/>
      <c r="AU27" s="680"/>
      <c r="AV27" s="680"/>
      <c r="AX27" s="681"/>
    </row>
    <row r="28" spans="1:50" ht="14.25" customHeight="1" x14ac:dyDescent="0.25">
      <c r="A28" s="637"/>
      <c r="B28" s="673" t="s">
        <v>4815</v>
      </c>
      <c r="C28" s="690" t="s">
        <v>444</v>
      </c>
      <c r="D28" s="675"/>
      <c r="E28" s="676" t="s">
        <v>1674</v>
      </c>
      <c r="F28" s="675">
        <v>0</v>
      </c>
      <c r="G28" s="676" t="s">
        <v>1674</v>
      </c>
      <c r="H28" s="677">
        <v>70866.570000000007</v>
      </c>
      <c r="I28" s="741">
        <v>6.3507138428218037E-3</v>
      </c>
      <c r="J28" s="675">
        <v>70866.570000000007</v>
      </c>
      <c r="K28" s="676">
        <v>6.3507138428218037E-3</v>
      </c>
      <c r="L28" s="677">
        <v>84948.66</v>
      </c>
      <c r="M28" s="741">
        <v>6.0009156517431186E-3</v>
      </c>
      <c r="N28" s="675">
        <v>84948.66</v>
      </c>
      <c r="O28" s="676">
        <v>6.0009156517431186E-3</v>
      </c>
      <c r="P28" s="677">
        <v>140851.26</v>
      </c>
      <c r="Q28" s="741">
        <v>8.5797313588985447E-3</v>
      </c>
      <c r="R28" s="675">
        <v>140851.26</v>
      </c>
      <c r="S28" s="676">
        <v>8.5797313588985447E-3</v>
      </c>
      <c r="T28" s="677">
        <v>177419.94</v>
      </c>
      <c r="U28" s="741">
        <v>1.1433748086144299E-2</v>
      </c>
      <c r="V28" s="675">
        <v>145113.19</v>
      </c>
      <c r="W28" s="676">
        <v>9.3517541401310026E-3</v>
      </c>
      <c r="X28" s="677">
        <v>154106.63</v>
      </c>
      <c r="Y28" s="741">
        <v>9.0575216630610546E-3</v>
      </c>
      <c r="Z28" s="742">
        <v>154106.63</v>
      </c>
      <c r="AA28" s="676">
        <v>9.0575216630610546E-3</v>
      </c>
      <c r="AB28" s="677">
        <v>163615.66</v>
      </c>
      <c r="AC28" s="741">
        <v>1.0738811745215137E-2</v>
      </c>
      <c r="AD28" s="675">
        <v>163615.66</v>
      </c>
      <c r="AE28" s="676">
        <v>1.0738811745215137E-2</v>
      </c>
      <c r="AF28" s="1042"/>
      <c r="AG28" s="1038"/>
      <c r="AH28" s="1036"/>
      <c r="AI28" s="1044"/>
      <c r="AJ28" s="1036"/>
      <c r="AK28" s="1044"/>
      <c r="AN28" s="679" t="s">
        <v>4815</v>
      </c>
      <c r="AO28" s="694" t="s">
        <v>444</v>
      </c>
      <c r="AP28" s="680"/>
      <c r="AQ28" s="680"/>
      <c r="AR28" s="680"/>
      <c r="AS28" s="680"/>
      <c r="AT28" s="680">
        <v>-32306.75</v>
      </c>
      <c r="AU28" s="680"/>
      <c r="AV28" s="680"/>
      <c r="AX28" s="761" t="s">
        <v>4872</v>
      </c>
    </row>
    <row r="29" spans="1:50" ht="14.25" customHeight="1" x14ac:dyDescent="0.25">
      <c r="A29" s="637"/>
      <c r="B29" s="673" t="s">
        <v>4835</v>
      </c>
      <c r="C29" s="690" t="s">
        <v>662</v>
      </c>
      <c r="D29" s="675"/>
      <c r="E29" s="676" t="s">
        <v>1674</v>
      </c>
      <c r="F29" s="675">
        <v>0</v>
      </c>
      <c r="G29" s="676" t="s">
        <v>1674</v>
      </c>
      <c r="H29" s="677">
        <v>495811</v>
      </c>
      <c r="I29" s="741">
        <v>4.4432145948693734E-2</v>
      </c>
      <c r="J29" s="675">
        <v>495811</v>
      </c>
      <c r="K29" s="676">
        <v>4.4432145948693734E-2</v>
      </c>
      <c r="L29" s="677">
        <v>296959.71000000002</v>
      </c>
      <c r="M29" s="741">
        <v>2.0977731393009586E-2</v>
      </c>
      <c r="N29" s="675">
        <v>296959.71000000002</v>
      </c>
      <c r="O29" s="676">
        <v>2.0977731393009586E-2</v>
      </c>
      <c r="P29" s="677">
        <v>978741.32</v>
      </c>
      <c r="Q29" s="741">
        <v>5.9618476934134315E-2</v>
      </c>
      <c r="R29" s="675">
        <v>978741.32</v>
      </c>
      <c r="S29" s="676">
        <v>5.9618476934134315E-2</v>
      </c>
      <c r="T29" s="677">
        <v>285427.81</v>
      </c>
      <c r="U29" s="741">
        <v>1.8394266598894458E-2</v>
      </c>
      <c r="V29" s="675">
        <v>285427.81</v>
      </c>
      <c r="W29" s="676">
        <v>1.8394266598894458E-2</v>
      </c>
      <c r="X29" s="677">
        <v>301383.43</v>
      </c>
      <c r="Y29" s="741">
        <v>1.7713624300996295E-2</v>
      </c>
      <c r="Z29" s="742">
        <v>301383.43</v>
      </c>
      <c r="AA29" s="676">
        <v>1.7713624300996295E-2</v>
      </c>
      <c r="AB29" s="677">
        <v>355587.84000000003</v>
      </c>
      <c r="AC29" s="741">
        <v>2.3338785985691599E-2</v>
      </c>
      <c r="AD29" s="675">
        <v>355587.84000000003</v>
      </c>
      <c r="AE29" s="676">
        <v>2.3338785985691599E-2</v>
      </c>
      <c r="AF29" s="1042"/>
      <c r="AG29" s="1038"/>
      <c r="AH29" s="1036"/>
      <c r="AI29" s="1044"/>
      <c r="AJ29" s="1036"/>
      <c r="AK29" s="1044"/>
      <c r="AN29" s="679" t="s">
        <v>4835</v>
      </c>
      <c r="AO29" s="694" t="s">
        <v>662</v>
      </c>
      <c r="AP29" s="680"/>
      <c r="AQ29" s="680"/>
      <c r="AR29" s="680"/>
      <c r="AS29" s="680"/>
      <c r="AT29" s="680"/>
      <c r="AU29" s="680"/>
      <c r="AV29" s="680"/>
      <c r="AX29" s="681"/>
    </row>
    <row r="30" spans="1:50" ht="14.25" customHeight="1" x14ac:dyDescent="0.25">
      <c r="A30" s="637"/>
      <c r="B30" s="673" t="s">
        <v>4836</v>
      </c>
      <c r="C30" s="690" t="s">
        <v>4837</v>
      </c>
      <c r="D30" s="675"/>
      <c r="E30" s="676" t="s">
        <v>1674</v>
      </c>
      <c r="F30" s="675">
        <v>0</v>
      </c>
      <c r="G30" s="676" t="s">
        <v>1674</v>
      </c>
      <c r="H30" s="677">
        <v>9447.11</v>
      </c>
      <c r="I30" s="741">
        <v>8.4660358546576032E-4</v>
      </c>
      <c r="J30" s="675">
        <v>9447.11</v>
      </c>
      <c r="K30" s="676">
        <v>8.4660358546576032E-4</v>
      </c>
      <c r="L30" s="677">
        <v>16732.11</v>
      </c>
      <c r="M30" s="741">
        <v>1.1819842806900962E-3</v>
      </c>
      <c r="N30" s="675">
        <v>16732.11</v>
      </c>
      <c r="O30" s="676">
        <v>1.1819842806900962E-3</v>
      </c>
      <c r="P30" s="677">
        <v>20614.95</v>
      </c>
      <c r="Q30" s="741">
        <v>1.2557270199579724E-3</v>
      </c>
      <c r="R30" s="675">
        <v>20614.95</v>
      </c>
      <c r="S30" s="676">
        <v>1.2557270199579724E-3</v>
      </c>
      <c r="T30" s="677">
        <v>8739.2900000000009</v>
      </c>
      <c r="U30" s="741">
        <v>5.6319960604067404E-4</v>
      </c>
      <c r="V30" s="675">
        <v>8739.2900000000009</v>
      </c>
      <c r="W30" s="676">
        <v>5.6319960604067404E-4</v>
      </c>
      <c r="X30" s="677">
        <v>20387.509999999998</v>
      </c>
      <c r="Y30" s="741">
        <v>1.1982632640845749E-3</v>
      </c>
      <c r="Z30" s="742">
        <v>20387.509999999998</v>
      </c>
      <c r="AA30" s="676">
        <v>1.1982632640845749E-3</v>
      </c>
      <c r="AB30" s="677">
        <v>4452.6499999999996</v>
      </c>
      <c r="AC30" s="741">
        <v>2.9224690422256756E-4</v>
      </c>
      <c r="AD30" s="675">
        <v>4452.6499999999996</v>
      </c>
      <c r="AE30" s="676">
        <v>2.9224690422256756E-4</v>
      </c>
      <c r="AF30" s="1042"/>
      <c r="AG30" s="1038"/>
      <c r="AH30" s="1036"/>
      <c r="AI30" s="1044"/>
      <c r="AJ30" s="1036"/>
      <c r="AK30" s="1044"/>
      <c r="AN30" s="679" t="s">
        <v>4836</v>
      </c>
      <c r="AO30" s="694" t="s">
        <v>4837</v>
      </c>
      <c r="AP30" s="680"/>
      <c r="AQ30" s="680"/>
      <c r="AR30" s="680"/>
      <c r="AS30" s="680"/>
      <c r="AT30" s="680"/>
      <c r="AU30" s="680"/>
      <c r="AV30" s="680"/>
      <c r="AX30" s="681"/>
    </row>
    <row r="31" spans="1:50" ht="13.9" customHeight="1" x14ac:dyDescent="0.25">
      <c r="A31" s="637"/>
      <c r="B31" s="673" t="s">
        <v>4838</v>
      </c>
      <c r="C31" s="690" t="s">
        <v>4839</v>
      </c>
      <c r="D31" s="675"/>
      <c r="E31" s="676" t="s">
        <v>1674</v>
      </c>
      <c r="F31" s="675">
        <v>0</v>
      </c>
      <c r="G31" s="676" t="s">
        <v>1674</v>
      </c>
      <c r="H31" s="677">
        <v>138</v>
      </c>
      <c r="I31" s="741">
        <v>1.2366882019397987E-5</v>
      </c>
      <c r="J31" s="675">
        <v>138</v>
      </c>
      <c r="K31" s="676">
        <v>1.2366882019397987E-5</v>
      </c>
      <c r="L31" s="677">
        <v>1406</v>
      </c>
      <c r="M31" s="741">
        <v>9.9322195386611454E-5</v>
      </c>
      <c r="N31" s="675">
        <v>1406</v>
      </c>
      <c r="O31" s="676">
        <v>9.9322195386611454E-5</v>
      </c>
      <c r="P31" s="677">
        <v>2686</v>
      </c>
      <c r="Q31" s="741">
        <v>1.6361343469700938E-4</v>
      </c>
      <c r="R31" s="675">
        <v>2686</v>
      </c>
      <c r="S31" s="676">
        <v>1.6361343469700938E-4</v>
      </c>
      <c r="T31" s="677">
        <v>1356</v>
      </c>
      <c r="U31" s="741">
        <v>8.7386808973172176E-5</v>
      </c>
      <c r="V31" s="675">
        <v>1356</v>
      </c>
      <c r="W31" s="676">
        <v>8.7386808973172176E-5</v>
      </c>
      <c r="X31" s="677">
        <v>706</v>
      </c>
      <c r="Y31" s="741">
        <v>4.1494712421659629E-5</v>
      </c>
      <c r="Z31" s="742">
        <v>706</v>
      </c>
      <c r="AA31" s="676">
        <v>4.1494712421659629E-5</v>
      </c>
      <c r="AB31" s="743">
        <v>406</v>
      </c>
      <c r="AC31" s="741">
        <v>2.6647556649267839E-5</v>
      </c>
      <c r="AD31" s="675">
        <v>406</v>
      </c>
      <c r="AE31" s="676">
        <v>2.6647556649267839E-5</v>
      </c>
      <c r="AF31" s="1042"/>
      <c r="AG31" s="1038"/>
      <c r="AH31" s="1036"/>
      <c r="AI31" s="1044"/>
      <c r="AJ31" s="1036"/>
      <c r="AK31" s="1044"/>
      <c r="AN31" s="679" t="s">
        <v>4838</v>
      </c>
      <c r="AO31" s="694" t="s">
        <v>4839</v>
      </c>
      <c r="AP31" s="680"/>
      <c r="AQ31" s="680"/>
      <c r="AR31" s="680"/>
      <c r="AS31" s="680"/>
      <c r="AT31" s="680"/>
      <c r="AU31" s="680"/>
      <c r="AV31" s="680"/>
      <c r="AX31" s="681"/>
    </row>
    <row r="32" spans="1:50" ht="63.75" x14ac:dyDescent="0.25">
      <c r="A32" s="637"/>
      <c r="B32" s="673" t="s">
        <v>4840</v>
      </c>
      <c r="C32" s="690" t="s">
        <v>442</v>
      </c>
      <c r="D32" s="675"/>
      <c r="E32" s="676" t="s">
        <v>1674</v>
      </c>
      <c r="F32" s="675">
        <v>0</v>
      </c>
      <c r="G32" s="676" t="s">
        <v>1674</v>
      </c>
      <c r="H32" s="677">
        <v>361356.3</v>
      </c>
      <c r="I32" s="741">
        <v>3.2382976297581051E-2</v>
      </c>
      <c r="J32" s="675">
        <v>361356.3</v>
      </c>
      <c r="K32" s="676">
        <v>3.2382976297581051E-2</v>
      </c>
      <c r="L32" s="677">
        <v>632410.09</v>
      </c>
      <c r="M32" s="741">
        <v>4.4674508195906494E-2</v>
      </c>
      <c r="N32" s="675">
        <v>632410.09</v>
      </c>
      <c r="O32" s="676">
        <v>4.4674508195906494E-2</v>
      </c>
      <c r="P32" s="677">
        <v>341112.15</v>
      </c>
      <c r="Q32" s="741">
        <v>2.0778306209375083E-2</v>
      </c>
      <c r="R32" s="675">
        <v>335595.11000000004</v>
      </c>
      <c r="S32" s="676">
        <v>2.0442244458161091E-2</v>
      </c>
      <c r="T32" s="677">
        <v>1005202.57</v>
      </c>
      <c r="U32" s="741">
        <v>6.4779826669566179E-2</v>
      </c>
      <c r="V32" s="675">
        <v>935530.28999999992</v>
      </c>
      <c r="W32" s="676">
        <v>6.0289827979975195E-2</v>
      </c>
      <c r="X32" s="677">
        <v>1223979.98</v>
      </c>
      <c r="Y32" s="741">
        <v>7.1938664702505248E-2</v>
      </c>
      <c r="Z32" s="742">
        <v>1066602.5899999999</v>
      </c>
      <c r="AA32" s="676">
        <v>6.2688906147659096E-2</v>
      </c>
      <c r="AB32" s="743">
        <v>1216238.1800000002</v>
      </c>
      <c r="AC32" s="741">
        <v>7.9827033991508423E-2</v>
      </c>
      <c r="AD32" s="675">
        <v>1064945.32</v>
      </c>
      <c r="AE32" s="676">
        <v>6.9897021534661735E-2</v>
      </c>
      <c r="AF32" s="1042"/>
      <c r="AG32" s="1038"/>
      <c r="AH32" s="1036"/>
      <c r="AI32" s="1044"/>
      <c r="AJ32" s="1036"/>
      <c r="AK32" s="1044"/>
      <c r="AN32" s="679" t="s">
        <v>4840</v>
      </c>
      <c r="AO32" s="694" t="s">
        <v>442</v>
      </c>
      <c r="AP32" s="680"/>
      <c r="AQ32" s="680"/>
      <c r="AR32" s="680"/>
      <c r="AS32" s="680">
        <v>-5517.04</v>
      </c>
      <c r="AT32" s="680">
        <v>-69672.28</v>
      </c>
      <c r="AU32" s="680">
        <f>-152202.5-5174.89</f>
        <v>-157377.39000000001</v>
      </c>
      <c r="AV32" s="753">
        <f>-8178.42-50000-34174.9+40095.46-99035</f>
        <v>-151292.86000000002</v>
      </c>
      <c r="AX32" s="752" t="s">
        <v>4877</v>
      </c>
    </row>
    <row r="33" spans="1:50" ht="14.25" customHeight="1" x14ac:dyDescent="0.25">
      <c r="A33" s="637"/>
      <c r="B33" s="673" t="s">
        <v>4842</v>
      </c>
      <c r="C33" s="690" t="s">
        <v>4843</v>
      </c>
      <c r="D33" s="675"/>
      <c r="E33" s="676" t="s">
        <v>1674</v>
      </c>
      <c r="F33" s="675">
        <v>0</v>
      </c>
      <c r="G33" s="676" t="s">
        <v>1674</v>
      </c>
      <c r="H33" s="677">
        <v>41549.72</v>
      </c>
      <c r="I33" s="741">
        <v>3.723481776659572E-3</v>
      </c>
      <c r="J33" s="675">
        <v>41549.72</v>
      </c>
      <c r="K33" s="676">
        <v>3.723481776659572E-3</v>
      </c>
      <c r="L33" s="677"/>
      <c r="M33" s="741">
        <v>0</v>
      </c>
      <c r="N33" s="675">
        <v>0</v>
      </c>
      <c r="O33" s="676">
        <v>0</v>
      </c>
      <c r="P33" s="677">
        <v>19740.5</v>
      </c>
      <c r="Q33" s="741">
        <v>1.2024612835578234E-3</v>
      </c>
      <c r="R33" s="675">
        <v>19740.5</v>
      </c>
      <c r="S33" s="676">
        <v>1.2024612835578234E-3</v>
      </c>
      <c r="T33" s="677">
        <v>27177</v>
      </c>
      <c r="U33" s="741">
        <v>1.7514095187786875E-3</v>
      </c>
      <c r="V33" s="675">
        <v>27177</v>
      </c>
      <c r="W33" s="676">
        <v>1.7514095187786875E-3</v>
      </c>
      <c r="X33" s="677">
        <v>3881</v>
      </c>
      <c r="Y33" s="741">
        <v>2.2810336955872665E-4</v>
      </c>
      <c r="Z33" s="742">
        <v>3881</v>
      </c>
      <c r="AA33" s="676">
        <v>2.2810336955872665E-4</v>
      </c>
      <c r="AB33" s="677">
        <v>2774.9</v>
      </c>
      <c r="AC33" s="741">
        <v>1.821288299163875E-4</v>
      </c>
      <c r="AD33" s="675">
        <v>2774.9</v>
      </c>
      <c r="AE33" s="676">
        <v>1.821288299163875E-4</v>
      </c>
      <c r="AF33" s="1042"/>
      <c r="AG33" s="1038"/>
      <c r="AH33" s="1036"/>
      <c r="AI33" s="1044"/>
      <c r="AJ33" s="1036"/>
      <c r="AK33" s="1044"/>
      <c r="AN33" s="679" t="s">
        <v>4842</v>
      </c>
      <c r="AO33" s="694" t="s">
        <v>4843</v>
      </c>
      <c r="AP33" s="680"/>
      <c r="AQ33" s="680"/>
      <c r="AR33" s="680"/>
      <c r="AS33" s="680"/>
      <c r="AT33" s="680"/>
      <c r="AU33" s="680"/>
      <c r="AV33" s="753"/>
      <c r="AX33" s="681"/>
    </row>
    <row r="34" spans="1:50" x14ac:dyDescent="0.25">
      <c r="A34" s="637"/>
      <c r="B34" s="702" t="s">
        <v>4844</v>
      </c>
      <c r="C34" s="707" t="s">
        <v>4845</v>
      </c>
      <c r="D34" s="675"/>
      <c r="E34" s="676" t="s">
        <v>1674</v>
      </c>
      <c r="F34" s="675">
        <v>0</v>
      </c>
      <c r="G34" s="676" t="s">
        <v>1674</v>
      </c>
      <c r="H34" s="704">
        <v>7007</v>
      </c>
      <c r="I34" s="741">
        <v>6.279329152892876E-4</v>
      </c>
      <c r="J34" s="675">
        <v>7007</v>
      </c>
      <c r="K34" s="676">
        <v>6.279329152892876E-4</v>
      </c>
      <c r="L34" s="704">
        <v>5619</v>
      </c>
      <c r="M34" s="741">
        <v>3.9693557317024874E-4</v>
      </c>
      <c r="N34" s="675">
        <v>5619</v>
      </c>
      <c r="O34" s="676">
        <v>3.9693557317024874E-4</v>
      </c>
      <c r="P34" s="704">
        <v>22238</v>
      </c>
      <c r="Q34" s="741">
        <v>1.3545925393864836E-3</v>
      </c>
      <c r="R34" s="675">
        <v>22238</v>
      </c>
      <c r="S34" s="676">
        <v>1.3545925393864836E-3</v>
      </c>
      <c r="T34" s="704">
        <v>32027</v>
      </c>
      <c r="U34" s="741">
        <v>2.0639655833213756E-3</v>
      </c>
      <c r="V34" s="675">
        <v>32027</v>
      </c>
      <c r="W34" s="676">
        <v>2.0639655833213756E-3</v>
      </c>
      <c r="X34" s="704">
        <v>38653.4</v>
      </c>
      <c r="Y34" s="741">
        <v>2.2718296276478447E-3</v>
      </c>
      <c r="Z34" s="742">
        <v>16823.000000000007</v>
      </c>
      <c r="AA34" s="676">
        <v>9.8876139811555279E-4</v>
      </c>
      <c r="AB34" s="704">
        <v>6912</v>
      </c>
      <c r="AC34" s="741">
        <v>4.5366480679738741E-4</v>
      </c>
      <c r="AD34" s="675">
        <v>6912</v>
      </c>
      <c r="AE34" s="676">
        <v>4.5366480679738741E-4</v>
      </c>
      <c r="AF34" s="1043"/>
      <c r="AG34" s="1039"/>
      <c r="AH34" s="1037"/>
      <c r="AI34" s="1045"/>
      <c r="AJ34" s="1037"/>
      <c r="AK34" s="1045"/>
      <c r="AN34" s="679" t="s">
        <v>4844</v>
      </c>
      <c r="AO34" s="694" t="s">
        <v>4845</v>
      </c>
      <c r="AP34" s="646"/>
      <c r="AQ34" s="646"/>
      <c r="AR34" s="646"/>
      <c r="AS34" s="646"/>
      <c r="AT34" s="646"/>
      <c r="AU34" s="646">
        <f>-102680+80849.6</f>
        <v>-21830.399999999994</v>
      </c>
      <c r="AV34" s="646"/>
      <c r="AX34" s="760" t="s">
        <v>4873</v>
      </c>
    </row>
    <row r="35" spans="1:50" ht="15" x14ac:dyDescent="0.25">
      <c r="A35" s="637"/>
      <c r="B35" s="684" t="s">
        <v>4847</v>
      </c>
      <c r="C35" s="659" t="s">
        <v>225</v>
      </c>
      <c r="D35" s="685">
        <v>0</v>
      </c>
      <c r="E35" s="686" t="s">
        <v>1674</v>
      </c>
      <c r="F35" s="685">
        <v>337440</v>
      </c>
      <c r="G35" s="686" t="s">
        <v>1674</v>
      </c>
      <c r="H35" s="687">
        <v>1690058.7100000004</v>
      </c>
      <c r="I35" s="744">
        <v>0.15145475849584031</v>
      </c>
      <c r="J35" s="685">
        <v>2027498.7100000004</v>
      </c>
      <c r="K35" s="686">
        <v>0.1816944734858813</v>
      </c>
      <c r="L35" s="687">
        <v>2489912.0900000008</v>
      </c>
      <c r="M35" s="744">
        <v>0.17589156123646241</v>
      </c>
      <c r="N35" s="685">
        <v>2827352.0900000008</v>
      </c>
      <c r="O35" s="686">
        <v>0.19972888812924916</v>
      </c>
      <c r="P35" s="687">
        <v>3246424.0200000009</v>
      </c>
      <c r="Q35" s="744">
        <v>0.19775077602199287</v>
      </c>
      <c r="R35" s="685">
        <v>3589381.060000001</v>
      </c>
      <c r="S35" s="686">
        <v>0.21864146078294583</v>
      </c>
      <c r="T35" s="687">
        <v>1595159.9900000002</v>
      </c>
      <c r="U35" s="744">
        <v>0.10279936676089768</v>
      </c>
      <c r="V35" s="685">
        <v>2034579.02</v>
      </c>
      <c r="W35" s="686">
        <v>0.13111752814274621</v>
      </c>
      <c r="X35" s="687">
        <v>1760340.7699999991</v>
      </c>
      <c r="Y35" s="744">
        <v>0.10346293769868674</v>
      </c>
      <c r="Z35" s="745">
        <v>2352079.8379999986</v>
      </c>
      <c r="AA35" s="686">
        <v>0.13382859133797281</v>
      </c>
      <c r="AB35" s="687">
        <v>1316574.8399999985</v>
      </c>
      <c r="AC35" s="744">
        <v>8.6412568058868711E-2</v>
      </c>
      <c r="AD35" s="685">
        <v>1802944.8199999984</v>
      </c>
      <c r="AE35" s="686">
        <v>0.11833515819323635</v>
      </c>
      <c r="AF35" s="685"/>
      <c r="AG35" s="688"/>
      <c r="AH35" s="685"/>
      <c r="AI35" s="688"/>
      <c r="AJ35" s="685"/>
      <c r="AK35" s="688"/>
      <c r="AN35" s="658" t="s">
        <v>4847</v>
      </c>
      <c r="AO35" s="693" t="s">
        <v>225</v>
      </c>
      <c r="AP35" s="646">
        <v>337440</v>
      </c>
      <c r="AQ35" s="646">
        <v>337440</v>
      </c>
      <c r="AR35" s="646">
        <v>337440</v>
      </c>
      <c r="AS35" s="646">
        <v>342957.04</v>
      </c>
      <c r="AT35" s="646">
        <v>439419.03</v>
      </c>
      <c r="AU35" s="646">
        <f>AU22-AU23</f>
        <v>591739.06799999997</v>
      </c>
      <c r="AV35" s="646">
        <f>AV22-AV23</f>
        <v>486369.98</v>
      </c>
      <c r="AX35" s="657"/>
    </row>
    <row r="36" spans="1:50" x14ac:dyDescent="0.25">
      <c r="A36" s="637"/>
      <c r="B36" s="648" t="s">
        <v>4848</v>
      </c>
      <c r="C36" s="708" t="s">
        <v>255</v>
      </c>
      <c r="D36" s="650"/>
      <c r="E36" s="651" t="s">
        <v>1674</v>
      </c>
      <c r="F36" s="650">
        <v>0</v>
      </c>
      <c r="G36" s="651" t="s">
        <v>1674</v>
      </c>
      <c r="H36" s="652">
        <v>214780.39</v>
      </c>
      <c r="I36" s="736">
        <v>1.9247563356596286E-2</v>
      </c>
      <c r="J36" s="650">
        <v>214780.39</v>
      </c>
      <c r="K36" s="651">
        <v>1.9247563356596286E-2</v>
      </c>
      <c r="L36" s="652">
        <v>332417.98</v>
      </c>
      <c r="M36" s="736">
        <v>2.3482562986900921E-2</v>
      </c>
      <c r="N36" s="650">
        <v>332417.98</v>
      </c>
      <c r="O36" s="651">
        <v>2.3482562986900921E-2</v>
      </c>
      <c r="P36" s="652">
        <v>355341.7</v>
      </c>
      <c r="Q36" s="736">
        <v>2.1645076704420813E-2</v>
      </c>
      <c r="R36" s="650">
        <v>223585.61000000002</v>
      </c>
      <c r="S36" s="651">
        <v>1.3619363217023832E-2</v>
      </c>
      <c r="T36" s="652">
        <v>324639.92</v>
      </c>
      <c r="U36" s="736">
        <v>2.0921273358485176E-2</v>
      </c>
      <c r="V36" s="650">
        <v>289561.42</v>
      </c>
      <c r="W36" s="651">
        <v>1.8660655232699466E-2</v>
      </c>
      <c r="X36" s="652">
        <v>315719.71000000002</v>
      </c>
      <c r="Y36" s="736">
        <v>1.8556230272379286E-2</v>
      </c>
      <c r="Z36" s="737">
        <v>315719.71000000002</v>
      </c>
      <c r="AA36" s="651">
        <v>1.8556230272379286E-2</v>
      </c>
      <c r="AB36" s="652">
        <v>269583.28000000003</v>
      </c>
      <c r="AC36" s="736">
        <v>1.7693930358363138E-2</v>
      </c>
      <c r="AD36" s="650">
        <v>269583.28000000003</v>
      </c>
      <c r="AE36" s="651">
        <v>1.7693930358363138E-2</v>
      </c>
      <c r="AF36" s="650"/>
      <c r="AG36" s="653"/>
      <c r="AH36" s="650"/>
      <c r="AI36" s="653"/>
      <c r="AJ36" s="650"/>
      <c r="AK36" s="653"/>
      <c r="AN36" s="654" t="s">
        <v>4848</v>
      </c>
      <c r="AO36" s="709" t="s">
        <v>255</v>
      </c>
      <c r="AP36" s="646"/>
      <c r="AQ36" s="646"/>
      <c r="AR36" s="646"/>
      <c r="AS36" s="646">
        <v>-131756.09</v>
      </c>
      <c r="AT36" s="646">
        <v>-35078.5</v>
      </c>
      <c r="AU36" s="646"/>
      <c r="AV36" s="646"/>
      <c r="AX36" s="657" t="s">
        <v>4849</v>
      </c>
    </row>
    <row r="37" spans="1:50" ht="15" x14ac:dyDescent="0.25">
      <c r="A37" s="637"/>
      <c r="B37" s="638" t="s">
        <v>4850</v>
      </c>
      <c r="C37" s="639" t="s">
        <v>156</v>
      </c>
      <c r="D37" s="640">
        <v>0</v>
      </c>
      <c r="E37" s="641" t="s">
        <v>1674</v>
      </c>
      <c r="F37" s="640">
        <v>337440</v>
      </c>
      <c r="G37" s="641" t="s">
        <v>1674</v>
      </c>
      <c r="H37" s="642">
        <v>1475278.3200000003</v>
      </c>
      <c r="I37" s="734">
        <v>0.132207195139244</v>
      </c>
      <c r="J37" s="640">
        <v>1812718.3200000003</v>
      </c>
      <c r="K37" s="641">
        <v>0.162446910129285</v>
      </c>
      <c r="L37" s="642">
        <v>2157494.1100000008</v>
      </c>
      <c r="M37" s="734">
        <v>0.1524089982495615</v>
      </c>
      <c r="N37" s="640">
        <v>2494934.1100000008</v>
      </c>
      <c r="O37" s="641">
        <v>0.17624632514234825</v>
      </c>
      <c r="P37" s="642">
        <v>2891082.3200000008</v>
      </c>
      <c r="Q37" s="734">
        <v>0.17610569931757206</v>
      </c>
      <c r="R37" s="640">
        <v>3365795.4500000011</v>
      </c>
      <c r="S37" s="641">
        <v>0.20502209756592202</v>
      </c>
      <c r="T37" s="642">
        <v>1270520.0700000003</v>
      </c>
      <c r="U37" s="734">
        <v>8.1878093402412519E-2</v>
      </c>
      <c r="V37" s="640">
        <v>1745017.6</v>
      </c>
      <c r="W37" s="641">
        <v>0.11245687291004675</v>
      </c>
      <c r="X37" s="642">
        <v>1444621.0599999991</v>
      </c>
      <c r="Y37" s="734">
        <v>8.4906707426307459E-2</v>
      </c>
      <c r="Z37" s="735">
        <v>2036360.1279999986</v>
      </c>
      <c r="AA37" s="641">
        <v>0.11527236106559355</v>
      </c>
      <c r="AB37" s="642">
        <v>1046991.5599999984</v>
      </c>
      <c r="AC37" s="734">
        <v>6.8718637700505569E-2</v>
      </c>
      <c r="AD37" s="640">
        <v>1533361.5399999984</v>
      </c>
      <c r="AE37" s="641">
        <v>0.10064122783487323</v>
      </c>
      <c r="AF37" s="640"/>
      <c r="AG37" s="643"/>
      <c r="AH37" s="640"/>
      <c r="AI37" s="643"/>
      <c r="AJ37" s="640"/>
      <c r="AK37" s="643"/>
      <c r="AN37" s="644" t="s">
        <v>4850</v>
      </c>
      <c r="AO37" s="645" t="s">
        <v>156</v>
      </c>
      <c r="AP37" s="646">
        <v>337440</v>
      </c>
      <c r="AQ37" s="646">
        <v>337440</v>
      </c>
      <c r="AR37" s="646">
        <v>337440</v>
      </c>
      <c r="AS37" s="646">
        <v>474713.13</v>
      </c>
      <c r="AT37" s="646">
        <v>474497.53</v>
      </c>
      <c r="AU37" s="646">
        <f>AU35-AU36</f>
        <v>591739.06799999997</v>
      </c>
      <c r="AV37" s="646">
        <f>AV35-AV36</f>
        <v>486369.98</v>
      </c>
      <c r="AX37" s="657"/>
    </row>
    <row r="38" spans="1:50" x14ac:dyDescent="0.25">
      <c r="A38" s="637"/>
      <c r="B38" s="710" t="s">
        <v>4851</v>
      </c>
      <c r="C38" s="711" t="s">
        <v>4852</v>
      </c>
      <c r="D38" s="712"/>
      <c r="E38" s="713" t="s">
        <v>1674</v>
      </c>
      <c r="F38" s="712">
        <v>0</v>
      </c>
      <c r="G38" s="713" t="s">
        <v>1674</v>
      </c>
      <c r="H38" s="714">
        <v>2929.98</v>
      </c>
      <c r="I38" s="754">
        <v>2.6257041289272256E-4</v>
      </c>
      <c r="J38" s="712">
        <v>2929.98</v>
      </c>
      <c r="K38" s="713">
        <v>2.6257041289272256E-4</v>
      </c>
      <c r="L38" s="714">
        <v>10793.19</v>
      </c>
      <c r="M38" s="754">
        <v>7.6244902277725524E-4</v>
      </c>
      <c r="N38" s="712">
        <v>10793.19</v>
      </c>
      <c r="O38" s="713">
        <v>7.6244902277725524E-4</v>
      </c>
      <c r="P38" s="714">
        <v>5336.52</v>
      </c>
      <c r="Q38" s="754">
        <v>3.2506566140330775E-4</v>
      </c>
      <c r="R38" s="712">
        <v>5336.52</v>
      </c>
      <c r="S38" s="713">
        <v>3.2506566140330775E-4</v>
      </c>
      <c r="T38" s="714">
        <v>4425</v>
      </c>
      <c r="U38" s="754">
        <v>2.8516713105183401E-4</v>
      </c>
      <c r="V38" s="712">
        <v>4425</v>
      </c>
      <c r="W38" s="713">
        <v>2.8516713105183401E-4</v>
      </c>
      <c r="X38" s="714">
        <v>3134.66</v>
      </c>
      <c r="Y38" s="754">
        <v>1.8423769863977276E-4</v>
      </c>
      <c r="Z38" s="755">
        <v>3134.66</v>
      </c>
      <c r="AA38" s="713">
        <v>1.8423769863977276E-4</v>
      </c>
      <c r="AB38" s="714">
        <v>2208.5</v>
      </c>
      <c r="AC38" s="754">
        <v>1.4495351935937936E-4</v>
      </c>
      <c r="AD38" s="712">
        <v>2208.5</v>
      </c>
      <c r="AE38" s="713">
        <v>1.4495351935937936E-4</v>
      </c>
      <c r="AF38" s="712"/>
      <c r="AG38" s="715"/>
      <c r="AH38" s="712"/>
      <c r="AI38" s="715"/>
      <c r="AJ38" s="712"/>
      <c r="AK38" s="715"/>
      <c r="AN38" s="716" t="s">
        <v>4851</v>
      </c>
      <c r="AO38" s="717" t="s">
        <v>4852</v>
      </c>
      <c r="AP38" s="680"/>
      <c r="AQ38" s="680"/>
      <c r="AR38" s="680"/>
      <c r="AS38" s="680"/>
      <c r="AT38" s="680"/>
      <c r="AU38" s="680"/>
      <c r="AV38" s="680"/>
      <c r="AX38" s="681"/>
    </row>
    <row r="39" spans="1:50" x14ac:dyDescent="0.25">
      <c r="A39" s="637"/>
      <c r="B39" s="718" t="s">
        <v>4853</v>
      </c>
      <c r="C39" s="674" t="s">
        <v>1151</v>
      </c>
      <c r="D39" s="675"/>
      <c r="E39" s="676" t="s">
        <v>1674</v>
      </c>
      <c r="F39" s="675">
        <v>0</v>
      </c>
      <c r="G39" s="676" t="s">
        <v>1674</v>
      </c>
      <c r="H39" s="677">
        <v>9791.06</v>
      </c>
      <c r="I39" s="741">
        <v>8.7742669467280327E-4</v>
      </c>
      <c r="J39" s="675">
        <v>9791.06</v>
      </c>
      <c r="K39" s="676">
        <v>8.7742669467280327E-4</v>
      </c>
      <c r="L39" s="677">
        <v>5630.67</v>
      </c>
      <c r="M39" s="741">
        <v>3.9775996152029266E-4</v>
      </c>
      <c r="N39" s="675">
        <v>5630.67</v>
      </c>
      <c r="O39" s="676">
        <v>3.9775996152029266E-4</v>
      </c>
      <c r="P39" s="677">
        <v>140827.47999999998</v>
      </c>
      <c r="Q39" s="741">
        <v>8.5782828378720751E-3</v>
      </c>
      <c r="R39" s="675">
        <v>140827.47999999998</v>
      </c>
      <c r="S39" s="676">
        <v>8.5782828378720751E-3</v>
      </c>
      <c r="T39" s="677">
        <v>38768.639999999999</v>
      </c>
      <c r="U39" s="741">
        <v>2.4984275352726267E-3</v>
      </c>
      <c r="V39" s="675">
        <v>38768.639999999999</v>
      </c>
      <c r="W39" s="676">
        <v>2.4984275352726267E-3</v>
      </c>
      <c r="X39" s="677">
        <v>7579.8099999999995</v>
      </c>
      <c r="Y39" s="741">
        <v>4.4549863478869666E-4</v>
      </c>
      <c r="Z39" s="742">
        <v>7579.8099999999995</v>
      </c>
      <c r="AA39" s="676">
        <v>4.4549863478869666E-4</v>
      </c>
      <c r="AB39" s="677">
        <v>3847.48</v>
      </c>
      <c r="AC39" s="741">
        <v>2.525269489086823E-4</v>
      </c>
      <c r="AD39" s="675">
        <v>3847.48</v>
      </c>
      <c r="AE39" s="676">
        <v>2.525269489086823E-4</v>
      </c>
      <c r="AF39" s="675"/>
      <c r="AG39" s="678"/>
      <c r="AH39" s="675"/>
      <c r="AI39" s="678"/>
      <c r="AJ39" s="675"/>
      <c r="AK39" s="678"/>
      <c r="AN39" s="719" t="s">
        <v>4853</v>
      </c>
      <c r="AO39" s="720" t="s">
        <v>1151</v>
      </c>
      <c r="AP39" s="646"/>
      <c r="AQ39" s="646"/>
      <c r="AR39" s="646"/>
      <c r="AS39" s="646"/>
      <c r="AT39" s="646"/>
      <c r="AU39" s="646"/>
      <c r="AV39" s="646"/>
      <c r="AX39" s="657"/>
    </row>
    <row r="40" spans="1:50" ht="15" x14ac:dyDescent="0.25">
      <c r="A40" s="637"/>
      <c r="B40" s="638" t="s">
        <v>4854</v>
      </c>
      <c r="C40" s="639" t="s">
        <v>4855</v>
      </c>
      <c r="D40" s="640">
        <v>0</v>
      </c>
      <c r="E40" s="641" t="s">
        <v>1674</v>
      </c>
      <c r="F40" s="640">
        <v>337440</v>
      </c>
      <c r="G40" s="641" t="s">
        <v>1674</v>
      </c>
      <c r="H40" s="642">
        <v>1468417.2400000002</v>
      </c>
      <c r="I40" s="734">
        <v>0.13159233885746391</v>
      </c>
      <c r="J40" s="640">
        <v>1805857.2400000002</v>
      </c>
      <c r="K40" s="641">
        <v>0.1618320538475049</v>
      </c>
      <c r="L40" s="642">
        <v>2162656.6300000008</v>
      </c>
      <c r="M40" s="734">
        <v>0.15277368731081845</v>
      </c>
      <c r="N40" s="640">
        <v>2500096.6300000008</v>
      </c>
      <c r="O40" s="641">
        <v>0.1766110142036052</v>
      </c>
      <c r="P40" s="642">
        <v>2755591.3600000008</v>
      </c>
      <c r="Q40" s="734">
        <v>0.16785248214110329</v>
      </c>
      <c r="R40" s="640">
        <v>3230304.4900000012</v>
      </c>
      <c r="S40" s="641">
        <v>0.19676888038945325</v>
      </c>
      <c r="T40" s="642">
        <v>1236176.4300000004</v>
      </c>
      <c r="U40" s="734">
        <v>7.9664832998191729E-2</v>
      </c>
      <c r="V40" s="640">
        <v>1710673.9600000002</v>
      </c>
      <c r="W40" s="641">
        <v>0.11024361250582596</v>
      </c>
      <c r="X40" s="642">
        <v>1440175.909999999</v>
      </c>
      <c r="Y40" s="734">
        <v>8.4645446490158524E-2</v>
      </c>
      <c r="Z40" s="735">
        <v>2031914.9779999985</v>
      </c>
      <c r="AA40" s="641">
        <v>0.11501110012944461</v>
      </c>
      <c r="AB40" s="642">
        <v>1045352.5799999984</v>
      </c>
      <c r="AC40" s="734">
        <v>6.8611064270956271E-2</v>
      </c>
      <c r="AD40" s="640">
        <v>1531722.5599999984</v>
      </c>
      <c r="AE40" s="641">
        <v>0.10053365440532393</v>
      </c>
      <c r="AF40" s="640"/>
      <c r="AG40" s="643"/>
      <c r="AH40" s="640"/>
      <c r="AI40" s="643"/>
      <c r="AJ40" s="640"/>
      <c r="AK40" s="643"/>
      <c r="AN40" s="644" t="s">
        <v>4854</v>
      </c>
      <c r="AO40" s="645" t="s">
        <v>4855</v>
      </c>
      <c r="AP40" s="646">
        <v>337440</v>
      </c>
      <c r="AQ40" s="646">
        <v>337440</v>
      </c>
      <c r="AR40" s="646">
        <v>337440</v>
      </c>
      <c r="AS40" s="646">
        <v>474713.13</v>
      </c>
      <c r="AT40" s="646">
        <v>474497.53</v>
      </c>
      <c r="AU40" s="646">
        <f>AU37+AU38-AU39</f>
        <v>591739.06799999997</v>
      </c>
      <c r="AV40" s="646">
        <f>AV37+AV38-AV39</f>
        <v>486369.98</v>
      </c>
      <c r="AX40" s="657"/>
    </row>
    <row r="41" spans="1:50" x14ac:dyDescent="0.25">
      <c r="A41" s="637"/>
      <c r="B41" s="710" t="s">
        <v>4856</v>
      </c>
      <c r="C41" s="711" t="s">
        <v>4857</v>
      </c>
      <c r="D41" s="712"/>
      <c r="E41" s="713" t="s">
        <v>1674</v>
      </c>
      <c r="F41" s="712">
        <v>101232</v>
      </c>
      <c r="G41" s="713" t="s">
        <v>1674</v>
      </c>
      <c r="H41" s="714">
        <v>457328.96</v>
      </c>
      <c r="I41" s="754">
        <v>4.0983574582420156E-2</v>
      </c>
      <c r="J41" s="712">
        <v>541757.17200000002</v>
      </c>
      <c r="K41" s="713">
        <v>4.854961615425147E-2</v>
      </c>
      <c r="L41" s="714">
        <v>673436.3</v>
      </c>
      <c r="M41" s="754">
        <v>4.7572668399030363E-2</v>
      </c>
      <c r="N41" s="712">
        <v>750028.98900000018</v>
      </c>
      <c r="O41" s="713">
        <v>5.2983304261081554E-2</v>
      </c>
      <c r="P41" s="714">
        <v>898386.28</v>
      </c>
      <c r="Q41" s="754">
        <v>5.472377697523053E-2</v>
      </c>
      <c r="R41" s="712">
        <v>969091.3470000003</v>
      </c>
      <c r="S41" s="713">
        <v>5.9030664116835968E-2</v>
      </c>
      <c r="T41" s="714">
        <v>390617.59</v>
      </c>
      <c r="U41" s="754">
        <v>2.517317457145346E-2</v>
      </c>
      <c r="V41" s="712">
        <v>513202.18800000002</v>
      </c>
      <c r="W41" s="713">
        <v>3.3073083751747785E-2</v>
      </c>
      <c r="X41" s="714">
        <v>442121.61</v>
      </c>
      <c r="Y41" s="754">
        <v>2.5985423601063956E-2</v>
      </c>
      <c r="Z41" s="755">
        <v>609574.49339999957</v>
      </c>
      <c r="AA41" s="713">
        <v>3.450333003883338E-2</v>
      </c>
      <c r="AB41" s="714">
        <v>333753.68</v>
      </c>
      <c r="AC41" s="754">
        <v>2.1905714518969482E-2</v>
      </c>
      <c r="AD41" s="712">
        <v>459516.76799999952</v>
      </c>
      <c r="AE41" s="713">
        <v>2.1905715078036955E-2</v>
      </c>
      <c r="AF41" s="712"/>
      <c r="AG41" s="715"/>
      <c r="AH41" s="712"/>
      <c r="AI41" s="715"/>
      <c r="AJ41" s="712"/>
      <c r="AK41" s="715"/>
      <c r="AN41" s="716" t="s">
        <v>4856</v>
      </c>
      <c r="AO41" s="717" t="s">
        <v>4857</v>
      </c>
      <c r="AP41" s="680">
        <v>101232</v>
      </c>
      <c r="AQ41" s="680">
        <v>84428.212</v>
      </c>
      <c r="AR41" s="680">
        <v>76592.689000000129</v>
      </c>
      <c r="AS41" s="680">
        <v>70705.067000000272</v>
      </c>
      <c r="AT41" s="680">
        <v>122584.598</v>
      </c>
      <c r="AU41" s="680">
        <f>Z41-X41</f>
        <v>167452.88339999958</v>
      </c>
      <c r="AV41" s="680">
        <f>AD41-AB41</f>
        <v>125763.08799999952</v>
      </c>
      <c r="AX41" s="681"/>
    </row>
    <row r="42" spans="1:50" x14ac:dyDescent="0.25">
      <c r="A42" s="637"/>
      <c r="B42" s="721" t="s">
        <v>4858</v>
      </c>
      <c r="C42" s="722" t="s">
        <v>4859</v>
      </c>
      <c r="D42" s="723"/>
      <c r="E42" s="703" t="s">
        <v>1674</v>
      </c>
      <c r="F42" s="723">
        <v>0</v>
      </c>
      <c r="G42" s="703" t="s">
        <v>1674</v>
      </c>
      <c r="H42" s="704">
        <v>4558.26</v>
      </c>
      <c r="I42" s="750">
        <v>4.0848886691116718E-4</v>
      </c>
      <c r="J42" s="723">
        <v>4558.26</v>
      </c>
      <c r="K42" s="703">
        <v>4.0848886691116718E-4</v>
      </c>
      <c r="L42" s="704">
        <v>3391</v>
      </c>
      <c r="M42" s="750">
        <v>2.3954592073684169E-4</v>
      </c>
      <c r="N42" s="723">
        <v>3391</v>
      </c>
      <c r="O42" s="703">
        <v>2.3954592073684169E-4</v>
      </c>
      <c r="P42" s="704">
        <v>3077</v>
      </c>
      <c r="Q42" s="750">
        <v>1.8743058025416897E-4</v>
      </c>
      <c r="R42" s="723">
        <v>3077</v>
      </c>
      <c r="S42" s="703">
        <v>1.8743058025416897E-4</v>
      </c>
      <c r="T42" s="704">
        <v>2922</v>
      </c>
      <c r="U42" s="750">
        <v>1.8830697331829579E-4</v>
      </c>
      <c r="V42" s="723">
        <v>2922</v>
      </c>
      <c r="W42" s="703">
        <v>1.8830697331829579E-4</v>
      </c>
      <c r="X42" s="704">
        <v>3002</v>
      </c>
      <c r="Y42" s="750">
        <v>1.764406893623544E-4</v>
      </c>
      <c r="Z42" s="756">
        <v>3002</v>
      </c>
      <c r="AA42" s="703">
        <v>1.764406893623544E-4</v>
      </c>
      <c r="AB42" s="704">
        <v>2254</v>
      </c>
      <c r="AC42" s="750">
        <v>1.479398834666249E-4</v>
      </c>
      <c r="AD42" s="723">
        <v>2254</v>
      </c>
      <c r="AE42" s="703">
        <v>1.479398834666249E-4</v>
      </c>
      <c r="AF42" s="723"/>
      <c r="AG42" s="683"/>
      <c r="AH42" s="723"/>
      <c r="AI42" s="683"/>
      <c r="AJ42" s="723"/>
      <c r="AK42" s="683"/>
      <c r="AN42" s="724" t="s">
        <v>4858</v>
      </c>
      <c r="AO42" s="725" t="s">
        <v>4859</v>
      </c>
      <c r="AP42" s="646"/>
      <c r="AQ42" s="646"/>
      <c r="AR42" s="646"/>
      <c r="AS42" s="646"/>
      <c r="AT42" s="646"/>
      <c r="AU42" s="646"/>
      <c r="AV42" s="646"/>
      <c r="AX42" s="657"/>
    </row>
    <row r="43" spans="1:50" ht="15" x14ac:dyDescent="0.25">
      <c r="A43" s="637"/>
      <c r="B43" s="638" t="s">
        <v>4860</v>
      </c>
      <c r="C43" s="639" t="s">
        <v>241</v>
      </c>
      <c r="D43" s="640">
        <v>0</v>
      </c>
      <c r="E43" s="641" t="s">
        <v>1674</v>
      </c>
      <c r="F43" s="640">
        <v>236208</v>
      </c>
      <c r="G43" s="641" t="s">
        <v>1674</v>
      </c>
      <c r="H43" s="642">
        <v>1006530.0200000003</v>
      </c>
      <c r="I43" s="734">
        <v>9.0200275408132607E-2</v>
      </c>
      <c r="J43" s="640">
        <v>1259541.8080000002</v>
      </c>
      <c r="K43" s="641">
        <v>0.11287394882634227</v>
      </c>
      <c r="L43" s="642">
        <v>1485829.3300000008</v>
      </c>
      <c r="M43" s="734">
        <v>0.10496147299105126</v>
      </c>
      <c r="N43" s="640">
        <v>1746676.6410000008</v>
      </c>
      <c r="O43" s="641">
        <v>0.12338816402178682</v>
      </c>
      <c r="P43" s="642">
        <v>1854128.0800000008</v>
      </c>
      <c r="Q43" s="734">
        <v>0.11294127458561859</v>
      </c>
      <c r="R43" s="640">
        <v>2258136.1430000011</v>
      </c>
      <c r="S43" s="641">
        <v>0.13755078569236312</v>
      </c>
      <c r="T43" s="642">
        <v>842636.84000000032</v>
      </c>
      <c r="U43" s="734">
        <v>5.4303351453419968E-2</v>
      </c>
      <c r="V43" s="640">
        <v>1194549.7720000001</v>
      </c>
      <c r="W43" s="641">
        <v>7.6982221780759877E-2</v>
      </c>
      <c r="X43" s="642">
        <v>995052.299999999</v>
      </c>
      <c r="Y43" s="734">
        <v>5.8483582199732209E-2</v>
      </c>
      <c r="Z43" s="735">
        <v>1419338.4845999989</v>
      </c>
      <c r="AA43" s="641">
        <v>8.0331329401248874E-2</v>
      </c>
      <c r="AB43" s="642">
        <v>709344.89999999851</v>
      </c>
      <c r="AC43" s="734">
        <v>4.6557409868520173E-2</v>
      </c>
      <c r="AD43" s="640">
        <v>1069951.791999999</v>
      </c>
      <c r="AE43" s="641">
        <v>7.8479999443820336E-2</v>
      </c>
      <c r="AF43" s="640"/>
      <c r="AG43" s="643"/>
      <c r="AH43" s="640"/>
      <c r="AI43" s="643"/>
      <c r="AJ43" s="640"/>
      <c r="AK43" s="643"/>
      <c r="AN43" s="644" t="s">
        <v>4860</v>
      </c>
      <c r="AO43" s="645" t="s">
        <v>241</v>
      </c>
      <c r="AP43" s="646">
        <v>236208</v>
      </c>
      <c r="AQ43" s="646">
        <v>253011.788</v>
      </c>
      <c r="AR43" s="646">
        <v>260847.31099999987</v>
      </c>
      <c r="AS43" s="646">
        <v>404008.06299999973</v>
      </c>
      <c r="AT43" s="646">
        <v>351912.93200000003</v>
      </c>
      <c r="AU43" s="646">
        <f>AU40-AU41-AU42</f>
        <v>424286.18460000039</v>
      </c>
      <c r="AV43" s="646">
        <f>AV40-AV41-AV42</f>
        <v>360606.89200000046</v>
      </c>
      <c r="AX43" s="657"/>
    </row>
    <row r="44" spans="1:50" x14ac:dyDescent="0.25">
      <c r="C44" s="726" t="s">
        <v>233</v>
      </c>
      <c r="D44" s="727">
        <v>0</v>
      </c>
      <c r="E44" s="728"/>
      <c r="F44" s="728"/>
      <c r="G44" s="728"/>
      <c r="H44" s="727">
        <v>0</v>
      </c>
      <c r="I44" s="728"/>
      <c r="J44" s="728"/>
      <c r="K44" s="728"/>
      <c r="L44" s="727">
        <v>0</v>
      </c>
      <c r="M44" s="728"/>
      <c r="N44" s="728"/>
      <c r="O44" s="728"/>
      <c r="P44" s="727">
        <v>0</v>
      </c>
      <c r="Q44" s="728"/>
      <c r="R44" s="728"/>
      <c r="S44" s="728"/>
      <c r="T44" s="727">
        <v>0</v>
      </c>
      <c r="U44" s="728"/>
      <c r="V44" s="728"/>
      <c r="W44" s="728"/>
      <c r="X44" s="757">
        <v>1.0477378964424133E-9</v>
      </c>
      <c r="Y44" s="728"/>
      <c r="Z44" s="728"/>
      <c r="AA44" s="728"/>
      <c r="AB44" s="758">
        <v>1.5133991837501526E-9</v>
      </c>
      <c r="AC44" s="728"/>
      <c r="AD44" s="728"/>
      <c r="AE44" s="728"/>
      <c r="AF44" s="728"/>
      <c r="AG44" s="729"/>
      <c r="AH44" s="728"/>
      <c r="AI44" s="729"/>
      <c r="AJ44" s="728"/>
      <c r="AK44" s="729"/>
      <c r="AO44" s="726"/>
      <c r="AU44" s="730"/>
      <c r="AV44" s="730"/>
    </row>
    <row r="45" spans="1:50" x14ac:dyDescent="0.25">
      <c r="C45" s="726"/>
      <c r="D45" s="727"/>
      <c r="E45" s="728"/>
      <c r="F45" s="728"/>
      <c r="G45" s="728"/>
      <c r="H45" s="727"/>
      <c r="I45" s="728"/>
      <c r="J45" s="728"/>
      <c r="K45" s="728"/>
      <c r="L45" s="727"/>
      <c r="M45" s="728"/>
      <c r="N45" s="728"/>
      <c r="O45" s="728"/>
      <c r="P45" s="727"/>
      <c r="Q45" s="728"/>
      <c r="R45" s="728"/>
      <c r="S45" s="728"/>
      <c r="T45" s="727"/>
      <c r="U45" s="728"/>
      <c r="V45" s="728"/>
      <c r="W45" s="728"/>
      <c r="X45" s="727"/>
      <c r="Y45" s="728"/>
      <c r="Z45" s="728"/>
      <c r="AA45" s="728"/>
      <c r="AB45" s="727"/>
      <c r="AC45" s="728"/>
      <c r="AD45" s="728"/>
      <c r="AE45" s="728"/>
      <c r="AF45" s="728"/>
      <c r="AG45" s="729"/>
      <c r="AH45" s="728"/>
      <c r="AI45" s="729"/>
      <c r="AJ45" s="728"/>
      <c r="AK45" s="729"/>
      <c r="AO45" s="726"/>
    </row>
    <row r="46" spans="1:50" x14ac:dyDescent="0.25">
      <c r="P46" s="759"/>
    </row>
    <row r="49" spans="3:41" x14ac:dyDescent="0.25">
      <c r="C49" s="731"/>
      <c r="AO49" s="731"/>
    </row>
  </sheetData>
  <mergeCells count="40">
    <mergeCell ref="AK24:AK34"/>
    <mergeCell ref="AF17:AF21"/>
    <mergeCell ref="AG17:AG21"/>
    <mergeCell ref="AH17:AH21"/>
    <mergeCell ref="AI17:AI21"/>
    <mergeCell ref="AJ17:AJ21"/>
    <mergeCell ref="AK17:AK19"/>
    <mergeCell ref="AF24:AF34"/>
    <mergeCell ref="AG24:AG34"/>
    <mergeCell ref="AH24:AH34"/>
    <mergeCell ref="AI24:AI34"/>
    <mergeCell ref="AJ24:AJ34"/>
    <mergeCell ref="AF13:AF14"/>
    <mergeCell ref="AG13:AG14"/>
    <mergeCell ref="AH13:AH14"/>
    <mergeCell ref="AI13:AI14"/>
    <mergeCell ref="AJ13:AJ14"/>
    <mergeCell ref="AK13:AK14"/>
    <mergeCell ref="AP1:AV1"/>
    <mergeCell ref="AX1:AX2"/>
    <mergeCell ref="B2:C2"/>
    <mergeCell ref="AN2:AO2"/>
    <mergeCell ref="AF7:AF11"/>
    <mergeCell ref="AG7:AG11"/>
    <mergeCell ref="AH7:AH11"/>
    <mergeCell ref="AI7:AI11"/>
    <mergeCell ref="AJ7:AJ11"/>
    <mergeCell ref="AK7:AK11"/>
    <mergeCell ref="X1:AA1"/>
    <mergeCell ref="AB1:AE1"/>
    <mergeCell ref="AF1:AG1"/>
    <mergeCell ref="AH1:AI1"/>
    <mergeCell ref="AJ1:AK1"/>
    <mergeCell ref="AN1:AO1"/>
    <mergeCell ref="B1:C1"/>
    <mergeCell ref="D1:G1"/>
    <mergeCell ref="H1:K1"/>
    <mergeCell ref="L1:O1"/>
    <mergeCell ref="P1:S1"/>
    <mergeCell ref="T1:W1"/>
  </mergeCells>
  <pageMargins left="0.7" right="0.7" top="0.78740157499999996" bottom="0.78740157499999996" header="0.3" footer="0.3"/>
  <pageSetup paperSize="9" scale="23"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232E6-8837-4A8C-A487-13B55AFA8DBF}">
  <sheetPr>
    <tabColor theme="0" tint="-0.249977111117893"/>
  </sheetPr>
  <dimension ref="A1:I64"/>
  <sheetViews>
    <sheetView workbookViewId="0"/>
  </sheetViews>
  <sheetFormatPr defaultColWidth="11" defaultRowHeight="12" x14ac:dyDescent="0.2"/>
  <cols>
    <col min="1" max="3" width="11" style="1"/>
    <col min="4" max="4" width="78.140625" style="1" customWidth="1"/>
    <col min="5" max="8" width="11" style="1"/>
    <col min="9" max="9" width="78.140625" style="1" customWidth="1"/>
    <col min="10" max="16384" width="11" style="1"/>
  </cols>
  <sheetData>
    <row r="1" spans="1:9" x14ac:dyDescent="0.2">
      <c r="A1" s="58" t="s">
        <v>36</v>
      </c>
      <c r="B1" s="58"/>
      <c r="C1" s="58" t="s">
        <v>204</v>
      </c>
      <c r="D1" s="58" t="s">
        <v>203</v>
      </c>
      <c r="F1" s="58" t="s">
        <v>202</v>
      </c>
      <c r="G1" s="58"/>
      <c r="H1" s="58" t="s">
        <v>201</v>
      </c>
      <c r="I1" s="58" t="s">
        <v>200</v>
      </c>
    </row>
    <row r="2" spans="1:9" ht="12.75" x14ac:dyDescent="0.2">
      <c r="A2" s="53">
        <v>1</v>
      </c>
      <c r="C2" s="57" t="s">
        <v>199</v>
      </c>
      <c r="D2" s="56" t="s">
        <v>198</v>
      </c>
      <c r="F2" s="53">
        <v>1</v>
      </c>
      <c r="H2" s="57" t="s">
        <v>3</v>
      </c>
      <c r="I2" s="56" t="s">
        <v>197</v>
      </c>
    </row>
    <row r="3" spans="1:9" ht="12.75" x14ac:dyDescent="0.2">
      <c r="A3" s="53">
        <v>2</v>
      </c>
      <c r="C3" s="57" t="s">
        <v>196</v>
      </c>
      <c r="D3" s="56" t="s">
        <v>195</v>
      </c>
      <c r="F3" s="53">
        <v>2</v>
      </c>
      <c r="H3" s="57" t="s">
        <v>194</v>
      </c>
      <c r="I3" s="56" t="s">
        <v>193</v>
      </c>
    </row>
    <row r="4" spans="1:9" ht="12.75" x14ac:dyDescent="0.2">
      <c r="A4" s="53">
        <v>3</v>
      </c>
      <c r="C4" s="57" t="s">
        <v>192</v>
      </c>
      <c r="D4" s="56" t="s">
        <v>191</v>
      </c>
      <c r="F4" s="53">
        <v>3</v>
      </c>
      <c r="H4" s="57" t="s">
        <v>190</v>
      </c>
      <c r="I4" s="56" t="s">
        <v>189</v>
      </c>
    </row>
    <row r="5" spans="1:9" ht="12.75" x14ac:dyDescent="0.2">
      <c r="A5" s="53">
        <v>4</v>
      </c>
      <c r="C5" s="57" t="s">
        <v>188</v>
      </c>
      <c r="D5" s="56" t="s">
        <v>187</v>
      </c>
      <c r="F5" s="53">
        <v>4</v>
      </c>
      <c r="H5" s="57" t="s">
        <v>188</v>
      </c>
      <c r="I5" s="56" t="s">
        <v>187</v>
      </c>
    </row>
    <row r="6" spans="1:9" ht="12.75" x14ac:dyDescent="0.2">
      <c r="A6" s="53">
        <v>5</v>
      </c>
      <c r="C6" s="57" t="s">
        <v>186</v>
      </c>
      <c r="D6" s="56" t="s">
        <v>185</v>
      </c>
      <c r="F6" s="53">
        <v>5</v>
      </c>
      <c r="H6" s="57" t="s">
        <v>184</v>
      </c>
      <c r="I6" s="56" t="s">
        <v>182</v>
      </c>
    </row>
    <row r="7" spans="1:9" ht="12.75" x14ac:dyDescent="0.2">
      <c r="A7" s="53">
        <v>6</v>
      </c>
      <c r="C7" s="57" t="s">
        <v>183</v>
      </c>
      <c r="D7" s="56" t="s">
        <v>182</v>
      </c>
      <c r="F7" s="53">
        <v>6</v>
      </c>
      <c r="H7" s="57" t="s">
        <v>181</v>
      </c>
      <c r="I7" s="56" t="s">
        <v>180</v>
      </c>
    </row>
    <row r="8" spans="1:9" ht="12.75" x14ac:dyDescent="0.2">
      <c r="A8" s="53">
        <v>7</v>
      </c>
      <c r="C8" s="57" t="s">
        <v>181</v>
      </c>
      <c r="D8" s="56" t="s">
        <v>180</v>
      </c>
      <c r="F8" s="53">
        <v>7</v>
      </c>
      <c r="H8" s="57" t="s">
        <v>179</v>
      </c>
      <c r="I8" s="56" t="s">
        <v>178</v>
      </c>
    </row>
    <row r="9" spans="1:9" ht="12.75" x14ac:dyDescent="0.2">
      <c r="A9" s="53">
        <v>8</v>
      </c>
      <c r="C9" s="57" t="s">
        <v>179</v>
      </c>
      <c r="D9" s="56" t="s">
        <v>178</v>
      </c>
      <c r="F9" s="53">
        <v>8</v>
      </c>
      <c r="H9" s="57" t="s">
        <v>177</v>
      </c>
      <c r="I9" s="56" t="s">
        <v>176</v>
      </c>
    </row>
    <row r="10" spans="1:9" ht="12.75" x14ac:dyDescent="0.2">
      <c r="A10" s="53">
        <v>9</v>
      </c>
      <c r="C10" s="57" t="s">
        <v>177</v>
      </c>
      <c r="D10" s="56" t="s">
        <v>176</v>
      </c>
      <c r="F10" s="53">
        <v>9</v>
      </c>
      <c r="H10" s="57" t="s">
        <v>175</v>
      </c>
      <c r="I10" s="56" t="s">
        <v>174</v>
      </c>
    </row>
    <row r="11" spans="1:9" ht="12.75" x14ac:dyDescent="0.2">
      <c r="A11" s="53">
        <v>10</v>
      </c>
      <c r="C11" s="57" t="s">
        <v>175</v>
      </c>
      <c r="D11" s="56" t="s">
        <v>174</v>
      </c>
      <c r="F11" s="53">
        <v>10</v>
      </c>
      <c r="H11" s="57" t="s">
        <v>173</v>
      </c>
      <c r="I11" s="56" t="s">
        <v>172</v>
      </c>
    </row>
    <row r="12" spans="1:9" ht="12.75" x14ac:dyDescent="0.2">
      <c r="A12" s="53">
        <v>11</v>
      </c>
      <c r="C12" s="57" t="s">
        <v>164</v>
      </c>
      <c r="D12" s="56" t="s">
        <v>171</v>
      </c>
      <c r="F12" s="53">
        <v>11</v>
      </c>
      <c r="H12" s="57" t="s">
        <v>170</v>
      </c>
      <c r="I12" s="56" t="s">
        <v>169</v>
      </c>
    </row>
    <row r="13" spans="1:9" ht="12.75" x14ac:dyDescent="0.2">
      <c r="A13" s="53">
        <v>12</v>
      </c>
      <c r="C13" s="57" t="s">
        <v>160</v>
      </c>
      <c r="D13" s="56" t="s">
        <v>168</v>
      </c>
      <c r="F13" s="53">
        <v>12</v>
      </c>
      <c r="H13" s="57" t="s">
        <v>167</v>
      </c>
      <c r="I13" s="56" t="s">
        <v>166</v>
      </c>
    </row>
    <row r="14" spans="1:9" ht="12.75" x14ac:dyDescent="0.2">
      <c r="A14" s="53">
        <v>13</v>
      </c>
      <c r="C14" s="57" t="s">
        <v>158</v>
      </c>
      <c r="D14" s="56" t="s">
        <v>165</v>
      </c>
      <c r="F14" s="53">
        <v>13</v>
      </c>
      <c r="H14" s="57" t="s">
        <v>164</v>
      </c>
      <c r="I14" s="56" t="s">
        <v>163</v>
      </c>
    </row>
    <row r="15" spans="1:9" ht="12.75" x14ac:dyDescent="0.2">
      <c r="A15" s="53">
        <v>14</v>
      </c>
      <c r="C15" s="57" t="s">
        <v>156</v>
      </c>
      <c r="D15" s="56" t="s">
        <v>155</v>
      </c>
      <c r="F15" s="53">
        <v>14</v>
      </c>
      <c r="H15" s="57" t="s">
        <v>162</v>
      </c>
      <c r="I15" s="56" t="s">
        <v>161</v>
      </c>
    </row>
    <row r="16" spans="1:9" ht="12.75" x14ac:dyDescent="0.2">
      <c r="A16" s="53">
        <v>15</v>
      </c>
      <c r="C16" s="57" t="s">
        <v>154</v>
      </c>
      <c r="D16" s="56" t="s">
        <v>153</v>
      </c>
      <c r="F16" s="53">
        <v>15</v>
      </c>
      <c r="H16" s="57" t="s">
        <v>160</v>
      </c>
      <c r="I16" s="56" t="s">
        <v>159</v>
      </c>
    </row>
    <row r="17" spans="1:9" ht="12.75" x14ac:dyDescent="0.2">
      <c r="A17" s="53">
        <v>16</v>
      </c>
      <c r="C17" s="57" t="s">
        <v>152</v>
      </c>
      <c r="D17" s="56" t="s">
        <v>151</v>
      </c>
      <c r="F17" s="53">
        <v>16</v>
      </c>
      <c r="H17" s="57" t="s">
        <v>158</v>
      </c>
      <c r="I17" s="56" t="s">
        <v>157</v>
      </c>
    </row>
    <row r="18" spans="1:9" ht="12.75" x14ac:dyDescent="0.2">
      <c r="A18" s="53">
        <v>17</v>
      </c>
      <c r="C18" s="57" t="s">
        <v>28</v>
      </c>
      <c r="D18" s="56" t="s">
        <v>141</v>
      </c>
      <c r="F18" s="53">
        <v>17</v>
      </c>
      <c r="H18" s="57" t="s">
        <v>156</v>
      </c>
      <c r="I18" s="56" t="s">
        <v>155</v>
      </c>
    </row>
    <row r="19" spans="1:9" ht="12.75" x14ac:dyDescent="0.2">
      <c r="A19" s="53">
        <v>18</v>
      </c>
      <c r="C19" s="57" t="s">
        <v>139</v>
      </c>
      <c r="D19" s="56" t="s">
        <v>138</v>
      </c>
      <c r="F19" s="53">
        <v>18</v>
      </c>
      <c r="H19" s="57" t="s">
        <v>154</v>
      </c>
      <c r="I19" s="56" t="s">
        <v>153</v>
      </c>
    </row>
    <row r="20" spans="1:9" ht="12.75" x14ac:dyDescent="0.2">
      <c r="A20" s="53">
        <v>19</v>
      </c>
      <c r="C20" s="57" t="s">
        <v>136</v>
      </c>
      <c r="D20" s="56" t="s">
        <v>135</v>
      </c>
      <c r="F20" s="53">
        <v>19</v>
      </c>
      <c r="H20" s="57" t="s">
        <v>152</v>
      </c>
      <c r="I20" s="56" t="s">
        <v>151</v>
      </c>
    </row>
    <row r="21" spans="1:9" ht="12.75" x14ac:dyDescent="0.2">
      <c r="A21" s="53">
        <v>20</v>
      </c>
      <c r="C21" s="57" t="s">
        <v>133</v>
      </c>
      <c r="D21" s="56" t="s">
        <v>132</v>
      </c>
      <c r="F21" s="53">
        <v>20</v>
      </c>
      <c r="H21" s="57" t="s">
        <v>150</v>
      </c>
      <c r="I21" s="56" t="s">
        <v>149</v>
      </c>
    </row>
    <row r="22" spans="1:9" ht="13.5" thickBot="1" x14ac:dyDescent="0.25">
      <c r="A22" s="52">
        <v>21</v>
      </c>
      <c r="B22" s="51" t="s">
        <v>146</v>
      </c>
      <c r="C22" s="57" t="s">
        <v>148</v>
      </c>
      <c r="D22" s="56" t="s">
        <v>147</v>
      </c>
      <c r="F22" s="52">
        <v>21</v>
      </c>
      <c r="G22" s="51" t="s">
        <v>146</v>
      </c>
      <c r="H22" s="57" t="s">
        <v>145</v>
      </c>
      <c r="I22" s="56" t="s">
        <v>144</v>
      </c>
    </row>
    <row r="23" spans="1:9" ht="12.75" x14ac:dyDescent="0.2">
      <c r="A23" s="53">
        <v>1</v>
      </c>
      <c r="C23" s="57" t="s">
        <v>143</v>
      </c>
      <c r="D23" s="56" t="s">
        <v>142</v>
      </c>
      <c r="F23" s="53">
        <v>1</v>
      </c>
      <c r="H23" s="57" t="s">
        <v>28</v>
      </c>
      <c r="I23" s="56" t="s">
        <v>141</v>
      </c>
    </row>
    <row r="24" spans="1:9" ht="12.75" x14ac:dyDescent="0.2">
      <c r="A24" s="53">
        <v>2</v>
      </c>
      <c r="C24" s="57" t="s">
        <v>121</v>
      </c>
      <c r="D24" s="56" t="s">
        <v>140</v>
      </c>
      <c r="F24" s="53">
        <v>2</v>
      </c>
      <c r="H24" s="57" t="s">
        <v>139</v>
      </c>
      <c r="I24" s="56" t="s">
        <v>138</v>
      </c>
    </row>
    <row r="25" spans="1:9" ht="12.75" x14ac:dyDescent="0.2">
      <c r="A25" s="53">
        <v>3</v>
      </c>
      <c r="C25" s="57" t="s">
        <v>117</v>
      </c>
      <c r="D25" s="56" t="s">
        <v>137</v>
      </c>
      <c r="F25" s="53">
        <v>3</v>
      </c>
      <c r="H25" s="57" t="s">
        <v>136</v>
      </c>
      <c r="I25" s="56" t="s">
        <v>135</v>
      </c>
    </row>
    <row r="26" spans="1:9" ht="12.75" x14ac:dyDescent="0.2">
      <c r="A26" s="53">
        <v>4</v>
      </c>
      <c r="C26" s="57" t="s">
        <v>113</v>
      </c>
      <c r="D26" s="56" t="s">
        <v>134</v>
      </c>
      <c r="F26" s="53">
        <v>4</v>
      </c>
      <c r="H26" s="57" t="s">
        <v>133</v>
      </c>
      <c r="I26" s="56" t="s">
        <v>132</v>
      </c>
    </row>
    <row r="27" spans="1:9" ht="12.75" x14ac:dyDescent="0.2">
      <c r="A27" s="53">
        <v>5</v>
      </c>
      <c r="C27" s="57" t="s">
        <v>131</v>
      </c>
      <c r="D27" s="56" t="s">
        <v>130</v>
      </c>
      <c r="F27" s="53">
        <v>5</v>
      </c>
      <c r="H27" s="57" t="s">
        <v>129</v>
      </c>
      <c r="I27" s="56" t="s">
        <v>128</v>
      </c>
    </row>
    <row r="28" spans="1:9" ht="12.75" x14ac:dyDescent="0.2">
      <c r="A28" s="53">
        <v>6</v>
      </c>
      <c r="C28" s="57" t="s">
        <v>127</v>
      </c>
      <c r="D28" s="56" t="s">
        <v>126</v>
      </c>
      <c r="F28" s="53">
        <v>6</v>
      </c>
      <c r="H28" s="57" t="s">
        <v>125</v>
      </c>
      <c r="I28" s="56" t="s">
        <v>124</v>
      </c>
    </row>
    <row r="29" spans="1:9" ht="12.75" x14ac:dyDescent="0.2">
      <c r="A29" s="53">
        <v>7</v>
      </c>
      <c r="C29" s="57" t="s">
        <v>123</v>
      </c>
      <c r="D29" s="56" t="s">
        <v>122</v>
      </c>
      <c r="F29" s="53">
        <v>7</v>
      </c>
      <c r="H29" s="57" t="s">
        <v>121</v>
      </c>
      <c r="I29" s="56" t="s">
        <v>120</v>
      </c>
    </row>
    <row r="30" spans="1:9" ht="12.75" x14ac:dyDescent="0.2">
      <c r="A30" s="53">
        <v>8</v>
      </c>
      <c r="C30" s="57" t="s">
        <v>119</v>
      </c>
      <c r="D30" s="56" t="s">
        <v>118</v>
      </c>
      <c r="F30" s="53">
        <v>8</v>
      </c>
      <c r="H30" s="57" t="s">
        <v>117</v>
      </c>
      <c r="I30" s="56" t="s">
        <v>116</v>
      </c>
    </row>
    <row r="31" spans="1:9" ht="12.75" x14ac:dyDescent="0.2">
      <c r="A31" s="53">
        <v>9</v>
      </c>
      <c r="C31" s="57" t="s">
        <v>115</v>
      </c>
      <c r="D31" s="56" t="s">
        <v>114</v>
      </c>
      <c r="F31" s="53">
        <v>9</v>
      </c>
      <c r="H31" s="57" t="s">
        <v>113</v>
      </c>
      <c r="I31" s="56" t="s">
        <v>112</v>
      </c>
    </row>
    <row r="32" spans="1:9" ht="12.75" x14ac:dyDescent="0.2">
      <c r="A32" s="53">
        <v>10</v>
      </c>
      <c r="C32" s="57" t="s">
        <v>16</v>
      </c>
      <c r="D32" s="56" t="s">
        <v>108</v>
      </c>
      <c r="F32" s="53">
        <v>10</v>
      </c>
      <c r="H32" s="57" t="s">
        <v>111</v>
      </c>
      <c r="I32" s="56" t="s">
        <v>110</v>
      </c>
    </row>
    <row r="33" spans="1:9" ht="12.75" x14ac:dyDescent="0.2">
      <c r="A33" s="53">
        <v>11</v>
      </c>
      <c r="C33" s="57" t="s">
        <v>101</v>
      </c>
      <c r="D33" s="56" t="s">
        <v>109</v>
      </c>
      <c r="F33" s="53">
        <v>11</v>
      </c>
      <c r="H33" s="57" t="s">
        <v>16</v>
      </c>
      <c r="I33" s="56" t="s">
        <v>108</v>
      </c>
    </row>
    <row r="34" spans="1:9" ht="12.75" x14ac:dyDescent="0.2">
      <c r="A34" s="53">
        <v>12</v>
      </c>
      <c r="C34" s="57" t="s">
        <v>97</v>
      </c>
      <c r="D34" s="56" t="s">
        <v>96</v>
      </c>
      <c r="F34" s="53">
        <v>12</v>
      </c>
      <c r="H34" s="57" t="s">
        <v>107</v>
      </c>
      <c r="I34" s="56" t="s">
        <v>106</v>
      </c>
    </row>
    <row r="35" spans="1:9" ht="12.75" x14ac:dyDescent="0.2">
      <c r="A35" s="53">
        <v>13</v>
      </c>
      <c r="C35" s="57" t="s">
        <v>89</v>
      </c>
      <c r="D35" s="56" t="s">
        <v>105</v>
      </c>
      <c r="F35" s="53">
        <v>13</v>
      </c>
      <c r="H35" s="57" t="s">
        <v>104</v>
      </c>
      <c r="I35" s="56" t="s">
        <v>103</v>
      </c>
    </row>
    <row r="36" spans="1:9" ht="12.75" x14ac:dyDescent="0.2">
      <c r="A36" s="53">
        <v>14</v>
      </c>
      <c r="C36" s="57" t="s">
        <v>85</v>
      </c>
      <c r="D36" s="56" t="s">
        <v>102</v>
      </c>
      <c r="F36" s="53">
        <v>14</v>
      </c>
      <c r="H36" s="57" t="s">
        <v>101</v>
      </c>
      <c r="I36" s="56" t="s">
        <v>100</v>
      </c>
    </row>
    <row r="37" spans="1:9" ht="12.75" x14ac:dyDescent="0.2">
      <c r="A37" s="53">
        <v>15</v>
      </c>
      <c r="C37" s="57" t="s">
        <v>99</v>
      </c>
      <c r="D37" s="56" t="s">
        <v>98</v>
      </c>
      <c r="F37" s="53">
        <v>15</v>
      </c>
      <c r="H37" s="57" t="s">
        <v>97</v>
      </c>
      <c r="I37" s="56" t="s">
        <v>96</v>
      </c>
    </row>
    <row r="38" spans="1:9" ht="12.75" x14ac:dyDescent="0.2">
      <c r="A38" s="53">
        <v>16</v>
      </c>
      <c r="C38" s="57" t="s">
        <v>95</v>
      </c>
      <c r="D38" s="56" t="s">
        <v>94</v>
      </c>
      <c r="F38" s="53">
        <v>16</v>
      </c>
      <c r="H38" s="57" t="s">
        <v>93</v>
      </c>
      <c r="I38" s="56" t="s">
        <v>92</v>
      </c>
    </row>
    <row r="39" spans="1:9" ht="12.75" x14ac:dyDescent="0.2">
      <c r="A39" s="53">
        <v>17</v>
      </c>
      <c r="C39" s="57" t="s">
        <v>91</v>
      </c>
      <c r="D39" s="56" t="s">
        <v>90</v>
      </c>
      <c r="F39" s="53">
        <v>17</v>
      </c>
      <c r="H39" s="57" t="s">
        <v>89</v>
      </c>
      <c r="I39" s="56" t="s">
        <v>88</v>
      </c>
    </row>
    <row r="40" spans="1:9" ht="12.75" x14ac:dyDescent="0.2">
      <c r="A40" s="53">
        <v>18</v>
      </c>
      <c r="C40" s="57" t="s">
        <v>87</v>
      </c>
      <c r="D40" s="56" t="s">
        <v>86</v>
      </c>
      <c r="F40" s="53">
        <v>18</v>
      </c>
      <c r="H40" s="57" t="s">
        <v>85</v>
      </c>
      <c r="I40" s="56" t="s">
        <v>84</v>
      </c>
    </row>
    <row r="41" spans="1:9" ht="12.75" x14ac:dyDescent="0.2">
      <c r="A41" s="53">
        <v>19</v>
      </c>
      <c r="C41" s="57" t="s">
        <v>83</v>
      </c>
      <c r="D41" s="56" t="s">
        <v>82</v>
      </c>
      <c r="F41" s="53">
        <v>19</v>
      </c>
      <c r="H41" s="57" t="s">
        <v>83</v>
      </c>
      <c r="I41" s="56" t="s">
        <v>82</v>
      </c>
    </row>
    <row r="42" spans="1:9" ht="12.75" x14ac:dyDescent="0.2">
      <c r="A42" s="53">
        <v>20</v>
      </c>
      <c r="C42" s="57" t="s">
        <v>81</v>
      </c>
      <c r="D42" s="56" t="s">
        <v>33</v>
      </c>
      <c r="F42" s="53">
        <v>20</v>
      </c>
      <c r="H42" s="57" t="s">
        <v>81</v>
      </c>
      <c r="I42" s="56" t="s">
        <v>37</v>
      </c>
    </row>
    <row r="43" spans="1:9" ht="13.5" thickBot="1" x14ac:dyDescent="0.25">
      <c r="A43" s="52">
        <v>21</v>
      </c>
      <c r="B43" s="51" t="s">
        <v>80</v>
      </c>
      <c r="C43" s="57" t="s">
        <v>79</v>
      </c>
      <c r="D43" s="56" t="s">
        <v>78</v>
      </c>
      <c r="F43" s="52">
        <v>21</v>
      </c>
      <c r="G43" s="51" t="s">
        <v>80</v>
      </c>
      <c r="H43" s="57" t="s">
        <v>79</v>
      </c>
      <c r="I43" s="56" t="s">
        <v>78</v>
      </c>
    </row>
    <row r="44" spans="1:9" ht="12.75" x14ac:dyDescent="0.2">
      <c r="A44" s="53">
        <v>1</v>
      </c>
      <c r="C44" s="57" t="s">
        <v>77</v>
      </c>
      <c r="D44" s="56" t="s">
        <v>76</v>
      </c>
      <c r="F44" s="53">
        <v>1</v>
      </c>
      <c r="H44" s="57" t="s">
        <v>75</v>
      </c>
      <c r="I44" s="56" t="s">
        <v>74</v>
      </c>
    </row>
    <row r="45" spans="1:9" ht="12.75" x14ac:dyDescent="0.2">
      <c r="A45" s="53">
        <v>2</v>
      </c>
      <c r="C45" s="57" t="s">
        <v>75</v>
      </c>
      <c r="D45" s="56" t="s">
        <v>74</v>
      </c>
      <c r="F45" s="53">
        <v>2</v>
      </c>
      <c r="H45" s="57" t="s">
        <v>73</v>
      </c>
      <c r="I45" s="56" t="s">
        <v>72</v>
      </c>
    </row>
    <row r="46" spans="1:9" ht="12.75" x14ac:dyDescent="0.2">
      <c r="A46" s="53">
        <v>3</v>
      </c>
      <c r="C46" s="57" t="s">
        <v>73</v>
      </c>
      <c r="D46" s="56" t="s">
        <v>72</v>
      </c>
      <c r="F46" s="53">
        <v>3</v>
      </c>
      <c r="H46" s="57" t="s">
        <v>64</v>
      </c>
      <c r="I46" s="56" t="s">
        <v>71</v>
      </c>
    </row>
    <row r="47" spans="1:9" ht="12.75" x14ac:dyDescent="0.2">
      <c r="A47" s="53">
        <v>4</v>
      </c>
      <c r="C47" s="57" t="s">
        <v>70</v>
      </c>
      <c r="D47" s="56" t="s">
        <v>69</v>
      </c>
      <c r="F47" s="53">
        <v>4</v>
      </c>
      <c r="H47" s="57" t="s">
        <v>62</v>
      </c>
      <c r="I47" s="56" t="s">
        <v>61</v>
      </c>
    </row>
    <row r="48" spans="1:9" ht="12.75" x14ac:dyDescent="0.2">
      <c r="A48" s="53">
        <v>5</v>
      </c>
      <c r="C48" s="57" t="s">
        <v>68</v>
      </c>
      <c r="D48" s="56" t="s">
        <v>67</v>
      </c>
      <c r="F48" s="53">
        <v>5</v>
      </c>
      <c r="H48" s="57" t="s">
        <v>66</v>
      </c>
      <c r="I48" s="56" t="s">
        <v>65</v>
      </c>
    </row>
    <row r="49" spans="1:9" ht="12.75" x14ac:dyDescent="0.2">
      <c r="A49" s="53">
        <v>6</v>
      </c>
      <c r="C49" s="57" t="s">
        <v>64</v>
      </c>
      <c r="D49" s="56" t="s">
        <v>63</v>
      </c>
      <c r="F49" s="53">
        <v>6</v>
      </c>
      <c r="H49" s="57" t="s">
        <v>14</v>
      </c>
      <c r="I49" s="56" t="s">
        <v>58</v>
      </c>
    </row>
    <row r="50" spans="1:9" ht="12.75" x14ac:dyDescent="0.2">
      <c r="A50" s="53">
        <v>7</v>
      </c>
      <c r="C50" s="57" t="s">
        <v>62</v>
      </c>
      <c r="D50" s="56" t="s">
        <v>61</v>
      </c>
      <c r="F50" s="53">
        <v>7</v>
      </c>
      <c r="H50" s="57" t="s">
        <v>12</v>
      </c>
      <c r="I50" s="56" t="s">
        <v>57</v>
      </c>
    </row>
    <row r="51" spans="1:9" ht="12.75" x14ac:dyDescent="0.2">
      <c r="A51" s="53">
        <v>8</v>
      </c>
      <c r="C51" s="57" t="s">
        <v>60</v>
      </c>
      <c r="D51" s="56" t="s">
        <v>59</v>
      </c>
      <c r="F51" s="53">
        <v>8</v>
      </c>
      <c r="H51" s="57"/>
      <c r="I51" s="56"/>
    </row>
    <row r="52" spans="1:9" ht="12.75" x14ac:dyDescent="0.2">
      <c r="A52" s="53">
        <v>9</v>
      </c>
      <c r="C52" s="57" t="s">
        <v>14</v>
      </c>
      <c r="D52" s="56" t="s">
        <v>58</v>
      </c>
      <c r="F52" s="53">
        <v>9</v>
      </c>
      <c r="H52" s="57"/>
      <c r="I52" s="56"/>
    </row>
    <row r="53" spans="1:9" ht="12.75" x14ac:dyDescent="0.2">
      <c r="A53" s="53">
        <v>10</v>
      </c>
      <c r="C53" s="57" t="s">
        <v>12</v>
      </c>
      <c r="D53" s="56" t="s">
        <v>57</v>
      </c>
      <c r="F53" s="53">
        <v>10</v>
      </c>
      <c r="H53" s="57"/>
      <c r="I53" s="56"/>
    </row>
    <row r="54" spans="1:9" ht="12.75" x14ac:dyDescent="0.2">
      <c r="A54" s="53">
        <v>11</v>
      </c>
      <c r="C54" s="55" t="s">
        <v>56</v>
      </c>
      <c r="D54" s="54" t="s">
        <v>55</v>
      </c>
      <c r="F54" s="53">
        <v>11</v>
      </c>
      <c r="H54" s="57"/>
      <c r="I54" s="56"/>
    </row>
    <row r="55" spans="1:9" ht="12.75" x14ac:dyDescent="0.2">
      <c r="A55" s="53">
        <v>12</v>
      </c>
      <c r="C55" s="55" t="s">
        <v>54</v>
      </c>
      <c r="D55" s="54" t="s">
        <v>53</v>
      </c>
      <c r="F55" s="53">
        <v>12</v>
      </c>
    </row>
    <row r="56" spans="1:9" x14ac:dyDescent="0.2">
      <c r="A56" s="53">
        <v>13</v>
      </c>
      <c r="F56" s="53">
        <v>13</v>
      </c>
    </row>
    <row r="57" spans="1:9" x14ac:dyDescent="0.2">
      <c r="A57" s="53">
        <v>14</v>
      </c>
      <c r="F57" s="53">
        <v>14</v>
      </c>
    </row>
    <row r="58" spans="1:9" x14ac:dyDescent="0.2">
      <c r="A58" s="53">
        <v>15</v>
      </c>
      <c r="F58" s="53">
        <v>15</v>
      </c>
    </row>
    <row r="59" spans="1:9" x14ac:dyDescent="0.2">
      <c r="A59" s="53">
        <v>16</v>
      </c>
      <c r="F59" s="53">
        <v>16</v>
      </c>
    </row>
    <row r="60" spans="1:9" x14ac:dyDescent="0.2">
      <c r="A60" s="53">
        <v>17</v>
      </c>
      <c r="F60" s="53">
        <v>17</v>
      </c>
    </row>
    <row r="61" spans="1:9" x14ac:dyDescent="0.2">
      <c r="A61" s="53">
        <v>18</v>
      </c>
      <c r="F61" s="53">
        <v>18</v>
      </c>
    </row>
    <row r="62" spans="1:9" x14ac:dyDescent="0.2">
      <c r="A62" s="53">
        <v>19</v>
      </c>
      <c r="F62" s="53">
        <v>19</v>
      </c>
    </row>
    <row r="63" spans="1:9" x14ac:dyDescent="0.2">
      <c r="A63" s="53">
        <v>20</v>
      </c>
      <c r="F63" s="53">
        <v>20</v>
      </c>
    </row>
    <row r="64" spans="1:9" ht="12.75" thickBot="1" x14ac:dyDescent="0.25">
      <c r="A64" s="52">
        <v>21</v>
      </c>
      <c r="B64" s="51" t="s">
        <v>52</v>
      </c>
      <c r="F64" s="52">
        <v>21</v>
      </c>
      <c r="G64" s="51" t="s">
        <v>52</v>
      </c>
    </row>
  </sheetData>
  <pageMargins left="0.7" right="0.7" top="0.78740157499999996" bottom="0.78740157499999996"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8AF8-889B-4D31-92C1-500960C17786}">
  <sheetPr>
    <tabColor theme="4" tint="-0.249977111117893"/>
  </sheetPr>
  <dimension ref="A1:AV149"/>
  <sheetViews>
    <sheetView workbookViewId="0"/>
  </sheetViews>
  <sheetFormatPr defaultColWidth="11" defaultRowHeight="12" x14ac:dyDescent="0.2"/>
  <cols>
    <col min="1" max="1" width="25.42578125" style="1" customWidth="1"/>
    <col min="2" max="3" width="11" style="1" customWidth="1"/>
    <col min="4" max="7" width="11" style="1"/>
    <col min="8" max="8" width="11" style="1" customWidth="1"/>
    <col min="9" max="12" width="11" style="1"/>
    <col min="13" max="15" width="11" style="1" customWidth="1"/>
    <col min="16" max="16384" width="11" style="1"/>
  </cols>
  <sheetData>
    <row r="1" spans="1:11" s="443" customFormat="1" x14ac:dyDescent="0.2"/>
    <row r="2" spans="1:11" x14ac:dyDescent="0.2">
      <c r="A2" s="62" t="s">
        <v>232</v>
      </c>
    </row>
    <row r="4" spans="1:11" x14ac:dyDescent="0.2">
      <c r="A4" s="63"/>
      <c r="B4" s="17">
        <f>'Lead PL'!F6</f>
        <v>44926</v>
      </c>
      <c r="D4" s="63"/>
      <c r="E4" s="17">
        <f>'Lead PL'!G6</f>
        <v>45291</v>
      </c>
      <c r="G4" s="63"/>
      <c r="H4" s="17">
        <f>'Lead PL'!H6</f>
        <v>45657</v>
      </c>
      <c r="J4" s="63"/>
      <c r="K4" s="17">
        <f>'Lead PL'!I6</f>
        <v>46022</v>
      </c>
    </row>
    <row r="5" spans="1:11" x14ac:dyDescent="0.2">
      <c r="A5" s="65" t="s">
        <v>209</v>
      </c>
      <c r="B5" s="66"/>
      <c r="D5" s="65"/>
      <c r="E5" s="66"/>
      <c r="G5" s="65"/>
      <c r="H5" s="66"/>
      <c r="J5" s="65"/>
      <c r="K5" s="66"/>
    </row>
    <row r="6" spans="1:11" x14ac:dyDescent="0.2">
      <c r="A6" s="65" t="s">
        <v>208</v>
      </c>
      <c r="B6" s="66"/>
      <c r="D6" s="65"/>
      <c r="E6" s="66"/>
      <c r="G6" s="65"/>
      <c r="H6" s="66"/>
      <c r="J6" s="65"/>
      <c r="K6" s="66"/>
    </row>
    <row r="7" spans="1:11" x14ac:dyDescent="0.2">
      <c r="A7" s="65" t="s">
        <v>207</v>
      </c>
      <c r="B7" s="66"/>
      <c r="D7" s="65"/>
      <c r="E7" s="66"/>
      <c r="G7" s="65"/>
      <c r="H7" s="66"/>
      <c r="J7" s="65"/>
      <c r="K7" s="66"/>
    </row>
    <row r="8" spans="1:11" x14ac:dyDescent="0.2">
      <c r="A8" s="65" t="s">
        <v>206</v>
      </c>
      <c r="B8" s="66"/>
      <c r="D8" s="65"/>
      <c r="E8" s="66"/>
      <c r="G8" s="65"/>
      <c r="H8" s="66"/>
      <c r="J8" s="65"/>
      <c r="K8" s="66"/>
    </row>
    <row r="11" spans="1:11" s="59" customFormat="1" ht="5.25" customHeight="1" x14ac:dyDescent="0.2"/>
    <row r="13" spans="1:11" x14ac:dyDescent="0.2">
      <c r="A13" s="418" t="s">
        <v>231</v>
      </c>
    </row>
    <row r="17" spans="1:44" x14ac:dyDescent="0.2">
      <c r="A17" s="65"/>
      <c r="B17" s="39">
        <f>'Lead PL'!F6</f>
        <v>44926</v>
      </c>
      <c r="C17" s="39">
        <f>'Lead PL'!G6</f>
        <v>45291</v>
      </c>
      <c r="D17" s="39">
        <f>'Lead PL'!H6</f>
        <v>45657</v>
      </c>
      <c r="E17" s="39">
        <f>'Lead PL'!I6</f>
        <v>46022</v>
      </c>
    </row>
    <row r="18" spans="1:44" x14ac:dyDescent="0.2">
      <c r="A18" s="65"/>
      <c r="B18" s="67" t="s">
        <v>125</v>
      </c>
      <c r="C18" s="67" t="s">
        <v>125</v>
      </c>
      <c r="D18" s="67" t="s">
        <v>125</v>
      </c>
      <c r="E18" s="67" t="s">
        <v>16</v>
      </c>
    </row>
    <row r="19" spans="1:44" x14ac:dyDescent="0.2">
      <c r="A19" s="65" t="s">
        <v>230</v>
      </c>
      <c r="B19" s="66">
        <f>PL_QoE!F68</f>
        <v>-0.26831790644430076</v>
      </c>
      <c r="C19" s="66">
        <f>PL_QoE!G68</f>
        <v>-0.40738499226960961</v>
      </c>
      <c r="D19" s="66">
        <f>PL_QoE!H68</f>
        <v>-0.37289875255769023</v>
      </c>
      <c r="E19" s="66">
        <f>PL_QoE!I68</f>
        <v>-0.38454615566677525</v>
      </c>
    </row>
    <row r="20" spans="1:44" x14ac:dyDescent="0.2">
      <c r="A20" s="65" t="s">
        <v>229</v>
      </c>
      <c r="B20" s="66">
        <f>PL_QoE!F65</f>
        <v>-0.2672090130404039</v>
      </c>
      <c r="C20" s="66">
        <f>PL_QoE!G65</f>
        <v>-0.41836925750349169</v>
      </c>
      <c r="D20" s="66">
        <f>PL_QoE!H65</f>
        <v>-0.39019697922231406</v>
      </c>
      <c r="E20" s="66">
        <f>PL_QoE!I65</f>
        <v>-0.39677953448221515</v>
      </c>
    </row>
    <row r="21" spans="1:44" x14ac:dyDescent="0.2">
      <c r="A21" s="65" t="s">
        <v>228</v>
      </c>
      <c r="B21" s="60">
        <f>'Lead PL'!F24</f>
        <v>16416.744779999997</v>
      </c>
      <c r="C21" s="60">
        <f>'Lead PL'!G24</f>
        <v>15515.82071</v>
      </c>
      <c r="D21" s="60">
        <f>'Lead PL'!H24</f>
        <v>17010.758600000001</v>
      </c>
      <c r="E21" s="60">
        <f>'Lead PL'!I24</f>
        <v>15235.918450000003</v>
      </c>
    </row>
    <row r="22" spans="1:44" x14ac:dyDescent="0.2">
      <c r="A22" s="65" t="s">
        <v>225</v>
      </c>
      <c r="B22" s="60">
        <f>'Lead PL'!F43</f>
        <v>-4386.7021700000023</v>
      </c>
      <c r="C22" s="60">
        <f>'Lead PL'!G43</f>
        <v>-6491.3423899999989</v>
      </c>
      <c r="D22" s="60">
        <f>'Lead PL'!H43</f>
        <v>-6637.546620000001</v>
      </c>
      <c r="E22" s="60">
        <f>'Lead PL'!I43</f>
        <v>-6045.3006299999943</v>
      </c>
    </row>
    <row r="23" spans="1:44" x14ac:dyDescent="0.2">
      <c r="A23" s="65" t="s">
        <v>227</v>
      </c>
      <c r="B23" s="60">
        <f>PL_QoE!F55</f>
        <v>-4404.9065900000023</v>
      </c>
      <c r="C23" s="60">
        <f>PL_QoE!G55</f>
        <v>-6320.9124999999985</v>
      </c>
      <c r="D23" s="60">
        <f>PL_QoE!H55</f>
        <v>-6343.2906620000012</v>
      </c>
      <c r="E23" s="60">
        <f>PL_QoE!I55</f>
        <v>-5858.9138679999942</v>
      </c>
    </row>
    <row r="25" spans="1:44" s="59" customFormat="1" ht="5.25" customHeight="1" x14ac:dyDescent="0.2"/>
    <row r="28" spans="1:44" x14ac:dyDescent="0.2">
      <c r="A28" s="418" t="s">
        <v>226</v>
      </c>
    </row>
    <row r="31" spans="1:44" x14ac:dyDescent="0.2">
      <c r="A31" s="61"/>
      <c r="B31" s="17" t="str">
        <f>"EBITDA FY" &amp; RIGHT(YEAR(Cockpit!D33),2) &amp; " Act."</f>
        <v>EBITDA FY22 Act.</v>
      </c>
      <c r="C31" s="61" t="str">
        <f>"∆ "&amp;'Lead PL'!D9</f>
        <v>∆ Revenues</v>
      </c>
      <c r="D31" s="61" t="str">
        <f>"∆ "&amp;'Lead PL'!D19</f>
        <v>∆ Change in inventory</v>
      </c>
      <c r="E31" s="61" t="str">
        <f>"∆ "&amp;'Lead PL'!D20</f>
        <v>∆ Own work capitalized</v>
      </c>
      <c r="F31" s="61" t="str">
        <f>"∆ "&amp;'Lead PL'!D21</f>
        <v>∆ Dummy 1</v>
      </c>
      <c r="G31" s="61" t="str">
        <f>"∆ "&amp;'Lead PL'!D22</f>
        <v>∆ Dummy 2</v>
      </c>
      <c r="H31" s="61" t="str">
        <f>"∆ "&amp;'Lead PL'!D23</f>
        <v>∆ Dummy 3</v>
      </c>
      <c r="I31" s="61" t="str">
        <f>"∆ "&amp;'Lead PL'!D25</f>
        <v>∆ Cost of materials</v>
      </c>
      <c r="J31" s="61" t="str">
        <f>"∆ "&amp;'Lead PL'!D30</f>
        <v>∆ Personnel expenses</v>
      </c>
      <c r="K31" s="61" t="str">
        <f>"∆ "&amp;'Lead PL'!D31</f>
        <v>∆ Premise costs</v>
      </c>
      <c r="L31" s="61" t="str">
        <f>"∆ "&amp;'Lead PL'!D32</f>
        <v>∆ Repair and maintenance</v>
      </c>
      <c r="M31" s="61" t="str">
        <f>"∆ "&amp;'Lead PL'!D33</f>
        <v>∆ Sales costs</v>
      </c>
      <c r="N31" s="61" t="str">
        <f>"∆ "&amp;'Lead PL'!D34</f>
        <v>∆ Delivery costs</v>
      </c>
      <c r="O31" s="61" t="str">
        <f>"∆ "&amp;'Lead PL'!D35</f>
        <v>∆ Vehicle costs</v>
      </c>
      <c r="P31" s="61" t="str">
        <f>"∆ "&amp;'Lead PL'!D36</f>
        <v>∆ Insurance, contributions and levies expenses</v>
      </c>
      <c r="Q31" s="61" t="str">
        <f>"∆ "&amp;'Lead PL'!D37</f>
        <v>∆ Advertising and travel expenses</v>
      </c>
      <c r="R31" s="61" t="str">
        <f>"∆ "&amp;'Lead PL'!D38</f>
        <v>∆ Other operating income</v>
      </c>
      <c r="S31" s="61" t="str">
        <f>"∆ "&amp;'Lead PL'!D39</f>
        <v>∆ Other operating expenses</v>
      </c>
      <c r="T31" s="61" t="str">
        <f>"∆ "&amp;'Lead PL'!D40</f>
        <v>∆ Dummy 1</v>
      </c>
      <c r="U31" s="61" t="str">
        <f>"∆ "&amp;'Lead PL'!D41</f>
        <v>∆ Dummy 2</v>
      </c>
      <c r="V31" s="61" t="str">
        <f>"∆ "&amp;'Lead PL'!D42</f>
        <v>∆ Dummy 3</v>
      </c>
      <c r="W31" s="17" t="str">
        <f>"EBITDA FY" &amp; RIGHT(YEAR(Cockpit!E33),2) &amp; " Act."</f>
        <v>EBITDA FY23 Act.</v>
      </c>
      <c r="X31" s="61" t="str">
        <f t="shared" ref="X31:AC31" si="0">C31</f>
        <v>∆ Revenues</v>
      </c>
      <c r="Y31" s="61" t="str">
        <f t="shared" si="0"/>
        <v>∆ Change in inventory</v>
      </c>
      <c r="Z31" s="61" t="str">
        <f t="shared" si="0"/>
        <v>∆ Own work capitalized</v>
      </c>
      <c r="AA31" s="61" t="str">
        <f t="shared" si="0"/>
        <v>∆ Dummy 1</v>
      </c>
      <c r="AB31" s="61" t="str">
        <f t="shared" si="0"/>
        <v>∆ Dummy 2</v>
      </c>
      <c r="AC31" s="61" t="str">
        <f t="shared" si="0"/>
        <v>∆ Dummy 3</v>
      </c>
      <c r="AD31" s="61" t="str">
        <f t="shared" ref="AD31:AQ31" si="1">I31</f>
        <v>∆ Cost of materials</v>
      </c>
      <c r="AE31" s="61" t="str">
        <f t="shared" si="1"/>
        <v>∆ Personnel expenses</v>
      </c>
      <c r="AF31" s="61" t="str">
        <f t="shared" si="1"/>
        <v>∆ Premise costs</v>
      </c>
      <c r="AG31" s="61" t="str">
        <f t="shared" si="1"/>
        <v>∆ Repair and maintenance</v>
      </c>
      <c r="AH31" s="61" t="str">
        <f t="shared" si="1"/>
        <v>∆ Sales costs</v>
      </c>
      <c r="AI31" s="61" t="str">
        <f t="shared" si="1"/>
        <v>∆ Delivery costs</v>
      </c>
      <c r="AJ31" s="61" t="str">
        <f t="shared" si="1"/>
        <v>∆ Vehicle costs</v>
      </c>
      <c r="AK31" s="61" t="str">
        <f t="shared" si="1"/>
        <v>∆ Insurance, contributions and levies expenses</v>
      </c>
      <c r="AL31" s="61" t="str">
        <f t="shared" si="1"/>
        <v>∆ Advertising and travel expenses</v>
      </c>
      <c r="AM31" s="61" t="str">
        <f t="shared" si="1"/>
        <v>∆ Other operating income</v>
      </c>
      <c r="AN31" s="61" t="str">
        <f t="shared" si="1"/>
        <v>∆ Other operating expenses</v>
      </c>
      <c r="AO31" s="61" t="str">
        <f t="shared" si="1"/>
        <v>∆ Dummy 1</v>
      </c>
      <c r="AP31" s="61" t="str">
        <f t="shared" si="1"/>
        <v>∆ Dummy 2</v>
      </c>
      <c r="AQ31" s="61" t="str">
        <f t="shared" si="1"/>
        <v>∆ Dummy 3</v>
      </c>
      <c r="AR31" s="17" t="str">
        <f>"EBITDA FY" &amp; RIGHT(YEAR(Cockpit!F33),2) &amp; " Act."</f>
        <v>EBITDA FY24 Act.</v>
      </c>
    </row>
    <row r="32" spans="1:44" x14ac:dyDescent="0.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c r="AA32" s="61"/>
      <c r="AB32" s="61"/>
      <c r="AC32" s="61"/>
      <c r="AD32" s="61"/>
      <c r="AE32" s="61"/>
      <c r="AF32" s="61"/>
      <c r="AG32" s="61"/>
      <c r="AH32" s="61"/>
      <c r="AI32" s="61"/>
      <c r="AJ32" s="61"/>
      <c r="AK32" s="61"/>
      <c r="AL32" s="61"/>
      <c r="AM32" s="61"/>
      <c r="AN32" s="61"/>
      <c r="AO32" s="61"/>
      <c r="AP32" s="61"/>
      <c r="AQ32" s="61"/>
      <c r="AR32" s="60"/>
    </row>
    <row r="33" spans="1:44" x14ac:dyDescent="0.2">
      <c r="A33" s="61" t="s">
        <v>225</v>
      </c>
      <c r="B33" s="61">
        <f>'Lead PL'!F43</f>
        <v>-4386.7021700000023</v>
      </c>
      <c r="C33" s="61">
        <f>'Lead PL'!G9-'Lead PL'!F9</f>
        <v>-1392.7811499999971</v>
      </c>
      <c r="D33" s="61">
        <f>'Lead PL'!G19-'Lead PL'!F19</f>
        <v>491.85707999999994</v>
      </c>
      <c r="E33" s="61">
        <f>'Lead PL'!G20-'Lead PL'!F20</f>
        <v>0</v>
      </c>
      <c r="F33" s="61">
        <f>'Lead PL'!G21-'Lead PL'!F21</f>
        <v>0</v>
      </c>
      <c r="G33" s="61">
        <f>'Lead PL'!G22-'Lead PL'!F22</f>
        <v>0</v>
      </c>
      <c r="H33" s="61">
        <f>'Lead PL'!G23-'Lead PL'!F23</f>
        <v>0</v>
      </c>
      <c r="I33" s="61">
        <f>'Lead PL'!G25-'Lead PL'!F25</f>
        <v>-453.37618999999995</v>
      </c>
      <c r="J33" s="61">
        <f>'Lead PL'!G30-'Lead PL'!F30</f>
        <v>-194.78706000000057</v>
      </c>
      <c r="K33" s="61">
        <f>'Lead PL'!G31-'Lead PL'!F31</f>
        <v>4.777150000000006</v>
      </c>
      <c r="L33" s="61">
        <f>'Lead PL'!G32-'Lead PL'!F32</f>
        <v>-6.7894600000000054</v>
      </c>
      <c r="M33" s="61">
        <f>'Lead PL'!G33-'Lead PL'!F33</f>
        <v>0</v>
      </c>
      <c r="N33" s="61">
        <f>'Lead PL'!G34-'Lead PL'!F34</f>
        <v>55.68434000000002</v>
      </c>
      <c r="O33" s="61">
        <f>'Lead PL'!G35-'Lead PL'!F35</f>
        <v>-10.000550000000004</v>
      </c>
      <c r="P33" s="61">
        <f>'Lead PL'!G36-'Lead PL'!F36</f>
        <v>-10.777010000000011</v>
      </c>
      <c r="Q33" s="61">
        <f>'Lead PL'!G37-'Lead PL'!F37</f>
        <v>-36.568680000000001</v>
      </c>
      <c r="R33" s="61">
        <f>'Lead PL'!G38-'Lead PL'!F38</f>
        <v>-56.145749999999992</v>
      </c>
      <c r="S33" s="61">
        <f>'Lead PL'!G39-'Lead PL'!F39</f>
        <v>-42.356749999999806</v>
      </c>
      <c r="T33" s="61">
        <f>'Lead PL'!G40-'Lead PL'!F40</f>
        <v>0</v>
      </c>
      <c r="U33" s="61">
        <f>'Lead PL'!G41-'Lead PL'!F41</f>
        <v>0</v>
      </c>
      <c r="V33" s="61">
        <f>'Lead PL'!G42-'Lead PL'!F42</f>
        <v>0</v>
      </c>
      <c r="W33" s="61">
        <f>SUM(B33:V33)</f>
        <v>-6037.9661999999998</v>
      </c>
      <c r="X33" s="61">
        <f>'Lead PL'!H9-'Lead PL'!G9</f>
        <v>1343.7198800000024</v>
      </c>
      <c r="Y33" s="61">
        <f>'Lead PL'!H19-'Lead PL'!G19</f>
        <v>151.21800999999999</v>
      </c>
      <c r="Z33" s="61">
        <f>'Lead PL'!H20-'Lead PL'!G20</f>
        <v>0</v>
      </c>
      <c r="AA33" s="61">
        <f>'Lead PL'!H21-'Lead PL'!G21</f>
        <v>0</v>
      </c>
      <c r="AB33" s="61">
        <f>'Lead PL'!H22-'Lead PL'!G22</f>
        <v>0</v>
      </c>
      <c r="AC33" s="61">
        <f>'Lead PL'!H23-'Lead PL'!G23</f>
        <v>0</v>
      </c>
      <c r="AD33" s="61">
        <f>'Lead PL'!H25-'Lead PL'!G25</f>
        <v>-311.38501000000088</v>
      </c>
      <c r="AE33" s="61">
        <f>'Lead PL'!H30-'Lead PL'!G30</f>
        <v>-763.36679000000004</v>
      </c>
      <c r="AF33" s="61">
        <f>'Lead PL'!H31-'Lead PL'!G31</f>
        <v>-81.651589999999942</v>
      </c>
      <c r="AG33" s="61">
        <f>'Lead PL'!H32-'Lead PL'!G32</f>
        <v>-9.0313199999999796</v>
      </c>
      <c r="AH33" s="61">
        <f>'Lead PL'!H33-'Lead PL'!G33</f>
        <v>0</v>
      </c>
      <c r="AI33" s="61">
        <f>'Lead PL'!H34-'Lead PL'!G34</f>
        <v>-15.955619999999954</v>
      </c>
      <c r="AJ33" s="61">
        <f>'Lead PL'!H35-'Lead PL'!G35</f>
        <v>-51.393730000000005</v>
      </c>
      <c r="AK33" s="61">
        <f>'Lead PL'!H36-'Lead PL'!G36</f>
        <v>3.5597000000000207</v>
      </c>
      <c r="AL33" s="61">
        <f>'Lead PL'!H37-'Lead PL'!G37</f>
        <v>23.313310000000001</v>
      </c>
      <c r="AM33" s="61">
        <f>'Lead PL'!H38-'Lead PL'!G38</f>
        <v>77.611749999999972</v>
      </c>
      <c r="AN33" s="61">
        <f>'Lead PL'!H39-'Lead PL'!G39</f>
        <v>-201.45781000000011</v>
      </c>
      <c r="AO33" s="61">
        <f>'Lead PL'!H40-'Lead PL'!G40</f>
        <v>0</v>
      </c>
      <c r="AP33" s="61">
        <f>'Lead PL'!H41-'Lead PL'!G41</f>
        <v>0</v>
      </c>
      <c r="AQ33" s="61">
        <f>'Lead PL'!H42-'Lead PL'!G42</f>
        <v>0</v>
      </c>
      <c r="AR33" s="60">
        <f>SUM(W33:AQ33)</f>
        <v>-5872.7854199999983</v>
      </c>
    </row>
    <row r="34" spans="1:44" s="368" customFormat="1" x14ac:dyDescent="0.2">
      <c r="A34" s="368" t="s">
        <v>233</v>
      </c>
      <c r="W34" s="444">
        <f>W33-'Lead PL'!G43</f>
        <v>453.37618999999904</v>
      </c>
      <c r="AR34" s="444">
        <f>AR33-'Lead PL'!H43</f>
        <v>764.76120000000265</v>
      </c>
    </row>
    <row r="61" spans="1:1" s="59" customFormat="1" ht="5.25" customHeight="1" x14ac:dyDescent="0.2"/>
    <row r="64" spans="1:1" x14ac:dyDescent="0.2">
      <c r="A64" s="62" t="s">
        <v>224</v>
      </c>
    </row>
    <row r="67" spans="1:48" x14ac:dyDescent="0.2">
      <c r="A67" s="65"/>
      <c r="B67" s="64">
        <f>NA_monthly!F6</f>
        <v>44592</v>
      </c>
      <c r="C67" s="38">
        <f>NA_monthly!G6</f>
        <v>44620</v>
      </c>
      <c r="D67" s="38">
        <f>NA_monthly!H6</f>
        <v>44651</v>
      </c>
      <c r="E67" s="38">
        <f>NA_monthly!I6</f>
        <v>44681</v>
      </c>
      <c r="F67" s="38">
        <f>NA_monthly!J6</f>
        <v>44712</v>
      </c>
      <c r="G67" s="38">
        <f>NA_monthly!K6</f>
        <v>44742</v>
      </c>
      <c r="H67" s="38">
        <f>NA_monthly!L6</f>
        <v>44773</v>
      </c>
      <c r="I67" s="38">
        <f>NA_monthly!M6</f>
        <v>44804</v>
      </c>
      <c r="J67" s="38">
        <f>NA_monthly!N6</f>
        <v>44834</v>
      </c>
      <c r="K67" s="38">
        <f>NA_monthly!O6</f>
        <v>44865</v>
      </c>
      <c r="L67" s="38">
        <f>NA_monthly!P6</f>
        <v>44895</v>
      </c>
      <c r="M67" s="38">
        <f>NA_monthly!Q6</f>
        <v>44926</v>
      </c>
      <c r="N67" s="38">
        <f>NA_monthly!R6</f>
        <v>44957</v>
      </c>
      <c r="O67" s="38">
        <f>NA_monthly!S6</f>
        <v>44985</v>
      </c>
      <c r="P67" s="38">
        <f>NA_monthly!T6</f>
        <v>45016</v>
      </c>
      <c r="Q67" s="38">
        <f>NA_monthly!U6</f>
        <v>45046</v>
      </c>
      <c r="R67" s="38">
        <f>NA_monthly!V6</f>
        <v>45077</v>
      </c>
      <c r="S67" s="38">
        <f>NA_monthly!W6</f>
        <v>45107</v>
      </c>
      <c r="T67" s="38">
        <f>NA_monthly!X6</f>
        <v>45138</v>
      </c>
      <c r="U67" s="38">
        <f>NA_monthly!Y6</f>
        <v>45169</v>
      </c>
      <c r="V67" s="38">
        <f>NA_monthly!Z6</f>
        <v>45199</v>
      </c>
      <c r="W67" s="38">
        <f>NA_monthly!AA6</f>
        <v>45230</v>
      </c>
      <c r="X67" s="38">
        <f>NA_monthly!AB6</f>
        <v>45260</v>
      </c>
      <c r="Y67" s="38">
        <f>NA_monthly!AC6</f>
        <v>45291</v>
      </c>
      <c r="Z67" s="38">
        <f>NA_monthly!AD6</f>
        <v>45322</v>
      </c>
      <c r="AA67" s="38">
        <f>NA_monthly!AE6</f>
        <v>45351</v>
      </c>
      <c r="AB67" s="38">
        <f>NA_monthly!AF6</f>
        <v>45382</v>
      </c>
      <c r="AC67" s="38">
        <f>NA_monthly!AG6</f>
        <v>45412</v>
      </c>
      <c r="AD67" s="38">
        <f>NA_monthly!AH6</f>
        <v>45443</v>
      </c>
      <c r="AE67" s="38">
        <f>NA_monthly!AI6</f>
        <v>45473</v>
      </c>
      <c r="AF67" s="38">
        <f>NA_monthly!AJ6</f>
        <v>45504</v>
      </c>
      <c r="AG67" s="38">
        <f>NA_monthly!AK6</f>
        <v>45535</v>
      </c>
      <c r="AH67" s="38">
        <f>NA_monthly!AL6</f>
        <v>45565</v>
      </c>
      <c r="AI67" s="38">
        <f>NA_monthly!AM6</f>
        <v>45596</v>
      </c>
      <c r="AJ67" s="38">
        <f>NA_monthly!AN6</f>
        <v>45626</v>
      </c>
      <c r="AK67" s="38">
        <f>NA_monthly!AO6</f>
        <v>45657</v>
      </c>
      <c r="AL67" s="38">
        <f>NA_monthly!AP6</f>
        <v>45688</v>
      </c>
      <c r="AM67" s="38">
        <f>NA_monthly!AQ6</f>
        <v>45716</v>
      </c>
      <c r="AN67" s="38">
        <f>NA_monthly!AR6</f>
        <v>45747</v>
      </c>
      <c r="AO67" s="38">
        <f>NA_monthly!AS6</f>
        <v>45777</v>
      </c>
      <c r="AP67" s="38">
        <f>NA_monthly!AT6</f>
        <v>45808</v>
      </c>
      <c r="AQ67" s="38">
        <f>NA_monthly!AU6</f>
        <v>45838</v>
      </c>
      <c r="AR67" s="38">
        <f>NA_monthly!AV6</f>
        <v>45869</v>
      </c>
      <c r="AS67" s="38">
        <f>NA_monthly!AW6</f>
        <v>45900</v>
      </c>
      <c r="AT67" s="38">
        <f>NA_monthly!AX6</f>
        <v>45930</v>
      </c>
      <c r="AU67" s="38">
        <f>NA_monthly!AY6</f>
        <v>45961</v>
      </c>
      <c r="AV67" s="38">
        <f>NA_monthly!AZ6</f>
        <v>45991</v>
      </c>
    </row>
    <row r="68" spans="1:48" x14ac:dyDescent="0.2">
      <c r="A68" s="60" t="str">
        <f>NA_monthly!D16</f>
        <v>Inventories</v>
      </c>
      <c r="B68" s="60">
        <f>NA_monthly!F16</f>
        <v>0</v>
      </c>
      <c r="C68" s="60">
        <f>NA_monthly!G16</f>
        <v>0</v>
      </c>
      <c r="D68" s="60">
        <f>NA_monthly!H16</f>
        <v>0</v>
      </c>
      <c r="E68" s="60">
        <f>NA_monthly!I16</f>
        <v>0</v>
      </c>
      <c r="F68" s="60">
        <f>NA_monthly!J16</f>
        <v>0</v>
      </c>
      <c r="G68" s="60">
        <f>NA_monthly!K16</f>
        <v>0</v>
      </c>
      <c r="H68" s="60">
        <f>NA_monthly!L16</f>
        <v>0</v>
      </c>
      <c r="I68" s="60">
        <f>NA_monthly!M16</f>
        <v>0</v>
      </c>
      <c r="J68" s="60">
        <f>NA_monthly!N16</f>
        <v>0</v>
      </c>
      <c r="K68" s="60">
        <f>NA_monthly!O16</f>
        <v>0</v>
      </c>
      <c r="L68" s="60">
        <f>NA_monthly!P16</f>
        <v>0</v>
      </c>
      <c r="M68" s="60">
        <f>NA_monthly!Q16</f>
        <v>1953.4010800000001</v>
      </c>
      <c r="N68" s="60">
        <f>NA_monthly!R16</f>
        <v>1953.4010800000001</v>
      </c>
      <c r="O68" s="60">
        <f>NA_monthly!S16</f>
        <v>1953.4010800000001</v>
      </c>
      <c r="P68" s="60">
        <f>NA_monthly!T16</f>
        <v>1953.4010800000001</v>
      </c>
      <c r="Q68" s="60">
        <f>NA_monthly!U16</f>
        <v>1953.4010800000001</v>
      </c>
      <c r="R68" s="60">
        <f>NA_monthly!V16</f>
        <v>1953.4010800000001</v>
      </c>
      <c r="S68" s="60">
        <f>NA_monthly!W16</f>
        <v>2718.3399900000004</v>
      </c>
      <c r="T68" s="60">
        <f>NA_monthly!X16</f>
        <v>2718.3399900000004</v>
      </c>
      <c r="U68" s="60">
        <f>NA_monthly!Y16</f>
        <v>2718.3399900000004</v>
      </c>
      <c r="V68" s="60">
        <f>NA_monthly!Z16</f>
        <v>2950.7292699999994</v>
      </c>
      <c r="W68" s="60">
        <f>NA_monthly!AA16</f>
        <v>2950.7292699999994</v>
      </c>
      <c r="X68" s="60">
        <f>NA_monthly!AB16</f>
        <v>2950.7292699999994</v>
      </c>
      <c r="Y68" s="60">
        <f>NA_monthly!AC16</f>
        <v>2652.1086500000001</v>
      </c>
      <c r="Z68" s="60">
        <f>NA_monthly!AD16</f>
        <v>2652.1086500000001</v>
      </c>
      <c r="AA68" s="60">
        <f>NA_monthly!AE16</f>
        <v>2652.1086500000001</v>
      </c>
      <c r="AB68" s="60">
        <f>NA_monthly!AF16</f>
        <v>2652.1086500000001</v>
      </c>
      <c r="AC68" s="60">
        <f>NA_monthly!AG16</f>
        <v>2671.8686499999999</v>
      </c>
      <c r="AD68" s="60">
        <f>NA_monthly!AH16</f>
        <v>2671.8686499999999</v>
      </c>
      <c r="AE68" s="60">
        <f>NA_monthly!AI16</f>
        <v>2675.5605399999999</v>
      </c>
      <c r="AF68" s="60">
        <f>NA_monthly!AJ16</f>
        <v>2675.5605399999999</v>
      </c>
      <c r="AG68" s="60">
        <f>NA_monthly!AK16</f>
        <v>2675.5605399999999</v>
      </c>
      <c r="AH68" s="60">
        <f>NA_monthly!AL16</f>
        <v>2675.5605399999999</v>
      </c>
      <c r="AI68" s="60">
        <f>NA_monthly!AM16</f>
        <v>2655.8005400000002</v>
      </c>
      <c r="AJ68" s="60">
        <f>NA_monthly!AN16</f>
        <v>2599.7005399999998</v>
      </c>
      <c r="AK68" s="60">
        <f>NA_monthly!AO16</f>
        <v>3855.88364</v>
      </c>
      <c r="AL68" s="60">
        <f>NA_monthly!AP16</f>
        <v>3855.88364</v>
      </c>
      <c r="AM68" s="60">
        <f>NA_monthly!AQ16</f>
        <v>3855.88364</v>
      </c>
      <c r="AN68" s="60">
        <f>NA_monthly!AR16</f>
        <v>3855.88364</v>
      </c>
      <c r="AO68" s="60">
        <f>NA_monthly!AS16</f>
        <v>3855.88364</v>
      </c>
      <c r="AP68" s="60">
        <f>NA_monthly!AT16</f>
        <v>3855.88364</v>
      </c>
      <c r="AQ68" s="60">
        <f>NA_monthly!AU16</f>
        <v>3855.88364</v>
      </c>
      <c r="AR68" s="60">
        <f>NA_monthly!AV16</f>
        <v>3855.88364</v>
      </c>
      <c r="AS68" s="60">
        <f>NA_monthly!AW16</f>
        <v>3855.88364</v>
      </c>
      <c r="AT68" s="60">
        <f>NA_monthly!AX16</f>
        <v>3855.88364</v>
      </c>
      <c r="AU68" s="60">
        <f>NA_monthly!AY16</f>
        <v>3855.88364</v>
      </c>
      <c r="AV68" s="60">
        <f>NA_monthly!AZ16</f>
        <v>3855.88364</v>
      </c>
    </row>
    <row r="69" spans="1:48" x14ac:dyDescent="0.2">
      <c r="A69" s="60" t="str">
        <f>NA_monthly!D17</f>
        <v>Trade receivables</v>
      </c>
      <c r="B69" s="60">
        <f>NA_monthly!F17</f>
        <v>0</v>
      </c>
      <c r="C69" s="60">
        <f>NA_monthly!G17</f>
        <v>0</v>
      </c>
      <c r="D69" s="60">
        <f>NA_monthly!H17</f>
        <v>0</v>
      </c>
      <c r="E69" s="60">
        <f>NA_monthly!I17</f>
        <v>0</v>
      </c>
      <c r="F69" s="60">
        <f>NA_monthly!J17</f>
        <v>0</v>
      </c>
      <c r="G69" s="60">
        <f>NA_monthly!K17</f>
        <v>0</v>
      </c>
      <c r="H69" s="60">
        <f>NA_monthly!L17</f>
        <v>0</v>
      </c>
      <c r="I69" s="60">
        <f>NA_monthly!M17</f>
        <v>0</v>
      </c>
      <c r="J69" s="60">
        <f>NA_monthly!N17</f>
        <v>0</v>
      </c>
      <c r="K69" s="60">
        <f>NA_monthly!O17</f>
        <v>0</v>
      </c>
      <c r="L69" s="60">
        <f>NA_monthly!P17</f>
        <v>0</v>
      </c>
      <c r="M69" s="60">
        <f>NA_monthly!Q17</f>
        <v>1780.65607</v>
      </c>
      <c r="N69" s="60">
        <f>NA_monthly!R17</f>
        <v>1632.6005600000001</v>
      </c>
      <c r="O69" s="60">
        <f>NA_monthly!S17</f>
        <v>1793.4025900000001</v>
      </c>
      <c r="P69" s="60">
        <f>NA_monthly!T17</f>
        <v>1751.10328</v>
      </c>
      <c r="Q69" s="60">
        <f>NA_monthly!U17</f>
        <v>1671.63177</v>
      </c>
      <c r="R69" s="60">
        <f>NA_monthly!V17</f>
        <v>1639.4459999999999</v>
      </c>
      <c r="S69" s="60">
        <f>NA_monthly!W17</f>
        <v>1443.8945900000001</v>
      </c>
      <c r="T69" s="60">
        <f>NA_monthly!X17</f>
        <v>1348.43524</v>
      </c>
      <c r="U69" s="60">
        <f>NA_monthly!Y17</f>
        <v>1745.89879</v>
      </c>
      <c r="V69" s="60">
        <f>NA_monthly!Z17</f>
        <v>1767.18218</v>
      </c>
      <c r="W69" s="60">
        <f>NA_monthly!AA17</f>
        <v>1716.31565</v>
      </c>
      <c r="X69" s="60">
        <f>NA_monthly!AB17</f>
        <v>2131.1523900000002</v>
      </c>
      <c r="Y69" s="60">
        <f>NA_monthly!AC17</f>
        <v>1586.36779</v>
      </c>
      <c r="Z69" s="60">
        <f>NA_monthly!AD17</f>
        <v>1605.97471</v>
      </c>
      <c r="AA69" s="60">
        <f>NA_monthly!AE17</f>
        <v>1674.9479699999999</v>
      </c>
      <c r="AB69" s="60">
        <f>NA_monthly!AF17</f>
        <v>1803.8231899999998</v>
      </c>
      <c r="AC69" s="60">
        <f>NA_monthly!AG17</f>
        <v>1817.6321200000002</v>
      </c>
      <c r="AD69" s="60">
        <f>NA_monthly!AH17</f>
        <v>1638.9565600000001</v>
      </c>
      <c r="AE69" s="60">
        <f>NA_monthly!AI17</f>
        <v>1552.90816</v>
      </c>
      <c r="AF69" s="60">
        <f>NA_monthly!AJ17</f>
        <v>1338.6239499999999</v>
      </c>
      <c r="AG69" s="60">
        <f>NA_monthly!AK17</f>
        <v>1333.7283300000001</v>
      </c>
      <c r="AH69" s="60">
        <f>NA_monthly!AL17</f>
        <v>1598.78574</v>
      </c>
      <c r="AI69" s="60">
        <f>NA_monthly!AM17</f>
        <v>1531.8539699999999</v>
      </c>
      <c r="AJ69" s="60">
        <f>NA_monthly!AN17</f>
        <v>1354.8587199999999</v>
      </c>
      <c r="AK69" s="60">
        <f>NA_monthly!AO17</f>
        <v>1988.8013600000002</v>
      </c>
      <c r="AL69" s="60">
        <f>NA_monthly!AP17</f>
        <v>1577.43236</v>
      </c>
      <c r="AM69" s="60">
        <f>NA_monthly!AQ17</f>
        <v>1852.36472</v>
      </c>
      <c r="AN69" s="60">
        <f>NA_monthly!AR17</f>
        <v>1735.83005</v>
      </c>
      <c r="AO69" s="60">
        <f>NA_monthly!AS17</f>
        <v>1754.3786499999999</v>
      </c>
      <c r="AP69" s="60">
        <f>NA_monthly!AT17</f>
        <v>2011.44795</v>
      </c>
      <c r="AQ69" s="60">
        <f>NA_monthly!AU17</f>
        <v>1976.809</v>
      </c>
      <c r="AR69" s="60">
        <f>NA_monthly!AV17</f>
        <v>1432.4888100000001</v>
      </c>
      <c r="AS69" s="60">
        <f>NA_monthly!AW17</f>
        <v>1896.4532899999999</v>
      </c>
      <c r="AT69" s="60">
        <f>NA_monthly!AX17</f>
        <v>1659.3406299999999</v>
      </c>
      <c r="AU69" s="60">
        <f>NA_monthly!AY17</f>
        <v>1609.32999</v>
      </c>
      <c r="AV69" s="60">
        <f>NA_monthly!AZ17</f>
        <v>1582.9748300000001</v>
      </c>
    </row>
    <row r="70" spans="1:48" x14ac:dyDescent="0.2">
      <c r="A70" s="60" t="str">
        <f>NA_monthly!D18</f>
        <v>Trade payables</v>
      </c>
      <c r="B70" s="60">
        <f>NA_monthly!F18</f>
        <v>0</v>
      </c>
      <c r="C70" s="60">
        <f>NA_monthly!G18</f>
        <v>0</v>
      </c>
      <c r="D70" s="60">
        <f>NA_monthly!H18</f>
        <v>0</v>
      </c>
      <c r="E70" s="60">
        <f>NA_monthly!I18</f>
        <v>0</v>
      </c>
      <c r="F70" s="60">
        <f>NA_monthly!J18</f>
        <v>0</v>
      </c>
      <c r="G70" s="60">
        <f>NA_monthly!K18</f>
        <v>0</v>
      </c>
      <c r="H70" s="60">
        <f>NA_monthly!L18</f>
        <v>0</v>
      </c>
      <c r="I70" s="60">
        <f>NA_monthly!M18</f>
        <v>0</v>
      </c>
      <c r="J70" s="60">
        <f>NA_monthly!N18</f>
        <v>0</v>
      </c>
      <c r="K70" s="60">
        <f>NA_monthly!O18</f>
        <v>0</v>
      </c>
      <c r="L70" s="60">
        <f>NA_monthly!P18</f>
        <v>0</v>
      </c>
      <c r="M70" s="60">
        <f>NA_monthly!Q18</f>
        <v>-752.85966000000008</v>
      </c>
      <c r="N70" s="60">
        <f>NA_monthly!R18</f>
        <v>-720.20325000000003</v>
      </c>
      <c r="O70" s="60">
        <f>NA_monthly!S18</f>
        <v>-918.93565999999998</v>
      </c>
      <c r="P70" s="60">
        <f>NA_monthly!T18</f>
        <v>-1279.0962500000001</v>
      </c>
      <c r="Q70" s="60">
        <f>NA_monthly!U18</f>
        <v>-902.91686000000004</v>
      </c>
      <c r="R70" s="60">
        <f>NA_monthly!V18</f>
        <v>-856.02628000000004</v>
      </c>
      <c r="S70" s="60">
        <f>NA_monthly!W18</f>
        <v>-847.41624999999999</v>
      </c>
      <c r="T70" s="60">
        <f>NA_monthly!X18</f>
        <v>-672.21708000000001</v>
      </c>
      <c r="U70" s="60">
        <f>NA_monthly!Y18</f>
        <v>-561.68408000000011</v>
      </c>
      <c r="V70" s="60">
        <f>NA_monthly!Z18</f>
        <v>-854.94693000000007</v>
      </c>
      <c r="W70" s="60">
        <f>NA_monthly!AA18</f>
        <v>-650.98143999999991</v>
      </c>
      <c r="X70" s="60">
        <f>NA_monthly!AB18</f>
        <v>-666.47857999999997</v>
      </c>
      <c r="Y70" s="60">
        <f>NA_monthly!AC18</f>
        <v>-898.28356000000008</v>
      </c>
      <c r="Z70" s="60">
        <f>NA_monthly!AD18</f>
        <v>-971.52920999999992</v>
      </c>
      <c r="AA70" s="60">
        <f>NA_monthly!AE18</f>
        <v>-605.96082999999999</v>
      </c>
      <c r="AB70" s="60">
        <f>NA_monthly!AF18</f>
        <v>-595.02235999999994</v>
      </c>
      <c r="AC70" s="60">
        <f>NA_monthly!AG18</f>
        <v>-797.91459999999995</v>
      </c>
      <c r="AD70" s="60">
        <f>NA_monthly!AH18</f>
        <v>-945.44709</v>
      </c>
      <c r="AE70" s="60">
        <f>NA_monthly!AI18</f>
        <v>-872.95371999999998</v>
      </c>
      <c r="AF70" s="60">
        <f>NA_monthly!AJ18</f>
        <v>-1612.43831</v>
      </c>
      <c r="AG70" s="60">
        <f>NA_monthly!AK18</f>
        <v>-1160.36464</v>
      </c>
      <c r="AH70" s="60">
        <f>NA_monthly!AL18</f>
        <v>-1327.0726299999999</v>
      </c>
      <c r="AI70" s="60">
        <f>NA_monthly!AM18</f>
        <v>-699.23821999999996</v>
      </c>
      <c r="AJ70" s="60">
        <f>NA_monthly!AN18</f>
        <v>-767.01546999999994</v>
      </c>
      <c r="AK70" s="60">
        <f>NA_monthly!AO18</f>
        <v>-1270.4380100000001</v>
      </c>
      <c r="AL70" s="60">
        <f>NA_monthly!AP18</f>
        <v>-1120.2880299999999</v>
      </c>
      <c r="AM70" s="60">
        <f>NA_monthly!AQ18</f>
        <v>-1118.8356999999999</v>
      </c>
      <c r="AN70" s="60">
        <f>NA_monthly!AR18</f>
        <v>-838.37626999999998</v>
      </c>
      <c r="AO70" s="60">
        <f>NA_monthly!AS18</f>
        <v>-830.92728</v>
      </c>
      <c r="AP70" s="60">
        <f>NA_monthly!AT18</f>
        <v>-845.06696999999997</v>
      </c>
      <c r="AQ70" s="60">
        <f>NA_monthly!AU18</f>
        <v>-425.35079999999999</v>
      </c>
      <c r="AR70" s="60">
        <f>NA_monthly!AV18</f>
        <v>-598.66930000000002</v>
      </c>
      <c r="AS70" s="60">
        <f>NA_monthly!AW18</f>
        <v>-544.47850000000005</v>
      </c>
      <c r="AT70" s="60">
        <f>NA_monthly!AX18</f>
        <v>-381.92289</v>
      </c>
      <c r="AU70" s="60">
        <f>NA_monthly!AY18</f>
        <v>-261.23649999999998</v>
      </c>
      <c r="AV70" s="60">
        <f>NA_monthly!AZ18</f>
        <v>-635.67131000000006</v>
      </c>
    </row>
    <row r="71" spans="1:48" x14ac:dyDescent="0.2">
      <c r="A71" s="60" t="str">
        <f>NA_monthly!D19</f>
        <v>Advance payments received</v>
      </c>
      <c r="B71" s="60">
        <f>NA_monthly!F19</f>
        <v>0</v>
      </c>
      <c r="C71" s="60">
        <f>NA_monthly!G19</f>
        <v>0</v>
      </c>
      <c r="D71" s="60">
        <f>NA_monthly!H19</f>
        <v>0</v>
      </c>
      <c r="E71" s="60">
        <f>NA_monthly!I19</f>
        <v>0</v>
      </c>
      <c r="F71" s="60">
        <f>NA_monthly!J19</f>
        <v>0</v>
      </c>
      <c r="G71" s="60">
        <f>NA_monthly!K19</f>
        <v>0</v>
      </c>
      <c r="H71" s="60">
        <f>NA_monthly!L19</f>
        <v>0</v>
      </c>
      <c r="I71" s="60">
        <f>NA_monthly!M19</f>
        <v>0</v>
      </c>
      <c r="J71" s="60">
        <f>NA_monthly!N19</f>
        <v>0</v>
      </c>
      <c r="K71" s="60">
        <f>NA_monthly!O19</f>
        <v>0</v>
      </c>
      <c r="L71" s="60">
        <f>NA_monthly!P19</f>
        <v>0</v>
      </c>
      <c r="M71" s="60">
        <f>NA_monthly!Q19</f>
        <v>-50</v>
      </c>
      <c r="N71" s="60">
        <f>NA_monthly!R19</f>
        <v>-50</v>
      </c>
      <c r="O71" s="60">
        <f>NA_monthly!S19</f>
        <v>-50</v>
      </c>
      <c r="P71" s="60">
        <f>NA_monthly!T19</f>
        <v>-50</v>
      </c>
      <c r="Q71" s="60">
        <f>NA_monthly!U19</f>
        <v>-50</v>
      </c>
      <c r="R71" s="60">
        <f>NA_monthly!V19</f>
        <v>-50</v>
      </c>
      <c r="S71" s="60">
        <f>NA_monthly!W19</f>
        <v>-50</v>
      </c>
      <c r="T71" s="60">
        <f>NA_monthly!X19</f>
        <v>-50</v>
      </c>
      <c r="U71" s="60">
        <f>NA_monthly!Y19</f>
        <v>-50</v>
      </c>
      <c r="V71" s="60">
        <f>NA_monthly!Z19</f>
        <v>-50</v>
      </c>
      <c r="W71" s="60">
        <f>NA_monthly!AA19</f>
        <v>-50</v>
      </c>
      <c r="X71" s="60">
        <f>NA_monthly!AB19</f>
        <v>-50</v>
      </c>
      <c r="Y71" s="60">
        <f>NA_monthly!AC19</f>
        <v>-50</v>
      </c>
      <c r="Z71" s="60">
        <f>NA_monthly!AD19</f>
        <v>-50</v>
      </c>
      <c r="AA71" s="60">
        <f>NA_monthly!AE19</f>
        <v>-50</v>
      </c>
      <c r="AB71" s="60">
        <f>NA_monthly!AF19</f>
        <v>-50</v>
      </c>
      <c r="AC71" s="60">
        <f>NA_monthly!AG19</f>
        <v>-50</v>
      </c>
      <c r="AD71" s="60">
        <f>NA_monthly!AH19</f>
        <v>-50</v>
      </c>
      <c r="AE71" s="60">
        <f>NA_monthly!AI19</f>
        <v>-50</v>
      </c>
      <c r="AF71" s="60">
        <f>NA_monthly!AJ19</f>
        <v>-50</v>
      </c>
      <c r="AG71" s="60">
        <f>NA_monthly!AK19</f>
        <v>-50</v>
      </c>
      <c r="AH71" s="60">
        <f>NA_monthly!AL19</f>
        <v>-50</v>
      </c>
      <c r="AI71" s="60">
        <f>NA_monthly!AM19</f>
        <v>-50</v>
      </c>
      <c r="AJ71" s="60">
        <f>NA_monthly!AN19</f>
        <v>-50</v>
      </c>
      <c r="AK71" s="60">
        <f>NA_monthly!AO19</f>
        <v>-50</v>
      </c>
      <c r="AL71" s="60">
        <f>NA_monthly!AP19</f>
        <v>-50</v>
      </c>
      <c r="AM71" s="60">
        <f>NA_monthly!AQ19</f>
        <v>-50</v>
      </c>
      <c r="AN71" s="60">
        <f>NA_monthly!AR19</f>
        <v>-50</v>
      </c>
      <c r="AO71" s="60">
        <f>NA_monthly!AS19</f>
        <v>0</v>
      </c>
      <c r="AP71" s="60">
        <f>NA_monthly!AT19</f>
        <v>0</v>
      </c>
      <c r="AQ71" s="60">
        <f>NA_monthly!AU19</f>
        <v>0</v>
      </c>
      <c r="AR71" s="60">
        <f>NA_monthly!AV19</f>
        <v>0</v>
      </c>
      <c r="AS71" s="60">
        <f>NA_monthly!AW19</f>
        <v>0</v>
      </c>
      <c r="AT71" s="60">
        <f>NA_monthly!AX19</f>
        <v>0</v>
      </c>
      <c r="AU71" s="60">
        <f>NA_monthly!AY19</f>
        <v>0</v>
      </c>
      <c r="AV71" s="60">
        <f>NA_monthly!AZ19</f>
        <v>0</v>
      </c>
    </row>
    <row r="72" spans="1:48" x14ac:dyDescent="0.2">
      <c r="A72" s="60" t="str">
        <f>NA_monthly!D23</f>
        <v>Trade working capital</v>
      </c>
      <c r="B72" s="60">
        <f>NA_monthly!F23</f>
        <v>0</v>
      </c>
      <c r="C72" s="60">
        <f>NA_monthly!G23</f>
        <v>0</v>
      </c>
      <c r="D72" s="60">
        <f>NA_monthly!H23</f>
        <v>0</v>
      </c>
      <c r="E72" s="60">
        <f>NA_monthly!I23</f>
        <v>0</v>
      </c>
      <c r="F72" s="60">
        <f>NA_monthly!J23</f>
        <v>0</v>
      </c>
      <c r="G72" s="60">
        <f>NA_monthly!K23</f>
        <v>0</v>
      </c>
      <c r="H72" s="60">
        <f>NA_monthly!L23</f>
        <v>0</v>
      </c>
      <c r="I72" s="60">
        <f>NA_monthly!M23</f>
        <v>0</v>
      </c>
      <c r="J72" s="60">
        <f>NA_monthly!N23</f>
        <v>0</v>
      </c>
      <c r="K72" s="60">
        <f>NA_monthly!O23</f>
        <v>0</v>
      </c>
      <c r="L72" s="60">
        <f>NA_monthly!P23</f>
        <v>0</v>
      </c>
      <c r="M72" s="60">
        <f>NA_monthly!Q23</f>
        <v>2931.19749</v>
      </c>
      <c r="N72" s="60">
        <f>NA_monthly!R23</f>
        <v>2815.7983900000004</v>
      </c>
      <c r="O72" s="60">
        <f>NA_monthly!S23</f>
        <v>2777.8680100000001</v>
      </c>
      <c r="P72" s="60">
        <f>NA_monthly!T23</f>
        <v>2375.4081099999999</v>
      </c>
      <c r="Q72" s="60">
        <f>NA_monthly!U23</f>
        <v>2672.1159900000002</v>
      </c>
      <c r="R72" s="60">
        <f>NA_monthly!V23</f>
        <v>2686.8208</v>
      </c>
      <c r="S72" s="60">
        <f>NA_monthly!W23</f>
        <v>3264.8183300000001</v>
      </c>
      <c r="T72" s="60">
        <f>NA_monthly!X23</f>
        <v>3344.5581500000003</v>
      </c>
      <c r="U72" s="60">
        <f>NA_monthly!Y23</f>
        <v>3852.5547000000006</v>
      </c>
      <c r="V72" s="60">
        <f>NA_monthly!Z23</f>
        <v>3812.9645199999995</v>
      </c>
      <c r="W72" s="60">
        <f>NA_monthly!AA23</f>
        <v>3966.0634799999993</v>
      </c>
      <c r="X72" s="60">
        <f>NA_monthly!AB23</f>
        <v>4365.4030799999991</v>
      </c>
      <c r="Y72" s="60">
        <f>NA_monthly!AC23</f>
        <v>3290.1928800000005</v>
      </c>
      <c r="Z72" s="60">
        <f>NA_monthly!AD23</f>
        <v>3236.5541500000008</v>
      </c>
      <c r="AA72" s="60">
        <f>NA_monthly!AE23</f>
        <v>3671.0957900000003</v>
      </c>
      <c r="AB72" s="60">
        <f>NA_monthly!AF23</f>
        <v>3810.9094800000003</v>
      </c>
      <c r="AC72" s="60">
        <f>NA_monthly!AG23</f>
        <v>3641.5861700000005</v>
      </c>
      <c r="AD72" s="60">
        <f>NA_monthly!AH23</f>
        <v>3315.3781199999999</v>
      </c>
      <c r="AE72" s="60">
        <f>NA_monthly!AI23</f>
        <v>3305.5149799999995</v>
      </c>
      <c r="AF72" s="60">
        <f>NA_monthly!AJ23</f>
        <v>2351.7461799999996</v>
      </c>
      <c r="AG72" s="60">
        <f>NA_monthly!AK23</f>
        <v>2798.9242300000005</v>
      </c>
      <c r="AH72" s="60">
        <f>NA_monthly!AL23</f>
        <v>2897.2736500000001</v>
      </c>
      <c r="AI72" s="60">
        <f>NA_monthly!AM23</f>
        <v>3438.4162900000001</v>
      </c>
      <c r="AJ72" s="60">
        <f>NA_monthly!AN23</f>
        <v>3137.5437900000002</v>
      </c>
      <c r="AK72" s="60">
        <f>NA_monthly!AO23</f>
        <v>4524.2469900000006</v>
      </c>
      <c r="AL72" s="60">
        <f>NA_monthly!AP23</f>
        <v>4263.0279700000001</v>
      </c>
      <c r="AM72" s="60">
        <f>NA_monthly!AQ23</f>
        <v>4539.41266</v>
      </c>
      <c r="AN72" s="60">
        <f>NA_monthly!AR23</f>
        <v>4703.3374200000007</v>
      </c>
      <c r="AO72" s="60">
        <f>NA_monthly!AS23</f>
        <v>4779.3350099999998</v>
      </c>
      <c r="AP72" s="60">
        <f>NA_monthly!AT23</f>
        <v>5022.2646199999999</v>
      </c>
      <c r="AQ72" s="60">
        <f>NA_monthly!AU23</f>
        <v>5407.34184</v>
      </c>
      <c r="AR72" s="60">
        <f>NA_monthly!AV23</f>
        <v>4689.7031499999994</v>
      </c>
      <c r="AS72" s="60">
        <f>NA_monthly!AW23</f>
        <v>5207.8584299999993</v>
      </c>
      <c r="AT72" s="60">
        <f>NA_monthly!AX23</f>
        <v>5133.3013799999999</v>
      </c>
      <c r="AU72" s="60">
        <f>NA_monthly!AY23</f>
        <v>5203.9771300000002</v>
      </c>
      <c r="AV72" s="60">
        <f>NA_monthly!AZ23</f>
        <v>4803.1871600000004</v>
      </c>
    </row>
    <row r="73" spans="1:48" x14ac:dyDescent="0.2">
      <c r="A73" s="60" t="str">
        <f>NA_monthly!D43</f>
        <v>Net working capital</v>
      </c>
      <c r="B73" s="60">
        <f>NA_monthly!F43</f>
        <v>0</v>
      </c>
      <c r="C73" s="60">
        <f>NA_monthly!G43</f>
        <v>0</v>
      </c>
      <c r="D73" s="60">
        <f>NA_monthly!H43</f>
        <v>0</v>
      </c>
      <c r="E73" s="60">
        <f>NA_monthly!I43</f>
        <v>0</v>
      </c>
      <c r="F73" s="60">
        <f>NA_monthly!J43</f>
        <v>0</v>
      </c>
      <c r="G73" s="60">
        <f>NA_monthly!K43</f>
        <v>0</v>
      </c>
      <c r="H73" s="60">
        <f>NA_monthly!L43</f>
        <v>0</v>
      </c>
      <c r="I73" s="60">
        <f>NA_monthly!M43</f>
        <v>0</v>
      </c>
      <c r="J73" s="60">
        <f>NA_monthly!N43</f>
        <v>0</v>
      </c>
      <c r="K73" s="60">
        <f>NA_monthly!O43</f>
        <v>0</v>
      </c>
      <c r="L73" s="60">
        <f>NA_monthly!P43</f>
        <v>0</v>
      </c>
      <c r="M73" s="60">
        <f>NA_monthly!Q43</f>
        <v>2018.4414800000002</v>
      </c>
      <c r="N73" s="60">
        <f>NA_monthly!R43</f>
        <v>1940.8259200000005</v>
      </c>
      <c r="O73" s="60">
        <f>NA_monthly!S43</f>
        <v>1855.9902200000001</v>
      </c>
      <c r="P73" s="60">
        <f>NA_monthly!T43</f>
        <v>1636.0301799999997</v>
      </c>
      <c r="Q73" s="60">
        <f>NA_monthly!U43</f>
        <v>1876.6104700000005</v>
      </c>
      <c r="R73" s="60">
        <f>NA_monthly!V43</f>
        <v>2079.09591</v>
      </c>
      <c r="S73" s="60">
        <f>NA_monthly!W43</f>
        <v>2587.3261200000002</v>
      </c>
      <c r="T73" s="60">
        <f>NA_monthly!X43</f>
        <v>2764.6927400000004</v>
      </c>
      <c r="U73" s="60">
        <f>NA_monthly!Y43</f>
        <v>3338.0251400000011</v>
      </c>
      <c r="V73" s="60">
        <f>NA_monthly!Z43</f>
        <v>3124.6659699999991</v>
      </c>
      <c r="W73" s="60">
        <f>NA_monthly!AA43</f>
        <v>3386.0691499999994</v>
      </c>
      <c r="X73" s="60">
        <f>NA_monthly!AB43</f>
        <v>3827.6881199999993</v>
      </c>
      <c r="Y73" s="60">
        <f>NA_monthly!AC43</f>
        <v>2937.4098900000008</v>
      </c>
      <c r="Z73" s="60">
        <f>NA_monthly!AD43</f>
        <v>2960.3092100000008</v>
      </c>
      <c r="AA73" s="60">
        <f>NA_monthly!AE43</f>
        <v>3325.6613400000001</v>
      </c>
      <c r="AB73" s="60">
        <f>NA_monthly!AF43</f>
        <v>3293.0297</v>
      </c>
      <c r="AC73" s="60">
        <f>NA_monthly!AG43</f>
        <v>3093.9559800000006</v>
      </c>
      <c r="AD73" s="60">
        <f>NA_monthly!AH43</f>
        <v>2802.5631100000001</v>
      </c>
      <c r="AE73" s="60">
        <f>NA_monthly!AI43</f>
        <v>2812.8867999999993</v>
      </c>
      <c r="AF73" s="60">
        <f>NA_monthly!AJ43</f>
        <v>1995.4795799999995</v>
      </c>
      <c r="AG73" s="60">
        <f>NA_monthly!AK43</f>
        <v>2390.3946600000004</v>
      </c>
      <c r="AH73" s="60">
        <f>NA_monthly!AL43</f>
        <v>2466.8786700000001</v>
      </c>
      <c r="AI73" s="60">
        <f>NA_monthly!AM43</f>
        <v>3063.2491</v>
      </c>
      <c r="AJ73" s="60">
        <f>NA_monthly!AN43</f>
        <v>2781.5463199999999</v>
      </c>
      <c r="AK73" s="60">
        <f>NA_monthly!AO43</f>
        <v>4243.2208300000002</v>
      </c>
      <c r="AL73" s="60">
        <f>NA_monthly!AP43</f>
        <v>3980.0816</v>
      </c>
      <c r="AM73" s="60">
        <f>NA_monthly!AQ43</f>
        <v>4236.5690400000003</v>
      </c>
      <c r="AN73" s="60">
        <f>NA_monthly!AR43</f>
        <v>4366.1775500000003</v>
      </c>
      <c r="AO73" s="60">
        <f>NA_monthly!AS43</f>
        <v>4449.8235999999997</v>
      </c>
      <c r="AP73" s="60">
        <f>NA_monthly!AT43</f>
        <v>4693.0629900000004</v>
      </c>
      <c r="AQ73" s="60">
        <f>NA_monthly!AU43</f>
        <v>5055.6697800000002</v>
      </c>
      <c r="AR73" s="60">
        <f>NA_monthly!AV43</f>
        <v>4069.8933399999992</v>
      </c>
      <c r="AS73" s="60">
        <f>NA_monthly!AW43</f>
        <v>4622.2779599999994</v>
      </c>
      <c r="AT73" s="60">
        <f>NA_monthly!AX43</f>
        <v>4634.8256199999996</v>
      </c>
      <c r="AU73" s="60">
        <f>NA_monthly!AY43</f>
        <v>4853.4081500000002</v>
      </c>
      <c r="AV73" s="60">
        <f>NA_monthly!AZ43</f>
        <v>4465.5808100000004</v>
      </c>
    </row>
    <row r="74" spans="1:48" x14ac:dyDescent="0.2">
      <c r="A74" s="60" t="str">
        <f>NA_monthly!D44</f>
        <v>Cash</v>
      </c>
      <c r="B74" s="60">
        <f>NA_monthly!F44</f>
        <v>0</v>
      </c>
      <c r="C74" s="60">
        <f>NA_monthly!G44</f>
        <v>0</v>
      </c>
      <c r="D74" s="60">
        <f>NA_monthly!H44</f>
        <v>0</v>
      </c>
      <c r="E74" s="60">
        <f>NA_monthly!I44</f>
        <v>0</v>
      </c>
      <c r="F74" s="60">
        <f>NA_monthly!J44</f>
        <v>0</v>
      </c>
      <c r="G74" s="60">
        <f>NA_monthly!K44</f>
        <v>0</v>
      </c>
      <c r="H74" s="60">
        <f>NA_monthly!L44</f>
        <v>0</v>
      </c>
      <c r="I74" s="60">
        <f>NA_monthly!M44</f>
        <v>0</v>
      </c>
      <c r="J74" s="60">
        <f>NA_monthly!N44</f>
        <v>0</v>
      </c>
      <c r="K74" s="60">
        <f>NA_monthly!O44</f>
        <v>0</v>
      </c>
      <c r="L74" s="60">
        <f>NA_monthly!P44</f>
        <v>0</v>
      </c>
      <c r="M74" s="60">
        <f>NA_monthly!Q44</f>
        <v>3008.3486599999997</v>
      </c>
      <c r="N74" s="60">
        <f>NA_monthly!R44</f>
        <v>3046.80222</v>
      </c>
      <c r="O74" s="60">
        <f>NA_monthly!S44</f>
        <v>2975.2577299999998</v>
      </c>
      <c r="P74" s="60">
        <f>NA_monthly!T44</f>
        <v>2636.7213400000001</v>
      </c>
      <c r="Q74" s="60">
        <f>NA_monthly!U44</f>
        <v>2548.45885</v>
      </c>
      <c r="R74" s="60">
        <f>NA_monthly!V44</f>
        <v>2108.0649899999999</v>
      </c>
      <c r="S74" s="60">
        <f>NA_monthly!W44</f>
        <v>2384.9018300000002</v>
      </c>
      <c r="T74" s="60">
        <f>NA_monthly!X44</f>
        <v>2234.7416800000001</v>
      </c>
      <c r="U74" s="60">
        <f>NA_monthly!Y44</f>
        <v>2010.48775</v>
      </c>
      <c r="V74" s="60">
        <f>NA_monthly!Z44</f>
        <v>2160.8007900000002</v>
      </c>
      <c r="W74" s="60">
        <f>NA_monthly!AA44</f>
        <v>1925.6364999999998</v>
      </c>
      <c r="X74" s="60">
        <f>NA_monthly!AB44</f>
        <v>1790.6274699999999</v>
      </c>
      <c r="Y74" s="60">
        <f>NA_monthly!AC44</f>
        <v>2715.5673000000002</v>
      </c>
      <c r="Z74" s="60">
        <f>NA_monthly!AD44</f>
        <v>2891.1325000000002</v>
      </c>
      <c r="AA74" s="60">
        <f>NA_monthly!AE44</f>
        <v>2759.4394899999998</v>
      </c>
      <c r="AB74" s="60">
        <f>NA_monthly!AF44</f>
        <v>3123.0123799999997</v>
      </c>
      <c r="AC74" s="60">
        <f>NA_monthly!AG44</f>
        <v>2307.3159900000001</v>
      </c>
      <c r="AD74" s="60">
        <f>NA_monthly!AH44</f>
        <v>2587.5650000000001</v>
      </c>
      <c r="AE74" s="60">
        <f>NA_monthly!AI44</f>
        <v>2246.2207399999998</v>
      </c>
      <c r="AF74" s="60">
        <f>NA_monthly!AJ44</f>
        <v>2302.9570899999999</v>
      </c>
      <c r="AG74" s="60">
        <f>NA_monthly!AK44</f>
        <v>2055.6295100000002</v>
      </c>
      <c r="AH74" s="60">
        <f>NA_monthly!AL44</f>
        <v>1633.0420799999999</v>
      </c>
      <c r="AI74" s="60">
        <f>NA_monthly!AM44</f>
        <v>1062.2571400000002</v>
      </c>
      <c r="AJ74" s="60">
        <f>NA_monthly!AN44</f>
        <v>1297.2736800000002</v>
      </c>
      <c r="AK74" s="60">
        <f>NA_monthly!AO44</f>
        <v>1004.06084</v>
      </c>
      <c r="AL74" s="60">
        <f>NA_monthly!AP44</f>
        <v>1408.1288499999998</v>
      </c>
      <c r="AM74" s="60">
        <f>NA_monthly!AQ44</f>
        <v>1218.9062300000003</v>
      </c>
      <c r="AN74" s="60">
        <f>NA_monthly!AR44</f>
        <v>1048.9010900000001</v>
      </c>
      <c r="AO74" s="60">
        <f>NA_monthly!AS44</f>
        <v>1161.74431</v>
      </c>
      <c r="AP74" s="60">
        <f>NA_monthly!AT44</f>
        <v>1027.9527399999999</v>
      </c>
      <c r="AQ74" s="60">
        <f>NA_monthly!AU44</f>
        <v>874.25879000000009</v>
      </c>
      <c r="AR74" s="60">
        <f>NA_monthly!AV44</f>
        <v>1707.7809199999999</v>
      </c>
      <c r="AS74" s="60">
        <f>NA_monthly!AW44</f>
        <v>1567.8410899999999</v>
      </c>
      <c r="AT74" s="60">
        <f>NA_monthly!AX44</f>
        <v>1708.9155900000001</v>
      </c>
      <c r="AU74" s="60">
        <f>NA_monthly!AY44</f>
        <v>1706.5359200000005</v>
      </c>
      <c r="AV74" s="60">
        <f>NA_monthly!AZ44</f>
        <v>1884.1671399999998</v>
      </c>
    </row>
    <row r="75" spans="1:48" x14ac:dyDescent="0.2">
      <c r="A75" s="60" t="str">
        <f>PL_monthly!D9</f>
        <v>Revenues</v>
      </c>
      <c r="B75" s="60">
        <f>PL_monthly!F9</f>
        <v>0</v>
      </c>
      <c r="C75" s="60">
        <f>PL_monthly!G9</f>
        <v>0</v>
      </c>
      <c r="D75" s="60">
        <f>PL_monthly!H9</f>
        <v>0</v>
      </c>
      <c r="E75" s="60">
        <f>PL_monthly!I9</f>
        <v>0</v>
      </c>
      <c r="F75" s="60">
        <f>PL_monthly!J9</f>
        <v>0</v>
      </c>
      <c r="G75" s="60">
        <f>PL_monthly!K9</f>
        <v>0</v>
      </c>
      <c r="H75" s="60">
        <f>PL_monthly!L9</f>
        <v>0</v>
      </c>
      <c r="I75" s="60">
        <f>PL_monthly!M9</f>
        <v>0</v>
      </c>
      <c r="J75" s="60">
        <f>PL_monthly!N9</f>
        <v>0</v>
      </c>
      <c r="K75" s="60">
        <f>PL_monthly!O9</f>
        <v>0</v>
      </c>
      <c r="L75" s="60">
        <f>PL_monthly!P9</f>
        <v>0</v>
      </c>
      <c r="M75" s="60">
        <f>PL_monthly!Q9</f>
        <v>0</v>
      </c>
      <c r="N75" s="60">
        <f>PL_monthly!R9</f>
        <v>1087.9522199999999</v>
      </c>
      <c r="O75" s="60">
        <f>PL_monthly!S9</f>
        <v>1215.65075</v>
      </c>
      <c r="P75" s="60">
        <f>PL_monthly!T9</f>
        <v>1445.90085</v>
      </c>
      <c r="Q75" s="60">
        <f>PL_monthly!U9</f>
        <v>1326.2848800000011</v>
      </c>
      <c r="R75" s="60">
        <f>PL_monthly!V9</f>
        <v>1200.1293099999994</v>
      </c>
      <c r="S75" s="60">
        <f>PL_monthly!W9</f>
        <v>1229.531649999999</v>
      </c>
      <c r="T75" s="60">
        <f>PL_monthly!X9</f>
        <v>1218.0430700000024</v>
      </c>
      <c r="U75" s="60">
        <f>PL_monthly!Y9</f>
        <v>1357.9236899999996</v>
      </c>
      <c r="V75" s="60">
        <f>PL_monthly!Z9</f>
        <v>1298.7723099999985</v>
      </c>
      <c r="W75" s="60">
        <f>PL_monthly!AA9</f>
        <v>1083.6378500000028</v>
      </c>
      <c r="X75" s="60">
        <f>PL_monthly!AB9</f>
        <v>1323.5491799999982</v>
      </c>
      <c r="Y75" s="60">
        <f>PL_monthly!AC9</f>
        <v>1528.8678199999995</v>
      </c>
      <c r="Z75" s="60">
        <f>PL_monthly!AD9</f>
        <v>1340.90383</v>
      </c>
      <c r="AA75" s="60">
        <f>PL_monthly!AE9</f>
        <v>1375.6854699999997</v>
      </c>
      <c r="AB75" s="60">
        <f>PL_monthly!AF9</f>
        <v>1659.5217500000008</v>
      </c>
      <c r="AC75" s="60">
        <f>PL_monthly!AG9</f>
        <v>1332.6840699999993</v>
      </c>
      <c r="AD75" s="60">
        <f>PL_monthly!AH9</f>
        <v>1745.2055600000003</v>
      </c>
      <c r="AE75" s="60">
        <f>PL_monthly!AI9</f>
        <v>1098.1647899999998</v>
      </c>
      <c r="AF75" s="60">
        <f>PL_monthly!AJ9</f>
        <v>1488.1723400000028</v>
      </c>
      <c r="AG75" s="60">
        <f>PL_monthly!AK9</f>
        <v>1264.4617200000012</v>
      </c>
      <c r="AH75" s="60">
        <f>PL_monthly!AL9</f>
        <v>1422.5577999999969</v>
      </c>
      <c r="AI75" s="60">
        <f>PL_monthly!AM9</f>
        <v>1334.7221700000009</v>
      </c>
      <c r="AJ75" s="60">
        <f>PL_monthly!AN9</f>
        <v>1322.4554199999984</v>
      </c>
      <c r="AK75" s="60">
        <f>PL_monthly!AO9</f>
        <v>1275.4285400000026</v>
      </c>
      <c r="AL75" s="60">
        <f>PL_monthly!AP9</f>
        <v>1354.9349999999999</v>
      </c>
      <c r="AM75" s="60">
        <f>PL_monthly!AQ9</f>
        <v>1472.33986</v>
      </c>
      <c r="AN75" s="60">
        <f>PL_monthly!AR9</f>
        <v>1118.1142899999995</v>
      </c>
      <c r="AO75" s="60">
        <f>PL_monthly!AS9</f>
        <v>1362.9074900000001</v>
      </c>
      <c r="AP75" s="60">
        <f>PL_monthly!AT9</f>
        <v>1513.9719699999996</v>
      </c>
      <c r="AQ75" s="60">
        <f>PL_monthly!AU9</f>
        <v>1056.3677600000001</v>
      </c>
      <c r="AR75" s="60">
        <f>PL_monthly!AV9</f>
        <v>1111.3171599999996</v>
      </c>
      <c r="AS75" s="60">
        <f>PL_monthly!AW9</f>
        <v>1378.936310000001</v>
      </c>
      <c r="AT75" s="60">
        <f>PL_monthly!AX9</f>
        <v>1124.2209600000006</v>
      </c>
      <c r="AU75" s="60">
        <f>PL_monthly!AY9</f>
        <v>1212.3275400000039</v>
      </c>
      <c r="AV75" s="60">
        <f>PL_monthly!AZ9</f>
        <v>1193.4928099999961</v>
      </c>
    </row>
    <row r="76" spans="1:48" x14ac:dyDescent="0.2">
      <c r="A76" s="60" t="s">
        <v>843</v>
      </c>
      <c r="B76" s="445">
        <f>IF(NA_monthly!F108="n.a.",0,NA_monthly!F108)</f>
        <v>0</v>
      </c>
      <c r="C76" s="445">
        <f>IF(NA_monthly!G108="n.a.",0,NA_monthly!G108)</f>
        <v>0</v>
      </c>
      <c r="D76" s="445">
        <f>IF(NA_monthly!H108="n.a.",0,NA_monthly!H108)</f>
        <v>0</v>
      </c>
      <c r="E76" s="445">
        <f>IF(NA_monthly!I108="n.a.",0,NA_monthly!I108)</f>
        <v>0</v>
      </c>
      <c r="F76" s="445">
        <f>IF(NA_monthly!J108="n.a.",0,NA_monthly!J108)</f>
        <v>0</v>
      </c>
      <c r="G76" s="445">
        <f>IF(NA_monthly!K108="n.a.",0,NA_monthly!K108)</f>
        <v>0</v>
      </c>
      <c r="H76" s="445">
        <f>IF(NA_monthly!L108="n.a.",0,NA_monthly!L108)</f>
        <v>0</v>
      </c>
      <c r="I76" s="445">
        <f>IF(NA_monthly!M108="n.a.",0,NA_monthly!M108)</f>
        <v>0</v>
      </c>
      <c r="J76" s="445">
        <f>IF(NA_monthly!N108="n.a.",0,NA_monthly!N108)</f>
        <v>0</v>
      </c>
      <c r="K76" s="445">
        <f>IF(NA_monthly!O108="n.a.",0,NA_monthly!O108)</f>
        <v>0</v>
      </c>
      <c r="L76" s="445">
        <f>IF(NA_monthly!P108="n.a.",0,NA_monthly!P108)</f>
        <v>0</v>
      </c>
      <c r="M76" s="445">
        <f>IF(NA_monthly!Q108="n.a.",0,NA_monthly!Q108)</f>
        <v>0.17841840192189365</v>
      </c>
      <c r="N76" s="445">
        <f>IF(NA_monthly!R108="n.a.",0,NA_monthly!R108)</f>
        <v>0</v>
      </c>
      <c r="O76" s="445">
        <f>IF(NA_monthly!S108="n.a.",0,NA_monthly!S108)</f>
        <v>0</v>
      </c>
      <c r="P76" s="445">
        <f>IF(NA_monthly!T108="n.a.",0,NA_monthly!T108)</f>
        <v>0</v>
      </c>
      <c r="Q76" s="445">
        <f>IF(NA_monthly!U108="n.a.",0,NA_monthly!U108)</f>
        <v>0</v>
      </c>
      <c r="R76" s="445">
        <f>IF(NA_monthly!V108="n.a.",0,NA_monthly!V108)</f>
        <v>0</v>
      </c>
      <c r="S76" s="445">
        <f>IF(NA_monthly!W108="n.a.",0,NA_monthly!W108)</f>
        <v>0</v>
      </c>
      <c r="T76" s="445">
        <f>IF(NA_monthly!X108="n.a.",0,NA_monthly!X108)</f>
        <v>0</v>
      </c>
      <c r="U76" s="445">
        <f>IF(NA_monthly!Y108="n.a.",0,NA_monthly!Y108)</f>
        <v>0</v>
      </c>
      <c r="V76" s="445">
        <f>IF(NA_monthly!Z108="n.a.",0,NA_monthly!Z108)</f>
        <v>0</v>
      </c>
      <c r="W76" s="445">
        <f>IF(NA_monthly!AA108="n.a.",0,NA_monthly!AA108)</f>
        <v>0</v>
      </c>
      <c r="X76" s="445">
        <f>IF(NA_monthly!AB108="n.a.",0,NA_monthly!AB108)</f>
        <v>0</v>
      </c>
      <c r="Y76" s="445">
        <f>IF(NA_monthly!AC108="n.a.",0,NA_monthly!AC108)</f>
        <v>0.21808172888825267</v>
      </c>
      <c r="Z76" s="445">
        <f>IF(NA_monthly!AD108="n.a.",0,NA_monthly!AD108)</f>
        <v>0.21109338728767013</v>
      </c>
      <c r="AA76" s="445">
        <f>IF(NA_monthly!AE108="n.a.",0,NA_monthly!AE108)</f>
        <v>0.23657202617620079</v>
      </c>
      <c r="AB76" s="445">
        <f>IF(NA_monthly!AF108="n.a.",0,NA_monthly!AF108)</f>
        <v>0.2421718377730965</v>
      </c>
      <c r="AC76" s="445">
        <f>IF(NA_monthly!AG108="n.a.",0,NA_monthly!AG108)</f>
        <v>0.2314582923961942</v>
      </c>
      <c r="AD76" s="445">
        <f>IF(NA_monthly!AH108="n.a.",0,NA_monthly!AH108)</f>
        <v>0.20403246964998042</v>
      </c>
      <c r="AE76" s="445">
        <f>IF(NA_monthly!AI108="n.a.",0,NA_monthly!AI108)</f>
        <v>0.20506773255519267</v>
      </c>
      <c r="AF76" s="445">
        <f>IF(NA_monthly!AJ108="n.a.",0,NA_monthly!AJ108)</f>
        <v>0.14439568195026981</v>
      </c>
      <c r="AG76" s="445">
        <f>IF(NA_monthly!AK108="n.a.",0,NA_monthly!AK108)</f>
        <v>0.17224839976119194</v>
      </c>
      <c r="AH76" s="445">
        <f>IF(NA_monthly!AL108="n.a.",0,NA_monthly!AL108)</f>
        <v>0.17687095645016926</v>
      </c>
      <c r="AI76" s="445">
        <f>IF(NA_monthly!AM108="n.a.",0,NA_monthly!AM108)</f>
        <v>0.20623825781630567</v>
      </c>
      <c r="AJ76" s="445">
        <f>IF(NA_monthly!AN108="n.a.",0,NA_monthly!AN108)</f>
        <v>0.18846259614344171</v>
      </c>
      <c r="AK76" s="445">
        <f>IF(NA_monthly!AO108="n.a.",0,NA_monthly!AO108)</f>
        <v>0.27456524745583083</v>
      </c>
      <c r="AL76" s="445">
        <f>IF(NA_monthly!AP108="n.a.",0,NA_monthly!AP108)</f>
        <v>0.25866794764584855</v>
      </c>
      <c r="AM76" s="445">
        <f>IF(NA_monthly!AQ108="n.a.",0,NA_monthly!AQ108)</f>
        <v>0.27365742700397883</v>
      </c>
      <c r="AN76" s="445">
        <f>IF(NA_monthly!AR108="n.a.",0,NA_monthly!AR108)</f>
        <v>0.29288721856944255</v>
      </c>
      <c r="AO76" s="445">
        <f>IF(NA_monthly!AS108="n.a.",0,NA_monthly!AS108)</f>
        <v>0.29394171431094651</v>
      </c>
      <c r="AP76" s="445">
        <f>IF(NA_monthly!AT108="n.a.",0,NA_monthly!AT108)</f>
        <v>0.31333866462231053</v>
      </c>
      <c r="AQ76" s="445">
        <f>IF(NA_monthly!AU108="n.a.",0,NA_monthly!AU108)</f>
        <v>0.33824564741777724</v>
      </c>
      <c r="AR76" s="445">
        <f>IF(NA_monthly!AV108="n.a.",0,NA_monthly!AV108)</f>
        <v>0.30043751313992823</v>
      </c>
      <c r="AS76" s="445">
        <f>IF(NA_monthly!AW108="n.a.",0,NA_monthly!AW108)</f>
        <v>0.33120329567532381</v>
      </c>
      <c r="AT76" s="445">
        <f>IF(NA_monthly!AX108="n.a.",0,NA_monthly!AX108)</f>
        <v>0.33277554640048745</v>
      </c>
      <c r="AU76" s="445">
        <f>IF(NA_monthly!AY108="n.a.",0,NA_monthly!AY108)</f>
        <v>0.34005538326798485</v>
      </c>
      <c r="AV76" s="445">
        <f>IF(NA_monthly!AZ108="n.a.",0,NA_monthly!AZ108)</f>
        <v>0.31653310308476024</v>
      </c>
    </row>
    <row r="97" spans="1:5" s="59" customFormat="1" ht="5.25" customHeight="1" x14ac:dyDescent="0.2"/>
    <row r="100" spans="1:5" x14ac:dyDescent="0.2">
      <c r="A100" s="62" t="s">
        <v>176</v>
      </c>
    </row>
    <row r="103" spans="1:5" x14ac:dyDescent="0.2">
      <c r="A103" s="63"/>
      <c r="B103" s="64">
        <f>NA_TWC!F6</f>
        <v>44926</v>
      </c>
      <c r="C103" s="38">
        <f>NA_TWC!G6</f>
        <v>45291</v>
      </c>
      <c r="D103" s="38">
        <f>NA_TWC!H6</f>
        <v>45657</v>
      </c>
      <c r="E103" s="38">
        <f>NA_TWC!I6</f>
        <v>46022</v>
      </c>
    </row>
    <row r="104" spans="1:5" x14ac:dyDescent="0.2">
      <c r="A104" s="63"/>
      <c r="B104" s="63"/>
      <c r="C104" s="63"/>
      <c r="D104" s="63"/>
      <c r="E104" s="63"/>
    </row>
    <row r="105" spans="1:5" x14ac:dyDescent="0.2">
      <c r="A105" s="61" t="s">
        <v>223</v>
      </c>
      <c r="B105" s="60">
        <f>NA_TWC!F75</f>
        <v>93.407520909856743</v>
      </c>
      <c r="C105" s="60">
        <f>NA_TWC!G75</f>
        <v>119.70807795025965</v>
      </c>
      <c r="D105" s="60">
        <f>NA_TWC!H75</f>
        <v>167.58947378550167</v>
      </c>
      <c r="E105" s="60">
        <f>NA_TWC!I75</f>
        <v>144.41207386085617</v>
      </c>
    </row>
    <row r="106" spans="1:5" x14ac:dyDescent="0.2">
      <c r="A106" s="61" t="s">
        <v>222</v>
      </c>
      <c r="B106" s="60">
        <f>NA_TWC!F76</f>
        <v>38.897510540102012</v>
      </c>
      <c r="C106" s="60">
        <f>NA_TWC!G76</f>
        <v>37.804585721403107</v>
      </c>
      <c r="D106" s="60">
        <f>NA_TWC!H76</f>
        <v>43.572274221542614</v>
      </c>
      <c r="E106" s="60">
        <f>NA_TWC!I76</f>
        <v>34.425259183022817</v>
      </c>
    </row>
    <row r="107" spans="1:5" x14ac:dyDescent="0.2">
      <c r="A107" s="61" t="s">
        <v>221</v>
      </c>
      <c r="B107" s="60">
        <f>NA_TWC!F77</f>
        <v>-38.391056115895296</v>
      </c>
      <c r="C107" s="60">
        <f>NA_TWC!G77</f>
        <v>-40.545774179318315</v>
      </c>
      <c r="D107" s="60">
        <f>NA_TWC!H77</f>
        <v>-55.217443639715206</v>
      </c>
      <c r="E107" s="60">
        <f>NA_TWC!I77</f>
        <v>-12.072311109658386</v>
      </c>
    </row>
    <row r="108" spans="1:5" x14ac:dyDescent="0.2">
      <c r="A108" s="61" t="s">
        <v>220</v>
      </c>
      <c r="B108" s="60">
        <f>NA_TWC!F78</f>
        <v>93.913975334063466</v>
      </c>
      <c r="C108" s="60">
        <f>NA_TWC!G78</f>
        <v>116.96688949234444</v>
      </c>
      <c r="D108" s="60">
        <f>NA_TWC!H78</f>
        <v>155.94430436732907</v>
      </c>
      <c r="E108" s="60">
        <f>NA_TWC!I78</f>
        <v>166.76502193422058</v>
      </c>
    </row>
    <row r="112" spans="1:5" s="59" customFormat="1" ht="5.25" customHeight="1" x14ac:dyDescent="0.2"/>
    <row r="114" spans="1:6" s="443" customFormat="1" x14ac:dyDescent="0.2"/>
    <row r="115" spans="1:6" x14ac:dyDescent="0.2">
      <c r="A115" s="62" t="s">
        <v>219</v>
      </c>
    </row>
    <row r="117" spans="1:6" x14ac:dyDescent="0.2">
      <c r="A117" s="61"/>
      <c r="B117" s="60" t="s">
        <v>218</v>
      </c>
      <c r="C117" s="60" t="s">
        <v>217</v>
      </c>
      <c r="D117" s="60" t="s">
        <v>216</v>
      </c>
      <c r="E117" s="60" t="s">
        <v>215</v>
      </c>
      <c r="F117" s="60" t="s">
        <v>214</v>
      </c>
    </row>
    <row r="118" spans="1:6" x14ac:dyDescent="0.2">
      <c r="A118" s="61"/>
      <c r="B118" s="60"/>
      <c r="C118" s="60"/>
      <c r="D118" s="60"/>
      <c r="E118" s="61"/>
      <c r="F118" s="60"/>
    </row>
    <row r="119" spans="1:6" x14ac:dyDescent="0.2">
      <c r="A119" s="61" t="s">
        <v>213</v>
      </c>
      <c r="B119" s="60"/>
      <c r="C119" s="60"/>
      <c r="D119" s="60"/>
      <c r="E119" s="61"/>
      <c r="F119" s="60"/>
    </row>
    <row r="120" spans="1:6" x14ac:dyDescent="0.2">
      <c r="A120" s="61" t="s">
        <v>213</v>
      </c>
      <c r="B120" s="60"/>
      <c r="C120" s="60"/>
      <c r="D120" s="60"/>
      <c r="E120" s="61"/>
      <c r="F120" s="60"/>
    </row>
    <row r="121" spans="1:6" x14ac:dyDescent="0.2">
      <c r="A121" s="61" t="s">
        <v>213</v>
      </c>
      <c r="B121" s="60"/>
      <c r="C121" s="60"/>
      <c r="D121" s="60"/>
      <c r="E121" s="61"/>
      <c r="F121" s="60"/>
    </row>
    <row r="122" spans="1:6" x14ac:dyDescent="0.2">
      <c r="A122" s="61" t="s">
        <v>213</v>
      </c>
      <c r="B122" s="60"/>
      <c r="C122" s="61"/>
      <c r="D122" s="60"/>
      <c r="E122" s="61"/>
      <c r="F122" s="60"/>
    </row>
    <row r="130" spans="1:4" s="59" customFormat="1" ht="5.25" customHeight="1" x14ac:dyDescent="0.2"/>
    <row r="132" spans="1:4" s="443" customFormat="1" x14ac:dyDescent="0.2"/>
    <row r="133" spans="1:4" x14ac:dyDescent="0.2">
      <c r="A133" s="62" t="s">
        <v>212</v>
      </c>
    </row>
    <row r="135" spans="1:4" x14ac:dyDescent="0.2">
      <c r="A135" s="17">
        <v>44196</v>
      </c>
    </row>
    <row r="136" spans="1:4" x14ac:dyDescent="0.2">
      <c r="A136" s="61"/>
      <c r="B136" s="60" t="s">
        <v>210</v>
      </c>
      <c r="C136" s="61" t="s">
        <v>211</v>
      </c>
      <c r="D136" s="60" t="s">
        <v>210</v>
      </c>
    </row>
    <row r="137" spans="1:4" x14ac:dyDescent="0.2">
      <c r="A137" s="61" t="s">
        <v>209</v>
      </c>
      <c r="B137" s="60"/>
      <c r="C137" s="60"/>
      <c r="D137" s="60"/>
    </row>
    <row r="138" spans="1:4" x14ac:dyDescent="0.2">
      <c r="A138" s="61" t="s">
        <v>208</v>
      </c>
      <c r="B138" s="60"/>
      <c r="C138" s="60"/>
      <c r="D138" s="60"/>
    </row>
    <row r="139" spans="1:4" x14ac:dyDescent="0.2">
      <c r="A139" s="61" t="s">
        <v>207</v>
      </c>
      <c r="B139" s="60"/>
      <c r="C139" s="60"/>
      <c r="D139" s="60"/>
    </row>
    <row r="140" spans="1:4" x14ac:dyDescent="0.2">
      <c r="A140" s="61" t="s">
        <v>206</v>
      </c>
      <c r="B140" s="60"/>
      <c r="C140" s="60"/>
      <c r="D140" s="60"/>
    </row>
    <row r="141" spans="1:4" x14ac:dyDescent="0.2">
      <c r="A141" s="61" t="s">
        <v>205</v>
      </c>
      <c r="B141" s="60"/>
      <c r="C141" s="60"/>
      <c r="D141" s="60"/>
    </row>
    <row r="144" spans="1:4" x14ac:dyDescent="0.2">
      <c r="A144" s="34"/>
    </row>
    <row r="149" s="59" customFormat="1" ht="5.25" customHeight="1" x14ac:dyDescent="0.2"/>
  </sheetData>
  <pageMargins left="0.7" right="0.7" top="0.78740157499999996" bottom="0.78740157499999996"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DD7DC-F408-48D7-A9C6-81894C33E1AA}">
  <dimension ref="A1:CK109"/>
  <sheetViews>
    <sheetView workbookViewId="0"/>
  </sheetViews>
  <sheetFormatPr defaultColWidth="11.42578125" defaultRowHeight="15" x14ac:dyDescent="0.25"/>
  <cols>
    <col min="3" max="4" width="35.5703125" customWidth="1"/>
    <col min="5" max="89" width="9.42578125" customWidth="1"/>
  </cols>
  <sheetData>
    <row r="1" spans="1:2" x14ac:dyDescent="0.25">
      <c r="A1">
        <v>109</v>
      </c>
      <c r="B1">
        <v>89</v>
      </c>
    </row>
    <row r="29" spans="4:4" x14ac:dyDescent="0.25">
      <c r="D29" s="37"/>
    </row>
    <row r="107" spans="3:89" x14ac:dyDescent="0.25">
      <c r="C107" s="393"/>
      <c r="D107" s="394"/>
      <c r="E107" s="394"/>
      <c r="F107" s="395"/>
      <c r="G107" s="395"/>
      <c r="H107" s="395"/>
      <c r="I107" s="395"/>
      <c r="J107" s="395"/>
      <c r="K107" s="395"/>
      <c r="L107" s="395"/>
      <c r="M107" s="395"/>
      <c r="N107" s="395"/>
      <c r="O107" s="395"/>
      <c r="P107" s="395"/>
      <c r="Q107" s="396"/>
      <c r="R107" s="396"/>
      <c r="S107" s="396"/>
      <c r="T107" s="396"/>
      <c r="U107" s="396"/>
      <c r="V107" s="396"/>
      <c r="W107" s="396"/>
      <c r="X107" s="396"/>
      <c r="Y107" s="396"/>
      <c r="Z107" s="396"/>
      <c r="AA107" s="396"/>
      <c r="AB107" s="396"/>
      <c r="AC107" s="396"/>
      <c r="AD107" s="396"/>
      <c r="AE107" s="396"/>
      <c r="AF107" s="396"/>
      <c r="AG107" s="396"/>
      <c r="AH107" s="396"/>
      <c r="AI107" s="396"/>
      <c r="AJ107" s="396"/>
      <c r="AK107" s="396"/>
      <c r="AL107" s="396"/>
      <c r="AM107" s="396"/>
      <c r="AN107" s="396"/>
      <c r="AO107" s="396"/>
      <c r="AP107" s="396"/>
      <c r="AQ107" s="396"/>
      <c r="AR107" s="396"/>
      <c r="AS107" s="396"/>
      <c r="AT107" s="396"/>
      <c r="AU107" s="396"/>
      <c r="AV107" s="396"/>
      <c r="AW107" s="396"/>
      <c r="AX107" s="396"/>
      <c r="AY107" s="396"/>
      <c r="AZ107" s="396"/>
      <c r="BA107" s="396"/>
      <c r="BB107" s="396"/>
      <c r="BC107" s="396"/>
      <c r="BD107" s="396"/>
      <c r="BE107" s="396"/>
      <c r="BF107" s="396"/>
      <c r="BG107" s="396"/>
      <c r="BH107" s="396"/>
      <c r="BI107" s="396"/>
      <c r="BJ107" s="396"/>
      <c r="BK107" s="396"/>
      <c r="BL107" s="396"/>
      <c r="BM107" s="396"/>
      <c r="BN107" s="396"/>
      <c r="BO107" s="396"/>
      <c r="BP107" s="396"/>
      <c r="BQ107" s="396"/>
      <c r="BR107" s="396"/>
      <c r="BS107" s="396"/>
      <c r="BT107" s="396"/>
      <c r="BU107" s="396"/>
      <c r="BV107" s="396"/>
      <c r="BW107" s="396"/>
      <c r="BX107" s="396"/>
      <c r="BY107" s="396"/>
      <c r="BZ107" s="396"/>
      <c r="CA107" s="396"/>
      <c r="CB107" s="396"/>
      <c r="CC107" s="396"/>
      <c r="CD107" s="396"/>
      <c r="CE107" s="396"/>
      <c r="CF107" s="396"/>
      <c r="CG107" s="396"/>
      <c r="CH107" s="396"/>
      <c r="CI107" s="396"/>
      <c r="CJ107" s="396"/>
      <c r="CK107" s="397"/>
    </row>
    <row r="108" spans="3:89" x14ac:dyDescent="0.25">
      <c r="C108" s="398"/>
      <c r="D108" s="375"/>
      <c r="E108" s="375"/>
      <c r="F108" s="399"/>
      <c r="G108" s="399"/>
      <c r="H108" s="399"/>
      <c r="I108" s="399"/>
      <c r="J108" s="399"/>
      <c r="K108" s="399"/>
      <c r="L108" s="399"/>
      <c r="M108" s="399"/>
      <c r="N108" s="399"/>
      <c r="O108" s="399"/>
      <c r="P108" s="399"/>
      <c r="Q108" s="399"/>
      <c r="R108" s="399"/>
      <c r="S108" s="399"/>
      <c r="T108" s="399"/>
      <c r="U108" s="399"/>
      <c r="V108" s="399"/>
      <c r="W108" s="399"/>
      <c r="X108" s="399"/>
      <c r="Y108" s="399"/>
      <c r="Z108" s="399"/>
      <c r="AA108" s="399"/>
      <c r="AB108" s="399"/>
      <c r="AC108" s="399"/>
      <c r="AD108" s="399"/>
      <c r="AE108" s="399"/>
      <c r="AF108" s="399"/>
      <c r="AG108" s="399"/>
      <c r="AH108" s="399"/>
      <c r="AI108" s="399"/>
      <c r="AJ108" s="399"/>
      <c r="AK108" s="399"/>
      <c r="AL108" s="399"/>
      <c r="AM108" s="399"/>
      <c r="AN108" s="399"/>
      <c r="AO108" s="399"/>
      <c r="AP108" s="399"/>
      <c r="AQ108" s="399"/>
      <c r="AR108" s="399"/>
      <c r="AS108" s="399"/>
      <c r="AT108" s="399"/>
      <c r="AU108" s="399"/>
      <c r="AV108" s="399"/>
      <c r="AW108" s="399"/>
      <c r="AX108" s="399"/>
      <c r="AY108" s="399"/>
      <c r="AZ108" s="399"/>
      <c r="BA108" s="399"/>
      <c r="BB108" s="399"/>
      <c r="BC108" s="399"/>
      <c r="BD108" s="399"/>
      <c r="BE108" s="399"/>
      <c r="BF108" s="399"/>
      <c r="BG108" s="399"/>
      <c r="BH108" s="399"/>
      <c r="BI108" s="399"/>
      <c r="BJ108" s="399"/>
      <c r="BK108" s="399"/>
      <c r="BL108" s="399"/>
      <c r="BM108" s="399"/>
      <c r="BN108" s="399"/>
      <c r="BO108" s="399"/>
      <c r="BP108" s="399"/>
      <c r="BQ108" s="399"/>
      <c r="BR108" s="399"/>
      <c r="BS108" s="399"/>
      <c r="BT108" s="399"/>
      <c r="BU108" s="399"/>
      <c r="BV108" s="399"/>
      <c r="BW108" s="399"/>
      <c r="BX108" s="399"/>
      <c r="BY108" s="399"/>
      <c r="BZ108" s="399"/>
      <c r="CA108" s="399"/>
      <c r="CB108" s="399"/>
      <c r="CC108" s="399"/>
      <c r="CD108" s="399"/>
      <c r="CE108" s="399"/>
      <c r="CF108" s="399"/>
      <c r="CG108" s="399"/>
      <c r="CH108" s="399"/>
      <c r="CI108" s="399"/>
      <c r="CJ108" s="399"/>
      <c r="CK108" s="400"/>
    </row>
    <row r="109" spans="3:89" x14ac:dyDescent="0.25">
      <c r="C109" s="401"/>
      <c r="D109" s="402"/>
      <c r="E109" s="402"/>
      <c r="F109" s="403"/>
      <c r="G109" s="403"/>
      <c r="H109" s="403"/>
      <c r="I109" s="403"/>
      <c r="J109" s="403"/>
      <c r="K109" s="403"/>
      <c r="L109" s="403"/>
      <c r="M109" s="403"/>
      <c r="N109" s="403"/>
      <c r="O109" s="403"/>
      <c r="P109" s="403"/>
      <c r="Q109" s="403"/>
      <c r="R109" s="403"/>
      <c r="S109" s="403"/>
      <c r="T109" s="403"/>
      <c r="U109" s="403"/>
      <c r="V109" s="403"/>
      <c r="W109" s="403"/>
      <c r="X109" s="403"/>
      <c r="Y109" s="403"/>
      <c r="Z109" s="403"/>
      <c r="AA109" s="403"/>
      <c r="AB109" s="403"/>
      <c r="AC109" s="403"/>
      <c r="AD109" s="403"/>
      <c r="AE109" s="403"/>
      <c r="AF109" s="403"/>
      <c r="AG109" s="403"/>
      <c r="AH109" s="403"/>
      <c r="AI109" s="403"/>
      <c r="AJ109" s="403"/>
      <c r="AK109" s="403"/>
      <c r="AL109" s="403"/>
      <c r="AM109" s="403"/>
      <c r="AN109" s="403"/>
      <c r="AO109" s="403"/>
      <c r="AP109" s="403"/>
      <c r="AQ109" s="403"/>
      <c r="AR109" s="403"/>
      <c r="AS109" s="403"/>
      <c r="AT109" s="403"/>
      <c r="AU109" s="403"/>
      <c r="AV109" s="403"/>
      <c r="AW109" s="403"/>
      <c r="AX109" s="403"/>
      <c r="AY109" s="403"/>
      <c r="AZ109" s="403"/>
      <c r="BA109" s="403"/>
      <c r="BB109" s="403"/>
      <c r="BC109" s="403"/>
      <c r="BD109" s="403"/>
      <c r="BE109" s="403"/>
      <c r="BF109" s="403"/>
      <c r="BG109" s="403"/>
      <c r="BH109" s="403"/>
      <c r="BI109" s="403"/>
      <c r="BJ109" s="403"/>
      <c r="BK109" s="403"/>
      <c r="BL109" s="403"/>
      <c r="BM109" s="403"/>
      <c r="BN109" s="403"/>
      <c r="BO109" s="403"/>
      <c r="BP109" s="403"/>
      <c r="BQ109" s="403"/>
      <c r="BR109" s="403"/>
      <c r="BS109" s="403"/>
      <c r="BT109" s="403"/>
      <c r="BU109" s="403"/>
      <c r="BV109" s="403"/>
      <c r="BW109" s="403"/>
      <c r="BX109" s="403"/>
      <c r="BY109" s="403"/>
      <c r="BZ109" s="403"/>
      <c r="CA109" s="403"/>
      <c r="CB109" s="403"/>
      <c r="CC109" s="403"/>
      <c r="CD109" s="403"/>
      <c r="CE109" s="403"/>
      <c r="CF109" s="403"/>
      <c r="CG109" s="403"/>
      <c r="CH109" s="403"/>
      <c r="CI109" s="403"/>
      <c r="CJ109" s="403"/>
      <c r="CK109" s="404"/>
    </row>
  </sheetData>
  <pageMargins left="0.7" right="0.7" top="0.78740157499999996" bottom="0.78740157499999996" header="0.3" footer="0.3"/>
  <pageSetup paperSize="0" orientation="portrait" horizontalDpi="0" verticalDpi="0" copies="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2286-C1B8-448A-B534-F072032ECA4F}">
  <dimension ref="A1:CK109"/>
  <sheetViews>
    <sheetView workbookViewId="0"/>
  </sheetViews>
  <sheetFormatPr defaultColWidth="11.42578125" defaultRowHeight="15" x14ac:dyDescent="0.25"/>
  <cols>
    <col min="3" max="4" width="35.5703125" customWidth="1"/>
    <col min="5" max="89" width="9.42578125" customWidth="1"/>
  </cols>
  <sheetData>
    <row r="1" spans="1:2" x14ac:dyDescent="0.25">
      <c r="A1">
        <v>109</v>
      </c>
      <c r="B1">
        <v>89</v>
      </c>
    </row>
    <row r="29" spans="4:4" x14ac:dyDescent="0.25">
      <c r="D29" s="37"/>
    </row>
    <row r="107" spans="3:89" x14ac:dyDescent="0.25">
      <c r="C107" s="393"/>
      <c r="D107" s="394"/>
      <c r="E107" s="394"/>
      <c r="F107" s="395"/>
      <c r="G107" s="395"/>
      <c r="H107" s="395"/>
      <c r="I107" s="395"/>
      <c r="J107" s="395"/>
      <c r="K107" s="395"/>
      <c r="L107" s="395"/>
      <c r="M107" s="395"/>
      <c r="N107" s="395"/>
      <c r="O107" s="395"/>
      <c r="P107" s="395"/>
      <c r="Q107" s="396"/>
      <c r="R107" s="396"/>
      <c r="S107" s="396"/>
      <c r="T107" s="396"/>
      <c r="U107" s="396"/>
      <c r="V107" s="396"/>
      <c r="W107" s="396"/>
      <c r="X107" s="396"/>
      <c r="Y107" s="396"/>
      <c r="Z107" s="396"/>
      <c r="AA107" s="396"/>
      <c r="AB107" s="396"/>
      <c r="AC107" s="396"/>
      <c r="AD107" s="396"/>
      <c r="AE107" s="396"/>
      <c r="AF107" s="396"/>
      <c r="AG107" s="396"/>
      <c r="AH107" s="396"/>
      <c r="AI107" s="396"/>
      <c r="AJ107" s="396"/>
      <c r="AK107" s="396"/>
      <c r="AL107" s="396"/>
      <c r="AM107" s="396"/>
      <c r="AN107" s="396"/>
      <c r="AO107" s="396"/>
      <c r="AP107" s="396"/>
      <c r="AQ107" s="396"/>
      <c r="AR107" s="396"/>
      <c r="AS107" s="396"/>
      <c r="AT107" s="396"/>
      <c r="AU107" s="396"/>
      <c r="AV107" s="396"/>
      <c r="AW107" s="396"/>
      <c r="AX107" s="396"/>
      <c r="AY107" s="396"/>
      <c r="AZ107" s="396"/>
      <c r="BA107" s="396"/>
      <c r="BB107" s="396"/>
      <c r="BC107" s="396"/>
      <c r="BD107" s="396"/>
      <c r="BE107" s="396"/>
      <c r="BF107" s="396"/>
      <c r="BG107" s="396"/>
      <c r="BH107" s="396"/>
      <c r="BI107" s="396"/>
      <c r="BJ107" s="396"/>
      <c r="BK107" s="396"/>
      <c r="BL107" s="396"/>
      <c r="BM107" s="396"/>
      <c r="BN107" s="396"/>
      <c r="BO107" s="396"/>
      <c r="BP107" s="396"/>
      <c r="BQ107" s="396"/>
      <c r="BR107" s="396"/>
      <c r="BS107" s="396"/>
      <c r="BT107" s="396"/>
      <c r="BU107" s="396"/>
      <c r="BV107" s="396"/>
      <c r="BW107" s="396"/>
      <c r="BX107" s="396"/>
      <c r="BY107" s="396"/>
      <c r="BZ107" s="396"/>
      <c r="CA107" s="396"/>
      <c r="CB107" s="396"/>
      <c r="CC107" s="396"/>
      <c r="CD107" s="396"/>
      <c r="CE107" s="396"/>
      <c r="CF107" s="396"/>
      <c r="CG107" s="396"/>
      <c r="CH107" s="396"/>
      <c r="CI107" s="396"/>
      <c r="CJ107" s="396"/>
      <c r="CK107" s="397"/>
    </row>
    <row r="108" spans="3:89" x14ac:dyDescent="0.25">
      <c r="C108" s="398"/>
      <c r="D108" s="375"/>
      <c r="E108" s="375"/>
      <c r="F108" s="399"/>
      <c r="G108" s="399"/>
      <c r="H108" s="399"/>
      <c r="I108" s="399"/>
      <c r="J108" s="399"/>
      <c r="K108" s="399"/>
      <c r="L108" s="399"/>
      <c r="M108" s="399"/>
      <c r="N108" s="399"/>
      <c r="O108" s="399"/>
      <c r="P108" s="399"/>
      <c r="Q108" s="399"/>
      <c r="R108" s="399"/>
      <c r="S108" s="399"/>
      <c r="T108" s="399"/>
      <c r="U108" s="399"/>
      <c r="V108" s="399"/>
      <c r="W108" s="399"/>
      <c r="X108" s="399"/>
      <c r="Y108" s="399"/>
      <c r="Z108" s="399"/>
      <c r="AA108" s="399"/>
      <c r="AB108" s="399"/>
      <c r="AC108" s="399"/>
      <c r="AD108" s="399"/>
      <c r="AE108" s="399"/>
      <c r="AF108" s="399"/>
      <c r="AG108" s="399"/>
      <c r="AH108" s="399"/>
      <c r="AI108" s="399"/>
      <c r="AJ108" s="399"/>
      <c r="AK108" s="399"/>
      <c r="AL108" s="399"/>
      <c r="AM108" s="399"/>
      <c r="AN108" s="399"/>
      <c r="AO108" s="399"/>
      <c r="AP108" s="399"/>
      <c r="AQ108" s="399"/>
      <c r="AR108" s="399"/>
      <c r="AS108" s="399"/>
      <c r="AT108" s="399"/>
      <c r="AU108" s="399"/>
      <c r="AV108" s="399"/>
      <c r="AW108" s="399"/>
      <c r="AX108" s="399"/>
      <c r="AY108" s="399"/>
      <c r="AZ108" s="399"/>
      <c r="BA108" s="399"/>
      <c r="BB108" s="399"/>
      <c r="BC108" s="399"/>
      <c r="BD108" s="399"/>
      <c r="BE108" s="399"/>
      <c r="BF108" s="399"/>
      <c r="BG108" s="399"/>
      <c r="BH108" s="399"/>
      <c r="BI108" s="399"/>
      <c r="BJ108" s="399"/>
      <c r="BK108" s="399"/>
      <c r="BL108" s="399"/>
      <c r="BM108" s="399"/>
      <c r="BN108" s="399"/>
      <c r="BO108" s="399"/>
      <c r="BP108" s="399"/>
      <c r="BQ108" s="399"/>
      <c r="BR108" s="399"/>
      <c r="BS108" s="399"/>
      <c r="BT108" s="399"/>
      <c r="BU108" s="399"/>
      <c r="BV108" s="399"/>
      <c r="BW108" s="399"/>
      <c r="BX108" s="399"/>
      <c r="BY108" s="399"/>
      <c r="BZ108" s="399"/>
      <c r="CA108" s="399"/>
      <c r="CB108" s="399"/>
      <c r="CC108" s="399"/>
      <c r="CD108" s="399"/>
      <c r="CE108" s="399"/>
      <c r="CF108" s="399"/>
      <c r="CG108" s="399"/>
      <c r="CH108" s="399"/>
      <c r="CI108" s="399"/>
      <c r="CJ108" s="399"/>
      <c r="CK108" s="400"/>
    </row>
    <row r="109" spans="3:89" x14ac:dyDescent="0.25">
      <c r="C109" s="401"/>
      <c r="D109" s="402"/>
      <c r="E109" s="402"/>
      <c r="F109" s="403"/>
      <c r="G109" s="403"/>
      <c r="H109" s="403"/>
      <c r="I109" s="403"/>
      <c r="J109" s="403"/>
      <c r="K109" s="403"/>
      <c r="L109" s="403"/>
      <c r="M109" s="403"/>
      <c r="N109" s="403"/>
      <c r="O109" s="403"/>
      <c r="P109" s="403"/>
      <c r="Q109" s="403"/>
      <c r="R109" s="403"/>
      <c r="S109" s="403"/>
      <c r="T109" s="403"/>
      <c r="U109" s="403"/>
      <c r="V109" s="403"/>
      <c r="W109" s="403"/>
      <c r="X109" s="403"/>
      <c r="Y109" s="403"/>
      <c r="Z109" s="403"/>
      <c r="AA109" s="403"/>
      <c r="AB109" s="403"/>
      <c r="AC109" s="403"/>
      <c r="AD109" s="403"/>
      <c r="AE109" s="403"/>
      <c r="AF109" s="403"/>
      <c r="AG109" s="403"/>
      <c r="AH109" s="403"/>
      <c r="AI109" s="403"/>
      <c r="AJ109" s="403"/>
      <c r="AK109" s="403"/>
      <c r="AL109" s="403"/>
      <c r="AM109" s="403"/>
      <c r="AN109" s="403"/>
      <c r="AO109" s="403"/>
      <c r="AP109" s="403"/>
      <c r="AQ109" s="403"/>
      <c r="AR109" s="403"/>
      <c r="AS109" s="403"/>
      <c r="AT109" s="403"/>
      <c r="AU109" s="403"/>
      <c r="AV109" s="403"/>
      <c r="AW109" s="403"/>
      <c r="AX109" s="403"/>
      <c r="AY109" s="403"/>
      <c r="AZ109" s="403"/>
      <c r="BA109" s="403"/>
      <c r="BB109" s="403"/>
      <c r="BC109" s="403"/>
      <c r="BD109" s="403"/>
      <c r="BE109" s="403"/>
      <c r="BF109" s="403"/>
      <c r="BG109" s="403"/>
      <c r="BH109" s="403"/>
      <c r="BI109" s="403"/>
      <c r="BJ109" s="403"/>
      <c r="BK109" s="403"/>
      <c r="BL109" s="403"/>
      <c r="BM109" s="403"/>
      <c r="BN109" s="403"/>
      <c r="BO109" s="403"/>
      <c r="BP109" s="403"/>
      <c r="BQ109" s="403"/>
      <c r="BR109" s="403"/>
      <c r="BS109" s="403"/>
      <c r="BT109" s="403"/>
      <c r="BU109" s="403"/>
      <c r="BV109" s="403"/>
      <c r="BW109" s="403"/>
      <c r="BX109" s="403"/>
      <c r="BY109" s="403"/>
      <c r="BZ109" s="403"/>
      <c r="CA109" s="403"/>
      <c r="CB109" s="403"/>
      <c r="CC109" s="403"/>
      <c r="CD109" s="403"/>
      <c r="CE109" s="403"/>
      <c r="CF109" s="403"/>
      <c r="CG109" s="403"/>
      <c r="CH109" s="403"/>
      <c r="CI109" s="403"/>
      <c r="CJ109" s="403"/>
      <c r="CK109" s="404"/>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60</vt:i4>
      </vt:variant>
      <vt:variant>
        <vt:lpstr>Named Ranges</vt:lpstr>
      </vt:variant>
      <vt:variant>
        <vt:i4>17</vt:i4>
      </vt:variant>
    </vt:vector>
  </HeadingPairs>
  <TitlesOfParts>
    <vt:vector size="77" baseType="lpstr">
      <vt:lpstr>Disclaimer</vt:lpstr>
      <vt:lpstr>Cockpit</vt:lpstr>
      <vt:lpstr>Datengrundlage</vt:lpstr>
      <vt:lpstr>Lead &gt;&gt;</vt:lpstr>
      <vt:lpstr>Lead PL</vt:lpstr>
      <vt:lpstr>Lead NA</vt:lpstr>
      <vt:lpstr>Lead CF</vt:lpstr>
      <vt:lpstr>PL &gt;&gt;</vt:lpstr>
      <vt:lpstr>PL_Top customer</vt:lpstr>
      <vt:lpstr>PL_PEX</vt:lpstr>
      <vt:lpstr>PL_oOPEX</vt:lpstr>
      <vt:lpstr>PL_YTD</vt:lpstr>
      <vt:lpstr>PL_QoE</vt:lpstr>
      <vt:lpstr>PL_monthly</vt:lpstr>
      <vt:lpstr>NA &gt;&gt;</vt:lpstr>
      <vt:lpstr>NA_Ford LuL</vt:lpstr>
      <vt:lpstr>NA_Verb LuL</vt:lpstr>
      <vt:lpstr>NA_TWC</vt:lpstr>
      <vt:lpstr>Equity Bridge SONNTAG</vt:lpstr>
      <vt:lpstr>NA_Net Debt</vt:lpstr>
      <vt:lpstr>NA_monthly</vt:lpstr>
      <vt:lpstr>NA_CAPEX</vt:lpstr>
      <vt:lpstr>NA_Vorräte</vt:lpstr>
      <vt:lpstr>Weitere Vorlagen &gt;&gt;</vt:lpstr>
      <vt:lpstr>PL_Dummy</vt:lpstr>
      <vt:lpstr>PL_Rohergebnis</vt:lpstr>
      <vt:lpstr>PL_Preis_Menge</vt:lpstr>
      <vt:lpstr>CF_monthly</vt:lpstr>
      <vt:lpstr>NA_Dummy</vt:lpstr>
      <vt:lpstr>NA_Sachanlagen</vt:lpstr>
      <vt:lpstr>NA_Cons</vt:lpstr>
      <vt:lpstr>PL_Cons</vt:lpstr>
      <vt:lpstr>Plan_IST_Vergleich</vt:lpstr>
      <vt:lpstr>Delta_JA_SuSa_PL</vt:lpstr>
      <vt:lpstr>Delta_JA_SuSa_BS</vt:lpstr>
      <vt:lpstr>Zahlen &gt;&gt;</vt:lpstr>
      <vt:lpstr>Balance Sheet (Annual Report)</vt:lpstr>
      <vt:lpstr>P&amp;L (Annual Report)</vt:lpstr>
      <vt:lpstr>P&amp;L (Susa)</vt:lpstr>
      <vt:lpstr>Balance Sheet (Susa)</vt:lpstr>
      <vt:lpstr>Trial Balance (Susa)</vt:lpstr>
      <vt:lpstr>BWA Dez25</vt:lpstr>
      <vt:lpstr>SuSa Okt25</vt:lpstr>
      <vt:lpstr>SuSa Nov25</vt:lpstr>
      <vt:lpstr>SuSa Dez25</vt:lpstr>
      <vt:lpstr>sonstige BGA</vt:lpstr>
      <vt:lpstr>Debitoren-Kreditoren &gt;&gt;</vt:lpstr>
      <vt:lpstr>2024 Debitoren</vt:lpstr>
      <vt:lpstr>Sep25 Debitoren</vt:lpstr>
      <vt:lpstr>Dez25 Debitoren</vt:lpstr>
      <vt:lpstr>2024 Kreditoren</vt:lpstr>
      <vt:lpstr>Sep25 Kreditoren</vt:lpstr>
      <vt:lpstr>Dez25 Kreditoren</vt:lpstr>
      <vt:lpstr>Trial Balance Dropdown</vt:lpstr>
      <vt:lpstr>Management Bereinigung 2024</vt:lpstr>
      <vt:lpstr>Management Bereinigung 2025</vt:lpstr>
      <vt:lpstr>Abkürzungsverzeichnis</vt:lpstr>
      <vt:lpstr>Think Cell</vt:lpstr>
      <vt:lpstr>UPSLIDE_UndoFormatting</vt:lpstr>
      <vt:lpstr>UPSLIDE_Undo</vt:lpstr>
      <vt:lpstr>CF_monthly!Print_Area</vt:lpstr>
      <vt:lpstr>'Lead CF'!Print_Area</vt:lpstr>
      <vt:lpstr>'Lead NA'!Print_Area</vt:lpstr>
      <vt:lpstr>NA_CAPEX!Print_Area</vt:lpstr>
      <vt:lpstr>NA_Dummy!Print_Area</vt:lpstr>
      <vt:lpstr>'NA_Ford LuL'!Print_Area</vt:lpstr>
      <vt:lpstr>'NA_Net Debt'!Print_Area</vt:lpstr>
      <vt:lpstr>NA_Sachanlagen!Print_Area</vt:lpstr>
      <vt:lpstr>NA_TWC!Print_Area</vt:lpstr>
      <vt:lpstr>'NA_Verb LuL'!Print_Area</vt:lpstr>
      <vt:lpstr>NA_Vorräte!Print_Area</vt:lpstr>
      <vt:lpstr>PL_Dummy!Print_Area</vt:lpstr>
      <vt:lpstr>PL_oOPEX!Print_Area</vt:lpstr>
      <vt:lpstr>PL_PEX!Print_Area</vt:lpstr>
      <vt:lpstr>PL_Preis_Menge!Print_Area</vt:lpstr>
      <vt:lpstr>PL_QoE!Print_Area</vt:lpstr>
      <vt:lpstr>PL_Rohergebnis!Print_Area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Hafner Sebastian (SHE)</dc:creator>
  <cp:lastModifiedBy>Zirek Cem Cafer (CEZI)</cp:lastModifiedBy>
  <cp:lastPrinted>2026-01-12T13:56:21Z</cp:lastPrinted>
  <dcterms:created xsi:type="dcterms:W3CDTF">2015-06-05T18:19:34Z</dcterms:created>
  <dcterms:modified xsi:type="dcterms:W3CDTF">2026-02-24T16:24:50Z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UpSlide_7495486751992.581873[DESTINATION]">
    <vt:lpwstr>Powerpoint, 483</vt:lpwstr>
  </property>
  <property fmtid="{D5CDD505-2E9C-101B-9397-08002B2CF9AE}" pid="3" name="UpSlide_7495486751992.581873[PATH]">
    <vt:lpwstr>https://btde-my.sharepoint.com/personal/felix_ptok_bakertilly_de/Documents/Template FDD LDD LDD/FDD TDD LDD Template Englisch.pptx</vt:lpwstr>
  </property>
  <property fmtid="{D5CDD505-2E9C-101B-9397-08002B2CF9AE}" pid="4" name="UpSlide_4321486752067.395956[DESTINATION]">
    <vt:lpwstr>Powerpoint, 1782</vt:lpwstr>
  </property>
  <property fmtid="{D5CDD505-2E9C-101B-9397-08002B2CF9AE}" pid="5" name="UpSlide_4321486752067.395956[PATH]">
    <vt:lpwstr>https://btde-my.sharepoint.com/personal/felix_ptok_bakertilly_de/Documents/Template FDD LDD LDD/FDD TDD LDD Template Deutsch.pptx</vt:lpwstr>
  </property>
  <property fmtid="{D5CDD505-2E9C-101B-9397-08002B2CF9AE}" pid="6" name="UpSlide_7192486809367.873384[DESTINATION]">
    <vt:lpwstr>Powerpoint, 454</vt:lpwstr>
  </property>
  <property fmtid="{D5CDD505-2E9C-101B-9397-08002B2CF9AE}" pid="7" name="UpSlide_7192486809367.873384[PATH]">
    <vt:lpwstr>https://btde-my.sharepoint.com/personal/felix_ptok_bakertilly_de/Documents/Template FDD LDD LDD/FDD TDD LDD Template Englisch.pptx</vt:lpwstr>
  </property>
  <property fmtid="{D5CDD505-2E9C-101B-9397-08002B2CF9AE}" pid="8" name="UpSlide_4196414287258.165405[DESTINATION]">
    <vt:lpwstr>Powerpoint, 454</vt:lpwstr>
  </property>
  <property fmtid="{D5CDD505-2E9C-101B-9397-08002B2CF9AE}" pid="9" name="UpSlide_4196414287258.165405[PATH]">
    <vt:lpwstr>https://btde-my.sharepoint.com/personal/felix_ptok_bakertilly_de/Documents/Template FDD LDD LDD/FDD TDD LDD Template Englisch.pptx</vt:lpwstr>
  </property>
  <property fmtid="{D5CDD505-2E9C-101B-9397-08002B2CF9AE}" pid="10" name="UpSlide_888486810197.875492[DESTINATION]">
    <vt:lpwstr>Powerpoint, 1896</vt:lpwstr>
  </property>
  <property fmtid="{D5CDD505-2E9C-101B-9397-08002B2CF9AE}" pid="11" name="UpSlide_888486810197.875492[PATH]">
    <vt:lpwstr>https://btde-my.sharepoint.com/personal/felix_ptok_bakertilly_de/Documents/Microsoft Teams-Chatdateien/Projekt Namur_FDD TDD LDD v01.pptx</vt:lpwstr>
  </property>
  <property fmtid="{D5CDD505-2E9C-101B-9397-08002B2CF9AE}" pid="12" name="UpSlide_9549486830199.166586[DESTINATION]">
    <vt:lpwstr>Powerpoint, 385</vt:lpwstr>
  </property>
  <property fmtid="{D5CDD505-2E9C-101B-9397-08002B2CF9AE}" pid="13" name="UpSlide_9549486830199.166586[PATH]">
    <vt:lpwstr>https://btde-my.sharepoint.com/personal/felix_ptok_bakertilly_de/Documents/Template FDD LDD LDD/FDD TDD LDD Template Deutsch.pptx</vt:lpwstr>
  </property>
  <property fmtid="{D5CDD505-2E9C-101B-9397-08002B2CF9AE}" pid="14" name="UpSlide_4947486830351.061158[DESTINATION]">
    <vt:lpwstr>Powerpoint, 385</vt:lpwstr>
  </property>
  <property fmtid="{D5CDD505-2E9C-101B-9397-08002B2CF9AE}" pid="15" name="UpSlide_4947486830351.061158[PATH]">
    <vt:lpwstr>https://btde-my.sharepoint.com/personal/felix_ptok_bakertilly_de/Documents/Template FDD LDD LDD/FDD TDD LDD Template Deutsch.pptx</vt:lpwstr>
  </property>
  <property fmtid="{D5CDD505-2E9C-101B-9397-08002B2CF9AE}" pid="16" name="UpSlide_1867486830468.586029[DESTINATION]">
    <vt:lpwstr>Powerpoint, 385</vt:lpwstr>
  </property>
  <property fmtid="{D5CDD505-2E9C-101B-9397-08002B2CF9AE}" pid="17" name="UpSlide_1867486830468.586029[PATH]">
    <vt:lpwstr>https://btde-my.sharepoint.com/personal/felix_ptok_bakertilly_de/Documents/Template FDD LDD LDD/FDD TDD LDD Template Englisch.pptx</vt:lpwstr>
  </property>
  <property fmtid="{D5CDD505-2E9C-101B-9397-08002B2CF9AE}" pid="18" name="UpSlide_6069486830493.093058[DESTINATION]">
    <vt:lpwstr>Powerpoint, 385</vt:lpwstr>
  </property>
  <property fmtid="{D5CDD505-2E9C-101B-9397-08002B2CF9AE}" pid="19" name="UpSlide_6069486830493.093058[PATH]">
    <vt:lpwstr>https://btde-my.sharepoint.com/personal/felix_ptok_bakertilly_de/Documents/Template FDD LDD LDD/FDD TDD LDD Template Englisch.pptx</vt:lpwstr>
  </property>
  <property fmtid="{D5CDD505-2E9C-101B-9397-08002B2CF9AE}" pid="20" name="UpSlide_3435414287581.838639[DESTINATION]">
    <vt:lpwstr>Powerpoint, 457</vt:lpwstr>
  </property>
  <property fmtid="{D5CDD505-2E9C-101B-9397-08002B2CF9AE}" pid="21" name="UpSlide_3435414287581.838639[PATH]">
    <vt:lpwstr>https://btde-my.sharepoint.com/personal/felix_ptok_bakertilly_de/Documents/Template FDD LDD LDD/FDD TDD LDD Template Englisch.pptx</vt:lpwstr>
  </property>
  <property fmtid="{D5CDD505-2E9C-101B-9397-08002B2CF9AE}" pid="22" name="UpSlide_800486830934.447347[DESTINATION]">
    <vt:lpwstr>Powerpoint, 300</vt:lpwstr>
  </property>
  <property fmtid="{D5CDD505-2E9C-101B-9397-08002B2CF9AE}" pid="23" name="UpSlide_800486830934.447347[PATH]">
    <vt:lpwstr>https://btde-my.sharepoint.com/personal/felix_ptok_bakertilly_de/Documents/Microsoft Teams-Chatdateien/Projekt Namur_FDD TDD LDD v01.pptx</vt:lpwstr>
  </property>
  <property fmtid="{D5CDD505-2E9C-101B-9397-08002B2CF9AE}" pid="24" name="UpSlide_2019486833588.272053[DESTINATION]">
    <vt:lpwstr>Powerpoint, 484</vt:lpwstr>
  </property>
  <property fmtid="{D5CDD505-2E9C-101B-9397-08002B2CF9AE}" pid="25" name="UpSlide_2019486833588.272053[PATH]">
    <vt:lpwstr>https://btde-my.sharepoint.com/personal/felix_ptok_bakertilly_de/Documents/Template FDD LDD LDD/FDD TDD LDD Template Englisch.pptx</vt:lpwstr>
  </property>
  <property fmtid="{D5CDD505-2E9C-101B-9397-08002B2CF9AE}" pid="26" name="UpSlide_900486834307.20537[DESTINATION]">
    <vt:lpwstr>Powerpoint, 1801</vt:lpwstr>
  </property>
  <property fmtid="{D5CDD505-2E9C-101B-9397-08002B2CF9AE}" pid="27" name="UpSlide_900486834307.20537[PATH]">
    <vt:lpwstr>https://btde-my.sharepoint.com/personal/felix_ptok_bakertilly_de/Documents/Template FDD LDD LDD/FDD TDD LDD Template Deutsch.pptx</vt:lpwstr>
  </property>
  <property fmtid="{D5CDD505-2E9C-101B-9397-08002B2CF9AE}" pid="28" name="{A44787D4-0540-4523-9961-78E4036D8C6D}">
    <vt:lpwstr>{6722A7D2-2DEA-4654-91C6-2C451E163EE1}</vt:lpwstr>
  </property>
  <property fmtid="{D5CDD505-2E9C-101B-9397-08002B2CF9AE}" pid="29" name="UpSlide_2024505482441.463311[DESTINATION]">
    <vt:lpwstr>Powerpoint, 1879</vt:lpwstr>
  </property>
  <property fmtid="{D5CDD505-2E9C-101B-9397-08002B2CF9AE}" pid="30" name="UpSlide_2024505482441.463311[PATH]">
    <vt:lpwstr>https://btde-my.sharepoint.com/personal/felix_ptok_bakertilly_de/Documents/Microsoft Teams-Chatdateien/Projekt Namur_FDD TDD LDD v01.pptx</vt:lpwstr>
  </property>
  <property fmtid="{D5CDD505-2E9C-101B-9397-08002B2CF9AE}" pid="31" name="UpSlide_7880505482596.594481[DESTINATION]">
    <vt:lpwstr>Powerpoint, 1877</vt:lpwstr>
  </property>
  <property fmtid="{D5CDD505-2E9C-101B-9397-08002B2CF9AE}" pid="32" name="UpSlide_7880505482596.594481[PATH]">
    <vt:lpwstr>https://btde-my.sharepoint.com/personal/felix_ptok_bakertilly_de/Documents/Microsoft Teams-Chatdateien/Projekt Namur_FDD TDD LDD v01.pptx</vt:lpwstr>
  </property>
  <property fmtid="{D5CDD505-2E9C-101B-9397-08002B2CF9AE}" pid="33" name="UpSlide_2113505668248.084517[DESTINATION]">
    <vt:lpwstr>Powerpoint, 454</vt:lpwstr>
  </property>
  <property fmtid="{D5CDD505-2E9C-101B-9397-08002B2CF9AE}" pid="34" name="UpSlide_2113505668248.084517[PATH]">
    <vt:lpwstr>https://btde-my.sharepoint.com/personal/felix_ptok_bakertilly_de/Documents/Microsoft Teams-Chatdateien/Projekt Namur_FDD TDD LDD v01.pptx</vt:lpwstr>
  </property>
  <property fmtid="{D5CDD505-2E9C-101B-9397-08002B2CF9AE}" pid="35" name="UpSlide_1363505906392.645194[DESTINATION]">
    <vt:lpwstr>Powerpoint, 1883</vt:lpwstr>
  </property>
  <property fmtid="{D5CDD505-2E9C-101B-9397-08002B2CF9AE}" pid="36" name="UpSlide_1363505906392.645194[PATH]">
    <vt:lpwstr>https://btde-my.sharepoint.com/personal/felix_ptok_bakertilly_de/Documents/Microsoft Teams-Chatdateien/Projekt Namur_FDD TDD LDD v01.pptx</vt:lpwstr>
  </property>
  <property fmtid="{D5CDD505-2E9C-101B-9397-08002B2CF9AE}" pid="37" name="UpSlide_7774506101668.356568[DESTINATION]">
    <vt:lpwstr>Powerpoint, 345</vt:lpwstr>
  </property>
  <property fmtid="{D5CDD505-2E9C-101B-9397-08002B2CF9AE}" pid="38" name="UpSlide_7774506101668.356568[PATH]">
    <vt:lpwstr>https://btde-my.sharepoint.com/personal/felix_ptok_bakertilly_de/Documents/Microsoft Teams-Chatdateien/Projekt Namur_FDD TDD LDD v01.pptx</vt:lpwstr>
  </property>
  <property fmtid="{D5CDD505-2E9C-101B-9397-08002B2CF9AE}" pid="39" name="UpSlide_8578506179138.623639[DESTINATION]">
    <vt:lpwstr>Powerpoint, 1948</vt:lpwstr>
  </property>
  <property fmtid="{D5CDD505-2E9C-101B-9397-08002B2CF9AE}" pid="40" name="UpSlide_8578506179138.623639[PATH]">
    <vt:lpwstr>https://btde-my.sharepoint.com/personal/felix_ptok_bakertilly_de/Documents/Microsoft Teams-Chatdateien/Projekt Namur_FDD TDD LDD v01.pptx</vt:lpwstr>
  </property>
  <property fmtid="{D5CDD505-2E9C-101B-9397-08002B2CF9AE}" pid="41" name="UpSlide_919506196164.295426[DESTINATION]">
    <vt:lpwstr>Powerpoint, 290</vt:lpwstr>
  </property>
  <property fmtid="{D5CDD505-2E9C-101B-9397-08002B2CF9AE}" pid="42" name="UpSlide_919506196164.295426[PATH]">
    <vt:lpwstr>https://btde-my.sharepoint.com/personal/felix_ptok_bakertilly_de/Documents/Microsoft Teams-Chatdateien/Projekt Namur_FDD TDD LDD v01.pptx</vt:lpwstr>
  </property>
  <property fmtid="{D5CDD505-2E9C-101B-9397-08002B2CF9AE}" pid="43" name="UpSlide_6861506197753.111907[DESTINATION]">
    <vt:lpwstr>Powerpoint, 1886</vt:lpwstr>
  </property>
  <property fmtid="{D5CDD505-2E9C-101B-9397-08002B2CF9AE}" pid="44" name="UpSlide_6861506197753.111907[PATH]">
    <vt:lpwstr>https://btde-my.sharepoint.com/personal/felix_ptok_bakertilly_de/Documents/Microsoft Teams-Chatdateien/Projekt Namur_FDD TDD LDD v01.pptx</vt:lpwstr>
  </property>
  <property fmtid="{D5CDD505-2E9C-101B-9397-08002B2CF9AE}" pid="45" name="UpSlide_8708506698293.873185[DESTINATION]">
    <vt:lpwstr>Powerpoint, 295</vt:lpwstr>
  </property>
  <property fmtid="{D5CDD505-2E9C-101B-9397-08002B2CF9AE}" pid="46" name="UpSlide_8708506698293.873185[PATH]">
    <vt:lpwstr>https://btde-my.sharepoint.com/personal/felix_ptok_bakertilly_de/Documents/Microsoft Teams-Chatdateien/Projekt Namur_FDD TDD LDD v01.pptx</vt:lpwstr>
  </property>
  <property fmtid="{D5CDD505-2E9C-101B-9397-08002B2CF9AE}" pid="47" name="UpSlide_8515506698316.601348[DESTINATION]">
    <vt:lpwstr>Powerpoint, 295</vt:lpwstr>
  </property>
  <property fmtid="{D5CDD505-2E9C-101B-9397-08002B2CF9AE}" pid="48" name="UpSlide_8515506698316.601348[PATH]">
    <vt:lpwstr>https://btde-my.sharepoint.com/personal/felix_ptok_bakertilly_de/Documents/Microsoft Teams-Chatdateien/Projekt Namur_FDD TDD LDD v01.pptx</vt:lpwstr>
  </property>
  <property fmtid="{D5CDD505-2E9C-101B-9397-08002B2CF9AE}" pid="49" name="UpSlide_4586506788121.185291[DESTINATION]">
    <vt:lpwstr>Powerpoint, 425</vt:lpwstr>
  </property>
  <property fmtid="{D5CDD505-2E9C-101B-9397-08002B2CF9AE}" pid="50" name="UpSlide_4586506788121.185291[PATH]">
    <vt:lpwstr>https://btde-my.sharepoint.com/personal/felix_ptok_bakertilly_de/Documents/Microsoft Teams-Chatdateien/Projekt Namur_FDD TDD LDD v01.pptx</vt:lpwstr>
  </property>
</Properties>
</file>